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J:\books\NTI\Data Analysis\Excel\Project 1\The Project\IMDB_Movie_-Analysis\DataSet\"/>
    </mc:Choice>
  </mc:AlternateContent>
  <xr:revisionPtr revIDLastSave="0" documentId="13_ncr:1_{95ADA4EE-9DA7-43B6-8665-DC9C9AE1E209}" xr6:coauthVersionLast="47" xr6:coauthVersionMax="47" xr10:uidLastSave="{00000000-0000-0000-0000-000000000000}"/>
  <bookViews>
    <workbookView xWindow="-120" yWindow="-120" windowWidth="20640" windowHeight="11760" firstSheet="1" activeTab="4" xr2:uid="{00000000-000D-0000-FFFF-FFFF00000000}"/>
  </bookViews>
  <sheets>
    <sheet name="Cost_in_dollars" sheetId="2" r:id="rId1"/>
    <sheet name="Currency" sheetId="3" r:id="rId2"/>
    <sheet name="IMDB_Movies" sheetId="1" r:id="rId3"/>
    <sheet name="Charts" sheetId="5" r:id="rId4"/>
    <sheet name="Dashboard " sheetId="6" r:id="rId5"/>
  </sheets>
  <definedNames>
    <definedName name="_xlnm._FilterDatabase" localSheetId="0" hidden="1">Cost_in_dollars!$A$1:$G$3588</definedName>
  </definedNames>
  <calcPr calcId="191029"/>
  <pivotCaches>
    <pivotCache cacheId="9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G3588" i="2"/>
  <c r="F3588" i="2"/>
  <c r="E3588" i="2"/>
  <c r="G3587" i="2"/>
  <c r="F3587" i="2"/>
  <c r="E3587" i="2"/>
  <c r="G3586" i="2"/>
  <c r="F3586" i="2"/>
  <c r="E3586" i="2"/>
  <c r="G3585" i="2"/>
  <c r="F3585" i="2"/>
  <c r="E3585" i="2"/>
  <c r="G3584" i="2"/>
  <c r="F3584" i="2"/>
  <c r="E3584" i="2"/>
  <c r="G3583" i="2"/>
  <c r="F3583" i="2"/>
  <c r="E3583" i="2"/>
  <c r="G3582" i="2"/>
  <c r="F3582" i="2"/>
  <c r="E3582" i="2"/>
  <c r="G3581" i="2"/>
  <c r="F3581" i="2"/>
  <c r="E3581" i="2"/>
  <c r="G3580" i="2"/>
  <c r="F3580" i="2"/>
  <c r="E3580" i="2"/>
  <c r="G3579" i="2"/>
  <c r="F3579" i="2"/>
  <c r="E3579" i="2"/>
  <c r="G3578" i="2"/>
  <c r="F3578" i="2"/>
  <c r="E3578" i="2"/>
  <c r="G3577" i="2"/>
  <c r="F3577" i="2"/>
  <c r="E3577" i="2"/>
  <c r="G3576" i="2"/>
  <c r="F3576" i="2"/>
  <c r="E3576" i="2"/>
  <c r="G3575" i="2"/>
  <c r="F3575" i="2"/>
  <c r="E3575" i="2"/>
  <c r="G3574" i="2"/>
  <c r="F3574" i="2"/>
  <c r="E3574" i="2"/>
  <c r="G3573" i="2"/>
  <c r="F3573" i="2"/>
  <c r="E3573" i="2"/>
  <c r="G3572" i="2"/>
  <c r="F3572" i="2"/>
  <c r="E3572" i="2"/>
  <c r="G3571" i="2"/>
  <c r="F3571" i="2"/>
  <c r="E3571" i="2"/>
  <c r="G3570" i="2"/>
  <c r="F3570" i="2"/>
  <c r="E3570" i="2"/>
  <c r="G3569" i="2"/>
  <c r="F3569" i="2"/>
  <c r="E3569" i="2"/>
  <c r="G3568" i="2"/>
  <c r="F3568" i="2"/>
  <c r="E3568" i="2"/>
  <c r="G3567" i="2"/>
  <c r="F3567" i="2"/>
  <c r="E3567" i="2"/>
  <c r="G3566" i="2"/>
  <c r="F3566" i="2"/>
  <c r="E3566" i="2"/>
  <c r="G3565" i="2"/>
  <c r="F3565" i="2"/>
  <c r="E3565" i="2"/>
  <c r="G3564" i="2"/>
  <c r="F3564" i="2"/>
  <c r="E3564" i="2"/>
  <c r="G3563" i="2"/>
  <c r="F3563" i="2"/>
  <c r="E3563" i="2"/>
  <c r="G3562" i="2"/>
  <c r="F3562" i="2"/>
  <c r="E3562" i="2"/>
  <c r="G3561" i="2"/>
  <c r="F3561" i="2"/>
  <c r="E3561" i="2"/>
  <c r="G3560" i="2"/>
  <c r="F3560" i="2"/>
  <c r="E3560" i="2"/>
  <c r="G3559" i="2"/>
  <c r="F3559" i="2"/>
  <c r="E3559" i="2"/>
  <c r="G3558" i="2"/>
  <c r="F3558" i="2"/>
  <c r="E3558" i="2"/>
  <c r="G3557" i="2"/>
  <c r="F3557" i="2"/>
  <c r="E3557" i="2"/>
  <c r="G3556" i="2"/>
  <c r="F3556" i="2"/>
  <c r="E3556" i="2"/>
  <c r="G3555" i="2"/>
  <c r="F3555" i="2"/>
  <c r="E3555" i="2"/>
  <c r="G3554" i="2"/>
  <c r="F3554" i="2"/>
  <c r="E3554" i="2"/>
  <c r="G3553" i="2"/>
  <c r="F3553" i="2"/>
  <c r="E3553" i="2"/>
  <c r="G3552" i="2"/>
  <c r="F3552" i="2"/>
  <c r="E3552" i="2"/>
  <c r="G3551" i="2"/>
  <c r="F3551" i="2"/>
  <c r="E3551" i="2"/>
  <c r="G3550" i="2"/>
  <c r="F3550" i="2"/>
  <c r="E3550" i="2"/>
  <c r="G3549" i="2"/>
  <c r="F3549" i="2"/>
  <c r="E3549" i="2"/>
  <c r="G3548" i="2"/>
  <c r="F3548" i="2"/>
  <c r="E3548" i="2"/>
  <c r="G3547" i="2"/>
  <c r="F3547" i="2"/>
  <c r="E3547" i="2"/>
  <c r="G3546" i="2"/>
  <c r="F3546" i="2"/>
  <c r="E3546" i="2"/>
  <c r="G3545" i="2"/>
  <c r="F3545" i="2"/>
  <c r="E3545" i="2"/>
  <c r="G3544" i="2"/>
  <c r="F3544" i="2"/>
  <c r="E3544" i="2"/>
  <c r="G3543" i="2"/>
  <c r="F3543" i="2"/>
  <c r="E3543" i="2"/>
  <c r="G3542" i="2"/>
  <c r="F3542" i="2"/>
  <c r="E3542" i="2"/>
  <c r="G3541" i="2"/>
  <c r="F3541" i="2"/>
  <c r="E3541" i="2"/>
  <c r="G3540" i="2"/>
  <c r="F3540" i="2"/>
  <c r="E3540" i="2"/>
  <c r="G3539" i="2"/>
  <c r="F3539" i="2"/>
  <c r="E3539" i="2"/>
  <c r="G3538" i="2"/>
  <c r="F3538" i="2"/>
  <c r="E3538" i="2"/>
  <c r="G3537" i="2"/>
  <c r="F3537" i="2"/>
  <c r="E3537" i="2"/>
  <c r="G3536" i="2"/>
  <c r="F3536" i="2"/>
  <c r="E3536" i="2"/>
  <c r="G3535" i="2"/>
  <c r="F3535" i="2"/>
  <c r="E3535" i="2"/>
  <c r="G3534" i="2"/>
  <c r="F3534" i="2"/>
  <c r="E3534" i="2"/>
  <c r="G3533" i="2"/>
  <c r="F3533" i="2"/>
  <c r="E3533" i="2"/>
  <c r="G3532" i="2"/>
  <c r="F3532" i="2"/>
  <c r="E3532" i="2"/>
  <c r="G3531" i="2"/>
  <c r="F3531" i="2"/>
  <c r="E3531" i="2"/>
  <c r="G3530" i="2"/>
  <c r="F3530" i="2"/>
  <c r="E3530" i="2"/>
  <c r="G3529" i="2"/>
  <c r="F3529" i="2"/>
  <c r="E3529" i="2"/>
  <c r="G3528" i="2"/>
  <c r="F3528" i="2"/>
  <c r="E3528" i="2"/>
  <c r="G3527" i="2"/>
  <c r="F3527" i="2"/>
  <c r="E3527" i="2"/>
  <c r="G3526" i="2"/>
  <c r="F3526" i="2"/>
  <c r="E3526" i="2"/>
  <c r="G3525" i="2"/>
  <c r="F3525" i="2"/>
  <c r="E3525" i="2"/>
  <c r="G3524" i="2"/>
  <c r="F3524" i="2"/>
  <c r="E3524" i="2"/>
  <c r="G3523" i="2"/>
  <c r="F3523" i="2"/>
  <c r="E3523" i="2"/>
  <c r="G3522" i="2"/>
  <c r="F3522" i="2"/>
  <c r="E3522" i="2"/>
  <c r="G3521" i="2"/>
  <c r="F3521" i="2"/>
  <c r="E3521" i="2"/>
  <c r="G3520" i="2"/>
  <c r="F3520" i="2"/>
  <c r="E3520" i="2"/>
  <c r="G3519" i="2"/>
  <c r="F3519" i="2"/>
  <c r="E3519" i="2"/>
  <c r="G3518" i="2"/>
  <c r="F3518" i="2"/>
  <c r="E3518" i="2"/>
  <c r="G3517" i="2"/>
  <c r="F3517" i="2"/>
  <c r="E3517" i="2"/>
  <c r="G3516" i="2"/>
  <c r="F3516" i="2"/>
  <c r="E3516" i="2"/>
  <c r="G3515" i="2"/>
  <c r="F3515" i="2"/>
  <c r="E3515" i="2"/>
  <c r="G3514" i="2"/>
  <c r="F3514" i="2"/>
  <c r="E3514" i="2"/>
  <c r="G3513" i="2"/>
  <c r="F3513" i="2"/>
  <c r="E3513" i="2"/>
  <c r="G3512" i="2"/>
  <c r="F3512" i="2"/>
  <c r="E3512" i="2"/>
  <c r="G3511" i="2"/>
  <c r="F3511" i="2"/>
  <c r="E3511" i="2"/>
  <c r="G3510" i="2"/>
  <c r="F3510" i="2"/>
  <c r="E3510" i="2"/>
  <c r="G3509" i="2"/>
  <c r="F3509" i="2"/>
  <c r="E3509" i="2"/>
  <c r="G3508" i="2"/>
  <c r="F3508" i="2"/>
  <c r="E3508" i="2"/>
  <c r="G3507" i="2"/>
  <c r="F3507" i="2"/>
  <c r="E3507" i="2"/>
  <c r="G3506" i="2"/>
  <c r="F3506" i="2"/>
  <c r="E3506" i="2"/>
  <c r="G3505" i="2"/>
  <c r="F3505" i="2"/>
  <c r="E3505" i="2"/>
  <c r="G3504" i="2"/>
  <c r="F3504" i="2"/>
  <c r="E3504" i="2"/>
  <c r="G3503" i="2"/>
  <c r="F3503" i="2"/>
  <c r="E3503" i="2"/>
  <c r="G3502" i="2"/>
  <c r="F3502" i="2"/>
  <c r="E3502" i="2"/>
  <c r="G3501" i="2"/>
  <c r="F3501" i="2"/>
  <c r="E3501" i="2"/>
  <c r="G3500" i="2"/>
  <c r="F3500" i="2"/>
  <c r="E3500" i="2"/>
  <c r="G3499" i="2"/>
  <c r="F3499" i="2"/>
  <c r="E3499" i="2"/>
  <c r="G3498" i="2"/>
  <c r="F3498" i="2"/>
  <c r="E3498" i="2"/>
  <c r="G3497" i="2"/>
  <c r="F3497" i="2"/>
  <c r="E3497" i="2"/>
  <c r="G3496" i="2"/>
  <c r="F3496" i="2"/>
  <c r="E3496" i="2"/>
  <c r="G3495" i="2"/>
  <c r="F3495" i="2"/>
  <c r="E3495" i="2"/>
  <c r="G3494" i="2"/>
  <c r="F3494" i="2"/>
  <c r="E3494" i="2"/>
  <c r="G3493" i="2"/>
  <c r="F3493" i="2"/>
  <c r="E3493" i="2"/>
  <c r="G3492" i="2"/>
  <c r="F3492" i="2"/>
  <c r="E3492" i="2"/>
  <c r="G3491" i="2"/>
  <c r="F3491" i="2"/>
  <c r="E3491" i="2"/>
  <c r="G3490" i="2"/>
  <c r="F3490" i="2"/>
  <c r="E3490" i="2"/>
  <c r="G3489" i="2"/>
  <c r="F3489" i="2"/>
  <c r="E3489" i="2"/>
  <c r="G3488" i="2"/>
  <c r="F3488" i="2"/>
  <c r="E3488" i="2"/>
  <c r="G3487" i="2"/>
  <c r="F3487" i="2"/>
  <c r="E3487" i="2"/>
  <c r="G3486" i="2"/>
  <c r="F3486" i="2"/>
  <c r="E3486" i="2"/>
  <c r="G3485" i="2"/>
  <c r="F3485" i="2"/>
  <c r="E3485" i="2"/>
  <c r="G3484" i="2"/>
  <c r="F3484" i="2"/>
  <c r="E3484" i="2"/>
  <c r="G3483" i="2"/>
  <c r="F3483" i="2"/>
  <c r="E3483" i="2"/>
  <c r="G3482" i="2"/>
  <c r="F3482" i="2"/>
  <c r="E3482" i="2"/>
  <c r="G3481" i="2"/>
  <c r="F3481" i="2"/>
  <c r="E3481" i="2"/>
  <c r="G3480" i="2"/>
  <c r="F3480" i="2"/>
  <c r="E3480" i="2"/>
  <c r="G3479" i="2"/>
  <c r="F3479" i="2"/>
  <c r="E3479" i="2"/>
  <c r="G3478" i="2"/>
  <c r="F3478" i="2"/>
  <c r="E3478" i="2"/>
  <c r="G3477" i="2"/>
  <c r="F3477" i="2"/>
  <c r="E3477" i="2"/>
  <c r="G3476" i="2"/>
  <c r="F3476" i="2"/>
  <c r="E3476" i="2"/>
  <c r="G3475" i="2"/>
  <c r="F3475" i="2"/>
  <c r="E3475" i="2"/>
  <c r="G3474" i="2"/>
  <c r="F3474" i="2"/>
  <c r="E3474" i="2"/>
  <c r="G3473" i="2"/>
  <c r="F3473" i="2"/>
  <c r="E3473" i="2"/>
  <c r="G3472" i="2"/>
  <c r="F3472" i="2"/>
  <c r="E3472" i="2"/>
  <c r="G3471" i="2"/>
  <c r="F3471" i="2"/>
  <c r="E3471" i="2"/>
  <c r="G3470" i="2"/>
  <c r="F3470" i="2"/>
  <c r="E3470" i="2"/>
  <c r="G3469" i="2"/>
  <c r="F3469" i="2"/>
  <c r="E3469" i="2"/>
  <c r="G3468" i="2"/>
  <c r="F3468" i="2"/>
  <c r="E3468" i="2"/>
  <c r="G3467" i="2"/>
  <c r="F3467" i="2"/>
  <c r="E3467" i="2"/>
  <c r="G3466" i="2"/>
  <c r="F3466" i="2"/>
  <c r="E3466" i="2"/>
  <c r="G3465" i="2"/>
  <c r="F3465" i="2"/>
  <c r="E3465" i="2"/>
  <c r="G3464" i="2"/>
  <c r="F3464" i="2"/>
  <c r="E3464" i="2"/>
  <c r="G3463" i="2"/>
  <c r="F3463" i="2"/>
  <c r="E3463" i="2"/>
  <c r="G3462" i="2"/>
  <c r="F3462" i="2"/>
  <c r="E3462" i="2"/>
  <c r="G3461" i="2"/>
  <c r="F3461" i="2"/>
  <c r="E3461" i="2"/>
  <c r="G3460" i="2"/>
  <c r="F3460" i="2"/>
  <c r="E3460" i="2"/>
  <c r="G3459" i="2"/>
  <c r="F3459" i="2"/>
  <c r="E3459" i="2"/>
  <c r="G3458" i="2"/>
  <c r="F3458" i="2"/>
  <c r="E3458" i="2"/>
  <c r="G3457" i="2"/>
  <c r="F3457" i="2"/>
  <c r="E3457" i="2"/>
  <c r="G3456" i="2"/>
  <c r="F3456" i="2"/>
  <c r="E3456" i="2"/>
  <c r="G3455" i="2"/>
  <c r="F3455" i="2"/>
  <c r="E3455" i="2"/>
  <c r="G3454" i="2"/>
  <c r="F3454" i="2"/>
  <c r="E3454" i="2"/>
  <c r="G3453" i="2"/>
  <c r="F3453" i="2"/>
  <c r="E3453" i="2"/>
  <c r="G3452" i="2"/>
  <c r="F3452" i="2"/>
  <c r="E3452" i="2"/>
  <c r="G3451" i="2"/>
  <c r="F3451" i="2"/>
  <c r="E3451" i="2"/>
  <c r="G3450" i="2"/>
  <c r="F3450" i="2"/>
  <c r="E3450" i="2"/>
  <c r="G3449" i="2"/>
  <c r="F3449" i="2"/>
  <c r="E3449" i="2"/>
  <c r="G3448" i="2"/>
  <c r="F3448" i="2"/>
  <c r="E3448" i="2"/>
  <c r="G3447" i="2"/>
  <c r="F3447" i="2"/>
  <c r="E3447" i="2"/>
  <c r="G3446" i="2"/>
  <c r="F3446" i="2"/>
  <c r="E3446" i="2"/>
  <c r="G3445" i="2"/>
  <c r="F3445" i="2"/>
  <c r="E3445" i="2"/>
  <c r="G3444" i="2"/>
  <c r="F3444" i="2"/>
  <c r="E3444" i="2"/>
  <c r="G3443" i="2"/>
  <c r="F3443" i="2"/>
  <c r="E3443" i="2"/>
  <c r="G3442" i="2"/>
  <c r="F3442" i="2"/>
  <c r="E3442" i="2"/>
  <c r="G3441" i="2"/>
  <c r="F3441" i="2"/>
  <c r="E3441" i="2"/>
  <c r="G3440" i="2"/>
  <c r="F3440" i="2"/>
  <c r="E3440" i="2"/>
  <c r="G3439" i="2"/>
  <c r="F3439" i="2"/>
  <c r="E3439" i="2"/>
  <c r="G3438" i="2"/>
  <c r="F3438" i="2"/>
  <c r="E3438" i="2"/>
  <c r="G3437" i="2"/>
  <c r="F3437" i="2"/>
  <c r="E3437" i="2"/>
  <c r="G3436" i="2"/>
  <c r="F3436" i="2"/>
  <c r="E3436" i="2"/>
  <c r="G3435" i="2"/>
  <c r="F3435" i="2"/>
  <c r="E3435" i="2"/>
  <c r="G3434" i="2"/>
  <c r="F3434" i="2"/>
  <c r="E3434" i="2"/>
  <c r="G3433" i="2"/>
  <c r="F3433" i="2"/>
  <c r="E3433" i="2"/>
  <c r="G3432" i="2"/>
  <c r="F3432" i="2"/>
  <c r="E3432" i="2"/>
  <c r="G3431" i="2"/>
  <c r="F3431" i="2"/>
  <c r="E3431" i="2"/>
  <c r="G3430" i="2"/>
  <c r="F3430" i="2"/>
  <c r="E3430" i="2"/>
  <c r="G3429" i="2"/>
  <c r="F3429" i="2"/>
  <c r="E3429" i="2"/>
  <c r="G3428" i="2"/>
  <c r="F3428" i="2"/>
  <c r="E3428" i="2"/>
  <c r="G3427" i="2"/>
  <c r="F3427" i="2"/>
  <c r="E3427" i="2"/>
  <c r="G3426" i="2"/>
  <c r="F3426" i="2"/>
  <c r="E3426" i="2"/>
  <c r="G3425" i="2"/>
  <c r="F3425" i="2"/>
  <c r="E3425" i="2"/>
  <c r="G3424" i="2"/>
  <c r="F3424" i="2"/>
  <c r="E3424" i="2"/>
  <c r="G3423" i="2"/>
  <c r="F3423" i="2"/>
  <c r="E3423" i="2"/>
  <c r="G3422" i="2"/>
  <c r="F3422" i="2"/>
  <c r="E3422" i="2"/>
  <c r="G3421" i="2"/>
  <c r="F3421" i="2"/>
  <c r="E3421" i="2"/>
  <c r="G3420" i="2"/>
  <c r="F3420" i="2"/>
  <c r="E3420" i="2"/>
  <c r="G3419" i="2"/>
  <c r="F3419" i="2"/>
  <c r="E3419" i="2"/>
  <c r="G3418" i="2"/>
  <c r="F3418" i="2"/>
  <c r="E3418" i="2"/>
  <c r="G3417" i="2"/>
  <c r="F3417" i="2"/>
  <c r="E3417" i="2"/>
  <c r="G3416" i="2"/>
  <c r="F3416" i="2"/>
  <c r="E3416" i="2"/>
  <c r="G3415" i="2"/>
  <c r="F3415" i="2"/>
  <c r="E3415" i="2"/>
  <c r="G3414" i="2"/>
  <c r="F3414" i="2"/>
  <c r="E3414" i="2"/>
  <c r="G3413" i="2"/>
  <c r="F3413" i="2"/>
  <c r="E3413" i="2"/>
  <c r="G3412" i="2"/>
  <c r="F3412" i="2"/>
  <c r="E3412" i="2"/>
  <c r="G3411" i="2"/>
  <c r="F3411" i="2"/>
  <c r="E3411" i="2"/>
  <c r="G3410" i="2"/>
  <c r="F3410" i="2"/>
  <c r="E3410" i="2"/>
  <c r="G3409" i="2"/>
  <c r="F3409" i="2"/>
  <c r="E3409" i="2"/>
  <c r="G3408" i="2"/>
  <c r="F3408" i="2"/>
  <c r="E3408" i="2"/>
  <c r="G3407" i="2"/>
  <c r="F3407" i="2"/>
  <c r="E3407" i="2"/>
  <c r="G3406" i="2"/>
  <c r="F3406" i="2"/>
  <c r="E3406" i="2"/>
  <c r="G3405" i="2"/>
  <c r="F3405" i="2"/>
  <c r="E3405" i="2"/>
  <c r="G3404" i="2"/>
  <c r="F3404" i="2"/>
  <c r="E3404" i="2"/>
  <c r="G3403" i="2"/>
  <c r="F3403" i="2"/>
  <c r="E3403" i="2"/>
  <c r="G3402" i="2"/>
  <c r="F3402" i="2"/>
  <c r="E3402" i="2"/>
  <c r="G3401" i="2"/>
  <c r="F3401" i="2"/>
  <c r="E3401" i="2"/>
  <c r="G3400" i="2"/>
  <c r="F3400" i="2"/>
  <c r="E3400" i="2"/>
  <c r="G3399" i="2"/>
  <c r="F3399" i="2"/>
  <c r="E3399" i="2"/>
  <c r="G3398" i="2"/>
  <c r="F3398" i="2"/>
  <c r="E3398" i="2"/>
  <c r="G3397" i="2"/>
  <c r="F3397" i="2"/>
  <c r="E3397" i="2"/>
  <c r="G3396" i="2"/>
  <c r="F3396" i="2"/>
  <c r="E3396" i="2"/>
  <c r="G3395" i="2"/>
  <c r="F3395" i="2"/>
  <c r="E3395" i="2"/>
  <c r="G3394" i="2"/>
  <c r="F3394" i="2"/>
  <c r="E3394" i="2"/>
  <c r="G3393" i="2"/>
  <c r="F3393" i="2"/>
  <c r="E3393" i="2"/>
  <c r="G3392" i="2"/>
  <c r="F3392" i="2"/>
  <c r="E3392" i="2"/>
  <c r="G3391" i="2"/>
  <c r="F3391" i="2"/>
  <c r="E3391" i="2"/>
  <c r="G3390" i="2"/>
  <c r="F3390" i="2"/>
  <c r="E3390" i="2"/>
  <c r="G3389" i="2"/>
  <c r="F3389" i="2"/>
  <c r="E3389" i="2"/>
  <c r="G3388" i="2"/>
  <c r="F3388" i="2"/>
  <c r="E3388" i="2"/>
  <c r="G3387" i="2"/>
  <c r="F3387" i="2"/>
  <c r="E3387" i="2"/>
  <c r="G3386" i="2"/>
  <c r="F3386" i="2"/>
  <c r="E3386" i="2"/>
  <c r="G3385" i="2"/>
  <c r="F3385" i="2"/>
  <c r="E3385" i="2"/>
  <c r="G3384" i="2"/>
  <c r="F3384" i="2"/>
  <c r="E3384" i="2"/>
  <c r="G3383" i="2"/>
  <c r="F3383" i="2"/>
  <c r="E3383" i="2"/>
  <c r="G3382" i="2"/>
  <c r="F3382" i="2"/>
  <c r="E3382" i="2"/>
  <c r="G3381" i="2"/>
  <c r="F3381" i="2"/>
  <c r="E3381" i="2"/>
  <c r="G3380" i="2"/>
  <c r="F3380" i="2"/>
  <c r="E3380" i="2"/>
  <c r="G3379" i="2"/>
  <c r="F3379" i="2"/>
  <c r="E3379" i="2"/>
  <c r="G3378" i="2"/>
  <c r="F3378" i="2"/>
  <c r="E3378" i="2"/>
  <c r="G3377" i="2"/>
  <c r="F3377" i="2"/>
  <c r="E3377" i="2"/>
  <c r="G3376" i="2"/>
  <c r="F3376" i="2"/>
  <c r="E3376" i="2"/>
  <c r="G3375" i="2"/>
  <c r="F3375" i="2"/>
  <c r="E3375" i="2"/>
  <c r="G3374" i="2"/>
  <c r="F3374" i="2"/>
  <c r="E3374" i="2"/>
  <c r="G3373" i="2"/>
  <c r="F3373" i="2"/>
  <c r="E3373" i="2"/>
  <c r="G3372" i="2"/>
  <c r="F3372" i="2"/>
  <c r="E3372" i="2"/>
  <c r="G3371" i="2"/>
  <c r="F3371" i="2"/>
  <c r="E3371" i="2"/>
  <c r="G3370" i="2"/>
  <c r="F3370" i="2"/>
  <c r="E3370" i="2"/>
  <c r="G3369" i="2"/>
  <c r="F3369" i="2"/>
  <c r="E3369" i="2"/>
  <c r="G3368" i="2"/>
  <c r="F3368" i="2"/>
  <c r="E3368" i="2"/>
  <c r="G3367" i="2"/>
  <c r="F3367" i="2"/>
  <c r="E3367" i="2"/>
  <c r="G3366" i="2"/>
  <c r="F3366" i="2"/>
  <c r="E3366" i="2"/>
  <c r="G3365" i="2"/>
  <c r="F3365" i="2"/>
  <c r="E3365" i="2"/>
  <c r="G3364" i="2"/>
  <c r="F3364" i="2"/>
  <c r="E3364" i="2"/>
  <c r="G3363" i="2"/>
  <c r="F3363" i="2"/>
  <c r="E3363" i="2"/>
  <c r="G3362" i="2"/>
  <c r="F3362" i="2"/>
  <c r="E3362" i="2"/>
  <c r="G3361" i="2"/>
  <c r="F3361" i="2"/>
  <c r="E3361" i="2"/>
  <c r="G3360" i="2"/>
  <c r="F3360" i="2"/>
  <c r="E3360" i="2"/>
  <c r="G3359" i="2"/>
  <c r="F3359" i="2"/>
  <c r="E3359" i="2"/>
  <c r="G3358" i="2"/>
  <c r="F3358" i="2"/>
  <c r="E3358" i="2"/>
  <c r="G3357" i="2"/>
  <c r="F3357" i="2"/>
  <c r="E3357" i="2"/>
  <c r="G3356" i="2"/>
  <c r="F3356" i="2"/>
  <c r="E3356" i="2"/>
  <c r="G3355" i="2"/>
  <c r="F3355" i="2"/>
  <c r="E3355" i="2"/>
  <c r="G3354" i="2"/>
  <c r="F3354" i="2"/>
  <c r="E3354" i="2"/>
  <c r="G3353" i="2"/>
  <c r="F3353" i="2"/>
  <c r="E3353" i="2"/>
  <c r="G3352" i="2"/>
  <c r="F3352" i="2"/>
  <c r="E3352" i="2"/>
  <c r="G3351" i="2"/>
  <c r="F3351" i="2"/>
  <c r="E3351" i="2"/>
  <c r="G3350" i="2"/>
  <c r="F3350" i="2"/>
  <c r="E3350" i="2"/>
  <c r="G3349" i="2"/>
  <c r="F3349" i="2"/>
  <c r="E3349" i="2"/>
  <c r="G3348" i="2"/>
  <c r="F3348" i="2"/>
  <c r="E3348" i="2"/>
  <c r="G3347" i="2"/>
  <c r="F3347" i="2"/>
  <c r="E3347" i="2"/>
  <c r="G3346" i="2"/>
  <c r="F3346" i="2"/>
  <c r="E3346" i="2"/>
  <c r="G3345" i="2"/>
  <c r="F3345" i="2"/>
  <c r="E3345" i="2"/>
  <c r="G3344" i="2"/>
  <c r="F3344" i="2"/>
  <c r="E3344" i="2"/>
  <c r="G3343" i="2"/>
  <c r="F3343" i="2"/>
  <c r="E3343" i="2"/>
  <c r="G3342" i="2"/>
  <c r="F3342" i="2"/>
  <c r="E3342" i="2"/>
  <c r="G3341" i="2"/>
  <c r="F3341" i="2"/>
  <c r="E3341" i="2"/>
  <c r="G3340" i="2"/>
  <c r="F3340" i="2"/>
  <c r="E3340" i="2"/>
  <c r="G3339" i="2"/>
  <c r="F3339" i="2"/>
  <c r="E3339" i="2"/>
  <c r="G3338" i="2"/>
  <c r="F3338" i="2"/>
  <c r="E3338" i="2"/>
  <c r="G3337" i="2"/>
  <c r="F3337" i="2"/>
  <c r="E3337" i="2"/>
  <c r="G3336" i="2"/>
  <c r="F3336" i="2"/>
  <c r="E3336" i="2"/>
  <c r="G3335" i="2"/>
  <c r="F3335" i="2"/>
  <c r="E3335" i="2"/>
  <c r="G3334" i="2"/>
  <c r="F3334" i="2"/>
  <c r="E3334" i="2"/>
  <c r="G3333" i="2"/>
  <c r="F3333" i="2"/>
  <c r="E3333" i="2"/>
  <c r="G3332" i="2"/>
  <c r="F3332" i="2"/>
  <c r="E3332" i="2"/>
  <c r="G3331" i="2"/>
  <c r="F3331" i="2"/>
  <c r="E3331" i="2"/>
  <c r="G3330" i="2"/>
  <c r="F3330" i="2"/>
  <c r="E3330" i="2"/>
  <c r="G3329" i="2"/>
  <c r="F3329" i="2"/>
  <c r="E3329" i="2"/>
  <c r="G3328" i="2"/>
  <c r="F3328" i="2"/>
  <c r="E3328" i="2"/>
  <c r="G3327" i="2"/>
  <c r="F3327" i="2"/>
  <c r="E3327" i="2"/>
  <c r="G3326" i="2"/>
  <c r="F3326" i="2"/>
  <c r="E3326" i="2"/>
  <c r="G3325" i="2"/>
  <c r="F3325" i="2"/>
  <c r="E3325" i="2"/>
  <c r="G3324" i="2"/>
  <c r="F3324" i="2"/>
  <c r="E3324" i="2"/>
  <c r="G3323" i="2"/>
  <c r="F3323" i="2"/>
  <c r="E3323" i="2"/>
  <c r="G3322" i="2"/>
  <c r="F3322" i="2"/>
  <c r="E3322" i="2"/>
  <c r="G3321" i="2"/>
  <c r="F3321" i="2"/>
  <c r="E3321" i="2"/>
  <c r="G3320" i="2"/>
  <c r="F3320" i="2"/>
  <c r="E3320" i="2"/>
  <c r="G3319" i="2"/>
  <c r="F3319" i="2"/>
  <c r="E3319" i="2"/>
  <c r="G3318" i="2"/>
  <c r="F3318" i="2"/>
  <c r="E3318" i="2"/>
  <c r="G3317" i="2"/>
  <c r="F3317" i="2"/>
  <c r="E3317" i="2"/>
  <c r="G3316" i="2"/>
  <c r="F3316" i="2"/>
  <c r="E3316" i="2"/>
  <c r="G3315" i="2"/>
  <c r="F3315" i="2"/>
  <c r="E3315" i="2"/>
  <c r="G3314" i="2"/>
  <c r="F3314" i="2"/>
  <c r="E3314" i="2"/>
  <c r="G3313" i="2"/>
  <c r="F3313" i="2"/>
  <c r="E3313" i="2"/>
  <c r="G3312" i="2"/>
  <c r="F3312" i="2"/>
  <c r="E3312" i="2"/>
  <c r="G3311" i="2"/>
  <c r="F3311" i="2"/>
  <c r="E3311" i="2"/>
  <c r="G3310" i="2"/>
  <c r="F3310" i="2"/>
  <c r="E3310" i="2"/>
  <c r="G3309" i="2"/>
  <c r="F3309" i="2"/>
  <c r="E3309" i="2"/>
  <c r="G3308" i="2"/>
  <c r="F3308" i="2"/>
  <c r="E3308" i="2"/>
  <c r="G3307" i="2"/>
  <c r="F3307" i="2"/>
  <c r="E3307" i="2"/>
  <c r="G3306" i="2"/>
  <c r="F3306" i="2"/>
  <c r="E3306" i="2"/>
  <c r="G3305" i="2"/>
  <c r="F3305" i="2"/>
  <c r="E3305" i="2"/>
  <c r="G3304" i="2"/>
  <c r="F3304" i="2"/>
  <c r="E3304" i="2"/>
  <c r="G3303" i="2"/>
  <c r="F3303" i="2"/>
  <c r="E3303" i="2"/>
  <c r="G3302" i="2"/>
  <c r="F3302" i="2"/>
  <c r="E3302" i="2"/>
  <c r="G3301" i="2"/>
  <c r="F3301" i="2"/>
  <c r="E3301" i="2"/>
  <c r="G3300" i="2"/>
  <c r="F3300" i="2"/>
  <c r="E3300" i="2"/>
  <c r="G3299" i="2"/>
  <c r="F3299" i="2"/>
  <c r="E3299" i="2"/>
  <c r="G3298" i="2"/>
  <c r="F3298" i="2"/>
  <c r="E3298" i="2"/>
  <c r="G3297" i="2"/>
  <c r="F3297" i="2"/>
  <c r="E3297" i="2"/>
  <c r="G3296" i="2"/>
  <c r="F3296" i="2"/>
  <c r="E3296" i="2"/>
  <c r="G3295" i="2"/>
  <c r="F3295" i="2"/>
  <c r="E3295" i="2"/>
  <c r="G3294" i="2"/>
  <c r="F3294" i="2"/>
  <c r="E3294" i="2"/>
  <c r="G3293" i="2"/>
  <c r="F3293" i="2"/>
  <c r="E3293" i="2"/>
  <c r="G3292" i="2"/>
  <c r="F3292" i="2"/>
  <c r="E3292" i="2"/>
  <c r="G3291" i="2"/>
  <c r="F3291" i="2"/>
  <c r="E3291" i="2"/>
  <c r="G3290" i="2"/>
  <c r="F3290" i="2"/>
  <c r="E3290" i="2"/>
  <c r="G3289" i="2"/>
  <c r="F3289" i="2"/>
  <c r="E3289" i="2"/>
  <c r="G3288" i="2"/>
  <c r="F3288" i="2"/>
  <c r="E3288" i="2"/>
  <c r="G3287" i="2"/>
  <c r="F3287" i="2"/>
  <c r="E3287" i="2"/>
  <c r="G3286" i="2"/>
  <c r="F3286" i="2"/>
  <c r="E3286" i="2"/>
  <c r="G3285" i="2"/>
  <c r="F3285" i="2"/>
  <c r="E3285" i="2"/>
  <c r="G3284" i="2"/>
  <c r="F3284" i="2"/>
  <c r="E3284" i="2"/>
  <c r="G3283" i="2"/>
  <c r="F3283" i="2"/>
  <c r="E3283" i="2"/>
  <c r="G3282" i="2"/>
  <c r="F3282" i="2"/>
  <c r="E3282" i="2"/>
  <c r="G3281" i="2"/>
  <c r="F3281" i="2"/>
  <c r="E3281" i="2"/>
  <c r="G3280" i="2"/>
  <c r="F3280" i="2"/>
  <c r="E3280" i="2"/>
  <c r="G3279" i="2"/>
  <c r="F3279" i="2"/>
  <c r="E3279" i="2"/>
  <c r="G3278" i="2"/>
  <c r="F3278" i="2"/>
  <c r="E3278" i="2"/>
  <c r="G3277" i="2"/>
  <c r="F3277" i="2"/>
  <c r="E3277" i="2"/>
  <c r="G3276" i="2"/>
  <c r="F3276" i="2"/>
  <c r="E3276" i="2"/>
  <c r="G3275" i="2"/>
  <c r="F3275" i="2"/>
  <c r="E3275" i="2"/>
  <c r="G3274" i="2"/>
  <c r="F3274" i="2"/>
  <c r="E3274" i="2"/>
  <c r="G3273" i="2"/>
  <c r="F3273" i="2"/>
  <c r="E3273" i="2"/>
  <c r="G3272" i="2"/>
  <c r="F3272" i="2"/>
  <c r="E3272" i="2"/>
  <c r="G3271" i="2"/>
  <c r="F3271" i="2"/>
  <c r="E3271" i="2"/>
  <c r="G3270" i="2"/>
  <c r="F3270" i="2"/>
  <c r="E3270" i="2"/>
  <c r="G3269" i="2"/>
  <c r="F3269" i="2"/>
  <c r="E3269" i="2"/>
  <c r="G3268" i="2"/>
  <c r="F3268" i="2"/>
  <c r="E3268" i="2"/>
  <c r="G3267" i="2"/>
  <c r="F3267" i="2"/>
  <c r="E3267" i="2"/>
  <c r="G3266" i="2"/>
  <c r="F3266" i="2"/>
  <c r="E3266" i="2"/>
  <c r="G3265" i="2"/>
  <c r="F3265" i="2"/>
  <c r="E3265" i="2"/>
  <c r="G3264" i="2"/>
  <c r="F3264" i="2"/>
  <c r="E3264" i="2"/>
  <c r="G3263" i="2"/>
  <c r="F3263" i="2"/>
  <c r="E3263" i="2"/>
  <c r="G3262" i="2"/>
  <c r="F3262" i="2"/>
  <c r="E3262" i="2"/>
  <c r="G3261" i="2"/>
  <c r="F3261" i="2"/>
  <c r="E3261" i="2"/>
  <c r="G3260" i="2"/>
  <c r="F3260" i="2"/>
  <c r="E3260" i="2"/>
  <c r="G3259" i="2"/>
  <c r="F3259" i="2"/>
  <c r="E3259" i="2"/>
  <c r="G3258" i="2"/>
  <c r="F3258" i="2"/>
  <c r="E3258" i="2"/>
  <c r="G3257" i="2"/>
  <c r="F3257" i="2"/>
  <c r="E3257" i="2"/>
  <c r="G3256" i="2"/>
  <c r="F3256" i="2"/>
  <c r="E3256" i="2"/>
  <c r="G3255" i="2"/>
  <c r="F3255" i="2"/>
  <c r="E3255" i="2"/>
  <c r="G3254" i="2"/>
  <c r="F3254" i="2"/>
  <c r="E3254" i="2"/>
  <c r="G3253" i="2"/>
  <c r="F3253" i="2"/>
  <c r="E3253" i="2"/>
  <c r="G3252" i="2"/>
  <c r="F3252" i="2"/>
  <c r="E3252" i="2"/>
  <c r="G3251" i="2"/>
  <c r="F3251" i="2"/>
  <c r="E3251" i="2"/>
  <c r="G3250" i="2"/>
  <c r="F3250" i="2"/>
  <c r="E3250" i="2"/>
  <c r="G3249" i="2"/>
  <c r="F3249" i="2"/>
  <c r="E3249" i="2"/>
  <c r="G3248" i="2"/>
  <c r="F3248" i="2"/>
  <c r="E3248" i="2"/>
  <c r="G3247" i="2"/>
  <c r="F3247" i="2"/>
  <c r="E3247" i="2"/>
  <c r="G3246" i="2"/>
  <c r="F3246" i="2"/>
  <c r="E3246" i="2"/>
  <c r="G3245" i="2"/>
  <c r="F3245" i="2"/>
  <c r="E3245" i="2"/>
  <c r="G3244" i="2"/>
  <c r="F3244" i="2"/>
  <c r="E3244" i="2"/>
  <c r="G3243" i="2"/>
  <c r="F3243" i="2"/>
  <c r="E3243" i="2"/>
  <c r="G3242" i="2"/>
  <c r="F3242" i="2"/>
  <c r="E3242" i="2"/>
  <c r="G3241" i="2"/>
  <c r="F3241" i="2"/>
  <c r="E3241" i="2"/>
  <c r="G3240" i="2"/>
  <c r="F3240" i="2"/>
  <c r="E3240" i="2"/>
  <c r="G3239" i="2"/>
  <c r="F3239" i="2"/>
  <c r="E3239" i="2"/>
  <c r="G3238" i="2"/>
  <c r="F3238" i="2"/>
  <c r="E3238" i="2"/>
  <c r="G3237" i="2"/>
  <c r="F3237" i="2"/>
  <c r="E3237" i="2"/>
  <c r="G3236" i="2"/>
  <c r="F3236" i="2"/>
  <c r="E3236" i="2"/>
  <c r="G3235" i="2"/>
  <c r="F3235" i="2"/>
  <c r="E3235" i="2"/>
  <c r="G3234" i="2"/>
  <c r="F3234" i="2"/>
  <c r="E3234" i="2"/>
  <c r="G3233" i="2"/>
  <c r="F3233" i="2"/>
  <c r="E3233" i="2"/>
  <c r="G3232" i="2"/>
  <c r="F3232" i="2"/>
  <c r="E3232" i="2"/>
  <c r="G3231" i="2"/>
  <c r="F3231" i="2"/>
  <c r="E3231" i="2"/>
  <c r="G3230" i="2"/>
  <c r="F3230" i="2"/>
  <c r="E3230" i="2"/>
  <c r="G3229" i="2"/>
  <c r="F3229" i="2"/>
  <c r="E3229" i="2"/>
  <c r="G3228" i="2"/>
  <c r="F3228" i="2"/>
  <c r="E3228" i="2"/>
  <c r="G3227" i="2"/>
  <c r="F3227" i="2"/>
  <c r="E3227" i="2"/>
  <c r="G3226" i="2"/>
  <c r="F3226" i="2"/>
  <c r="E3226" i="2"/>
  <c r="G3225" i="2"/>
  <c r="F3225" i="2"/>
  <c r="E3225" i="2"/>
  <c r="G3224" i="2"/>
  <c r="F3224" i="2"/>
  <c r="E3224" i="2"/>
  <c r="G3223" i="2"/>
  <c r="F3223" i="2"/>
  <c r="E3223" i="2"/>
  <c r="G3222" i="2"/>
  <c r="F3222" i="2"/>
  <c r="E3222" i="2"/>
  <c r="G3221" i="2"/>
  <c r="F3221" i="2"/>
  <c r="E3221" i="2"/>
  <c r="G3220" i="2"/>
  <c r="F3220" i="2"/>
  <c r="E3220" i="2"/>
  <c r="G3219" i="2"/>
  <c r="F3219" i="2"/>
  <c r="E3219" i="2"/>
  <c r="G3218" i="2"/>
  <c r="F3218" i="2"/>
  <c r="E3218" i="2"/>
  <c r="G3217" i="2"/>
  <c r="F3217" i="2"/>
  <c r="E3217" i="2"/>
  <c r="G3216" i="2"/>
  <c r="F3216" i="2"/>
  <c r="E3216" i="2"/>
  <c r="G3215" i="2"/>
  <c r="F3215" i="2"/>
  <c r="E3215" i="2"/>
  <c r="G3214" i="2"/>
  <c r="F3214" i="2"/>
  <c r="E3214" i="2"/>
  <c r="G3213" i="2"/>
  <c r="F3213" i="2"/>
  <c r="E3213" i="2"/>
  <c r="G3212" i="2"/>
  <c r="F3212" i="2"/>
  <c r="E3212" i="2"/>
  <c r="G3211" i="2"/>
  <c r="F3211" i="2"/>
  <c r="E3211" i="2"/>
  <c r="G3210" i="2"/>
  <c r="F3210" i="2"/>
  <c r="E3210" i="2"/>
  <c r="G3209" i="2"/>
  <c r="F3209" i="2"/>
  <c r="E3209" i="2"/>
  <c r="G3208" i="2"/>
  <c r="F3208" i="2"/>
  <c r="E3208" i="2"/>
  <c r="G3207" i="2"/>
  <c r="F3207" i="2"/>
  <c r="E3207" i="2"/>
  <c r="G3206" i="2"/>
  <c r="F3206" i="2"/>
  <c r="E3206" i="2"/>
  <c r="G3205" i="2"/>
  <c r="F3205" i="2"/>
  <c r="E3205" i="2"/>
  <c r="G3204" i="2"/>
  <c r="F3204" i="2"/>
  <c r="E3204" i="2"/>
  <c r="G3203" i="2"/>
  <c r="F3203" i="2"/>
  <c r="E3203" i="2"/>
  <c r="G3202" i="2"/>
  <c r="F3202" i="2"/>
  <c r="E3202" i="2"/>
  <c r="G3201" i="2"/>
  <c r="F3201" i="2"/>
  <c r="E3201" i="2"/>
  <c r="G3200" i="2"/>
  <c r="F3200" i="2"/>
  <c r="E3200" i="2"/>
  <c r="G3199" i="2"/>
  <c r="F3199" i="2"/>
  <c r="E3199" i="2"/>
  <c r="G3198" i="2"/>
  <c r="F3198" i="2"/>
  <c r="E3198" i="2"/>
  <c r="G3197" i="2"/>
  <c r="F3197" i="2"/>
  <c r="E3197" i="2"/>
  <c r="G3196" i="2"/>
  <c r="F3196" i="2"/>
  <c r="E3196" i="2"/>
  <c r="G3195" i="2"/>
  <c r="F3195" i="2"/>
  <c r="E3195" i="2"/>
  <c r="G3194" i="2"/>
  <c r="F3194" i="2"/>
  <c r="E3194" i="2"/>
  <c r="G3193" i="2"/>
  <c r="F3193" i="2"/>
  <c r="E3193" i="2"/>
  <c r="G3192" i="2"/>
  <c r="F3192" i="2"/>
  <c r="E3192" i="2"/>
  <c r="G3191" i="2"/>
  <c r="F3191" i="2"/>
  <c r="E3191" i="2"/>
  <c r="G3190" i="2"/>
  <c r="F3190" i="2"/>
  <c r="E3190" i="2"/>
  <c r="G3189" i="2"/>
  <c r="F3189" i="2"/>
  <c r="E3189" i="2"/>
  <c r="G3188" i="2"/>
  <c r="F3188" i="2"/>
  <c r="E3188" i="2"/>
  <c r="G3187" i="2"/>
  <c r="F3187" i="2"/>
  <c r="E3187" i="2"/>
  <c r="G3186" i="2"/>
  <c r="F3186" i="2"/>
  <c r="E3186" i="2"/>
  <c r="G3185" i="2"/>
  <c r="F3185" i="2"/>
  <c r="E3185" i="2"/>
  <c r="G3184" i="2"/>
  <c r="F3184" i="2"/>
  <c r="E3184" i="2"/>
  <c r="G3183" i="2"/>
  <c r="F3183" i="2"/>
  <c r="E3183" i="2"/>
  <c r="G3182" i="2"/>
  <c r="F3182" i="2"/>
  <c r="E3182" i="2"/>
  <c r="G3181" i="2"/>
  <c r="F3181" i="2"/>
  <c r="E3181" i="2"/>
  <c r="G3180" i="2"/>
  <c r="F3180" i="2"/>
  <c r="E3180" i="2"/>
  <c r="G3179" i="2"/>
  <c r="F3179" i="2"/>
  <c r="E3179" i="2"/>
  <c r="G3178" i="2"/>
  <c r="F3178" i="2"/>
  <c r="E3178" i="2"/>
  <c r="G3177" i="2"/>
  <c r="F3177" i="2"/>
  <c r="E3177" i="2"/>
  <c r="G3176" i="2"/>
  <c r="F3176" i="2"/>
  <c r="E3176" i="2"/>
  <c r="G3175" i="2"/>
  <c r="F3175" i="2"/>
  <c r="E3175" i="2"/>
  <c r="G3174" i="2"/>
  <c r="F3174" i="2"/>
  <c r="E3174" i="2"/>
  <c r="G3173" i="2"/>
  <c r="F3173" i="2"/>
  <c r="E3173" i="2"/>
  <c r="G3172" i="2"/>
  <c r="F3172" i="2"/>
  <c r="E3172" i="2"/>
  <c r="G3171" i="2"/>
  <c r="F3171" i="2"/>
  <c r="E3171" i="2"/>
  <c r="G3170" i="2"/>
  <c r="F3170" i="2"/>
  <c r="E3170" i="2"/>
  <c r="G3169" i="2"/>
  <c r="F3169" i="2"/>
  <c r="E3169" i="2"/>
  <c r="G3168" i="2"/>
  <c r="F3168" i="2"/>
  <c r="E3168" i="2"/>
  <c r="G3167" i="2"/>
  <c r="F3167" i="2"/>
  <c r="E3167" i="2"/>
  <c r="G3166" i="2"/>
  <c r="F3166" i="2"/>
  <c r="E3166" i="2"/>
  <c r="G3165" i="2"/>
  <c r="F3165" i="2"/>
  <c r="E3165" i="2"/>
  <c r="G3164" i="2"/>
  <c r="F3164" i="2"/>
  <c r="E3164" i="2"/>
  <c r="G3163" i="2"/>
  <c r="F3163" i="2"/>
  <c r="E3163" i="2"/>
  <c r="G3162" i="2"/>
  <c r="F3162" i="2"/>
  <c r="E3162" i="2"/>
  <c r="G3161" i="2"/>
  <c r="F3161" i="2"/>
  <c r="E3161" i="2"/>
  <c r="G3160" i="2"/>
  <c r="F3160" i="2"/>
  <c r="E3160" i="2"/>
  <c r="G3159" i="2"/>
  <c r="F3159" i="2"/>
  <c r="E3159" i="2"/>
  <c r="G3158" i="2"/>
  <c r="F3158" i="2"/>
  <c r="E3158" i="2"/>
  <c r="G3157" i="2"/>
  <c r="F3157" i="2"/>
  <c r="E3157" i="2"/>
  <c r="G3156" i="2"/>
  <c r="F3156" i="2"/>
  <c r="E3156" i="2"/>
  <c r="G3155" i="2"/>
  <c r="F3155" i="2"/>
  <c r="E3155" i="2"/>
  <c r="G3154" i="2"/>
  <c r="F3154" i="2"/>
  <c r="E3154" i="2"/>
  <c r="G3153" i="2"/>
  <c r="F3153" i="2"/>
  <c r="E3153" i="2"/>
  <c r="G3152" i="2"/>
  <c r="F3152" i="2"/>
  <c r="E3152" i="2"/>
  <c r="G3151" i="2"/>
  <c r="F3151" i="2"/>
  <c r="E3151" i="2"/>
  <c r="G3150" i="2"/>
  <c r="F3150" i="2"/>
  <c r="E3150" i="2"/>
  <c r="G3149" i="2"/>
  <c r="F3149" i="2"/>
  <c r="E3149" i="2"/>
  <c r="G3148" i="2"/>
  <c r="F3148" i="2"/>
  <c r="E3148" i="2"/>
  <c r="G3147" i="2"/>
  <c r="F3147" i="2"/>
  <c r="E3147" i="2"/>
  <c r="G3146" i="2"/>
  <c r="F3146" i="2"/>
  <c r="E3146" i="2"/>
  <c r="G3145" i="2"/>
  <c r="F3145" i="2"/>
  <c r="E3145" i="2"/>
  <c r="G3144" i="2"/>
  <c r="F3144" i="2"/>
  <c r="E3144" i="2"/>
  <c r="G3143" i="2"/>
  <c r="F3143" i="2"/>
  <c r="E3143" i="2"/>
  <c r="G3142" i="2"/>
  <c r="F3142" i="2"/>
  <c r="E3142" i="2"/>
  <c r="G3141" i="2"/>
  <c r="F3141" i="2"/>
  <c r="E3141" i="2"/>
  <c r="G3140" i="2"/>
  <c r="F3140" i="2"/>
  <c r="E3140" i="2"/>
  <c r="G3139" i="2"/>
  <c r="F3139" i="2"/>
  <c r="E3139" i="2"/>
  <c r="G3138" i="2"/>
  <c r="F3138" i="2"/>
  <c r="E3138" i="2"/>
  <c r="G3137" i="2"/>
  <c r="F3137" i="2"/>
  <c r="E3137" i="2"/>
  <c r="G3136" i="2"/>
  <c r="F3136" i="2"/>
  <c r="E3136" i="2"/>
  <c r="G3135" i="2"/>
  <c r="F3135" i="2"/>
  <c r="E3135" i="2"/>
  <c r="G3134" i="2"/>
  <c r="F3134" i="2"/>
  <c r="E3134" i="2"/>
  <c r="G3133" i="2"/>
  <c r="F3133" i="2"/>
  <c r="E3133" i="2"/>
  <c r="G3132" i="2"/>
  <c r="F3132" i="2"/>
  <c r="E3132" i="2"/>
  <c r="G3131" i="2"/>
  <c r="F3131" i="2"/>
  <c r="E3131" i="2"/>
  <c r="G3130" i="2"/>
  <c r="F3130" i="2"/>
  <c r="E3130" i="2"/>
  <c r="G3129" i="2"/>
  <c r="F3129" i="2"/>
  <c r="E3129" i="2"/>
  <c r="G3128" i="2"/>
  <c r="F3128" i="2"/>
  <c r="E3128" i="2"/>
  <c r="G3127" i="2"/>
  <c r="F3127" i="2"/>
  <c r="E3127" i="2"/>
  <c r="G3126" i="2"/>
  <c r="F3126" i="2"/>
  <c r="E3126" i="2"/>
  <c r="G3125" i="2"/>
  <c r="F3125" i="2"/>
  <c r="E3125" i="2"/>
  <c r="G3124" i="2"/>
  <c r="F3124" i="2"/>
  <c r="E3124" i="2"/>
  <c r="G3123" i="2"/>
  <c r="F3123" i="2"/>
  <c r="E3123" i="2"/>
  <c r="G3122" i="2"/>
  <c r="F3122" i="2"/>
  <c r="E3122" i="2"/>
  <c r="G3121" i="2"/>
  <c r="F3121" i="2"/>
  <c r="E3121" i="2"/>
  <c r="G3120" i="2"/>
  <c r="F3120" i="2"/>
  <c r="E3120" i="2"/>
  <c r="G3119" i="2"/>
  <c r="F3119" i="2"/>
  <c r="E3119" i="2"/>
  <c r="G3118" i="2"/>
  <c r="F3118" i="2"/>
  <c r="E3118" i="2"/>
  <c r="G3117" i="2"/>
  <c r="F3117" i="2"/>
  <c r="E3117" i="2"/>
  <c r="G3116" i="2"/>
  <c r="F3116" i="2"/>
  <c r="E3116" i="2"/>
  <c r="G3115" i="2"/>
  <c r="F3115" i="2"/>
  <c r="E3115" i="2"/>
  <c r="G3114" i="2"/>
  <c r="F3114" i="2"/>
  <c r="E3114" i="2"/>
  <c r="G3113" i="2"/>
  <c r="F3113" i="2"/>
  <c r="E3113" i="2"/>
  <c r="G3112" i="2"/>
  <c r="F3112" i="2"/>
  <c r="E3112" i="2"/>
  <c r="G3111" i="2"/>
  <c r="F3111" i="2"/>
  <c r="E3111" i="2"/>
  <c r="G3110" i="2"/>
  <c r="F3110" i="2"/>
  <c r="E3110" i="2"/>
  <c r="G3109" i="2"/>
  <c r="F3109" i="2"/>
  <c r="E3109" i="2"/>
  <c r="G3108" i="2"/>
  <c r="F3108" i="2"/>
  <c r="E3108" i="2"/>
  <c r="G3107" i="2"/>
  <c r="F3107" i="2"/>
  <c r="E3107" i="2"/>
  <c r="G3106" i="2"/>
  <c r="F3106" i="2"/>
  <c r="E3106" i="2"/>
  <c r="G3105" i="2"/>
  <c r="F3105" i="2"/>
  <c r="E3105" i="2"/>
  <c r="G3104" i="2"/>
  <c r="F3104" i="2"/>
  <c r="E3104" i="2"/>
  <c r="G3103" i="2"/>
  <c r="F3103" i="2"/>
  <c r="E3103" i="2"/>
  <c r="G3102" i="2"/>
  <c r="F3102" i="2"/>
  <c r="E3102" i="2"/>
  <c r="G3101" i="2"/>
  <c r="F3101" i="2"/>
  <c r="E3101" i="2"/>
  <c r="G3100" i="2"/>
  <c r="F3100" i="2"/>
  <c r="E3100" i="2"/>
  <c r="G3099" i="2"/>
  <c r="F3099" i="2"/>
  <c r="E3099" i="2"/>
  <c r="G3098" i="2"/>
  <c r="F3098" i="2"/>
  <c r="E3098" i="2"/>
  <c r="G3097" i="2"/>
  <c r="F3097" i="2"/>
  <c r="E3097" i="2"/>
  <c r="G3096" i="2"/>
  <c r="F3096" i="2"/>
  <c r="E3096" i="2"/>
  <c r="G3095" i="2"/>
  <c r="F3095" i="2"/>
  <c r="E3095" i="2"/>
  <c r="G3094" i="2"/>
  <c r="F3094" i="2"/>
  <c r="E3094" i="2"/>
  <c r="G3093" i="2"/>
  <c r="F3093" i="2"/>
  <c r="E3093" i="2"/>
  <c r="G3092" i="2"/>
  <c r="F3092" i="2"/>
  <c r="E3092" i="2"/>
  <c r="G3091" i="2"/>
  <c r="F3091" i="2"/>
  <c r="E3091" i="2"/>
  <c r="G3090" i="2"/>
  <c r="F3090" i="2"/>
  <c r="E3090" i="2"/>
  <c r="G3089" i="2"/>
  <c r="F3089" i="2"/>
  <c r="E3089" i="2"/>
  <c r="G3088" i="2"/>
  <c r="F3088" i="2"/>
  <c r="E3088" i="2"/>
  <c r="G3087" i="2"/>
  <c r="F3087" i="2"/>
  <c r="E3087" i="2"/>
  <c r="G3086" i="2"/>
  <c r="F3086" i="2"/>
  <c r="E3086" i="2"/>
  <c r="G3085" i="2"/>
  <c r="F3085" i="2"/>
  <c r="E3085" i="2"/>
  <c r="G3084" i="2"/>
  <c r="F3084" i="2"/>
  <c r="E3084" i="2"/>
  <c r="G3083" i="2"/>
  <c r="F3083" i="2"/>
  <c r="E3083" i="2"/>
  <c r="G3082" i="2"/>
  <c r="F3082" i="2"/>
  <c r="E3082" i="2"/>
  <c r="G3081" i="2"/>
  <c r="F3081" i="2"/>
  <c r="E3081" i="2"/>
  <c r="G3080" i="2"/>
  <c r="F3080" i="2"/>
  <c r="E3080" i="2"/>
  <c r="G3079" i="2"/>
  <c r="F3079" i="2"/>
  <c r="E3079" i="2"/>
  <c r="G3078" i="2"/>
  <c r="F3078" i="2"/>
  <c r="E3078" i="2"/>
  <c r="G3077" i="2"/>
  <c r="F3077" i="2"/>
  <c r="E3077" i="2"/>
  <c r="G3076" i="2"/>
  <c r="F3076" i="2"/>
  <c r="E3076" i="2"/>
  <c r="G3075" i="2"/>
  <c r="F3075" i="2"/>
  <c r="E3075" i="2"/>
  <c r="G3074" i="2"/>
  <c r="F3074" i="2"/>
  <c r="E3074" i="2"/>
  <c r="G3073" i="2"/>
  <c r="F3073" i="2"/>
  <c r="E3073" i="2"/>
  <c r="G3072" i="2"/>
  <c r="F3072" i="2"/>
  <c r="E3072" i="2"/>
  <c r="G3071" i="2"/>
  <c r="F3071" i="2"/>
  <c r="E3071" i="2"/>
  <c r="G3070" i="2"/>
  <c r="F3070" i="2"/>
  <c r="E3070" i="2"/>
  <c r="G3069" i="2"/>
  <c r="F3069" i="2"/>
  <c r="E3069" i="2"/>
  <c r="G3068" i="2"/>
  <c r="F3068" i="2"/>
  <c r="E3068" i="2"/>
  <c r="G3067" i="2"/>
  <c r="F3067" i="2"/>
  <c r="E3067" i="2"/>
  <c r="G3066" i="2"/>
  <c r="F3066" i="2"/>
  <c r="E3066" i="2"/>
  <c r="G3065" i="2"/>
  <c r="F3065" i="2"/>
  <c r="E3065" i="2"/>
  <c r="G3064" i="2"/>
  <c r="F3064" i="2"/>
  <c r="E3064" i="2"/>
  <c r="G3063" i="2"/>
  <c r="F3063" i="2"/>
  <c r="E3063" i="2"/>
  <c r="G3062" i="2"/>
  <c r="F3062" i="2"/>
  <c r="E3062" i="2"/>
  <c r="G3061" i="2"/>
  <c r="F3061" i="2"/>
  <c r="E3061" i="2"/>
  <c r="G3060" i="2"/>
  <c r="F3060" i="2"/>
  <c r="E3060" i="2"/>
  <c r="G3059" i="2"/>
  <c r="F3059" i="2"/>
  <c r="E3059" i="2"/>
  <c r="G3058" i="2"/>
  <c r="F3058" i="2"/>
  <c r="E3058" i="2"/>
  <c r="G3057" i="2"/>
  <c r="F3057" i="2"/>
  <c r="E3057" i="2"/>
  <c r="G3056" i="2"/>
  <c r="F3056" i="2"/>
  <c r="E3056" i="2"/>
  <c r="G3055" i="2"/>
  <c r="F3055" i="2"/>
  <c r="E3055" i="2"/>
  <c r="G3054" i="2"/>
  <c r="F3054" i="2"/>
  <c r="E3054" i="2"/>
  <c r="G3053" i="2"/>
  <c r="F3053" i="2"/>
  <c r="E3053" i="2"/>
  <c r="G3052" i="2"/>
  <c r="F3052" i="2"/>
  <c r="E3052" i="2"/>
  <c r="G3051" i="2"/>
  <c r="F3051" i="2"/>
  <c r="E3051" i="2"/>
  <c r="G3050" i="2"/>
  <c r="F3050" i="2"/>
  <c r="E3050" i="2"/>
  <c r="G3049" i="2"/>
  <c r="F3049" i="2"/>
  <c r="E3049" i="2"/>
  <c r="G3048" i="2"/>
  <c r="F3048" i="2"/>
  <c r="E3048" i="2"/>
  <c r="G3047" i="2"/>
  <c r="F3047" i="2"/>
  <c r="E3047" i="2"/>
  <c r="G3046" i="2"/>
  <c r="F3046" i="2"/>
  <c r="E3046" i="2"/>
  <c r="G3045" i="2"/>
  <c r="F3045" i="2"/>
  <c r="E3045" i="2"/>
  <c r="G3044" i="2"/>
  <c r="F3044" i="2"/>
  <c r="E3044" i="2"/>
  <c r="G3043" i="2"/>
  <c r="F3043" i="2"/>
  <c r="E3043" i="2"/>
  <c r="G3042" i="2"/>
  <c r="F3042" i="2"/>
  <c r="E3042" i="2"/>
  <c r="G3041" i="2"/>
  <c r="F3041" i="2"/>
  <c r="E3041" i="2"/>
  <c r="G3040" i="2"/>
  <c r="F3040" i="2"/>
  <c r="E3040" i="2"/>
  <c r="G3039" i="2"/>
  <c r="F3039" i="2"/>
  <c r="E3039" i="2"/>
  <c r="G3038" i="2"/>
  <c r="F3038" i="2"/>
  <c r="E3038" i="2"/>
  <c r="G3037" i="2"/>
  <c r="F3037" i="2"/>
  <c r="E3037" i="2"/>
  <c r="G3036" i="2"/>
  <c r="F3036" i="2"/>
  <c r="E3036" i="2"/>
  <c r="G3035" i="2"/>
  <c r="F3035" i="2"/>
  <c r="E3035" i="2"/>
  <c r="G3034" i="2"/>
  <c r="F3034" i="2"/>
  <c r="E3034" i="2"/>
  <c r="G3033" i="2"/>
  <c r="F3033" i="2"/>
  <c r="E3033" i="2"/>
  <c r="G3032" i="2"/>
  <c r="F3032" i="2"/>
  <c r="E3032" i="2"/>
  <c r="G3031" i="2"/>
  <c r="F3031" i="2"/>
  <c r="E3031" i="2"/>
  <c r="G3030" i="2"/>
  <c r="F3030" i="2"/>
  <c r="E3030" i="2"/>
  <c r="G3029" i="2"/>
  <c r="F3029" i="2"/>
  <c r="E3029" i="2"/>
  <c r="G3028" i="2"/>
  <c r="F3028" i="2"/>
  <c r="E3028" i="2"/>
  <c r="G3027" i="2"/>
  <c r="F3027" i="2"/>
  <c r="E3027" i="2"/>
  <c r="G3026" i="2"/>
  <c r="F3026" i="2"/>
  <c r="E3026" i="2"/>
  <c r="G3025" i="2"/>
  <c r="F3025" i="2"/>
  <c r="E3025" i="2"/>
  <c r="G3024" i="2"/>
  <c r="F3024" i="2"/>
  <c r="E3024" i="2"/>
  <c r="G3023" i="2"/>
  <c r="F3023" i="2"/>
  <c r="E3023" i="2"/>
  <c r="G3022" i="2"/>
  <c r="F3022" i="2"/>
  <c r="E3022" i="2"/>
  <c r="G3021" i="2"/>
  <c r="F3021" i="2"/>
  <c r="E3021" i="2"/>
  <c r="G3020" i="2"/>
  <c r="F3020" i="2"/>
  <c r="E3020" i="2"/>
  <c r="G3019" i="2"/>
  <c r="F3019" i="2"/>
  <c r="E3019" i="2"/>
  <c r="G3018" i="2"/>
  <c r="F3018" i="2"/>
  <c r="E3018" i="2"/>
  <c r="G3017" i="2"/>
  <c r="F3017" i="2"/>
  <c r="E3017" i="2"/>
  <c r="G3016" i="2"/>
  <c r="F3016" i="2"/>
  <c r="E3016" i="2"/>
  <c r="G3015" i="2"/>
  <c r="F3015" i="2"/>
  <c r="E3015" i="2"/>
  <c r="G3014" i="2"/>
  <c r="F3014" i="2"/>
  <c r="E3014" i="2"/>
  <c r="G3013" i="2"/>
  <c r="F3013" i="2"/>
  <c r="E3013" i="2"/>
  <c r="G3012" i="2"/>
  <c r="F3012" i="2"/>
  <c r="E3012" i="2"/>
  <c r="G3011" i="2"/>
  <c r="F3011" i="2"/>
  <c r="E3011" i="2"/>
  <c r="G3010" i="2"/>
  <c r="F3010" i="2"/>
  <c r="E3010" i="2"/>
  <c r="G3009" i="2"/>
  <c r="F3009" i="2"/>
  <c r="E3009" i="2"/>
  <c r="G3008" i="2"/>
  <c r="F3008" i="2"/>
  <c r="E3008" i="2"/>
  <c r="G3007" i="2"/>
  <c r="F3007" i="2"/>
  <c r="E3007" i="2"/>
  <c r="G3006" i="2"/>
  <c r="F3006" i="2"/>
  <c r="E3006" i="2"/>
  <c r="G3005" i="2"/>
  <c r="F3005" i="2"/>
  <c r="E3005" i="2"/>
  <c r="G3004" i="2"/>
  <c r="F3004" i="2"/>
  <c r="E3004" i="2"/>
  <c r="G3003" i="2"/>
  <c r="F3003" i="2"/>
  <c r="E3003" i="2"/>
  <c r="G3002" i="2"/>
  <c r="F3002" i="2"/>
  <c r="E3002" i="2"/>
  <c r="G3001" i="2"/>
  <c r="F3001" i="2"/>
  <c r="E3001" i="2"/>
  <c r="G3000" i="2"/>
  <c r="F3000" i="2"/>
  <c r="E3000" i="2"/>
  <c r="G2999" i="2"/>
  <c r="F2999" i="2"/>
  <c r="E2999" i="2"/>
  <c r="G2998" i="2"/>
  <c r="F2998" i="2"/>
  <c r="E2998" i="2"/>
  <c r="G2997" i="2"/>
  <c r="F2997" i="2"/>
  <c r="E2997" i="2"/>
  <c r="G2996" i="2"/>
  <c r="F2996" i="2"/>
  <c r="E2996" i="2"/>
  <c r="G2995" i="2"/>
  <c r="F2995" i="2"/>
  <c r="E2995" i="2"/>
  <c r="G2994" i="2"/>
  <c r="F2994" i="2"/>
  <c r="E2994" i="2"/>
  <c r="G2993" i="2"/>
  <c r="F2993" i="2"/>
  <c r="E2993" i="2"/>
  <c r="G2992" i="2"/>
  <c r="F2992" i="2"/>
  <c r="E2992" i="2"/>
  <c r="G2991" i="2"/>
  <c r="F2991" i="2"/>
  <c r="E2991" i="2"/>
  <c r="G2990" i="2"/>
  <c r="F2990" i="2"/>
  <c r="E2990" i="2"/>
  <c r="G2989" i="2"/>
  <c r="F2989" i="2"/>
  <c r="E2989" i="2"/>
  <c r="G2988" i="2"/>
  <c r="F2988" i="2"/>
  <c r="E2988" i="2"/>
  <c r="G2987" i="2"/>
  <c r="F2987" i="2"/>
  <c r="E2987" i="2"/>
  <c r="G2986" i="2"/>
  <c r="F2986" i="2"/>
  <c r="E2986" i="2"/>
  <c r="G2985" i="2"/>
  <c r="F2985" i="2"/>
  <c r="E2985" i="2"/>
  <c r="G2984" i="2"/>
  <c r="F2984" i="2"/>
  <c r="E2984" i="2"/>
  <c r="G2983" i="2"/>
  <c r="F2983" i="2"/>
  <c r="E2983" i="2"/>
  <c r="G2982" i="2"/>
  <c r="F2982" i="2"/>
  <c r="E2982" i="2"/>
  <c r="G2981" i="2"/>
  <c r="F2981" i="2"/>
  <c r="E2981" i="2"/>
  <c r="G2980" i="2"/>
  <c r="F2980" i="2"/>
  <c r="E2980" i="2"/>
  <c r="G2979" i="2"/>
  <c r="F2979" i="2"/>
  <c r="E2979" i="2"/>
  <c r="G2978" i="2"/>
  <c r="F2978" i="2"/>
  <c r="E2978" i="2"/>
  <c r="G2977" i="2"/>
  <c r="F2977" i="2"/>
  <c r="E2977" i="2"/>
  <c r="G2976" i="2"/>
  <c r="F2976" i="2"/>
  <c r="E2976" i="2"/>
  <c r="G2975" i="2"/>
  <c r="F2975" i="2"/>
  <c r="E2975" i="2"/>
  <c r="G2974" i="2"/>
  <c r="F2974" i="2"/>
  <c r="E2974" i="2"/>
  <c r="G2973" i="2"/>
  <c r="F2973" i="2"/>
  <c r="E2973" i="2"/>
  <c r="G2972" i="2"/>
  <c r="F2972" i="2"/>
  <c r="E2972" i="2"/>
  <c r="G2971" i="2"/>
  <c r="F2971" i="2"/>
  <c r="E2971" i="2"/>
  <c r="G2970" i="2"/>
  <c r="F2970" i="2"/>
  <c r="E2970" i="2"/>
  <c r="G2969" i="2"/>
  <c r="F2969" i="2"/>
  <c r="E2969" i="2"/>
  <c r="G2968" i="2"/>
  <c r="F2968" i="2"/>
  <c r="E2968" i="2"/>
  <c r="G2967" i="2"/>
  <c r="F2967" i="2"/>
  <c r="E2967" i="2"/>
  <c r="G2966" i="2"/>
  <c r="F2966" i="2"/>
  <c r="E2966" i="2"/>
  <c r="G2965" i="2"/>
  <c r="F2965" i="2"/>
  <c r="E2965" i="2"/>
  <c r="G2964" i="2"/>
  <c r="F2964" i="2"/>
  <c r="E2964" i="2"/>
  <c r="G2963" i="2"/>
  <c r="F2963" i="2"/>
  <c r="E2963" i="2"/>
  <c r="G2962" i="2"/>
  <c r="F2962" i="2"/>
  <c r="E2962" i="2"/>
  <c r="G2961" i="2"/>
  <c r="F2961" i="2"/>
  <c r="E2961" i="2"/>
  <c r="G2960" i="2"/>
  <c r="F2960" i="2"/>
  <c r="E2960" i="2"/>
  <c r="G2959" i="2"/>
  <c r="F2959" i="2"/>
  <c r="E2959" i="2"/>
  <c r="G2958" i="2"/>
  <c r="F2958" i="2"/>
  <c r="E2958" i="2"/>
  <c r="G2957" i="2"/>
  <c r="F2957" i="2"/>
  <c r="E2957" i="2"/>
  <c r="G2956" i="2"/>
  <c r="F2956" i="2"/>
  <c r="E2956" i="2"/>
  <c r="G2955" i="2"/>
  <c r="F2955" i="2"/>
  <c r="E2955" i="2"/>
  <c r="G2954" i="2"/>
  <c r="F2954" i="2"/>
  <c r="E2954" i="2"/>
  <c r="G2953" i="2"/>
  <c r="F2953" i="2"/>
  <c r="E2953" i="2"/>
  <c r="G2952" i="2"/>
  <c r="F2952" i="2"/>
  <c r="E2952" i="2"/>
  <c r="G2951" i="2"/>
  <c r="F2951" i="2"/>
  <c r="E2951" i="2"/>
  <c r="G2950" i="2"/>
  <c r="F2950" i="2"/>
  <c r="E2950" i="2"/>
  <c r="G2949" i="2"/>
  <c r="F2949" i="2"/>
  <c r="E2949" i="2"/>
  <c r="G2948" i="2"/>
  <c r="F2948" i="2"/>
  <c r="E2948" i="2"/>
  <c r="G2947" i="2"/>
  <c r="F2947" i="2"/>
  <c r="E2947" i="2"/>
  <c r="G2946" i="2"/>
  <c r="F2946" i="2"/>
  <c r="E2946" i="2"/>
  <c r="G2945" i="2"/>
  <c r="F2945" i="2"/>
  <c r="E2945" i="2"/>
  <c r="G2944" i="2"/>
  <c r="F2944" i="2"/>
  <c r="E2944" i="2"/>
  <c r="G2943" i="2"/>
  <c r="F2943" i="2"/>
  <c r="E2943" i="2"/>
  <c r="G2942" i="2"/>
  <c r="F2942" i="2"/>
  <c r="E2942" i="2"/>
  <c r="G2941" i="2"/>
  <c r="F2941" i="2"/>
  <c r="E2941" i="2"/>
  <c r="G2940" i="2"/>
  <c r="F2940" i="2"/>
  <c r="E2940" i="2"/>
  <c r="G2939" i="2"/>
  <c r="F2939" i="2"/>
  <c r="E2939" i="2"/>
  <c r="G2938" i="2"/>
  <c r="F2938" i="2"/>
  <c r="E2938" i="2"/>
  <c r="G2937" i="2"/>
  <c r="F2937" i="2"/>
  <c r="E2937" i="2"/>
  <c r="G2936" i="2"/>
  <c r="F2936" i="2"/>
  <c r="E2936" i="2"/>
  <c r="G2935" i="2"/>
  <c r="F2935" i="2"/>
  <c r="E2935" i="2"/>
  <c r="G2934" i="2"/>
  <c r="F2934" i="2"/>
  <c r="E2934" i="2"/>
  <c r="G2933" i="2"/>
  <c r="F2933" i="2"/>
  <c r="E2933" i="2"/>
  <c r="G2932" i="2"/>
  <c r="F2932" i="2"/>
  <c r="E2932" i="2"/>
  <c r="G2931" i="2"/>
  <c r="F2931" i="2"/>
  <c r="E2931" i="2"/>
  <c r="G2930" i="2"/>
  <c r="F2930" i="2"/>
  <c r="E2930" i="2"/>
  <c r="G2929" i="2"/>
  <c r="F2929" i="2"/>
  <c r="E2929" i="2"/>
  <c r="G2928" i="2"/>
  <c r="F2928" i="2"/>
  <c r="E2928" i="2"/>
  <c r="G2927" i="2"/>
  <c r="F2927" i="2"/>
  <c r="E2927" i="2"/>
  <c r="G2926" i="2"/>
  <c r="F2926" i="2"/>
  <c r="E2926" i="2"/>
  <c r="G2925" i="2"/>
  <c r="F2925" i="2"/>
  <c r="E2925" i="2"/>
  <c r="G2924" i="2"/>
  <c r="F2924" i="2"/>
  <c r="E2924" i="2"/>
  <c r="G2923" i="2"/>
  <c r="F2923" i="2"/>
  <c r="E2923" i="2"/>
  <c r="G2922" i="2"/>
  <c r="F2922" i="2"/>
  <c r="E2922" i="2"/>
  <c r="G2921" i="2"/>
  <c r="F2921" i="2"/>
  <c r="E2921" i="2"/>
  <c r="G2920" i="2"/>
  <c r="F2920" i="2"/>
  <c r="E2920" i="2"/>
  <c r="G2919" i="2"/>
  <c r="F2919" i="2"/>
  <c r="E2919" i="2"/>
  <c r="G2918" i="2"/>
  <c r="F2918" i="2"/>
  <c r="E2918" i="2"/>
  <c r="G2917" i="2"/>
  <c r="F2917" i="2"/>
  <c r="E2917" i="2"/>
  <c r="G2916" i="2"/>
  <c r="F2916" i="2"/>
  <c r="E2916" i="2"/>
  <c r="G2915" i="2"/>
  <c r="F2915" i="2"/>
  <c r="E2915" i="2"/>
  <c r="G2914" i="2"/>
  <c r="F2914" i="2"/>
  <c r="E2914" i="2"/>
  <c r="G2913" i="2"/>
  <c r="F2913" i="2"/>
  <c r="E2913" i="2"/>
  <c r="G2912" i="2"/>
  <c r="F2912" i="2"/>
  <c r="E2912" i="2"/>
  <c r="G2911" i="2"/>
  <c r="F2911" i="2"/>
  <c r="E2911" i="2"/>
  <c r="G2910" i="2"/>
  <c r="F2910" i="2"/>
  <c r="E2910" i="2"/>
  <c r="G2909" i="2"/>
  <c r="F2909" i="2"/>
  <c r="E2909" i="2"/>
  <c r="G2908" i="2"/>
  <c r="F2908" i="2"/>
  <c r="E2908" i="2"/>
  <c r="G2907" i="2"/>
  <c r="F2907" i="2"/>
  <c r="E2907" i="2"/>
  <c r="G2906" i="2"/>
  <c r="F2906" i="2"/>
  <c r="E2906" i="2"/>
  <c r="G2905" i="2"/>
  <c r="F2905" i="2"/>
  <c r="E2905" i="2"/>
  <c r="G2904" i="2"/>
  <c r="F2904" i="2"/>
  <c r="E2904" i="2"/>
  <c r="G2903" i="2"/>
  <c r="F2903" i="2"/>
  <c r="E2903" i="2"/>
  <c r="G2902" i="2"/>
  <c r="F2902" i="2"/>
  <c r="E2902" i="2"/>
  <c r="G2901" i="2"/>
  <c r="F2901" i="2"/>
  <c r="E2901" i="2"/>
  <c r="G2900" i="2"/>
  <c r="F2900" i="2"/>
  <c r="E2900" i="2"/>
  <c r="G2899" i="2"/>
  <c r="F2899" i="2"/>
  <c r="E2899" i="2"/>
  <c r="G2898" i="2"/>
  <c r="F2898" i="2"/>
  <c r="E2898" i="2"/>
  <c r="G2897" i="2"/>
  <c r="F2897" i="2"/>
  <c r="E2897" i="2"/>
  <c r="G2896" i="2"/>
  <c r="F2896" i="2"/>
  <c r="E2896" i="2"/>
  <c r="G2895" i="2"/>
  <c r="F2895" i="2"/>
  <c r="E2895" i="2"/>
  <c r="G2894" i="2"/>
  <c r="F2894" i="2"/>
  <c r="E2894" i="2"/>
  <c r="G2893" i="2"/>
  <c r="F2893" i="2"/>
  <c r="E2893" i="2"/>
  <c r="G2892" i="2"/>
  <c r="F2892" i="2"/>
  <c r="E2892" i="2"/>
  <c r="G2891" i="2"/>
  <c r="F2891" i="2"/>
  <c r="E2891" i="2"/>
  <c r="G2890" i="2"/>
  <c r="F2890" i="2"/>
  <c r="E2890" i="2"/>
  <c r="G2889" i="2"/>
  <c r="F2889" i="2"/>
  <c r="E2889" i="2"/>
  <c r="G2888" i="2"/>
  <c r="F2888" i="2"/>
  <c r="E2888" i="2"/>
  <c r="G2887" i="2"/>
  <c r="F2887" i="2"/>
  <c r="E2887" i="2"/>
  <c r="G2886" i="2"/>
  <c r="F2886" i="2"/>
  <c r="E2886" i="2"/>
  <c r="G2885" i="2"/>
  <c r="F2885" i="2"/>
  <c r="E2885" i="2"/>
  <c r="G2884" i="2"/>
  <c r="F2884" i="2"/>
  <c r="E2884" i="2"/>
  <c r="G2883" i="2"/>
  <c r="F2883" i="2"/>
  <c r="E2883" i="2"/>
  <c r="G2882" i="2"/>
  <c r="F2882" i="2"/>
  <c r="E2882" i="2"/>
  <c r="G2881" i="2"/>
  <c r="F2881" i="2"/>
  <c r="E2881" i="2"/>
  <c r="G2880" i="2"/>
  <c r="F2880" i="2"/>
  <c r="E2880" i="2"/>
  <c r="G2879" i="2"/>
  <c r="F2879" i="2"/>
  <c r="E2879" i="2"/>
  <c r="G2878" i="2"/>
  <c r="F2878" i="2"/>
  <c r="E2878" i="2"/>
  <c r="G2877" i="2"/>
  <c r="F2877" i="2"/>
  <c r="E2877" i="2"/>
  <c r="G2876" i="2"/>
  <c r="F2876" i="2"/>
  <c r="E2876" i="2"/>
  <c r="G2875" i="2"/>
  <c r="F2875" i="2"/>
  <c r="E2875" i="2"/>
  <c r="G2874" i="2"/>
  <c r="F2874" i="2"/>
  <c r="E2874" i="2"/>
  <c r="G2873" i="2"/>
  <c r="F2873" i="2"/>
  <c r="E2873" i="2"/>
  <c r="G2872" i="2"/>
  <c r="F2872" i="2"/>
  <c r="E2872" i="2"/>
  <c r="G2871" i="2"/>
  <c r="F2871" i="2"/>
  <c r="E2871" i="2"/>
  <c r="G2870" i="2"/>
  <c r="F2870" i="2"/>
  <c r="E2870" i="2"/>
  <c r="G2869" i="2"/>
  <c r="F2869" i="2"/>
  <c r="E2869" i="2"/>
  <c r="G2868" i="2"/>
  <c r="F2868" i="2"/>
  <c r="E2868" i="2"/>
  <c r="G2867" i="2"/>
  <c r="F2867" i="2"/>
  <c r="E2867" i="2"/>
  <c r="G2866" i="2"/>
  <c r="F2866" i="2"/>
  <c r="E2866" i="2"/>
  <c r="G2865" i="2"/>
  <c r="F2865" i="2"/>
  <c r="E2865" i="2"/>
  <c r="G2864" i="2"/>
  <c r="F2864" i="2"/>
  <c r="E2864" i="2"/>
  <c r="G2863" i="2"/>
  <c r="F2863" i="2"/>
  <c r="E2863" i="2"/>
  <c r="G2862" i="2"/>
  <c r="F2862" i="2"/>
  <c r="E2862" i="2"/>
  <c r="G2861" i="2"/>
  <c r="F2861" i="2"/>
  <c r="E2861" i="2"/>
  <c r="G2860" i="2"/>
  <c r="F2860" i="2"/>
  <c r="E2860" i="2"/>
  <c r="G2859" i="2"/>
  <c r="F2859" i="2"/>
  <c r="E2859" i="2"/>
  <c r="G2858" i="2"/>
  <c r="F2858" i="2"/>
  <c r="E2858" i="2"/>
  <c r="G2857" i="2"/>
  <c r="F2857" i="2"/>
  <c r="E2857" i="2"/>
  <c r="G2856" i="2"/>
  <c r="F2856" i="2"/>
  <c r="E2856" i="2"/>
  <c r="G2855" i="2"/>
  <c r="F2855" i="2"/>
  <c r="E2855" i="2"/>
  <c r="G2854" i="2"/>
  <c r="F2854" i="2"/>
  <c r="E2854" i="2"/>
  <c r="G2853" i="2"/>
  <c r="F2853" i="2"/>
  <c r="E2853" i="2"/>
  <c r="G2852" i="2"/>
  <c r="F2852" i="2"/>
  <c r="E2852" i="2"/>
  <c r="G2851" i="2"/>
  <c r="F2851" i="2"/>
  <c r="E2851" i="2"/>
  <c r="G2850" i="2"/>
  <c r="F2850" i="2"/>
  <c r="E2850" i="2"/>
  <c r="G2849" i="2"/>
  <c r="F2849" i="2"/>
  <c r="E2849" i="2"/>
  <c r="G2848" i="2"/>
  <c r="F2848" i="2"/>
  <c r="E2848" i="2"/>
  <c r="G2847" i="2"/>
  <c r="F2847" i="2"/>
  <c r="E2847" i="2"/>
  <c r="G2846" i="2"/>
  <c r="F2846" i="2"/>
  <c r="E2846" i="2"/>
  <c r="G2845" i="2"/>
  <c r="F2845" i="2"/>
  <c r="E2845" i="2"/>
  <c r="G2844" i="2"/>
  <c r="F2844" i="2"/>
  <c r="E2844" i="2"/>
  <c r="G2843" i="2"/>
  <c r="F2843" i="2"/>
  <c r="E2843" i="2"/>
  <c r="G2842" i="2"/>
  <c r="F2842" i="2"/>
  <c r="E2842" i="2"/>
  <c r="G2841" i="2"/>
  <c r="F2841" i="2"/>
  <c r="E2841" i="2"/>
  <c r="G2840" i="2"/>
  <c r="F2840" i="2"/>
  <c r="E2840" i="2"/>
  <c r="G2839" i="2"/>
  <c r="F2839" i="2"/>
  <c r="E2839" i="2"/>
  <c r="G2838" i="2"/>
  <c r="F2838" i="2"/>
  <c r="E2838" i="2"/>
  <c r="G2837" i="2"/>
  <c r="F2837" i="2"/>
  <c r="E2837" i="2"/>
  <c r="G2836" i="2"/>
  <c r="F2836" i="2"/>
  <c r="E2836" i="2"/>
  <c r="G2835" i="2"/>
  <c r="F2835" i="2"/>
  <c r="E2835" i="2"/>
  <c r="G2834" i="2"/>
  <c r="F2834" i="2"/>
  <c r="E2834" i="2"/>
  <c r="G2833" i="2"/>
  <c r="F2833" i="2"/>
  <c r="E2833" i="2"/>
  <c r="G2832" i="2"/>
  <c r="F2832" i="2"/>
  <c r="E2832" i="2"/>
  <c r="G2831" i="2"/>
  <c r="F2831" i="2"/>
  <c r="E2831" i="2"/>
  <c r="G2830" i="2"/>
  <c r="F2830" i="2"/>
  <c r="E2830" i="2"/>
  <c r="G2829" i="2"/>
  <c r="F2829" i="2"/>
  <c r="E2829" i="2"/>
  <c r="G2828" i="2"/>
  <c r="F2828" i="2"/>
  <c r="E2828" i="2"/>
  <c r="G2827" i="2"/>
  <c r="F2827" i="2"/>
  <c r="E2827" i="2"/>
  <c r="G2826" i="2"/>
  <c r="F2826" i="2"/>
  <c r="E2826" i="2"/>
  <c r="G2825" i="2"/>
  <c r="F2825" i="2"/>
  <c r="E2825" i="2"/>
  <c r="G2824" i="2"/>
  <c r="F2824" i="2"/>
  <c r="E2824" i="2"/>
  <c r="G2823" i="2"/>
  <c r="F2823" i="2"/>
  <c r="E2823" i="2"/>
  <c r="G2822" i="2"/>
  <c r="F2822" i="2"/>
  <c r="E2822" i="2"/>
  <c r="G2821" i="2"/>
  <c r="F2821" i="2"/>
  <c r="E2821" i="2"/>
  <c r="G2820" i="2"/>
  <c r="F2820" i="2"/>
  <c r="E2820" i="2"/>
  <c r="G2819" i="2"/>
  <c r="F2819" i="2"/>
  <c r="E2819" i="2"/>
  <c r="G2818" i="2"/>
  <c r="F2818" i="2"/>
  <c r="E2818" i="2"/>
  <c r="G2817" i="2"/>
  <c r="F2817" i="2"/>
  <c r="E2817" i="2"/>
  <c r="G2816" i="2"/>
  <c r="F2816" i="2"/>
  <c r="E2816" i="2"/>
  <c r="G2815" i="2"/>
  <c r="F2815" i="2"/>
  <c r="E2815" i="2"/>
  <c r="G2814" i="2"/>
  <c r="F2814" i="2"/>
  <c r="E2814" i="2"/>
  <c r="G2813" i="2"/>
  <c r="F2813" i="2"/>
  <c r="E2813" i="2"/>
  <c r="G2812" i="2"/>
  <c r="F2812" i="2"/>
  <c r="E2812" i="2"/>
  <c r="G2811" i="2"/>
  <c r="F2811" i="2"/>
  <c r="E2811" i="2"/>
  <c r="G2810" i="2"/>
  <c r="F2810" i="2"/>
  <c r="E2810" i="2"/>
  <c r="G2809" i="2"/>
  <c r="F2809" i="2"/>
  <c r="E2809" i="2"/>
  <c r="G2808" i="2"/>
  <c r="F2808" i="2"/>
  <c r="E2808" i="2"/>
  <c r="G2807" i="2"/>
  <c r="F2807" i="2"/>
  <c r="E2807" i="2"/>
  <c r="G2806" i="2"/>
  <c r="F2806" i="2"/>
  <c r="E2806" i="2"/>
  <c r="G2805" i="2"/>
  <c r="F2805" i="2"/>
  <c r="E2805" i="2"/>
  <c r="G2804" i="2"/>
  <c r="F2804" i="2"/>
  <c r="E2804" i="2"/>
  <c r="G2803" i="2"/>
  <c r="F2803" i="2"/>
  <c r="E2803" i="2"/>
  <c r="G2802" i="2"/>
  <c r="F2802" i="2"/>
  <c r="E2802" i="2"/>
  <c r="G2801" i="2"/>
  <c r="F2801" i="2"/>
  <c r="E2801" i="2"/>
  <c r="G2800" i="2"/>
  <c r="F2800" i="2"/>
  <c r="E2800" i="2"/>
  <c r="G2799" i="2"/>
  <c r="F2799" i="2"/>
  <c r="E2799" i="2"/>
  <c r="G2798" i="2"/>
  <c r="F2798" i="2"/>
  <c r="E2798" i="2"/>
  <c r="G2797" i="2"/>
  <c r="F2797" i="2"/>
  <c r="E2797" i="2"/>
  <c r="G2796" i="2"/>
  <c r="F2796" i="2"/>
  <c r="E2796" i="2"/>
  <c r="G2795" i="2"/>
  <c r="F2795" i="2"/>
  <c r="E2795" i="2"/>
  <c r="G2794" i="2"/>
  <c r="F2794" i="2"/>
  <c r="E2794" i="2"/>
  <c r="G2793" i="2"/>
  <c r="F2793" i="2"/>
  <c r="E2793" i="2"/>
  <c r="G2792" i="2"/>
  <c r="F2792" i="2"/>
  <c r="E2792" i="2"/>
  <c r="G2791" i="2"/>
  <c r="F2791" i="2"/>
  <c r="E2791" i="2"/>
  <c r="G2790" i="2"/>
  <c r="F2790" i="2"/>
  <c r="E2790" i="2"/>
  <c r="G2789" i="2"/>
  <c r="F2789" i="2"/>
  <c r="E2789" i="2"/>
  <c r="G2788" i="2"/>
  <c r="F2788" i="2"/>
  <c r="E2788" i="2"/>
  <c r="G2787" i="2"/>
  <c r="F2787" i="2"/>
  <c r="E2787" i="2"/>
  <c r="G2786" i="2"/>
  <c r="F2786" i="2"/>
  <c r="E2786" i="2"/>
  <c r="G2785" i="2"/>
  <c r="F2785" i="2"/>
  <c r="E2785" i="2"/>
  <c r="G2784" i="2"/>
  <c r="F2784" i="2"/>
  <c r="E2784" i="2"/>
  <c r="G2783" i="2"/>
  <c r="F2783" i="2"/>
  <c r="E2783" i="2"/>
  <c r="G2782" i="2"/>
  <c r="F2782" i="2"/>
  <c r="E2782" i="2"/>
  <c r="G2781" i="2"/>
  <c r="F2781" i="2"/>
  <c r="E2781" i="2"/>
  <c r="G2780" i="2"/>
  <c r="F2780" i="2"/>
  <c r="E2780" i="2"/>
  <c r="G2779" i="2"/>
  <c r="F2779" i="2"/>
  <c r="E2779" i="2"/>
  <c r="G2778" i="2"/>
  <c r="F2778" i="2"/>
  <c r="E2778" i="2"/>
  <c r="G2777" i="2"/>
  <c r="F2777" i="2"/>
  <c r="E2777" i="2"/>
  <c r="G2776" i="2"/>
  <c r="F2776" i="2"/>
  <c r="E2776" i="2"/>
  <c r="G2775" i="2"/>
  <c r="F2775" i="2"/>
  <c r="E2775" i="2"/>
  <c r="G2774" i="2"/>
  <c r="F2774" i="2"/>
  <c r="E2774" i="2"/>
  <c r="G2773" i="2"/>
  <c r="F2773" i="2"/>
  <c r="E2773" i="2"/>
  <c r="G2772" i="2"/>
  <c r="F2772" i="2"/>
  <c r="E2772" i="2"/>
  <c r="G2771" i="2"/>
  <c r="F2771" i="2"/>
  <c r="E2771" i="2"/>
  <c r="G2770" i="2"/>
  <c r="F2770" i="2"/>
  <c r="E2770" i="2"/>
  <c r="G2769" i="2"/>
  <c r="F2769" i="2"/>
  <c r="E2769" i="2"/>
  <c r="G2768" i="2"/>
  <c r="F2768" i="2"/>
  <c r="E2768" i="2"/>
  <c r="G2767" i="2"/>
  <c r="F2767" i="2"/>
  <c r="E2767" i="2"/>
  <c r="G2766" i="2"/>
  <c r="F2766" i="2"/>
  <c r="E2766" i="2"/>
  <c r="G2765" i="2"/>
  <c r="F2765" i="2"/>
  <c r="E2765" i="2"/>
  <c r="G2764" i="2"/>
  <c r="F2764" i="2"/>
  <c r="E2764" i="2"/>
  <c r="G2763" i="2"/>
  <c r="F2763" i="2"/>
  <c r="E2763" i="2"/>
  <c r="G2762" i="2"/>
  <c r="F2762" i="2"/>
  <c r="E2762" i="2"/>
  <c r="G2761" i="2"/>
  <c r="F2761" i="2"/>
  <c r="E2761" i="2"/>
  <c r="G2760" i="2"/>
  <c r="F2760" i="2"/>
  <c r="E2760" i="2"/>
  <c r="G2759" i="2"/>
  <c r="F2759" i="2"/>
  <c r="E2759" i="2"/>
  <c r="G2758" i="2"/>
  <c r="F2758" i="2"/>
  <c r="E2758" i="2"/>
  <c r="G2757" i="2"/>
  <c r="F2757" i="2"/>
  <c r="E2757" i="2"/>
  <c r="G2756" i="2"/>
  <c r="F2756" i="2"/>
  <c r="E2756" i="2"/>
  <c r="G2755" i="2"/>
  <c r="F2755" i="2"/>
  <c r="E2755" i="2"/>
  <c r="G2754" i="2"/>
  <c r="F2754" i="2"/>
  <c r="E2754" i="2"/>
  <c r="G2753" i="2"/>
  <c r="F2753" i="2"/>
  <c r="E2753" i="2"/>
  <c r="G2752" i="2"/>
  <c r="F2752" i="2"/>
  <c r="E2752" i="2"/>
  <c r="G2751" i="2"/>
  <c r="F2751" i="2"/>
  <c r="E2751" i="2"/>
  <c r="G2750" i="2"/>
  <c r="F2750" i="2"/>
  <c r="E2750" i="2"/>
  <c r="G2749" i="2"/>
  <c r="F2749" i="2"/>
  <c r="E2749" i="2"/>
  <c r="G2748" i="2"/>
  <c r="F2748" i="2"/>
  <c r="E2748" i="2"/>
  <c r="G2747" i="2"/>
  <c r="F2747" i="2"/>
  <c r="E2747" i="2"/>
  <c r="G2746" i="2"/>
  <c r="F2746" i="2"/>
  <c r="E2746" i="2"/>
  <c r="G2745" i="2"/>
  <c r="F2745" i="2"/>
  <c r="E2745" i="2"/>
  <c r="G2744" i="2"/>
  <c r="F2744" i="2"/>
  <c r="E2744" i="2"/>
  <c r="G2743" i="2"/>
  <c r="F2743" i="2"/>
  <c r="E2743" i="2"/>
  <c r="G2742" i="2"/>
  <c r="F2742" i="2"/>
  <c r="E2742" i="2"/>
  <c r="G2741" i="2"/>
  <c r="F2741" i="2"/>
  <c r="E2741" i="2"/>
  <c r="G2740" i="2"/>
  <c r="F2740" i="2"/>
  <c r="E2740" i="2"/>
  <c r="G2739" i="2"/>
  <c r="F2739" i="2"/>
  <c r="E2739" i="2"/>
  <c r="G2738" i="2"/>
  <c r="F2738" i="2"/>
  <c r="E2738" i="2"/>
  <c r="G2737" i="2"/>
  <c r="F2737" i="2"/>
  <c r="E2737" i="2"/>
  <c r="G2736" i="2"/>
  <c r="F2736" i="2"/>
  <c r="E2736" i="2"/>
  <c r="G2735" i="2"/>
  <c r="F2735" i="2"/>
  <c r="E2735" i="2"/>
  <c r="G2734" i="2"/>
  <c r="F2734" i="2"/>
  <c r="E2734" i="2"/>
  <c r="G2733" i="2"/>
  <c r="F2733" i="2"/>
  <c r="E2733" i="2"/>
  <c r="G2732" i="2"/>
  <c r="F2732" i="2"/>
  <c r="E2732" i="2"/>
  <c r="G2731" i="2"/>
  <c r="F2731" i="2"/>
  <c r="E2731" i="2"/>
  <c r="G2730" i="2"/>
  <c r="F2730" i="2"/>
  <c r="E2730" i="2"/>
  <c r="G2729" i="2"/>
  <c r="F2729" i="2"/>
  <c r="E2729" i="2"/>
  <c r="G2728" i="2"/>
  <c r="F2728" i="2"/>
  <c r="E2728" i="2"/>
  <c r="G2727" i="2"/>
  <c r="F2727" i="2"/>
  <c r="E2727" i="2"/>
  <c r="G2726" i="2"/>
  <c r="F2726" i="2"/>
  <c r="E2726" i="2"/>
  <c r="G2725" i="2"/>
  <c r="F2725" i="2"/>
  <c r="E2725" i="2"/>
  <c r="G2724" i="2"/>
  <c r="F2724" i="2"/>
  <c r="E2724" i="2"/>
  <c r="G2723" i="2"/>
  <c r="F2723" i="2"/>
  <c r="E2723" i="2"/>
  <c r="G2722" i="2"/>
  <c r="F2722" i="2"/>
  <c r="E2722" i="2"/>
  <c r="G2721" i="2"/>
  <c r="F2721" i="2"/>
  <c r="E2721" i="2"/>
  <c r="G2720" i="2"/>
  <c r="F2720" i="2"/>
  <c r="E2720" i="2"/>
  <c r="G2719" i="2"/>
  <c r="F2719" i="2"/>
  <c r="E2719" i="2"/>
  <c r="G2718" i="2"/>
  <c r="F2718" i="2"/>
  <c r="E2718" i="2"/>
  <c r="G2717" i="2"/>
  <c r="F2717" i="2"/>
  <c r="E2717" i="2"/>
  <c r="G2716" i="2"/>
  <c r="F2716" i="2"/>
  <c r="E2716" i="2"/>
  <c r="G2715" i="2"/>
  <c r="F2715" i="2"/>
  <c r="E2715" i="2"/>
  <c r="G2714" i="2"/>
  <c r="F2714" i="2"/>
  <c r="E2714" i="2"/>
  <c r="G2713" i="2"/>
  <c r="F2713" i="2"/>
  <c r="E2713" i="2"/>
  <c r="G2712" i="2"/>
  <c r="F2712" i="2"/>
  <c r="E2712" i="2"/>
  <c r="G2711" i="2"/>
  <c r="F2711" i="2"/>
  <c r="E2711" i="2"/>
  <c r="G2710" i="2"/>
  <c r="F2710" i="2"/>
  <c r="E2710" i="2"/>
  <c r="G2709" i="2"/>
  <c r="F2709" i="2"/>
  <c r="E2709" i="2"/>
  <c r="G2708" i="2"/>
  <c r="F2708" i="2"/>
  <c r="E2708" i="2"/>
  <c r="G2707" i="2"/>
  <c r="F2707" i="2"/>
  <c r="E2707" i="2"/>
  <c r="G2706" i="2"/>
  <c r="F2706" i="2"/>
  <c r="E2706" i="2"/>
  <c r="G2705" i="2"/>
  <c r="F2705" i="2"/>
  <c r="E2705" i="2"/>
  <c r="G2704" i="2"/>
  <c r="F2704" i="2"/>
  <c r="E2704" i="2"/>
  <c r="G2703" i="2"/>
  <c r="F2703" i="2"/>
  <c r="E2703" i="2"/>
  <c r="G2702" i="2"/>
  <c r="F2702" i="2"/>
  <c r="E2702" i="2"/>
  <c r="G2701" i="2"/>
  <c r="F2701" i="2"/>
  <c r="E2701" i="2"/>
  <c r="G2700" i="2"/>
  <c r="F2700" i="2"/>
  <c r="E2700" i="2"/>
  <c r="G2699" i="2"/>
  <c r="F2699" i="2"/>
  <c r="E2699" i="2"/>
  <c r="G2698" i="2"/>
  <c r="F2698" i="2"/>
  <c r="E2698" i="2"/>
  <c r="G2697" i="2"/>
  <c r="F2697" i="2"/>
  <c r="E2697" i="2"/>
  <c r="G2696" i="2"/>
  <c r="F2696" i="2"/>
  <c r="E2696" i="2"/>
  <c r="G2695" i="2"/>
  <c r="F2695" i="2"/>
  <c r="E2695" i="2"/>
  <c r="G2694" i="2"/>
  <c r="F2694" i="2"/>
  <c r="E2694" i="2"/>
  <c r="G2693" i="2"/>
  <c r="F2693" i="2"/>
  <c r="E2693" i="2"/>
  <c r="G2692" i="2"/>
  <c r="F2692" i="2"/>
  <c r="E2692" i="2"/>
  <c r="G2691" i="2"/>
  <c r="F2691" i="2"/>
  <c r="E2691" i="2"/>
  <c r="G2690" i="2"/>
  <c r="F2690" i="2"/>
  <c r="E2690" i="2"/>
  <c r="G2689" i="2"/>
  <c r="F2689" i="2"/>
  <c r="E2689" i="2"/>
  <c r="G2688" i="2"/>
  <c r="F2688" i="2"/>
  <c r="E2688" i="2"/>
  <c r="G2687" i="2"/>
  <c r="F2687" i="2"/>
  <c r="E2687" i="2"/>
  <c r="G2686" i="2"/>
  <c r="F2686" i="2"/>
  <c r="E2686" i="2"/>
  <c r="G2685" i="2"/>
  <c r="F2685" i="2"/>
  <c r="E2685" i="2"/>
  <c r="G2684" i="2"/>
  <c r="F2684" i="2"/>
  <c r="E2684" i="2"/>
  <c r="G2683" i="2"/>
  <c r="F2683" i="2"/>
  <c r="E2683" i="2"/>
  <c r="G2682" i="2"/>
  <c r="F2682" i="2"/>
  <c r="E2682" i="2"/>
  <c r="G2681" i="2"/>
  <c r="F2681" i="2"/>
  <c r="E2681" i="2"/>
  <c r="G2680" i="2"/>
  <c r="F2680" i="2"/>
  <c r="E2680" i="2"/>
  <c r="G2679" i="2"/>
  <c r="F2679" i="2"/>
  <c r="E2679" i="2"/>
  <c r="G2678" i="2"/>
  <c r="F2678" i="2"/>
  <c r="E2678" i="2"/>
  <c r="G2677" i="2"/>
  <c r="F2677" i="2"/>
  <c r="E2677" i="2"/>
  <c r="G2676" i="2"/>
  <c r="F2676" i="2"/>
  <c r="E2676" i="2"/>
  <c r="G2675" i="2"/>
  <c r="F2675" i="2"/>
  <c r="E2675" i="2"/>
  <c r="G2674" i="2"/>
  <c r="F2674" i="2"/>
  <c r="E2674" i="2"/>
  <c r="G2673" i="2"/>
  <c r="F2673" i="2"/>
  <c r="E2673" i="2"/>
  <c r="G2672" i="2"/>
  <c r="F2672" i="2"/>
  <c r="E2672" i="2"/>
  <c r="G2671" i="2"/>
  <c r="F2671" i="2"/>
  <c r="E2671" i="2"/>
  <c r="G2670" i="2"/>
  <c r="F2670" i="2"/>
  <c r="E2670" i="2"/>
  <c r="G2669" i="2"/>
  <c r="F2669" i="2"/>
  <c r="E2669" i="2"/>
  <c r="G2668" i="2"/>
  <c r="F2668" i="2"/>
  <c r="E2668" i="2"/>
  <c r="G2667" i="2"/>
  <c r="F2667" i="2"/>
  <c r="E2667" i="2"/>
  <c r="G2666" i="2"/>
  <c r="F2666" i="2"/>
  <c r="E2666" i="2"/>
  <c r="G2665" i="2"/>
  <c r="F2665" i="2"/>
  <c r="E2665" i="2"/>
  <c r="G2664" i="2"/>
  <c r="F2664" i="2"/>
  <c r="E2664" i="2"/>
  <c r="G2663" i="2"/>
  <c r="F2663" i="2"/>
  <c r="E2663" i="2"/>
  <c r="G2662" i="2"/>
  <c r="F2662" i="2"/>
  <c r="E2662" i="2"/>
  <c r="G2661" i="2"/>
  <c r="F2661" i="2"/>
  <c r="E2661" i="2"/>
  <c r="G2660" i="2"/>
  <c r="F2660" i="2"/>
  <c r="E2660" i="2"/>
  <c r="G2659" i="2"/>
  <c r="F2659" i="2"/>
  <c r="E2659" i="2"/>
  <c r="G2658" i="2"/>
  <c r="F2658" i="2"/>
  <c r="E2658" i="2"/>
  <c r="G2657" i="2"/>
  <c r="F2657" i="2"/>
  <c r="E2657" i="2"/>
  <c r="G2656" i="2"/>
  <c r="F2656" i="2"/>
  <c r="E2656" i="2"/>
  <c r="G2655" i="2"/>
  <c r="F2655" i="2"/>
  <c r="E2655" i="2"/>
  <c r="G2654" i="2"/>
  <c r="F2654" i="2"/>
  <c r="E2654" i="2"/>
  <c r="G2653" i="2"/>
  <c r="F2653" i="2"/>
  <c r="E2653" i="2"/>
  <c r="G2652" i="2"/>
  <c r="F2652" i="2"/>
  <c r="E2652" i="2"/>
  <c r="G2651" i="2"/>
  <c r="F2651" i="2"/>
  <c r="E2651" i="2"/>
  <c r="G2650" i="2"/>
  <c r="F2650" i="2"/>
  <c r="E2650" i="2"/>
  <c r="G2649" i="2"/>
  <c r="F2649" i="2"/>
  <c r="E2649" i="2"/>
  <c r="G2648" i="2"/>
  <c r="F2648" i="2"/>
  <c r="E2648" i="2"/>
  <c r="G2647" i="2"/>
  <c r="F2647" i="2"/>
  <c r="E2647" i="2"/>
  <c r="G2646" i="2"/>
  <c r="F2646" i="2"/>
  <c r="E2646" i="2"/>
  <c r="G2645" i="2"/>
  <c r="F2645" i="2"/>
  <c r="E2645" i="2"/>
  <c r="G2644" i="2"/>
  <c r="F2644" i="2"/>
  <c r="E2644" i="2"/>
  <c r="G2643" i="2"/>
  <c r="F2643" i="2"/>
  <c r="E2643" i="2"/>
  <c r="G2642" i="2"/>
  <c r="F2642" i="2"/>
  <c r="E2642" i="2"/>
  <c r="G2641" i="2"/>
  <c r="F2641" i="2"/>
  <c r="E2641" i="2"/>
  <c r="G2640" i="2"/>
  <c r="F2640" i="2"/>
  <c r="E2640" i="2"/>
  <c r="G2639" i="2"/>
  <c r="F2639" i="2"/>
  <c r="E2639" i="2"/>
  <c r="G2638" i="2"/>
  <c r="F2638" i="2"/>
  <c r="E2638" i="2"/>
  <c r="G2637" i="2"/>
  <c r="F2637" i="2"/>
  <c r="E2637" i="2"/>
  <c r="G2636" i="2"/>
  <c r="F2636" i="2"/>
  <c r="E2636" i="2"/>
  <c r="G2635" i="2"/>
  <c r="F2635" i="2"/>
  <c r="E2635" i="2"/>
  <c r="G2634" i="2"/>
  <c r="F2634" i="2"/>
  <c r="E2634" i="2"/>
  <c r="G2633" i="2"/>
  <c r="F2633" i="2"/>
  <c r="E2633" i="2"/>
  <c r="G2632" i="2"/>
  <c r="F2632" i="2"/>
  <c r="E2632" i="2"/>
  <c r="G2631" i="2"/>
  <c r="F2631" i="2"/>
  <c r="E2631" i="2"/>
  <c r="G2630" i="2"/>
  <c r="F2630" i="2"/>
  <c r="E2630" i="2"/>
  <c r="G2629" i="2"/>
  <c r="F2629" i="2"/>
  <c r="E2629" i="2"/>
  <c r="G2628" i="2"/>
  <c r="F2628" i="2"/>
  <c r="E2628" i="2"/>
  <c r="G2627" i="2"/>
  <c r="F2627" i="2"/>
  <c r="E2627" i="2"/>
  <c r="G2626" i="2"/>
  <c r="F2626" i="2"/>
  <c r="E2626" i="2"/>
  <c r="G2625" i="2"/>
  <c r="F2625" i="2"/>
  <c r="E2625" i="2"/>
  <c r="G2624" i="2"/>
  <c r="F2624" i="2"/>
  <c r="E2624" i="2"/>
  <c r="G2623" i="2"/>
  <c r="F2623" i="2"/>
  <c r="E2623" i="2"/>
  <c r="G2622" i="2"/>
  <c r="F2622" i="2"/>
  <c r="E2622" i="2"/>
  <c r="G2621" i="2"/>
  <c r="F2621" i="2"/>
  <c r="E2621" i="2"/>
  <c r="G2620" i="2"/>
  <c r="F2620" i="2"/>
  <c r="E2620" i="2"/>
  <c r="G2619" i="2"/>
  <c r="F2619" i="2"/>
  <c r="E2619" i="2"/>
  <c r="G2618" i="2"/>
  <c r="F2618" i="2"/>
  <c r="E2618" i="2"/>
  <c r="G2617" i="2"/>
  <c r="F2617" i="2"/>
  <c r="E2617" i="2"/>
  <c r="G2616" i="2"/>
  <c r="F2616" i="2"/>
  <c r="E2616" i="2"/>
  <c r="G2615" i="2"/>
  <c r="F2615" i="2"/>
  <c r="E2615" i="2"/>
  <c r="G2614" i="2"/>
  <c r="F2614" i="2"/>
  <c r="E2614" i="2"/>
  <c r="G2613" i="2"/>
  <c r="F2613" i="2"/>
  <c r="E2613" i="2"/>
  <c r="G2612" i="2"/>
  <c r="F2612" i="2"/>
  <c r="E2612" i="2"/>
  <c r="G2611" i="2"/>
  <c r="F2611" i="2"/>
  <c r="E2611" i="2"/>
  <c r="G2610" i="2"/>
  <c r="F2610" i="2"/>
  <c r="E2610" i="2"/>
  <c r="G2609" i="2"/>
  <c r="F2609" i="2"/>
  <c r="E2609" i="2"/>
  <c r="G2608" i="2"/>
  <c r="F2608" i="2"/>
  <c r="E2608" i="2"/>
  <c r="G2607" i="2"/>
  <c r="F2607" i="2"/>
  <c r="E2607" i="2"/>
  <c r="G2606" i="2"/>
  <c r="F2606" i="2"/>
  <c r="E2606" i="2"/>
  <c r="G2605" i="2"/>
  <c r="F2605" i="2"/>
  <c r="E2605" i="2"/>
  <c r="G2604" i="2"/>
  <c r="F2604" i="2"/>
  <c r="E2604" i="2"/>
  <c r="G2603" i="2"/>
  <c r="F2603" i="2"/>
  <c r="E2603" i="2"/>
  <c r="G2602" i="2"/>
  <c r="F2602" i="2"/>
  <c r="E2602" i="2"/>
  <c r="G2601" i="2"/>
  <c r="F2601" i="2"/>
  <c r="E2601" i="2"/>
  <c r="G2600" i="2"/>
  <c r="F2600" i="2"/>
  <c r="E2600" i="2"/>
  <c r="G2599" i="2"/>
  <c r="F2599" i="2"/>
  <c r="E2599" i="2"/>
  <c r="G2598" i="2"/>
  <c r="F2598" i="2"/>
  <c r="E2598" i="2"/>
  <c r="G2597" i="2"/>
  <c r="F2597" i="2"/>
  <c r="E2597" i="2"/>
  <c r="G2596" i="2"/>
  <c r="F2596" i="2"/>
  <c r="E2596" i="2"/>
  <c r="G2595" i="2"/>
  <c r="F2595" i="2"/>
  <c r="E2595" i="2"/>
  <c r="G2594" i="2"/>
  <c r="F2594" i="2"/>
  <c r="E2594" i="2"/>
  <c r="G2593" i="2"/>
  <c r="F2593" i="2"/>
  <c r="E2593" i="2"/>
  <c r="G2592" i="2"/>
  <c r="F2592" i="2"/>
  <c r="E2592" i="2"/>
  <c r="G2591" i="2"/>
  <c r="F2591" i="2"/>
  <c r="E2591" i="2"/>
  <c r="G2590" i="2"/>
  <c r="F2590" i="2"/>
  <c r="E2590" i="2"/>
  <c r="G2589" i="2"/>
  <c r="F2589" i="2"/>
  <c r="E2589" i="2"/>
  <c r="G2588" i="2"/>
  <c r="F2588" i="2"/>
  <c r="E2588" i="2"/>
  <c r="G2587" i="2"/>
  <c r="F2587" i="2"/>
  <c r="E2587" i="2"/>
  <c r="G2586" i="2"/>
  <c r="F2586" i="2"/>
  <c r="E2586" i="2"/>
  <c r="G2585" i="2"/>
  <c r="F2585" i="2"/>
  <c r="E2585" i="2"/>
  <c r="G2584" i="2"/>
  <c r="F2584" i="2"/>
  <c r="E2584" i="2"/>
  <c r="G2583" i="2"/>
  <c r="F2583" i="2"/>
  <c r="E2583" i="2"/>
  <c r="G2582" i="2"/>
  <c r="F2582" i="2"/>
  <c r="E2582" i="2"/>
  <c r="G2581" i="2"/>
  <c r="F2581" i="2"/>
  <c r="E2581" i="2"/>
  <c r="G2580" i="2"/>
  <c r="F2580" i="2"/>
  <c r="E2580" i="2"/>
  <c r="G2579" i="2"/>
  <c r="F2579" i="2"/>
  <c r="E2579" i="2"/>
  <c r="G2578" i="2"/>
  <c r="F2578" i="2"/>
  <c r="E2578" i="2"/>
  <c r="G2577" i="2"/>
  <c r="F2577" i="2"/>
  <c r="E2577" i="2"/>
  <c r="G2576" i="2"/>
  <c r="F2576" i="2"/>
  <c r="E2576" i="2"/>
  <c r="G2575" i="2"/>
  <c r="F2575" i="2"/>
  <c r="E2575" i="2"/>
  <c r="G2574" i="2"/>
  <c r="F2574" i="2"/>
  <c r="E2574" i="2"/>
  <c r="G2573" i="2"/>
  <c r="F2573" i="2"/>
  <c r="E2573" i="2"/>
  <c r="G2572" i="2"/>
  <c r="F2572" i="2"/>
  <c r="E2572" i="2"/>
  <c r="G2571" i="2"/>
  <c r="F2571" i="2"/>
  <c r="E2571" i="2"/>
  <c r="G2570" i="2"/>
  <c r="F2570" i="2"/>
  <c r="E2570" i="2"/>
  <c r="G2569" i="2"/>
  <c r="F2569" i="2"/>
  <c r="E2569" i="2"/>
  <c r="G2568" i="2"/>
  <c r="F2568" i="2"/>
  <c r="E2568" i="2"/>
  <c r="G2567" i="2"/>
  <c r="F2567" i="2"/>
  <c r="E2567" i="2"/>
  <c r="G2566" i="2"/>
  <c r="F2566" i="2"/>
  <c r="E2566" i="2"/>
  <c r="G2565" i="2"/>
  <c r="F2565" i="2"/>
  <c r="E2565" i="2"/>
  <c r="G2564" i="2"/>
  <c r="F2564" i="2"/>
  <c r="E2564" i="2"/>
  <c r="G2563" i="2"/>
  <c r="F2563" i="2"/>
  <c r="E2563" i="2"/>
  <c r="G2562" i="2"/>
  <c r="F2562" i="2"/>
  <c r="E2562" i="2"/>
  <c r="G2561" i="2"/>
  <c r="F2561" i="2"/>
  <c r="E2561" i="2"/>
  <c r="G2560" i="2"/>
  <c r="F2560" i="2"/>
  <c r="E2560" i="2"/>
  <c r="G2559" i="2"/>
  <c r="F2559" i="2"/>
  <c r="E2559" i="2"/>
  <c r="G2558" i="2"/>
  <c r="F2558" i="2"/>
  <c r="E2558" i="2"/>
  <c r="G2557" i="2"/>
  <c r="F2557" i="2"/>
  <c r="E2557" i="2"/>
  <c r="G2556" i="2"/>
  <c r="F2556" i="2"/>
  <c r="E2556" i="2"/>
  <c r="G2555" i="2"/>
  <c r="F2555" i="2"/>
  <c r="E2555" i="2"/>
  <c r="G2554" i="2"/>
  <c r="F2554" i="2"/>
  <c r="E2554" i="2"/>
  <c r="G2553" i="2"/>
  <c r="F2553" i="2"/>
  <c r="E2553" i="2"/>
  <c r="G2552" i="2"/>
  <c r="F2552" i="2"/>
  <c r="E2552" i="2"/>
  <c r="G2551" i="2"/>
  <c r="F2551" i="2"/>
  <c r="E2551" i="2"/>
  <c r="G2550" i="2"/>
  <c r="F2550" i="2"/>
  <c r="E2550" i="2"/>
  <c r="G2549" i="2"/>
  <c r="F2549" i="2"/>
  <c r="E2549" i="2"/>
  <c r="G2548" i="2"/>
  <c r="F2548" i="2"/>
  <c r="E2548" i="2"/>
  <c r="G2547" i="2"/>
  <c r="F2547" i="2"/>
  <c r="E2547" i="2"/>
  <c r="G2546" i="2"/>
  <c r="F2546" i="2"/>
  <c r="E2546" i="2"/>
  <c r="G2545" i="2"/>
  <c r="F2545" i="2"/>
  <c r="E2545" i="2"/>
  <c r="G2544" i="2"/>
  <c r="F2544" i="2"/>
  <c r="E2544" i="2"/>
  <c r="G2543" i="2"/>
  <c r="F2543" i="2"/>
  <c r="E2543" i="2"/>
  <c r="G2542" i="2"/>
  <c r="F2542" i="2"/>
  <c r="E2542" i="2"/>
  <c r="G2541" i="2"/>
  <c r="F2541" i="2"/>
  <c r="E2541" i="2"/>
  <c r="G2540" i="2"/>
  <c r="F2540" i="2"/>
  <c r="E2540" i="2"/>
  <c r="G2539" i="2"/>
  <c r="F2539" i="2"/>
  <c r="E2539" i="2"/>
  <c r="G2538" i="2"/>
  <c r="F2538" i="2"/>
  <c r="E2538" i="2"/>
  <c r="G2537" i="2"/>
  <c r="F2537" i="2"/>
  <c r="E2537" i="2"/>
  <c r="G2536" i="2"/>
  <c r="F2536" i="2"/>
  <c r="E2536" i="2"/>
  <c r="G2535" i="2"/>
  <c r="F2535" i="2"/>
  <c r="E2535" i="2"/>
  <c r="G2534" i="2"/>
  <c r="F2534" i="2"/>
  <c r="E2534" i="2"/>
  <c r="G2533" i="2"/>
  <c r="F2533" i="2"/>
  <c r="E2533" i="2"/>
  <c r="G2532" i="2"/>
  <c r="F2532" i="2"/>
  <c r="E2532" i="2"/>
  <c r="G2531" i="2"/>
  <c r="F2531" i="2"/>
  <c r="E2531" i="2"/>
  <c r="G2530" i="2"/>
  <c r="F2530" i="2"/>
  <c r="E2530" i="2"/>
  <c r="G2529" i="2"/>
  <c r="F2529" i="2"/>
  <c r="E2529" i="2"/>
  <c r="G2528" i="2"/>
  <c r="F2528" i="2"/>
  <c r="E2528" i="2"/>
  <c r="G2527" i="2"/>
  <c r="F2527" i="2"/>
  <c r="E2527" i="2"/>
  <c r="G2526" i="2"/>
  <c r="F2526" i="2"/>
  <c r="E2526" i="2"/>
  <c r="G2525" i="2"/>
  <c r="F2525" i="2"/>
  <c r="E2525" i="2"/>
  <c r="G2524" i="2"/>
  <c r="F2524" i="2"/>
  <c r="E2524" i="2"/>
  <c r="G2523" i="2"/>
  <c r="F2523" i="2"/>
  <c r="E2523" i="2"/>
  <c r="G2522" i="2"/>
  <c r="F2522" i="2"/>
  <c r="E2522" i="2"/>
  <c r="G2521" i="2"/>
  <c r="F2521" i="2"/>
  <c r="E2521" i="2"/>
  <c r="G2520" i="2"/>
  <c r="F2520" i="2"/>
  <c r="E2520" i="2"/>
  <c r="G2519" i="2"/>
  <c r="F2519" i="2"/>
  <c r="E2519" i="2"/>
  <c r="G2518" i="2"/>
  <c r="F2518" i="2"/>
  <c r="E2518" i="2"/>
  <c r="G2517" i="2"/>
  <c r="F2517" i="2"/>
  <c r="E2517" i="2"/>
  <c r="G2516" i="2"/>
  <c r="F2516" i="2"/>
  <c r="E2516" i="2"/>
  <c r="G2515" i="2"/>
  <c r="F2515" i="2"/>
  <c r="E2515" i="2"/>
  <c r="G2514" i="2"/>
  <c r="F2514" i="2"/>
  <c r="E2514" i="2"/>
  <c r="G2513" i="2"/>
  <c r="F2513" i="2"/>
  <c r="E2513" i="2"/>
  <c r="G2512" i="2"/>
  <c r="F2512" i="2"/>
  <c r="E2512" i="2"/>
  <c r="G2511" i="2"/>
  <c r="F2511" i="2"/>
  <c r="E2511" i="2"/>
  <c r="G2510" i="2"/>
  <c r="F2510" i="2"/>
  <c r="E2510" i="2"/>
  <c r="G2509" i="2"/>
  <c r="F2509" i="2"/>
  <c r="E2509" i="2"/>
  <c r="G2508" i="2"/>
  <c r="F2508" i="2"/>
  <c r="E2508" i="2"/>
  <c r="G2507" i="2"/>
  <c r="F2507" i="2"/>
  <c r="E2507" i="2"/>
  <c r="G2506" i="2"/>
  <c r="F2506" i="2"/>
  <c r="E2506" i="2"/>
  <c r="G2505" i="2"/>
  <c r="F2505" i="2"/>
  <c r="E2505" i="2"/>
  <c r="G2504" i="2"/>
  <c r="F2504" i="2"/>
  <c r="E2504" i="2"/>
  <c r="G2503" i="2"/>
  <c r="F2503" i="2"/>
  <c r="E2503" i="2"/>
  <c r="G2502" i="2"/>
  <c r="F2502" i="2"/>
  <c r="E2502" i="2"/>
  <c r="G2501" i="2"/>
  <c r="F2501" i="2"/>
  <c r="E2501" i="2"/>
  <c r="G2500" i="2"/>
  <c r="F2500" i="2"/>
  <c r="E2500" i="2"/>
  <c r="G2499" i="2"/>
  <c r="F2499" i="2"/>
  <c r="E2499" i="2"/>
  <c r="G2498" i="2"/>
  <c r="F2498" i="2"/>
  <c r="E2498" i="2"/>
  <c r="G2497" i="2"/>
  <c r="F2497" i="2"/>
  <c r="E2497" i="2"/>
  <c r="G2496" i="2"/>
  <c r="F2496" i="2"/>
  <c r="E2496" i="2"/>
  <c r="G2495" i="2"/>
  <c r="F2495" i="2"/>
  <c r="E2495" i="2"/>
  <c r="G2494" i="2"/>
  <c r="F2494" i="2"/>
  <c r="E2494" i="2"/>
  <c r="G2493" i="2"/>
  <c r="F2493" i="2"/>
  <c r="E2493" i="2"/>
  <c r="G2492" i="2"/>
  <c r="F2492" i="2"/>
  <c r="E2492" i="2"/>
  <c r="G2491" i="2"/>
  <c r="F2491" i="2"/>
  <c r="E2491" i="2"/>
  <c r="G2490" i="2"/>
  <c r="F2490" i="2"/>
  <c r="E2490" i="2"/>
  <c r="G2489" i="2"/>
  <c r="F2489" i="2"/>
  <c r="E2489" i="2"/>
  <c r="G2488" i="2"/>
  <c r="F2488" i="2"/>
  <c r="E2488" i="2"/>
  <c r="G2487" i="2"/>
  <c r="F2487" i="2"/>
  <c r="E2487" i="2"/>
  <c r="G2486" i="2"/>
  <c r="F2486" i="2"/>
  <c r="E2486" i="2"/>
  <c r="G2485" i="2"/>
  <c r="F2485" i="2"/>
  <c r="E2485" i="2"/>
  <c r="G2484" i="2"/>
  <c r="F2484" i="2"/>
  <c r="E2484" i="2"/>
  <c r="G2483" i="2"/>
  <c r="F2483" i="2"/>
  <c r="E2483" i="2"/>
  <c r="G2482" i="2"/>
  <c r="F2482" i="2"/>
  <c r="E2482" i="2"/>
  <c r="G2481" i="2"/>
  <c r="F2481" i="2"/>
  <c r="E2481" i="2"/>
  <c r="G2480" i="2"/>
  <c r="F2480" i="2"/>
  <c r="E2480" i="2"/>
  <c r="G2479" i="2"/>
  <c r="F2479" i="2"/>
  <c r="E2479" i="2"/>
  <c r="G2478" i="2"/>
  <c r="F2478" i="2"/>
  <c r="E2478" i="2"/>
  <c r="G2477" i="2"/>
  <c r="F2477" i="2"/>
  <c r="E2477" i="2"/>
  <c r="G2476" i="2"/>
  <c r="F2476" i="2"/>
  <c r="E2476" i="2"/>
  <c r="G2475" i="2"/>
  <c r="F2475" i="2"/>
  <c r="E2475" i="2"/>
  <c r="G2474" i="2"/>
  <c r="F2474" i="2"/>
  <c r="E2474" i="2"/>
  <c r="G2473" i="2"/>
  <c r="F2473" i="2"/>
  <c r="E2473" i="2"/>
  <c r="G2472" i="2"/>
  <c r="F2472" i="2"/>
  <c r="E2472" i="2"/>
  <c r="G2471" i="2"/>
  <c r="F2471" i="2"/>
  <c r="E2471" i="2"/>
  <c r="G2470" i="2"/>
  <c r="F2470" i="2"/>
  <c r="E2470" i="2"/>
  <c r="G2469" i="2"/>
  <c r="F2469" i="2"/>
  <c r="E2469" i="2"/>
  <c r="G2468" i="2"/>
  <c r="F2468" i="2"/>
  <c r="E2468" i="2"/>
  <c r="G2467" i="2"/>
  <c r="F2467" i="2"/>
  <c r="E2467" i="2"/>
  <c r="G2466" i="2"/>
  <c r="F2466" i="2"/>
  <c r="E2466" i="2"/>
  <c r="G2465" i="2"/>
  <c r="F2465" i="2"/>
  <c r="E2465" i="2"/>
  <c r="G2464" i="2"/>
  <c r="F2464" i="2"/>
  <c r="E2464" i="2"/>
  <c r="G2463" i="2"/>
  <c r="F2463" i="2"/>
  <c r="E2463" i="2"/>
  <c r="G2462" i="2"/>
  <c r="F2462" i="2"/>
  <c r="E2462" i="2"/>
  <c r="G2461" i="2"/>
  <c r="F2461" i="2"/>
  <c r="E2461" i="2"/>
  <c r="G2460" i="2"/>
  <c r="F2460" i="2"/>
  <c r="E2460" i="2"/>
  <c r="G2459" i="2"/>
  <c r="F2459" i="2"/>
  <c r="E2459" i="2"/>
  <c r="G2458" i="2"/>
  <c r="F2458" i="2"/>
  <c r="E2458" i="2"/>
  <c r="G2457" i="2"/>
  <c r="F2457" i="2"/>
  <c r="E2457" i="2"/>
  <c r="G2456" i="2"/>
  <c r="F2456" i="2"/>
  <c r="E2456" i="2"/>
  <c r="G2455" i="2"/>
  <c r="F2455" i="2"/>
  <c r="E2455" i="2"/>
  <c r="G2454" i="2"/>
  <c r="F2454" i="2"/>
  <c r="E2454" i="2"/>
  <c r="G2453" i="2"/>
  <c r="F2453" i="2"/>
  <c r="E2453" i="2"/>
  <c r="G2452" i="2"/>
  <c r="F2452" i="2"/>
  <c r="E2452" i="2"/>
  <c r="G2451" i="2"/>
  <c r="F2451" i="2"/>
  <c r="E2451" i="2"/>
  <c r="G2450" i="2"/>
  <c r="F2450" i="2"/>
  <c r="E2450" i="2"/>
  <c r="G2449" i="2"/>
  <c r="F2449" i="2"/>
  <c r="E2449" i="2"/>
  <c r="G2448" i="2"/>
  <c r="F2448" i="2"/>
  <c r="E2448" i="2"/>
  <c r="G2447" i="2"/>
  <c r="F2447" i="2"/>
  <c r="E2447" i="2"/>
  <c r="G2446" i="2"/>
  <c r="F2446" i="2"/>
  <c r="E2446" i="2"/>
  <c r="G2445" i="2"/>
  <c r="F2445" i="2"/>
  <c r="E2445" i="2"/>
  <c r="G2444" i="2"/>
  <c r="F2444" i="2"/>
  <c r="E2444" i="2"/>
  <c r="G2443" i="2"/>
  <c r="F2443" i="2"/>
  <c r="E2443" i="2"/>
  <c r="G2442" i="2"/>
  <c r="F2442" i="2"/>
  <c r="E2442" i="2"/>
  <c r="G2441" i="2"/>
  <c r="F2441" i="2"/>
  <c r="E2441" i="2"/>
  <c r="G2440" i="2"/>
  <c r="F2440" i="2"/>
  <c r="E2440" i="2"/>
  <c r="G2439" i="2"/>
  <c r="F2439" i="2"/>
  <c r="E2439" i="2"/>
  <c r="G2438" i="2"/>
  <c r="F2438" i="2"/>
  <c r="E2438" i="2"/>
  <c r="G2437" i="2"/>
  <c r="F2437" i="2"/>
  <c r="E2437" i="2"/>
  <c r="G2436" i="2"/>
  <c r="F2436" i="2"/>
  <c r="E2436" i="2"/>
  <c r="G2435" i="2"/>
  <c r="F2435" i="2"/>
  <c r="E2435" i="2"/>
  <c r="G2434" i="2"/>
  <c r="F2434" i="2"/>
  <c r="E2434" i="2"/>
  <c r="G2433" i="2"/>
  <c r="F2433" i="2"/>
  <c r="E2433" i="2"/>
  <c r="G2432" i="2"/>
  <c r="F2432" i="2"/>
  <c r="E2432" i="2"/>
  <c r="G2431" i="2"/>
  <c r="F2431" i="2"/>
  <c r="E2431" i="2"/>
  <c r="G2430" i="2"/>
  <c r="F2430" i="2"/>
  <c r="E2430" i="2"/>
  <c r="G2429" i="2"/>
  <c r="F2429" i="2"/>
  <c r="E2429" i="2"/>
  <c r="G2428" i="2"/>
  <c r="F2428" i="2"/>
  <c r="E2428" i="2"/>
  <c r="G2427" i="2"/>
  <c r="F2427" i="2"/>
  <c r="E2427" i="2"/>
  <c r="G2426" i="2"/>
  <c r="F2426" i="2"/>
  <c r="E2426" i="2"/>
  <c r="G2425" i="2"/>
  <c r="F2425" i="2"/>
  <c r="E2425" i="2"/>
  <c r="G2424" i="2"/>
  <c r="F2424" i="2"/>
  <c r="E2424" i="2"/>
  <c r="G2423" i="2"/>
  <c r="F2423" i="2"/>
  <c r="E2423" i="2"/>
  <c r="G2422" i="2"/>
  <c r="F2422" i="2"/>
  <c r="E2422" i="2"/>
  <c r="G2421" i="2"/>
  <c r="F2421" i="2"/>
  <c r="E2421" i="2"/>
  <c r="G2420" i="2"/>
  <c r="F2420" i="2"/>
  <c r="E2420" i="2"/>
  <c r="G2419" i="2"/>
  <c r="F2419" i="2"/>
  <c r="E2419" i="2"/>
  <c r="G2418" i="2"/>
  <c r="F2418" i="2"/>
  <c r="E2418" i="2"/>
  <c r="G2417" i="2"/>
  <c r="F2417" i="2"/>
  <c r="E2417" i="2"/>
  <c r="G2416" i="2"/>
  <c r="F2416" i="2"/>
  <c r="E2416" i="2"/>
  <c r="G2415" i="2"/>
  <c r="F2415" i="2"/>
  <c r="E2415" i="2"/>
  <c r="G2414" i="2"/>
  <c r="F2414" i="2"/>
  <c r="E2414" i="2"/>
  <c r="G2413" i="2"/>
  <c r="F2413" i="2"/>
  <c r="E2413" i="2"/>
  <c r="G2412" i="2"/>
  <c r="F2412" i="2"/>
  <c r="E2412" i="2"/>
  <c r="G2411" i="2"/>
  <c r="F2411" i="2"/>
  <c r="E2411" i="2"/>
  <c r="G2410" i="2"/>
  <c r="F2410" i="2"/>
  <c r="E2410" i="2"/>
  <c r="G2409" i="2"/>
  <c r="F2409" i="2"/>
  <c r="E2409" i="2"/>
  <c r="G2408" i="2"/>
  <c r="F2408" i="2"/>
  <c r="E2408" i="2"/>
  <c r="G2407" i="2"/>
  <c r="F2407" i="2"/>
  <c r="E2407" i="2"/>
  <c r="G2406" i="2"/>
  <c r="F2406" i="2"/>
  <c r="E2406" i="2"/>
  <c r="G2405" i="2"/>
  <c r="F2405" i="2"/>
  <c r="E2405" i="2"/>
  <c r="G2404" i="2"/>
  <c r="F2404" i="2"/>
  <c r="E2404" i="2"/>
  <c r="G2403" i="2"/>
  <c r="F2403" i="2"/>
  <c r="E2403" i="2"/>
  <c r="G2402" i="2"/>
  <c r="F2402" i="2"/>
  <c r="E2402" i="2"/>
  <c r="G2401" i="2"/>
  <c r="F2401" i="2"/>
  <c r="E2401" i="2"/>
  <c r="G2400" i="2"/>
  <c r="F2400" i="2"/>
  <c r="E2400" i="2"/>
  <c r="G2399" i="2"/>
  <c r="F2399" i="2"/>
  <c r="E2399" i="2"/>
  <c r="G2398" i="2"/>
  <c r="F2398" i="2"/>
  <c r="E2398" i="2"/>
  <c r="G2397" i="2"/>
  <c r="F2397" i="2"/>
  <c r="E2397" i="2"/>
  <c r="G2396" i="2"/>
  <c r="F2396" i="2"/>
  <c r="E2396" i="2"/>
  <c r="G2395" i="2"/>
  <c r="F2395" i="2"/>
  <c r="E2395" i="2"/>
  <c r="G2394" i="2"/>
  <c r="F2394" i="2"/>
  <c r="E2394" i="2"/>
  <c r="G2393" i="2"/>
  <c r="F2393" i="2"/>
  <c r="E2393" i="2"/>
  <c r="G2392" i="2"/>
  <c r="F2392" i="2"/>
  <c r="E2392" i="2"/>
  <c r="G2391" i="2"/>
  <c r="F2391" i="2"/>
  <c r="E2391" i="2"/>
  <c r="G2390" i="2"/>
  <c r="F2390" i="2"/>
  <c r="E2390" i="2"/>
  <c r="G2389" i="2"/>
  <c r="F2389" i="2"/>
  <c r="E2389" i="2"/>
  <c r="G2388" i="2"/>
  <c r="F2388" i="2"/>
  <c r="E2388" i="2"/>
  <c r="G2387" i="2"/>
  <c r="F2387" i="2"/>
  <c r="E2387" i="2"/>
  <c r="G2386" i="2"/>
  <c r="F2386" i="2"/>
  <c r="E2386" i="2"/>
  <c r="G2385" i="2"/>
  <c r="F2385" i="2"/>
  <c r="E2385" i="2"/>
  <c r="G2384" i="2"/>
  <c r="F2384" i="2"/>
  <c r="E2384" i="2"/>
  <c r="G2383" i="2"/>
  <c r="F2383" i="2"/>
  <c r="E2383" i="2"/>
  <c r="G2382" i="2"/>
  <c r="F2382" i="2"/>
  <c r="E2382" i="2"/>
  <c r="G2381" i="2"/>
  <c r="F2381" i="2"/>
  <c r="E2381" i="2"/>
  <c r="G2380" i="2"/>
  <c r="F2380" i="2"/>
  <c r="E2380" i="2"/>
  <c r="G2379" i="2"/>
  <c r="F2379" i="2"/>
  <c r="E2379" i="2"/>
  <c r="G2378" i="2"/>
  <c r="F2378" i="2"/>
  <c r="E2378" i="2"/>
  <c r="G2377" i="2"/>
  <c r="F2377" i="2"/>
  <c r="E2377" i="2"/>
  <c r="G2376" i="2"/>
  <c r="F2376" i="2"/>
  <c r="E2376" i="2"/>
  <c r="G2375" i="2"/>
  <c r="F2375" i="2"/>
  <c r="E2375" i="2"/>
  <c r="G2374" i="2"/>
  <c r="F2374" i="2"/>
  <c r="E2374" i="2"/>
  <c r="G2373" i="2"/>
  <c r="F2373" i="2"/>
  <c r="E2373" i="2"/>
  <c r="G2372" i="2"/>
  <c r="F2372" i="2"/>
  <c r="E2372" i="2"/>
  <c r="G2371" i="2"/>
  <c r="F2371" i="2"/>
  <c r="E2371" i="2"/>
  <c r="G2370" i="2"/>
  <c r="F2370" i="2"/>
  <c r="E2370" i="2"/>
  <c r="G2369" i="2"/>
  <c r="F2369" i="2"/>
  <c r="E2369" i="2"/>
  <c r="G2368" i="2"/>
  <c r="F2368" i="2"/>
  <c r="E2368" i="2"/>
  <c r="G2367" i="2"/>
  <c r="F2367" i="2"/>
  <c r="E2367" i="2"/>
  <c r="G2366" i="2"/>
  <c r="F2366" i="2"/>
  <c r="E2366" i="2"/>
  <c r="G2365" i="2"/>
  <c r="F2365" i="2"/>
  <c r="E2365" i="2"/>
  <c r="G2364" i="2"/>
  <c r="F2364" i="2"/>
  <c r="E2364" i="2"/>
  <c r="G2363" i="2"/>
  <c r="F2363" i="2"/>
  <c r="E2363" i="2"/>
  <c r="G2362" i="2"/>
  <c r="F2362" i="2"/>
  <c r="E2362" i="2"/>
  <c r="G2361" i="2"/>
  <c r="F2361" i="2"/>
  <c r="E2361" i="2"/>
  <c r="G2360" i="2"/>
  <c r="F2360" i="2"/>
  <c r="E2360" i="2"/>
  <c r="G2359" i="2"/>
  <c r="F2359" i="2"/>
  <c r="E2359" i="2"/>
  <c r="G2358" i="2"/>
  <c r="F2358" i="2"/>
  <c r="E2358" i="2"/>
  <c r="G2357" i="2"/>
  <c r="F2357" i="2"/>
  <c r="E2357" i="2"/>
  <c r="G2356" i="2"/>
  <c r="F2356" i="2"/>
  <c r="E2356" i="2"/>
  <c r="G2355" i="2"/>
  <c r="F2355" i="2"/>
  <c r="E2355" i="2"/>
  <c r="G2354" i="2"/>
  <c r="F2354" i="2"/>
  <c r="E2354" i="2"/>
  <c r="G2353" i="2"/>
  <c r="F2353" i="2"/>
  <c r="E2353" i="2"/>
  <c r="G2352" i="2"/>
  <c r="F2352" i="2"/>
  <c r="E2352" i="2"/>
  <c r="G2351" i="2"/>
  <c r="F2351" i="2"/>
  <c r="E2351" i="2"/>
  <c r="G2350" i="2"/>
  <c r="F2350" i="2"/>
  <c r="E2350" i="2"/>
  <c r="G2349" i="2"/>
  <c r="F2349" i="2"/>
  <c r="E2349" i="2"/>
  <c r="G2348" i="2"/>
  <c r="F2348" i="2"/>
  <c r="E2348" i="2"/>
  <c r="G2347" i="2"/>
  <c r="F2347" i="2"/>
  <c r="E2347" i="2"/>
  <c r="G2346" i="2"/>
  <c r="F2346" i="2"/>
  <c r="E2346" i="2"/>
  <c r="G2345" i="2"/>
  <c r="F2345" i="2"/>
  <c r="E2345" i="2"/>
  <c r="G2344" i="2"/>
  <c r="F2344" i="2"/>
  <c r="E2344" i="2"/>
  <c r="G2343" i="2"/>
  <c r="F2343" i="2"/>
  <c r="E2343" i="2"/>
  <c r="G2342" i="2"/>
  <c r="F2342" i="2"/>
  <c r="E2342" i="2"/>
  <c r="G2341" i="2"/>
  <c r="F2341" i="2"/>
  <c r="E2341" i="2"/>
  <c r="G2340" i="2"/>
  <c r="F2340" i="2"/>
  <c r="E2340" i="2"/>
  <c r="G2339" i="2"/>
  <c r="F2339" i="2"/>
  <c r="E2339" i="2"/>
  <c r="G2338" i="2"/>
  <c r="F2338" i="2"/>
  <c r="E2338" i="2"/>
  <c r="G2337" i="2"/>
  <c r="F2337" i="2"/>
  <c r="E2337" i="2"/>
  <c r="G2336" i="2"/>
  <c r="F2336" i="2"/>
  <c r="E2336" i="2"/>
  <c r="G2335" i="2"/>
  <c r="F2335" i="2"/>
  <c r="E2335" i="2"/>
  <c r="G2334" i="2"/>
  <c r="F2334" i="2"/>
  <c r="E2334" i="2"/>
  <c r="G2333" i="2"/>
  <c r="F2333" i="2"/>
  <c r="E2333" i="2"/>
  <c r="G2332" i="2"/>
  <c r="F2332" i="2"/>
  <c r="E2332" i="2"/>
  <c r="G2331" i="2"/>
  <c r="F2331" i="2"/>
  <c r="E2331" i="2"/>
  <c r="G2330" i="2"/>
  <c r="F2330" i="2"/>
  <c r="E2330" i="2"/>
  <c r="G2329" i="2"/>
  <c r="F2329" i="2"/>
  <c r="E2329" i="2"/>
  <c r="G2328" i="2"/>
  <c r="F2328" i="2"/>
  <c r="E2328" i="2"/>
  <c r="G2327" i="2"/>
  <c r="F2327" i="2"/>
  <c r="E2327" i="2"/>
  <c r="G2326" i="2"/>
  <c r="F2326" i="2"/>
  <c r="E2326" i="2"/>
  <c r="G2325" i="2"/>
  <c r="F2325" i="2"/>
  <c r="E2325" i="2"/>
  <c r="G2324" i="2"/>
  <c r="F2324" i="2"/>
  <c r="E2324" i="2"/>
  <c r="G2323" i="2"/>
  <c r="F2323" i="2"/>
  <c r="E2323" i="2"/>
  <c r="G2322" i="2"/>
  <c r="F2322" i="2"/>
  <c r="E2322" i="2"/>
  <c r="G2321" i="2"/>
  <c r="F2321" i="2"/>
  <c r="E2321" i="2"/>
  <c r="G2320" i="2"/>
  <c r="F2320" i="2"/>
  <c r="E2320" i="2"/>
  <c r="G2319" i="2"/>
  <c r="F2319" i="2"/>
  <c r="E2319" i="2"/>
  <c r="G2318" i="2"/>
  <c r="F2318" i="2"/>
  <c r="E2318" i="2"/>
  <c r="G2317" i="2"/>
  <c r="F2317" i="2"/>
  <c r="E2317" i="2"/>
  <c r="G2316" i="2"/>
  <c r="F2316" i="2"/>
  <c r="E2316" i="2"/>
  <c r="G2315" i="2"/>
  <c r="F2315" i="2"/>
  <c r="E2315" i="2"/>
  <c r="G2314" i="2"/>
  <c r="F2314" i="2"/>
  <c r="E2314" i="2"/>
  <c r="G2313" i="2"/>
  <c r="F2313" i="2"/>
  <c r="E2313" i="2"/>
  <c r="G2312" i="2"/>
  <c r="F2312" i="2"/>
  <c r="E2312" i="2"/>
  <c r="G2311" i="2"/>
  <c r="F2311" i="2"/>
  <c r="E2311" i="2"/>
  <c r="G2310" i="2"/>
  <c r="F2310" i="2"/>
  <c r="E2310" i="2"/>
  <c r="G2309" i="2"/>
  <c r="F2309" i="2"/>
  <c r="E2309" i="2"/>
  <c r="G2308" i="2"/>
  <c r="F2308" i="2"/>
  <c r="E2308" i="2"/>
  <c r="G2307" i="2"/>
  <c r="F2307" i="2"/>
  <c r="E2307" i="2"/>
  <c r="G2306" i="2"/>
  <c r="F2306" i="2"/>
  <c r="E2306" i="2"/>
  <c r="G2305" i="2"/>
  <c r="F2305" i="2"/>
  <c r="E2305" i="2"/>
  <c r="G2304" i="2"/>
  <c r="F2304" i="2"/>
  <c r="E2304" i="2"/>
  <c r="G2303" i="2"/>
  <c r="F2303" i="2"/>
  <c r="E2303" i="2"/>
  <c r="G2302" i="2"/>
  <c r="F2302" i="2"/>
  <c r="E2302" i="2"/>
  <c r="G2301" i="2"/>
  <c r="F2301" i="2"/>
  <c r="E2301" i="2"/>
  <c r="G2300" i="2"/>
  <c r="F2300" i="2"/>
  <c r="E2300" i="2"/>
  <c r="G2299" i="2"/>
  <c r="F2299" i="2"/>
  <c r="E2299" i="2"/>
  <c r="G2298" i="2"/>
  <c r="F2298" i="2"/>
  <c r="E2298" i="2"/>
  <c r="G2297" i="2"/>
  <c r="F2297" i="2"/>
  <c r="E2297" i="2"/>
  <c r="G2296" i="2"/>
  <c r="F2296" i="2"/>
  <c r="E2296" i="2"/>
  <c r="G2295" i="2"/>
  <c r="F2295" i="2"/>
  <c r="E2295" i="2"/>
  <c r="G2294" i="2"/>
  <c r="F2294" i="2"/>
  <c r="E2294" i="2"/>
  <c r="G2293" i="2"/>
  <c r="F2293" i="2"/>
  <c r="E2293" i="2"/>
  <c r="G2292" i="2"/>
  <c r="F2292" i="2"/>
  <c r="E2292" i="2"/>
  <c r="G2291" i="2"/>
  <c r="F2291" i="2"/>
  <c r="E2291" i="2"/>
  <c r="G2290" i="2"/>
  <c r="F2290" i="2"/>
  <c r="E2290" i="2"/>
  <c r="G2289" i="2"/>
  <c r="F2289" i="2"/>
  <c r="E2289" i="2"/>
  <c r="G2288" i="2"/>
  <c r="F2288" i="2"/>
  <c r="E2288" i="2"/>
  <c r="G2287" i="2"/>
  <c r="F2287" i="2"/>
  <c r="E2287" i="2"/>
  <c r="G2286" i="2"/>
  <c r="F2286" i="2"/>
  <c r="E2286" i="2"/>
  <c r="G2285" i="2"/>
  <c r="F2285" i="2"/>
  <c r="E2285" i="2"/>
  <c r="G2284" i="2"/>
  <c r="F2284" i="2"/>
  <c r="E2284" i="2"/>
  <c r="G2283" i="2"/>
  <c r="F2283" i="2"/>
  <c r="E2283" i="2"/>
  <c r="G2282" i="2"/>
  <c r="F2282" i="2"/>
  <c r="E2282" i="2"/>
  <c r="G2281" i="2"/>
  <c r="F2281" i="2"/>
  <c r="E2281" i="2"/>
  <c r="G2280" i="2"/>
  <c r="F2280" i="2"/>
  <c r="E2280" i="2"/>
  <c r="G2279" i="2"/>
  <c r="F2279" i="2"/>
  <c r="E2279" i="2"/>
  <c r="G2278" i="2"/>
  <c r="F2278" i="2"/>
  <c r="E2278" i="2"/>
  <c r="G2277" i="2"/>
  <c r="F2277" i="2"/>
  <c r="E2277" i="2"/>
  <c r="G2276" i="2"/>
  <c r="F2276" i="2"/>
  <c r="E2276" i="2"/>
  <c r="G2275" i="2"/>
  <c r="F2275" i="2"/>
  <c r="E2275" i="2"/>
  <c r="G2274" i="2"/>
  <c r="F2274" i="2"/>
  <c r="E2274" i="2"/>
  <c r="G2273" i="2"/>
  <c r="F2273" i="2"/>
  <c r="E2273" i="2"/>
  <c r="G2272" i="2"/>
  <c r="F2272" i="2"/>
  <c r="E2272" i="2"/>
  <c r="G2271" i="2"/>
  <c r="F2271" i="2"/>
  <c r="E2271" i="2"/>
  <c r="G2270" i="2"/>
  <c r="F2270" i="2"/>
  <c r="E2270" i="2"/>
  <c r="G2269" i="2"/>
  <c r="F2269" i="2"/>
  <c r="E2269" i="2"/>
  <c r="G2268" i="2"/>
  <c r="F2268" i="2"/>
  <c r="E2268" i="2"/>
  <c r="G2267" i="2"/>
  <c r="F2267" i="2"/>
  <c r="E2267" i="2"/>
  <c r="G2266" i="2"/>
  <c r="F2266" i="2"/>
  <c r="E2266" i="2"/>
  <c r="G2265" i="2"/>
  <c r="F2265" i="2"/>
  <c r="E2265" i="2"/>
  <c r="G2264" i="2"/>
  <c r="F2264" i="2"/>
  <c r="E2264" i="2"/>
  <c r="G2263" i="2"/>
  <c r="F2263" i="2"/>
  <c r="E2263" i="2"/>
  <c r="G2262" i="2"/>
  <c r="F2262" i="2"/>
  <c r="E2262" i="2"/>
  <c r="G2261" i="2"/>
  <c r="F2261" i="2"/>
  <c r="E2261" i="2"/>
  <c r="G2260" i="2"/>
  <c r="F2260" i="2"/>
  <c r="E2260" i="2"/>
  <c r="G2259" i="2"/>
  <c r="F2259" i="2"/>
  <c r="E2259" i="2"/>
  <c r="G2258" i="2"/>
  <c r="F2258" i="2"/>
  <c r="E2258" i="2"/>
  <c r="G2257" i="2"/>
  <c r="F2257" i="2"/>
  <c r="E2257" i="2"/>
  <c r="G2256" i="2"/>
  <c r="F2256" i="2"/>
  <c r="E2256" i="2"/>
  <c r="G2255" i="2"/>
  <c r="F2255" i="2"/>
  <c r="E2255" i="2"/>
  <c r="G2254" i="2"/>
  <c r="F2254" i="2"/>
  <c r="E2254" i="2"/>
  <c r="G2253" i="2"/>
  <c r="F2253" i="2"/>
  <c r="E2253" i="2"/>
  <c r="G2252" i="2"/>
  <c r="F2252" i="2"/>
  <c r="E2252" i="2"/>
  <c r="G2251" i="2"/>
  <c r="F2251" i="2"/>
  <c r="E2251" i="2"/>
  <c r="G2250" i="2"/>
  <c r="F2250" i="2"/>
  <c r="E2250" i="2"/>
  <c r="G2249" i="2"/>
  <c r="F2249" i="2"/>
  <c r="E2249" i="2"/>
  <c r="G2248" i="2"/>
  <c r="F2248" i="2"/>
  <c r="E2248" i="2"/>
  <c r="G2247" i="2"/>
  <c r="F2247" i="2"/>
  <c r="E2247" i="2"/>
  <c r="G2246" i="2"/>
  <c r="F2246" i="2"/>
  <c r="E2246" i="2"/>
  <c r="G2245" i="2"/>
  <c r="F2245" i="2"/>
  <c r="E2245" i="2"/>
  <c r="G2244" i="2"/>
  <c r="F2244" i="2"/>
  <c r="E2244" i="2"/>
  <c r="G2243" i="2"/>
  <c r="F2243" i="2"/>
  <c r="E2243" i="2"/>
  <c r="G2242" i="2"/>
  <c r="F2242" i="2"/>
  <c r="E2242" i="2"/>
  <c r="G2241" i="2"/>
  <c r="F2241" i="2"/>
  <c r="E2241" i="2"/>
  <c r="G2240" i="2"/>
  <c r="F2240" i="2"/>
  <c r="E2240" i="2"/>
  <c r="G2239" i="2"/>
  <c r="F2239" i="2"/>
  <c r="E2239" i="2"/>
  <c r="G2238" i="2"/>
  <c r="F2238" i="2"/>
  <c r="E2238" i="2"/>
  <c r="G2237" i="2"/>
  <c r="F2237" i="2"/>
  <c r="E2237" i="2"/>
  <c r="G2236" i="2"/>
  <c r="F2236" i="2"/>
  <c r="E2236" i="2"/>
  <c r="G2235" i="2"/>
  <c r="F2235" i="2"/>
  <c r="E2235" i="2"/>
  <c r="G2234" i="2"/>
  <c r="F2234" i="2"/>
  <c r="E2234" i="2"/>
  <c r="G2233" i="2"/>
  <c r="F2233" i="2"/>
  <c r="E2233" i="2"/>
  <c r="G2232" i="2"/>
  <c r="F2232" i="2"/>
  <c r="E2232" i="2"/>
  <c r="G2231" i="2"/>
  <c r="F2231" i="2"/>
  <c r="E2231" i="2"/>
  <c r="G2230" i="2"/>
  <c r="F2230" i="2"/>
  <c r="E2230" i="2"/>
  <c r="G2229" i="2"/>
  <c r="F2229" i="2"/>
  <c r="E2229" i="2"/>
  <c r="G2228" i="2"/>
  <c r="F2228" i="2"/>
  <c r="E2228" i="2"/>
  <c r="G2227" i="2"/>
  <c r="F2227" i="2"/>
  <c r="E2227" i="2"/>
  <c r="G2226" i="2"/>
  <c r="F2226" i="2"/>
  <c r="E2226" i="2"/>
  <c r="G2225" i="2"/>
  <c r="F2225" i="2"/>
  <c r="E2225" i="2"/>
  <c r="G2224" i="2"/>
  <c r="F2224" i="2"/>
  <c r="E2224" i="2"/>
  <c r="G2223" i="2"/>
  <c r="F2223" i="2"/>
  <c r="E2223" i="2"/>
  <c r="G2222" i="2"/>
  <c r="F2222" i="2"/>
  <c r="E2222" i="2"/>
  <c r="G2221" i="2"/>
  <c r="F2221" i="2"/>
  <c r="E2221" i="2"/>
  <c r="G2220" i="2"/>
  <c r="F2220" i="2"/>
  <c r="E2220" i="2"/>
  <c r="G2219" i="2"/>
  <c r="F2219" i="2"/>
  <c r="E2219" i="2"/>
  <c r="G2218" i="2"/>
  <c r="F2218" i="2"/>
  <c r="E2218" i="2"/>
  <c r="G2217" i="2"/>
  <c r="F2217" i="2"/>
  <c r="E2217" i="2"/>
  <c r="G2216" i="2"/>
  <c r="F2216" i="2"/>
  <c r="E2216" i="2"/>
  <c r="G2215" i="2"/>
  <c r="F2215" i="2"/>
  <c r="E2215" i="2"/>
  <c r="G2214" i="2"/>
  <c r="F2214" i="2"/>
  <c r="E2214" i="2"/>
  <c r="G2213" i="2"/>
  <c r="F2213" i="2"/>
  <c r="E2213" i="2"/>
  <c r="G2212" i="2"/>
  <c r="F2212" i="2"/>
  <c r="E2212" i="2"/>
  <c r="G2211" i="2"/>
  <c r="F2211" i="2"/>
  <c r="E2211" i="2"/>
  <c r="G2210" i="2"/>
  <c r="F2210" i="2"/>
  <c r="E2210" i="2"/>
  <c r="G2209" i="2"/>
  <c r="F2209" i="2"/>
  <c r="E2209" i="2"/>
  <c r="G2208" i="2"/>
  <c r="F2208" i="2"/>
  <c r="E2208" i="2"/>
  <c r="G2207" i="2"/>
  <c r="F2207" i="2"/>
  <c r="E2207" i="2"/>
  <c r="G2206" i="2"/>
  <c r="F2206" i="2"/>
  <c r="E2206" i="2"/>
  <c r="G2205" i="2"/>
  <c r="F2205" i="2"/>
  <c r="E2205" i="2"/>
  <c r="G2204" i="2"/>
  <c r="F2204" i="2"/>
  <c r="E2204" i="2"/>
  <c r="G2203" i="2"/>
  <c r="F2203" i="2"/>
  <c r="E2203" i="2"/>
  <c r="G2202" i="2"/>
  <c r="F2202" i="2"/>
  <c r="E2202" i="2"/>
  <c r="G2201" i="2"/>
  <c r="F2201" i="2"/>
  <c r="E2201" i="2"/>
  <c r="G2200" i="2"/>
  <c r="F2200" i="2"/>
  <c r="E2200" i="2"/>
  <c r="G2199" i="2"/>
  <c r="F2199" i="2"/>
  <c r="E2199" i="2"/>
  <c r="G2198" i="2"/>
  <c r="F2198" i="2"/>
  <c r="E2198" i="2"/>
  <c r="G2197" i="2"/>
  <c r="F2197" i="2"/>
  <c r="E2197" i="2"/>
  <c r="G2196" i="2"/>
  <c r="F2196" i="2"/>
  <c r="E2196" i="2"/>
  <c r="G2195" i="2"/>
  <c r="F2195" i="2"/>
  <c r="E2195" i="2"/>
  <c r="G2194" i="2"/>
  <c r="F2194" i="2"/>
  <c r="E2194" i="2"/>
  <c r="G2193" i="2"/>
  <c r="F2193" i="2"/>
  <c r="E2193" i="2"/>
  <c r="G2192" i="2"/>
  <c r="F2192" i="2"/>
  <c r="E2192" i="2"/>
  <c r="G2191" i="2"/>
  <c r="F2191" i="2"/>
  <c r="E2191" i="2"/>
  <c r="G2190" i="2"/>
  <c r="F2190" i="2"/>
  <c r="E2190" i="2"/>
  <c r="G2189" i="2"/>
  <c r="F2189" i="2"/>
  <c r="E2189" i="2"/>
  <c r="G2188" i="2"/>
  <c r="F2188" i="2"/>
  <c r="E2188" i="2"/>
  <c r="G2187" i="2"/>
  <c r="F2187" i="2"/>
  <c r="E2187" i="2"/>
  <c r="G2186" i="2"/>
  <c r="F2186" i="2"/>
  <c r="E2186" i="2"/>
  <c r="G2185" i="2"/>
  <c r="F2185" i="2"/>
  <c r="E2185" i="2"/>
  <c r="G2184" i="2"/>
  <c r="F2184" i="2"/>
  <c r="E2184" i="2"/>
  <c r="G2183" i="2"/>
  <c r="F2183" i="2"/>
  <c r="E2183" i="2"/>
  <c r="G2182" i="2"/>
  <c r="F2182" i="2"/>
  <c r="E2182" i="2"/>
  <c r="G2181" i="2"/>
  <c r="F2181" i="2"/>
  <c r="E2181" i="2"/>
  <c r="G2180" i="2"/>
  <c r="F2180" i="2"/>
  <c r="E2180" i="2"/>
  <c r="G2179" i="2"/>
  <c r="F2179" i="2"/>
  <c r="E2179" i="2"/>
  <c r="G2178" i="2"/>
  <c r="F2178" i="2"/>
  <c r="E2178" i="2"/>
  <c r="G2177" i="2"/>
  <c r="F2177" i="2"/>
  <c r="E2177" i="2"/>
  <c r="G2176" i="2"/>
  <c r="F2176" i="2"/>
  <c r="E2176" i="2"/>
  <c r="G2175" i="2"/>
  <c r="F2175" i="2"/>
  <c r="E2175" i="2"/>
  <c r="G2174" i="2"/>
  <c r="F2174" i="2"/>
  <c r="E2174" i="2"/>
  <c r="G2173" i="2"/>
  <c r="F2173" i="2"/>
  <c r="E2173" i="2"/>
  <c r="G2172" i="2"/>
  <c r="F2172" i="2"/>
  <c r="E2172" i="2"/>
  <c r="G2171" i="2"/>
  <c r="F2171" i="2"/>
  <c r="E2171" i="2"/>
  <c r="G2170" i="2"/>
  <c r="F2170" i="2"/>
  <c r="E2170" i="2"/>
  <c r="G2169" i="2"/>
  <c r="F2169" i="2"/>
  <c r="E2169" i="2"/>
  <c r="G2168" i="2"/>
  <c r="F2168" i="2"/>
  <c r="E2168" i="2"/>
  <c r="G2167" i="2"/>
  <c r="F2167" i="2"/>
  <c r="E2167" i="2"/>
  <c r="G2166" i="2"/>
  <c r="F2166" i="2"/>
  <c r="E2166" i="2"/>
  <c r="G2165" i="2"/>
  <c r="F2165" i="2"/>
  <c r="E2165" i="2"/>
  <c r="G2164" i="2"/>
  <c r="F2164" i="2"/>
  <c r="E2164" i="2"/>
  <c r="G2163" i="2"/>
  <c r="F2163" i="2"/>
  <c r="E2163" i="2"/>
  <c r="G2162" i="2"/>
  <c r="F2162" i="2"/>
  <c r="E2162" i="2"/>
  <c r="G2161" i="2"/>
  <c r="F2161" i="2"/>
  <c r="E2161" i="2"/>
  <c r="G2160" i="2"/>
  <c r="F2160" i="2"/>
  <c r="E2160" i="2"/>
  <c r="G2159" i="2"/>
  <c r="F2159" i="2"/>
  <c r="E2159" i="2"/>
  <c r="G2158" i="2"/>
  <c r="F2158" i="2"/>
  <c r="E2158" i="2"/>
  <c r="G2157" i="2"/>
  <c r="F2157" i="2"/>
  <c r="E2157" i="2"/>
  <c r="G2156" i="2"/>
  <c r="F2156" i="2"/>
  <c r="E2156" i="2"/>
  <c r="G2155" i="2"/>
  <c r="F2155" i="2"/>
  <c r="E2155" i="2"/>
  <c r="G2154" i="2"/>
  <c r="F2154" i="2"/>
  <c r="E2154" i="2"/>
  <c r="G2153" i="2"/>
  <c r="F2153" i="2"/>
  <c r="E2153" i="2"/>
  <c r="G2152" i="2"/>
  <c r="F2152" i="2"/>
  <c r="E2152" i="2"/>
  <c r="G2151" i="2"/>
  <c r="F2151" i="2"/>
  <c r="E2151" i="2"/>
  <c r="G2150" i="2"/>
  <c r="F2150" i="2"/>
  <c r="E2150" i="2"/>
  <c r="G2149" i="2"/>
  <c r="F2149" i="2"/>
  <c r="E2149" i="2"/>
  <c r="G2148" i="2"/>
  <c r="F2148" i="2"/>
  <c r="E2148" i="2"/>
  <c r="G2147" i="2"/>
  <c r="F2147" i="2"/>
  <c r="E2147" i="2"/>
  <c r="G2146" i="2"/>
  <c r="F2146" i="2"/>
  <c r="E2146" i="2"/>
  <c r="G2145" i="2"/>
  <c r="F2145" i="2"/>
  <c r="E2145" i="2"/>
  <c r="G2144" i="2"/>
  <c r="F2144" i="2"/>
  <c r="E2144" i="2"/>
  <c r="G2143" i="2"/>
  <c r="F2143" i="2"/>
  <c r="E2143" i="2"/>
  <c r="G2142" i="2"/>
  <c r="F2142" i="2"/>
  <c r="E2142" i="2"/>
  <c r="G2141" i="2"/>
  <c r="F2141" i="2"/>
  <c r="E2141" i="2"/>
  <c r="G2140" i="2"/>
  <c r="F2140" i="2"/>
  <c r="E2140" i="2"/>
  <c r="G2139" i="2"/>
  <c r="F2139" i="2"/>
  <c r="E2139" i="2"/>
  <c r="G2138" i="2"/>
  <c r="F2138" i="2"/>
  <c r="E2138" i="2"/>
  <c r="G2137" i="2"/>
  <c r="F2137" i="2"/>
  <c r="E2137" i="2"/>
  <c r="G2136" i="2"/>
  <c r="F2136" i="2"/>
  <c r="E2136" i="2"/>
  <c r="G2135" i="2"/>
  <c r="F2135" i="2"/>
  <c r="E2135" i="2"/>
  <c r="G2134" i="2"/>
  <c r="F2134" i="2"/>
  <c r="E2134" i="2"/>
  <c r="G2133" i="2"/>
  <c r="F2133" i="2"/>
  <c r="E2133" i="2"/>
  <c r="G2132" i="2"/>
  <c r="F2132" i="2"/>
  <c r="E2132" i="2"/>
  <c r="G2131" i="2"/>
  <c r="F2131" i="2"/>
  <c r="E2131" i="2"/>
  <c r="G2130" i="2"/>
  <c r="F2130" i="2"/>
  <c r="E2130" i="2"/>
  <c r="G2129" i="2"/>
  <c r="F2129" i="2"/>
  <c r="E2129" i="2"/>
  <c r="G2128" i="2"/>
  <c r="F2128" i="2"/>
  <c r="E2128" i="2"/>
  <c r="G2127" i="2"/>
  <c r="F2127" i="2"/>
  <c r="E2127" i="2"/>
  <c r="G2126" i="2"/>
  <c r="F2126" i="2"/>
  <c r="E2126" i="2"/>
  <c r="G2125" i="2"/>
  <c r="F2125" i="2"/>
  <c r="E2125" i="2"/>
  <c r="G2124" i="2"/>
  <c r="F2124" i="2"/>
  <c r="E2124" i="2"/>
  <c r="G2123" i="2"/>
  <c r="F2123" i="2"/>
  <c r="E2123" i="2"/>
  <c r="G2122" i="2"/>
  <c r="F2122" i="2"/>
  <c r="E2122" i="2"/>
  <c r="G2121" i="2"/>
  <c r="F2121" i="2"/>
  <c r="E2121" i="2"/>
  <c r="G2120" i="2"/>
  <c r="F2120" i="2"/>
  <c r="E2120" i="2"/>
  <c r="G2119" i="2"/>
  <c r="F2119" i="2"/>
  <c r="E2119" i="2"/>
  <c r="G2118" i="2"/>
  <c r="F2118" i="2"/>
  <c r="E2118" i="2"/>
  <c r="G2117" i="2"/>
  <c r="F2117" i="2"/>
  <c r="E2117" i="2"/>
  <c r="G2116" i="2"/>
  <c r="F2116" i="2"/>
  <c r="E2116" i="2"/>
  <c r="G2115" i="2"/>
  <c r="F2115" i="2"/>
  <c r="E2115" i="2"/>
  <c r="G2114" i="2"/>
  <c r="F2114" i="2"/>
  <c r="E2114" i="2"/>
  <c r="G2113" i="2"/>
  <c r="F2113" i="2"/>
  <c r="E2113" i="2"/>
  <c r="G2112" i="2"/>
  <c r="F2112" i="2"/>
  <c r="E2112" i="2"/>
  <c r="G2111" i="2"/>
  <c r="F2111" i="2"/>
  <c r="E2111" i="2"/>
  <c r="G2110" i="2"/>
  <c r="F2110" i="2"/>
  <c r="E2110" i="2"/>
  <c r="G2109" i="2"/>
  <c r="F2109" i="2"/>
  <c r="E2109" i="2"/>
  <c r="G2108" i="2"/>
  <c r="F2108" i="2"/>
  <c r="E2108" i="2"/>
  <c r="G2107" i="2"/>
  <c r="F2107" i="2"/>
  <c r="E2107" i="2"/>
  <c r="G2106" i="2"/>
  <c r="F2106" i="2"/>
  <c r="E2106" i="2"/>
  <c r="G2105" i="2"/>
  <c r="F2105" i="2"/>
  <c r="E2105" i="2"/>
  <c r="G2104" i="2"/>
  <c r="F2104" i="2"/>
  <c r="E2104" i="2"/>
  <c r="G2103" i="2"/>
  <c r="F2103" i="2"/>
  <c r="E2103" i="2"/>
  <c r="G2102" i="2"/>
  <c r="F2102" i="2"/>
  <c r="E2102" i="2"/>
  <c r="G2101" i="2"/>
  <c r="F2101" i="2"/>
  <c r="E2101" i="2"/>
  <c r="G2100" i="2"/>
  <c r="F2100" i="2"/>
  <c r="E2100" i="2"/>
  <c r="G2099" i="2"/>
  <c r="F2099" i="2"/>
  <c r="E2099" i="2"/>
  <c r="G2098" i="2"/>
  <c r="F2098" i="2"/>
  <c r="E2098" i="2"/>
  <c r="G2097" i="2"/>
  <c r="F2097" i="2"/>
  <c r="E2097" i="2"/>
  <c r="G2096" i="2"/>
  <c r="F2096" i="2"/>
  <c r="E2096" i="2"/>
  <c r="G2095" i="2"/>
  <c r="F2095" i="2"/>
  <c r="E2095" i="2"/>
  <c r="G2094" i="2"/>
  <c r="F2094" i="2"/>
  <c r="E2094" i="2"/>
  <c r="G2093" i="2"/>
  <c r="F2093" i="2"/>
  <c r="E2093" i="2"/>
  <c r="G2092" i="2"/>
  <c r="F2092" i="2"/>
  <c r="E2092" i="2"/>
  <c r="G2091" i="2"/>
  <c r="F2091" i="2"/>
  <c r="E2091" i="2"/>
  <c r="G2090" i="2"/>
  <c r="F2090" i="2"/>
  <c r="E2090" i="2"/>
  <c r="G2089" i="2"/>
  <c r="F2089" i="2"/>
  <c r="E2089" i="2"/>
  <c r="G2088" i="2"/>
  <c r="F2088" i="2"/>
  <c r="E2088" i="2"/>
  <c r="G2087" i="2"/>
  <c r="F2087" i="2"/>
  <c r="E2087" i="2"/>
  <c r="G2086" i="2"/>
  <c r="F2086" i="2"/>
  <c r="E2086" i="2"/>
  <c r="G2085" i="2"/>
  <c r="F2085" i="2"/>
  <c r="E2085" i="2"/>
  <c r="G2084" i="2"/>
  <c r="F2084" i="2"/>
  <c r="E2084" i="2"/>
  <c r="G2083" i="2"/>
  <c r="F2083" i="2"/>
  <c r="E2083" i="2"/>
  <c r="G2082" i="2"/>
  <c r="F2082" i="2"/>
  <c r="E2082" i="2"/>
  <c r="G2081" i="2"/>
  <c r="F2081" i="2"/>
  <c r="E2081" i="2"/>
  <c r="G2080" i="2"/>
  <c r="F2080" i="2"/>
  <c r="E2080" i="2"/>
  <c r="G2079" i="2"/>
  <c r="F2079" i="2"/>
  <c r="E2079" i="2"/>
  <c r="G2078" i="2"/>
  <c r="F2078" i="2"/>
  <c r="E2078" i="2"/>
  <c r="G2077" i="2"/>
  <c r="F2077" i="2"/>
  <c r="E2077" i="2"/>
  <c r="G2076" i="2"/>
  <c r="F2076" i="2"/>
  <c r="E2076" i="2"/>
  <c r="G2075" i="2"/>
  <c r="F2075" i="2"/>
  <c r="E2075" i="2"/>
  <c r="G2074" i="2"/>
  <c r="F2074" i="2"/>
  <c r="E2074" i="2"/>
  <c r="G2073" i="2"/>
  <c r="F2073" i="2"/>
  <c r="E2073" i="2"/>
  <c r="G2072" i="2"/>
  <c r="F2072" i="2"/>
  <c r="E2072" i="2"/>
  <c r="G2071" i="2"/>
  <c r="F2071" i="2"/>
  <c r="E2071" i="2"/>
  <c r="G2070" i="2"/>
  <c r="F2070" i="2"/>
  <c r="E2070" i="2"/>
  <c r="G2069" i="2"/>
  <c r="F2069" i="2"/>
  <c r="E2069" i="2"/>
  <c r="G2068" i="2"/>
  <c r="F2068" i="2"/>
  <c r="E2068" i="2"/>
  <c r="G2067" i="2"/>
  <c r="F2067" i="2"/>
  <c r="E2067" i="2"/>
  <c r="G2066" i="2"/>
  <c r="F2066" i="2"/>
  <c r="E2066" i="2"/>
  <c r="G2065" i="2"/>
  <c r="F2065" i="2"/>
  <c r="E2065" i="2"/>
  <c r="G2064" i="2"/>
  <c r="F2064" i="2"/>
  <c r="E2064" i="2"/>
  <c r="G2063" i="2"/>
  <c r="F2063" i="2"/>
  <c r="E2063" i="2"/>
  <c r="G2062" i="2"/>
  <c r="F2062" i="2"/>
  <c r="E2062" i="2"/>
  <c r="G2061" i="2"/>
  <c r="F2061" i="2"/>
  <c r="E2061" i="2"/>
  <c r="G2060" i="2"/>
  <c r="F2060" i="2"/>
  <c r="E2060" i="2"/>
  <c r="G2059" i="2"/>
  <c r="F2059" i="2"/>
  <c r="E2059" i="2"/>
  <c r="G2058" i="2"/>
  <c r="F2058" i="2"/>
  <c r="E2058" i="2"/>
  <c r="G2057" i="2"/>
  <c r="F2057" i="2"/>
  <c r="E2057" i="2"/>
  <c r="G2056" i="2"/>
  <c r="F2056" i="2"/>
  <c r="E2056" i="2"/>
  <c r="G2055" i="2"/>
  <c r="F2055" i="2"/>
  <c r="E2055" i="2"/>
  <c r="G2054" i="2"/>
  <c r="F2054" i="2"/>
  <c r="E2054" i="2"/>
  <c r="G2053" i="2"/>
  <c r="F2053" i="2"/>
  <c r="E2053" i="2"/>
  <c r="G2052" i="2"/>
  <c r="F2052" i="2"/>
  <c r="E2052" i="2"/>
  <c r="G2051" i="2"/>
  <c r="F2051" i="2"/>
  <c r="E2051" i="2"/>
  <c r="G2050" i="2"/>
  <c r="F2050" i="2"/>
  <c r="E2050" i="2"/>
  <c r="G2049" i="2"/>
  <c r="F2049" i="2"/>
  <c r="E2049" i="2"/>
  <c r="G2048" i="2"/>
  <c r="F2048" i="2"/>
  <c r="E2048" i="2"/>
  <c r="G2047" i="2"/>
  <c r="F2047" i="2"/>
  <c r="E2047" i="2"/>
  <c r="G2046" i="2"/>
  <c r="F2046" i="2"/>
  <c r="E2046" i="2"/>
  <c r="G2045" i="2"/>
  <c r="F2045" i="2"/>
  <c r="E2045" i="2"/>
  <c r="G2044" i="2"/>
  <c r="F2044" i="2"/>
  <c r="E2044" i="2"/>
  <c r="G2043" i="2"/>
  <c r="F2043" i="2"/>
  <c r="E2043" i="2"/>
  <c r="G2042" i="2"/>
  <c r="F2042" i="2"/>
  <c r="E2042" i="2"/>
  <c r="G2041" i="2"/>
  <c r="F2041" i="2"/>
  <c r="E2041" i="2"/>
  <c r="G2040" i="2"/>
  <c r="F2040" i="2"/>
  <c r="E2040" i="2"/>
  <c r="G2039" i="2"/>
  <c r="F2039" i="2"/>
  <c r="E2039" i="2"/>
  <c r="G2038" i="2"/>
  <c r="F2038" i="2"/>
  <c r="E2038" i="2"/>
  <c r="G2037" i="2"/>
  <c r="F2037" i="2"/>
  <c r="E2037" i="2"/>
  <c r="G2036" i="2"/>
  <c r="F2036" i="2"/>
  <c r="E2036" i="2"/>
  <c r="G2035" i="2"/>
  <c r="F2035" i="2"/>
  <c r="E2035" i="2"/>
  <c r="G2034" i="2"/>
  <c r="F2034" i="2"/>
  <c r="E2034" i="2"/>
  <c r="G2033" i="2"/>
  <c r="F2033" i="2"/>
  <c r="E2033" i="2"/>
  <c r="G2032" i="2"/>
  <c r="F2032" i="2"/>
  <c r="E2032" i="2"/>
  <c r="G2031" i="2"/>
  <c r="F2031" i="2"/>
  <c r="E2031" i="2"/>
  <c r="G2030" i="2"/>
  <c r="F2030" i="2"/>
  <c r="E2030" i="2"/>
  <c r="G2029" i="2"/>
  <c r="F2029" i="2"/>
  <c r="E2029" i="2"/>
  <c r="G2028" i="2"/>
  <c r="F2028" i="2"/>
  <c r="E2028" i="2"/>
  <c r="G2027" i="2"/>
  <c r="F2027" i="2"/>
  <c r="E2027" i="2"/>
  <c r="G2026" i="2"/>
  <c r="F2026" i="2"/>
  <c r="E2026" i="2"/>
  <c r="G2025" i="2"/>
  <c r="F2025" i="2"/>
  <c r="E2025" i="2"/>
  <c r="G2024" i="2"/>
  <c r="F2024" i="2"/>
  <c r="E2024" i="2"/>
  <c r="G2023" i="2"/>
  <c r="F2023" i="2"/>
  <c r="E2023" i="2"/>
  <c r="G2022" i="2"/>
  <c r="F2022" i="2"/>
  <c r="E2022" i="2"/>
  <c r="G2021" i="2"/>
  <c r="F2021" i="2"/>
  <c r="E2021" i="2"/>
  <c r="G2020" i="2"/>
  <c r="F2020" i="2"/>
  <c r="E2020" i="2"/>
  <c r="G2019" i="2"/>
  <c r="F2019" i="2"/>
  <c r="E2019" i="2"/>
  <c r="G2018" i="2"/>
  <c r="F2018" i="2"/>
  <c r="E2018" i="2"/>
  <c r="G2017" i="2"/>
  <c r="F2017" i="2"/>
  <c r="E2017" i="2"/>
  <c r="G2016" i="2"/>
  <c r="F2016" i="2"/>
  <c r="E2016" i="2"/>
  <c r="G2015" i="2"/>
  <c r="F2015" i="2"/>
  <c r="E2015" i="2"/>
  <c r="G2014" i="2"/>
  <c r="F2014" i="2"/>
  <c r="E2014" i="2"/>
  <c r="G2013" i="2"/>
  <c r="F2013" i="2"/>
  <c r="E2013" i="2"/>
  <c r="G2012" i="2"/>
  <c r="F2012" i="2"/>
  <c r="E2012" i="2"/>
  <c r="G2011" i="2"/>
  <c r="F2011" i="2"/>
  <c r="E2011" i="2"/>
  <c r="G2010" i="2"/>
  <c r="F2010" i="2"/>
  <c r="E2010" i="2"/>
  <c r="G2009" i="2"/>
  <c r="F2009" i="2"/>
  <c r="E2009" i="2"/>
  <c r="G2008" i="2"/>
  <c r="F2008" i="2"/>
  <c r="E2008" i="2"/>
  <c r="G2007" i="2"/>
  <c r="F2007" i="2"/>
  <c r="E2007" i="2"/>
  <c r="G2006" i="2"/>
  <c r="F2006" i="2"/>
  <c r="E2006" i="2"/>
  <c r="G2005" i="2"/>
  <c r="F2005" i="2"/>
  <c r="E2005" i="2"/>
  <c r="G2004" i="2"/>
  <c r="F2004" i="2"/>
  <c r="E2004" i="2"/>
  <c r="G2003" i="2"/>
  <c r="F2003" i="2"/>
  <c r="E2003" i="2"/>
  <c r="G2002" i="2"/>
  <c r="F2002" i="2"/>
  <c r="E2002" i="2"/>
  <c r="G2001" i="2"/>
  <c r="F2001" i="2"/>
  <c r="E2001" i="2"/>
  <c r="G2000" i="2"/>
  <c r="F2000" i="2"/>
  <c r="E2000" i="2"/>
  <c r="G1999" i="2"/>
  <c r="F1999" i="2"/>
  <c r="E1999" i="2"/>
  <c r="G1998" i="2"/>
  <c r="F1998" i="2"/>
  <c r="E1998" i="2"/>
  <c r="G1997" i="2"/>
  <c r="F1997" i="2"/>
  <c r="E1997" i="2"/>
  <c r="G1996" i="2"/>
  <c r="F1996" i="2"/>
  <c r="E1996" i="2"/>
  <c r="G1995" i="2"/>
  <c r="F1995" i="2"/>
  <c r="E1995" i="2"/>
  <c r="G1994" i="2"/>
  <c r="F1994" i="2"/>
  <c r="E1994" i="2"/>
  <c r="G1993" i="2"/>
  <c r="F1993" i="2"/>
  <c r="E1993" i="2"/>
  <c r="G1992" i="2"/>
  <c r="F1992" i="2"/>
  <c r="E1992" i="2"/>
  <c r="G1991" i="2"/>
  <c r="F1991" i="2"/>
  <c r="E1991" i="2"/>
  <c r="G1990" i="2"/>
  <c r="F1990" i="2"/>
  <c r="E1990" i="2"/>
  <c r="G1989" i="2"/>
  <c r="F1989" i="2"/>
  <c r="E1989" i="2"/>
  <c r="G1988" i="2"/>
  <c r="F1988" i="2"/>
  <c r="E1988" i="2"/>
  <c r="G1987" i="2"/>
  <c r="F1987" i="2"/>
  <c r="E1987" i="2"/>
  <c r="G1986" i="2"/>
  <c r="F1986" i="2"/>
  <c r="E1986" i="2"/>
  <c r="G1985" i="2"/>
  <c r="F1985" i="2"/>
  <c r="E1985" i="2"/>
  <c r="G1984" i="2"/>
  <c r="F1984" i="2"/>
  <c r="E1984" i="2"/>
  <c r="G1983" i="2"/>
  <c r="F1983" i="2"/>
  <c r="E1983" i="2"/>
  <c r="G1982" i="2"/>
  <c r="F1982" i="2"/>
  <c r="E1982" i="2"/>
  <c r="G1981" i="2"/>
  <c r="F1981" i="2"/>
  <c r="E1981" i="2"/>
  <c r="G1980" i="2"/>
  <c r="F1980" i="2"/>
  <c r="E1980" i="2"/>
  <c r="G1979" i="2"/>
  <c r="F1979" i="2"/>
  <c r="E1979" i="2"/>
  <c r="G1978" i="2"/>
  <c r="F1978" i="2"/>
  <c r="E1978" i="2"/>
  <c r="G1977" i="2"/>
  <c r="F1977" i="2"/>
  <c r="E1977" i="2"/>
  <c r="G1976" i="2"/>
  <c r="F1976" i="2"/>
  <c r="E1976" i="2"/>
  <c r="G1975" i="2"/>
  <c r="F1975" i="2"/>
  <c r="E1975" i="2"/>
  <c r="G1974" i="2"/>
  <c r="F1974" i="2"/>
  <c r="E1974" i="2"/>
  <c r="G1973" i="2"/>
  <c r="F1973" i="2"/>
  <c r="E1973" i="2"/>
  <c r="G1972" i="2"/>
  <c r="F1972" i="2"/>
  <c r="E1972" i="2"/>
  <c r="G1971" i="2"/>
  <c r="F1971" i="2"/>
  <c r="E1971" i="2"/>
  <c r="G1970" i="2"/>
  <c r="F1970" i="2"/>
  <c r="E1970" i="2"/>
  <c r="G1969" i="2"/>
  <c r="F1969" i="2"/>
  <c r="E1969" i="2"/>
  <c r="G1968" i="2"/>
  <c r="F1968" i="2"/>
  <c r="E1968" i="2"/>
  <c r="G1967" i="2"/>
  <c r="F1967" i="2"/>
  <c r="E1967" i="2"/>
  <c r="G1966" i="2"/>
  <c r="F1966" i="2"/>
  <c r="E1966" i="2"/>
  <c r="G1965" i="2"/>
  <c r="F1965" i="2"/>
  <c r="E1965" i="2"/>
  <c r="G1964" i="2"/>
  <c r="F1964" i="2"/>
  <c r="E1964" i="2"/>
  <c r="G1963" i="2"/>
  <c r="F1963" i="2"/>
  <c r="E1963" i="2"/>
  <c r="G1962" i="2"/>
  <c r="F1962" i="2"/>
  <c r="E1962" i="2"/>
  <c r="G1961" i="2"/>
  <c r="F1961" i="2"/>
  <c r="E1961" i="2"/>
  <c r="G1960" i="2"/>
  <c r="F1960" i="2"/>
  <c r="E1960" i="2"/>
  <c r="G1959" i="2"/>
  <c r="F1959" i="2"/>
  <c r="E1959" i="2"/>
  <c r="G1958" i="2"/>
  <c r="F1958" i="2"/>
  <c r="E1958" i="2"/>
  <c r="G1957" i="2"/>
  <c r="F1957" i="2"/>
  <c r="E1957" i="2"/>
  <c r="G1956" i="2"/>
  <c r="F1956" i="2"/>
  <c r="E1956" i="2"/>
  <c r="G1955" i="2"/>
  <c r="F1955" i="2"/>
  <c r="E1955" i="2"/>
  <c r="G1954" i="2"/>
  <c r="F1954" i="2"/>
  <c r="E1954" i="2"/>
  <c r="G1953" i="2"/>
  <c r="F1953" i="2"/>
  <c r="E1953" i="2"/>
  <c r="G1952" i="2"/>
  <c r="F1952" i="2"/>
  <c r="E1952" i="2"/>
  <c r="G1951" i="2"/>
  <c r="F1951" i="2"/>
  <c r="E1951" i="2"/>
  <c r="G1950" i="2"/>
  <c r="F1950" i="2"/>
  <c r="E1950" i="2"/>
  <c r="G1949" i="2"/>
  <c r="F1949" i="2"/>
  <c r="E1949" i="2"/>
  <c r="G1948" i="2"/>
  <c r="F1948" i="2"/>
  <c r="E1948" i="2"/>
  <c r="G1947" i="2"/>
  <c r="F1947" i="2"/>
  <c r="E1947" i="2"/>
  <c r="G1946" i="2"/>
  <c r="F1946" i="2"/>
  <c r="E1946" i="2"/>
  <c r="G1945" i="2"/>
  <c r="F1945" i="2"/>
  <c r="E1945" i="2"/>
  <c r="G1944" i="2"/>
  <c r="F1944" i="2"/>
  <c r="E1944" i="2"/>
  <c r="G1943" i="2"/>
  <c r="F1943" i="2"/>
  <c r="E1943" i="2"/>
  <c r="G1942" i="2"/>
  <c r="F1942" i="2"/>
  <c r="E1942" i="2"/>
  <c r="G1941" i="2"/>
  <c r="F1941" i="2"/>
  <c r="E1941" i="2"/>
  <c r="G1940" i="2"/>
  <c r="F1940" i="2"/>
  <c r="E1940" i="2"/>
  <c r="G1939" i="2"/>
  <c r="F1939" i="2"/>
  <c r="E1939" i="2"/>
  <c r="G1938" i="2"/>
  <c r="F1938" i="2"/>
  <c r="E1938" i="2"/>
  <c r="G1937" i="2"/>
  <c r="F1937" i="2"/>
  <c r="E1937" i="2"/>
  <c r="G1936" i="2"/>
  <c r="F1936" i="2"/>
  <c r="E1936" i="2"/>
  <c r="G1935" i="2"/>
  <c r="F1935" i="2"/>
  <c r="E1935" i="2"/>
  <c r="G1934" i="2"/>
  <c r="F1934" i="2"/>
  <c r="E1934" i="2"/>
  <c r="G1933" i="2"/>
  <c r="F1933" i="2"/>
  <c r="E1933" i="2"/>
  <c r="G1932" i="2"/>
  <c r="F1932" i="2"/>
  <c r="E1932" i="2"/>
  <c r="G1931" i="2"/>
  <c r="F1931" i="2"/>
  <c r="E1931" i="2"/>
  <c r="G1930" i="2"/>
  <c r="F1930" i="2"/>
  <c r="E1930" i="2"/>
  <c r="G1929" i="2"/>
  <c r="F1929" i="2"/>
  <c r="E1929" i="2"/>
  <c r="G1928" i="2"/>
  <c r="F1928" i="2"/>
  <c r="E1928" i="2"/>
  <c r="G1927" i="2"/>
  <c r="F1927" i="2"/>
  <c r="E1927" i="2"/>
  <c r="G1926" i="2"/>
  <c r="F1926" i="2"/>
  <c r="E1926" i="2"/>
  <c r="G1925" i="2"/>
  <c r="F1925" i="2"/>
  <c r="E1925" i="2"/>
  <c r="G1924" i="2"/>
  <c r="F1924" i="2"/>
  <c r="E1924" i="2"/>
  <c r="G1923" i="2"/>
  <c r="F1923" i="2"/>
  <c r="E1923" i="2"/>
  <c r="G1922" i="2"/>
  <c r="F1922" i="2"/>
  <c r="E1922" i="2"/>
  <c r="G1921" i="2"/>
  <c r="F1921" i="2"/>
  <c r="E1921" i="2"/>
  <c r="G1920" i="2"/>
  <c r="F1920" i="2"/>
  <c r="E1920" i="2"/>
  <c r="G1919" i="2"/>
  <c r="F1919" i="2"/>
  <c r="E1919" i="2"/>
  <c r="G1918" i="2"/>
  <c r="F1918" i="2"/>
  <c r="E1918" i="2"/>
  <c r="G1917" i="2"/>
  <c r="F1917" i="2"/>
  <c r="E1917" i="2"/>
  <c r="G1916" i="2"/>
  <c r="F1916" i="2"/>
  <c r="E1916" i="2"/>
  <c r="G1915" i="2"/>
  <c r="F1915" i="2"/>
  <c r="E1915" i="2"/>
  <c r="G1914" i="2"/>
  <c r="F1914" i="2"/>
  <c r="E1914" i="2"/>
  <c r="G1913" i="2"/>
  <c r="F1913" i="2"/>
  <c r="E1913" i="2"/>
  <c r="G1912" i="2"/>
  <c r="F1912" i="2"/>
  <c r="E1912" i="2"/>
  <c r="G1911" i="2"/>
  <c r="F1911" i="2"/>
  <c r="E1911" i="2"/>
  <c r="G1910" i="2"/>
  <c r="F1910" i="2"/>
  <c r="E1910" i="2"/>
  <c r="G1909" i="2"/>
  <c r="F1909" i="2"/>
  <c r="E1909" i="2"/>
  <c r="G1908" i="2"/>
  <c r="F1908" i="2"/>
  <c r="E1908" i="2"/>
  <c r="G1907" i="2"/>
  <c r="F1907" i="2"/>
  <c r="E1907" i="2"/>
  <c r="G1906" i="2"/>
  <c r="F1906" i="2"/>
  <c r="E1906" i="2"/>
  <c r="G1905" i="2"/>
  <c r="F1905" i="2"/>
  <c r="E1905" i="2"/>
  <c r="G1904" i="2"/>
  <c r="F1904" i="2"/>
  <c r="E1904" i="2"/>
  <c r="G1903" i="2"/>
  <c r="F1903" i="2"/>
  <c r="E1903" i="2"/>
  <c r="G1902" i="2"/>
  <c r="F1902" i="2"/>
  <c r="E1902" i="2"/>
  <c r="G1901" i="2"/>
  <c r="F1901" i="2"/>
  <c r="E1901" i="2"/>
  <c r="G1900" i="2"/>
  <c r="F1900" i="2"/>
  <c r="E1900" i="2"/>
  <c r="G1899" i="2"/>
  <c r="F1899" i="2"/>
  <c r="E1899" i="2"/>
  <c r="G1898" i="2"/>
  <c r="F1898" i="2"/>
  <c r="E1898" i="2"/>
  <c r="G1897" i="2"/>
  <c r="F1897" i="2"/>
  <c r="E1897" i="2"/>
  <c r="G1896" i="2"/>
  <c r="F1896" i="2"/>
  <c r="E1896" i="2"/>
  <c r="G1895" i="2"/>
  <c r="F1895" i="2"/>
  <c r="E1895" i="2"/>
  <c r="G1894" i="2"/>
  <c r="F1894" i="2"/>
  <c r="E1894" i="2"/>
  <c r="G1893" i="2"/>
  <c r="F1893" i="2"/>
  <c r="E1893" i="2"/>
  <c r="G1892" i="2"/>
  <c r="F1892" i="2"/>
  <c r="E1892" i="2"/>
  <c r="G1891" i="2"/>
  <c r="F1891" i="2"/>
  <c r="E1891" i="2"/>
  <c r="G1890" i="2"/>
  <c r="F1890" i="2"/>
  <c r="E1890" i="2"/>
  <c r="G1889" i="2"/>
  <c r="F1889" i="2"/>
  <c r="E1889" i="2"/>
  <c r="G1888" i="2"/>
  <c r="F1888" i="2"/>
  <c r="E1888" i="2"/>
  <c r="G1887" i="2"/>
  <c r="F1887" i="2"/>
  <c r="E1887" i="2"/>
  <c r="G1886" i="2"/>
  <c r="F1886" i="2"/>
  <c r="E1886" i="2"/>
  <c r="G1885" i="2"/>
  <c r="F1885" i="2"/>
  <c r="E1885" i="2"/>
  <c r="G1884" i="2"/>
  <c r="F1884" i="2"/>
  <c r="E1884" i="2"/>
  <c r="G1883" i="2"/>
  <c r="F1883" i="2"/>
  <c r="E1883" i="2"/>
  <c r="G1882" i="2"/>
  <c r="F1882" i="2"/>
  <c r="E1882" i="2"/>
  <c r="G1881" i="2"/>
  <c r="F1881" i="2"/>
  <c r="E1881" i="2"/>
  <c r="G1880" i="2"/>
  <c r="F1880" i="2"/>
  <c r="E1880" i="2"/>
  <c r="G1879" i="2"/>
  <c r="F1879" i="2"/>
  <c r="E1879" i="2"/>
  <c r="G1878" i="2"/>
  <c r="F1878" i="2"/>
  <c r="E1878" i="2"/>
  <c r="G1877" i="2"/>
  <c r="F1877" i="2"/>
  <c r="E1877" i="2"/>
  <c r="G1876" i="2"/>
  <c r="F1876" i="2"/>
  <c r="E1876" i="2"/>
  <c r="G1875" i="2"/>
  <c r="F1875" i="2"/>
  <c r="E1875" i="2"/>
  <c r="G1874" i="2"/>
  <c r="F1874" i="2"/>
  <c r="E1874" i="2"/>
  <c r="G1873" i="2"/>
  <c r="F1873" i="2"/>
  <c r="E1873" i="2"/>
  <c r="G1872" i="2"/>
  <c r="F1872" i="2"/>
  <c r="E1872" i="2"/>
  <c r="G1871" i="2"/>
  <c r="F1871" i="2"/>
  <c r="E1871" i="2"/>
  <c r="G1870" i="2"/>
  <c r="F1870" i="2"/>
  <c r="E1870" i="2"/>
  <c r="G1869" i="2"/>
  <c r="F1869" i="2"/>
  <c r="E1869" i="2"/>
  <c r="G1868" i="2"/>
  <c r="F1868" i="2"/>
  <c r="E1868" i="2"/>
  <c r="G1867" i="2"/>
  <c r="F1867" i="2"/>
  <c r="E1867" i="2"/>
  <c r="G1866" i="2"/>
  <c r="F1866" i="2"/>
  <c r="E1866" i="2"/>
  <c r="G1865" i="2"/>
  <c r="F1865" i="2"/>
  <c r="E1865" i="2"/>
  <c r="G1864" i="2"/>
  <c r="F1864" i="2"/>
  <c r="E1864" i="2"/>
  <c r="G1863" i="2"/>
  <c r="F1863" i="2"/>
  <c r="E1863" i="2"/>
  <c r="G1862" i="2"/>
  <c r="F1862" i="2"/>
  <c r="E1862" i="2"/>
  <c r="G1861" i="2"/>
  <c r="F1861" i="2"/>
  <c r="E1861" i="2"/>
  <c r="G1860" i="2"/>
  <c r="F1860" i="2"/>
  <c r="E1860" i="2"/>
  <c r="G1859" i="2"/>
  <c r="F1859" i="2"/>
  <c r="E1859" i="2"/>
  <c r="G1858" i="2"/>
  <c r="F1858" i="2"/>
  <c r="E1858" i="2"/>
  <c r="G1857" i="2"/>
  <c r="F1857" i="2"/>
  <c r="E1857" i="2"/>
  <c r="G1856" i="2"/>
  <c r="F1856" i="2"/>
  <c r="E1856" i="2"/>
  <c r="G1855" i="2"/>
  <c r="F1855" i="2"/>
  <c r="E1855" i="2"/>
  <c r="G1854" i="2"/>
  <c r="F1854" i="2"/>
  <c r="E1854" i="2"/>
  <c r="G1853" i="2"/>
  <c r="F1853" i="2"/>
  <c r="E1853" i="2"/>
  <c r="G1852" i="2"/>
  <c r="F1852" i="2"/>
  <c r="E1852" i="2"/>
  <c r="G1851" i="2"/>
  <c r="F1851" i="2"/>
  <c r="E1851" i="2"/>
  <c r="G1850" i="2"/>
  <c r="F1850" i="2"/>
  <c r="E1850" i="2"/>
  <c r="G1849" i="2"/>
  <c r="F1849" i="2"/>
  <c r="E1849" i="2"/>
  <c r="G1848" i="2"/>
  <c r="F1848" i="2"/>
  <c r="E1848" i="2"/>
  <c r="G1847" i="2"/>
  <c r="F1847" i="2"/>
  <c r="E1847" i="2"/>
  <c r="G1846" i="2"/>
  <c r="F1846" i="2"/>
  <c r="E1846" i="2"/>
  <c r="G1845" i="2"/>
  <c r="F1845" i="2"/>
  <c r="E1845" i="2"/>
  <c r="G1844" i="2"/>
  <c r="F1844" i="2"/>
  <c r="E1844" i="2"/>
  <c r="G1843" i="2"/>
  <c r="F1843" i="2"/>
  <c r="E1843" i="2"/>
  <c r="G1842" i="2"/>
  <c r="F1842" i="2"/>
  <c r="E1842" i="2"/>
  <c r="G1841" i="2"/>
  <c r="F1841" i="2"/>
  <c r="E1841" i="2"/>
  <c r="G1840" i="2"/>
  <c r="F1840" i="2"/>
  <c r="E1840" i="2"/>
  <c r="G1839" i="2"/>
  <c r="F1839" i="2"/>
  <c r="E1839" i="2"/>
  <c r="G1838" i="2"/>
  <c r="F1838" i="2"/>
  <c r="E1838" i="2"/>
  <c r="G1837" i="2"/>
  <c r="F1837" i="2"/>
  <c r="E1837" i="2"/>
  <c r="G1836" i="2"/>
  <c r="F1836" i="2"/>
  <c r="E1836" i="2"/>
  <c r="G1835" i="2"/>
  <c r="F1835" i="2"/>
  <c r="E1835" i="2"/>
  <c r="G1834" i="2"/>
  <c r="F1834" i="2"/>
  <c r="E1834" i="2"/>
  <c r="G1833" i="2"/>
  <c r="F1833" i="2"/>
  <c r="E1833" i="2"/>
  <c r="G1832" i="2"/>
  <c r="F1832" i="2"/>
  <c r="E1832" i="2"/>
  <c r="G1831" i="2"/>
  <c r="F1831" i="2"/>
  <c r="E1831" i="2"/>
  <c r="G1830" i="2"/>
  <c r="F1830" i="2"/>
  <c r="E1830" i="2"/>
  <c r="G1829" i="2"/>
  <c r="F1829" i="2"/>
  <c r="E1829" i="2"/>
  <c r="G1828" i="2"/>
  <c r="F1828" i="2"/>
  <c r="E1828" i="2"/>
  <c r="G1827" i="2"/>
  <c r="F1827" i="2"/>
  <c r="E1827" i="2"/>
  <c r="G1826" i="2"/>
  <c r="F1826" i="2"/>
  <c r="E1826" i="2"/>
  <c r="G1825" i="2"/>
  <c r="F1825" i="2"/>
  <c r="E1825" i="2"/>
  <c r="G1824" i="2"/>
  <c r="F1824" i="2"/>
  <c r="E1824" i="2"/>
  <c r="G1823" i="2"/>
  <c r="F1823" i="2"/>
  <c r="E1823" i="2"/>
  <c r="G1822" i="2"/>
  <c r="F1822" i="2"/>
  <c r="E1822" i="2"/>
  <c r="G1821" i="2"/>
  <c r="F1821" i="2"/>
  <c r="E1821" i="2"/>
  <c r="G1820" i="2"/>
  <c r="F1820" i="2"/>
  <c r="E1820" i="2"/>
  <c r="G1819" i="2"/>
  <c r="F1819" i="2"/>
  <c r="E1819" i="2"/>
  <c r="G1818" i="2"/>
  <c r="F1818" i="2"/>
  <c r="E1818" i="2"/>
  <c r="G1817" i="2"/>
  <c r="F1817" i="2"/>
  <c r="E1817" i="2"/>
  <c r="G1816" i="2"/>
  <c r="F1816" i="2"/>
  <c r="E1816" i="2"/>
  <c r="G1815" i="2"/>
  <c r="F1815" i="2"/>
  <c r="E1815" i="2"/>
  <c r="G1814" i="2"/>
  <c r="F1814" i="2"/>
  <c r="E1814" i="2"/>
  <c r="G1813" i="2"/>
  <c r="F1813" i="2"/>
  <c r="E1813" i="2"/>
  <c r="G1812" i="2"/>
  <c r="F1812" i="2"/>
  <c r="E1812" i="2"/>
  <c r="G1811" i="2"/>
  <c r="F1811" i="2"/>
  <c r="E1811" i="2"/>
  <c r="G1810" i="2"/>
  <c r="F1810" i="2"/>
  <c r="E1810" i="2"/>
  <c r="G1809" i="2"/>
  <c r="F1809" i="2"/>
  <c r="E1809" i="2"/>
  <c r="G1808" i="2"/>
  <c r="F1808" i="2"/>
  <c r="E1808" i="2"/>
  <c r="G1807" i="2"/>
  <c r="F1807" i="2"/>
  <c r="E1807" i="2"/>
  <c r="G1806" i="2"/>
  <c r="F1806" i="2"/>
  <c r="E1806" i="2"/>
  <c r="G1805" i="2"/>
  <c r="F1805" i="2"/>
  <c r="E1805" i="2"/>
  <c r="G1804" i="2"/>
  <c r="F1804" i="2"/>
  <c r="E1804" i="2"/>
  <c r="G1803" i="2"/>
  <c r="F1803" i="2"/>
  <c r="E1803" i="2"/>
  <c r="G1802" i="2"/>
  <c r="F1802" i="2"/>
  <c r="E1802" i="2"/>
  <c r="G1801" i="2"/>
  <c r="F1801" i="2"/>
  <c r="E1801" i="2"/>
  <c r="G1800" i="2"/>
  <c r="F1800" i="2"/>
  <c r="E1800" i="2"/>
  <c r="G1799" i="2"/>
  <c r="F1799" i="2"/>
  <c r="E1799" i="2"/>
  <c r="G1798" i="2"/>
  <c r="F1798" i="2"/>
  <c r="E1798" i="2"/>
  <c r="G1797" i="2"/>
  <c r="F1797" i="2"/>
  <c r="E1797" i="2"/>
  <c r="G1796" i="2"/>
  <c r="F1796" i="2"/>
  <c r="E1796" i="2"/>
  <c r="G1795" i="2"/>
  <c r="F1795" i="2"/>
  <c r="E1795" i="2"/>
  <c r="G1794" i="2"/>
  <c r="F1794" i="2"/>
  <c r="E1794" i="2"/>
  <c r="G1793" i="2"/>
  <c r="F1793" i="2"/>
  <c r="E1793" i="2"/>
  <c r="G1792" i="2"/>
  <c r="F1792" i="2"/>
  <c r="E1792" i="2"/>
  <c r="G1791" i="2"/>
  <c r="F1791" i="2"/>
  <c r="E1791" i="2"/>
  <c r="G1790" i="2"/>
  <c r="F1790" i="2"/>
  <c r="E1790" i="2"/>
  <c r="G1789" i="2"/>
  <c r="F1789" i="2"/>
  <c r="E1789" i="2"/>
  <c r="G1788" i="2"/>
  <c r="F1788" i="2"/>
  <c r="E1788" i="2"/>
  <c r="G1787" i="2"/>
  <c r="F1787" i="2"/>
  <c r="E1787" i="2"/>
  <c r="G1786" i="2"/>
  <c r="F1786" i="2"/>
  <c r="E1786" i="2"/>
  <c r="G1785" i="2"/>
  <c r="F1785" i="2"/>
  <c r="E1785" i="2"/>
  <c r="G1784" i="2"/>
  <c r="F1784" i="2"/>
  <c r="E1784" i="2"/>
  <c r="G1783" i="2"/>
  <c r="F1783" i="2"/>
  <c r="E1783" i="2"/>
  <c r="G1782" i="2"/>
  <c r="F1782" i="2"/>
  <c r="E1782" i="2"/>
  <c r="G1781" i="2"/>
  <c r="F1781" i="2"/>
  <c r="E1781" i="2"/>
  <c r="G1780" i="2"/>
  <c r="F1780" i="2"/>
  <c r="E1780" i="2"/>
  <c r="G1779" i="2"/>
  <c r="F1779" i="2"/>
  <c r="E1779" i="2"/>
  <c r="G1778" i="2"/>
  <c r="F1778" i="2"/>
  <c r="E1778" i="2"/>
  <c r="G1777" i="2"/>
  <c r="F1777" i="2"/>
  <c r="E1777" i="2"/>
  <c r="G1776" i="2"/>
  <c r="F1776" i="2"/>
  <c r="E1776" i="2"/>
  <c r="G1775" i="2"/>
  <c r="F1775" i="2"/>
  <c r="E1775" i="2"/>
  <c r="G1774" i="2"/>
  <c r="F1774" i="2"/>
  <c r="E1774" i="2"/>
  <c r="G1773" i="2"/>
  <c r="F1773" i="2"/>
  <c r="E1773" i="2"/>
  <c r="G1772" i="2"/>
  <c r="F1772" i="2"/>
  <c r="E1772" i="2"/>
  <c r="G1771" i="2"/>
  <c r="F1771" i="2"/>
  <c r="E1771" i="2"/>
  <c r="G1770" i="2"/>
  <c r="F1770" i="2"/>
  <c r="E1770" i="2"/>
  <c r="G1769" i="2"/>
  <c r="F1769" i="2"/>
  <c r="E1769" i="2"/>
  <c r="G1768" i="2"/>
  <c r="F1768" i="2"/>
  <c r="E1768" i="2"/>
  <c r="G1767" i="2"/>
  <c r="F1767" i="2"/>
  <c r="E1767" i="2"/>
  <c r="G1766" i="2"/>
  <c r="F1766" i="2"/>
  <c r="E1766" i="2"/>
  <c r="G1765" i="2"/>
  <c r="F1765" i="2"/>
  <c r="E1765" i="2"/>
  <c r="G1764" i="2"/>
  <c r="F1764" i="2"/>
  <c r="E1764" i="2"/>
  <c r="G1763" i="2"/>
  <c r="F1763" i="2"/>
  <c r="E1763" i="2"/>
  <c r="G1762" i="2"/>
  <c r="F1762" i="2"/>
  <c r="E1762" i="2"/>
  <c r="G1761" i="2"/>
  <c r="F1761" i="2"/>
  <c r="E1761" i="2"/>
  <c r="G1760" i="2"/>
  <c r="F1760" i="2"/>
  <c r="E1760" i="2"/>
  <c r="G1759" i="2"/>
  <c r="F1759" i="2"/>
  <c r="E1759" i="2"/>
  <c r="G1758" i="2"/>
  <c r="F1758" i="2"/>
  <c r="E1758" i="2"/>
  <c r="G1757" i="2"/>
  <c r="F1757" i="2"/>
  <c r="E1757" i="2"/>
  <c r="G1756" i="2"/>
  <c r="F1756" i="2"/>
  <c r="E1756" i="2"/>
  <c r="G1755" i="2"/>
  <c r="F1755" i="2"/>
  <c r="E1755" i="2"/>
  <c r="G1754" i="2"/>
  <c r="F1754" i="2"/>
  <c r="E1754" i="2"/>
  <c r="G1753" i="2"/>
  <c r="F1753" i="2"/>
  <c r="E1753" i="2"/>
  <c r="G1752" i="2"/>
  <c r="F1752" i="2"/>
  <c r="E1752" i="2"/>
  <c r="G1751" i="2"/>
  <c r="F1751" i="2"/>
  <c r="E1751" i="2"/>
  <c r="G1750" i="2"/>
  <c r="F1750" i="2"/>
  <c r="E1750" i="2"/>
  <c r="G1749" i="2"/>
  <c r="F1749" i="2"/>
  <c r="E1749" i="2"/>
  <c r="G1748" i="2"/>
  <c r="F1748" i="2"/>
  <c r="E1748" i="2"/>
  <c r="G1747" i="2"/>
  <c r="F1747" i="2"/>
  <c r="E1747" i="2"/>
  <c r="G1746" i="2"/>
  <c r="F1746" i="2"/>
  <c r="E1746" i="2"/>
  <c r="G1745" i="2"/>
  <c r="F1745" i="2"/>
  <c r="E1745" i="2"/>
  <c r="G1744" i="2"/>
  <c r="F1744" i="2"/>
  <c r="E1744" i="2"/>
  <c r="G1743" i="2"/>
  <c r="F1743" i="2"/>
  <c r="E1743" i="2"/>
  <c r="G1742" i="2"/>
  <c r="F1742" i="2"/>
  <c r="E1742" i="2"/>
  <c r="G1741" i="2"/>
  <c r="F1741" i="2"/>
  <c r="E1741" i="2"/>
  <c r="G1740" i="2"/>
  <c r="F1740" i="2"/>
  <c r="E1740" i="2"/>
  <c r="G1739" i="2"/>
  <c r="F1739" i="2"/>
  <c r="E1739" i="2"/>
  <c r="G1738" i="2"/>
  <c r="F1738" i="2"/>
  <c r="E1738" i="2"/>
  <c r="G1737" i="2"/>
  <c r="F1737" i="2"/>
  <c r="E1737" i="2"/>
  <c r="G1736" i="2"/>
  <c r="F1736" i="2"/>
  <c r="E1736" i="2"/>
  <c r="G1735" i="2"/>
  <c r="F1735" i="2"/>
  <c r="E1735" i="2"/>
  <c r="G1734" i="2"/>
  <c r="F1734" i="2"/>
  <c r="E1734" i="2"/>
  <c r="G1733" i="2"/>
  <c r="F1733" i="2"/>
  <c r="E1733" i="2"/>
  <c r="G1732" i="2"/>
  <c r="F1732" i="2"/>
  <c r="E1732" i="2"/>
  <c r="G1731" i="2"/>
  <c r="F1731" i="2"/>
  <c r="E1731" i="2"/>
  <c r="G1730" i="2"/>
  <c r="F1730" i="2"/>
  <c r="E1730" i="2"/>
  <c r="G1729" i="2"/>
  <c r="F1729" i="2"/>
  <c r="E1729" i="2"/>
  <c r="G1728" i="2"/>
  <c r="F1728" i="2"/>
  <c r="E1728" i="2"/>
  <c r="G1727" i="2"/>
  <c r="F1727" i="2"/>
  <c r="E1727" i="2"/>
  <c r="G1726" i="2"/>
  <c r="F1726" i="2"/>
  <c r="E1726" i="2"/>
  <c r="G1725" i="2"/>
  <c r="F1725" i="2"/>
  <c r="E1725" i="2"/>
  <c r="G1724" i="2"/>
  <c r="F1724" i="2"/>
  <c r="E1724" i="2"/>
  <c r="G1723" i="2"/>
  <c r="F1723" i="2"/>
  <c r="E1723" i="2"/>
  <c r="G1722" i="2"/>
  <c r="F1722" i="2"/>
  <c r="E1722" i="2"/>
  <c r="G1721" i="2"/>
  <c r="F1721" i="2"/>
  <c r="E1721" i="2"/>
  <c r="G1720" i="2"/>
  <c r="F1720" i="2"/>
  <c r="E1720" i="2"/>
  <c r="G1719" i="2"/>
  <c r="F1719" i="2"/>
  <c r="E1719" i="2"/>
  <c r="G1718" i="2"/>
  <c r="F1718" i="2"/>
  <c r="E1718" i="2"/>
  <c r="G1717" i="2"/>
  <c r="F1717" i="2"/>
  <c r="E1717" i="2"/>
  <c r="G1716" i="2"/>
  <c r="F1716" i="2"/>
  <c r="E1716" i="2"/>
  <c r="G1715" i="2"/>
  <c r="F1715" i="2"/>
  <c r="E1715" i="2"/>
  <c r="G1714" i="2"/>
  <c r="F1714" i="2"/>
  <c r="E1714" i="2"/>
  <c r="G1713" i="2"/>
  <c r="F1713" i="2"/>
  <c r="E1713" i="2"/>
  <c r="G1712" i="2"/>
  <c r="F1712" i="2"/>
  <c r="E1712" i="2"/>
  <c r="G1711" i="2"/>
  <c r="F1711" i="2"/>
  <c r="E1711" i="2"/>
  <c r="G1710" i="2"/>
  <c r="F1710" i="2"/>
  <c r="E1710" i="2"/>
  <c r="G1709" i="2"/>
  <c r="F1709" i="2"/>
  <c r="E1709" i="2"/>
  <c r="G1708" i="2"/>
  <c r="F1708" i="2"/>
  <c r="E1708" i="2"/>
  <c r="G1707" i="2"/>
  <c r="F1707" i="2"/>
  <c r="E1707" i="2"/>
  <c r="G1706" i="2"/>
  <c r="F1706" i="2"/>
  <c r="E1706" i="2"/>
  <c r="G1705" i="2"/>
  <c r="F1705" i="2"/>
  <c r="E1705" i="2"/>
  <c r="G1704" i="2"/>
  <c r="F1704" i="2"/>
  <c r="E1704" i="2"/>
  <c r="G1703" i="2"/>
  <c r="F1703" i="2"/>
  <c r="E1703" i="2"/>
  <c r="G1702" i="2"/>
  <c r="F1702" i="2"/>
  <c r="E1702" i="2"/>
  <c r="G1701" i="2"/>
  <c r="F1701" i="2"/>
  <c r="E1701" i="2"/>
  <c r="G1700" i="2"/>
  <c r="F1700" i="2"/>
  <c r="E1700" i="2"/>
  <c r="G1699" i="2"/>
  <c r="F1699" i="2"/>
  <c r="E1699" i="2"/>
  <c r="G1698" i="2"/>
  <c r="F1698" i="2"/>
  <c r="E1698" i="2"/>
  <c r="G1697" i="2"/>
  <c r="F1697" i="2"/>
  <c r="E1697" i="2"/>
  <c r="G1696" i="2"/>
  <c r="F1696" i="2"/>
  <c r="E1696" i="2"/>
  <c r="G1695" i="2"/>
  <c r="F1695" i="2"/>
  <c r="E1695" i="2"/>
  <c r="G1694" i="2"/>
  <c r="F1694" i="2"/>
  <c r="E1694" i="2"/>
  <c r="G1693" i="2"/>
  <c r="F1693" i="2"/>
  <c r="E1693" i="2"/>
  <c r="G1692" i="2"/>
  <c r="F1692" i="2"/>
  <c r="E1692" i="2"/>
  <c r="G1691" i="2"/>
  <c r="F1691" i="2"/>
  <c r="E1691" i="2"/>
  <c r="G1690" i="2"/>
  <c r="F1690" i="2"/>
  <c r="E1690" i="2"/>
  <c r="G1689" i="2"/>
  <c r="F1689" i="2"/>
  <c r="E1689" i="2"/>
  <c r="G1688" i="2"/>
  <c r="F1688" i="2"/>
  <c r="E1688" i="2"/>
  <c r="G1687" i="2"/>
  <c r="F1687" i="2"/>
  <c r="E1687" i="2"/>
  <c r="G1686" i="2"/>
  <c r="F1686" i="2"/>
  <c r="E1686" i="2"/>
  <c r="G1685" i="2"/>
  <c r="F1685" i="2"/>
  <c r="E1685" i="2"/>
  <c r="G1684" i="2"/>
  <c r="F1684" i="2"/>
  <c r="E1684" i="2"/>
  <c r="G1683" i="2"/>
  <c r="F1683" i="2"/>
  <c r="E1683" i="2"/>
  <c r="G1682" i="2"/>
  <c r="F1682" i="2"/>
  <c r="E1682" i="2"/>
  <c r="G1681" i="2"/>
  <c r="F1681" i="2"/>
  <c r="E1681" i="2"/>
  <c r="G1680" i="2"/>
  <c r="F1680" i="2"/>
  <c r="E1680" i="2"/>
  <c r="G1679" i="2"/>
  <c r="F1679" i="2"/>
  <c r="E1679" i="2"/>
  <c r="G1678" i="2"/>
  <c r="F1678" i="2"/>
  <c r="E1678" i="2"/>
  <c r="G1677" i="2"/>
  <c r="F1677" i="2"/>
  <c r="E1677" i="2"/>
  <c r="G1676" i="2"/>
  <c r="F1676" i="2"/>
  <c r="E1676" i="2"/>
  <c r="G1675" i="2"/>
  <c r="F1675" i="2"/>
  <c r="E1675" i="2"/>
  <c r="G1674" i="2"/>
  <c r="F1674" i="2"/>
  <c r="E1674" i="2"/>
  <c r="G1673" i="2"/>
  <c r="F1673" i="2"/>
  <c r="E1673" i="2"/>
  <c r="G1672" i="2"/>
  <c r="F1672" i="2"/>
  <c r="E1672" i="2"/>
  <c r="G1671" i="2"/>
  <c r="F1671" i="2"/>
  <c r="E1671" i="2"/>
  <c r="G1670" i="2"/>
  <c r="F1670" i="2"/>
  <c r="E1670" i="2"/>
  <c r="G1669" i="2"/>
  <c r="F1669" i="2"/>
  <c r="E1669" i="2"/>
  <c r="G1668" i="2"/>
  <c r="F1668" i="2"/>
  <c r="E1668" i="2"/>
  <c r="G1667" i="2"/>
  <c r="F1667" i="2"/>
  <c r="E1667" i="2"/>
  <c r="G1666" i="2"/>
  <c r="F1666" i="2"/>
  <c r="E1666" i="2"/>
  <c r="G1665" i="2"/>
  <c r="F1665" i="2"/>
  <c r="E1665" i="2"/>
  <c r="G1664" i="2"/>
  <c r="F1664" i="2"/>
  <c r="E1664" i="2"/>
  <c r="G1663" i="2"/>
  <c r="F1663" i="2"/>
  <c r="E1663" i="2"/>
  <c r="G1662" i="2"/>
  <c r="F1662" i="2"/>
  <c r="E1662" i="2"/>
  <c r="G1661" i="2"/>
  <c r="F1661" i="2"/>
  <c r="E1661" i="2"/>
  <c r="G1660" i="2"/>
  <c r="F1660" i="2"/>
  <c r="E1660" i="2"/>
  <c r="G1659" i="2"/>
  <c r="F1659" i="2"/>
  <c r="E1659" i="2"/>
  <c r="G1658" i="2"/>
  <c r="F1658" i="2"/>
  <c r="E1658" i="2"/>
  <c r="G1657" i="2"/>
  <c r="F1657" i="2"/>
  <c r="E1657" i="2"/>
  <c r="G1656" i="2"/>
  <c r="F1656" i="2"/>
  <c r="E1656" i="2"/>
  <c r="G1655" i="2"/>
  <c r="F1655" i="2"/>
  <c r="E1655" i="2"/>
  <c r="G1654" i="2"/>
  <c r="F1654" i="2"/>
  <c r="E1654" i="2"/>
  <c r="G1653" i="2"/>
  <c r="F1653" i="2"/>
  <c r="E1653" i="2"/>
  <c r="G1652" i="2"/>
  <c r="F1652" i="2"/>
  <c r="E1652" i="2"/>
  <c r="G1651" i="2"/>
  <c r="F1651" i="2"/>
  <c r="E1651" i="2"/>
  <c r="G1650" i="2"/>
  <c r="F1650" i="2"/>
  <c r="E1650" i="2"/>
  <c r="G1649" i="2"/>
  <c r="F1649" i="2"/>
  <c r="E1649" i="2"/>
  <c r="G1648" i="2"/>
  <c r="F1648" i="2"/>
  <c r="E1648" i="2"/>
  <c r="G1647" i="2"/>
  <c r="F1647" i="2"/>
  <c r="E1647" i="2"/>
  <c r="G1646" i="2"/>
  <c r="F1646" i="2"/>
  <c r="E1646" i="2"/>
  <c r="G1645" i="2"/>
  <c r="F1645" i="2"/>
  <c r="E1645" i="2"/>
  <c r="G1644" i="2"/>
  <c r="F1644" i="2"/>
  <c r="E1644" i="2"/>
  <c r="G1643" i="2"/>
  <c r="F1643" i="2"/>
  <c r="E1643" i="2"/>
  <c r="G1642" i="2"/>
  <c r="F1642" i="2"/>
  <c r="E1642" i="2"/>
  <c r="G1641" i="2"/>
  <c r="F1641" i="2"/>
  <c r="E1641" i="2"/>
  <c r="G1640" i="2"/>
  <c r="F1640" i="2"/>
  <c r="E1640" i="2"/>
  <c r="G1639" i="2"/>
  <c r="F1639" i="2"/>
  <c r="E1639" i="2"/>
  <c r="G1638" i="2"/>
  <c r="F1638" i="2"/>
  <c r="E1638" i="2"/>
  <c r="G1637" i="2"/>
  <c r="F1637" i="2"/>
  <c r="E1637" i="2"/>
  <c r="G1636" i="2"/>
  <c r="F1636" i="2"/>
  <c r="E1636" i="2"/>
  <c r="G1635" i="2"/>
  <c r="F1635" i="2"/>
  <c r="E1635" i="2"/>
  <c r="G1634" i="2"/>
  <c r="F1634" i="2"/>
  <c r="E1634" i="2"/>
  <c r="G1633" i="2"/>
  <c r="F1633" i="2"/>
  <c r="E1633" i="2"/>
  <c r="G1632" i="2"/>
  <c r="F1632" i="2"/>
  <c r="E1632" i="2"/>
  <c r="G1631" i="2"/>
  <c r="F1631" i="2"/>
  <c r="E1631" i="2"/>
  <c r="G1630" i="2"/>
  <c r="F1630" i="2"/>
  <c r="E1630" i="2"/>
  <c r="G1629" i="2"/>
  <c r="F1629" i="2"/>
  <c r="E1629" i="2"/>
  <c r="G1628" i="2"/>
  <c r="F1628" i="2"/>
  <c r="E1628" i="2"/>
  <c r="G1627" i="2"/>
  <c r="F1627" i="2"/>
  <c r="E1627" i="2"/>
  <c r="G1626" i="2"/>
  <c r="F1626" i="2"/>
  <c r="E1626" i="2"/>
  <c r="G1625" i="2"/>
  <c r="F1625" i="2"/>
  <c r="E1625" i="2"/>
  <c r="G1624" i="2"/>
  <c r="F1624" i="2"/>
  <c r="E1624" i="2"/>
  <c r="G1623" i="2"/>
  <c r="F1623" i="2"/>
  <c r="E1623" i="2"/>
  <c r="G1622" i="2"/>
  <c r="F1622" i="2"/>
  <c r="E1622" i="2"/>
  <c r="G1621" i="2"/>
  <c r="F1621" i="2"/>
  <c r="E1621" i="2"/>
  <c r="G1620" i="2"/>
  <c r="F1620" i="2"/>
  <c r="E1620" i="2"/>
  <c r="G1619" i="2"/>
  <c r="F1619" i="2"/>
  <c r="E1619" i="2"/>
  <c r="G1618" i="2"/>
  <c r="F1618" i="2"/>
  <c r="E1618" i="2"/>
  <c r="G1617" i="2"/>
  <c r="F1617" i="2"/>
  <c r="E1617" i="2"/>
  <c r="G1616" i="2"/>
  <c r="F1616" i="2"/>
  <c r="E1616" i="2"/>
  <c r="G1615" i="2"/>
  <c r="F1615" i="2"/>
  <c r="E1615" i="2"/>
  <c r="G1614" i="2"/>
  <c r="F1614" i="2"/>
  <c r="E1614" i="2"/>
  <c r="G1613" i="2"/>
  <c r="F1613" i="2"/>
  <c r="E1613" i="2"/>
  <c r="G1612" i="2"/>
  <c r="F1612" i="2"/>
  <c r="E1612" i="2"/>
  <c r="G1611" i="2"/>
  <c r="F1611" i="2"/>
  <c r="E1611" i="2"/>
  <c r="G1610" i="2"/>
  <c r="F1610" i="2"/>
  <c r="E1610" i="2"/>
  <c r="G1609" i="2"/>
  <c r="F1609" i="2"/>
  <c r="E1609" i="2"/>
  <c r="G1608" i="2"/>
  <c r="F1608" i="2"/>
  <c r="E1608" i="2"/>
  <c r="G1607" i="2"/>
  <c r="F1607" i="2"/>
  <c r="E1607" i="2"/>
  <c r="G1606" i="2"/>
  <c r="F1606" i="2"/>
  <c r="E1606" i="2"/>
  <c r="G1605" i="2"/>
  <c r="F1605" i="2"/>
  <c r="E1605" i="2"/>
  <c r="G1604" i="2"/>
  <c r="F1604" i="2"/>
  <c r="E1604" i="2"/>
  <c r="G1603" i="2"/>
  <c r="F1603" i="2"/>
  <c r="E1603" i="2"/>
  <c r="G1602" i="2"/>
  <c r="F1602" i="2"/>
  <c r="E1602" i="2"/>
  <c r="G1601" i="2"/>
  <c r="F1601" i="2"/>
  <c r="E1601" i="2"/>
  <c r="G1600" i="2"/>
  <c r="F1600" i="2"/>
  <c r="E1600" i="2"/>
  <c r="G1599" i="2"/>
  <c r="F1599" i="2"/>
  <c r="E1599" i="2"/>
  <c r="G1598" i="2"/>
  <c r="F1598" i="2"/>
  <c r="E1598" i="2"/>
  <c r="G1597" i="2"/>
  <c r="F1597" i="2"/>
  <c r="E1597" i="2"/>
  <c r="G1596" i="2"/>
  <c r="F1596" i="2"/>
  <c r="E1596" i="2"/>
  <c r="G1595" i="2"/>
  <c r="F1595" i="2"/>
  <c r="E1595" i="2"/>
  <c r="G1594" i="2"/>
  <c r="F1594" i="2"/>
  <c r="E1594" i="2"/>
  <c r="G1593" i="2"/>
  <c r="F1593" i="2"/>
  <c r="E1593" i="2"/>
  <c r="G1592" i="2"/>
  <c r="F1592" i="2"/>
  <c r="E1592" i="2"/>
  <c r="G1591" i="2"/>
  <c r="F1591" i="2"/>
  <c r="E1591" i="2"/>
  <c r="G1590" i="2"/>
  <c r="F1590" i="2"/>
  <c r="E1590" i="2"/>
  <c r="G1589" i="2"/>
  <c r="F1589" i="2"/>
  <c r="E1589" i="2"/>
  <c r="G1588" i="2"/>
  <c r="F1588" i="2"/>
  <c r="E1588" i="2"/>
  <c r="G1587" i="2"/>
  <c r="F1587" i="2"/>
  <c r="E1587" i="2"/>
  <c r="G1586" i="2"/>
  <c r="F1586" i="2"/>
  <c r="E1586" i="2"/>
  <c r="G1585" i="2"/>
  <c r="F1585" i="2"/>
  <c r="E1585" i="2"/>
  <c r="G1584" i="2"/>
  <c r="F1584" i="2"/>
  <c r="E1584" i="2"/>
  <c r="G1583" i="2"/>
  <c r="F1583" i="2"/>
  <c r="E1583" i="2"/>
  <c r="G1582" i="2"/>
  <c r="F1582" i="2"/>
  <c r="E1582" i="2"/>
  <c r="G1581" i="2"/>
  <c r="F1581" i="2"/>
  <c r="E1581" i="2"/>
  <c r="G1580" i="2"/>
  <c r="F1580" i="2"/>
  <c r="E1580" i="2"/>
  <c r="G1579" i="2"/>
  <c r="F1579" i="2"/>
  <c r="E1579" i="2"/>
  <c r="G1578" i="2"/>
  <c r="F1578" i="2"/>
  <c r="E1578" i="2"/>
  <c r="G1577" i="2"/>
  <c r="F1577" i="2"/>
  <c r="E1577" i="2"/>
  <c r="G1576" i="2"/>
  <c r="F1576" i="2"/>
  <c r="E1576" i="2"/>
  <c r="G1575" i="2"/>
  <c r="F1575" i="2"/>
  <c r="E1575" i="2"/>
  <c r="G1574" i="2"/>
  <c r="F1574" i="2"/>
  <c r="E1574" i="2"/>
  <c r="G1573" i="2"/>
  <c r="F1573" i="2"/>
  <c r="E1573" i="2"/>
  <c r="G1572" i="2"/>
  <c r="F1572" i="2"/>
  <c r="E1572" i="2"/>
  <c r="G1571" i="2"/>
  <c r="F1571" i="2"/>
  <c r="E1571" i="2"/>
  <c r="G1570" i="2"/>
  <c r="F1570" i="2"/>
  <c r="E1570" i="2"/>
  <c r="G1569" i="2"/>
  <c r="F1569" i="2"/>
  <c r="E1569" i="2"/>
  <c r="G1568" i="2"/>
  <c r="F1568" i="2"/>
  <c r="E1568" i="2"/>
  <c r="G1567" i="2"/>
  <c r="F1567" i="2"/>
  <c r="E1567" i="2"/>
  <c r="G1566" i="2"/>
  <c r="F1566" i="2"/>
  <c r="E1566" i="2"/>
  <c r="G1565" i="2"/>
  <c r="F1565" i="2"/>
  <c r="E1565" i="2"/>
  <c r="G1564" i="2"/>
  <c r="F1564" i="2"/>
  <c r="E1564" i="2"/>
  <c r="G1563" i="2"/>
  <c r="F1563" i="2"/>
  <c r="E1563" i="2"/>
  <c r="G1562" i="2"/>
  <c r="F1562" i="2"/>
  <c r="E1562" i="2"/>
  <c r="G1561" i="2"/>
  <c r="F1561" i="2"/>
  <c r="E1561" i="2"/>
  <c r="G1560" i="2"/>
  <c r="F1560" i="2"/>
  <c r="E1560" i="2"/>
  <c r="G1559" i="2"/>
  <c r="F1559" i="2"/>
  <c r="E1559" i="2"/>
  <c r="G1558" i="2"/>
  <c r="F1558" i="2"/>
  <c r="E1558" i="2"/>
  <c r="G1557" i="2"/>
  <c r="F1557" i="2"/>
  <c r="E1557" i="2"/>
  <c r="G1556" i="2"/>
  <c r="F1556" i="2"/>
  <c r="E1556" i="2"/>
  <c r="G1555" i="2"/>
  <c r="F1555" i="2"/>
  <c r="E1555" i="2"/>
  <c r="G1554" i="2"/>
  <c r="F1554" i="2"/>
  <c r="E1554" i="2"/>
  <c r="G1553" i="2"/>
  <c r="F1553" i="2"/>
  <c r="E1553" i="2"/>
  <c r="G1552" i="2"/>
  <c r="F1552" i="2"/>
  <c r="E1552" i="2"/>
  <c r="G1551" i="2"/>
  <c r="F1551" i="2"/>
  <c r="E1551" i="2"/>
  <c r="G1550" i="2"/>
  <c r="F1550" i="2"/>
  <c r="E1550" i="2"/>
  <c r="G1549" i="2"/>
  <c r="F1549" i="2"/>
  <c r="E1549" i="2"/>
  <c r="G1548" i="2"/>
  <c r="F1548" i="2"/>
  <c r="E1548" i="2"/>
  <c r="G1547" i="2"/>
  <c r="F1547" i="2"/>
  <c r="E1547" i="2"/>
  <c r="G1546" i="2"/>
  <c r="F1546" i="2"/>
  <c r="E1546" i="2"/>
  <c r="G1545" i="2"/>
  <c r="F1545" i="2"/>
  <c r="E1545" i="2"/>
  <c r="G1544" i="2"/>
  <c r="F1544" i="2"/>
  <c r="E1544" i="2"/>
  <c r="G1543" i="2"/>
  <c r="F1543" i="2"/>
  <c r="E1543" i="2"/>
  <c r="G1542" i="2"/>
  <c r="F1542" i="2"/>
  <c r="E1542" i="2"/>
  <c r="G1541" i="2"/>
  <c r="F1541" i="2"/>
  <c r="E1541" i="2"/>
  <c r="G1540" i="2"/>
  <c r="F1540" i="2"/>
  <c r="E1540" i="2"/>
  <c r="G1539" i="2"/>
  <c r="F1539" i="2"/>
  <c r="E1539" i="2"/>
  <c r="G1538" i="2"/>
  <c r="F1538" i="2"/>
  <c r="E1538" i="2"/>
  <c r="G1537" i="2"/>
  <c r="F1537" i="2"/>
  <c r="E1537" i="2"/>
  <c r="G1536" i="2"/>
  <c r="F1536" i="2"/>
  <c r="E1536" i="2"/>
  <c r="G1535" i="2"/>
  <c r="F1535" i="2"/>
  <c r="E1535" i="2"/>
  <c r="G1534" i="2"/>
  <c r="F1534" i="2"/>
  <c r="E1534" i="2"/>
  <c r="G1533" i="2"/>
  <c r="F1533" i="2"/>
  <c r="E1533" i="2"/>
  <c r="G1532" i="2"/>
  <c r="F1532" i="2"/>
  <c r="E1532" i="2"/>
  <c r="G1531" i="2"/>
  <c r="F1531" i="2"/>
  <c r="E1531" i="2"/>
  <c r="G1530" i="2"/>
  <c r="F1530" i="2"/>
  <c r="E1530" i="2"/>
  <c r="G1529" i="2"/>
  <c r="F1529" i="2"/>
  <c r="E1529" i="2"/>
  <c r="G1528" i="2"/>
  <c r="F1528" i="2"/>
  <c r="E1528" i="2"/>
  <c r="G1527" i="2"/>
  <c r="F1527" i="2"/>
  <c r="E1527" i="2"/>
  <c r="G1526" i="2"/>
  <c r="F1526" i="2"/>
  <c r="E1526" i="2"/>
  <c r="G1525" i="2"/>
  <c r="F1525" i="2"/>
  <c r="E1525" i="2"/>
  <c r="G1524" i="2"/>
  <c r="F1524" i="2"/>
  <c r="E1524" i="2"/>
  <c r="G1523" i="2"/>
  <c r="F1523" i="2"/>
  <c r="E1523" i="2"/>
  <c r="G1522" i="2"/>
  <c r="F1522" i="2"/>
  <c r="E1522" i="2"/>
  <c r="G1521" i="2"/>
  <c r="F1521" i="2"/>
  <c r="E1521" i="2"/>
  <c r="G1520" i="2"/>
  <c r="F1520" i="2"/>
  <c r="E1520" i="2"/>
  <c r="G1519" i="2"/>
  <c r="F1519" i="2"/>
  <c r="E1519" i="2"/>
  <c r="G1518" i="2"/>
  <c r="F1518" i="2"/>
  <c r="E1518" i="2"/>
  <c r="G1517" i="2"/>
  <c r="F1517" i="2"/>
  <c r="E1517" i="2"/>
  <c r="G1516" i="2"/>
  <c r="F1516" i="2"/>
  <c r="E1516" i="2"/>
  <c r="G1515" i="2"/>
  <c r="F1515" i="2"/>
  <c r="E1515" i="2"/>
  <c r="G1514" i="2"/>
  <c r="F1514" i="2"/>
  <c r="E1514" i="2"/>
  <c r="G1513" i="2"/>
  <c r="F1513" i="2"/>
  <c r="E1513" i="2"/>
  <c r="G1512" i="2"/>
  <c r="F1512" i="2"/>
  <c r="E1512" i="2"/>
  <c r="G1511" i="2"/>
  <c r="F1511" i="2"/>
  <c r="E1511" i="2"/>
  <c r="G1510" i="2"/>
  <c r="F1510" i="2"/>
  <c r="E1510" i="2"/>
  <c r="G1509" i="2"/>
  <c r="F1509" i="2"/>
  <c r="E1509" i="2"/>
  <c r="G1508" i="2"/>
  <c r="F1508" i="2"/>
  <c r="E1508" i="2"/>
  <c r="G1507" i="2"/>
  <c r="F1507" i="2"/>
  <c r="E1507" i="2"/>
  <c r="G1506" i="2"/>
  <c r="F1506" i="2"/>
  <c r="E1506" i="2"/>
  <c r="G1505" i="2"/>
  <c r="F1505" i="2"/>
  <c r="E1505" i="2"/>
  <c r="G1504" i="2"/>
  <c r="F1504" i="2"/>
  <c r="E1504" i="2"/>
  <c r="G1503" i="2"/>
  <c r="F1503" i="2"/>
  <c r="E1503" i="2"/>
  <c r="G1502" i="2"/>
  <c r="F1502" i="2"/>
  <c r="E1502" i="2"/>
  <c r="G1501" i="2"/>
  <c r="F1501" i="2"/>
  <c r="E1501" i="2"/>
  <c r="G1500" i="2"/>
  <c r="F1500" i="2"/>
  <c r="E1500" i="2"/>
  <c r="G1499" i="2"/>
  <c r="F1499" i="2"/>
  <c r="E1499" i="2"/>
  <c r="G1498" i="2"/>
  <c r="F1498" i="2"/>
  <c r="E1498" i="2"/>
  <c r="G1497" i="2"/>
  <c r="F1497" i="2"/>
  <c r="E1497" i="2"/>
  <c r="G1496" i="2"/>
  <c r="F1496" i="2"/>
  <c r="E1496" i="2"/>
  <c r="G1495" i="2"/>
  <c r="F1495" i="2"/>
  <c r="E1495" i="2"/>
  <c r="G1494" i="2"/>
  <c r="F1494" i="2"/>
  <c r="E1494" i="2"/>
  <c r="G1493" i="2"/>
  <c r="F1493" i="2"/>
  <c r="E1493" i="2"/>
  <c r="G1492" i="2"/>
  <c r="F1492" i="2"/>
  <c r="E1492" i="2"/>
  <c r="G1491" i="2"/>
  <c r="F1491" i="2"/>
  <c r="E1491" i="2"/>
  <c r="G1490" i="2"/>
  <c r="F1490" i="2"/>
  <c r="E1490" i="2"/>
  <c r="G1489" i="2"/>
  <c r="F1489" i="2"/>
  <c r="E1489" i="2"/>
  <c r="G1488" i="2"/>
  <c r="F1488" i="2"/>
  <c r="E1488" i="2"/>
  <c r="G1487" i="2"/>
  <c r="F1487" i="2"/>
  <c r="E1487" i="2"/>
  <c r="G1486" i="2"/>
  <c r="F1486" i="2"/>
  <c r="E1486" i="2"/>
  <c r="G1485" i="2"/>
  <c r="F1485" i="2"/>
  <c r="E1485" i="2"/>
  <c r="G1484" i="2"/>
  <c r="F1484" i="2"/>
  <c r="E1484" i="2"/>
  <c r="G1483" i="2"/>
  <c r="F1483" i="2"/>
  <c r="E1483" i="2"/>
  <c r="G1482" i="2"/>
  <c r="F1482" i="2"/>
  <c r="E1482" i="2"/>
  <c r="G1481" i="2"/>
  <c r="F1481" i="2"/>
  <c r="E1481" i="2"/>
  <c r="G1480" i="2"/>
  <c r="F1480" i="2"/>
  <c r="E1480" i="2"/>
  <c r="G1479" i="2"/>
  <c r="F1479" i="2"/>
  <c r="E1479" i="2"/>
  <c r="G1478" i="2"/>
  <c r="F1478" i="2"/>
  <c r="E1478" i="2"/>
  <c r="G1477" i="2"/>
  <c r="F1477" i="2"/>
  <c r="E1477" i="2"/>
  <c r="G1476" i="2"/>
  <c r="F1476" i="2"/>
  <c r="E1476" i="2"/>
  <c r="G1475" i="2"/>
  <c r="F1475" i="2"/>
  <c r="E1475" i="2"/>
  <c r="G1474" i="2"/>
  <c r="F1474" i="2"/>
  <c r="E1474" i="2"/>
  <c r="G1473" i="2"/>
  <c r="F1473" i="2"/>
  <c r="E1473" i="2"/>
  <c r="G1472" i="2"/>
  <c r="F1472" i="2"/>
  <c r="E1472" i="2"/>
  <c r="G1471" i="2"/>
  <c r="F1471" i="2"/>
  <c r="E1471" i="2"/>
  <c r="G1470" i="2"/>
  <c r="F1470" i="2"/>
  <c r="E1470" i="2"/>
  <c r="G1469" i="2"/>
  <c r="F1469" i="2"/>
  <c r="E1469" i="2"/>
  <c r="G1468" i="2"/>
  <c r="F1468" i="2"/>
  <c r="E1468" i="2"/>
  <c r="G1467" i="2"/>
  <c r="F1467" i="2"/>
  <c r="E1467" i="2"/>
  <c r="G1466" i="2"/>
  <c r="F1466" i="2"/>
  <c r="E1466" i="2"/>
  <c r="G1465" i="2"/>
  <c r="F1465" i="2"/>
  <c r="E1465" i="2"/>
  <c r="G1464" i="2"/>
  <c r="F1464" i="2"/>
  <c r="E1464" i="2"/>
  <c r="G1463" i="2"/>
  <c r="F1463" i="2"/>
  <c r="E1463" i="2"/>
  <c r="G1462" i="2"/>
  <c r="F1462" i="2"/>
  <c r="E1462" i="2"/>
  <c r="G1461" i="2"/>
  <c r="F1461" i="2"/>
  <c r="E1461" i="2"/>
  <c r="G1460" i="2"/>
  <c r="F1460" i="2"/>
  <c r="E1460" i="2"/>
  <c r="G1459" i="2"/>
  <c r="F1459" i="2"/>
  <c r="E1459" i="2"/>
  <c r="G1458" i="2"/>
  <c r="F1458" i="2"/>
  <c r="E1458" i="2"/>
  <c r="G1457" i="2"/>
  <c r="F1457" i="2"/>
  <c r="E1457" i="2"/>
  <c r="G1456" i="2"/>
  <c r="F1456" i="2"/>
  <c r="E1456" i="2"/>
  <c r="G1455" i="2"/>
  <c r="F1455" i="2"/>
  <c r="E1455" i="2"/>
  <c r="G1454" i="2"/>
  <c r="F1454" i="2"/>
  <c r="E1454" i="2"/>
  <c r="G1453" i="2"/>
  <c r="F1453" i="2"/>
  <c r="E1453" i="2"/>
  <c r="G1452" i="2"/>
  <c r="F1452" i="2"/>
  <c r="E1452" i="2"/>
  <c r="G1451" i="2"/>
  <c r="F1451" i="2"/>
  <c r="E1451" i="2"/>
  <c r="G1450" i="2"/>
  <c r="F1450" i="2"/>
  <c r="E1450" i="2"/>
  <c r="G1449" i="2"/>
  <c r="F1449" i="2"/>
  <c r="E1449" i="2"/>
  <c r="G1448" i="2"/>
  <c r="F1448" i="2"/>
  <c r="E1448" i="2"/>
  <c r="G1447" i="2"/>
  <c r="F1447" i="2"/>
  <c r="E1447" i="2"/>
  <c r="G1446" i="2"/>
  <c r="F1446" i="2"/>
  <c r="E1446" i="2"/>
  <c r="G1445" i="2"/>
  <c r="F1445" i="2"/>
  <c r="E1445" i="2"/>
  <c r="G1444" i="2"/>
  <c r="F1444" i="2"/>
  <c r="E1444" i="2"/>
  <c r="G1443" i="2"/>
  <c r="F1443" i="2"/>
  <c r="E1443" i="2"/>
  <c r="G1442" i="2"/>
  <c r="F1442" i="2"/>
  <c r="E1442" i="2"/>
  <c r="G1441" i="2"/>
  <c r="F1441" i="2"/>
  <c r="E1441" i="2"/>
  <c r="G1440" i="2"/>
  <c r="F1440" i="2"/>
  <c r="E1440" i="2"/>
  <c r="G1439" i="2"/>
  <c r="F1439" i="2"/>
  <c r="E1439" i="2"/>
  <c r="G1438" i="2"/>
  <c r="F1438" i="2"/>
  <c r="E1438" i="2"/>
  <c r="G1437" i="2"/>
  <c r="F1437" i="2"/>
  <c r="E1437" i="2"/>
  <c r="G1436" i="2"/>
  <c r="F1436" i="2"/>
  <c r="E1436" i="2"/>
  <c r="G1435" i="2"/>
  <c r="F1435" i="2"/>
  <c r="E1435" i="2"/>
  <c r="G1434" i="2"/>
  <c r="F1434" i="2"/>
  <c r="E1434" i="2"/>
  <c r="G1433" i="2"/>
  <c r="F1433" i="2"/>
  <c r="E1433" i="2"/>
  <c r="G1432" i="2"/>
  <c r="F1432" i="2"/>
  <c r="E1432" i="2"/>
  <c r="G1431" i="2"/>
  <c r="F1431" i="2"/>
  <c r="E1431" i="2"/>
  <c r="G1430" i="2"/>
  <c r="F1430" i="2"/>
  <c r="E1430" i="2"/>
  <c r="G1429" i="2"/>
  <c r="F1429" i="2"/>
  <c r="E1429" i="2"/>
  <c r="G1428" i="2"/>
  <c r="F1428" i="2"/>
  <c r="E1428" i="2"/>
  <c r="G1427" i="2"/>
  <c r="F1427" i="2"/>
  <c r="E1427" i="2"/>
  <c r="G1426" i="2"/>
  <c r="F1426" i="2"/>
  <c r="E1426" i="2"/>
  <c r="G1425" i="2"/>
  <c r="F1425" i="2"/>
  <c r="E1425" i="2"/>
  <c r="G1424" i="2"/>
  <c r="F1424" i="2"/>
  <c r="E1424" i="2"/>
  <c r="G1423" i="2"/>
  <c r="F1423" i="2"/>
  <c r="E1423" i="2"/>
  <c r="G1422" i="2"/>
  <c r="F1422" i="2"/>
  <c r="E1422" i="2"/>
  <c r="G1421" i="2"/>
  <c r="F1421" i="2"/>
  <c r="E1421" i="2"/>
  <c r="G1420" i="2"/>
  <c r="F1420" i="2"/>
  <c r="E1420" i="2"/>
  <c r="G1419" i="2"/>
  <c r="F1419" i="2"/>
  <c r="E1419" i="2"/>
  <c r="G1418" i="2"/>
  <c r="F1418" i="2"/>
  <c r="E1418" i="2"/>
  <c r="G1417" i="2"/>
  <c r="F1417" i="2"/>
  <c r="E1417" i="2"/>
  <c r="G1416" i="2"/>
  <c r="F1416" i="2"/>
  <c r="E1416" i="2"/>
  <c r="G1415" i="2"/>
  <c r="F1415" i="2"/>
  <c r="E1415" i="2"/>
  <c r="G1414" i="2"/>
  <c r="F1414" i="2"/>
  <c r="E1414" i="2"/>
  <c r="G1413" i="2"/>
  <c r="F1413" i="2"/>
  <c r="E1413" i="2"/>
  <c r="G1412" i="2"/>
  <c r="F1412" i="2"/>
  <c r="E1412" i="2"/>
  <c r="G1411" i="2"/>
  <c r="F1411" i="2"/>
  <c r="E1411" i="2"/>
  <c r="G1410" i="2"/>
  <c r="F1410" i="2"/>
  <c r="E1410" i="2"/>
  <c r="G1409" i="2"/>
  <c r="F1409" i="2"/>
  <c r="E1409" i="2"/>
  <c r="G1408" i="2"/>
  <c r="F1408" i="2"/>
  <c r="E1408" i="2"/>
  <c r="G1407" i="2"/>
  <c r="F1407" i="2"/>
  <c r="E1407" i="2"/>
  <c r="G1406" i="2"/>
  <c r="F1406" i="2"/>
  <c r="E1406" i="2"/>
  <c r="G1405" i="2"/>
  <c r="F1405" i="2"/>
  <c r="E1405" i="2"/>
  <c r="G1404" i="2"/>
  <c r="F1404" i="2"/>
  <c r="E1404" i="2"/>
  <c r="G1403" i="2"/>
  <c r="F1403" i="2"/>
  <c r="E1403" i="2"/>
  <c r="G1402" i="2"/>
  <c r="F1402" i="2"/>
  <c r="E1402" i="2"/>
  <c r="G1401" i="2"/>
  <c r="F1401" i="2"/>
  <c r="E1401" i="2"/>
  <c r="G1400" i="2"/>
  <c r="F1400" i="2"/>
  <c r="E1400" i="2"/>
  <c r="G1399" i="2"/>
  <c r="F1399" i="2"/>
  <c r="E1399" i="2"/>
  <c r="G1398" i="2"/>
  <c r="F1398" i="2"/>
  <c r="E1398" i="2"/>
  <c r="G1397" i="2"/>
  <c r="F1397" i="2"/>
  <c r="E1397" i="2"/>
  <c r="G1396" i="2"/>
  <c r="F1396" i="2"/>
  <c r="E1396" i="2"/>
  <c r="G1395" i="2"/>
  <c r="F1395" i="2"/>
  <c r="E1395" i="2"/>
  <c r="G1394" i="2"/>
  <c r="F1394" i="2"/>
  <c r="E1394" i="2"/>
  <c r="G1393" i="2"/>
  <c r="F1393" i="2"/>
  <c r="E1393" i="2"/>
  <c r="G1392" i="2"/>
  <c r="F1392" i="2"/>
  <c r="E1392" i="2"/>
  <c r="G1391" i="2"/>
  <c r="F1391" i="2"/>
  <c r="E1391" i="2"/>
  <c r="G1390" i="2"/>
  <c r="F1390" i="2"/>
  <c r="E1390" i="2"/>
  <c r="G1389" i="2"/>
  <c r="F1389" i="2"/>
  <c r="E1389" i="2"/>
  <c r="G1388" i="2"/>
  <c r="F1388" i="2"/>
  <c r="E1388" i="2"/>
  <c r="G1387" i="2"/>
  <c r="F1387" i="2"/>
  <c r="E1387" i="2"/>
  <c r="G1386" i="2"/>
  <c r="F1386" i="2"/>
  <c r="E1386" i="2"/>
  <c r="G1385" i="2"/>
  <c r="F1385" i="2"/>
  <c r="E1385" i="2"/>
  <c r="G1384" i="2"/>
  <c r="F1384" i="2"/>
  <c r="E1384" i="2"/>
  <c r="G1383" i="2"/>
  <c r="F1383" i="2"/>
  <c r="E1383" i="2"/>
  <c r="G1382" i="2"/>
  <c r="F1382" i="2"/>
  <c r="E1382" i="2"/>
  <c r="G1381" i="2"/>
  <c r="F1381" i="2"/>
  <c r="E1381" i="2"/>
  <c r="G1380" i="2"/>
  <c r="F1380" i="2"/>
  <c r="E1380" i="2"/>
  <c r="G1379" i="2"/>
  <c r="F1379" i="2"/>
  <c r="E1379" i="2"/>
  <c r="G1378" i="2"/>
  <c r="F1378" i="2"/>
  <c r="E1378" i="2"/>
  <c r="G1377" i="2"/>
  <c r="F1377" i="2"/>
  <c r="E1377" i="2"/>
  <c r="G1376" i="2"/>
  <c r="F1376" i="2"/>
  <c r="E1376" i="2"/>
  <c r="G1375" i="2"/>
  <c r="F1375" i="2"/>
  <c r="E1375" i="2"/>
  <c r="G1374" i="2"/>
  <c r="F1374" i="2"/>
  <c r="E1374" i="2"/>
  <c r="G1373" i="2"/>
  <c r="F1373" i="2"/>
  <c r="E1373" i="2"/>
  <c r="G1372" i="2"/>
  <c r="F1372" i="2"/>
  <c r="E1372" i="2"/>
  <c r="G1371" i="2"/>
  <c r="F1371" i="2"/>
  <c r="E1371" i="2"/>
  <c r="G1370" i="2"/>
  <c r="F1370" i="2"/>
  <c r="E1370" i="2"/>
  <c r="G1369" i="2"/>
  <c r="F1369" i="2"/>
  <c r="E1369" i="2"/>
  <c r="G1368" i="2"/>
  <c r="F1368" i="2"/>
  <c r="E1368" i="2"/>
  <c r="G1367" i="2"/>
  <c r="F1367" i="2"/>
  <c r="E1367" i="2"/>
  <c r="G1366" i="2"/>
  <c r="F1366" i="2"/>
  <c r="E1366" i="2"/>
  <c r="G1365" i="2"/>
  <c r="F1365" i="2"/>
  <c r="E1365" i="2"/>
  <c r="G1364" i="2"/>
  <c r="F1364" i="2"/>
  <c r="E1364" i="2"/>
  <c r="G1363" i="2"/>
  <c r="F1363" i="2"/>
  <c r="E1363" i="2"/>
  <c r="G1362" i="2"/>
  <c r="F1362" i="2"/>
  <c r="E1362" i="2"/>
  <c r="G1361" i="2"/>
  <c r="F1361" i="2"/>
  <c r="E1361" i="2"/>
  <c r="G1360" i="2"/>
  <c r="F1360" i="2"/>
  <c r="E1360" i="2"/>
  <c r="G1359" i="2"/>
  <c r="F1359" i="2"/>
  <c r="E1359" i="2"/>
  <c r="G1358" i="2"/>
  <c r="F1358" i="2"/>
  <c r="E1358" i="2"/>
  <c r="G1357" i="2"/>
  <c r="F1357" i="2"/>
  <c r="E1357" i="2"/>
  <c r="G1356" i="2"/>
  <c r="F1356" i="2"/>
  <c r="E1356" i="2"/>
  <c r="G1355" i="2"/>
  <c r="F1355" i="2"/>
  <c r="E1355" i="2"/>
  <c r="G1354" i="2"/>
  <c r="F1354" i="2"/>
  <c r="E1354" i="2"/>
  <c r="G1353" i="2"/>
  <c r="F1353" i="2"/>
  <c r="E1353" i="2"/>
  <c r="G1352" i="2"/>
  <c r="F1352" i="2"/>
  <c r="E1352" i="2"/>
  <c r="G1351" i="2"/>
  <c r="F1351" i="2"/>
  <c r="E1351" i="2"/>
  <c r="G1350" i="2"/>
  <c r="F1350" i="2"/>
  <c r="E1350" i="2"/>
  <c r="G1349" i="2"/>
  <c r="F1349" i="2"/>
  <c r="E1349" i="2"/>
  <c r="G1348" i="2"/>
  <c r="F1348" i="2"/>
  <c r="E1348" i="2"/>
  <c r="G1347" i="2"/>
  <c r="F1347" i="2"/>
  <c r="E1347" i="2"/>
  <c r="G1346" i="2"/>
  <c r="F1346" i="2"/>
  <c r="E1346" i="2"/>
  <c r="G1345" i="2"/>
  <c r="F1345" i="2"/>
  <c r="E1345" i="2"/>
  <c r="G1344" i="2"/>
  <c r="F1344" i="2"/>
  <c r="E1344" i="2"/>
  <c r="G1343" i="2"/>
  <c r="F1343" i="2"/>
  <c r="E1343" i="2"/>
  <c r="G1342" i="2"/>
  <c r="F1342" i="2"/>
  <c r="E1342" i="2"/>
  <c r="G1341" i="2"/>
  <c r="F1341" i="2"/>
  <c r="E1341" i="2"/>
  <c r="G1340" i="2"/>
  <c r="F1340" i="2"/>
  <c r="E1340" i="2"/>
  <c r="G1339" i="2"/>
  <c r="F1339" i="2"/>
  <c r="E1339" i="2"/>
  <c r="G1338" i="2"/>
  <c r="F1338" i="2"/>
  <c r="E1338" i="2"/>
  <c r="G1337" i="2"/>
  <c r="F1337" i="2"/>
  <c r="E1337" i="2"/>
  <c r="G1336" i="2"/>
  <c r="F1336" i="2"/>
  <c r="E1336" i="2"/>
  <c r="G1335" i="2"/>
  <c r="F1335" i="2"/>
  <c r="E1335" i="2"/>
  <c r="G1334" i="2"/>
  <c r="F1334" i="2"/>
  <c r="E1334" i="2"/>
  <c r="G1333" i="2"/>
  <c r="F1333" i="2"/>
  <c r="E1333" i="2"/>
  <c r="G1332" i="2"/>
  <c r="F1332" i="2"/>
  <c r="E1332" i="2"/>
  <c r="G1331" i="2"/>
  <c r="F1331" i="2"/>
  <c r="E1331" i="2"/>
  <c r="G1330" i="2"/>
  <c r="F1330" i="2"/>
  <c r="E1330" i="2"/>
  <c r="G1329" i="2"/>
  <c r="F1329" i="2"/>
  <c r="E1329" i="2"/>
  <c r="G1328" i="2"/>
  <c r="F1328" i="2"/>
  <c r="E1328" i="2"/>
  <c r="G1327" i="2"/>
  <c r="F1327" i="2"/>
  <c r="E1327" i="2"/>
  <c r="G1326" i="2"/>
  <c r="F1326" i="2"/>
  <c r="E1326" i="2"/>
  <c r="G1325" i="2"/>
  <c r="F1325" i="2"/>
  <c r="E1325" i="2"/>
  <c r="G1324" i="2"/>
  <c r="F1324" i="2"/>
  <c r="E1324" i="2"/>
  <c r="G1323" i="2"/>
  <c r="F1323" i="2"/>
  <c r="E1323" i="2"/>
  <c r="G1322" i="2"/>
  <c r="F1322" i="2"/>
  <c r="E1322" i="2"/>
  <c r="G1321" i="2"/>
  <c r="F1321" i="2"/>
  <c r="E1321" i="2"/>
  <c r="G1320" i="2"/>
  <c r="F1320" i="2"/>
  <c r="E1320" i="2"/>
  <c r="G1319" i="2"/>
  <c r="F1319" i="2"/>
  <c r="E1319" i="2"/>
  <c r="G1318" i="2"/>
  <c r="F1318" i="2"/>
  <c r="E1318" i="2"/>
  <c r="G1317" i="2"/>
  <c r="F1317" i="2"/>
  <c r="E1317" i="2"/>
  <c r="G1316" i="2"/>
  <c r="F1316" i="2"/>
  <c r="E1316" i="2"/>
  <c r="G1315" i="2"/>
  <c r="F1315" i="2"/>
  <c r="E1315" i="2"/>
  <c r="G1314" i="2"/>
  <c r="F1314" i="2"/>
  <c r="E1314" i="2"/>
  <c r="G1313" i="2"/>
  <c r="F1313" i="2"/>
  <c r="E1313" i="2"/>
  <c r="G1312" i="2"/>
  <c r="F1312" i="2"/>
  <c r="E1312" i="2"/>
  <c r="G1311" i="2"/>
  <c r="F1311" i="2"/>
  <c r="E1311" i="2"/>
  <c r="G1310" i="2"/>
  <c r="F1310" i="2"/>
  <c r="E1310" i="2"/>
  <c r="G1309" i="2"/>
  <c r="F1309" i="2"/>
  <c r="E1309" i="2"/>
  <c r="G1308" i="2"/>
  <c r="F1308" i="2"/>
  <c r="E1308" i="2"/>
  <c r="G1307" i="2"/>
  <c r="F1307" i="2"/>
  <c r="E1307" i="2"/>
  <c r="G1306" i="2"/>
  <c r="F1306" i="2"/>
  <c r="E1306" i="2"/>
  <c r="G1305" i="2"/>
  <c r="F1305" i="2"/>
  <c r="E1305" i="2"/>
  <c r="G1304" i="2"/>
  <c r="F1304" i="2"/>
  <c r="E1304" i="2"/>
  <c r="G1303" i="2"/>
  <c r="F1303" i="2"/>
  <c r="E1303" i="2"/>
  <c r="G1302" i="2"/>
  <c r="F1302" i="2"/>
  <c r="E1302" i="2"/>
  <c r="G1301" i="2"/>
  <c r="F1301" i="2"/>
  <c r="E1301" i="2"/>
  <c r="G1300" i="2"/>
  <c r="F1300" i="2"/>
  <c r="E1300" i="2"/>
  <c r="G1299" i="2"/>
  <c r="F1299" i="2"/>
  <c r="E1299" i="2"/>
  <c r="G1298" i="2"/>
  <c r="F1298" i="2"/>
  <c r="E1298" i="2"/>
  <c r="G1297" i="2"/>
  <c r="F1297" i="2"/>
  <c r="E1297" i="2"/>
  <c r="G1296" i="2"/>
  <c r="F1296" i="2"/>
  <c r="E1296" i="2"/>
  <c r="G1295" i="2"/>
  <c r="F1295" i="2"/>
  <c r="E1295" i="2"/>
  <c r="G1294" i="2"/>
  <c r="F1294" i="2"/>
  <c r="E1294" i="2"/>
  <c r="G1293" i="2"/>
  <c r="F1293" i="2"/>
  <c r="E1293" i="2"/>
  <c r="G1292" i="2"/>
  <c r="F1292" i="2"/>
  <c r="E1292" i="2"/>
  <c r="G1291" i="2"/>
  <c r="F1291" i="2"/>
  <c r="E1291" i="2"/>
  <c r="G1290" i="2"/>
  <c r="F1290" i="2"/>
  <c r="E1290" i="2"/>
  <c r="G1289" i="2"/>
  <c r="F1289" i="2"/>
  <c r="E1289" i="2"/>
  <c r="G1288" i="2"/>
  <c r="F1288" i="2"/>
  <c r="E1288" i="2"/>
  <c r="G1287" i="2"/>
  <c r="F1287" i="2"/>
  <c r="E1287" i="2"/>
  <c r="G1286" i="2"/>
  <c r="F1286" i="2"/>
  <c r="E1286" i="2"/>
  <c r="G1285" i="2"/>
  <c r="F1285" i="2"/>
  <c r="E1285" i="2"/>
  <c r="G1284" i="2"/>
  <c r="F1284" i="2"/>
  <c r="E1284" i="2"/>
  <c r="G1283" i="2"/>
  <c r="F1283" i="2"/>
  <c r="E1283" i="2"/>
  <c r="G1282" i="2"/>
  <c r="F1282" i="2"/>
  <c r="E1282" i="2"/>
  <c r="G1281" i="2"/>
  <c r="F1281" i="2"/>
  <c r="E1281" i="2"/>
  <c r="G1280" i="2"/>
  <c r="F1280" i="2"/>
  <c r="E1280" i="2"/>
  <c r="G1279" i="2"/>
  <c r="F1279" i="2"/>
  <c r="E1279" i="2"/>
  <c r="G1278" i="2"/>
  <c r="F1278" i="2"/>
  <c r="E1278" i="2"/>
  <c r="G1277" i="2"/>
  <c r="F1277" i="2"/>
  <c r="E1277" i="2"/>
  <c r="G1276" i="2"/>
  <c r="F1276" i="2"/>
  <c r="E1276" i="2"/>
  <c r="G1275" i="2"/>
  <c r="F1275" i="2"/>
  <c r="E1275" i="2"/>
  <c r="G1274" i="2"/>
  <c r="F1274" i="2"/>
  <c r="E1274" i="2"/>
  <c r="G1273" i="2"/>
  <c r="F1273" i="2"/>
  <c r="E1273" i="2"/>
  <c r="G1272" i="2"/>
  <c r="F1272" i="2"/>
  <c r="E1272" i="2"/>
  <c r="G1271" i="2"/>
  <c r="F1271" i="2"/>
  <c r="E1271" i="2"/>
  <c r="G1270" i="2"/>
  <c r="F1270" i="2"/>
  <c r="E1270" i="2"/>
  <c r="G1269" i="2"/>
  <c r="F1269" i="2"/>
  <c r="E1269" i="2"/>
  <c r="G1268" i="2"/>
  <c r="F1268" i="2"/>
  <c r="E1268" i="2"/>
  <c r="G1267" i="2"/>
  <c r="F1267" i="2"/>
  <c r="E1267" i="2"/>
  <c r="G1266" i="2"/>
  <c r="F1266" i="2"/>
  <c r="E1266" i="2"/>
  <c r="G1265" i="2"/>
  <c r="F1265" i="2"/>
  <c r="E1265" i="2"/>
  <c r="G1264" i="2"/>
  <c r="F1264" i="2"/>
  <c r="E1264" i="2"/>
  <c r="G1263" i="2"/>
  <c r="F1263" i="2"/>
  <c r="E1263" i="2"/>
  <c r="G1262" i="2"/>
  <c r="F1262" i="2"/>
  <c r="E1262" i="2"/>
  <c r="G1261" i="2"/>
  <c r="F1261" i="2"/>
  <c r="E1261" i="2"/>
  <c r="G1260" i="2"/>
  <c r="F1260" i="2"/>
  <c r="E1260" i="2"/>
  <c r="G1259" i="2"/>
  <c r="F1259" i="2"/>
  <c r="E1259" i="2"/>
  <c r="G1258" i="2"/>
  <c r="F1258" i="2"/>
  <c r="E1258" i="2"/>
  <c r="G1257" i="2"/>
  <c r="F1257" i="2"/>
  <c r="E1257" i="2"/>
  <c r="G1256" i="2"/>
  <c r="F1256" i="2"/>
  <c r="E1256" i="2"/>
  <c r="G1255" i="2"/>
  <c r="F1255" i="2"/>
  <c r="E1255" i="2"/>
  <c r="G1254" i="2"/>
  <c r="F1254" i="2"/>
  <c r="E1254" i="2"/>
  <c r="G1253" i="2"/>
  <c r="F1253" i="2"/>
  <c r="E1253" i="2"/>
  <c r="G1252" i="2"/>
  <c r="F1252" i="2"/>
  <c r="E1252" i="2"/>
  <c r="G1251" i="2"/>
  <c r="F1251" i="2"/>
  <c r="E1251" i="2"/>
  <c r="G1250" i="2"/>
  <c r="F1250" i="2"/>
  <c r="E1250" i="2"/>
  <c r="G1249" i="2"/>
  <c r="F1249" i="2"/>
  <c r="E1249" i="2"/>
  <c r="G1248" i="2"/>
  <c r="F1248" i="2"/>
  <c r="E1248" i="2"/>
  <c r="G1247" i="2"/>
  <c r="F1247" i="2"/>
  <c r="E1247" i="2"/>
  <c r="G1246" i="2"/>
  <c r="F1246" i="2"/>
  <c r="E1246" i="2"/>
  <c r="G1245" i="2"/>
  <c r="F1245" i="2"/>
  <c r="E1245" i="2"/>
  <c r="G1244" i="2"/>
  <c r="F1244" i="2"/>
  <c r="E1244" i="2"/>
  <c r="G1243" i="2"/>
  <c r="F1243" i="2"/>
  <c r="E1243" i="2"/>
  <c r="G1242" i="2"/>
  <c r="F1242" i="2"/>
  <c r="E1242" i="2"/>
  <c r="G1241" i="2"/>
  <c r="F1241" i="2"/>
  <c r="E1241" i="2"/>
  <c r="G1240" i="2"/>
  <c r="F1240" i="2"/>
  <c r="E1240" i="2"/>
  <c r="G1239" i="2"/>
  <c r="F1239" i="2"/>
  <c r="E1239" i="2"/>
  <c r="G1238" i="2"/>
  <c r="F1238" i="2"/>
  <c r="E1238" i="2"/>
  <c r="G1237" i="2"/>
  <c r="F1237" i="2"/>
  <c r="E1237" i="2"/>
  <c r="G1236" i="2"/>
  <c r="F1236" i="2"/>
  <c r="E1236" i="2"/>
  <c r="G1235" i="2"/>
  <c r="F1235" i="2"/>
  <c r="E1235" i="2"/>
  <c r="G1234" i="2"/>
  <c r="F1234" i="2"/>
  <c r="E1234" i="2"/>
  <c r="G1233" i="2"/>
  <c r="F1233" i="2"/>
  <c r="E1233" i="2"/>
  <c r="G1232" i="2"/>
  <c r="F1232" i="2"/>
  <c r="E1232" i="2"/>
  <c r="G1231" i="2"/>
  <c r="F1231" i="2"/>
  <c r="E1231" i="2"/>
  <c r="G1230" i="2"/>
  <c r="F1230" i="2"/>
  <c r="E1230" i="2"/>
  <c r="G1229" i="2"/>
  <c r="F1229" i="2"/>
  <c r="E1229" i="2"/>
  <c r="G1228" i="2"/>
  <c r="F1228" i="2"/>
  <c r="E1228" i="2"/>
  <c r="G1227" i="2"/>
  <c r="F1227" i="2"/>
  <c r="E1227" i="2"/>
  <c r="G1226" i="2"/>
  <c r="F1226" i="2"/>
  <c r="E1226" i="2"/>
  <c r="G1225" i="2"/>
  <c r="F1225" i="2"/>
  <c r="E1225" i="2"/>
  <c r="G1224" i="2"/>
  <c r="F1224" i="2"/>
  <c r="E1224" i="2"/>
  <c r="G1223" i="2"/>
  <c r="F1223" i="2"/>
  <c r="E1223" i="2"/>
  <c r="G1222" i="2"/>
  <c r="F1222" i="2"/>
  <c r="E1222" i="2"/>
  <c r="G1221" i="2"/>
  <c r="F1221" i="2"/>
  <c r="E1221" i="2"/>
  <c r="G1220" i="2"/>
  <c r="F1220" i="2"/>
  <c r="E1220" i="2"/>
  <c r="G1219" i="2"/>
  <c r="F1219" i="2"/>
  <c r="E1219" i="2"/>
  <c r="G1218" i="2"/>
  <c r="F1218" i="2"/>
  <c r="E1218" i="2"/>
  <c r="G1217" i="2"/>
  <c r="F1217" i="2"/>
  <c r="E1217" i="2"/>
  <c r="G1216" i="2"/>
  <c r="F1216" i="2"/>
  <c r="E1216" i="2"/>
  <c r="G1215" i="2"/>
  <c r="F1215" i="2"/>
  <c r="E1215" i="2"/>
  <c r="G1214" i="2"/>
  <c r="F1214" i="2"/>
  <c r="E1214" i="2"/>
  <c r="G1213" i="2"/>
  <c r="F1213" i="2"/>
  <c r="E1213" i="2"/>
  <c r="G1212" i="2"/>
  <c r="F1212" i="2"/>
  <c r="E1212" i="2"/>
  <c r="G1211" i="2"/>
  <c r="F1211" i="2"/>
  <c r="E1211" i="2"/>
  <c r="G1210" i="2"/>
  <c r="F1210" i="2"/>
  <c r="E1210" i="2"/>
  <c r="G1209" i="2"/>
  <c r="F1209" i="2"/>
  <c r="E1209" i="2"/>
  <c r="G1208" i="2"/>
  <c r="F1208" i="2"/>
  <c r="E1208" i="2"/>
  <c r="G1207" i="2"/>
  <c r="F1207" i="2"/>
  <c r="E1207" i="2"/>
  <c r="G1206" i="2"/>
  <c r="F1206" i="2"/>
  <c r="E1206" i="2"/>
  <c r="G1205" i="2"/>
  <c r="F1205" i="2"/>
  <c r="E1205" i="2"/>
  <c r="G1204" i="2"/>
  <c r="F1204" i="2"/>
  <c r="E1204" i="2"/>
  <c r="G1203" i="2"/>
  <c r="F1203" i="2"/>
  <c r="E1203" i="2"/>
  <c r="G1202" i="2"/>
  <c r="F1202" i="2"/>
  <c r="E1202" i="2"/>
  <c r="G1201" i="2"/>
  <c r="F1201" i="2"/>
  <c r="E1201" i="2"/>
  <c r="G1200" i="2"/>
  <c r="F1200" i="2"/>
  <c r="E1200" i="2"/>
  <c r="G1199" i="2"/>
  <c r="F1199" i="2"/>
  <c r="E1199" i="2"/>
  <c r="G1198" i="2"/>
  <c r="F1198" i="2"/>
  <c r="E1198" i="2"/>
  <c r="G1197" i="2"/>
  <c r="F1197" i="2"/>
  <c r="E1197" i="2"/>
  <c r="G1196" i="2"/>
  <c r="F1196" i="2"/>
  <c r="E1196" i="2"/>
  <c r="G1195" i="2"/>
  <c r="F1195" i="2"/>
  <c r="E1195" i="2"/>
  <c r="G1194" i="2"/>
  <c r="F1194" i="2"/>
  <c r="E1194" i="2"/>
  <c r="G1193" i="2"/>
  <c r="F1193" i="2"/>
  <c r="E1193" i="2"/>
  <c r="G1192" i="2"/>
  <c r="F1192" i="2"/>
  <c r="E1192" i="2"/>
  <c r="G1191" i="2"/>
  <c r="F1191" i="2"/>
  <c r="E1191" i="2"/>
  <c r="G1190" i="2"/>
  <c r="F1190" i="2"/>
  <c r="E1190" i="2"/>
  <c r="G1189" i="2"/>
  <c r="F1189" i="2"/>
  <c r="E1189" i="2"/>
  <c r="G1188" i="2"/>
  <c r="F1188" i="2"/>
  <c r="E1188" i="2"/>
  <c r="G1187" i="2"/>
  <c r="F1187" i="2"/>
  <c r="E1187" i="2"/>
  <c r="G1186" i="2"/>
  <c r="F1186" i="2"/>
  <c r="E1186" i="2"/>
  <c r="G1185" i="2"/>
  <c r="F1185" i="2"/>
  <c r="E1185" i="2"/>
  <c r="G1184" i="2"/>
  <c r="F1184" i="2"/>
  <c r="E1184" i="2"/>
  <c r="G1183" i="2"/>
  <c r="F1183" i="2"/>
  <c r="E1183" i="2"/>
  <c r="G1182" i="2"/>
  <c r="F1182" i="2"/>
  <c r="E1182" i="2"/>
  <c r="G1181" i="2"/>
  <c r="F1181" i="2"/>
  <c r="E1181" i="2"/>
  <c r="G1180" i="2"/>
  <c r="F1180" i="2"/>
  <c r="E1180" i="2"/>
  <c r="G1179" i="2"/>
  <c r="F1179" i="2"/>
  <c r="E1179" i="2"/>
  <c r="G1178" i="2"/>
  <c r="F1178" i="2"/>
  <c r="E1178" i="2"/>
  <c r="G1177" i="2"/>
  <c r="F1177" i="2"/>
  <c r="E1177" i="2"/>
  <c r="G1176" i="2"/>
  <c r="F1176" i="2"/>
  <c r="E1176" i="2"/>
  <c r="G1175" i="2"/>
  <c r="F1175" i="2"/>
  <c r="E1175" i="2"/>
  <c r="G1174" i="2"/>
  <c r="F1174" i="2"/>
  <c r="E1174" i="2"/>
  <c r="G1173" i="2"/>
  <c r="F1173" i="2"/>
  <c r="E1173" i="2"/>
  <c r="G1172" i="2"/>
  <c r="F1172" i="2"/>
  <c r="E1172" i="2"/>
  <c r="G1171" i="2"/>
  <c r="F1171" i="2"/>
  <c r="E1171" i="2"/>
  <c r="G1170" i="2"/>
  <c r="F1170" i="2"/>
  <c r="E1170" i="2"/>
  <c r="G1169" i="2"/>
  <c r="F1169" i="2"/>
  <c r="E1169" i="2"/>
  <c r="G1168" i="2"/>
  <c r="F1168" i="2"/>
  <c r="E1168" i="2"/>
  <c r="G1167" i="2"/>
  <c r="F1167" i="2"/>
  <c r="E1167" i="2"/>
  <c r="G1166" i="2"/>
  <c r="F1166" i="2"/>
  <c r="E1166" i="2"/>
  <c r="G1165" i="2"/>
  <c r="F1165" i="2"/>
  <c r="E1165" i="2"/>
  <c r="G1164" i="2"/>
  <c r="F1164" i="2"/>
  <c r="E1164" i="2"/>
  <c r="G1163" i="2"/>
  <c r="F1163" i="2"/>
  <c r="E1163" i="2"/>
  <c r="G1162" i="2"/>
  <c r="F1162" i="2"/>
  <c r="E1162" i="2"/>
  <c r="G1161" i="2"/>
  <c r="F1161" i="2"/>
  <c r="E1161" i="2"/>
  <c r="G1160" i="2"/>
  <c r="F1160" i="2"/>
  <c r="E1160" i="2"/>
  <c r="G1159" i="2"/>
  <c r="F1159" i="2"/>
  <c r="E1159" i="2"/>
  <c r="G1158" i="2"/>
  <c r="F1158" i="2"/>
  <c r="E1158" i="2"/>
  <c r="G1157" i="2"/>
  <c r="F1157" i="2"/>
  <c r="E1157" i="2"/>
  <c r="G1156" i="2"/>
  <c r="F1156" i="2"/>
  <c r="E1156" i="2"/>
  <c r="G1155" i="2"/>
  <c r="F1155" i="2"/>
  <c r="E1155" i="2"/>
  <c r="G1154" i="2"/>
  <c r="F1154" i="2"/>
  <c r="E1154" i="2"/>
  <c r="G1153" i="2"/>
  <c r="F1153" i="2"/>
  <c r="E1153" i="2"/>
  <c r="G1152" i="2"/>
  <c r="F1152" i="2"/>
  <c r="E1152" i="2"/>
  <c r="G1151" i="2"/>
  <c r="F1151" i="2"/>
  <c r="E1151" i="2"/>
  <c r="G1150" i="2"/>
  <c r="F1150" i="2"/>
  <c r="E1150" i="2"/>
  <c r="G1149" i="2"/>
  <c r="F1149" i="2"/>
  <c r="E1149" i="2"/>
  <c r="G1148" i="2"/>
  <c r="F1148" i="2"/>
  <c r="E1148" i="2"/>
  <c r="G1147" i="2"/>
  <c r="F1147" i="2"/>
  <c r="E1147" i="2"/>
  <c r="G1146" i="2"/>
  <c r="F1146" i="2"/>
  <c r="E1146" i="2"/>
  <c r="G1145" i="2"/>
  <c r="F1145" i="2"/>
  <c r="E1145" i="2"/>
  <c r="G1144" i="2"/>
  <c r="F1144" i="2"/>
  <c r="E1144" i="2"/>
  <c r="G1143" i="2"/>
  <c r="F1143" i="2"/>
  <c r="E1143" i="2"/>
  <c r="G1142" i="2"/>
  <c r="F1142" i="2"/>
  <c r="E1142" i="2"/>
  <c r="G1141" i="2"/>
  <c r="F1141" i="2"/>
  <c r="E1141" i="2"/>
  <c r="G1140" i="2"/>
  <c r="F1140" i="2"/>
  <c r="E1140" i="2"/>
  <c r="G1139" i="2"/>
  <c r="F1139" i="2"/>
  <c r="E1139" i="2"/>
  <c r="G1138" i="2"/>
  <c r="F1138" i="2"/>
  <c r="E1138" i="2"/>
  <c r="G1137" i="2"/>
  <c r="F1137" i="2"/>
  <c r="E1137" i="2"/>
  <c r="G1136" i="2"/>
  <c r="F1136" i="2"/>
  <c r="E1136" i="2"/>
  <c r="G1135" i="2"/>
  <c r="F1135" i="2"/>
  <c r="E1135" i="2"/>
  <c r="G1134" i="2"/>
  <c r="F1134" i="2"/>
  <c r="E1134" i="2"/>
  <c r="G1133" i="2"/>
  <c r="F1133" i="2"/>
  <c r="E1133" i="2"/>
  <c r="G1132" i="2"/>
  <c r="F1132" i="2"/>
  <c r="E1132" i="2"/>
  <c r="G1131" i="2"/>
  <c r="F1131" i="2"/>
  <c r="E1131" i="2"/>
  <c r="G1130" i="2"/>
  <c r="F1130" i="2"/>
  <c r="E1130" i="2"/>
  <c r="G1129" i="2"/>
  <c r="F1129" i="2"/>
  <c r="E1129" i="2"/>
  <c r="G1128" i="2"/>
  <c r="F1128" i="2"/>
  <c r="E1128" i="2"/>
  <c r="G1127" i="2"/>
  <c r="F1127" i="2"/>
  <c r="E1127" i="2"/>
  <c r="G1126" i="2"/>
  <c r="F1126" i="2"/>
  <c r="E1126" i="2"/>
  <c r="G1125" i="2"/>
  <c r="F1125" i="2"/>
  <c r="E1125" i="2"/>
  <c r="G1124" i="2"/>
  <c r="F1124" i="2"/>
  <c r="E1124" i="2"/>
  <c r="G1123" i="2"/>
  <c r="F1123" i="2"/>
  <c r="E1123" i="2"/>
  <c r="G1122" i="2"/>
  <c r="F1122" i="2"/>
  <c r="E1122" i="2"/>
  <c r="G1121" i="2"/>
  <c r="F1121" i="2"/>
  <c r="E1121" i="2"/>
  <c r="G1120" i="2"/>
  <c r="F1120" i="2"/>
  <c r="E1120" i="2"/>
  <c r="G1119" i="2"/>
  <c r="F1119" i="2"/>
  <c r="E1119" i="2"/>
  <c r="G1118" i="2"/>
  <c r="F1118" i="2"/>
  <c r="E1118" i="2"/>
  <c r="G1117" i="2"/>
  <c r="F1117" i="2"/>
  <c r="E1117" i="2"/>
  <c r="G1116" i="2"/>
  <c r="F1116" i="2"/>
  <c r="E1116" i="2"/>
  <c r="G1115" i="2"/>
  <c r="F1115" i="2"/>
  <c r="E1115" i="2"/>
  <c r="G1114" i="2"/>
  <c r="F1114" i="2"/>
  <c r="E1114" i="2"/>
  <c r="G1113" i="2"/>
  <c r="F1113" i="2"/>
  <c r="E1113" i="2"/>
  <c r="G1112" i="2"/>
  <c r="F1112" i="2"/>
  <c r="E1112" i="2"/>
  <c r="G1111" i="2"/>
  <c r="F1111" i="2"/>
  <c r="E1111" i="2"/>
  <c r="G1110" i="2"/>
  <c r="F1110" i="2"/>
  <c r="E1110" i="2"/>
  <c r="G1109" i="2"/>
  <c r="F1109" i="2"/>
  <c r="E1109" i="2"/>
  <c r="G1108" i="2"/>
  <c r="F1108" i="2"/>
  <c r="E1108" i="2"/>
  <c r="G1107" i="2"/>
  <c r="F1107" i="2"/>
  <c r="E1107" i="2"/>
  <c r="G1106" i="2"/>
  <c r="F1106" i="2"/>
  <c r="E1106" i="2"/>
  <c r="G1105" i="2"/>
  <c r="F1105" i="2"/>
  <c r="E1105" i="2"/>
  <c r="G1104" i="2"/>
  <c r="F1104" i="2"/>
  <c r="E1104" i="2"/>
  <c r="G1103" i="2"/>
  <c r="F1103" i="2"/>
  <c r="E1103" i="2"/>
  <c r="G1102" i="2"/>
  <c r="F1102" i="2"/>
  <c r="E1102" i="2"/>
  <c r="G1101" i="2"/>
  <c r="F1101" i="2"/>
  <c r="E1101" i="2"/>
  <c r="G1100" i="2"/>
  <c r="F1100" i="2"/>
  <c r="E1100" i="2"/>
  <c r="G1099" i="2"/>
  <c r="F1099" i="2"/>
  <c r="E1099" i="2"/>
  <c r="G1098" i="2"/>
  <c r="F1098" i="2"/>
  <c r="E1098" i="2"/>
  <c r="G1097" i="2"/>
  <c r="F1097" i="2"/>
  <c r="E1097" i="2"/>
  <c r="G1096" i="2"/>
  <c r="F1096" i="2"/>
  <c r="E1096" i="2"/>
  <c r="G1095" i="2"/>
  <c r="F1095" i="2"/>
  <c r="E1095" i="2"/>
  <c r="G1094" i="2"/>
  <c r="F1094" i="2"/>
  <c r="E1094" i="2"/>
  <c r="G1093" i="2"/>
  <c r="F1093" i="2"/>
  <c r="E1093" i="2"/>
  <c r="G1092" i="2"/>
  <c r="F1092" i="2"/>
  <c r="E1092" i="2"/>
  <c r="G1091" i="2"/>
  <c r="F1091" i="2"/>
  <c r="E1091" i="2"/>
  <c r="G1090" i="2"/>
  <c r="F1090" i="2"/>
  <c r="E1090" i="2"/>
  <c r="G1089" i="2"/>
  <c r="F1089" i="2"/>
  <c r="E1089" i="2"/>
  <c r="G1088" i="2"/>
  <c r="F1088" i="2"/>
  <c r="E1088" i="2"/>
  <c r="G1087" i="2"/>
  <c r="F1087" i="2"/>
  <c r="E1087" i="2"/>
  <c r="G1086" i="2"/>
  <c r="F1086" i="2"/>
  <c r="E1086" i="2"/>
  <c r="G1085" i="2"/>
  <c r="F1085" i="2"/>
  <c r="E1085" i="2"/>
  <c r="G1084" i="2"/>
  <c r="F1084" i="2"/>
  <c r="E1084" i="2"/>
  <c r="G1083" i="2"/>
  <c r="F1083" i="2"/>
  <c r="E1083" i="2"/>
  <c r="G1082" i="2"/>
  <c r="F1082" i="2"/>
  <c r="E1082" i="2"/>
  <c r="G1081" i="2"/>
  <c r="F1081" i="2"/>
  <c r="E1081" i="2"/>
  <c r="G1080" i="2"/>
  <c r="F1080" i="2"/>
  <c r="E1080" i="2"/>
  <c r="G1079" i="2"/>
  <c r="F1079" i="2"/>
  <c r="E1079" i="2"/>
  <c r="G1078" i="2"/>
  <c r="F1078" i="2"/>
  <c r="E1078" i="2"/>
  <c r="G1077" i="2"/>
  <c r="F1077" i="2"/>
  <c r="E1077" i="2"/>
  <c r="G1076" i="2"/>
  <c r="F1076" i="2"/>
  <c r="E1076" i="2"/>
  <c r="G1075" i="2"/>
  <c r="F1075" i="2"/>
  <c r="E1075" i="2"/>
  <c r="G1074" i="2"/>
  <c r="F1074" i="2"/>
  <c r="E1074" i="2"/>
  <c r="G1073" i="2"/>
  <c r="F1073" i="2"/>
  <c r="E1073" i="2"/>
  <c r="G1072" i="2"/>
  <c r="F1072" i="2"/>
  <c r="E1072" i="2"/>
  <c r="G1071" i="2"/>
  <c r="F1071" i="2"/>
  <c r="E1071" i="2"/>
  <c r="G1070" i="2"/>
  <c r="F1070" i="2"/>
  <c r="E1070" i="2"/>
  <c r="G1069" i="2"/>
  <c r="F1069" i="2"/>
  <c r="E1069" i="2"/>
  <c r="G1068" i="2"/>
  <c r="F1068" i="2"/>
  <c r="E1068" i="2"/>
  <c r="G1067" i="2"/>
  <c r="F1067" i="2"/>
  <c r="E1067" i="2"/>
  <c r="G1066" i="2"/>
  <c r="F1066" i="2"/>
  <c r="E1066" i="2"/>
  <c r="G1065" i="2"/>
  <c r="F1065" i="2"/>
  <c r="E1065" i="2"/>
  <c r="G1064" i="2"/>
  <c r="F1064" i="2"/>
  <c r="E1064" i="2"/>
  <c r="G1063" i="2"/>
  <c r="F1063" i="2"/>
  <c r="E1063" i="2"/>
  <c r="G1062" i="2"/>
  <c r="F1062" i="2"/>
  <c r="E1062" i="2"/>
  <c r="G1061" i="2"/>
  <c r="F1061" i="2"/>
  <c r="E1061" i="2"/>
  <c r="G1060" i="2"/>
  <c r="F1060" i="2"/>
  <c r="E1060" i="2"/>
  <c r="G1059" i="2"/>
  <c r="F1059" i="2"/>
  <c r="E1059" i="2"/>
  <c r="G1058" i="2"/>
  <c r="F1058" i="2"/>
  <c r="E1058" i="2"/>
  <c r="G1057" i="2"/>
  <c r="F1057" i="2"/>
  <c r="E1057" i="2"/>
  <c r="G1056" i="2"/>
  <c r="F1056" i="2"/>
  <c r="E1056" i="2"/>
  <c r="G1055" i="2"/>
  <c r="F1055" i="2"/>
  <c r="E1055" i="2"/>
  <c r="G1054" i="2"/>
  <c r="F1054" i="2"/>
  <c r="E1054" i="2"/>
  <c r="G1053" i="2"/>
  <c r="F1053" i="2"/>
  <c r="E1053" i="2"/>
  <c r="G1052" i="2"/>
  <c r="F1052" i="2"/>
  <c r="E1052" i="2"/>
  <c r="G1051" i="2"/>
  <c r="F1051" i="2"/>
  <c r="E1051" i="2"/>
  <c r="G1050" i="2"/>
  <c r="F1050" i="2"/>
  <c r="E1050" i="2"/>
  <c r="G1049" i="2"/>
  <c r="F1049" i="2"/>
  <c r="E1049" i="2"/>
  <c r="G1048" i="2"/>
  <c r="F1048" i="2"/>
  <c r="E1048" i="2"/>
  <c r="G1047" i="2"/>
  <c r="F1047" i="2"/>
  <c r="E1047" i="2"/>
  <c r="G1046" i="2"/>
  <c r="F1046" i="2"/>
  <c r="E1046" i="2"/>
  <c r="G1045" i="2"/>
  <c r="F1045" i="2"/>
  <c r="E1045" i="2"/>
  <c r="G1044" i="2"/>
  <c r="F1044" i="2"/>
  <c r="E1044" i="2"/>
  <c r="G1043" i="2"/>
  <c r="F1043" i="2"/>
  <c r="E1043" i="2"/>
  <c r="G1042" i="2"/>
  <c r="F1042" i="2"/>
  <c r="E1042" i="2"/>
  <c r="G1041" i="2"/>
  <c r="F1041" i="2"/>
  <c r="E1041" i="2"/>
  <c r="G1040" i="2"/>
  <c r="F1040" i="2"/>
  <c r="E1040" i="2"/>
  <c r="G1039" i="2"/>
  <c r="F1039" i="2"/>
  <c r="E1039" i="2"/>
  <c r="G1038" i="2"/>
  <c r="F1038" i="2"/>
  <c r="E1038" i="2"/>
  <c r="G1037" i="2"/>
  <c r="F1037" i="2"/>
  <c r="E1037" i="2"/>
  <c r="G1036" i="2"/>
  <c r="F1036" i="2"/>
  <c r="E1036" i="2"/>
  <c r="G1035" i="2"/>
  <c r="F1035" i="2"/>
  <c r="E1035" i="2"/>
  <c r="G1034" i="2"/>
  <c r="F1034" i="2"/>
  <c r="E1034" i="2"/>
  <c r="G1033" i="2"/>
  <c r="F1033" i="2"/>
  <c r="E1033" i="2"/>
  <c r="G1032" i="2"/>
  <c r="F1032" i="2"/>
  <c r="E1032" i="2"/>
  <c r="G1031" i="2"/>
  <c r="F1031" i="2"/>
  <c r="E1031" i="2"/>
  <c r="G1030" i="2"/>
  <c r="F1030" i="2"/>
  <c r="E1030" i="2"/>
  <c r="G1029" i="2"/>
  <c r="F1029" i="2"/>
  <c r="E1029" i="2"/>
  <c r="G1028" i="2"/>
  <c r="F1028" i="2"/>
  <c r="E1028" i="2"/>
  <c r="G1027" i="2"/>
  <c r="F1027" i="2"/>
  <c r="E1027" i="2"/>
  <c r="G1026" i="2"/>
  <c r="F1026" i="2"/>
  <c r="E1026" i="2"/>
  <c r="G1025" i="2"/>
  <c r="F1025" i="2"/>
  <c r="E1025" i="2"/>
  <c r="G1024" i="2"/>
  <c r="F1024" i="2"/>
  <c r="E1024" i="2"/>
  <c r="G1023" i="2"/>
  <c r="F1023" i="2"/>
  <c r="E1023" i="2"/>
  <c r="G1022" i="2"/>
  <c r="F1022" i="2"/>
  <c r="E1022" i="2"/>
  <c r="G1021" i="2"/>
  <c r="F1021" i="2"/>
  <c r="E1021" i="2"/>
  <c r="G1020" i="2"/>
  <c r="F1020" i="2"/>
  <c r="E1020" i="2"/>
  <c r="G1019" i="2"/>
  <c r="F1019" i="2"/>
  <c r="E1019" i="2"/>
  <c r="G1018" i="2"/>
  <c r="F1018" i="2"/>
  <c r="E1018" i="2"/>
  <c r="G1017" i="2"/>
  <c r="F1017" i="2"/>
  <c r="E1017" i="2"/>
  <c r="G1016" i="2"/>
  <c r="F1016" i="2"/>
  <c r="E1016" i="2"/>
  <c r="G1015" i="2"/>
  <c r="F1015" i="2"/>
  <c r="E1015" i="2"/>
  <c r="G1014" i="2"/>
  <c r="F1014" i="2"/>
  <c r="E1014" i="2"/>
  <c r="G1013" i="2"/>
  <c r="F1013" i="2"/>
  <c r="E1013" i="2"/>
  <c r="G1012" i="2"/>
  <c r="F1012" i="2"/>
  <c r="E1012" i="2"/>
  <c r="G1011" i="2"/>
  <c r="F1011" i="2"/>
  <c r="E1011" i="2"/>
  <c r="G1010" i="2"/>
  <c r="F1010" i="2"/>
  <c r="E1010" i="2"/>
  <c r="G1009" i="2"/>
  <c r="F1009" i="2"/>
  <c r="E1009" i="2"/>
  <c r="G1008" i="2"/>
  <c r="F1008" i="2"/>
  <c r="E1008" i="2"/>
  <c r="G1007" i="2"/>
  <c r="F1007" i="2"/>
  <c r="E1007" i="2"/>
  <c r="G1006" i="2"/>
  <c r="F1006" i="2"/>
  <c r="E1006" i="2"/>
  <c r="G1005" i="2"/>
  <c r="F1005" i="2"/>
  <c r="E1005" i="2"/>
  <c r="G1004" i="2"/>
  <c r="F1004" i="2"/>
  <c r="E1004" i="2"/>
  <c r="G1003" i="2"/>
  <c r="F1003" i="2"/>
  <c r="E1003" i="2"/>
  <c r="G1002" i="2"/>
  <c r="F1002" i="2"/>
  <c r="E1002" i="2"/>
  <c r="G1001" i="2"/>
  <c r="F1001" i="2"/>
  <c r="E1001" i="2"/>
  <c r="G1000" i="2"/>
  <c r="F1000" i="2"/>
  <c r="E1000" i="2"/>
  <c r="G999" i="2"/>
  <c r="F999" i="2"/>
  <c r="E999" i="2"/>
  <c r="G998" i="2"/>
  <c r="F998" i="2"/>
  <c r="E998" i="2"/>
  <c r="G997" i="2"/>
  <c r="F997" i="2"/>
  <c r="E997" i="2"/>
  <c r="G996" i="2"/>
  <c r="F996" i="2"/>
  <c r="E996" i="2"/>
  <c r="G995" i="2"/>
  <c r="F995" i="2"/>
  <c r="E995" i="2"/>
  <c r="G994" i="2"/>
  <c r="F994" i="2"/>
  <c r="E994" i="2"/>
  <c r="G993" i="2"/>
  <c r="F993" i="2"/>
  <c r="E993" i="2"/>
  <c r="G992" i="2"/>
  <c r="F992" i="2"/>
  <c r="E992" i="2"/>
  <c r="G991" i="2"/>
  <c r="F991" i="2"/>
  <c r="E991" i="2"/>
  <c r="G990" i="2"/>
  <c r="F990" i="2"/>
  <c r="E990" i="2"/>
  <c r="G989" i="2"/>
  <c r="F989" i="2"/>
  <c r="E989" i="2"/>
  <c r="G988" i="2"/>
  <c r="F988" i="2"/>
  <c r="E988" i="2"/>
  <c r="G987" i="2"/>
  <c r="F987" i="2"/>
  <c r="E987" i="2"/>
  <c r="G986" i="2"/>
  <c r="F986" i="2"/>
  <c r="E986" i="2"/>
  <c r="G985" i="2"/>
  <c r="F985" i="2"/>
  <c r="E985" i="2"/>
  <c r="G984" i="2"/>
  <c r="F984" i="2"/>
  <c r="E984" i="2"/>
  <c r="G983" i="2"/>
  <c r="F983" i="2"/>
  <c r="E983" i="2"/>
  <c r="G982" i="2"/>
  <c r="F982" i="2"/>
  <c r="E982" i="2"/>
  <c r="G981" i="2"/>
  <c r="F981" i="2"/>
  <c r="E981" i="2"/>
  <c r="G980" i="2"/>
  <c r="F980" i="2"/>
  <c r="E980" i="2"/>
  <c r="G979" i="2"/>
  <c r="F979" i="2"/>
  <c r="E979" i="2"/>
  <c r="G978" i="2"/>
  <c r="F978" i="2"/>
  <c r="E978" i="2"/>
  <c r="G977" i="2"/>
  <c r="F977" i="2"/>
  <c r="E977" i="2"/>
  <c r="G976" i="2"/>
  <c r="F976" i="2"/>
  <c r="E976" i="2"/>
  <c r="G975" i="2"/>
  <c r="F975" i="2"/>
  <c r="E975" i="2"/>
  <c r="G974" i="2"/>
  <c r="F974" i="2"/>
  <c r="E974" i="2"/>
  <c r="G973" i="2"/>
  <c r="F973" i="2"/>
  <c r="E973" i="2"/>
  <c r="G972" i="2"/>
  <c r="F972" i="2"/>
  <c r="E972" i="2"/>
  <c r="G971" i="2"/>
  <c r="F971" i="2"/>
  <c r="E971" i="2"/>
  <c r="G970" i="2"/>
  <c r="F970" i="2"/>
  <c r="E970" i="2"/>
  <c r="G969" i="2"/>
  <c r="F969" i="2"/>
  <c r="E969" i="2"/>
  <c r="G968" i="2"/>
  <c r="F968" i="2"/>
  <c r="E968" i="2"/>
  <c r="G967" i="2"/>
  <c r="F967" i="2"/>
  <c r="E967" i="2"/>
  <c r="G966" i="2"/>
  <c r="F966" i="2"/>
  <c r="E966" i="2"/>
  <c r="G965" i="2"/>
  <c r="F965" i="2"/>
  <c r="E965" i="2"/>
  <c r="G964" i="2"/>
  <c r="F964" i="2"/>
  <c r="E964" i="2"/>
  <c r="G963" i="2"/>
  <c r="F963" i="2"/>
  <c r="E963" i="2"/>
  <c r="G962" i="2"/>
  <c r="F962" i="2"/>
  <c r="E962" i="2"/>
  <c r="G961" i="2"/>
  <c r="F961" i="2"/>
  <c r="E961" i="2"/>
  <c r="G960" i="2"/>
  <c r="F960" i="2"/>
  <c r="E960" i="2"/>
  <c r="G959" i="2"/>
  <c r="F959" i="2"/>
  <c r="E959" i="2"/>
  <c r="G958" i="2"/>
  <c r="F958" i="2"/>
  <c r="E958" i="2"/>
  <c r="G957" i="2"/>
  <c r="F957" i="2"/>
  <c r="E957" i="2"/>
  <c r="G956" i="2"/>
  <c r="F956" i="2"/>
  <c r="E956" i="2"/>
  <c r="G955" i="2"/>
  <c r="F955" i="2"/>
  <c r="E955" i="2"/>
  <c r="G954" i="2"/>
  <c r="F954" i="2"/>
  <c r="E954" i="2"/>
  <c r="G953" i="2"/>
  <c r="F953" i="2"/>
  <c r="E953" i="2"/>
  <c r="G952" i="2"/>
  <c r="F952" i="2"/>
  <c r="E952" i="2"/>
  <c r="G951" i="2"/>
  <c r="F951" i="2"/>
  <c r="E951" i="2"/>
  <c r="G950" i="2"/>
  <c r="F950" i="2"/>
  <c r="E950" i="2"/>
  <c r="G949" i="2"/>
  <c r="F949" i="2"/>
  <c r="E949" i="2"/>
  <c r="G948" i="2"/>
  <c r="F948" i="2"/>
  <c r="E948" i="2"/>
  <c r="G947" i="2"/>
  <c r="F947" i="2"/>
  <c r="E947" i="2"/>
  <c r="G946" i="2"/>
  <c r="F946" i="2"/>
  <c r="E946" i="2"/>
  <c r="G945" i="2"/>
  <c r="F945" i="2"/>
  <c r="E945" i="2"/>
  <c r="G944" i="2"/>
  <c r="F944" i="2"/>
  <c r="E944" i="2"/>
  <c r="G943" i="2"/>
  <c r="F943" i="2"/>
  <c r="E943" i="2"/>
  <c r="G942" i="2"/>
  <c r="F942" i="2"/>
  <c r="E942" i="2"/>
  <c r="G941" i="2"/>
  <c r="F941" i="2"/>
  <c r="E941" i="2"/>
  <c r="G940" i="2"/>
  <c r="F940" i="2"/>
  <c r="E940" i="2"/>
  <c r="G939" i="2"/>
  <c r="F939" i="2"/>
  <c r="E939" i="2"/>
  <c r="G938" i="2"/>
  <c r="F938" i="2"/>
  <c r="E938" i="2"/>
  <c r="G937" i="2"/>
  <c r="F937" i="2"/>
  <c r="E937" i="2"/>
  <c r="G936" i="2"/>
  <c r="F936" i="2"/>
  <c r="E936" i="2"/>
  <c r="G935" i="2"/>
  <c r="F935" i="2"/>
  <c r="E935" i="2"/>
  <c r="G934" i="2"/>
  <c r="F934" i="2"/>
  <c r="E934" i="2"/>
  <c r="G933" i="2"/>
  <c r="F933" i="2"/>
  <c r="E933" i="2"/>
  <c r="G932" i="2"/>
  <c r="F932" i="2"/>
  <c r="E932" i="2"/>
  <c r="G931" i="2"/>
  <c r="F931" i="2"/>
  <c r="E931" i="2"/>
  <c r="G930" i="2"/>
  <c r="F930" i="2"/>
  <c r="E930" i="2"/>
  <c r="G929" i="2"/>
  <c r="F929" i="2"/>
  <c r="E929" i="2"/>
  <c r="G928" i="2"/>
  <c r="F928" i="2"/>
  <c r="E928" i="2"/>
  <c r="G927" i="2"/>
  <c r="F927" i="2"/>
  <c r="E927" i="2"/>
  <c r="G926" i="2"/>
  <c r="F926" i="2"/>
  <c r="E926" i="2"/>
  <c r="G925" i="2"/>
  <c r="F925" i="2"/>
  <c r="E925" i="2"/>
  <c r="G924" i="2"/>
  <c r="F924" i="2"/>
  <c r="E924" i="2"/>
  <c r="G923" i="2"/>
  <c r="F923" i="2"/>
  <c r="E923" i="2"/>
  <c r="G922" i="2"/>
  <c r="F922" i="2"/>
  <c r="E922" i="2"/>
  <c r="G921" i="2"/>
  <c r="F921" i="2"/>
  <c r="E921" i="2"/>
  <c r="G920" i="2"/>
  <c r="F920" i="2"/>
  <c r="E920" i="2"/>
  <c r="G919" i="2"/>
  <c r="F919" i="2"/>
  <c r="E919" i="2"/>
  <c r="G918" i="2"/>
  <c r="F918" i="2"/>
  <c r="E918" i="2"/>
  <c r="G917" i="2"/>
  <c r="F917" i="2"/>
  <c r="E917" i="2"/>
  <c r="G916" i="2"/>
  <c r="F916" i="2"/>
  <c r="E916" i="2"/>
  <c r="G915" i="2"/>
  <c r="F915" i="2"/>
  <c r="E915" i="2"/>
  <c r="G914" i="2"/>
  <c r="F914" i="2"/>
  <c r="E914" i="2"/>
  <c r="G913" i="2"/>
  <c r="F913" i="2"/>
  <c r="E913" i="2"/>
  <c r="G912" i="2"/>
  <c r="F912" i="2"/>
  <c r="E912" i="2"/>
  <c r="G911" i="2"/>
  <c r="F911" i="2"/>
  <c r="E911" i="2"/>
  <c r="G910" i="2"/>
  <c r="F910" i="2"/>
  <c r="E910" i="2"/>
  <c r="G909" i="2"/>
  <c r="F909" i="2"/>
  <c r="E909" i="2"/>
  <c r="G908" i="2"/>
  <c r="F908" i="2"/>
  <c r="E908" i="2"/>
  <c r="G907" i="2"/>
  <c r="F907" i="2"/>
  <c r="E907" i="2"/>
  <c r="G906" i="2"/>
  <c r="F906" i="2"/>
  <c r="E906" i="2"/>
  <c r="G905" i="2"/>
  <c r="F905" i="2"/>
  <c r="E905" i="2"/>
  <c r="G904" i="2"/>
  <c r="F904" i="2"/>
  <c r="E904" i="2"/>
  <c r="G903" i="2"/>
  <c r="F903" i="2"/>
  <c r="E903" i="2"/>
  <c r="G902" i="2"/>
  <c r="F902" i="2"/>
  <c r="E902" i="2"/>
  <c r="G901" i="2"/>
  <c r="F901" i="2"/>
  <c r="E901" i="2"/>
  <c r="G900" i="2"/>
  <c r="F900" i="2"/>
  <c r="E900" i="2"/>
  <c r="G899" i="2"/>
  <c r="F899" i="2"/>
  <c r="E899" i="2"/>
  <c r="G898" i="2"/>
  <c r="F898" i="2"/>
  <c r="E898" i="2"/>
  <c r="G897" i="2"/>
  <c r="F897" i="2"/>
  <c r="E897" i="2"/>
  <c r="G896" i="2"/>
  <c r="F896" i="2"/>
  <c r="E896" i="2"/>
  <c r="G895" i="2"/>
  <c r="F895" i="2"/>
  <c r="E895" i="2"/>
  <c r="G894" i="2"/>
  <c r="F894" i="2"/>
  <c r="E894" i="2"/>
  <c r="G893" i="2"/>
  <c r="F893" i="2"/>
  <c r="E893" i="2"/>
  <c r="G892" i="2"/>
  <c r="F892" i="2"/>
  <c r="E892" i="2"/>
  <c r="G891" i="2"/>
  <c r="F891" i="2"/>
  <c r="E891" i="2"/>
  <c r="G890" i="2"/>
  <c r="F890" i="2"/>
  <c r="E890" i="2"/>
  <c r="G889" i="2"/>
  <c r="F889" i="2"/>
  <c r="E889" i="2"/>
  <c r="G888" i="2"/>
  <c r="F888" i="2"/>
  <c r="E888" i="2"/>
  <c r="G887" i="2"/>
  <c r="F887" i="2"/>
  <c r="E887" i="2"/>
  <c r="G886" i="2"/>
  <c r="F886" i="2"/>
  <c r="E886" i="2"/>
  <c r="G885" i="2"/>
  <c r="F885" i="2"/>
  <c r="E885" i="2"/>
  <c r="G884" i="2"/>
  <c r="F884" i="2"/>
  <c r="E884" i="2"/>
  <c r="G883" i="2"/>
  <c r="F883" i="2"/>
  <c r="E883" i="2"/>
  <c r="G882" i="2"/>
  <c r="F882" i="2"/>
  <c r="E882" i="2"/>
  <c r="G881" i="2"/>
  <c r="F881" i="2"/>
  <c r="E881" i="2"/>
  <c r="G880" i="2"/>
  <c r="F880" i="2"/>
  <c r="E880" i="2"/>
  <c r="G879" i="2"/>
  <c r="F879" i="2"/>
  <c r="E879" i="2"/>
  <c r="G878" i="2"/>
  <c r="F878" i="2"/>
  <c r="E878" i="2"/>
  <c r="G877" i="2"/>
  <c r="F877" i="2"/>
  <c r="E877" i="2"/>
  <c r="G876" i="2"/>
  <c r="F876" i="2"/>
  <c r="E876" i="2"/>
  <c r="G875" i="2"/>
  <c r="F875" i="2"/>
  <c r="E875" i="2"/>
  <c r="G874" i="2"/>
  <c r="F874" i="2"/>
  <c r="E874" i="2"/>
  <c r="G873" i="2"/>
  <c r="F873" i="2"/>
  <c r="E873" i="2"/>
  <c r="G872" i="2"/>
  <c r="F872" i="2"/>
  <c r="E872" i="2"/>
  <c r="G871" i="2"/>
  <c r="F871" i="2"/>
  <c r="E871" i="2"/>
  <c r="G870" i="2"/>
  <c r="F870" i="2"/>
  <c r="E870" i="2"/>
  <c r="G869" i="2"/>
  <c r="F869" i="2"/>
  <c r="E869" i="2"/>
  <c r="G868" i="2"/>
  <c r="F868" i="2"/>
  <c r="E868" i="2"/>
  <c r="G867" i="2"/>
  <c r="F867" i="2"/>
  <c r="E867" i="2"/>
  <c r="G866" i="2"/>
  <c r="F866" i="2"/>
  <c r="E866" i="2"/>
  <c r="G865" i="2"/>
  <c r="F865" i="2"/>
  <c r="E865" i="2"/>
  <c r="G864" i="2"/>
  <c r="F864" i="2"/>
  <c r="E864" i="2"/>
  <c r="G863" i="2"/>
  <c r="F863" i="2"/>
  <c r="E863" i="2"/>
  <c r="G862" i="2"/>
  <c r="F862" i="2"/>
  <c r="E862" i="2"/>
  <c r="G861" i="2"/>
  <c r="F861" i="2"/>
  <c r="E861" i="2"/>
  <c r="G860" i="2"/>
  <c r="F860" i="2"/>
  <c r="E860" i="2"/>
  <c r="G859" i="2"/>
  <c r="F859" i="2"/>
  <c r="E859" i="2"/>
  <c r="G858" i="2"/>
  <c r="F858" i="2"/>
  <c r="E858" i="2"/>
  <c r="G857" i="2"/>
  <c r="F857" i="2"/>
  <c r="E857" i="2"/>
  <c r="G856" i="2"/>
  <c r="F856" i="2"/>
  <c r="E856" i="2"/>
  <c r="G855" i="2"/>
  <c r="F855" i="2"/>
  <c r="E855" i="2"/>
  <c r="G854" i="2"/>
  <c r="F854" i="2"/>
  <c r="E854" i="2"/>
  <c r="G853" i="2"/>
  <c r="F853" i="2"/>
  <c r="E853" i="2"/>
  <c r="G852" i="2"/>
  <c r="F852" i="2"/>
  <c r="E852" i="2"/>
  <c r="G851" i="2"/>
  <c r="F851" i="2"/>
  <c r="E851" i="2"/>
  <c r="G850" i="2"/>
  <c r="F850" i="2"/>
  <c r="E850" i="2"/>
  <c r="G849" i="2"/>
  <c r="F849" i="2"/>
  <c r="E849" i="2"/>
  <c r="G848" i="2"/>
  <c r="F848" i="2"/>
  <c r="E848" i="2"/>
  <c r="G847" i="2"/>
  <c r="F847" i="2"/>
  <c r="E847" i="2"/>
  <c r="G846" i="2"/>
  <c r="F846" i="2"/>
  <c r="E846" i="2"/>
  <c r="G845" i="2"/>
  <c r="F845" i="2"/>
  <c r="E845" i="2"/>
  <c r="G844" i="2"/>
  <c r="F844" i="2"/>
  <c r="E844" i="2"/>
  <c r="G843" i="2"/>
  <c r="F843" i="2"/>
  <c r="E843" i="2"/>
  <c r="G842" i="2"/>
  <c r="F842" i="2"/>
  <c r="E842" i="2"/>
  <c r="G841" i="2"/>
  <c r="F841" i="2"/>
  <c r="E841" i="2"/>
  <c r="G840" i="2"/>
  <c r="F840" i="2"/>
  <c r="E840" i="2"/>
  <c r="G839" i="2"/>
  <c r="F839" i="2"/>
  <c r="E839" i="2"/>
  <c r="G838" i="2"/>
  <c r="F838" i="2"/>
  <c r="E838" i="2"/>
  <c r="G837" i="2"/>
  <c r="F837" i="2"/>
  <c r="E837" i="2"/>
  <c r="G836" i="2"/>
  <c r="F836" i="2"/>
  <c r="E836" i="2"/>
  <c r="G835" i="2"/>
  <c r="F835" i="2"/>
  <c r="E835" i="2"/>
  <c r="G834" i="2"/>
  <c r="F834" i="2"/>
  <c r="E834" i="2"/>
  <c r="G833" i="2"/>
  <c r="F833" i="2"/>
  <c r="E833" i="2"/>
  <c r="G832" i="2"/>
  <c r="F832" i="2"/>
  <c r="E832" i="2"/>
  <c r="G831" i="2"/>
  <c r="F831" i="2"/>
  <c r="E831" i="2"/>
  <c r="G830" i="2"/>
  <c r="F830" i="2"/>
  <c r="E830" i="2"/>
  <c r="G829" i="2"/>
  <c r="F829" i="2"/>
  <c r="E829" i="2"/>
  <c r="G828" i="2"/>
  <c r="F828" i="2"/>
  <c r="E828" i="2"/>
  <c r="G827" i="2"/>
  <c r="F827" i="2"/>
  <c r="E827" i="2"/>
  <c r="G826" i="2"/>
  <c r="F826" i="2"/>
  <c r="E826" i="2"/>
  <c r="G825" i="2"/>
  <c r="F825" i="2"/>
  <c r="E825" i="2"/>
  <c r="G824" i="2"/>
  <c r="F824" i="2"/>
  <c r="E824" i="2"/>
  <c r="G823" i="2"/>
  <c r="F823" i="2"/>
  <c r="E823" i="2"/>
  <c r="G822" i="2"/>
  <c r="F822" i="2"/>
  <c r="E822" i="2"/>
  <c r="G821" i="2"/>
  <c r="F821" i="2"/>
  <c r="E821" i="2"/>
  <c r="G820" i="2"/>
  <c r="F820" i="2"/>
  <c r="E820" i="2"/>
  <c r="G819" i="2"/>
  <c r="F819" i="2"/>
  <c r="E819" i="2"/>
  <c r="G818" i="2"/>
  <c r="F818" i="2"/>
  <c r="E818" i="2"/>
  <c r="G817" i="2"/>
  <c r="F817" i="2"/>
  <c r="E817" i="2"/>
  <c r="G816" i="2"/>
  <c r="F816" i="2"/>
  <c r="E816" i="2"/>
  <c r="G815" i="2"/>
  <c r="F815" i="2"/>
  <c r="E815" i="2"/>
  <c r="G814" i="2"/>
  <c r="F814" i="2"/>
  <c r="E814" i="2"/>
  <c r="G813" i="2"/>
  <c r="F813" i="2"/>
  <c r="E813" i="2"/>
  <c r="G812" i="2"/>
  <c r="F812" i="2"/>
  <c r="E812" i="2"/>
  <c r="G811" i="2"/>
  <c r="F811" i="2"/>
  <c r="E811" i="2"/>
  <c r="G810" i="2"/>
  <c r="F810" i="2"/>
  <c r="E810" i="2"/>
  <c r="G809" i="2"/>
  <c r="F809" i="2"/>
  <c r="E809" i="2"/>
  <c r="G808" i="2"/>
  <c r="F808" i="2"/>
  <c r="E808" i="2"/>
  <c r="G807" i="2"/>
  <c r="F807" i="2"/>
  <c r="E807" i="2"/>
  <c r="G806" i="2"/>
  <c r="F806" i="2"/>
  <c r="E806" i="2"/>
  <c r="G805" i="2"/>
  <c r="F805" i="2"/>
  <c r="E805" i="2"/>
  <c r="G804" i="2"/>
  <c r="F804" i="2"/>
  <c r="E804" i="2"/>
  <c r="G803" i="2"/>
  <c r="F803" i="2"/>
  <c r="E803" i="2"/>
  <c r="G802" i="2"/>
  <c r="F802" i="2"/>
  <c r="E802" i="2"/>
  <c r="G801" i="2"/>
  <c r="F801" i="2"/>
  <c r="E801" i="2"/>
  <c r="G800" i="2"/>
  <c r="F800" i="2"/>
  <c r="E800" i="2"/>
  <c r="G799" i="2"/>
  <c r="F799" i="2"/>
  <c r="E799" i="2"/>
  <c r="G798" i="2"/>
  <c r="F798" i="2"/>
  <c r="E798" i="2"/>
  <c r="G797" i="2"/>
  <c r="F797" i="2"/>
  <c r="E797" i="2"/>
  <c r="G796" i="2"/>
  <c r="F796" i="2"/>
  <c r="E796" i="2"/>
  <c r="G795" i="2"/>
  <c r="F795" i="2"/>
  <c r="E795" i="2"/>
  <c r="G794" i="2"/>
  <c r="F794" i="2"/>
  <c r="E794" i="2"/>
  <c r="G793" i="2"/>
  <c r="F793" i="2"/>
  <c r="E793" i="2"/>
  <c r="G792" i="2"/>
  <c r="F792" i="2"/>
  <c r="E792" i="2"/>
  <c r="G791" i="2"/>
  <c r="F791" i="2"/>
  <c r="E791" i="2"/>
  <c r="G790" i="2"/>
  <c r="F790" i="2"/>
  <c r="E790" i="2"/>
  <c r="G789" i="2"/>
  <c r="F789" i="2"/>
  <c r="E789" i="2"/>
  <c r="G788" i="2"/>
  <c r="F788" i="2"/>
  <c r="E788" i="2"/>
  <c r="G787" i="2"/>
  <c r="F787" i="2"/>
  <c r="E787" i="2"/>
  <c r="G786" i="2"/>
  <c r="F786" i="2"/>
  <c r="E786" i="2"/>
  <c r="G785" i="2"/>
  <c r="F785" i="2"/>
  <c r="E785" i="2"/>
  <c r="G784" i="2"/>
  <c r="F784" i="2"/>
  <c r="E784" i="2"/>
  <c r="G783" i="2"/>
  <c r="F783" i="2"/>
  <c r="E783" i="2"/>
  <c r="G782" i="2"/>
  <c r="F782" i="2"/>
  <c r="E782" i="2"/>
  <c r="G781" i="2"/>
  <c r="F781" i="2"/>
  <c r="E781" i="2"/>
  <c r="G780" i="2"/>
  <c r="F780" i="2"/>
  <c r="E780" i="2"/>
  <c r="G779" i="2"/>
  <c r="F779" i="2"/>
  <c r="E779" i="2"/>
  <c r="G778" i="2"/>
  <c r="F778" i="2"/>
  <c r="E778" i="2"/>
  <c r="G777" i="2"/>
  <c r="F777" i="2"/>
  <c r="E777" i="2"/>
  <c r="G776" i="2"/>
  <c r="F776" i="2"/>
  <c r="E776" i="2"/>
  <c r="G775" i="2"/>
  <c r="F775" i="2"/>
  <c r="E775" i="2"/>
  <c r="G774" i="2"/>
  <c r="F774" i="2"/>
  <c r="E774" i="2"/>
  <c r="G773" i="2"/>
  <c r="F773" i="2"/>
  <c r="E773" i="2"/>
  <c r="G772" i="2"/>
  <c r="F772" i="2"/>
  <c r="E772" i="2"/>
  <c r="G771" i="2"/>
  <c r="F771" i="2"/>
  <c r="E771" i="2"/>
  <c r="G770" i="2"/>
  <c r="F770" i="2"/>
  <c r="E770" i="2"/>
  <c r="G769" i="2"/>
  <c r="F769" i="2"/>
  <c r="E769" i="2"/>
  <c r="G768" i="2"/>
  <c r="F768" i="2"/>
  <c r="E768" i="2"/>
  <c r="G767" i="2"/>
  <c r="F767" i="2"/>
  <c r="E767" i="2"/>
  <c r="G766" i="2"/>
  <c r="F766" i="2"/>
  <c r="E766" i="2"/>
  <c r="G765" i="2"/>
  <c r="F765" i="2"/>
  <c r="E765" i="2"/>
  <c r="G764" i="2"/>
  <c r="F764" i="2"/>
  <c r="E764" i="2"/>
  <c r="G763" i="2"/>
  <c r="F763" i="2"/>
  <c r="E763" i="2"/>
  <c r="G762" i="2"/>
  <c r="F762" i="2"/>
  <c r="E762" i="2"/>
  <c r="G761" i="2"/>
  <c r="F761" i="2"/>
  <c r="E761" i="2"/>
  <c r="G760" i="2"/>
  <c r="F760" i="2"/>
  <c r="E760" i="2"/>
  <c r="G759" i="2"/>
  <c r="F759" i="2"/>
  <c r="E759" i="2"/>
  <c r="G758" i="2"/>
  <c r="F758" i="2"/>
  <c r="E758" i="2"/>
  <c r="G757" i="2"/>
  <c r="F757" i="2"/>
  <c r="E757" i="2"/>
  <c r="G756" i="2"/>
  <c r="F756" i="2"/>
  <c r="E756" i="2"/>
  <c r="G755" i="2"/>
  <c r="F755" i="2"/>
  <c r="E755" i="2"/>
  <c r="G754" i="2"/>
  <c r="F754" i="2"/>
  <c r="E754" i="2"/>
  <c r="G753" i="2"/>
  <c r="F753" i="2"/>
  <c r="E753" i="2"/>
  <c r="G752" i="2"/>
  <c r="F752" i="2"/>
  <c r="E752" i="2"/>
  <c r="G751" i="2"/>
  <c r="F751" i="2"/>
  <c r="E751" i="2"/>
  <c r="G750" i="2"/>
  <c r="F750" i="2"/>
  <c r="E750" i="2"/>
  <c r="G749" i="2"/>
  <c r="F749" i="2"/>
  <c r="E749" i="2"/>
  <c r="G748" i="2"/>
  <c r="F748" i="2"/>
  <c r="E748" i="2"/>
  <c r="G747" i="2"/>
  <c r="F747" i="2"/>
  <c r="E747" i="2"/>
  <c r="G746" i="2"/>
  <c r="F746" i="2"/>
  <c r="E746" i="2"/>
  <c r="G745" i="2"/>
  <c r="F745" i="2"/>
  <c r="E745" i="2"/>
  <c r="G744" i="2"/>
  <c r="F744" i="2"/>
  <c r="E744" i="2"/>
  <c r="G743" i="2"/>
  <c r="F743" i="2"/>
  <c r="E743" i="2"/>
  <c r="G742" i="2"/>
  <c r="F742" i="2"/>
  <c r="E742" i="2"/>
  <c r="G741" i="2"/>
  <c r="F741" i="2"/>
  <c r="E741" i="2"/>
  <c r="G740" i="2"/>
  <c r="F740" i="2"/>
  <c r="E740" i="2"/>
  <c r="G739" i="2"/>
  <c r="F739" i="2"/>
  <c r="E739" i="2"/>
  <c r="G738" i="2"/>
  <c r="F738" i="2"/>
  <c r="E738" i="2"/>
  <c r="G737" i="2"/>
  <c r="F737" i="2"/>
  <c r="E737" i="2"/>
  <c r="G736" i="2"/>
  <c r="F736" i="2"/>
  <c r="E736" i="2"/>
  <c r="G735" i="2"/>
  <c r="F735" i="2"/>
  <c r="E735" i="2"/>
  <c r="G734" i="2"/>
  <c r="F734" i="2"/>
  <c r="E734" i="2"/>
  <c r="G733" i="2"/>
  <c r="F733" i="2"/>
  <c r="E733" i="2"/>
  <c r="G732" i="2"/>
  <c r="F732" i="2"/>
  <c r="E732" i="2"/>
  <c r="G731" i="2"/>
  <c r="F731" i="2"/>
  <c r="E731" i="2"/>
  <c r="G730" i="2"/>
  <c r="F730" i="2"/>
  <c r="E730" i="2"/>
  <c r="G729" i="2"/>
  <c r="F729" i="2"/>
  <c r="E729" i="2"/>
  <c r="G728" i="2"/>
  <c r="F728" i="2"/>
  <c r="E728" i="2"/>
  <c r="G727" i="2"/>
  <c r="F727" i="2"/>
  <c r="E727" i="2"/>
  <c r="G726" i="2"/>
  <c r="F726" i="2"/>
  <c r="E726" i="2"/>
  <c r="G725" i="2"/>
  <c r="F725" i="2"/>
  <c r="E725" i="2"/>
  <c r="G724" i="2"/>
  <c r="F724" i="2"/>
  <c r="E724" i="2"/>
  <c r="G723" i="2"/>
  <c r="F723" i="2"/>
  <c r="E723" i="2"/>
  <c r="G722" i="2"/>
  <c r="F722" i="2"/>
  <c r="E722" i="2"/>
  <c r="G721" i="2"/>
  <c r="F721" i="2"/>
  <c r="E721" i="2"/>
  <c r="G720" i="2"/>
  <c r="F720" i="2"/>
  <c r="E720" i="2"/>
  <c r="G719" i="2"/>
  <c r="F719" i="2"/>
  <c r="E719" i="2"/>
  <c r="G718" i="2"/>
  <c r="F718" i="2"/>
  <c r="E718" i="2"/>
  <c r="G717" i="2"/>
  <c r="F717" i="2"/>
  <c r="E717" i="2"/>
  <c r="G716" i="2"/>
  <c r="F716" i="2"/>
  <c r="E716" i="2"/>
  <c r="G715" i="2"/>
  <c r="F715" i="2"/>
  <c r="E715" i="2"/>
  <c r="G714" i="2"/>
  <c r="F714" i="2"/>
  <c r="E714" i="2"/>
  <c r="G713" i="2"/>
  <c r="F713" i="2"/>
  <c r="E713" i="2"/>
  <c r="G712" i="2"/>
  <c r="F712" i="2"/>
  <c r="E712" i="2"/>
  <c r="G711" i="2"/>
  <c r="F711" i="2"/>
  <c r="E711" i="2"/>
  <c r="G710" i="2"/>
  <c r="F710" i="2"/>
  <c r="E710" i="2"/>
  <c r="G709" i="2"/>
  <c r="F709" i="2"/>
  <c r="E709" i="2"/>
  <c r="G708" i="2"/>
  <c r="F708" i="2"/>
  <c r="E708" i="2"/>
  <c r="G707" i="2"/>
  <c r="F707" i="2"/>
  <c r="E707" i="2"/>
  <c r="G706" i="2"/>
  <c r="F706" i="2"/>
  <c r="E706" i="2"/>
  <c r="G705" i="2"/>
  <c r="F705" i="2"/>
  <c r="E705" i="2"/>
  <c r="G704" i="2"/>
  <c r="F704" i="2"/>
  <c r="E704" i="2"/>
  <c r="G703" i="2"/>
  <c r="F703" i="2"/>
  <c r="E703" i="2"/>
  <c r="G702" i="2"/>
  <c r="F702" i="2"/>
  <c r="E702" i="2"/>
  <c r="G701" i="2"/>
  <c r="F701" i="2"/>
  <c r="E701" i="2"/>
  <c r="G700" i="2"/>
  <c r="F700" i="2"/>
  <c r="E700" i="2"/>
  <c r="G699" i="2"/>
  <c r="F699" i="2"/>
  <c r="E699" i="2"/>
  <c r="G698" i="2"/>
  <c r="F698" i="2"/>
  <c r="E698" i="2"/>
  <c r="G697" i="2"/>
  <c r="F697" i="2"/>
  <c r="E697" i="2"/>
  <c r="G696" i="2"/>
  <c r="F696" i="2"/>
  <c r="E696" i="2"/>
  <c r="G695" i="2"/>
  <c r="F695" i="2"/>
  <c r="E695" i="2"/>
  <c r="G694" i="2"/>
  <c r="F694" i="2"/>
  <c r="E694" i="2"/>
  <c r="G693" i="2"/>
  <c r="F693" i="2"/>
  <c r="E693" i="2"/>
  <c r="G692" i="2"/>
  <c r="F692" i="2"/>
  <c r="E692" i="2"/>
  <c r="G691" i="2"/>
  <c r="F691" i="2"/>
  <c r="E691" i="2"/>
  <c r="G690" i="2"/>
  <c r="F690" i="2"/>
  <c r="E690" i="2"/>
  <c r="G689" i="2"/>
  <c r="F689" i="2"/>
  <c r="E689" i="2"/>
  <c r="G688" i="2"/>
  <c r="F688" i="2"/>
  <c r="E688" i="2"/>
  <c r="G687" i="2"/>
  <c r="F687" i="2"/>
  <c r="E687" i="2"/>
  <c r="G686" i="2"/>
  <c r="F686" i="2"/>
  <c r="E686" i="2"/>
  <c r="G685" i="2"/>
  <c r="F685" i="2"/>
  <c r="E685" i="2"/>
  <c r="G684" i="2"/>
  <c r="F684" i="2"/>
  <c r="E684" i="2"/>
  <c r="G683" i="2"/>
  <c r="F683" i="2"/>
  <c r="E683" i="2"/>
  <c r="G682" i="2"/>
  <c r="F682" i="2"/>
  <c r="E682" i="2"/>
  <c r="G681" i="2"/>
  <c r="F681" i="2"/>
  <c r="E681" i="2"/>
  <c r="G680" i="2"/>
  <c r="F680" i="2"/>
  <c r="E680" i="2"/>
  <c r="G679" i="2"/>
  <c r="F679" i="2"/>
  <c r="E679" i="2"/>
  <c r="G678" i="2"/>
  <c r="F678" i="2"/>
  <c r="E678" i="2"/>
  <c r="G677" i="2"/>
  <c r="F677" i="2"/>
  <c r="E677" i="2"/>
  <c r="G676" i="2"/>
  <c r="F676" i="2"/>
  <c r="E676" i="2"/>
  <c r="G675" i="2"/>
  <c r="F675" i="2"/>
  <c r="E675" i="2"/>
  <c r="G674" i="2"/>
  <c r="F674" i="2"/>
  <c r="E674" i="2"/>
  <c r="G673" i="2"/>
  <c r="F673" i="2"/>
  <c r="E673" i="2"/>
  <c r="G672" i="2"/>
  <c r="F672" i="2"/>
  <c r="E672" i="2"/>
  <c r="G671" i="2"/>
  <c r="F671" i="2"/>
  <c r="E671" i="2"/>
  <c r="G670" i="2"/>
  <c r="F670" i="2"/>
  <c r="E670" i="2"/>
  <c r="G669" i="2"/>
  <c r="F669" i="2"/>
  <c r="E669" i="2"/>
  <c r="G668" i="2"/>
  <c r="F668" i="2"/>
  <c r="E668" i="2"/>
  <c r="G667" i="2"/>
  <c r="F667" i="2"/>
  <c r="E667" i="2"/>
  <c r="G666" i="2"/>
  <c r="F666" i="2"/>
  <c r="E666" i="2"/>
  <c r="G665" i="2"/>
  <c r="F665" i="2"/>
  <c r="E665" i="2"/>
  <c r="G664" i="2"/>
  <c r="F664" i="2"/>
  <c r="E664" i="2"/>
  <c r="G663" i="2"/>
  <c r="F663" i="2"/>
  <c r="E663" i="2"/>
  <c r="G662" i="2"/>
  <c r="F662" i="2"/>
  <c r="E662" i="2"/>
  <c r="G661" i="2"/>
  <c r="F661" i="2"/>
  <c r="E661" i="2"/>
  <c r="G660" i="2"/>
  <c r="F660" i="2"/>
  <c r="E660" i="2"/>
  <c r="G659" i="2"/>
  <c r="F659" i="2"/>
  <c r="E659" i="2"/>
  <c r="G658" i="2"/>
  <c r="F658" i="2"/>
  <c r="E658" i="2"/>
  <c r="G657" i="2"/>
  <c r="F657" i="2"/>
  <c r="E657" i="2"/>
  <c r="G656" i="2"/>
  <c r="F656" i="2"/>
  <c r="E656" i="2"/>
  <c r="G655" i="2"/>
  <c r="F655" i="2"/>
  <c r="E655" i="2"/>
  <c r="G654" i="2"/>
  <c r="F654" i="2"/>
  <c r="E654" i="2"/>
  <c r="G653" i="2"/>
  <c r="F653" i="2"/>
  <c r="E653" i="2"/>
  <c r="G652" i="2"/>
  <c r="F652" i="2"/>
  <c r="E652" i="2"/>
  <c r="G651" i="2"/>
  <c r="F651" i="2"/>
  <c r="E651" i="2"/>
  <c r="G650" i="2"/>
  <c r="F650" i="2"/>
  <c r="E650" i="2"/>
  <c r="G649" i="2"/>
  <c r="F649" i="2"/>
  <c r="E649" i="2"/>
  <c r="G648" i="2"/>
  <c r="F648" i="2"/>
  <c r="E648" i="2"/>
  <c r="G647" i="2"/>
  <c r="F647" i="2"/>
  <c r="E647" i="2"/>
  <c r="G646" i="2"/>
  <c r="F646" i="2"/>
  <c r="E646" i="2"/>
  <c r="G645" i="2"/>
  <c r="F645" i="2"/>
  <c r="E645" i="2"/>
  <c r="G644" i="2"/>
  <c r="F644" i="2"/>
  <c r="E644" i="2"/>
  <c r="G643" i="2"/>
  <c r="F643" i="2"/>
  <c r="E643" i="2"/>
  <c r="G642" i="2"/>
  <c r="F642" i="2"/>
  <c r="E642" i="2"/>
  <c r="G641" i="2"/>
  <c r="F641" i="2"/>
  <c r="E641" i="2"/>
  <c r="G640" i="2"/>
  <c r="F640" i="2"/>
  <c r="E640" i="2"/>
  <c r="G639" i="2"/>
  <c r="F639" i="2"/>
  <c r="E639" i="2"/>
  <c r="G638" i="2"/>
  <c r="F638" i="2"/>
  <c r="E638" i="2"/>
  <c r="G637" i="2"/>
  <c r="F637" i="2"/>
  <c r="E637" i="2"/>
  <c r="G636" i="2"/>
  <c r="F636" i="2"/>
  <c r="E636" i="2"/>
  <c r="G635" i="2"/>
  <c r="F635" i="2"/>
  <c r="E635" i="2"/>
  <c r="G634" i="2"/>
  <c r="F634" i="2"/>
  <c r="E634" i="2"/>
  <c r="G633" i="2"/>
  <c r="F633" i="2"/>
  <c r="E633" i="2"/>
  <c r="G632" i="2"/>
  <c r="F632" i="2"/>
  <c r="E632" i="2"/>
  <c r="G631" i="2"/>
  <c r="F631" i="2"/>
  <c r="E631" i="2"/>
  <c r="G630" i="2"/>
  <c r="F630" i="2"/>
  <c r="E630" i="2"/>
  <c r="G629" i="2"/>
  <c r="F629" i="2"/>
  <c r="E629" i="2"/>
  <c r="G628" i="2"/>
  <c r="F628" i="2"/>
  <c r="E628" i="2"/>
  <c r="G627" i="2"/>
  <c r="F627" i="2"/>
  <c r="E627" i="2"/>
  <c r="G626" i="2"/>
  <c r="F626" i="2"/>
  <c r="E626" i="2"/>
  <c r="G625" i="2"/>
  <c r="F625" i="2"/>
  <c r="E625" i="2"/>
  <c r="G624" i="2"/>
  <c r="F624" i="2"/>
  <c r="E624" i="2"/>
  <c r="G623" i="2"/>
  <c r="F623" i="2"/>
  <c r="E623" i="2"/>
  <c r="G622" i="2"/>
  <c r="F622" i="2"/>
  <c r="E622" i="2"/>
  <c r="G621" i="2"/>
  <c r="F621" i="2"/>
  <c r="E621" i="2"/>
  <c r="G620" i="2"/>
  <c r="F620" i="2"/>
  <c r="E620" i="2"/>
  <c r="G619" i="2"/>
  <c r="F619" i="2"/>
  <c r="E619" i="2"/>
  <c r="G618" i="2"/>
  <c r="F618" i="2"/>
  <c r="E618" i="2"/>
  <c r="G617" i="2"/>
  <c r="F617" i="2"/>
  <c r="E617" i="2"/>
  <c r="G616" i="2"/>
  <c r="F616" i="2"/>
  <c r="E616" i="2"/>
  <c r="G615" i="2"/>
  <c r="F615" i="2"/>
  <c r="E615" i="2"/>
  <c r="G614" i="2"/>
  <c r="F614" i="2"/>
  <c r="E614" i="2"/>
  <c r="G613" i="2"/>
  <c r="F613" i="2"/>
  <c r="E613" i="2"/>
  <c r="G612" i="2"/>
  <c r="F612" i="2"/>
  <c r="E612" i="2"/>
  <c r="G611" i="2"/>
  <c r="F611" i="2"/>
  <c r="E611" i="2"/>
  <c r="G610" i="2"/>
  <c r="F610" i="2"/>
  <c r="E610" i="2"/>
  <c r="G609" i="2"/>
  <c r="F609" i="2"/>
  <c r="E609" i="2"/>
  <c r="G608" i="2"/>
  <c r="F608" i="2"/>
  <c r="E608" i="2"/>
  <c r="G607" i="2"/>
  <c r="F607" i="2"/>
  <c r="E607" i="2"/>
  <c r="G606" i="2"/>
  <c r="F606" i="2"/>
  <c r="E606" i="2"/>
  <c r="G605" i="2"/>
  <c r="F605" i="2"/>
  <c r="E605" i="2"/>
  <c r="G604" i="2"/>
  <c r="F604" i="2"/>
  <c r="E604" i="2"/>
  <c r="G603" i="2"/>
  <c r="F603" i="2"/>
  <c r="E603" i="2"/>
  <c r="G602" i="2"/>
  <c r="F602" i="2"/>
  <c r="E602" i="2"/>
  <c r="G601" i="2"/>
  <c r="F601" i="2"/>
  <c r="E601" i="2"/>
  <c r="G600" i="2"/>
  <c r="F600" i="2"/>
  <c r="E600" i="2"/>
  <c r="G599" i="2"/>
  <c r="F599" i="2"/>
  <c r="E599" i="2"/>
  <c r="G598" i="2"/>
  <c r="F598" i="2"/>
  <c r="E598" i="2"/>
  <c r="G597" i="2"/>
  <c r="F597" i="2"/>
  <c r="E597" i="2"/>
  <c r="G596" i="2"/>
  <c r="F596" i="2"/>
  <c r="E596" i="2"/>
  <c r="G595" i="2"/>
  <c r="F595" i="2"/>
  <c r="E595" i="2"/>
  <c r="G594" i="2"/>
  <c r="F594" i="2"/>
  <c r="E594" i="2"/>
  <c r="G593" i="2"/>
  <c r="F593" i="2"/>
  <c r="E593" i="2"/>
  <c r="G592" i="2"/>
  <c r="F592" i="2"/>
  <c r="E592" i="2"/>
  <c r="G591" i="2"/>
  <c r="F591" i="2"/>
  <c r="E591" i="2"/>
  <c r="G590" i="2"/>
  <c r="F590" i="2"/>
  <c r="E590" i="2"/>
  <c r="G589" i="2"/>
  <c r="F589" i="2"/>
  <c r="E589" i="2"/>
  <c r="G588" i="2"/>
  <c r="F588" i="2"/>
  <c r="E588" i="2"/>
  <c r="G587" i="2"/>
  <c r="F587" i="2"/>
  <c r="E587" i="2"/>
  <c r="G586" i="2"/>
  <c r="F586" i="2"/>
  <c r="E586" i="2"/>
  <c r="G585" i="2"/>
  <c r="F585" i="2"/>
  <c r="E585" i="2"/>
  <c r="G584" i="2"/>
  <c r="F584" i="2"/>
  <c r="E584" i="2"/>
  <c r="G583" i="2"/>
  <c r="F583" i="2"/>
  <c r="E583" i="2"/>
  <c r="G582" i="2"/>
  <c r="F582" i="2"/>
  <c r="E582" i="2"/>
  <c r="G581" i="2"/>
  <c r="F581" i="2"/>
  <c r="E581" i="2"/>
  <c r="G580" i="2"/>
  <c r="F580" i="2"/>
  <c r="E580" i="2"/>
  <c r="G579" i="2"/>
  <c r="F579" i="2"/>
  <c r="E579" i="2"/>
  <c r="G578" i="2"/>
  <c r="F578" i="2"/>
  <c r="E578" i="2"/>
  <c r="G577" i="2"/>
  <c r="F577" i="2"/>
  <c r="E577" i="2"/>
  <c r="G576" i="2"/>
  <c r="F576" i="2"/>
  <c r="E576" i="2"/>
  <c r="G575" i="2"/>
  <c r="F575" i="2"/>
  <c r="E575" i="2"/>
  <c r="G574" i="2"/>
  <c r="F574" i="2"/>
  <c r="E574" i="2"/>
  <c r="G573" i="2"/>
  <c r="F573" i="2"/>
  <c r="E573" i="2"/>
  <c r="G572" i="2"/>
  <c r="F572" i="2"/>
  <c r="E572" i="2"/>
  <c r="G571" i="2"/>
  <c r="F571" i="2"/>
  <c r="E571" i="2"/>
  <c r="G570" i="2"/>
  <c r="F570" i="2"/>
  <c r="E570" i="2"/>
  <c r="G569" i="2"/>
  <c r="F569" i="2"/>
  <c r="E569" i="2"/>
  <c r="G568" i="2"/>
  <c r="F568" i="2"/>
  <c r="E568" i="2"/>
  <c r="G567" i="2"/>
  <c r="F567" i="2"/>
  <c r="E567" i="2"/>
  <c r="G566" i="2"/>
  <c r="F566" i="2"/>
  <c r="E566" i="2"/>
  <c r="G565" i="2"/>
  <c r="F565" i="2"/>
  <c r="E565" i="2"/>
  <c r="G564" i="2"/>
  <c r="F564" i="2"/>
  <c r="E564" i="2"/>
  <c r="G563" i="2"/>
  <c r="F563" i="2"/>
  <c r="E563" i="2"/>
  <c r="G562" i="2"/>
  <c r="F562" i="2"/>
  <c r="E562" i="2"/>
  <c r="G561" i="2"/>
  <c r="F561" i="2"/>
  <c r="E561" i="2"/>
  <c r="G560" i="2"/>
  <c r="F560" i="2"/>
  <c r="E560" i="2"/>
  <c r="G559" i="2"/>
  <c r="F559" i="2"/>
  <c r="E559" i="2"/>
  <c r="G558" i="2"/>
  <c r="F558" i="2"/>
  <c r="E558" i="2"/>
  <c r="G557" i="2"/>
  <c r="F557" i="2"/>
  <c r="E557" i="2"/>
  <c r="G556" i="2"/>
  <c r="F556" i="2"/>
  <c r="E556" i="2"/>
  <c r="G555" i="2"/>
  <c r="F555" i="2"/>
  <c r="E555" i="2"/>
  <c r="G554" i="2"/>
  <c r="F554" i="2"/>
  <c r="E554" i="2"/>
  <c r="G553" i="2"/>
  <c r="F553" i="2"/>
  <c r="E553" i="2"/>
  <c r="G552" i="2"/>
  <c r="F552" i="2"/>
  <c r="E552" i="2"/>
  <c r="G551" i="2"/>
  <c r="F551" i="2"/>
  <c r="E551" i="2"/>
  <c r="G550" i="2"/>
  <c r="F550" i="2"/>
  <c r="E550" i="2"/>
  <c r="G549" i="2"/>
  <c r="F549" i="2"/>
  <c r="E549" i="2"/>
  <c r="G548" i="2"/>
  <c r="F548" i="2"/>
  <c r="E548" i="2"/>
  <c r="G547" i="2"/>
  <c r="F547" i="2"/>
  <c r="E547" i="2"/>
  <c r="G546" i="2"/>
  <c r="F546" i="2"/>
  <c r="E546" i="2"/>
  <c r="G545" i="2"/>
  <c r="F545" i="2"/>
  <c r="E545" i="2"/>
  <c r="G544" i="2"/>
  <c r="F544" i="2"/>
  <c r="E544" i="2"/>
  <c r="G543" i="2"/>
  <c r="F543" i="2"/>
  <c r="E543" i="2"/>
  <c r="G542" i="2"/>
  <c r="F542" i="2"/>
  <c r="E542" i="2"/>
  <c r="G541" i="2"/>
  <c r="F541" i="2"/>
  <c r="E541" i="2"/>
  <c r="G540" i="2"/>
  <c r="F540" i="2"/>
  <c r="E540" i="2"/>
  <c r="G539" i="2"/>
  <c r="F539" i="2"/>
  <c r="E539" i="2"/>
  <c r="G538" i="2"/>
  <c r="F538" i="2"/>
  <c r="E538" i="2"/>
  <c r="G537" i="2"/>
  <c r="F537" i="2"/>
  <c r="E537" i="2"/>
  <c r="G536" i="2"/>
  <c r="F536" i="2"/>
  <c r="E536" i="2"/>
  <c r="G535" i="2"/>
  <c r="F535" i="2"/>
  <c r="E535" i="2"/>
  <c r="G534" i="2"/>
  <c r="F534" i="2"/>
  <c r="E534" i="2"/>
  <c r="G533" i="2"/>
  <c r="F533" i="2"/>
  <c r="E533" i="2"/>
  <c r="G532" i="2"/>
  <c r="F532" i="2"/>
  <c r="E532" i="2"/>
  <c r="G531" i="2"/>
  <c r="F531" i="2"/>
  <c r="E531" i="2"/>
  <c r="G530" i="2"/>
  <c r="F530" i="2"/>
  <c r="E530" i="2"/>
  <c r="G529" i="2"/>
  <c r="F529" i="2"/>
  <c r="E529" i="2"/>
  <c r="G528" i="2"/>
  <c r="F528" i="2"/>
  <c r="E528" i="2"/>
  <c r="G527" i="2"/>
  <c r="F527" i="2"/>
  <c r="E527" i="2"/>
  <c r="G526" i="2"/>
  <c r="F526" i="2"/>
  <c r="E526" i="2"/>
  <c r="G525" i="2"/>
  <c r="F525" i="2"/>
  <c r="E525" i="2"/>
  <c r="G524" i="2"/>
  <c r="F524" i="2"/>
  <c r="E524" i="2"/>
  <c r="G523" i="2"/>
  <c r="F523" i="2"/>
  <c r="E523" i="2"/>
  <c r="G522" i="2"/>
  <c r="F522" i="2"/>
  <c r="E522" i="2"/>
  <c r="G521" i="2"/>
  <c r="F521" i="2"/>
  <c r="E521" i="2"/>
  <c r="G520" i="2"/>
  <c r="F520" i="2"/>
  <c r="E520" i="2"/>
  <c r="G519" i="2"/>
  <c r="F519" i="2"/>
  <c r="E519" i="2"/>
  <c r="G518" i="2"/>
  <c r="F518" i="2"/>
  <c r="E518" i="2"/>
  <c r="G517" i="2"/>
  <c r="F517" i="2"/>
  <c r="E517" i="2"/>
  <c r="G516" i="2"/>
  <c r="F516" i="2"/>
  <c r="E516" i="2"/>
  <c r="G515" i="2"/>
  <c r="F515" i="2"/>
  <c r="E515" i="2"/>
  <c r="G514" i="2"/>
  <c r="F514" i="2"/>
  <c r="E514" i="2"/>
  <c r="G513" i="2"/>
  <c r="F513" i="2"/>
  <c r="E513" i="2"/>
  <c r="G512" i="2"/>
  <c r="F512" i="2"/>
  <c r="E512" i="2"/>
  <c r="G511" i="2"/>
  <c r="F511" i="2"/>
  <c r="E511" i="2"/>
  <c r="G510" i="2"/>
  <c r="F510" i="2"/>
  <c r="E510" i="2"/>
  <c r="G509" i="2"/>
  <c r="F509" i="2"/>
  <c r="E509" i="2"/>
  <c r="G508" i="2"/>
  <c r="F508" i="2"/>
  <c r="E508" i="2"/>
  <c r="G507" i="2"/>
  <c r="F507" i="2"/>
  <c r="E507" i="2"/>
  <c r="G506" i="2"/>
  <c r="F506" i="2"/>
  <c r="E506" i="2"/>
  <c r="G505" i="2"/>
  <c r="F505" i="2"/>
  <c r="E505" i="2"/>
  <c r="G504" i="2"/>
  <c r="F504" i="2"/>
  <c r="E504" i="2"/>
  <c r="G503" i="2"/>
  <c r="F503" i="2"/>
  <c r="E503" i="2"/>
  <c r="G502" i="2"/>
  <c r="F502" i="2"/>
  <c r="E502" i="2"/>
  <c r="G501" i="2"/>
  <c r="F501" i="2"/>
  <c r="E501" i="2"/>
  <c r="G500" i="2"/>
  <c r="F500" i="2"/>
  <c r="E500" i="2"/>
  <c r="G499" i="2"/>
  <c r="F499" i="2"/>
  <c r="E499" i="2"/>
  <c r="G498" i="2"/>
  <c r="F498" i="2"/>
  <c r="E498" i="2"/>
  <c r="G497" i="2"/>
  <c r="F497" i="2"/>
  <c r="E497" i="2"/>
  <c r="G496" i="2"/>
  <c r="F496" i="2"/>
  <c r="E496" i="2"/>
  <c r="G495" i="2"/>
  <c r="F495" i="2"/>
  <c r="E495" i="2"/>
  <c r="G494" i="2"/>
  <c r="F494" i="2"/>
  <c r="E494" i="2"/>
  <c r="G493" i="2"/>
  <c r="F493" i="2"/>
  <c r="E493" i="2"/>
  <c r="G492" i="2"/>
  <c r="F492" i="2"/>
  <c r="E492" i="2"/>
  <c r="G491" i="2"/>
  <c r="F491" i="2"/>
  <c r="E491" i="2"/>
  <c r="G490" i="2"/>
  <c r="F490" i="2"/>
  <c r="E490" i="2"/>
  <c r="G489" i="2"/>
  <c r="F489" i="2"/>
  <c r="E489" i="2"/>
  <c r="G488" i="2"/>
  <c r="F488" i="2"/>
  <c r="E488" i="2"/>
  <c r="G487" i="2"/>
  <c r="F487" i="2"/>
  <c r="E487" i="2"/>
  <c r="G486" i="2"/>
  <c r="F486" i="2"/>
  <c r="E486" i="2"/>
  <c r="G485" i="2"/>
  <c r="F485" i="2"/>
  <c r="E485" i="2"/>
  <c r="G484" i="2"/>
  <c r="F484" i="2"/>
  <c r="E484" i="2"/>
  <c r="G483" i="2"/>
  <c r="F483" i="2"/>
  <c r="E483" i="2"/>
  <c r="G482" i="2"/>
  <c r="F482" i="2"/>
  <c r="E482" i="2"/>
  <c r="G481" i="2"/>
  <c r="F481" i="2"/>
  <c r="E481" i="2"/>
  <c r="G480" i="2"/>
  <c r="F480" i="2"/>
  <c r="E480" i="2"/>
  <c r="G479" i="2"/>
  <c r="F479" i="2"/>
  <c r="E479" i="2"/>
  <c r="G478" i="2"/>
  <c r="F478" i="2"/>
  <c r="E478" i="2"/>
  <c r="G477" i="2"/>
  <c r="F477" i="2"/>
  <c r="E477" i="2"/>
  <c r="G476" i="2"/>
  <c r="F476" i="2"/>
  <c r="E476" i="2"/>
  <c r="G475" i="2"/>
  <c r="F475" i="2"/>
  <c r="E475" i="2"/>
  <c r="G474" i="2"/>
  <c r="F474" i="2"/>
  <c r="E474" i="2"/>
  <c r="G473" i="2"/>
  <c r="F473" i="2"/>
  <c r="E473" i="2"/>
  <c r="G472" i="2"/>
  <c r="F472" i="2"/>
  <c r="E472" i="2"/>
  <c r="G471" i="2"/>
  <c r="F471" i="2"/>
  <c r="E471" i="2"/>
  <c r="G470" i="2"/>
  <c r="F470" i="2"/>
  <c r="E470" i="2"/>
  <c r="G469" i="2"/>
  <c r="F469" i="2"/>
  <c r="E469" i="2"/>
  <c r="G468" i="2"/>
  <c r="F468" i="2"/>
  <c r="E468" i="2"/>
  <c r="G467" i="2"/>
  <c r="F467" i="2"/>
  <c r="E467" i="2"/>
  <c r="G466" i="2"/>
  <c r="F466" i="2"/>
  <c r="E466" i="2"/>
  <c r="G465" i="2"/>
  <c r="F465" i="2"/>
  <c r="E465" i="2"/>
  <c r="G464" i="2"/>
  <c r="F464" i="2"/>
  <c r="E464" i="2"/>
  <c r="G463" i="2"/>
  <c r="F463" i="2"/>
  <c r="E463" i="2"/>
  <c r="G462" i="2"/>
  <c r="F462" i="2"/>
  <c r="E462" i="2"/>
  <c r="G461" i="2"/>
  <c r="F461" i="2"/>
  <c r="E461" i="2"/>
  <c r="G460" i="2"/>
  <c r="F460" i="2"/>
  <c r="E460" i="2"/>
  <c r="G459" i="2"/>
  <c r="F459" i="2"/>
  <c r="E459" i="2"/>
  <c r="G458" i="2"/>
  <c r="F458" i="2"/>
  <c r="E458" i="2"/>
  <c r="G457" i="2"/>
  <c r="F457" i="2"/>
  <c r="E457" i="2"/>
  <c r="G456" i="2"/>
  <c r="F456" i="2"/>
  <c r="E456" i="2"/>
  <c r="G455" i="2"/>
  <c r="F455" i="2"/>
  <c r="E455" i="2"/>
  <c r="G454" i="2"/>
  <c r="F454" i="2"/>
  <c r="E454" i="2"/>
  <c r="G453" i="2"/>
  <c r="F453" i="2"/>
  <c r="E453" i="2"/>
  <c r="G452" i="2"/>
  <c r="F452" i="2"/>
  <c r="E452" i="2"/>
  <c r="G451" i="2"/>
  <c r="F451" i="2"/>
  <c r="E451" i="2"/>
  <c r="G450" i="2"/>
  <c r="F450" i="2"/>
  <c r="E450" i="2"/>
  <c r="G449" i="2"/>
  <c r="F449" i="2"/>
  <c r="E449" i="2"/>
  <c r="G448" i="2"/>
  <c r="F448" i="2"/>
  <c r="E448" i="2"/>
  <c r="G447" i="2"/>
  <c r="F447" i="2"/>
  <c r="E447" i="2"/>
  <c r="G446" i="2"/>
  <c r="F446" i="2"/>
  <c r="E446" i="2"/>
  <c r="G445" i="2"/>
  <c r="F445" i="2"/>
  <c r="E445" i="2"/>
  <c r="G444" i="2"/>
  <c r="F444" i="2"/>
  <c r="E444" i="2"/>
  <c r="G443" i="2"/>
  <c r="F443" i="2"/>
  <c r="E443" i="2"/>
  <c r="G442" i="2"/>
  <c r="F442" i="2"/>
  <c r="E442" i="2"/>
  <c r="G441" i="2"/>
  <c r="F441" i="2"/>
  <c r="E441" i="2"/>
  <c r="G440" i="2"/>
  <c r="F440" i="2"/>
  <c r="E440" i="2"/>
  <c r="G439" i="2"/>
  <c r="F439" i="2"/>
  <c r="E439" i="2"/>
  <c r="G438" i="2"/>
  <c r="F438" i="2"/>
  <c r="E438" i="2"/>
  <c r="G437" i="2"/>
  <c r="F437" i="2"/>
  <c r="E437" i="2"/>
  <c r="G436" i="2"/>
  <c r="F436" i="2"/>
  <c r="E436" i="2"/>
  <c r="G435" i="2"/>
  <c r="F435" i="2"/>
  <c r="E435" i="2"/>
  <c r="G434" i="2"/>
  <c r="F434" i="2"/>
  <c r="E434" i="2"/>
  <c r="G433" i="2"/>
  <c r="F433" i="2"/>
  <c r="E433" i="2"/>
  <c r="G432" i="2"/>
  <c r="F432" i="2"/>
  <c r="E432" i="2"/>
  <c r="G431" i="2"/>
  <c r="F431" i="2"/>
  <c r="E431" i="2"/>
  <c r="G430" i="2"/>
  <c r="F430" i="2"/>
  <c r="E430" i="2"/>
  <c r="G429" i="2"/>
  <c r="F429" i="2"/>
  <c r="E429" i="2"/>
  <c r="G428" i="2"/>
  <c r="F428" i="2"/>
  <c r="E428" i="2"/>
  <c r="G427" i="2"/>
  <c r="F427" i="2"/>
  <c r="E427" i="2"/>
  <c r="G426" i="2"/>
  <c r="F426" i="2"/>
  <c r="E426" i="2"/>
  <c r="G425" i="2"/>
  <c r="F425" i="2"/>
  <c r="E425" i="2"/>
  <c r="G424" i="2"/>
  <c r="F424" i="2"/>
  <c r="E424" i="2"/>
  <c r="G423" i="2"/>
  <c r="F423" i="2"/>
  <c r="E423" i="2"/>
  <c r="G422" i="2"/>
  <c r="F422" i="2"/>
  <c r="E422" i="2"/>
  <c r="G421" i="2"/>
  <c r="F421" i="2"/>
  <c r="E421" i="2"/>
  <c r="G420" i="2"/>
  <c r="F420" i="2"/>
  <c r="E420" i="2"/>
  <c r="G419" i="2"/>
  <c r="F419" i="2"/>
  <c r="E419" i="2"/>
  <c r="G418" i="2"/>
  <c r="F418" i="2"/>
  <c r="E418" i="2"/>
  <c r="G417" i="2"/>
  <c r="F417" i="2"/>
  <c r="E417" i="2"/>
  <c r="G416" i="2"/>
  <c r="F416" i="2"/>
  <c r="E416" i="2"/>
  <c r="G415" i="2"/>
  <c r="F415" i="2"/>
  <c r="E415" i="2"/>
  <c r="G414" i="2"/>
  <c r="F414" i="2"/>
  <c r="E414" i="2"/>
  <c r="G413" i="2"/>
  <c r="F413" i="2"/>
  <c r="E413" i="2"/>
  <c r="G412" i="2"/>
  <c r="F412" i="2"/>
  <c r="E412" i="2"/>
  <c r="G411" i="2"/>
  <c r="F411" i="2"/>
  <c r="E411" i="2"/>
  <c r="G410" i="2"/>
  <c r="F410" i="2"/>
  <c r="E410" i="2"/>
  <c r="G409" i="2"/>
  <c r="F409" i="2"/>
  <c r="E409" i="2"/>
  <c r="G408" i="2"/>
  <c r="F408" i="2"/>
  <c r="E408" i="2"/>
  <c r="G407" i="2"/>
  <c r="F407" i="2"/>
  <c r="E407" i="2"/>
  <c r="G406" i="2"/>
  <c r="F406" i="2"/>
  <c r="E406" i="2"/>
  <c r="G405" i="2"/>
  <c r="F405" i="2"/>
  <c r="E405" i="2"/>
  <c r="G404" i="2"/>
  <c r="F404" i="2"/>
  <c r="E404" i="2"/>
  <c r="G403" i="2"/>
  <c r="F403" i="2"/>
  <c r="E403" i="2"/>
  <c r="G402" i="2"/>
  <c r="F402" i="2"/>
  <c r="E402" i="2"/>
  <c r="G401" i="2"/>
  <c r="F401" i="2"/>
  <c r="E401" i="2"/>
  <c r="G400" i="2"/>
  <c r="F400" i="2"/>
  <c r="E400" i="2"/>
  <c r="G399" i="2"/>
  <c r="F399" i="2"/>
  <c r="E399" i="2"/>
  <c r="G398" i="2"/>
  <c r="F398" i="2"/>
  <c r="E398" i="2"/>
  <c r="G397" i="2"/>
  <c r="F397" i="2"/>
  <c r="E397" i="2"/>
  <c r="G396" i="2"/>
  <c r="F396" i="2"/>
  <c r="E396" i="2"/>
  <c r="G395" i="2"/>
  <c r="F395" i="2"/>
  <c r="E395" i="2"/>
  <c r="G394" i="2"/>
  <c r="F394" i="2"/>
  <c r="E394" i="2"/>
  <c r="G393" i="2"/>
  <c r="F393" i="2"/>
  <c r="E393" i="2"/>
  <c r="G392" i="2"/>
  <c r="F392" i="2"/>
  <c r="E392" i="2"/>
  <c r="G391" i="2"/>
  <c r="F391" i="2"/>
  <c r="E391" i="2"/>
  <c r="G390" i="2"/>
  <c r="F390" i="2"/>
  <c r="E390" i="2"/>
  <c r="G389" i="2"/>
  <c r="F389" i="2"/>
  <c r="E389" i="2"/>
  <c r="G388" i="2"/>
  <c r="F388" i="2"/>
  <c r="E388" i="2"/>
  <c r="G387" i="2"/>
  <c r="F387" i="2"/>
  <c r="E387" i="2"/>
  <c r="G386" i="2"/>
  <c r="F386" i="2"/>
  <c r="E386" i="2"/>
  <c r="G385" i="2"/>
  <c r="F385" i="2"/>
  <c r="E385" i="2"/>
  <c r="G384" i="2"/>
  <c r="F384" i="2"/>
  <c r="E384" i="2"/>
  <c r="G383" i="2"/>
  <c r="F383" i="2"/>
  <c r="E383" i="2"/>
  <c r="G382" i="2"/>
  <c r="F382" i="2"/>
  <c r="E382" i="2"/>
  <c r="G381" i="2"/>
  <c r="F381" i="2"/>
  <c r="E381" i="2"/>
  <c r="G380" i="2"/>
  <c r="F380" i="2"/>
  <c r="E380" i="2"/>
  <c r="G379" i="2"/>
  <c r="F379" i="2"/>
  <c r="E379" i="2"/>
  <c r="G378" i="2"/>
  <c r="F378" i="2"/>
  <c r="E378" i="2"/>
  <c r="G377" i="2"/>
  <c r="F377" i="2"/>
  <c r="E377" i="2"/>
  <c r="G376" i="2"/>
  <c r="F376" i="2"/>
  <c r="E376" i="2"/>
  <c r="G375" i="2"/>
  <c r="F375" i="2"/>
  <c r="E375" i="2"/>
  <c r="G374" i="2"/>
  <c r="F374" i="2"/>
  <c r="E374" i="2"/>
  <c r="G373" i="2"/>
  <c r="F373" i="2"/>
  <c r="E373" i="2"/>
  <c r="G372" i="2"/>
  <c r="F372" i="2"/>
  <c r="E372" i="2"/>
  <c r="G371" i="2"/>
  <c r="F371" i="2"/>
  <c r="E371" i="2"/>
  <c r="G370" i="2"/>
  <c r="F370" i="2"/>
  <c r="E370" i="2"/>
  <c r="G369" i="2"/>
  <c r="F369" i="2"/>
  <c r="E369" i="2"/>
  <c r="G368" i="2"/>
  <c r="F368" i="2"/>
  <c r="E368" i="2"/>
  <c r="G367" i="2"/>
  <c r="F367" i="2"/>
  <c r="E367" i="2"/>
  <c r="G366" i="2"/>
  <c r="F366" i="2"/>
  <c r="E366" i="2"/>
  <c r="G365" i="2"/>
  <c r="F365" i="2"/>
  <c r="E365" i="2"/>
  <c r="G364" i="2"/>
  <c r="F364" i="2"/>
  <c r="E364" i="2"/>
  <c r="G363" i="2"/>
  <c r="F363" i="2"/>
  <c r="E363" i="2"/>
  <c r="G362" i="2"/>
  <c r="F362" i="2"/>
  <c r="E362" i="2"/>
  <c r="G361" i="2"/>
  <c r="F361" i="2"/>
  <c r="E361" i="2"/>
  <c r="G360" i="2"/>
  <c r="F360" i="2"/>
  <c r="E360" i="2"/>
  <c r="G359" i="2"/>
  <c r="F359" i="2"/>
  <c r="E359" i="2"/>
  <c r="G358" i="2"/>
  <c r="F358" i="2"/>
  <c r="E358" i="2"/>
  <c r="G357" i="2"/>
  <c r="F357" i="2"/>
  <c r="E357" i="2"/>
  <c r="G356" i="2"/>
  <c r="F356" i="2"/>
  <c r="E356" i="2"/>
  <c r="G355" i="2"/>
  <c r="F355" i="2"/>
  <c r="E355" i="2"/>
  <c r="G354" i="2"/>
  <c r="F354" i="2"/>
  <c r="E354" i="2"/>
  <c r="G353" i="2"/>
  <c r="F353" i="2"/>
  <c r="E353" i="2"/>
  <c r="G352" i="2"/>
  <c r="F352" i="2"/>
  <c r="E352" i="2"/>
  <c r="G351" i="2"/>
  <c r="F351" i="2"/>
  <c r="E351" i="2"/>
  <c r="G350" i="2"/>
  <c r="F350" i="2"/>
  <c r="E350" i="2"/>
  <c r="G349" i="2"/>
  <c r="F349" i="2"/>
  <c r="E349" i="2"/>
  <c r="G348" i="2"/>
  <c r="F348" i="2"/>
  <c r="E348" i="2"/>
  <c r="G347" i="2"/>
  <c r="F347" i="2"/>
  <c r="E347" i="2"/>
  <c r="G346" i="2"/>
  <c r="F346" i="2"/>
  <c r="E346" i="2"/>
  <c r="G345" i="2"/>
  <c r="F345" i="2"/>
  <c r="E345" i="2"/>
  <c r="G344" i="2"/>
  <c r="F344" i="2"/>
  <c r="E344" i="2"/>
  <c r="G343" i="2"/>
  <c r="F343" i="2"/>
  <c r="E343" i="2"/>
  <c r="G342" i="2"/>
  <c r="F342" i="2"/>
  <c r="E342" i="2"/>
  <c r="G341" i="2"/>
  <c r="F341" i="2"/>
  <c r="E341" i="2"/>
  <c r="G340" i="2"/>
  <c r="F340" i="2"/>
  <c r="E340" i="2"/>
  <c r="G339" i="2"/>
  <c r="F339" i="2"/>
  <c r="E339" i="2"/>
  <c r="G338" i="2"/>
  <c r="F338" i="2"/>
  <c r="E338" i="2"/>
  <c r="G337" i="2"/>
  <c r="F337" i="2"/>
  <c r="E337" i="2"/>
  <c r="G336" i="2"/>
  <c r="F336" i="2"/>
  <c r="E336" i="2"/>
  <c r="G335" i="2"/>
  <c r="F335" i="2"/>
  <c r="E335" i="2"/>
  <c r="G334" i="2"/>
  <c r="F334" i="2"/>
  <c r="E334" i="2"/>
  <c r="G333" i="2"/>
  <c r="F333" i="2"/>
  <c r="E333" i="2"/>
  <c r="G332" i="2"/>
  <c r="F332" i="2"/>
  <c r="E332" i="2"/>
  <c r="G331" i="2"/>
  <c r="F331" i="2"/>
  <c r="E331" i="2"/>
  <c r="G330" i="2"/>
  <c r="F330" i="2"/>
  <c r="E330" i="2"/>
  <c r="G329" i="2"/>
  <c r="F329" i="2"/>
  <c r="E329" i="2"/>
  <c r="G328" i="2"/>
  <c r="F328" i="2"/>
  <c r="E328" i="2"/>
  <c r="G327" i="2"/>
  <c r="F327" i="2"/>
  <c r="E327" i="2"/>
  <c r="G326" i="2"/>
  <c r="F326" i="2"/>
  <c r="E326" i="2"/>
  <c r="G325" i="2"/>
  <c r="F325" i="2"/>
  <c r="E325" i="2"/>
  <c r="G324" i="2"/>
  <c r="F324" i="2"/>
  <c r="E324" i="2"/>
  <c r="G323" i="2"/>
  <c r="F323" i="2"/>
  <c r="E323" i="2"/>
  <c r="G322" i="2"/>
  <c r="F322" i="2"/>
  <c r="E322" i="2"/>
  <c r="G321" i="2"/>
  <c r="F321" i="2"/>
  <c r="E321" i="2"/>
  <c r="G320" i="2"/>
  <c r="F320" i="2"/>
  <c r="E320" i="2"/>
  <c r="G319" i="2"/>
  <c r="F319" i="2"/>
  <c r="E319" i="2"/>
  <c r="G318" i="2"/>
  <c r="F318" i="2"/>
  <c r="E318" i="2"/>
  <c r="G317" i="2"/>
  <c r="F317" i="2"/>
  <c r="E317" i="2"/>
  <c r="G316" i="2"/>
  <c r="F316" i="2"/>
  <c r="E316" i="2"/>
  <c r="G315" i="2"/>
  <c r="F315" i="2"/>
  <c r="E315" i="2"/>
  <c r="G314" i="2"/>
  <c r="F314" i="2"/>
  <c r="E314" i="2"/>
  <c r="G313" i="2"/>
  <c r="F313" i="2"/>
  <c r="E313" i="2"/>
  <c r="G312" i="2"/>
  <c r="F312" i="2"/>
  <c r="E312" i="2"/>
  <c r="G311" i="2"/>
  <c r="F311" i="2"/>
  <c r="E311" i="2"/>
  <c r="G310" i="2"/>
  <c r="F310" i="2"/>
  <c r="E310" i="2"/>
  <c r="G309" i="2"/>
  <c r="F309" i="2"/>
  <c r="E309" i="2"/>
  <c r="G308" i="2"/>
  <c r="F308" i="2"/>
  <c r="E308" i="2"/>
  <c r="G307" i="2"/>
  <c r="F307" i="2"/>
  <c r="E307" i="2"/>
  <c r="G306" i="2"/>
  <c r="F306" i="2"/>
  <c r="E306" i="2"/>
  <c r="G305" i="2"/>
  <c r="F305" i="2"/>
  <c r="E305" i="2"/>
  <c r="G304" i="2"/>
  <c r="F304" i="2"/>
  <c r="E304" i="2"/>
  <c r="G303" i="2"/>
  <c r="F303" i="2"/>
  <c r="E303" i="2"/>
  <c r="G302" i="2"/>
  <c r="F302" i="2"/>
  <c r="E302" i="2"/>
  <c r="G301" i="2"/>
  <c r="F301" i="2"/>
  <c r="E301" i="2"/>
  <c r="G300" i="2"/>
  <c r="F300" i="2"/>
  <c r="E300" i="2"/>
  <c r="G299" i="2"/>
  <c r="F299" i="2"/>
  <c r="E299" i="2"/>
  <c r="G298" i="2"/>
  <c r="F298" i="2"/>
  <c r="E298" i="2"/>
  <c r="G297" i="2"/>
  <c r="F297" i="2"/>
  <c r="E297" i="2"/>
  <c r="G296" i="2"/>
  <c r="F296" i="2"/>
  <c r="E296" i="2"/>
  <c r="G295" i="2"/>
  <c r="F295" i="2"/>
  <c r="E295" i="2"/>
  <c r="G294" i="2"/>
  <c r="F294" i="2"/>
  <c r="E294" i="2"/>
  <c r="G293" i="2"/>
  <c r="F293" i="2"/>
  <c r="E293" i="2"/>
  <c r="G292" i="2"/>
  <c r="F292" i="2"/>
  <c r="E292" i="2"/>
  <c r="G291" i="2"/>
  <c r="F291" i="2"/>
  <c r="E291" i="2"/>
  <c r="G290" i="2"/>
  <c r="F290" i="2"/>
  <c r="E290" i="2"/>
  <c r="G289" i="2"/>
  <c r="F289" i="2"/>
  <c r="E289" i="2"/>
  <c r="G288" i="2"/>
  <c r="F288" i="2"/>
  <c r="E288" i="2"/>
  <c r="G287" i="2"/>
  <c r="F287" i="2"/>
  <c r="E287" i="2"/>
  <c r="G286" i="2"/>
  <c r="F286" i="2"/>
  <c r="E286" i="2"/>
  <c r="G285" i="2"/>
  <c r="F285" i="2"/>
  <c r="E285" i="2"/>
  <c r="G284" i="2"/>
  <c r="F284" i="2"/>
  <c r="E284" i="2"/>
  <c r="G283" i="2"/>
  <c r="F283" i="2"/>
  <c r="E283" i="2"/>
  <c r="G282" i="2"/>
  <c r="F282" i="2"/>
  <c r="E282" i="2"/>
  <c r="G281" i="2"/>
  <c r="F281" i="2"/>
  <c r="E281" i="2"/>
  <c r="G280" i="2"/>
  <c r="F280" i="2"/>
  <c r="E280" i="2"/>
  <c r="G279" i="2"/>
  <c r="F279" i="2"/>
  <c r="E279" i="2"/>
  <c r="G278" i="2"/>
  <c r="F278" i="2"/>
  <c r="E278" i="2"/>
  <c r="G277" i="2"/>
  <c r="F277" i="2"/>
  <c r="E277" i="2"/>
  <c r="G276" i="2"/>
  <c r="F276" i="2"/>
  <c r="E276" i="2"/>
  <c r="G275" i="2"/>
  <c r="F275" i="2"/>
  <c r="E275" i="2"/>
  <c r="G274" i="2"/>
  <c r="F274" i="2"/>
  <c r="E274" i="2"/>
  <c r="G273" i="2"/>
  <c r="F273" i="2"/>
  <c r="E273" i="2"/>
  <c r="G272" i="2"/>
  <c r="F272" i="2"/>
  <c r="E272" i="2"/>
  <c r="G271" i="2"/>
  <c r="F271" i="2"/>
  <c r="E271" i="2"/>
  <c r="G270" i="2"/>
  <c r="F270" i="2"/>
  <c r="E270" i="2"/>
  <c r="G269" i="2"/>
  <c r="F269" i="2"/>
  <c r="E269" i="2"/>
  <c r="G268" i="2"/>
  <c r="F268" i="2"/>
  <c r="E268" i="2"/>
  <c r="G267" i="2"/>
  <c r="F267" i="2"/>
  <c r="E267" i="2"/>
  <c r="G266" i="2"/>
  <c r="F266" i="2"/>
  <c r="E266" i="2"/>
  <c r="G265" i="2"/>
  <c r="F265" i="2"/>
  <c r="E265" i="2"/>
  <c r="G264" i="2"/>
  <c r="F264" i="2"/>
  <c r="E264" i="2"/>
  <c r="G263" i="2"/>
  <c r="F263" i="2"/>
  <c r="E263" i="2"/>
  <c r="G262" i="2"/>
  <c r="F262" i="2"/>
  <c r="E262" i="2"/>
  <c r="G261" i="2"/>
  <c r="F261" i="2"/>
  <c r="E261" i="2"/>
  <c r="G260" i="2"/>
  <c r="F260" i="2"/>
  <c r="E260" i="2"/>
  <c r="G259" i="2"/>
  <c r="F259" i="2"/>
  <c r="E259" i="2"/>
  <c r="G258" i="2"/>
  <c r="F258" i="2"/>
  <c r="E258" i="2"/>
  <c r="G257" i="2"/>
  <c r="F257" i="2"/>
  <c r="E257" i="2"/>
  <c r="G256" i="2"/>
  <c r="F256" i="2"/>
  <c r="E256" i="2"/>
  <c r="G255" i="2"/>
  <c r="F255" i="2"/>
  <c r="E255" i="2"/>
  <c r="G254" i="2"/>
  <c r="F254" i="2"/>
  <c r="E254" i="2"/>
  <c r="G253" i="2"/>
  <c r="F253" i="2"/>
  <c r="E253" i="2"/>
  <c r="G252" i="2"/>
  <c r="F252" i="2"/>
  <c r="E252" i="2"/>
  <c r="G251" i="2"/>
  <c r="F251" i="2"/>
  <c r="E251" i="2"/>
  <c r="G250" i="2"/>
  <c r="F250" i="2"/>
  <c r="E250" i="2"/>
  <c r="G249" i="2"/>
  <c r="F249" i="2"/>
  <c r="E249" i="2"/>
  <c r="G248" i="2"/>
  <c r="F248" i="2"/>
  <c r="E248" i="2"/>
  <c r="G247" i="2"/>
  <c r="F247" i="2"/>
  <c r="E247" i="2"/>
  <c r="G246" i="2"/>
  <c r="F246" i="2"/>
  <c r="E246" i="2"/>
  <c r="G245" i="2"/>
  <c r="F245" i="2"/>
  <c r="E245" i="2"/>
  <c r="G244" i="2"/>
  <c r="F244" i="2"/>
  <c r="E244" i="2"/>
  <c r="G243" i="2"/>
  <c r="F243" i="2"/>
  <c r="E243" i="2"/>
  <c r="G242" i="2"/>
  <c r="F242" i="2"/>
  <c r="E242" i="2"/>
  <c r="G241" i="2"/>
  <c r="F241" i="2"/>
  <c r="E241" i="2"/>
  <c r="G240" i="2"/>
  <c r="F240" i="2"/>
  <c r="E240" i="2"/>
  <c r="G239" i="2"/>
  <c r="F239" i="2"/>
  <c r="E239" i="2"/>
  <c r="G238" i="2"/>
  <c r="F238" i="2"/>
  <c r="E238" i="2"/>
  <c r="G237" i="2"/>
  <c r="F237" i="2"/>
  <c r="E237" i="2"/>
  <c r="G236" i="2"/>
  <c r="F236" i="2"/>
  <c r="E236" i="2"/>
  <c r="G235" i="2"/>
  <c r="F235" i="2"/>
  <c r="E235" i="2"/>
  <c r="G234" i="2"/>
  <c r="F234" i="2"/>
  <c r="E234" i="2"/>
  <c r="G233" i="2"/>
  <c r="F233" i="2"/>
  <c r="E233" i="2"/>
  <c r="G232" i="2"/>
  <c r="F232" i="2"/>
  <c r="E232" i="2"/>
  <c r="G231" i="2"/>
  <c r="F231" i="2"/>
  <c r="E231" i="2"/>
  <c r="G230" i="2"/>
  <c r="F230" i="2"/>
  <c r="E230" i="2"/>
  <c r="G229" i="2"/>
  <c r="F229" i="2"/>
  <c r="E229" i="2"/>
  <c r="G228" i="2"/>
  <c r="F228" i="2"/>
  <c r="E228" i="2"/>
  <c r="G227" i="2"/>
  <c r="F227" i="2"/>
  <c r="E227" i="2"/>
  <c r="G226" i="2"/>
  <c r="F226" i="2"/>
  <c r="E226" i="2"/>
  <c r="G225" i="2"/>
  <c r="F225" i="2"/>
  <c r="E225" i="2"/>
  <c r="G224" i="2"/>
  <c r="F224" i="2"/>
  <c r="E224" i="2"/>
  <c r="G223" i="2"/>
  <c r="F223" i="2"/>
  <c r="E223" i="2"/>
  <c r="G222" i="2"/>
  <c r="F222" i="2"/>
  <c r="E222" i="2"/>
  <c r="G221" i="2"/>
  <c r="F221" i="2"/>
  <c r="E221" i="2"/>
  <c r="G220" i="2"/>
  <c r="F220" i="2"/>
  <c r="E220" i="2"/>
  <c r="G219" i="2"/>
  <c r="F219" i="2"/>
  <c r="E219" i="2"/>
  <c r="G218" i="2"/>
  <c r="F218" i="2"/>
  <c r="E218" i="2"/>
  <c r="G217" i="2"/>
  <c r="F217" i="2"/>
  <c r="E217" i="2"/>
  <c r="G216" i="2"/>
  <c r="F216" i="2"/>
  <c r="E216" i="2"/>
  <c r="G215" i="2"/>
  <c r="F215" i="2"/>
  <c r="E215" i="2"/>
  <c r="G214" i="2"/>
  <c r="F214" i="2"/>
  <c r="E214" i="2"/>
  <c r="G213" i="2"/>
  <c r="F213" i="2"/>
  <c r="E213" i="2"/>
  <c r="G212" i="2"/>
  <c r="F212" i="2"/>
  <c r="E212" i="2"/>
  <c r="G211" i="2"/>
  <c r="F211" i="2"/>
  <c r="E211" i="2"/>
  <c r="G210" i="2"/>
  <c r="F210" i="2"/>
  <c r="E210" i="2"/>
  <c r="G209" i="2"/>
  <c r="F209" i="2"/>
  <c r="E209" i="2"/>
  <c r="G208" i="2"/>
  <c r="F208" i="2"/>
  <c r="E208" i="2"/>
  <c r="G207" i="2"/>
  <c r="F207" i="2"/>
  <c r="E207" i="2"/>
  <c r="G206" i="2"/>
  <c r="F206" i="2"/>
  <c r="E206" i="2"/>
  <c r="G205" i="2"/>
  <c r="F205" i="2"/>
  <c r="E205" i="2"/>
  <c r="G204" i="2"/>
  <c r="F204" i="2"/>
  <c r="E204" i="2"/>
  <c r="G203" i="2"/>
  <c r="F203" i="2"/>
  <c r="E203" i="2"/>
  <c r="G202" i="2"/>
  <c r="F202" i="2"/>
  <c r="E202" i="2"/>
  <c r="G201" i="2"/>
  <c r="F201" i="2"/>
  <c r="E201" i="2"/>
  <c r="G200" i="2"/>
  <c r="F200" i="2"/>
  <c r="E200" i="2"/>
  <c r="G199" i="2"/>
  <c r="F199" i="2"/>
  <c r="E199" i="2"/>
  <c r="G198" i="2"/>
  <c r="F198" i="2"/>
  <c r="E198" i="2"/>
  <c r="G197" i="2"/>
  <c r="F197" i="2"/>
  <c r="E197" i="2"/>
  <c r="G196" i="2"/>
  <c r="F196" i="2"/>
  <c r="E196" i="2"/>
  <c r="G195" i="2"/>
  <c r="F195" i="2"/>
  <c r="E195" i="2"/>
  <c r="G194" i="2"/>
  <c r="F194" i="2"/>
  <c r="E194" i="2"/>
  <c r="G193" i="2"/>
  <c r="F193" i="2"/>
  <c r="E193" i="2"/>
  <c r="G192" i="2"/>
  <c r="F192" i="2"/>
  <c r="E192" i="2"/>
  <c r="G191" i="2"/>
  <c r="F191" i="2"/>
  <c r="E191" i="2"/>
  <c r="G190" i="2"/>
  <c r="F190" i="2"/>
  <c r="E190" i="2"/>
  <c r="G189" i="2"/>
  <c r="F189" i="2"/>
  <c r="E189" i="2"/>
  <c r="G188" i="2"/>
  <c r="F188" i="2"/>
  <c r="E188" i="2"/>
  <c r="G187" i="2"/>
  <c r="F187" i="2"/>
  <c r="E187" i="2"/>
  <c r="G186" i="2"/>
  <c r="F186" i="2"/>
  <c r="E186" i="2"/>
  <c r="G185" i="2"/>
  <c r="F185" i="2"/>
  <c r="E185" i="2"/>
  <c r="G184" i="2"/>
  <c r="F184" i="2"/>
  <c r="E184" i="2"/>
  <c r="G183" i="2"/>
  <c r="F183" i="2"/>
  <c r="E183" i="2"/>
  <c r="G182" i="2"/>
  <c r="F182" i="2"/>
  <c r="E182" i="2"/>
  <c r="G181" i="2"/>
  <c r="F181" i="2"/>
  <c r="E181" i="2"/>
  <c r="G180" i="2"/>
  <c r="F180" i="2"/>
  <c r="E180" i="2"/>
  <c r="G179" i="2"/>
  <c r="F179" i="2"/>
  <c r="E179" i="2"/>
  <c r="G178" i="2"/>
  <c r="F178" i="2"/>
  <c r="E178" i="2"/>
  <c r="G177" i="2"/>
  <c r="F177" i="2"/>
  <c r="E177" i="2"/>
  <c r="G176" i="2"/>
  <c r="F176" i="2"/>
  <c r="E176" i="2"/>
  <c r="G175" i="2"/>
  <c r="F175" i="2"/>
  <c r="E175" i="2"/>
  <c r="G174" i="2"/>
  <c r="F174" i="2"/>
  <c r="E174" i="2"/>
  <c r="G173" i="2"/>
  <c r="F173" i="2"/>
  <c r="E173" i="2"/>
  <c r="G172" i="2"/>
  <c r="F172" i="2"/>
  <c r="E172" i="2"/>
  <c r="G171" i="2"/>
  <c r="F171" i="2"/>
  <c r="E171" i="2"/>
  <c r="G170" i="2"/>
  <c r="F170" i="2"/>
  <c r="E170" i="2"/>
  <c r="G169" i="2"/>
  <c r="F169" i="2"/>
  <c r="E169" i="2"/>
  <c r="G168" i="2"/>
  <c r="F168" i="2"/>
  <c r="E168" i="2"/>
  <c r="G167" i="2"/>
  <c r="F167" i="2"/>
  <c r="E167" i="2"/>
  <c r="G166" i="2"/>
  <c r="F166" i="2"/>
  <c r="E166" i="2"/>
  <c r="G165" i="2"/>
  <c r="F165" i="2"/>
  <c r="E165" i="2"/>
  <c r="G164" i="2"/>
  <c r="F164" i="2"/>
  <c r="E164" i="2"/>
  <c r="G163" i="2"/>
  <c r="F163" i="2"/>
  <c r="E163" i="2"/>
  <c r="G162" i="2"/>
  <c r="F162" i="2"/>
  <c r="E162" i="2"/>
  <c r="G161" i="2"/>
  <c r="F161" i="2"/>
  <c r="E161" i="2"/>
  <c r="G160" i="2"/>
  <c r="F160" i="2"/>
  <c r="E160" i="2"/>
  <c r="G159" i="2"/>
  <c r="F159" i="2"/>
  <c r="E159" i="2"/>
  <c r="G158" i="2"/>
  <c r="F158" i="2"/>
  <c r="E158" i="2"/>
  <c r="G157" i="2"/>
  <c r="F157" i="2"/>
  <c r="E157" i="2"/>
  <c r="G156" i="2"/>
  <c r="F156" i="2"/>
  <c r="E156" i="2"/>
  <c r="G155" i="2"/>
  <c r="F155" i="2"/>
  <c r="E155" i="2"/>
  <c r="G154" i="2"/>
  <c r="F154" i="2"/>
  <c r="E154" i="2"/>
  <c r="G153" i="2"/>
  <c r="F153" i="2"/>
  <c r="E153" i="2"/>
  <c r="G152" i="2"/>
  <c r="F152" i="2"/>
  <c r="E152" i="2"/>
  <c r="G151" i="2"/>
  <c r="F151" i="2"/>
  <c r="E151" i="2"/>
  <c r="G150" i="2"/>
  <c r="F150" i="2"/>
  <c r="E150" i="2"/>
  <c r="G149" i="2"/>
  <c r="F149" i="2"/>
  <c r="E149" i="2"/>
  <c r="G148" i="2"/>
  <c r="F148" i="2"/>
  <c r="E148" i="2"/>
  <c r="G147" i="2"/>
  <c r="F147" i="2"/>
  <c r="E147" i="2"/>
  <c r="G146" i="2"/>
  <c r="F146" i="2"/>
  <c r="E146" i="2"/>
  <c r="G145" i="2"/>
  <c r="F145" i="2"/>
  <c r="E145" i="2"/>
  <c r="G144" i="2"/>
  <c r="F144" i="2"/>
  <c r="E144" i="2"/>
  <c r="G143" i="2"/>
  <c r="F143" i="2"/>
  <c r="E143" i="2"/>
  <c r="G142" i="2"/>
  <c r="F142" i="2"/>
  <c r="E142" i="2"/>
  <c r="G141" i="2"/>
  <c r="F141" i="2"/>
  <c r="E141" i="2"/>
  <c r="G140" i="2"/>
  <c r="F140" i="2"/>
  <c r="E140" i="2"/>
  <c r="G139" i="2"/>
  <c r="F139" i="2"/>
  <c r="E139" i="2"/>
  <c r="G138" i="2"/>
  <c r="F138" i="2"/>
  <c r="E138" i="2"/>
  <c r="G137" i="2"/>
  <c r="F137" i="2"/>
  <c r="E137" i="2"/>
  <c r="G136" i="2"/>
  <c r="F136" i="2"/>
  <c r="E136" i="2"/>
  <c r="G135" i="2"/>
  <c r="F135" i="2"/>
  <c r="E135" i="2"/>
  <c r="G134" i="2"/>
  <c r="F134" i="2"/>
  <c r="E134" i="2"/>
  <c r="G133" i="2"/>
  <c r="F133" i="2"/>
  <c r="E133" i="2"/>
  <c r="G132" i="2"/>
  <c r="F132" i="2"/>
  <c r="E132" i="2"/>
  <c r="G131" i="2"/>
  <c r="F131" i="2"/>
  <c r="E131" i="2"/>
  <c r="G130" i="2"/>
  <c r="F130" i="2"/>
  <c r="E130" i="2"/>
  <c r="G129" i="2"/>
  <c r="F129" i="2"/>
  <c r="E129" i="2"/>
  <c r="G128" i="2"/>
  <c r="F128" i="2"/>
  <c r="E128" i="2"/>
  <c r="G127" i="2"/>
  <c r="F127" i="2"/>
  <c r="E127" i="2"/>
  <c r="G126" i="2"/>
  <c r="F126" i="2"/>
  <c r="E126" i="2"/>
  <c r="G125" i="2"/>
  <c r="F125" i="2"/>
  <c r="E125" i="2"/>
  <c r="G124" i="2"/>
  <c r="F124" i="2"/>
  <c r="E124" i="2"/>
  <c r="G123" i="2"/>
  <c r="F123" i="2"/>
  <c r="E123" i="2"/>
  <c r="G122" i="2"/>
  <c r="F122" i="2"/>
  <c r="E122" i="2"/>
  <c r="G121" i="2"/>
  <c r="F121" i="2"/>
  <c r="E121" i="2"/>
  <c r="G120" i="2"/>
  <c r="F120" i="2"/>
  <c r="E120" i="2"/>
  <c r="G119" i="2"/>
  <c r="F119" i="2"/>
  <c r="E119" i="2"/>
  <c r="G118" i="2"/>
  <c r="F118" i="2"/>
  <c r="E118" i="2"/>
  <c r="G117" i="2"/>
  <c r="F117" i="2"/>
  <c r="E117" i="2"/>
  <c r="G116" i="2"/>
  <c r="F116" i="2"/>
  <c r="E116" i="2"/>
  <c r="G115" i="2"/>
  <c r="F115" i="2"/>
  <c r="E115" i="2"/>
  <c r="G114" i="2"/>
  <c r="F114" i="2"/>
  <c r="E114" i="2"/>
  <c r="G113" i="2"/>
  <c r="F113" i="2"/>
  <c r="E113" i="2"/>
  <c r="G112" i="2"/>
  <c r="F112" i="2"/>
  <c r="E112" i="2"/>
  <c r="G111" i="2"/>
  <c r="F111" i="2"/>
  <c r="E111" i="2"/>
  <c r="G110" i="2"/>
  <c r="F110" i="2"/>
  <c r="E110" i="2"/>
  <c r="G109" i="2"/>
  <c r="F109" i="2"/>
  <c r="E109" i="2"/>
  <c r="G108" i="2"/>
  <c r="F108" i="2"/>
  <c r="E108" i="2"/>
  <c r="G107" i="2"/>
  <c r="F107" i="2"/>
  <c r="E107" i="2"/>
  <c r="G106" i="2"/>
  <c r="F106" i="2"/>
  <c r="E106" i="2"/>
  <c r="G105" i="2"/>
  <c r="F105" i="2"/>
  <c r="E105" i="2"/>
  <c r="G104" i="2"/>
  <c r="F104" i="2"/>
  <c r="E104" i="2"/>
  <c r="G103" i="2"/>
  <c r="F103" i="2"/>
  <c r="E103" i="2"/>
  <c r="G102" i="2"/>
  <c r="F102" i="2"/>
  <c r="E102" i="2"/>
  <c r="G101" i="2"/>
  <c r="F101" i="2"/>
  <c r="E101" i="2"/>
  <c r="G100" i="2"/>
  <c r="F100" i="2"/>
  <c r="E100" i="2"/>
  <c r="G99" i="2"/>
  <c r="F99" i="2"/>
  <c r="E99" i="2"/>
  <c r="G98" i="2"/>
  <c r="F98" i="2"/>
  <c r="E98" i="2"/>
  <c r="G97" i="2"/>
  <c r="F97" i="2"/>
  <c r="E97" i="2"/>
  <c r="G96" i="2"/>
  <c r="F96" i="2"/>
  <c r="E96" i="2"/>
  <c r="G95" i="2"/>
  <c r="F95" i="2"/>
  <c r="E95" i="2"/>
  <c r="G94" i="2"/>
  <c r="F94" i="2"/>
  <c r="E94" i="2"/>
  <c r="G93" i="2"/>
  <c r="F93" i="2"/>
  <c r="E93" i="2"/>
  <c r="G92" i="2"/>
  <c r="F92" i="2"/>
  <c r="E92" i="2"/>
  <c r="G91" i="2"/>
  <c r="F91" i="2"/>
  <c r="E91" i="2"/>
  <c r="G90" i="2"/>
  <c r="F90" i="2"/>
  <c r="E90" i="2"/>
  <c r="G89" i="2"/>
  <c r="F89" i="2"/>
  <c r="E89" i="2"/>
  <c r="G88" i="2"/>
  <c r="F88" i="2"/>
  <c r="E88" i="2"/>
  <c r="G87" i="2"/>
  <c r="F87" i="2"/>
  <c r="E87" i="2"/>
  <c r="G86" i="2"/>
  <c r="F86" i="2"/>
  <c r="E86" i="2"/>
  <c r="G85" i="2"/>
  <c r="F85" i="2"/>
  <c r="E85" i="2"/>
  <c r="G84" i="2"/>
  <c r="F84" i="2"/>
  <c r="E84" i="2"/>
  <c r="G83" i="2"/>
  <c r="F83" i="2"/>
  <c r="E83" i="2"/>
  <c r="G82" i="2"/>
  <c r="F82" i="2"/>
  <c r="E82" i="2"/>
  <c r="G81" i="2"/>
  <c r="F81" i="2"/>
  <c r="E81" i="2"/>
  <c r="G80" i="2"/>
  <c r="F80" i="2"/>
  <c r="E80" i="2"/>
  <c r="G79" i="2"/>
  <c r="F79" i="2"/>
  <c r="E79" i="2"/>
  <c r="G78" i="2"/>
  <c r="F78" i="2"/>
  <c r="E78" i="2"/>
  <c r="G77" i="2"/>
  <c r="F77" i="2"/>
  <c r="E77" i="2"/>
  <c r="G76" i="2"/>
  <c r="F76" i="2"/>
  <c r="E76" i="2"/>
  <c r="G75" i="2"/>
  <c r="F75" i="2"/>
  <c r="E75" i="2"/>
  <c r="G74" i="2"/>
  <c r="F74" i="2"/>
  <c r="E74" i="2"/>
  <c r="G73" i="2"/>
  <c r="F73" i="2"/>
  <c r="E73" i="2"/>
  <c r="G72" i="2"/>
  <c r="F72" i="2"/>
  <c r="E72" i="2"/>
  <c r="G71" i="2"/>
  <c r="F71" i="2"/>
  <c r="E71" i="2"/>
  <c r="G70" i="2"/>
  <c r="F70" i="2"/>
  <c r="E70" i="2"/>
  <c r="G69" i="2"/>
  <c r="F69" i="2"/>
  <c r="E69" i="2"/>
  <c r="G68" i="2"/>
  <c r="F68" i="2"/>
  <c r="E68" i="2"/>
  <c r="G67" i="2"/>
  <c r="F67" i="2"/>
  <c r="E67" i="2"/>
  <c r="G66" i="2"/>
  <c r="F66" i="2"/>
  <c r="E66" i="2"/>
  <c r="G65" i="2"/>
  <c r="F65" i="2"/>
  <c r="E65" i="2"/>
  <c r="G64" i="2"/>
  <c r="F64" i="2"/>
  <c r="E64" i="2"/>
  <c r="G63" i="2"/>
  <c r="F63" i="2"/>
  <c r="E63" i="2"/>
  <c r="G62" i="2"/>
  <c r="F62" i="2"/>
  <c r="E62" i="2"/>
  <c r="G61" i="2"/>
  <c r="F61" i="2"/>
  <c r="E61" i="2"/>
  <c r="G60" i="2"/>
  <c r="F60" i="2"/>
  <c r="E60" i="2"/>
  <c r="G59" i="2"/>
  <c r="F59" i="2"/>
  <c r="E59" i="2"/>
  <c r="G58" i="2"/>
  <c r="F58" i="2"/>
  <c r="E58" i="2"/>
  <c r="G57" i="2"/>
  <c r="F57" i="2"/>
  <c r="E57" i="2"/>
  <c r="G56" i="2"/>
  <c r="F56" i="2"/>
  <c r="E56" i="2"/>
  <c r="G55" i="2"/>
  <c r="F55" i="2"/>
  <c r="E55" i="2"/>
  <c r="G54" i="2"/>
  <c r="F54" i="2"/>
  <c r="E54" i="2"/>
  <c r="G53" i="2"/>
  <c r="F53" i="2"/>
  <c r="E53" i="2"/>
  <c r="G52" i="2"/>
  <c r="F52" i="2"/>
  <c r="E52" i="2"/>
  <c r="G51" i="2"/>
  <c r="F51" i="2"/>
  <c r="E51" i="2"/>
  <c r="G50" i="2"/>
  <c r="F50" i="2"/>
  <c r="E50" i="2"/>
  <c r="G49" i="2"/>
  <c r="F49" i="2"/>
  <c r="E49" i="2"/>
  <c r="G48" i="2"/>
  <c r="F48" i="2"/>
  <c r="E48" i="2"/>
  <c r="G47" i="2"/>
  <c r="F47" i="2"/>
  <c r="E47" i="2"/>
  <c r="G46" i="2"/>
  <c r="F46" i="2"/>
  <c r="E46" i="2"/>
  <c r="G45" i="2"/>
  <c r="F45" i="2"/>
  <c r="E45" i="2"/>
  <c r="G44" i="2"/>
  <c r="F44" i="2"/>
  <c r="E44" i="2"/>
  <c r="G43" i="2"/>
  <c r="F43" i="2"/>
  <c r="E43" i="2"/>
  <c r="G42" i="2"/>
  <c r="F42" i="2"/>
  <c r="E42" i="2"/>
  <c r="G41" i="2"/>
  <c r="F41" i="2"/>
  <c r="E41" i="2"/>
  <c r="G40" i="2"/>
  <c r="F40" i="2"/>
  <c r="E40" i="2"/>
  <c r="G39" i="2"/>
  <c r="F39" i="2"/>
  <c r="E39" i="2"/>
  <c r="G38" i="2"/>
  <c r="F38" i="2"/>
  <c r="E38" i="2"/>
  <c r="G37" i="2"/>
  <c r="F37" i="2"/>
  <c r="E37" i="2"/>
  <c r="G36" i="2"/>
  <c r="F36" i="2"/>
  <c r="E36" i="2"/>
  <c r="G35" i="2"/>
  <c r="F35" i="2"/>
  <c r="E35" i="2"/>
  <c r="G34" i="2"/>
  <c r="F34" i="2"/>
  <c r="E34" i="2"/>
  <c r="G33" i="2"/>
  <c r="F33" i="2"/>
  <c r="E33" i="2"/>
  <c r="G32" i="2"/>
  <c r="F32" i="2"/>
  <c r="E32" i="2"/>
  <c r="G31" i="2"/>
  <c r="F31" i="2"/>
  <c r="E31" i="2"/>
  <c r="G30" i="2"/>
  <c r="F30" i="2"/>
  <c r="E30" i="2"/>
  <c r="G29" i="2"/>
  <c r="F29" i="2"/>
  <c r="E29" i="2"/>
  <c r="G28" i="2"/>
  <c r="F28" i="2"/>
  <c r="E28" i="2"/>
  <c r="G27" i="2"/>
  <c r="F27" i="2"/>
  <c r="E27" i="2"/>
  <c r="G26" i="2"/>
  <c r="F26" i="2"/>
  <c r="E26" i="2"/>
  <c r="G25" i="2"/>
  <c r="F25" i="2"/>
  <c r="E25" i="2"/>
  <c r="G24" i="2"/>
  <c r="F24" i="2"/>
  <c r="E24" i="2"/>
  <c r="G23" i="2"/>
  <c r="F23" i="2"/>
  <c r="E23" i="2"/>
  <c r="G22" i="2"/>
  <c r="F22" i="2"/>
  <c r="E22" i="2"/>
  <c r="G21" i="2"/>
  <c r="F21" i="2"/>
  <c r="E21" i="2"/>
  <c r="G20" i="2"/>
  <c r="F20" i="2"/>
  <c r="E20" i="2"/>
  <c r="G19" i="2"/>
  <c r="F19" i="2"/>
  <c r="E19" i="2"/>
  <c r="G18" i="2"/>
  <c r="F18" i="2"/>
  <c r="E18" i="2"/>
  <c r="G17" i="2"/>
  <c r="F17" i="2"/>
  <c r="E17" i="2"/>
  <c r="G16" i="2"/>
  <c r="F16" i="2"/>
  <c r="E16" i="2"/>
  <c r="G15" i="2"/>
  <c r="F15" i="2"/>
  <c r="E15" i="2"/>
  <c r="G14" i="2"/>
  <c r="F14" i="2"/>
  <c r="E14" i="2"/>
  <c r="G13" i="2"/>
  <c r="F13" i="2"/>
  <c r="E13" i="2"/>
  <c r="G12" i="2"/>
  <c r="F12" i="2"/>
  <c r="E12" i="2"/>
  <c r="G11" i="2"/>
  <c r="F11" i="2"/>
  <c r="E11" i="2"/>
  <c r="G10" i="2"/>
  <c r="F10" i="2"/>
  <c r="E10" i="2"/>
  <c r="G9" i="2"/>
  <c r="F9" i="2"/>
  <c r="E9" i="2"/>
  <c r="G8" i="2"/>
  <c r="F8" i="2"/>
  <c r="E8" i="2"/>
  <c r="G7" i="2"/>
  <c r="F7" i="2"/>
  <c r="E7" i="2"/>
  <c r="G6" i="2"/>
  <c r="F6" i="2"/>
  <c r="E6" i="2"/>
  <c r="G5" i="2"/>
  <c r="F5" i="2"/>
  <c r="E5" i="2"/>
  <c r="G4" i="2"/>
  <c r="F4" i="2"/>
  <c r="E4" i="2"/>
  <c r="G3" i="2"/>
  <c r="F3" i="2"/>
  <c r="E3" i="2"/>
  <c r="G2" i="2"/>
  <c r="F2" i="2"/>
  <c r="E2" i="2"/>
  <c r="R3588" i="1"/>
  <c r="P3588" i="1"/>
  <c r="O3588" i="1"/>
  <c r="R3587" i="1"/>
  <c r="P3587" i="1"/>
  <c r="O3587" i="1"/>
  <c r="R3586" i="1"/>
  <c r="P3586" i="1"/>
  <c r="O3586" i="1"/>
  <c r="R3585" i="1"/>
  <c r="P3585" i="1"/>
  <c r="O3585" i="1"/>
  <c r="R3584" i="1"/>
  <c r="P3584" i="1"/>
  <c r="O3584" i="1"/>
  <c r="R3583" i="1"/>
  <c r="P3583" i="1"/>
  <c r="O3583" i="1"/>
  <c r="R3582" i="1"/>
  <c r="P3582" i="1"/>
  <c r="O3582" i="1"/>
  <c r="R3581" i="1"/>
  <c r="P3581" i="1"/>
  <c r="O3581" i="1"/>
  <c r="R3580" i="1"/>
  <c r="P3580" i="1"/>
  <c r="O3580" i="1"/>
  <c r="R3579" i="1"/>
  <c r="P3579" i="1"/>
  <c r="O3579" i="1"/>
  <c r="R3578" i="1"/>
  <c r="P3578" i="1"/>
  <c r="O3578" i="1"/>
  <c r="R3577" i="1"/>
  <c r="P3577" i="1"/>
  <c r="O3577" i="1"/>
  <c r="R3576" i="1"/>
  <c r="P3576" i="1"/>
  <c r="O3576" i="1"/>
  <c r="R3575" i="1"/>
  <c r="P3575" i="1"/>
  <c r="O3575" i="1"/>
  <c r="R3574" i="1"/>
  <c r="P3574" i="1"/>
  <c r="O3574" i="1"/>
  <c r="R3573" i="1"/>
  <c r="P3573" i="1"/>
  <c r="O3573" i="1"/>
  <c r="R3572" i="1"/>
  <c r="P3572" i="1"/>
  <c r="O3572" i="1"/>
  <c r="R3571" i="1"/>
  <c r="P3571" i="1"/>
  <c r="O3571" i="1"/>
  <c r="R3570" i="1"/>
  <c r="P3570" i="1"/>
  <c r="O3570" i="1"/>
  <c r="R3569" i="1"/>
  <c r="P3569" i="1"/>
  <c r="O3569" i="1"/>
  <c r="R3568" i="1"/>
  <c r="P3568" i="1"/>
  <c r="O3568" i="1"/>
  <c r="R3567" i="1"/>
  <c r="P3567" i="1"/>
  <c r="O3567" i="1"/>
  <c r="R3566" i="1"/>
  <c r="P3566" i="1"/>
  <c r="O3566" i="1"/>
  <c r="R3565" i="1"/>
  <c r="P3565" i="1"/>
  <c r="O3565" i="1"/>
  <c r="R3564" i="1"/>
  <c r="P3564" i="1"/>
  <c r="O3564" i="1"/>
  <c r="R3563" i="1"/>
  <c r="P3563" i="1"/>
  <c r="O3563" i="1"/>
  <c r="R3562" i="1"/>
  <c r="P3562" i="1"/>
  <c r="O3562" i="1"/>
  <c r="R3561" i="1"/>
  <c r="P3561" i="1"/>
  <c r="O3561" i="1"/>
  <c r="R3560" i="1"/>
  <c r="P3560" i="1"/>
  <c r="O3560" i="1"/>
  <c r="R3559" i="1"/>
  <c r="P3559" i="1"/>
  <c r="O3559" i="1"/>
  <c r="R3558" i="1"/>
  <c r="P3558" i="1"/>
  <c r="O3558" i="1"/>
  <c r="R3557" i="1"/>
  <c r="P3557" i="1"/>
  <c r="O3557" i="1"/>
  <c r="R3556" i="1"/>
  <c r="P3556" i="1"/>
  <c r="O3556" i="1"/>
  <c r="R3555" i="1"/>
  <c r="P3555" i="1"/>
  <c r="O3555" i="1"/>
  <c r="R3554" i="1"/>
  <c r="P3554" i="1"/>
  <c r="O3554" i="1"/>
  <c r="R3553" i="1"/>
  <c r="P3553" i="1"/>
  <c r="O3553" i="1"/>
  <c r="R3552" i="1"/>
  <c r="P3552" i="1"/>
  <c r="O3552" i="1"/>
  <c r="R3551" i="1"/>
  <c r="P3551" i="1"/>
  <c r="O3551" i="1"/>
  <c r="R3550" i="1"/>
  <c r="P3550" i="1"/>
  <c r="O3550" i="1"/>
  <c r="R3549" i="1"/>
  <c r="P3549" i="1"/>
  <c r="O3549" i="1"/>
  <c r="R3548" i="1"/>
  <c r="P3548" i="1"/>
  <c r="O3548" i="1"/>
  <c r="R3547" i="1"/>
  <c r="P3547" i="1"/>
  <c r="O3547" i="1"/>
  <c r="R3546" i="1"/>
  <c r="P3546" i="1"/>
  <c r="O3546" i="1"/>
  <c r="R3545" i="1"/>
  <c r="P3545" i="1"/>
  <c r="O3545" i="1"/>
  <c r="R3544" i="1"/>
  <c r="P3544" i="1"/>
  <c r="O3544" i="1"/>
  <c r="R3543" i="1"/>
  <c r="P3543" i="1"/>
  <c r="O3543" i="1"/>
  <c r="R3542" i="1"/>
  <c r="P3542" i="1"/>
  <c r="O3542" i="1"/>
  <c r="R3541" i="1"/>
  <c r="P3541" i="1"/>
  <c r="O3541" i="1"/>
  <c r="R3540" i="1"/>
  <c r="P3540" i="1"/>
  <c r="O3540" i="1"/>
  <c r="R3539" i="1"/>
  <c r="P3539" i="1"/>
  <c r="O3539" i="1"/>
  <c r="R3538" i="1"/>
  <c r="P3538" i="1"/>
  <c r="O3538" i="1"/>
  <c r="R3537" i="1"/>
  <c r="P3537" i="1"/>
  <c r="O3537" i="1"/>
  <c r="R3536" i="1"/>
  <c r="P3536" i="1"/>
  <c r="O3536" i="1"/>
  <c r="R3535" i="1"/>
  <c r="P3535" i="1"/>
  <c r="O3535" i="1"/>
  <c r="R3534" i="1"/>
  <c r="P3534" i="1"/>
  <c r="O3534" i="1"/>
  <c r="R3533" i="1"/>
  <c r="P3533" i="1"/>
  <c r="O3533" i="1"/>
  <c r="R3532" i="1"/>
  <c r="P3532" i="1"/>
  <c r="O3532" i="1"/>
  <c r="R3531" i="1"/>
  <c r="P3531" i="1"/>
  <c r="O3531" i="1"/>
  <c r="R3530" i="1"/>
  <c r="P3530" i="1"/>
  <c r="O3530" i="1"/>
  <c r="R3529" i="1"/>
  <c r="P3529" i="1"/>
  <c r="O3529" i="1"/>
  <c r="R3528" i="1"/>
  <c r="P3528" i="1"/>
  <c r="O3528" i="1"/>
  <c r="R3527" i="1"/>
  <c r="P3527" i="1"/>
  <c r="O3527" i="1"/>
  <c r="R3526" i="1"/>
  <c r="P3526" i="1"/>
  <c r="O3526" i="1"/>
  <c r="R3525" i="1"/>
  <c r="P3525" i="1"/>
  <c r="O3525" i="1"/>
  <c r="R3524" i="1"/>
  <c r="P3524" i="1"/>
  <c r="O3524" i="1"/>
  <c r="R3523" i="1"/>
  <c r="P3523" i="1"/>
  <c r="O3523" i="1"/>
  <c r="R3522" i="1"/>
  <c r="P3522" i="1"/>
  <c r="O3522" i="1"/>
  <c r="R3521" i="1"/>
  <c r="P3521" i="1"/>
  <c r="O3521" i="1"/>
  <c r="R3520" i="1"/>
  <c r="P3520" i="1"/>
  <c r="O3520" i="1"/>
  <c r="R3519" i="1"/>
  <c r="P3519" i="1"/>
  <c r="O3519" i="1"/>
  <c r="R3518" i="1"/>
  <c r="P3518" i="1"/>
  <c r="O3518" i="1"/>
  <c r="R3517" i="1"/>
  <c r="P3517" i="1"/>
  <c r="O3517" i="1"/>
  <c r="R3516" i="1"/>
  <c r="P3516" i="1"/>
  <c r="O3516" i="1"/>
  <c r="R3515" i="1"/>
  <c r="P3515" i="1"/>
  <c r="O3515" i="1"/>
  <c r="R3514" i="1"/>
  <c r="P3514" i="1"/>
  <c r="O3514" i="1"/>
  <c r="R3513" i="1"/>
  <c r="P3513" i="1"/>
  <c r="O3513" i="1"/>
  <c r="R3512" i="1"/>
  <c r="P3512" i="1"/>
  <c r="O3512" i="1"/>
  <c r="R3511" i="1"/>
  <c r="P3511" i="1"/>
  <c r="O3511" i="1"/>
  <c r="R3510" i="1"/>
  <c r="P3510" i="1"/>
  <c r="O3510" i="1"/>
  <c r="R3509" i="1"/>
  <c r="P3509" i="1"/>
  <c r="O3509" i="1"/>
  <c r="R3508" i="1"/>
  <c r="P3508" i="1"/>
  <c r="O3508" i="1"/>
  <c r="R3507" i="1"/>
  <c r="P3507" i="1"/>
  <c r="O3507" i="1"/>
  <c r="R3506" i="1"/>
  <c r="P3506" i="1"/>
  <c r="O3506" i="1"/>
  <c r="R3505" i="1"/>
  <c r="P3505" i="1"/>
  <c r="O3505" i="1"/>
  <c r="R3504" i="1"/>
  <c r="P3504" i="1"/>
  <c r="O3504" i="1"/>
  <c r="R3503" i="1"/>
  <c r="P3503" i="1"/>
  <c r="O3503" i="1"/>
  <c r="R3502" i="1"/>
  <c r="P3502" i="1"/>
  <c r="O3502" i="1"/>
  <c r="R3501" i="1"/>
  <c r="P3501" i="1"/>
  <c r="O3501" i="1"/>
  <c r="R3500" i="1"/>
  <c r="P3500" i="1"/>
  <c r="O3500" i="1"/>
  <c r="R3499" i="1"/>
  <c r="P3499" i="1"/>
  <c r="O3499" i="1"/>
  <c r="R3498" i="1"/>
  <c r="P3498" i="1"/>
  <c r="O3498" i="1"/>
  <c r="R3497" i="1"/>
  <c r="P3497" i="1"/>
  <c r="O3497" i="1"/>
  <c r="R3496" i="1"/>
  <c r="P3496" i="1"/>
  <c r="O3496" i="1"/>
  <c r="R3495" i="1"/>
  <c r="P3495" i="1"/>
  <c r="O3495" i="1"/>
  <c r="R3494" i="1"/>
  <c r="P3494" i="1"/>
  <c r="O3494" i="1"/>
  <c r="R3493" i="1"/>
  <c r="P3493" i="1"/>
  <c r="O3493" i="1"/>
  <c r="R3492" i="1"/>
  <c r="P3492" i="1"/>
  <c r="O3492" i="1"/>
  <c r="R3491" i="1"/>
  <c r="P3491" i="1"/>
  <c r="O3491" i="1"/>
  <c r="R3490" i="1"/>
  <c r="P3490" i="1"/>
  <c r="O3490" i="1"/>
  <c r="R3489" i="1"/>
  <c r="P3489" i="1"/>
  <c r="O3489" i="1"/>
  <c r="R3488" i="1"/>
  <c r="P3488" i="1"/>
  <c r="O3488" i="1"/>
  <c r="R3487" i="1"/>
  <c r="P3487" i="1"/>
  <c r="O3487" i="1"/>
  <c r="R3486" i="1"/>
  <c r="P3486" i="1"/>
  <c r="O3486" i="1"/>
  <c r="R3485" i="1"/>
  <c r="P3485" i="1"/>
  <c r="O3485" i="1"/>
  <c r="R3484" i="1"/>
  <c r="P3484" i="1"/>
  <c r="O3484" i="1"/>
  <c r="R3483" i="1"/>
  <c r="P3483" i="1"/>
  <c r="O3483" i="1"/>
  <c r="R3482" i="1"/>
  <c r="P3482" i="1"/>
  <c r="O3482" i="1"/>
  <c r="R3481" i="1"/>
  <c r="P3481" i="1"/>
  <c r="O3481" i="1"/>
  <c r="R3480" i="1"/>
  <c r="P3480" i="1"/>
  <c r="O3480" i="1"/>
  <c r="R3479" i="1"/>
  <c r="P3479" i="1"/>
  <c r="O3479" i="1"/>
  <c r="R3478" i="1"/>
  <c r="P3478" i="1"/>
  <c r="O3478" i="1"/>
  <c r="R3477" i="1"/>
  <c r="P3477" i="1"/>
  <c r="O3477" i="1"/>
  <c r="R3476" i="1"/>
  <c r="P3476" i="1"/>
  <c r="O3476" i="1"/>
  <c r="R3475" i="1"/>
  <c r="P3475" i="1"/>
  <c r="O3475" i="1"/>
  <c r="R3474" i="1"/>
  <c r="P3474" i="1"/>
  <c r="O3474" i="1"/>
  <c r="R3473" i="1"/>
  <c r="P3473" i="1"/>
  <c r="O3473" i="1"/>
  <c r="R3472" i="1"/>
  <c r="P3472" i="1"/>
  <c r="O3472" i="1"/>
  <c r="R3471" i="1"/>
  <c r="P3471" i="1"/>
  <c r="O3471" i="1"/>
  <c r="R3470" i="1"/>
  <c r="P3470" i="1"/>
  <c r="O3470" i="1"/>
  <c r="R3469" i="1"/>
  <c r="P3469" i="1"/>
  <c r="O3469" i="1"/>
  <c r="R3468" i="1"/>
  <c r="P3468" i="1"/>
  <c r="O3468" i="1"/>
  <c r="R3467" i="1"/>
  <c r="P3467" i="1"/>
  <c r="O3467" i="1"/>
  <c r="R3466" i="1"/>
  <c r="P3466" i="1"/>
  <c r="O3466" i="1"/>
  <c r="R3465" i="1"/>
  <c r="P3465" i="1"/>
  <c r="O3465" i="1"/>
  <c r="R3464" i="1"/>
  <c r="P3464" i="1"/>
  <c r="O3464" i="1"/>
  <c r="R3463" i="1"/>
  <c r="P3463" i="1"/>
  <c r="O3463" i="1"/>
  <c r="R3462" i="1"/>
  <c r="P3462" i="1"/>
  <c r="O3462" i="1"/>
  <c r="R3461" i="1"/>
  <c r="P3461" i="1"/>
  <c r="O3461" i="1"/>
  <c r="R3460" i="1"/>
  <c r="P3460" i="1"/>
  <c r="O3460" i="1"/>
  <c r="R3459" i="1"/>
  <c r="P3459" i="1"/>
  <c r="O3459" i="1"/>
  <c r="R3458" i="1"/>
  <c r="P3458" i="1"/>
  <c r="O3458" i="1"/>
  <c r="R3457" i="1"/>
  <c r="P3457" i="1"/>
  <c r="O3457" i="1"/>
  <c r="R3456" i="1"/>
  <c r="P3456" i="1"/>
  <c r="O3456" i="1"/>
  <c r="R3455" i="1"/>
  <c r="P3455" i="1"/>
  <c r="O3455" i="1"/>
  <c r="R3454" i="1"/>
  <c r="P3454" i="1"/>
  <c r="O3454" i="1"/>
  <c r="R3453" i="1"/>
  <c r="P3453" i="1"/>
  <c r="O3453" i="1"/>
  <c r="R3452" i="1"/>
  <c r="P3452" i="1"/>
  <c r="O3452" i="1"/>
  <c r="R3451" i="1"/>
  <c r="P3451" i="1"/>
  <c r="O3451" i="1"/>
  <c r="R3450" i="1"/>
  <c r="P3450" i="1"/>
  <c r="O3450" i="1"/>
  <c r="R3449" i="1"/>
  <c r="P3449" i="1"/>
  <c r="O3449" i="1"/>
  <c r="R3448" i="1"/>
  <c r="P3448" i="1"/>
  <c r="O3448" i="1"/>
  <c r="R3447" i="1"/>
  <c r="P3447" i="1"/>
  <c r="O3447" i="1"/>
  <c r="R3446" i="1"/>
  <c r="P3446" i="1"/>
  <c r="O3446" i="1"/>
  <c r="R3445" i="1"/>
  <c r="P3445" i="1"/>
  <c r="O3445" i="1"/>
  <c r="R3444" i="1"/>
  <c r="P3444" i="1"/>
  <c r="O3444" i="1"/>
  <c r="R3443" i="1"/>
  <c r="P3443" i="1"/>
  <c r="O3443" i="1"/>
  <c r="R3442" i="1"/>
  <c r="P3442" i="1"/>
  <c r="O3442" i="1"/>
  <c r="R3441" i="1"/>
  <c r="P3441" i="1"/>
  <c r="O3441" i="1"/>
  <c r="R3440" i="1"/>
  <c r="P3440" i="1"/>
  <c r="O3440" i="1"/>
  <c r="R3439" i="1"/>
  <c r="P3439" i="1"/>
  <c r="O3439" i="1"/>
  <c r="R3438" i="1"/>
  <c r="P3438" i="1"/>
  <c r="O3438" i="1"/>
  <c r="R3437" i="1"/>
  <c r="P3437" i="1"/>
  <c r="O3437" i="1"/>
  <c r="R3436" i="1"/>
  <c r="P3436" i="1"/>
  <c r="O3436" i="1"/>
  <c r="R3435" i="1"/>
  <c r="P3435" i="1"/>
  <c r="O3435" i="1"/>
  <c r="R3434" i="1"/>
  <c r="P3434" i="1"/>
  <c r="O3434" i="1"/>
  <c r="R3433" i="1"/>
  <c r="P3433" i="1"/>
  <c r="O3433" i="1"/>
  <c r="R3432" i="1"/>
  <c r="P3432" i="1"/>
  <c r="O3432" i="1"/>
  <c r="R3431" i="1"/>
  <c r="P3431" i="1"/>
  <c r="O3431" i="1"/>
  <c r="R3430" i="1"/>
  <c r="P3430" i="1"/>
  <c r="O3430" i="1"/>
  <c r="R3429" i="1"/>
  <c r="P3429" i="1"/>
  <c r="O3429" i="1"/>
  <c r="R3428" i="1"/>
  <c r="P3428" i="1"/>
  <c r="O3428" i="1"/>
  <c r="R3427" i="1"/>
  <c r="P3427" i="1"/>
  <c r="O3427" i="1"/>
  <c r="R3426" i="1"/>
  <c r="P3426" i="1"/>
  <c r="O3426" i="1"/>
  <c r="R3425" i="1"/>
  <c r="P3425" i="1"/>
  <c r="O3425" i="1"/>
  <c r="R3424" i="1"/>
  <c r="P3424" i="1"/>
  <c r="O3424" i="1"/>
  <c r="R3423" i="1"/>
  <c r="P3423" i="1"/>
  <c r="O3423" i="1"/>
  <c r="R3422" i="1"/>
  <c r="P3422" i="1"/>
  <c r="O3422" i="1"/>
  <c r="R3421" i="1"/>
  <c r="P3421" i="1"/>
  <c r="O3421" i="1"/>
  <c r="R3420" i="1"/>
  <c r="P3420" i="1"/>
  <c r="O3420" i="1"/>
  <c r="R3419" i="1"/>
  <c r="P3419" i="1"/>
  <c r="O3419" i="1"/>
  <c r="R3418" i="1"/>
  <c r="P3418" i="1"/>
  <c r="O3418" i="1"/>
  <c r="R3417" i="1"/>
  <c r="P3417" i="1"/>
  <c r="O3417" i="1"/>
  <c r="R3416" i="1"/>
  <c r="P3416" i="1"/>
  <c r="O3416" i="1"/>
  <c r="R3415" i="1"/>
  <c r="P3415" i="1"/>
  <c r="O3415" i="1"/>
  <c r="R3414" i="1"/>
  <c r="P3414" i="1"/>
  <c r="O3414" i="1"/>
  <c r="R3413" i="1"/>
  <c r="P3413" i="1"/>
  <c r="O3413" i="1"/>
  <c r="R3412" i="1"/>
  <c r="P3412" i="1"/>
  <c r="O3412" i="1"/>
  <c r="R3411" i="1"/>
  <c r="P3411" i="1"/>
  <c r="O3411" i="1"/>
  <c r="R3410" i="1"/>
  <c r="P3410" i="1"/>
  <c r="O3410" i="1"/>
  <c r="R3409" i="1"/>
  <c r="P3409" i="1"/>
  <c r="O3409" i="1"/>
  <c r="R3408" i="1"/>
  <c r="P3408" i="1"/>
  <c r="O3408" i="1"/>
  <c r="R3407" i="1"/>
  <c r="P3407" i="1"/>
  <c r="O3407" i="1"/>
  <c r="R3406" i="1"/>
  <c r="P3406" i="1"/>
  <c r="O3406" i="1"/>
  <c r="R3405" i="1"/>
  <c r="P3405" i="1"/>
  <c r="O3405" i="1"/>
  <c r="R3404" i="1"/>
  <c r="P3404" i="1"/>
  <c r="O3404" i="1"/>
  <c r="R3403" i="1"/>
  <c r="P3403" i="1"/>
  <c r="O3403" i="1"/>
  <c r="R3402" i="1"/>
  <c r="P3402" i="1"/>
  <c r="O3402" i="1"/>
  <c r="R3401" i="1"/>
  <c r="P3401" i="1"/>
  <c r="O3401" i="1"/>
  <c r="R3400" i="1"/>
  <c r="P3400" i="1"/>
  <c r="O3400" i="1"/>
  <c r="R3399" i="1"/>
  <c r="P3399" i="1"/>
  <c r="O3399" i="1"/>
  <c r="R3398" i="1"/>
  <c r="P3398" i="1"/>
  <c r="O3398" i="1"/>
  <c r="R3397" i="1"/>
  <c r="P3397" i="1"/>
  <c r="O3397" i="1"/>
  <c r="R3396" i="1"/>
  <c r="P3396" i="1"/>
  <c r="O3396" i="1"/>
  <c r="R3395" i="1"/>
  <c r="P3395" i="1"/>
  <c r="O3395" i="1"/>
  <c r="R3394" i="1"/>
  <c r="P3394" i="1"/>
  <c r="O3394" i="1"/>
  <c r="R3393" i="1"/>
  <c r="P3393" i="1"/>
  <c r="O3393" i="1"/>
  <c r="R3392" i="1"/>
  <c r="P3392" i="1"/>
  <c r="O3392" i="1"/>
  <c r="R3391" i="1"/>
  <c r="P3391" i="1"/>
  <c r="O3391" i="1"/>
  <c r="R3390" i="1"/>
  <c r="P3390" i="1"/>
  <c r="O3390" i="1"/>
  <c r="R3389" i="1"/>
  <c r="P3389" i="1"/>
  <c r="O3389" i="1"/>
  <c r="R3388" i="1"/>
  <c r="P3388" i="1"/>
  <c r="O3388" i="1"/>
  <c r="R3387" i="1"/>
  <c r="P3387" i="1"/>
  <c r="O3387" i="1"/>
  <c r="R3386" i="1"/>
  <c r="P3386" i="1"/>
  <c r="O3386" i="1"/>
  <c r="R3385" i="1"/>
  <c r="P3385" i="1"/>
  <c r="O3385" i="1"/>
  <c r="R3384" i="1"/>
  <c r="P3384" i="1"/>
  <c r="O3384" i="1"/>
  <c r="R3383" i="1"/>
  <c r="P3383" i="1"/>
  <c r="O3383" i="1"/>
  <c r="R3382" i="1"/>
  <c r="P3382" i="1"/>
  <c r="O3382" i="1"/>
  <c r="R3381" i="1"/>
  <c r="P3381" i="1"/>
  <c r="O3381" i="1"/>
  <c r="R3380" i="1"/>
  <c r="P3380" i="1"/>
  <c r="O3380" i="1"/>
  <c r="R3379" i="1"/>
  <c r="P3379" i="1"/>
  <c r="O3379" i="1"/>
  <c r="R3378" i="1"/>
  <c r="P3378" i="1"/>
  <c r="O3378" i="1"/>
  <c r="R3377" i="1"/>
  <c r="P3377" i="1"/>
  <c r="O3377" i="1"/>
  <c r="R3376" i="1"/>
  <c r="P3376" i="1"/>
  <c r="O3376" i="1"/>
  <c r="R3375" i="1"/>
  <c r="P3375" i="1"/>
  <c r="O3375" i="1"/>
  <c r="R3374" i="1"/>
  <c r="P3374" i="1"/>
  <c r="O3374" i="1"/>
  <c r="R3373" i="1"/>
  <c r="P3373" i="1"/>
  <c r="O3373" i="1"/>
  <c r="R3372" i="1"/>
  <c r="P3372" i="1"/>
  <c r="O3372" i="1"/>
  <c r="R3371" i="1"/>
  <c r="P3371" i="1"/>
  <c r="O3371" i="1"/>
  <c r="R3370" i="1"/>
  <c r="P3370" i="1"/>
  <c r="O3370" i="1"/>
  <c r="R3369" i="1"/>
  <c r="P3369" i="1"/>
  <c r="O3369" i="1"/>
  <c r="R3368" i="1"/>
  <c r="P3368" i="1"/>
  <c r="O3368" i="1"/>
  <c r="R3367" i="1"/>
  <c r="P3367" i="1"/>
  <c r="O3367" i="1"/>
  <c r="R3366" i="1"/>
  <c r="P3366" i="1"/>
  <c r="O3366" i="1"/>
  <c r="R3365" i="1"/>
  <c r="P3365" i="1"/>
  <c r="O3365" i="1"/>
  <c r="R3364" i="1"/>
  <c r="P3364" i="1"/>
  <c r="O3364" i="1"/>
  <c r="R3363" i="1"/>
  <c r="P3363" i="1"/>
  <c r="O3363" i="1"/>
  <c r="R3362" i="1"/>
  <c r="P3362" i="1"/>
  <c r="O3362" i="1"/>
  <c r="R3361" i="1"/>
  <c r="P3361" i="1"/>
  <c r="O3361" i="1"/>
  <c r="R3360" i="1"/>
  <c r="P3360" i="1"/>
  <c r="O3360" i="1"/>
  <c r="R3359" i="1"/>
  <c r="P3359" i="1"/>
  <c r="O3359" i="1"/>
  <c r="R3358" i="1"/>
  <c r="P3358" i="1"/>
  <c r="O3358" i="1"/>
  <c r="R3357" i="1"/>
  <c r="P3357" i="1"/>
  <c r="O3357" i="1"/>
  <c r="R3356" i="1"/>
  <c r="P3356" i="1"/>
  <c r="O3356" i="1"/>
  <c r="R3355" i="1"/>
  <c r="P3355" i="1"/>
  <c r="O3355" i="1"/>
  <c r="R3354" i="1"/>
  <c r="P3354" i="1"/>
  <c r="O3354" i="1"/>
  <c r="R3353" i="1"/>
  <c r="P3353" i="1"/>
  <c r="O3353" i="1"/>
  <c r="R3352" i="1"/>
  <c r="P3352" i="1"/>
  <c r="O3352" i="1"/>
  <c r="R3351" i="1"/>
  <c r="P3351" i="1"/>
  <c r="O3351" i="1"/>
  <c r="R3350" i="1"/>
  <c r="P3350" i="1"/>
  <c r="O3350" i="1"/>
  <c r="R3349" i="1"/>
  <c r="P3349" i="1"/>
  <c r="O3349" i="1"/>
  <c r="R3348" i="1"/>
  <c r="P3348" i="1"/>
  <c r="O3348" i="1"/>
  <c r="R3347" i="1"/>
  <c r="P3347" i="1"/>
  <c r="O3347" i="1"/>
  <c r="R3346" i="1"/>
  <c r="P3346" i="1"/>
  <c r="O3346" i="1"/>
  <c r="R3345" i="1"/>
  <c r="P3345" i="1"/>
  <c r="O3345" i="1"/>
  <c r="R3344" i="1"/>
  <c r="P3344" i="1"/>
  <c r="O3344" i="1"/>
  <c r="R3343" i="1"/>
  <c r="P3343" i="1"/>
  <c r="O3343" i="1"/>
  <c r="R3342" i="1"/>
  <c r="P3342" i="1"/>
  <c r="O3342" i="1"/>
  <c r="R3341" i="1"/>
  <c r="P3341" i="1"/>
  <c r="O3341" i="1"/>
  <c r="R3340" i="1"/>
  <c r="P3340" i="1"/>
  <c r="O3340" i="1"/>
  <c r="R3339" i="1"/>
  <c r="P3339" i="1"/>
  <c r="O3339" i="1"/>
  <c r="R3338" i="1"/>
  <c r="P3338" i="1"/>
  <c r="O3338" i="1"/>
  <c r="R3337" i="1"/>
  <c r="P3337" i="1"/>
  <c r="O3337" i="1"/>
  <c r="R3336" i="1"/>
  <c r="P3336" i="1"/>
  <c r="O3336" i="1"/>
  <c r="R3335" i="1"/>
  <c r="P3335" i="1"/>
  <c r="O3335" i="1"/>
  <c r="R3334" i="1"/>
  <c r="P3334" i="1"/>
  <c r="O3334" i="1"/>
  <c r="R3333" i="1"/>
  <c r="P3333" i="1"/>
  <c r="O3333" i="1"/>
  <c r="R3332" i="1"/>
  <c r="P3332" i="1"/>
  <c r="O3332" i="1"/>
  <c r="R3331" i="1"/>
  <c r="P3331" i="1"/>
  <c r="O3331" i="1"/>
  <c r="R3330" i="1"/>
  <c r="P3330" i="1"/>
  <c r="O3330" i="1"/>
  <c r="R3329" i="1"/>
  <c r="P3329" i="1"/>
  <c r="O3329" i="1"/>
  <c r="R3328" i="1"/>
  <c r="P3328" i="1"/>
  <c r="O3328" i="1"/>
  <c r="R3327" i="1"/>
  <c r="P3327" i="1"/>
  <c r="O3327" i="1"/>
  <c r="R3326" i="1"/>
  <c r="P3326" i="1"/>
  <c r="O3326" i="1"/>
  <c r="R3325" i="1"/>
  <c r="P3325" i="1"/>
  <c r="O3325" i="1"/>
  <c r="R3324" i="1"/>
  <c r="P3324" i="1"/>
  <c r="O3324" i="1"/>
  <c r="R3323" i="1"/>
  <c r="P3323" i="1"/>
  <c r="O3323" i="1"/>
  <c r="R3322" i="1"/>
  <c r="P3322" i="1"/>
  <c r="O3322" i="1"/>
  <c r="R3321" i="1"/>
  <c r="P3321" i="1"/>
  <c r="O3321" i="1"/>
  <c r="R3320" i="1"/>
  <c r="P3320" i="1"/>
  <c r="O3320" i="1"/>
  <c r="R3319" i="1"/>
  <c r="P3319" i="1"/>
  <c r="O3319" i="1"/>
  <c r="R3318" i="1"/>
  <c r="P3318" i="1"/>
  <c r="O3318" i="1"/>
  <c r="R3317" i="1"/>
  <c r="P3317" i="1"/>
  <c r="O3317" i="1"/>
  <c r="R3316" i="1"/>
  <c r="P3316" i="1"/>
  <c r="O3316" i="1"/>
  <c r="R3315" i="1"/>
  <c r="P3315" i="1"/>
  <c r="O3315" i="1"/>
  <c r="R3314" i="1"/>
  <c r="P3314" i="1"/>
  <c r="O3314" i="1"/>
  <c r="R3313" i="1"/>
  <c r="P3313" i="1"/>
  <c r="O3313" i="1"/>
  <c r="R3312" i="1"/>
  <c r="P3312" i="1"/>
  <c r="O3312" i="1"/>
  <c r="R3311" i="1"/>
  <c r="P3311" i="1"/>
  <c r="O3311" i="1"/>
  <c r="R3310" i="1"/>
  <c r="P3310" i="1"/>
  <c r="O3310" i="1"/>
  <c r="R3309" i="1"/>
  <c r="P3309" i="1"/>
  <c r="O3309" i="1"/>
  <c r="R3308" i="1"/>
  <c r="P3308" i="1"/>
  <c r="O3308" i="1"/>
  <c r="R3307" i="1"/>
  <c r="P3307" i="1"/>
  <c r="O3307" i="1"/>
  <c r="R3306" i="1"/>
  <c r="P3306" i="1"/>
  <c r="O3306" i="1"/>
  <c r="R3305" i="1"/>
  <c r="P3305" i="1"/>
  <c r="O3305" i="1"/>
  <c r="R3304" i="1"/>
  <c r="P3304" i="1"/>
  <c r="O3304" i="1"/>
  <c r="R3303" i="1"/>
  <c r="P3303" i="1"/>
  <c r="O3303" i="1"/>
  <c r="R3302" i="1"/>
  <c r="P3302" i="1"/>
  <c r="O3302" i="1"/>
  <c r="R3301" i="1"/>
  <c r="P3301" i="1"/>
  <c r="O3301" i="1"/>
  <c r="R3300" i="1"/>
  <c r="P3300" i="1"/>
  <c r="O3300" i="1"/>
  <c r="R3299" i="1"/>
  <c r="P3299" i="1"/>
  <c r="O3299" i="1"/>
  <c r="R3298" i="1"/>
  <c r="P3298" i="1"/>
  <c r="O3298" i="1"/>
  <c r="R3297" i="1"/>
  <c r="P3297" i="1"/>
  <c r="O3297" i="1"/>
  <c r="R3296" i="1"/>
  <c r="P3296" i="1"/>
  <c r="O3296" i="1"/>
  <c r="R3295" i="1"/>
  <c r="P3295" i="1"/>
  <c r="O3295" i="1"/>
  <c r="R3294" i="1"/>
  <c r="P3294" i="1"/>
  <c r="O3294" i="1"/>
  <c r="R3293" i="1"/>
  <c r="P3293" i="1"/>
  <c r="O3293" i="1"/>
  <c r="R3292" i="1"/>
  <c r="P3292" i="1"/>
  <c r="O3292" i="1"/>
  <c r="R3291" i="1"/>
  <c r="P3291" i="1"/>
  <c r="O3291" i="1"/>
  <c r="R3290" i="1"/>
  <c r="P3290" i="1"/>
  <c r="O3290" i="1"/>
  <c r="R3289" i="1"/>
  <c r="P3289" i="1"/>
  <c r="O3289" i="1"/>
  <c r="R3288" i="1"/>
  <c r="P3288" i="1"/>
  <c r="O3288" i="1"/>
  <c r="R3287" i="1"/>
  <c r="P3287" i="1"/>
  <c r="O3287" i="1"/>
  <c r="R3286" i="1"/>
  <c r="P3286" i="1"/>
  <c r="O3286" i="1"/>
  <c r="R3285" i="1"/>
  <c r="P3285" i="1"/>
  <c r="O3285" i="1"/>
  <c r="R3284" i="1"/>
  <c r="P3284" i="1"/>
  <c r="O3284" i="1"/>
  <c r="R3283" i="1"/>
  <c r="P3283" i="1"/>
  <c r="O3283" i="1"/>
  <c r="R3282" i="1"/>
  <c r="P3282" i="1"/>
  <c r="O3282" i="1"/>
  <c r="R3281" i="1"/>
  <c r="P3281" i="1"/>
  <c r="O3281" i="1"/>
  <c r="R3280" i="1"/>
  <c r="P3280" i="1"/>
  <c r="O3280" i="1"/>
  <c r="R3279" i="1"/>
  <c r="P3279" i="1"/>
  <c r="O3279" i="1"/>
  <c r="R3278" i="1"/>
  <c r="P3278" i="1"/>
  <c r="O3278" i="1"/>
  <c r="R3277" i="1"/>
  <c r="P3277" i="1"/>
  <c r="O3277" i="1"/>
  <c r="R3276" i="1"/>
  <c r="P3276" i="1"/>
  <c r="O3276" i="1"/>
  <c r="R3275" i="1"/>
  <c r="P3275" i="1"/>
  <c r="O3275" i="1"/>
  <c r="R3274" i="1"/>
  <c r="P3274" i="1"/>
  <c r="O3274" i="1"/>
  <c r="R3273" i="1"/>
  <c r="P3273" i="1"/>
  <c r="O3273" i="1"/>
  <c r="R3272" i="1"/>
  <c r="P3272" i="1"/>
  <c r="O3272" i="1"/>
  <c r="R3271" i="1"/>
  <c r="P3271" i="1"/>
  <c r="O3271" i="1"/>
  <c r="R3270" i="1"/>
  <c r="P3270" i="1"/>
  <c r="O3270" i="1"/>
  <c r="R3269" i="1"/>
  <c r="P3269" i="1"/>
  <c r="O3269" i="1"/>
  <c r="R3268" i="1"/>
  <c r="P3268" i="1"/>
  <c r="O3268" i="1"/>
  <c r="R3267" i="1"/>
  <c r="P3267" i="1"/>
  <c r="O3267" i="1"/>
  <c r="R3266" i="1"/>
  <c r="P3266" i="1"/>
  <c r="O3266" i="1"/>
  <c r="R3265" i="1"/>
  <c r="P3265" i="1"/>
  <c r="O3265" i="1"/>
  <c r="R3264" i="1"/>
  <c r="P3264" i="1"/>
  <c r="O3264" i="1"/>
  <c r="R3263" i="1"/>
  <c r="P3263" i="1"/>
  <c r="O3263" i="1"/>
  <c r="R3262" i="1"/>
  <c r="P3262" i="1"/>
  <c r="O3262" i="1"/>
  <c r="R3261" i="1"/>
  <c r="P3261" i="1"/>
  <c r="O3261" i="1"/>
  <c r="R3260" i="1"/>
  <c r="P3260" i="1"/>
  <c r="O3260" i="1"/>
  <c r="R3259" i="1"/>
  <c r="P3259" i="1"/>
  <c r="O3259" i="1"/>
  <c r="R3258" i="1"/>
  <c r="P3258" i="1"/>
  <c r="O3258" i="1"/>
  <c r="R3257" i="1"/>
  <c r="P3257" i="1"/>
  <c r="O3257" i="1"/>
  <c r="R3256" i="1"/>
  <c r="P3256" i="1"/>
  <c r="O3256" i="1"/>
  <c r="R3255" i="1"/>
  <c r="P3255" i="1"/>
  <c r="O3255" i="1"/>
  <c r="R3254" i="1"/>
  <c r="P3254" i="1"/>
  <c r="O3254" i="1"/>
  <c r="R3253" i="1"/>
  <c r="P3253" i="1"/>
  <c r="O3253" i="1"/>
  <c r="R3252" i="1"/>
  <c r="P3252" i="1"/>
  <c r="O3252" i="1"/>
  <c r="R3251" i="1"/>
  <c r="P3251" i="1"/>
  <c r="O3251" i="1"/>
  <c r="R3250" i="1"/>
  <c r="P3250" i="1"/>
  <c r="O3250" i="1"/>
  <c r="R3249" i="1"/>
  <c r="P3249" i="1"/>
  <c r="O3249" i="1"/>
  <c r="R3248" i="1"/>
  <c r="P3248" i="1"/>
  <c r="O3248" i="1"/>
  <c r="R3247" i="1"/>
  <c r="P3247" i="1"/>
  <c r="O3247" i="1"/>
  <c r="R3246" i="1"/>
  <c r="P3246" i="1"/>
  <c r="O3246" i="1"/>
  <c r="R3245" i="1"/>
  <c r="P3245" i="1"/>
  <c r="O3245" i="1"/>
  <c r="R3244" i="1"/>
  <c r="P3244" i="1"/>
  <c r="O3244" i="1"/>
  <c r="R3243" i="1"/>
  <c r="P3243" i="1"/>
  <c r="O3243" i="1"/>
  <c r="R3242" i="1"/>
  <c r="P3242" i="1"/>
  <c r="O3242" i="1"/>
  <c r="R3241" i="1"/>
  <c r="P3241" i="1"/>
  <c r="O3241" i="1"/>
  <c r="R3240" i="1"/>
  <c r="P3240" i="1"/>
  <c r="O3240" i="1"/>
  <c r="R3239" i="1"/>
  <c r="P3239" i="1"/>
  <c r="O3239" i="1"/>
  <c r="R3238" i="1"/>
  <c r="P3238" i="1"/>
  <c r="O3238" i="1"/>
  <c r="R3237" i="1"/>
  <c r="P3237" i="1"/>
  <c r="O3237" i="1"/>
  <c r="R3236" i="1"/>
  <c r="P3236" i="1"/>
  <c r="O3236" i="1"/>
  <c r="R3235" i="1"/>
  <c r="P3235" i="1"/>
  <c r="O3235" i="1"/>
  <c r="R3234" i="1"/>
  <c r="P3234" i="1"/>
  <c r="O3234" i="1"/>
  <c r="R3233" i="1"/>
  <c r="P3233" i="1"/>
  <c r="O3233" i="1"/>
  <c r="R3232" i="1"/>
  <c r="P3232" i="1"/>
  <c r="O3232" i="1"/>
  <c r="R3231" i="1"/>
  <c r="P3231" i="1"/>
  <c r="O3231" i="1"/>
  <c r="R3230" i="1"/>
  <c r="P3230" i="1"/>
  <c r="O3230" i="1"/>
  <c r="R3229" i="1"/>
  <c r="P3229" i="1"/>
  <c r="O3229" i="1"/>
  <c r="R3228" i="1"/>
  <c r="P3228" i="1"/>
  <c r="O3228" i="1"/>
  <c r="R3227" i="1"/>
  <c r="P3227" i="1"/>
  <c r="O3227" i="1"/>
  <c r="R3226" i="1"/>
  <c r="P3226" i="1"/>
  <c r="O3226" i="1"/>
  <c r="R3225" i="1"/>
  <c r="P3225" i="1"/>
  <c r="O3225" i="1"/>
  <c r="R3224" i="1"/>
  <c r="P3224" i="1"/>
  <c r="O3224" i="1"/>
  <c r="R3223" i="1"/>
  <c r="P3223" i="1"/>
  <c r="O3223" i="1"/>
  <c r="R3222" i="1"/>
  <c r="P3222" i="1"/>
  <c r="O3222" i="1"/>
  <c r="R3221" i="1"/>
  <c r="P3221" i="1"/>
  <c r="O3221" i="1"/>
  <c r="R3220" i="1"/>
  <c r="P3220" i="1"/>
  <c r="O3220" i="1"/>
  <c r="R3219" i="1"/>
  <c r="P3219" i="1"/>
  <c r="O3219" i="1"/>
  <c r="R3218" i="1"/>
  <c r="P3218" i="1"/>
  <c r="O3218" i="1"/>
  <c r="R3217" i="1"/>
  <c r="P3217" i="1"/>
  <c r="O3217" i="1"/>
  <c r="R3216" i="1"/>
  <c r="P3216" i="1"/>
  <c r="O3216" i="1"/>
  <c r="R3215" i="1"/>
  <c r="P3215" i="1"/>
  <c r="O3215" i="1"/>
  <c r="R3214" i="1"/>
  <c r="P3214" i="1"/>
  <c r="O3214" i="1"/>
  <c r="R3213" i="1"/>
  <c r="P3213" i="1"/>
  <c r="O3213" i="1"/>
  <c r="R3212" i="1"/>
  <c r="P3212" i="1"/>
  <c r="O3212" i="1"/>
  <c r="R3211" i="1"/>
  <c r="P3211" i="1"/>
  <c r="O3211" i="1"/>
  <c r="R3210" i="1"/>
  <c r="P3210" i="1"/>
  <c r="O3210" i="1"/>
  <c r="R3209" i="1"/>
  <c r="P3209" i="1"/>
  <c r="O3209" i="1"/>
  <c r="R3208" i="1"/>
  <c r="P3208" i="1"/>
  <c r="O3208" i="1"/>
  <c r="R3207" i="1"/>
  <c r="P3207" i="1"/>
  <c r="O3207" i="1"/>
  <c r="R3206" i="1"/>
  <c r="P3206" i="1"/>
  <c r="O3206" i="1"/>
  <c r="R3205" i="1"/>
  <c r="P3205" i="1"/>
  <c r="O3205" i="1"/>
  <c r="R3204" i="1"/>
  <c r="P3204" i="1"/>
  <c r="O3204" i="1"/>
  <c r="R3203" i="1"/>
  <c r="P3203" i="1"/>
  <c r="O3203" i="1"/>
  <c r="R3202" i="1"/>
  <c r="P3202" i="1"/>
  <c r="O3202" i="1"/>
  <c r="R3201" i="1"/>
  <c r="P3201" i="1"/>
  <c r="O3201" i="1"/>
  <c r="R3200" i="1"/>
  <c r="P3200" i="1"/>
  <c r="O3200" i="1"/>
  <c r="R3199" i="1"/>
  <c r="P3199" i="1"/>
  <c r="O3199" i="1"/>
  <c r="R3198" i="1"/>
  <c r="P3198" i="1"/>
  <c r="O3198" i="1"/>
  <c r="R3197" i="1"/>
  <c r="P3197" i="1"/>
  <c r="O3197" i="1"/>
  <c r="R3196" i="1"/>
  <c r="P3196" i="1"/>
  <c r="O3196" i="1"/>
  <c r="R3195" i="1"/>
  <c r="P3195" i="1"/>
  <c r="O3195" i="1"/>
  <c r="R3194" i="1"/>
  <c r="P3194" i="1"/>
  <c r="O3194" i="1"/>
  <c r="R3193" i="1"/>
  <c r="P3193" i="1"/>
  <c r="O3193" i="1"/>
  <c r="R3192" i="1"/>
  <c r="P3192" i="1"/>
  <c r="O3192" i="1"/>
  <c r="R3191" i="1"/>
  <c r="P3191" i="1"/>
  <c r="O3191" i="1"/>
  <c r="R3190" i="1"/>
  <c r="P3190" i="1"/>
  <c r="O3190" i="1"/>
  <c r="R3189" i="1"/>
  <c r="P3189" i="1"/>
  <c r="O3189" i="1"/>
  <c r="R3188" i="1"/>
  <c r="P3188" i="1"/>
  <c r="O3188" i="1"/>
  <c r="R3187" i="1"/>
  <c r="P3187" i="1"/>
  <c r="O3187" i="1"/>
  <c r="R3186" i="1"/>
  <c r="P3186" i="1"/>
  <c r="O3186" i="1"/>
  <c r="R3185" i="1"/>
  <c r="P3185" i="1"/>
  <c r="O3185" i="1"/>
  <c r="R3184" i="1"/>
  <c r="P3184" i="1"/>
  <c r="O3184" i="1"/>
  <c r="R3183" i="1"/>
  <c r="P3183" i="1"/>
  <c r="O3183" i="1"/>
  <c r="R3182" i="1"/>
  <c r="P3182" i="1"/>
  <c r="O3182" i="1"/>
  <c r="R3181" i="1"/>
  <c r="P3181" i="1"/>
  <c r="O3181" i="1"/>
  <c r="R3180" i="1"/>
  <c r="P3180" i="1"/>
  <c r="O3180" i="1"/>
  <c r="R3179" i="1"/>
  <c r="P3179" i="1"/>
  <c r="O3179" i="1"/>
  <c r="R3178" i="1"/>
  <c r="P3178" i="1"/>
  <c r="O3178" i="1"/>
  <c r="R3177" i="1"/>
  <c r="P3177" i="1"/>
  <c r="O3177" i="1"/>
  <c r="R3176" i="1"/>
  <c r="P3176" i="1"/>
  <c r="O3176" i="1"/>
  <c r="R3175" i="1"/>
  <c r="P3175" i="1"/>
  <c r="O3175" i="1"/>
  <c r="R3174" i="1"/>
  <c r="P3174" i="1"/>
  <c r="O3174" i="1"/>
  <c r="R3173" i="1"/>
  <c r="P3173" i="1"/>
  <c r="O3173" i="1"/>
  <c r="R3172" i="1"/>
  <c r="P3172" i="1"/>
  <c r="O3172" i="1"/>
  <c r="R3171" i="1"/>
  <c r="P3171" i="1"/>
  <c r="O3171" i="1"/>
  <c r="R3170" i="1"/>
  <c r="P3170" i="1"/>
  <c r="O3170" i="1"/>
  <c r="R3169" i="1"/>
  <c r="P3169" i="1"/>
  <c r="O3169" i="1"/>
  <c r="R3168" i="1"/>
  <c r="P3168" i="1"/>
  <c r="O3168" i="1"/>
  <c r="R3167" i="1"/>
  <c r="P3167" i="1"/>
  <c r="O3167" i="1"/>
  <c r="R3166" i="1"/>
  <c r="P3166" i="1"/>
  <c r="O3166" i="1"/>
  <c r="R3165" i="1"/>
  <c r="P3165" i="1"/>
  <c r="O3165" i="1"/>
  <c r="R3164" i="1"/>
  <c r="P3164" i="1"/>
  <c r="O3164" i="1"/>
  <c r="R3163" i="1"/>
  <c r="P3163" i="1"/>
  <c r="O3163" i="1"/>
  <c r="R3162" i="1"/>
  <c r="P3162" i="1"/>
  <c r="O3162" i="1"/>
  <c r="R3161" i="1"/>
  <c r="P3161" i="1"/>
  <c r="O3161" i="1"/>
  <c r="R3160" i="1"/>
  <c r="P3160" i="1"/>
  <c r="O3160" i="1"/>
  <c r="R3159" i="1"/>
  <c r="P3159" i="1"/>
  <c r="O3159" i="1"/>
  <c r="R3158" i="1"/>
  <c r="P3158" i="1"/>
  <c r="O3158" i="1"/>
  <c r="R3157" i="1"/>
  <c r="P3157" i="1"/>
  <c r="O3157" i="1"/>
  <c r="R3156" i="1"/>
  <c r="P3156" i="1"/>
  <c r="O3156" i="1"/>
  <c r="R3155" i="1"/>
  <c r="P3155" i="1"/>
  <c r="O3155" i="1"/>
  <c r="R3154" i="1"/>
  <c r="P3154" i="1"/>
  <c r="O3154" i="1"/>
  <c r="R3153" i="1"/>
  <c r="P3153" i="1"/>
  <c r="O3153" i="1"/>
  <c r="R3152" i="1"/>
  <c r="P3152" i="1"/>
  <c r="O3152" i="1"/>
  <c r="R3151" i="1"/>
  <c r="P3151" i="1"/>
  <c r="O3151" i="1"/>
  <c r="R3150" i="1"/>
  <c r="P3150" i="1"/>
  <c r="O3150" i="1"/>
  <c r="R3149" i="1"/>
  <c r="P3149" i="1"/>
  <c r="O3149" i="1"/>
  <c r="R3148" i="1"/>
  <c r="P3148" i="1"/>
  <c r="O3148" i="1"/>
  <c r="R3147" i="1"/>
  <c r="P3147" i="1"/>
  <c r="O3147" i="1"/>
  <c r="R3146" i="1"/>
  <c r="P3146" i="1"/>
  <c r="O3146" i="1"/>
  <c r="R3145" i="1"/>
  <c r="P3145" i="1"/>
  <c r="O3145" i="1"/>
  <c r="R3144" i="1"/>
  <c r="P3144" i="1"/>
  <c r="O3144" i="1"/>
  <c r="R3143" i="1"/>
  <c r="P3143" i="1"/>
  <c r="O3143" i="1"/>
  <c r="R3142" i="1"/>
  <c r="P3142" i="1"/>
  <c r="O3142" i="1"/>
  <c r="R3141" i="1"/>
  <c r="P3141" i="1"/>
  <c r="O3141" i="1"/>
  <c r="R3140" i="1"/>
  <c r="P3140" i="1"/>
  <c r="O3140" i="1"/>
  <c r="R3139" i="1"/>
  <c r="P3139" i="1"/>
  <c r="O3139" i="1"/>
  <c r="R3138" i="1"/>
  <c r="P3138" i="1"/>
  <c r="O3138" i="1"/>
  <c r="R3137" i="1"/>
  <c r="P3137" i="1"/>
  <c r="O3137" i="1"/>
  <c r="R3136" i="1"/>
  <c r="P3136" i="1"/>
  <c r="O3136" i="1"/>
  <c r="R3135" i="1"/>
  <c r="P3135" i="1"/>
  <c r="O3135" i="1"/>
  <c r="R3134" i="1"/>
  <c r="P3134" i="1"/>
  <c r="O3134" i="1"/>
  <c r="R3133" i="1"/>
  <c r="P3133" i="1"/>
  <c r="O3133" i="1"/>
  <c r="R3132" i="1"/>
  <c r="P3132" i="1"/>
  <c r="O3132" i="1"/>
  <c r="R3131" i="1"/>
  <c r="P3131" i="1"/>
  <c r="O3131" i="1"/>
  <c r="R3130" i="1"/>
  <c r="P3130" i="1"/>
  <c r="O3130" i="1"/>
  <c r="R3129" i="1"/>
  <c r="P3129" i="1"/>
  <c r="O3129" i="1"/>
  <c r="R3128" i="1"/>
  <c r="P3128" i="1"/>
  <c r="O3128" i="1"/>
  <c r="R3127" i="1"/>
  <c r="P3127" i="1"/>
  <c r="O3127" i="1"/>
  <c r="R3126" i="1"/>
  <c r="P3126" i="1"/>
  <c r="O3126" i="1"/>
  <c r="R3125" i="1"/>
  <c r="P3125" i="1"/>
  <c r="O3125" i="1"/>
  <c r="R3124" i="1"/>
  <c r="P3124" i="1"/>
  <c r="O3124" i="1"/>
  <c r="R3123" i="1"/>
  <c r="P3123" i="1"/>
  <c r="O3123" i="1"/>
  <c r="R3122" i="1"/>
  <c r="P3122" i="1"/>
  <c r="O3122" i="1"/>
  <c r="R3121" i="1"/>
  <c r="P3121" i="1"/>
  <c r="O3121" i="1"/>
  <c r="R3120" i="1"/>
  <c r="P3120" i="1"/>
  <c r="O3120" i="1"/>
  <c r="R3119" i="1"/>
  <c r="P3119" i="1"/>
  <c r="O3119" i="1"/>
  <c r="R3118" i="1"/>
  <c r="P3118" i="1"/>
  <c r="O3118" i="1"/>
  <c r="R3117" i="1"/>
  <c r="P3117" i="1"/>
  <c r="O3117" i="1"/>
  <c r="R3116" i="1"/>
  <c r="P3116" i="1"/>
  <c r="O3116" i="1"/>
  <c r="R3115" i="1"/>
  <c r="P3115" i="1"/>
  <c r="O3115" i="1"/>
  <c r="R3114" i="1"/>
  <c r="P3114" i="1"/>
  <c r="O3114" i="1"/>
  <c r="R3113" i="1"/>
  <c r="P3113" i="1"/>
  <c r="O3113" i="1"/>
  <c r="R3112" i="1"/>
  <c r="P3112" i="1"/>
  <c r="O3112" i="1"/>
  <c r="R3111" i="1"/>
  <c r="P3111" i="1"/>
  <c r="O3111" i="1"/>
  <c r="R3110" i="1"/>
  <c r="P3110" i="1"/>
  <c r="O3110" i="1"/>
  <c r="R3109" i="1"/>
  <c r="P3109" i="1"/>
  <c r="O3109" i="1"/>
  <c r="R3108" i="1"/>
  <c r="P3108" i="1"/>
  <c r="O3108" i="1"/>
  <c r="R3107" i="1"/>
  <c r="P3107" i="1"/>
  <c r="O3107" i="1"/>
  <c r="R3106" i="1"/>
  <c r="P3106" i="1"/>
  <c r="O3106" i="1"/>
  <c r="R3105" i="1"/>
  <c r="P3105" i="1"/>
  <c r="O3105" i="1"/>
  <c r="R3104" i="1"/>
  <c r="P3104" i="1"/>
  <c r="O3104" i="1"/>
  <c r="R3103" i="1"/>
  <c r="P3103" i="1"/>
  <c r="O3103" i="1"/>
  <c r="R3102" i="1"/>
  <c r="P3102" i="1"/>
  <c r="O3102" i="1"/>
  <c r="R3101" i="1"/>
  <c r="P3101" i="1"/>
  <c r="O3101" i="1"/>
  <c r="R3100" i="1"/>
  <c r="P3100" i="1"/>
  <c r="O3100" i="1"/>
  <c r="R3099" i="1"/>
  <c r="P3099" i="1"/>
  <c r="O3099" i="1"/>
  <c r="R3098" i="1"/>
  <c r="P3098" i="1"/>
  <c r="O3098" i="1"/>
  <c r="R3097" i="1"/>
  <c r="P3097" i="1"/>
  <c r="O3097" i="1"/>
  <c r="R3096" i="1"/>
  <c r="P3096" i="1"/>
  <c r="O3096" i="1"/>
  <c r="R3095" i="1"/>
  <c r="P3095" i="1"/>
  <c r="O3095" i="1"/>
  <c r="R3094" i="1"/>
  <c r="P3094" i="1"/>
  <c r="O3094" i="1"/>
  <c r="R3093" i="1"/>
  <c r="P3093" i="1"/>
  <c r="O3093" i="1"/>
  <c r="R3092" i="1"/>
  <c r="P3092" i="1"/>
  <c r="O3092" i="1"/>
  <c r="R3091" i="1"/>
  <c r="P3091" i="1"/>
  <c r="O3091" i="1"/>
  <c r="R3090" i="1"/>
  <c r="P3090" i="1"/>
  <c r="O3090" i="1"/>
  <c r="R3089" i="1"/>
  <c r="P3089" i="1"/>
  <c r="O3089" i="1"/>
  <c r="R3088" i="1"/>
  <c r="P3088" i="1"/>
  <c r="O3088" i="1"/>
  <c r="R3087" i="1"/>
  <c r="P3087" i="1"/>
  <c r="O3087" i="1"/>
  <c r="R3086" i="1"/>
  <c r="P3086" i="1"/>
  <c r="O3086" i="1"/>
  <c r="R3085" i="1"/>
  <c r="P3085" i="1"/>
  <c r="O3085" i="1"/>
  <c r="R3084" i="1"/>
  <c r="P3084" i="1"/>
  <c r="O3084" i="1"/>
  <c r="R3083" i="1"/>
  <c r="P3083" i="1"/>
  <c r="O3083" i="1"/>
  <c r="R3082" i="1"/>
  <c r="P3082" i="1"/>
  <c r="O3082" i="1"/>
  <c r="R3081" i="1"/>
  <c r="P3081" i="1"/>
  <c r="O3081" i="1"/>
  <c r="R3080" i="1"/>
  <c r="P3080" i="1"/>
  <c r="O3080" i="1"/>
  <c r="R3079" i="1"/>
  <c r="P3079" i="1"/>
  <c r="O3079" i="1"/>
  <c r="R3078" i="1"/>
  <c r="P3078" i="1"/>
  <c r="O3078" i="1"/>
  <c r="R3077" i="1"/>
  <c r="P3077" i="1"/>
  <c r="O3077" i="1"/>
  <c r="R3076" i="1"/>
  <c r="P3076" i="1"/>
  <c r="O3076" i="1"/>
  <c r="R3075" i="1"/>
  <c r="P3075" i="1"/>
  <c r="O3075" i="1"/>
  <c r="R3074" i="1"/>
  <c r="P3074" i="1"/>
  <c r="O3074" i="1"/>
  <c r="R3073" i="1"/>
  <c r="P3073" i="1"/>
  <c r="O3073" i="1"/>
  <c r="R3072" i="1"/>
  <c r="P3072" i="1"/>
  <c r="O3072" i="1"/>
  <c r="R3071" i="1"/>
  <c r="P3071" i="1"/>
  <c r="O3071" i="1"/>
  <c r="R3070" i="1"/>
  <c r="P3070" i="1"/>
  <c r="O3070" i="1"/>
  <c r="R3069" i="1"/>
  <c r="P3069" i="1"/>
  <c r="O3069" i="1"/>
  <c r="R3068" i="1"/>
  <c r="P3068" i="1"/>
  <c r="O3068" i="1"/>
  <c r="R3067" i="1"/>
  <c r="P3067" i="1"/>
  <c r="O3067" i="1"/>
  <c r="R3066" i="1"/>
  <c r="P3066" i="1"/>
  <c r="O3066" i="1"/>
  <c r="R3065" i="1"/>
  <c r="P3065" i="1"/>
  <c r="O3065" i="1"/>
  <c r="R3064" i="1"/>
  <c r="P3064" i="1"/>
  <c r="O3064" i="1"/>
  <c r="R3063" i="1"/>
  <c r="P3063" i="1"/>
  <c r="O3063" i="1"/>
  <c r="R3062" i="1"/>
  <c r="P3062" i="1"/>
  <c r="O3062" i="1"/>
  <c r="R3061" i="1"/>
  <c r="P3061" i="1"/>
  <c r="O3061" i="1"/>
  <c r="R3060" i="1"/>
  <c r="P3060" i="1"/>
  <c r="O3060" i="1"/>
  <c r="R3059" i="1"/>
  <c r="P3059" i="1"/>
  <c r="O3059" i="1"/>
  <c r="R3058" i="1"/>
  <c r="P3058" i="1"/>
  <c r="O3058" i="1"/>
  <c r="R3057" i="1"/>
  <c r="P3057" i="1"/>
  <c r="O3057" i="1"/>
  <c r="R3056" i="1"/>
  <c r="P3056" i="1"/>
  <c r="O3056" i="1"/>
  <c r="R3055" i="1"/>
  <c r="P3055" i="1"/>
  <c r="O3055" i="1"/>
  <c r="R3054" i="1"/>
  <c r="P3054" i="1"/>
  <c r="O3054" i="1"/>
  <c r="R3053" i="1"/>
  <c r="P3053" i="1"/>
  <c r="O3053" i="1"/>
  <c r="R3052" i="1"/>
  <c r="P3052" i="1"/>
  <c r="O3052" i="1"/>
  <c r="R3051" i="1"/>
  <c r="P3051" i="1"/>
  <c r="O3051" i="1"/>
  <c r="R3050" i="1"/>
  <c r="P3050" i="1"/>
  <c r="O3050" i="1"/>
  <c r="R3049" i="1"/>
  <c r="P3049" i="1"/>
  <c r="O3049" i="1"/>
  <c r="R3048" i="1"/>
  <c r="P3048" i="1"/>
  <c r="O3048" i="1"/>
  <c r="R3047" i="1"/>
  <c r="P3047" i="1"/>
  <c r="O3047" i="1"/>
  <c r="R3046" i="1"/>
  <c r="P3046" i="1"/>
  <c r="O3046" i="1"/>
  <c r="R3045" i="1"/>
  <c r="P3045" i="1"/>
  <c r="O3045" i="1"/>
  <c r="R3044" i="1"/>
  <c r="P3044" i="1"/>
  <c r="O3044" i="1"/>
  <c r="R3043" i="1"/>
  <c r="P3043" i="1"/>
  <c r="O3043" i="1"/>
  <c r="R3042" i="1"/>
  <c r="P3042" i="1"/>
  <c r="O3042" i="1"/>
  <c r="R3041" i="1"/>
  <c r="P3041" i="1"/>
  <c r="O3041" i="1"/>
  <c r="R3040" i="1"/>
  <c r="P3040" i="1"/>
  <c r="O3040" i="1"/>
  <c r="R3039" i="1"/>
  <c r="P3039" i="1"/>
  <c r="O3039" i="1"/>
  <c r="R3038" i="1"/>
  <c r="P3038" i="1"/>
  <c r="O3038" i="1"/>
  <c r="R3037" i="1"/>
  <c r="P3037" i="1"/>
  <c r="O3037" i="1"/>
  <c r="R3036" i="1"/>
  <c r="P3036" i="1"/>
  <c r="O3036" i="1"/>
  <c r="R3035" i="1"/>
  <c r="P3035" i="1"/>
  <c r="O3035" i="1"/>
  <c r="R3034" i="1"/>
  <c r="P3034" i="1"/>
  <c r="O3034" i="1"/>
  <c r="R3033" i="1"/>
  <c r="P3033" i="1"/>
  <c r="O3033" i="1"/>
  <c r="R3032" i="1"/>
  <c r="P3032" i="1"/>
  <c r="O3032" i="1"/>
  <c r="R3031" i="1"/>
  <c r="P3031" i="1"/>
  <c r="O3031" i="1"/>
  <c r="R3030" i="1"/>
  <c r="P3030" i="1"/>
  <c r="O3030" i="1"/>
  <c r="R3029" i="1"/>
  <c r="P3029" i="1"/>
  <c r="O3029" i="1"/>
  <c r="R3028" i="1"/>
  <c r="P3028" i="1"/>
  <c r="O3028" i="1"/>
  <c r="R3027" i="1"/>
  <c r="P3027" i="1"/>
  <c r="O3027" i="1"/>
  <c r="R3026" i="1"/>
  <c r="P3026" i="1"/>
  <c r="O3026" i="1"/>
  <c r="R3025" i="1"/>
  <c r="P3025" i="1"/>
  <c r="O3025" i="1"/>
  <c r="R3024" i="1"/>
  <c r="P3024" i="1"/>
  <c r="O3024" i="1"/>
  <c r="R3023" i="1"/>
  <c r="P3023" i="1"/>
  <c r="O3023" i="1"/>
  <c r="R3022" i="1"/>
  <c r="P3022" i="1"/>
  <c r="O3022" i="1"/>
  <c r="R3021" i="1"/>
  <c r="P3021" i="1"/>
  <c r="O3021" i="1"/>
  <c r="R3020" i="1"/>
  <c r="P3020" i="1"/>
  <c r="O3020" i="1"/>
  <c r="R3019" i="1"/>
  <c r="P3019" i="1"/>
  <c r="O3019" i="1"/>
  <c r="R3018" i="1"/>
  <c r="P3018" i="1"/>
  <c r="O3018" i="1"/>
  <c r="R3017" i="1"/>
  <c r="P3017" i="1"/>
  <c r="O3017" i="1"/>
  <c r="R3016" i="1"/>
  <c r="P3016" i="1"/>
  <c r="O3016" i="1"/>
  <c r="R3015" i="1"/>
  <c r="P3015" i="1"/>
  <c r="O3015" i="1"/>
  <c r="R3014" i="1"/>
  <c r="P3014" i="1"/>
  <c r="O3014" i="1"/>
  <c r="R3013" i="1"/>
  <c r="P3013" i="1"/>
  <c r="O3013" i="1"/>
  <c r="R3012" i="1"/>
  <c r="P3012" i="1"/>
  <c r="O3012" i="1"/>
  <c r="R3011" i="1"/>
  <c r="P3011" i="1"/>
  <c r="O3011" i="1"/>
  <c r="R3010" i="1"/>
  <c r="P3010" i="1"/>
  <c r="O3010" i="1"/>
  <c r="R3009" i="1"/>
  <c r="P3009" i="1"/>
  <c r="O3009" i="1"/>
  <c r="R3008" i="1"/>
  <c r="P3008" i="1"/>
  <c r="O3008" i="1"/>
  <c r="R3007" i="1"/>
  <c r="P3007" i="1"/>
  <c r="O3007" i="1"/>
  <c r="R3006" i="1"/>
  <c r="P3006" i="1"/>
  <c r="O3006" i="1"/>
  <c r="R3005" i="1"/>
  <c r="P3005" i="1"/>
  <c r="O3005" i="1"/>
  <c r="R3004" i="1"/>
  <c r="P3004" i="1"/>
  <c r="O3004" i="1"/>
  <c r="R3003" i="1"/>
  <c r="P3003" i="1"/>
  <c r="O3003" i="1"/>
  <c r="R3002" i="1"/>
  <c r="P3002" i="1"/>
  <c r="O3002" i="1"/>
  <c r="R3001" i="1"/>
  <c r="P3001" i="1"/>
  <c r="O3001" i="1"/>
  <c r="R3000" i="1"/>
  <c r="P3000" i="1"/>
  <c r="O3000" i="1"/>
  <c r="R2999" i="1"/>
  <c r="P2999" i="1"/>
  <c r="O2999" i="1"/>
  <c r="R2998" i="1"/>
  <c r="P2998" i="1"/>
  <c r="O2998" i="1"/>
  <c r="R2997" i="1"/>
  <c r="P2997" i="1"/>
  <c r="O2997" i="1"/>
  <c r="R2996" i="1"/>
  <c r="P2996" i="1"/>
  <c r="O2996" i="1"/>
  <c r="R2995" i="1"/>
  <c r="P2995" i="1"/>
  <c r="O2995" i="1"/>
  <c r="R2994" i="1"/>
  <c r="P2994" i="1"/>
  <c r="O2994" i="1"/>
  <c r="R2993" i="1"/>
  <c r="P2993" i="1"/>
  <c r="O2993" i="1"/>
  <c r="R2992" i="1"/>
  <c r="P2992" i="1"/>
  <c r="O2992" i="1"/>
  <c r="R2991" i="1"/>
  <c r="P2991" i="1"/>
  <c r="O2991" i="1"/>
  <c r="R2990" i="1"/>
  <c r="P2990" i="1"/>
  <c r="O2990" i="1"/>
  <c r="R2989" i="1"/>
  <c r="P2989" i="1"/>
  <c r="O2989" i="1"/>
  <c r="R2988" i="1"/>
  <c r="P2988" i="1"/>
  <c r="O2988" i="1"/>
  <c r="R2987" i="1"/>
  <c r="P2987" i="1"/>
  <c r="O2987" i="1"/>
  <c r="R2986" i="1"/>
  <c r="P2986" i="1"/>
  <c r="O2986" i="1"/>
  <c r="R2985" i="1"/>
  <c r="P2985" i="1"/>
  <c r="O2985" i="1"/>
  <c r="R2984" i="1"/>
  <c r="P2984" i="1"/>
  <c r="O2984" i="1"/>
  <c r="R2983" i="1"/>
  <c r="P2983" i="1"/>
  <c r="O2983" i="1"/>
  <c r="R2982" i="1"/>
  <c r="P2982" i="1"/>
  <c r="O2982" i="1"/>
  <c r="R2981" i="1"/>
  <c r="P2981" i="1"/>
  <c r="O2981" i="1"/>
  <c r="R2980" i="1"/>
  <c r="P2980" i="1"/>
  <c r="O2980" i="1"/>
  <c r="R2979" i="1"/>
  <c r="P2979" i="1"/>
  <c r="O2979" i="1"/>
  <c r="R2978" i="1"/>
  <c r="P2978" i="1"/>
  <c r="O2978" i="1"/>
  <c r="R2977" i="1"/>
  <c r="P2977" i="1"/>
  <c r="O2977" i="1"/>
  <c r="R2976" i="1"/>
  <c r="P2976" i="1"/>
  <c r="O2976" i="1"/>
  <c r="R2975" i="1"/>
  <c r="P2975" i="1"/>
  <c r="O2975" i="1"/>
  <c r="R2974" i="1"/>
  <c r="P2974" i="1"/>
  <c r="O2974" i="1"/>
  <c r="R2973" i="1"/>
  <c r="P2973" i="1"/>
  <c r="O2973" i="1"/>
  <c r="R2972" i="1"/>
  <c r="P2972" i="1"/>
  <c r="O2972" i="1"/>
  <c r="R2971" i="1"/>
  <c r="P2971" i="1"/>
  <c r="O2971" i="1"/>
  <c r="R2970" i="1"/>
  <c r="P2970" i="1"/>
  <c r="O2970" i="1"/>
  <c r="R2969" i="1"/>
  <c r="P2969" i="1"/>
  <c r="O2969" i="1"/>
  <c r="R2968" i="1"/>
  <c r="P2968" i="1"/>
  <c r="O2968" i="1"/>
  <c r="R2967" i="1"/>
  <c r="P2967" i="1"/>
  <c r="O2967" i="1"/>
  <c r="R2966" i="1"/>
  <c r="P2966" i="1"/>
  <c r="O2966" i="1"/>
  <c r="R2965" i="1"/>
  <c r="P2965" i="1"/>
  <c r="O2965" i="1"/>
  <c r="R2964" i="1"/>
  <c r="P2964" i="1"/>
  <c r="O2964" i="1"/>
  <c r="R2963" i="1"/>
  <c r="P2963" i="1"/>
  <c r="O2963" i="1"/>
  <c r="R2962" i="1"/>
  <c r="P2962" i="1"/>
  <c r="O2962" i="1"/>
  <c r="R2961" i="1"/>
  <c r="P2961" i="1"/>
  <c r="O2961" i="1"/>
  <c r="R2960" i="1"/>
  <c r="P2960" i="1"/>
  <c r="O2960" i="1"/>
  <c r="R2959" i="1"/>
  <c r="P2959" i="1"/>
  <c r="O2959" i="1"/>
  <c r="R2958" i="1"/>
  <c r="P2958" i="1"/>
  <c r="O2958" i="1"/>
  <c r="R2957" i="1"/>
  <c r="P2957" i="1"/>
  <c r="O2957" i="1"/>
  <c r="R2956" i="1"/>
  <c r="P2956" i="1"/>
  <c r="O2956" i="1"/>
  <c r="R2955" i="1"/>
  <c r="P2955" i="1"/>
  <c r="O2955" i="1"/>
  <c r="R2954" i="1"/>
  <c r="P2954" i="1"/>
  <c r="O2954" i="1"/>
  <c r="R2953" i="1"/>
  <c r="P2953" i="1"/>
  <c r="O2953" i="1"/>
  <c r="R2952" i="1"/>
  <c r="P2952" i="1"/>
  <c r="O2952" i="1"/>
  <c r="R2951" i="1"/>
  <c r="P2951" i="1"/>
  <c r="O2951" i="1"/>
  <c r="R2950" i="1"/>
  <c r="P2950" i="1"/>
  <c r="O2950" i="1"/>
  <c r="R2949" i="1"/>
  <c r="P2949" i="1"/>
  <c r="O2949" i="1"/>
  <c r="R2948" i="1"/>
  <c r="P2948" i="1"/>
  <c r="O2948" i="1"/>
  <c r="R2947" i="1"/>
  <c r="P2947" i="1"/>
  <c r="O2947" i="1"/>
  <c r="R2946" i="1"/>
  <c r="P2946" i="1"/>
  <c r="O2946" i="1"/>
  <c r="R2945" i="1"/>
  <c r="P2945" i="1"/>
  <c r="O2945" i="1"/>
  <c r="R2944" i="1"/>
  <c r="P2944" i="1"/>
  <c r="O2944" i="1"/>
  <c r="R2943" i="1"/>
  <c r="P2943" i="1"/>
  <c r="O2943" i="1"/>
  <c r="R2942" i="1"/>
  <c r="P2942" i="1"/>
  <c r="O2942" i="1"/>
  <c r="R2941" i="1"/>
  <c r="P2941" i="1"/>
  <c r="O2941" i="1"/>
  <c r="R2940" i="1"/>
  <c r="P2940" i="1"/>
  <c r="O2940" i="1"/>
  <c r="R2939" i="1"/>
  <c r="P2939" i="1"/>
  <c r="O2939" i="1"/>
  <c r="R2938" i="1"/>
  <c r="P2938" i="1"/>
  <c r="O2938" i="1"/>
  <c r="R2937" i="1"/>
  <c r="P2937" i="1"/>
  <c r="O2937" i="1"/>
  <c r="R2936" i="1"/>
  <c r="P2936" i="1"/>
  <c r="O2936" i="1"/>
  <c r="R2935" i="1"/>
  <c r="P2935" i="1"/>
  <c r="O2935" i="1"/>
  <c r="R2934" i="1"/>
  <c r="P2934" i="1"/>
  <c r="O2934" i="1"/>
  <c r="R2933" i="1"/>
  <c r="P2933" i="1"/>
  <c r="O2933" i="1"/>
  <c r="R2932" i="1"/>
  <c r="P2932" i="1"/>
  <c r="O2932" i="1"/>
  <c r="R2931" i="1"/>
  <c r="P2931" i="1"/>
  <c r="O2931" i="1"/>
  <c r="R2930" i="1"/>
  <c r="P2930" i="1"/>
  <c r="O2930" i="1"/>
  <c r="R2929" i="1"/>
  <c r="P2929" i="1"/>
  <c r="O2929" i="1"/>
  <c r="R2928" i="1"/>
  <c r="P2928" i="1"/>
  <c r="O2928" i="1"/>
  <c r="R2927" i="1"/>
  <c r="P2927" i="1"/>
  <c r="O2927" i="1"/>
  <c r="R2926" i="1"/>
  <c r="P2926" i="1"/>
  <c r="O2926" i="1"/>
  <c r="R2925" i="1"/>
  <c r="P2925" i="1"/>
  <c r="O2925" i="1"/>
  <c r="R2924" i="1"/>
  <c r="P2924" i="1"/>
  <c r="O2924" i="1"/>
  <c r="R2923" i="1"/>
  <c r="P2923" i="1"/>
  <c r="O2923" i="1"/>
  <c r="R2922" i="1"/>
  <c r="P2922" i="1"/>
  <c r="O2922" i="1"/>
  <c r="R2921" i="1"/>
  <c r="P2921" i="1"/>
  <c r="O2921" i="1"/>
  <c r="R2920" i="1"/>
  <c r="P2920" i="1"/>
  <c r="O2920" i="1"/>
  <c r="R2919" i="1"/>
  <c r="P2919" i="1"/>
  <c r="O2919" i="1"/>
  <c r="R2918" i="1"/>
  <c r="P2918" i="1"/>
  <c r="O2918" i="1"/>
  <c r="R2917" i="1"/>
  <c r="P2917" i="1"/>
  <c r="O2917" i="1"/>
  <c r="R2916" i="1"/>
  <c r="P2916" i="1"/>
  <c r="O2916" i="1"/>
  <c r="R2915" i="1"/>
  <c r="P2915" i="1"/>
  <c r="O2915" i="1"/>
  <c r="R2914" i="1"/>
  <c r="P2914" i="1"/>
  <c r="O2914" i="1"/>
  <c r="R2913" i="1"/>
  <c r="P2913" i="1"/>
  <c r="O2913" i="1"/>
  <c r="R2912" i="1"/>
  <c r="P2912" i="1"/>
  <c r="O2912" i="1"/>
  <c r="R2911" i="1"/>
  <c r="P2911" i="1"/>
  <c r="O2911" i="1"/>
  <c r="R2910" i="1"/>
  <c r="P2910" i="1"/>
  <c r="O2910" i="1"/>
  <c r="R2909" i="1"/>
  <c r="P2909" i="1"/>
  <c r="O2909" i="1"/>
  <c r="R2908" i="1"/>
  <c r="P2908" i="1"/>
  <c r="O2908" i="1"/>
  <c r="R2907" i="1"/>
  <c r="P2907" i="1"/>
  <c r="O2907" i="1"/>
  <c r="R2906" i="1"/>
  <c r="P2906" i="1"/>
  <c r="O2906" i="1"/>
  <c r="R2905" i="1"/>
  <c r="P2905" i="1"/>
  <c r="O2905" i="1"/>
  <c r="R2904" i="1"/>
  <c r="P2904" i="1"/>
  <c r="O2904" i="1"/>
  <c r="R2903" i="1"/>
  <c r="P2903" i="1"/>
  <c r="O2903" i="1"/>
  <c r="R2902" i="1"/>
  <c r="P2902" i="1"/>
  <c r="O2902" i="1"/>
  <c r="R2901" i="1"/>
  <c r="P2901" i="1"/>
  <c r="O2901" i="1"/>
  <c r="R2900" i="1"/>
  <c r="P2900" i="1"/>
  <c r="O2900" i="1"/>
  <c r="R2899" i="1"/>
  <c r="P2899" i="1"/>
  <c r="O2899" i="1"/>
  <c r="R2898" i="1"/>
  <c r="P2898" i="1"/>
  <c r="O2898" i="1"/>
  <c r="R2897" i="1"/>
  <c r="P2897" i="1"/>
  <c r="O2897" i="1"/>
  <c r="R2896" i="1"/>
  <c r="P2896" i="1"/>
  <c r="O2896" i="1"/>
  <c r="R2895" i="1"/>
  <c r="P2895" i="1"/>
  <c r="O2895" i="1"/>
  <c r="R2894" i="1"/>
  <c r="P2894" i="1"/>
  <c r="O2894" i="1"/>
  <c r="R2893" i="1"/>
  <c r="P2893" i="1"/>
  <c r="O2893" i="1"/>
  <c r="R2892" i="1"/>
  <c r="P2892" i="1"/>
  <c r="O2892" i="1"/>
  <c r="R2891" i="1"/>
  <c r="P2891" i="1"/>
  <c r="O2891" i="1"/>
  <c r="R2890" i="1"/>
  <c r="P2890" i="1"/>
  <c r="O2890" i="1"/>
  <c r="R2889" i="1"/>
  <c r="P2889" i="1"/>
  <c r="O2889" i="1"/>
  <c r="R2888" i="1"/>
  <c r="P2888" i="1"/>
  <c r="O2888" i="1"/>
  <c r="R2887" i="1"/>
  <c r="P2887" i="1"/>
  <c r="O2887" i="1"/>
  <c r="R2886" i="1"/>
  <c r="P2886" i="1"/>
  <c r="O2886" i="1"/>
  <c r="R2885" i="1"/>
  <c r="P2885" i="1"/>
  <c r="O2885" i="1"/>
  <c r="R2884" i="1"/>
  <c r="P2884" i="1"/>
  <c r="O2884" i="1"/>
  <c r="R2883" i="1"/>
  <c r="P2883" i="1"/>
  <c r="O2883" i="1"/>
  <c r="R2882" i="1"/>
  <c r="P2882" i="1"/>
  <c r="O2882" i="1"/>
  <c r="R2881" i="1"/>
  <c r="P2881" i="1"/>
  <c r="O2881" i="1"/>
  <c r="R2880" i="1"/>
  <c r="P2880" i="1"/>
  <c r="O2880" i="1"/>
  <c r="R2879" i="1"/>
  <c r="P2879" i="1"/>
  <c r="O2879" i="1"/>
  <c r="R2878" i="1"/>
  <c r="P2878" i="1"/>
  <c r="O2878" i="1"/>
  <c r="R2877" i="1"/>
  <c r="P2877" i="1"/>
  <c r="O2877" i="1"/>
  <c r="R2876" i="1"/>
  <c r="P2876" i="1"/>
  <c r="O2876" i="1"/>
  <c r="R2875" i="1"/>
  <c r="P2875" i="1"/>
  <c r="O2875" i="1"/>
  <c r="R2874" i="1"/>
  <c r="P2874" i="1"/>
  <c r="O2874" i="1"/>
  <c r="R2873" i="1"/>
  <c r="P2873" i="1"/>
  <c r="O2873" i="1"/>
  <c r="R2872" i="1"/>
  <c r="P2872" i="1"/>
  <c r="O2872" i="1"/>
  <c r="R2871" i="1"/>
  <c r="P2871" i="1"/>
  <c r="O2871" i="1"/>
  <c r="R2870" i="1"/>
  <c r="P2870" i="1"/>
  <c r="O2870" i="1"/>
  <c r="R2869" i="1"/>
  <c r="P2869" i="1"/>
  <c r="O2869" i="1"/>
  <c r="R2868" i="1"/>
  <c r="P2868" i="1"/>
  <c r="O2868" i="1"/>
  <c r="R2867" i="1"/>
  <c r="P2867" i="1"/>
  <c r="O2867" i="1"/>
  <c r="R2866" i="1"/>
  <c r="P2866" i="1"/>
  <c r="O2866" i="1"/>
  <c r="R2865" i="1"/>
  <c r="P2865" i="1"/>
  <c r="O2865" i="1"/>
  <c r="R2864" i="1"/>
  <c r="P2864" i="1"/>
  <c r="O2864" i="1"/>
  <c r="R2863" i="1"/>
  <c r="P2863" i="1"/>
  <c r="O2863" i="1"/>
  <c r="R2862" i="1"/>
  <c r="P2862" i="1"/>
  <c r="O2862" i="1"/>
  <c r="R2861" i="1"/>
  <c r="P2861" i="1"/>
  <c r="O2861" i="1"/>
  <c r="R2860" i="1"/>
  <c r="P2860" i="1"/>
  <c r="O2860" i="1"/>
  <c r="R2859" i="1"/>
  <c r="P2859" i="1"/>
  <c r="O2859" i="1"/>
  <c r="R2858" i="1"/>
  <c r="P2858" i="1"/>
  <c r="O2858" i="1"/>
  <c r="R2857" i="1"/>
  <c r="P2857" i="1"/>
  <c r="O2857" i="1"/>
  <c r="R2856" i="1"/>
  <c r="P2856" i="1"/>
  <c r="O2856" i="1"/>
  <c r="R2855" i="1"/>
  <c r="P2855" i="1"/>
  <c r="O2855" i="1"/>
  <c r="R2854" i="1"/>
  <c r="P2854" i="1"/>
  <c r="O2854" i="1"/>
  <c r="R2853" i="1"/>
  <c r="P2853" i="1"/>
  <c r="O2853" i="1"/>
  <c r="R2852" i="1"/>
  <c r="P2852" i="1"/>
  <c r="O2852" i="1"/>
  <c r="R2851" i="1"/>
  <c r="P2851" i="1"/>
  <c r="O2851" i="1"/>
  <c r="R2850" i="1"/>
  <c r="P2850" i="1"/>
  <c r="O2850" i="1"/>
  <c r="R2849" i="1"/>
  <c r="P2849" i="1"/>
  <c r="O2849" i="1"/>
  <c r="R2848" i="1"/>
  <c r="P2848" i="1"/>
  <c r="O2848" i="1"/>
  <c r="R2847" i="1"/>
  <c r="P2847" i="1"/>
  <c r="O2847" i="1"/>
  <c r="R2846" i="1"/>
  <c r="P2846" i="1"/>
  <c r="O2846" i="1"/>
  <c r="R2845" i="1"/>
  <c r="P2845" i="1"/>
  <c r="O2845" i="1"/>
  <c r="R2844" i="1"/>
  <c r="P2844" i="1"/>
  <c r="O2844" i="1"/>
  <c r="R2843" i="1"/>
  <c r="P2843" i="1"/>
  <c r="O2843" i="1"/>
  <c r="R2842" i="1"/>
  <c r="P2842" i="1"/>
  <c r="O2842" i="1"/>
  <c r="R2841" i="1"/>
  <c r="P2841" i="1"/>
  <c r="O2841" i="1"/>
  <c r="R2840" i="1"/>
  <c r="P2840" i="1"/>
  <c r="O2840" i="1"/>
  <c r="R2839" i="1"/>
  <c r="P2839" i="1"/>
  <c r="O2839" i="1"/>
  <c r="R2838" i="1"/>
  <c r="P2838" i="1"/>
  <c r="O2838" i="1"/>
  <c r="R2837" i="1"/>
  <c r="P2837" i="1"/>
  <c r="O2837" i="1"/>
  <c r="R2836" i="1"/>
  <c r="P2836" i="1"/>
  <c r="O2836" i="1"/>
  <c r="R2835" i="1"/>
  <c r="P2835" i="1"/>
  <c r="O2835" i="1"/>
  <c r="R2834" i="1"/>
  <c r="P2834" i="1"/>
  <c r="O2834" i="1"/>
  <c r="R2833" i="1"/>
  <c r="P2833" i="1"/>
  <c r="O2833" i="1"/>
  <c r="R2832" i="1"/>
  <c r="P2832" i="1"/>
  <c r="O2832" i="1"/>
  <c r="R2831" i="1"/>
  <c r="P2831" i="1"/>
  <c r="O2831" i="1"/>
  <c r="R2830" i="1"/>
  <c r="P2830" i="1"/>
  <c r="O2830" i="1"/>
  <c r="R2829" i="1"/>
  <c r="P2829" i="1"/>
  <c r="O2829" i="1"/>
  <c r="R2828" i="1"/>
  <c r="P2828" i="1"/>
  <c r="O2828" i="1"/>
  <c r="R2827" i="1"/>
  <c r="P2827" i="1"/>
  <c r="O2827" i="1"/>
  <c r="R2826" i="1"/>
  <c r="P2826" i="1"/>
  <c r="O2826" i="1"/>
  <c r="R2825" i="1"/>
  <c r="P2825" i="1"/>
  <c r="O2825" i="1"/>
  <c r="R2824" i="1"/>
  <c r="P2824" i="1"/>
  <c r="O2824" i="1"/>
  <c r="R2823" i="1"/>
  <c r="P2823" i="1"/>
  <c r="O2823" i="1"/>
  <c r="R2822" i="1"/>
  <c r="P2822" i="1"/>
  <c r="O2822" i="1"/>
  <c r="R2821" i="1"/>
  <c r="P2821" i="1"/>
  <c r="O2821" i="1"/>
  <c r="R2820" i="1"/>
  <c r="P2820" i="1"/>
  <c r="O2820" i="1"/>
  <c r="R2819" i="1"/>
  <c r="P2819" i="1"/>
  <c r="O2819" i="1"/>
  <c r="R2818" i="1"/>
  <c r="P2818" i="1"/>
  <c r="O2818" i="1"/>
  <c r="R2817" i="1"/>
  <c r="P2817" i="1"/>
  <c r="O2817" i="1"/>
  <c r="R2816" i="1"/>
  <c r="P2816" i="1"/>
  <c r="O2816" i="1"/>
  <c r="R2815" i="1"/>
  <c r="P2815" i="1"/>
  <c r="O2815" i="1"/>
  <c r="R2814" i="1"/>
  <c r="P2814" i="1"/>
  <c r="O2814" i="1"/>
  <c r="R2813" i="1"/>
  <c r="P2813" i="1"/>
  <c r="O2813" i="1"/>
  <c r="R2812" i="1"/>
  <c r="P2812" i="1"/>
  <c r="O2812" i="1"/>
  <c r="R2811" i="1"/>
  <c r="P2811" i="1"/>
  <c r="O2811" i="1"/>
  <c r="R2810" i="1"/>
  <c r="P2810" i="1"/>
  <c r="O2810" i="1"/>
  <c r="R2809" i="1"/>
  <c r="P2809" i="1"/>
  <c r="O2809" i="1"/>
  <c r="R2808" i="1"/>
  <c r="P2808" i="1"/>
  <c r="O2808" i="1"/>
  <c r="R2807" i="1"/>
  <c r="P2807" i="1"/>
  <c r="O2807" i="1"/>
  <c r="R2806" i="1"/>
  <c r="P2806" i="1"/>
  <c r="O2806" i="1"/>
  <c r="R2805" i="1"/>
  <c r="P2805" i="1"/>
  <c r="O2805" i="1"/>
  <c r="R2804" i="1"/>
  <c r="P2804" i="1"/>
  <c r="O2804" i="1"/>
  <c r="R2803" i="1"/>
  <c r="P2803" i="1"/>
  <c r="O2803" i="1"/>
  <c r="R2802" i="1"/>
  <c r="P2802" i="1"/>
  <c r="O2802" i="1"/>
  <c r="R2801" i="1"/>
  <c r="P2801" i="1"/>
  <c r="O2801" i="1"/>
  <c r="R2800" i="1"/>
  <c r="P2800" i="1"/>
  <c r="O2800" i="1"/>
  <c r="R2799" i="1"/>
  <c r="P2799" i="1"/>
  <c r="O2799" i="1"/>
  <c r="R2798" i="1"/>
  <c r="P2798" i="1"/>
  <c r="O2798" i="1"/>
  <c r="R2797" i="1"/>
  <c r="P2797" i="1"/>
  <c r="O2797" i="1"/>
  <c r="R2796" i="1"/>
  <c r="P2796" i="1"/>
  <c r="O2796" i="1"/>
  <c r="R2795" i="1"/>
  <c r="P2795" i="1"/>
  <c r="O2795" i="1"/>
  <c r="R2794" i="1"/>
  <c r="P2794" i="1"/>
  <c r="O2794" i="1"/>
  <c r="R2793" i="1"/>
  <c r="P2793" i="1"/>
  <c r="O2793" i="1"/>
  <c r="R2792" i="1"/>
  <c r="P2792" i="1"/>
  <c r="O2792" i="1"/>
  <c r="R2791" i="1"/>
  <c r="P2791" i="1"/>
  <c r="O2791" i="1"/>
  <c r="R2790" i="1"/>
  <c r="P2790" i="1"/>
  <c r="O2790" i="1"/>
  <c r="R2789" i="1"/>
  <c r="P2789" i="1"/>
  <c r="O2789" i="1"/>
  <c r="R2788" i="1"/>
  <c r="P2788" i="1"/>
  <c r="O2788" i="1"/>
  <c r="R2787" i="1"/>
  <c r="P2787" i="1"/>
  <c r="O2787" i="1"/>
  <c r="R2786" i="1"/>
  <c r="P2786" i="1"/>
  <c r="O2786" i="1"/>
  <c r="R2785" i="1"/>
  <c r="P2785" i="1"/>
  <c r="O2785" i="1"/>
  <c r="R2784" i="1"/>
  <c r="P2784" i="1"/>
  <c r="O2784" i="1"/>
  <c r="R2783" i="1"/>
  <c r="P2783" i="1"/>
  <c r="O2783" i="1"/>
  <c r="R2782" i="1"/>
  <c r="P2782" i="1"/>
  <c r="O2782" i="1"/>
  <c r="R2781" i="1"/>
  <c r="P2781" i="1"/>
  <c r="O2781" i="1"/>
  <c r="R2780" i="1"/>
  <c r="P2780" i="1"/>
  <c r="O2780" i="1"/>
  <c r="R2779" i="1"/>
  <c r="P2779" i="1"/>
  <c r="O2779" i="1"/>
  <c r="R2778" i="1"/>
  <c r="P2778" i="1"/>
  <c r="O2778" i="1"/>
  <c r="R2777" i="1"/>
  <c r="P2777" i="1"/>
  <c r="O2777" i="1"/>
  <c r="R2776" i="1"/>
  <c r="P2776" i="1"/>
  <c r="O2776" i="1"/>
  <c r="R2775" i="1"/>
  <c r="P2775" i="1"/>
  <c r="O2775" i="1"/>
  <c r="R2774" i="1"/>
  <c r="P2774" i="1"/>
  <c r="O2774" i="1"/>
  <c r="R2773" i="1"/>
  <c r="P2773" i="1"/>
  <c r="O2773" i="1"/>
  <c r="R2772" i="1"/>
  <c r="P2772" i="1"/>
  <c r="O2772" i="1"/>
  <c r="R2771" i="1"/>
  <c r="P2771" i="1"/>
  <c r="O2771" i="1"/>
  <c r="R2770" i="1"/>
  <c r="P2770" i="1"/>
  <c r="O2770" i="1"/>
  <c r="R2769" i="1"/>
  <c r="P2769" i="1"/>
  <c r="O2769" i="1"/>
  <c r="R2768" i="1"/>
  <c r="P2768" i="1"/>
  <c r="O2768" i="1"/>
  <c r="R2767" i="1"/>
  <c r="P2767" i="1"/>
  <c r="O2767" i="1"/>
  <c r="R2766" i="1"/>
  <c r="P2766" i="1"/>
  <c r="O2766" i="1"/>
  <c r="R2765" i="1"/>
  <c r="P2765" i="1"/>
  <c r="O2765" i="1"/>
  <c r="R2764" i="1"/>
  <c r="P2764" i="1"/>
  <c r="O2764" i="1"/>
  <c r="R2763" i="1"/>
  <c r="P2763" i="1"/>
  <c r="O2763" i="1"/>
  <c r="R2762" i="1"/>
  <c r="P2762" i="1"/>
  <c r="O2762" i="1"/>
  <c r="R2761" i="1"/>
  <c r="P2761" i="1"/>
  <c r="O2761" i="1"/>
  <c r="R2760" i="1"/>
  <c r="P2760" i="1"/>
  <c r="O2760" i="1"/>
  <c r="R2759" i="1"/>
  <c r="P2759" i="1"/>
  <c r="O2759" i="1"/>
  <c r="R2758" i="1"/>
  <c r="P2758" i="1"/>
  <c r="O2758" i="1"/>
  <c r="R2757" i="1"/>
  <c r="P2757" i="1"/>
  <c r="O2757" i="1"/>
  <c r="R2756" i="1"/>
  <c r="P2756" i="1"/>
  <c r="O2756" i="1"/>
  <c r="R2755" i="1"/>
  <c r="P2755" i="1"/>
  <c r="O2755" i="1"/>
  <c r="R2754" i="1"/>
  <c r="P2754" i="1"/>
  <c r="O2754" i="1"/>
  <c r="R2753" i="1"/>
  <c r="P2753" i="1"/>
  <c r="O2753" i="1"/>
  <c r="R2752" i="1"/>
  <c r="P2752" i="1"/>
  <c r="O2752" i="1"/>
  <c r="R2751" i="1"/>
  <c r="P2751" i="1"/>
  <c r="O2751" i="1"/>
  <c r="R2750" i="1"/>
  <c r="P2750" i="1"/>
  <c r="O2750" i="1"/>
  <c r="R2749" i="1"/>
  <c r="P2749" i="1"/>
  <c r="O2749" i="1"/>
  <c r="R2748" i="1"/>
  <c r="P2748" i="1"/>
  <c r="O2748" i="1"/>
  <c r="R2747" i="1"/>
  <c r="P2747" i="1"/>
  <c r="O2747" i="1"/>
  <c r="R2746" i="1"/>
  <c r="P2746" i="1"/>
  <c r="O2746" i="1"/>
  <c r="R2745" i="1"/>
  <c r="P2745" i="1"/>
  <c r="O2745" i="1"/>
  <c r="R2744" i="1"/>
  <c r="P2744" i="1"/>
  <c r="O2744" i="1"/>
  <c r="R2743" i="1"/>
  <c r="P2743" i="1"/>
  <c r="O2743" i="1"/>
  <c r="R2742" i="1"/>
  <c r="P2742" i="1"/>
  <c r="O2742" i="1"/>
  <c r="R2741" i="1"/>
  <c r="P2741" i="1"/>
  <c r="O2741" i="1"/>
  <c r="R2740" i="1"/>
  <c r="P2740" i="1"/>
  <c r="O2740" i="1"/>
  <c r="R2739" i="1"/>
  <c r="P2739" i="1"/>
  <c r="O2739" i="1"/>
  <c r="R2738" i="1"/>
  <c r="P2738" i="1"/>
  <c r="O2738" i="1"/>
  <c r="R2737" i="1"/>
  <c r="P2737" i="1"/>
  <c r="O2737" i="1"/>
  <c r="R2736" i="1"/>
  <c r="P2736" i="1"/>
  <c r="O2736" i="1"/>
  <c r="R2735" i="1"/>
  <c r="P2735" i="1"/>
  <c r="O2735" i="1"/>
  <c r="R2734" i="1"/>
  <c r="P2734" i="1"/>
  <c r="O2734" i="1"/>
  <c r="R2733" i="1"/>
  <c r="P2733" i="1"/>
  <c r="O2733" i="1"/>
  <c r="R2732" i="1"/>
  <c r="P2732" i="1"/>
  <c r="O2732" i="1"/>
  <c r="R2731" i="1"/>
  <c r="P2731" i="1"/>
  <c r="O2731" i="1"/>
  <c r="R2730" i="1"/>
  <c r="P2730" i="1"/>
  <c r="O2730" i="1"/>
  <c r="R2729" i="1"/>
  <c r="P2729" i="1"/>
  <c r="O2729" i="1"/>
  <c r="R2728" i="1"/>
  <c r="P2728" i="1"/>
  <c r="O2728" i="1"/>
  <c r="R2727" i="1"/>
  <c r="P2727" i="1"/>
  <c r="O2727" i="1"/>
  <c r="R2726" i="1"/>
  <c r="P2726" i="1"/>
  <c r="O2726" i="1"/>
  <c r="R2725" i="1"/>
  <c r="P2725" i="1"/>
  <c r="O2725" i="1"/>
  <c r="R2724" i="1"/>
  <c r="P2724" i="1"/>
  <c r="O2724" i="1"/>
  <c r="R2723" i="1"/>
  <c r="P2723" i="1"/>
  <c r="O2723" i="1"/>
  <c r="R2722" i="1"/>
  <c r="P2722" i="1"/>
  <c r="O2722" i="1"/>
  <c r="R2721" i="1"/>
  <c r="P2721" i="1"/>
  <c r="O2721" i="1"/>
  <c r="R2720" i="1"/>
  <c r="P2720" i="1"/>
  <c r="O2720" i="1"/>
  <c r="R2719" i="1"/>
  <c r="P2719" i="1"/>
  <c r="O2719" i="1"/>
  <c r="R2718" i="1"/>
  <c r="P2718" i="1"/>
  <c r="O2718" i="1"/>
  <c r="R2717" i="1"/>
  <c r="P2717" i="1"/>
  <c r="O2717" i="1"/>
  <c r="R2716" i="1"/>
  <c r="P2716" i="1"/>
  <c r="O2716" i="1"/>
  <c r="R2715" i="1"/>
  <c r="P2715" i="1"/>
  <c r="O2715" i="1"/>
  <c r="R2714" i="1"/>
  <c r="P2714" i="1"/>
  <c r="O2714" i="1"/>
  <c r="R2713" i="1"/>
  <c r="P2713" i="1"/>
  <c r="O2713" i="1"/>
  <c r="R2712" i="1"/>
  <c r="P2712" i="1"/>
  <c r="O2712" i="1"/>
  <c r="R2711" i="1"/>
  <c r="P2711" i="1"/>
  <c r="O2711" i="1"/>
  <c r="R2710" i="1"/>
  <c r="P2710" i="1"/>
  <c r="O2710" i="1"/>
  <c r="R2709" i="1"/>
  <c r="P2709" i="1"/>
  <c r="O2709" i="1"/>
  <c r="R2708" i="1"/>
  <c r="P2708" i="1"/>
  <c r="O2708" i="1"/>
  <c r="R2707" i="1"/>
  <c r="P2707" i="1"/>
  <c r="O2707" i="1"/>
  <c r="R2706" i="1"/>
  <c r="P2706" i="1"/>
  <c r="O2706" i="1"/>
  <c r="R2705" i="1"/>
  <c r="P2705" i="1"/>
  <c r="O2705" i="1"/>
  <c r="R2704" i="1"/>
  <c r="P2704" i="1"/>
  <c r="O2704" i="1"/>
  <c r="R2703" i="1"/>
  <c r="P2703" i="1"/>
  <c r="O2703" i="1"/>
  <c r="R2702" i="1"/>
  <c r="P2702" i="1"/>
  <c r="O2702" i="1"/>
  <c r="R2701" i="1"/>
  <c r="P2701" i="1"/>
  <c r="O2701" i="1"/>
  <c r="R2700" i="1"/>
  <c r="P2700" i="1"/>
  <c r="O2700" i="1"/>
  <c r="R2699" i="1"/>
  <c r="P2699" i="1"/>
  <c r="O2699" i="1"/>
  <c r="R2698" i="1"/>
  <c r="P2698" i="1"/>
  <c r="O2698" i="1"/>
  <c r="R2697" i="1"/>
  <c r="P2697" i="1"/>
  <c r="O2697" i="1"/>
  <c r="R2696" i="1"/>
  <c r="P2696" i="1"/>
  <c r="O2696" i="1"/>
  <c r="R2695" i="1"/>
  <c r="P2695" i="1"/>
  <c r="O2695" i="1"/>
  <c r="R2694" i="1"/>
  <c r="P2694" i="1"/>
  <c r="O2694" i="1"/>
  <c r="R2693" i="1"/>
  <c r="P2693" i="1"/>
  <c r="O2693" i="1"/>
  <c r="R2692" i="1"/>
  <c r="P2692" i="1"/>
  <c r="O2692" i="1"/>
  <c r="R2691" i="1"/>
  <c r="P2691" i="1"/>
  <c r="O2691" i="1"/>
  <c r="R2690" i="1"/>
  <c r="P2690" i="1"/>
  <c r="O2690" i="1"/>
  <c r="R2689" i="1"/>
  <c r="P2689" i="1"/>
  <c r="O2689" i="1"/>
  <c r="R2688" i="1"/>
  <c r="P2688" i="1"/>
  <c r="O2688" i="1"/>
  <c r="R2687" i="1"/>
  <c r="P2687" i="1"/>
  <c r="O2687" i="1"/>
  <c r="R2686" i="1"/>
  <c r="P2686" i="1"/>
  <c r="O2686" i="1"/>
  <c r="R2685" i="1"/>
  <c r="P2685" i="1"/>
  <c r="O2685" i="1"/>
  <c r="R2684" i="1"/>
  <c r="P2684" i="1"/>
  <c r="O2684" i="1"/>
  <c r="R2683" i="1"/>
  <c r="P2683" i="1"/>
  <c r="O2683" i="1"/>
  <c r="R2682" i="1"/>
  <c r="P2682" i="1"/>
  <c r="O2682" i="1"/>
  <c r="R2681" i="1"/>
  <c r="P2681" i="1"/>
  <c r="O2681" i="1"/>
  <c r="R2680" i="1"/>
  <c r="P2680" i="1"/>
  <c r="O2680" i="1"/>
  <c r="R2679" i="1"/>
  <c r="P2679" i="1"/>
  <c r="O2679" i="1"/>
  <c r="R2678" i="1"/>
  <c r="P2678" i="1"/>
  <c r="O2678" i="1"/>
  <c r="R2677" i="1"/>
  <c r="P2677" i="1"/>
  <c r="O2677" i="1"/>
  <c r="R2676" i="1"/>
  <c r="P2676" i="1"/>
  <c r="O2676" i="1"/>
  <c r="R2675" i="1"/>
  <c r="P2675" i="1"/>
  <c r="O2675" i="1"/>
  <c r="R2674" i="1"/>
  <c r="P2674" i="1"/>
  <c r="O2674" i="1"/>
  <c r="R2673" i="1"/>
  <c r="P2673" i="1"/>
  <c r="O2673" i="1"/>
  <c r="R2672" i="1"/>
  <c r="P2672" i="1"/>
  <c r="O2672" i="1"/>
  <c r="R2671" i="1"/>
  <c r="P2671" i="1"/>
  <c r="O2671" i="1"/>
  <c r="R2670" i="1"/>
  <c r="P2670" i="1"/>
  <c r="O2670" i="1"/>
  <c r="R2669" i="1"/>
  <c r="P2669" i="1"/>
  <c r="O2669" i="1"/>
  <c r="R2668" i="1"/>
  <c r="P2668" i="1"/>
  <c r="O2668" i="1"/>
  <c r="R2667" i="1"/>
  <c r="P2667" i="1"/>
  <c r="O2667" i="1"/>
  <c r="R2666" i="1"/>
  <c r="P2666" i="1"/>
  <c r="O2666" i="1"/>
  <c r="R2665" i="1"/>
  <c r="P2665" i="1"/>
  <c r="O2665" i="1"/>
  <c r="R2664" i="1"/>
  <c r="P2664" i="1"/>
  <c r="O2664" i="1"/>
  <c r="R2663" i="1"/>
  <c r="P2663" i="1"/>
  <c r="O2663" i="1"/>
  <c r="R2662" i="1"/>
  <c r="P2662" i="1"/>
  <c r="O2662" i="1"/>
  <c r="R2661" i="1"/>
  <c r="P2661" i="1"/>
  <c r="O2661" i="1"/>
  <c r="R2660" i="1"/>
  <c r="P2660" i="1"/>
  <c r="O2660" i="1"/>
  <c r="R2659" i="1"/>
  <c r="P2659" i="1"/>
  <c r="O2659" i="1"/>
  <c r="R2658" i="1"/>
  <c r="P2658" i="1"/>
  <c r="O2658" i="1"/>
  <c r="R2657" i="1"/>
  <c r="P2657" i="1"/>
  <c r="O2657" i="1"/>
  <c r="R2656" i="1"/>
  <c r="P2656" i="1"/>
  <c r="O2656" i="1"/>
  <c r="R2655" i="1"/>
  <c r="P2655" i="1"/>
  <c r="O2655" i="1"/>
  <c r="R2654" i="1"/>
  <c r="P2654" i="1"/>
  <c r="O2654" i="1"/>
  <c r="R2653" i="1"/>
  <c r="P2653" i="1"/>
  <c r="O2653" i="1"/>
  <c r="R2652" i="1"/>
  <c r="P2652" i="1"/>
  <c r="O2652" i="1"/>
  <c r="R2651" i="1"/>
  <c r="P2651" i="1"/>
  <c r="O2651" i="1"/>
  <c r="R2650" i="1"/>
  <c r="P2650" i="1"/>
  <c r="O2650" i="1"/>
  <c r="R2649" i="1"/>
  <c r="P2649" i="1"/>
  <c r="O2649" i="1"/>
  <c r="R2648" i="1"/>
  <c r="P2648" i="1"/>
  <c r="O2648" i="1"/>
  <c r="R2647" i="1"/>
  <c r="P2647" i="1"/>
  <c r="O2647" i="1"/>
  <c r="R2646" i="1"/>
  <c r="P2646" i="1"/>
  <c r="O2646" i="1"/>
  <c r="R2645" i="1"/>
  <c r="P2645" i="1"/>
  <c r="O2645" i="1"/>
  <c r="R2644" i="1"/>
  <c r="P2644" i="1"/>
  <c r="O2644" i="1"/>
  <c r="R2643" i="1"/>
  <c r="P2643" i="1"/>
  <c r="O2643" i="1"/>
  <c r="R2642" i="1"/>
  <c r="P2642" i="1"/>
  <c r="O2642" i="1"/>
  <c r="R2641" i="1"/>
  <c r="P2641" i="1"/>
  <c r="O2641" i="1"/>
  <c r="R2640" i="1"/>
  <c r="P2640" i="1"/>
  <c r="O2640" i="1"/>
  <c r="R2639" i="1"/>
  <c r="P2639" i="1"/>
  <c r="O2639" i="1"/>
  <c r="R2638" i="1"/>
  <c r="P2638" i="1"/>
  <c r="O2638" i="1"/>
  <c r="R2637" i="1"/>
  <c r="P2637" i="1"/>
  <c r="O2637" i="1"/>
  <c r="R2636" i="1"/>
  <c r="P2636" i="1"/>
  <c r="O2636" i="1"/>
  <c r="R2635" i="1"/>
  <c r="P2635" i="1"/>
  <c r="O2635" i="1"/>
  <c r="R2634" i="1"/>
  <c r="P2634" i="1"/>
  <c r="O2634" i="1"/>
  <c r="R2633" i="1"/>
  <c r="P2633" i="1"/>
  <c r="O2633" i="1"/>
  <c r="R2632" i="1"/>
  <c r="P2632" i="1"/>
  <c r="O2632" i="1"/>
  <c r="R2631" i="1"/>
  <c r="P2631" i="1"/>
  <c r="O2631" i="1"/>
  <c r="R2630" i="1"/>
  <c r="P2630" i="1"/>
  <c r="O2630" i="1"/>
  <c r="R2629" i="1"/>
  <c r="P2629" i="1"/>
  <c r="O2629" i="1"/>
  <c r="R2628" i="1"/>
  <c r="P2628" i="1"/>
  <c r="O2628" i="1"/>
  <c r="R2627" i="1"/>
  <c r="P2627" i="1"/>
  <c r="O2627" i="1"/>
  <c r="R2626" i="1"/>
  <c r="P2626" i="1"/>
  <c r="O2626" i="1"/>
  <c r="R2625" i="1"/>
  <c r="P2625" i="1"/>
  <c r="O2625" i="1"/>
  <c r="R2624" i="1"/>
  <c r="P2624" i="1"/>
  <c r="O2624" i="1"/>
  <c r="R2623" i="1"/>
  <c r="P2623" i="1"/>
  <c r="O2623" i="1"/>
  <c r="R2622" i="1"/>
  <c r="P2622" i="1"/>
  <c r="O2622" i="1"/>
  <c r="R2621" i="1"/>
  <c r="P2621" i="1"/>
  <c r="O2621" i="1"/>
  <c r="R2620" i="1"/>
  <c r="P2620" i="1"/>
  <c r="O2620" i="1"/>
  <c r="R2619" i="1"/>
  <c r="P2619" i="1"/>
  <c r="O2619" i="1"/>
  <c r="R2618" i="1"/>
  <c r="P2618" i="1"/>
  <c r="O2618" i="1"/>
  <c r="R2617" i="1"/>
  <c r="P2617" i="1"/>
  <c r="O2617" i="1"/>
  <c r="R2616" i="1"/>
  <c r="P2616" i="1"/>
  <c r="O2616" i="1"/>
  <c r="R2615" i="1"/>
  <c r="P2615" i="1"/>
  <c r="O2615" i="1"/>
  <c r="R2614" i="1"/>
  <c r="P2614" i="1"/>
  <c r="O2614" i="1"/>
  <c r="R2613" i="1"/>
  <c r="P2613" i="1"/>
  <c r="O2613" i="1"/>
  <c r="R2612" i="1"/>
  <c r="P2612" i="1"/>
  <c r="O2612" i="1"/>
  <c r="R2611" i="1"/>
  <c r="P2611" i="1"/>
  <c r="O2611" i="1"/>
  <c r="R2610" i="1"/>
  <c r="P2610" i="1"/>
  <c r="O2610" i="1"/>
  <c r="R2609" i="1"/>
  <c r="P2609" i="1"/>
  <c r="O2609" i="1"/>
  <c r="R2608" i="1"/>
  <c r="P2608" i="1"/>
  <c r="O2608" i="1"/>
  <c r="R2607" i="1"/>
  <c r="P2607" i="1"/>
  <c r="O2607" i="1"/>
  <c r="R2606" i="1"/>
  <c r="P2606" i="1"/>
  <c r="O2606" i="1"/>
  <c r="R2605" i="1"/>
  <c r="P2605" i="1"/>
  <c r="O2605" i="1"/>
  <c r="R2604" i="1"/>
  <c r="P2604" i="1"/>
  <c r="O2604" i="1"/>
  <c r="R2603" i="1"/>
  <c r="P2603" i="1"/>
  <c r="O2603" i="1"/>
  <c r="R2602" i="1"/>
  <c r="P2602" i="1"/>
  <c r="O2602" i="1"/>
  <c r="R2601" i="1"/>
  <c r="P2601" i="1"/>
  <c r="O2601" i="1"/>
  <c r="R2600" i="1"/>
  <c r="P2600" i="1"/>
  <c r="O2600" i="1"/>
  <c r="R2599" i="1"/>
  <c r="P2599" i="1"/>
  <c r="O2599" i="1"/>
  <c r="R2598" i="1"/>
  <c r="P2598" i="1"/>
  <c r="O2598" i="1"/>
  <c r="R2597" i="1"/>
  <c r="P2597" i="1"/>
  <c r="O2597" i="1"/>
  <c r="R2596" i="1"/>
  <c r="P2596" i="1"/>
  <c r="O2596" i="1"/>
  <c r="R2595" i="1"/>
  <c r="P2595" i="1"/>
  <c r="O2595" i="1"/>
  <c r="R2594" i="1"/>
  <c r="P2594" i="1"/>
  <c r="O2594" i="1"/>
  <c r="R2593" i="1"/>
  <c r="P2593" i="1"/>
  <c r="O2593" i="1"/>
  <c r="R2592" i="1"/>
  <c r="P2592" i="1"/>
  <c r="O2592" i="1"/>
  <c r="R2591" i="1"/>
  <c r="P2591" i="1"/>
  <c r="O2591" i="1"/>
  <c r="R2590" i="1"/>
  <c r="P2590" i="1"/>
  <c r="O2590" i="1"/>
  <c r="R2589" i="1"/>
  <c r="P2589" i="1"/>
  <c r="O2589" i="1"/>
  <c r="R2588" i="1"/>
  <c r="P2588" i="1"/>
  <c r="O2588" i="1"/>
  <c r="R2587" i="1"/>
  <c r="P2587" i="1"/>
  <c r="O2587" i="1"/>
  <c r="R2586" i="1"/>
  <c r="P2586" i="1"/>
  <c r="O2586" i="1"/>
  <c r="R2585" i="1"/>
  <c r="P2585" i="1"/>
  <c r="O2585" i="1"/>
  <c r="R2584" i="1"/>
  <c r="P2584" i="1"/>
  <c r="O2584" i="1"/>
  <c r="R2583" i="1"/>
  <c r="P2583" i="1"/>
  <c r="O2583" i="1"/>
  <c r="R2582" i="1"/>
  <c r="P2582" i="1"/>
  <c r="O2582" i="1"/>
  <c r="R2581" i="1"/>
  <c r="P2581" i="1"/>
  <c r="O2581" i="1"/>
  <c r="R2580" i="1"/>
  <c r="P2580" i="1"/>
  <c r="O2580" i="1"/>
  <c r="R2579" i="1"/>
  <c r="P2579" i="1"/>
  <c r="O2579" i="1"/>
  <c r="R2578" i="1"/>
  <c r="P2578" i="1"/>
  <c r="O2578" i="1"/>
  <c r="R2577" i="1"/>
  <c r="P2577" i="1"/>
  <c r="O2577" i="1"/>
  <c r="R2576" i="1"/>
  <c r="P2576" i="1"/>
  <c r="O2576" i="1"/>
  <c r="R2575" i="1"/>
  <c r="P2575" i="1"/>
  <c r="O2575" i="1"/>
  <c r="R2574" i="1"/>
  <c r="P2574" i="1"/>
  <c r="O2574" i="1"/>
  <c r="R2573" i="1"/>
  <c r="P2573" i="1"/>
  <c r="O2573" i="1"/>
  <c r="R2572" i="1"/>
  <c r="P2572" i="1"/>
  <c r="O2572" i="1"/>
  <c r="R2571" i="1"/>
  <c r="P2571" i="1"/>
  <c r="O2571" i="1"/>
  <c r="R2570" i="1"/>
  <c r="P2570" i="1"/>
  <c r="O2570" i="1"/>
  <c r="R2569" i="1"/>
  <c r="P2569" i="1"/>
  <c r="O2569" i="1"/>
  <c r="R2568" i="1"/>
  <c r="P2568" i="1"/>
  <c r="O2568" i="1"/>
  <c r="R2567" i="1"/>
  <c r="P2567" i="1"/>
  <c r="O2567" i="1"/>
  <c r="R2566" i="1"/>
  <c r="P2566" i="1"/>
  <c r="O2566" i="1"/>
  <c r="R2565" i="1"/>
  <c r="P2565" i="1"/>
  <c r="O2565" i="1"/>
  <c r="R2564" i="1"/>
  <c r="P2564" i="1"/>
  <c r="O2564" i="1"/>
  <c r="R2563" i="1"/>
  <c r="P2563" i="1"/>
  <c r="O2563" i="1"/>
  <c r="R2562" i="1"/>
  <c r="P2562" i="1"/>
  <c r="O2562" i="1"/>
  <c r="R2561" i="1"/>
  <c r="P2561" i="1"/>
  <c r="O2561" i="1"/>
  <c r="R2560" i="1"/>
  <c r="P2560" i="1"/>
  <c r="O2560" i="1"/>
  <c r="R2559" i="1"/>
  <c r="P2559" i="1"/>
  <c r="O2559" i="1"/>
  <c r="R2558" i="1"/>
  <c r="P2558" i="1"/>
  <c r="O2558" i="1"/>
  <c r="R2557" i="1"/>
  <c r="P2557" i="1"/>
  <c r="O2557" i="1"/>
  <c r="R2556" i="1"/>
  <c r="P2556" i="1"/>
  <c r="O2556" i="1"/>
  <c r="R2555" i="1"/>
  <c r="P2555" i="1"/>
  <c r="O2555" i="1"/>
  <c r="R2554" i="1"/>
  <c r="P2554" i="1"/>
  <c r="O2554" i="1"/>
  <c r="R2553" i="1"/>
  <c r="P2553" i="1"/>
  <c r="O2553" i="1"/>
  <c r="R2552" i="1"/>
  <c r="P2552" i="1"/>
  <c r="O2552" i="1"/>
  <c r="R2551" i="1"/>
  <c r="P2551" i="1"/>
  <c r="O2551" i="1"/>
  <c r="R2550" i="1"/>
  <c r="P2550" i="1"/>
  <c r="O2550" i="1"/>
  <c r="R2549" i="1"/>
  <c r="P2549" i="1"/>
  <c r="O2549" i="1"/>
  <c r="R2548" i="1"/>
  <c r="P2548" i="1"/>
  <c r="O2548" i="1"/>
  <c r="R2547" i="1"/>
  <c r="P2547" i="1"/>
  <c r="O2547" i="1"/>
  <c r="R2546" i="1"/>
  <c r="P2546" i="1"/>
  <c r="O2546" i="1"/>
  <c r="R2545" i="1"/>
  <c r="P2545" i="1"/>
  <c r="O2545" i="1"/>
  <c r="R2544" i="1"/>
  <c r="P2544" i="1"/>
  <c r="O2544" i="1"/>
  <c r="R2543" i="1"/>
  <c r="P2543" i="1"/>
  <c r="O2543" i="1"/>
  <c r="R2542" i="1"/>
  <c r="P2542" i="1"/>
  <c r="O2542" i="1"/>
  <c r="R2541" i="1"/>
  <c r="P2541" i="1"/>
  <c r="O2541" i="1"/>
  <c r="R2540" i="1"/>
  <c r="P2540" i="1"/>
  <c r="O2540" i="1"/>
  <c r="R2539" i="1"/>
  <c r="P2539" i="1"/>
  <c r="O2539" i="1"/>
  <c r="R2538" i="1"/>
  <c r="P2538" i="1"/>
  <c r="O2538" i="1"/>
  <c r="R2537" i="1"/>
  <c r="P2537" i="1"/>
  <c r="O2537" i="1"/>
  <c r="R2536" i="1"/>
  <c r="P2536" i="1"/>
  <c r="O2536" i="1"/>
  <c r="R2535" i="1"/>
  <c r="P2535" i="1"/>
  <c r="O2535" i="1"/>
  <c r="R2534" i="1"/>
  <c r="P2534" i="1"/>
  <c r="O2534" i="1"/>
  <c r="R2533" i="1"/>
  <c r="P2533" i="1"/>
  <c r="O2533" i="1"/>
  <c r="R2532" i="1"/>
  <c r="P2532" i="1"/>
  <c r="O2532" i="1"/>
  <c r="R2531" i="1"/>
  <c r="P2531" i="1"/>
  <c r="O2531" i="1"/>
  <c r="R2530" i="1"/>
  <c r="P2530" i="1"/>
  <c r="O2530" i="1"/>
  <c r="R2529" i="1"/>
  <c r="P2529" i="1"/>
  <c r="O2529" i="1"/>
  <c r="R2528" i="1"/>
  <c r="P2528" i="1"/>
  <c r="O2528" i="1"/>
  <c r="R2527" i="1"/>
  <c r="P2527" i="1"/>
  <c r="O2527" i="1"/>
  <c r="R2526" i="1"/>
  <c r="P2526" i="1"/>
  <c r="O2526" i="1"/>
  <c r="R2525" i="1"/>
  <c r="P2525" i="1"/>
  <c r="O2525" i="1"/>
  <c r="R2524" i="1"/>
  <c r="P2524" i="1"/>
  <c r="O2524" i="1"/>
  <c r="R2523" i="1"/>
  <c r="P2523" i="1"/>
  <c r="O2523" i="1"/>
  <c r="R2522" i="1"/>
  <c r="P2522" i="1"/>
  <c r="O2522" i="1"/>
  <c r="R2521" i="1"/>
  <c r="P2521" i="1"/>
  <c r="O2521" i="1"/>
  <c r="R2520" i="1"/>
  <c r="P2520" i="1"/>
  <c r="O2520" i="1"/>
  <c r="R2519" i="1"/>
  <c r="P2519" i="1"/>
  <c r="O2519" i="1"/>
  <c r="R2518" i="1"/>
  <c r="P2518" i="1"/>
  <c r="O2518" i="1"/>
  <c r="R2517" i="1"/>
  <c r="P2517" i="1"/>
  <c r="O2517" i="1"/>
  <c r="R2516" i="1"/>
  <c r="P2516" i="1"/>
  <c r="O2516" i="1"/>
  <c r="R2515" i="1"/>
  <c r="P2515" i="1"/>
  <c r="O2515" i="1"/>
  <c r="R2514" i="1"/>
  <c r="P2514" i="1"/>
  <c r="O2514" i="1"/>
  <c r="R2513" i="1"/>
  <c r="P2513" i="1"/>
  <c r="O2513" i="1"/>
  <c r="R2512" i="1"/>
  <c r="P2512" i="1"/>
  <c r="O2512" i="1"/>
  <c r="R2511" i="1"/>
  <c r="P2511" i="1"/>
  <c r="O2511" i="1"/>
  <c r="R2510" i="1"/>
  <c r="P2510" i="1"/>
  <c r="O2510" i="1"/>
  <c r="R2509" i="1"/>
  <c r="P2509" i="1"/>
  <c r="O2509" i="1"/>
  <c r="R2508" i="1"/>
  <c r="P2508" i="1"/>
  <c r="O2508" i="1"/>
  <c r="R2507" i="1"/>
  <c r="P2507" i="1"/>
  <c r="O2507" i="1"/>
  <c r="R2506" i="1"/>
  <c r="P2506" i="1"/>
  <c r="O2506" i="1"/>
  <c r="R2505" i="1"/>
  <c r="P2505" i="1"/>
  <c r="O2505" i="1"/>
  <c r="R2504" i="1"/>
  <c r="P2504" i="1"/>
  <c r="O2504" i="1"/>
  <c r="R2503" i="1"/>
  <c r="P2503" i="1"/>
  <c r="O2503" i="1"/>
  <c r="R2502" i="1"/>
  <c r="P2502" i="1"/>
  <c r="O2502" i="1"/>
  <c r="R2501" i="1"/>
  <c r="P2501" i="1"/>
  <c r="O2501" i="1"/>
  <c r="R2500" i="1"/>
  <c r="P2500" i="1"/>
  <c r="O2500" i="1"/>
  <c r="R2499" i="1"/>
  <c r="P2499" i="1"/>
  <c r="O2499" i="1"/>
  <c r="R2498" i="1"/>
  <c r="P2498" i="1"/>
  <c r="O2498" i="1"/>
  <c r="R2497" i="1"/>
  <c r="P2497" i="1"/>
  <c r="O2497" i="1"/>
  <c r="R2496" i="1"/>
  <c r="P2496" i="1"/>
  <c r="O2496" i="1"/>
  <c r="R2495" i="1"/>
  <c r="P2495" i="1"/>
  <c r="O2495" i="1"/>
  <c r="R2494" i="1"/>
  <c r="P2494" i="1"/>
  <c r="O2494" i="1"/>
  <c r="R2493" i="1"/>
  <c r="P2493" i="1"/>
  <c r="O2493" i="1"/>
  <c r="R2492" i="1"/>
  <c r="P2492" i="1"/>
  <c r="O2492" i="1"/>
  <c r="R2491" i="1"/>
  <c r="P2491" i="1"/>
  <c r="O2491" i="1"/>
  <c r="R2490" i="1"/>
  <c r="P2490" i="1"/>
  <c r="O2490" i="1"/>
  <c r="R2489" i="1"/>
  <c r="P2489" i="1"/>
  <c r="O2489" i="1"/>
  <c r="R2488" i="1"/>
  <c r="P2488" i="1"/>
  <c r="O2488" i="1"/>
  <c r="R2487" i="1"/>
  <c r="P2487" i="1"/>
  <c r="O2487" i="1"/>
  <c r="R2486" i="1"/>
  <c r="P2486" i="1"/>
  <c r="O2486" i="1"/>
  <c r="R2485" i="1"/>
  <c r="P2485" i="1"/>
  <c r="O2485" i="1"/>
  <c r="R2484" i="1"/>
  <c r="P2484" i="1"/>
  <c r="O2484" i="1"/>
  <c r="R2483" i="1"/>
  <c r="P2483" i="1"/>
  <c r="O2483" i="1"/>
  <c r="R2482" i="1"/>
  <c r="P2482" i="1"/>
  <c r="O2482" i="1"/>
  <c r="R2481" i="1"/>
  <c r="P2481" i="1"/>
  <c r="O2481" i="1"/>
  <c r="R2480" i="1"/>
  <c r="P2480" i="1"/>
  <c r="O2480" i="1"/>
  <c r="R2479" i="1"/>
  <c r="P2479" i="1"/>
  <c r="O2479" i="1"/>
  <c r="R2478" i="1"/>
  <c r="P2478" i="1"/>
  <c r="O2478" i="1"/>
  <c r="R2477" i="1"/>
  <c r="P2477" i="1"/>
  <c r="O2477" i="1"/>
  <c r="R2476" i="1"/>
  <c r="P2476" i="1"/>
  <c r="O2476" i="1"/>
  <c r="R2475" i="1"/>
  <c r="P2475" i="1"/>
  <c r="O2475" i="1"/>
  <c r="R2474" i="1"/>
  <c r="P2474" i="1"/>
  <c r="O2474" i="1"/>
  <c r="R2473" i="1"/>
  <c r="P2473" i="1"/>
  <c r="O2473" i="1"/>
  <c r="R2472" i="1"/>
  <c r="P2472" i="1"/>
  <c r="O2472" i="1"/>
  <c r="R2471" i="1"/>
  <c r="P2471" i="1"/>
  <c r="O2471" i="1"/>
  <c r="R2470" i="1"/>
  <c r="P2470" i="1"/>
  <c r="O2470" i="1"/>
  <c r="R2469" i="1"/>
  <c r="P2469" i="1"/>
  <c r="O2469" i="1"/>
  <c r="R2468" i="1"/>
  <c r="P2468" i="1"/>
  <c r="O2468" i="1"/>
  <c r="R2467" i="1"/>
  <c r="P2467" i="1"/>
  <c r="O2467" i="1"/>
  <c r="R2466" i="1"/>
  <c r="P2466" i="1"/>
  <c r="O2466" i="1"/>
  <c r="R2465" i="1"/>
  <c r="P2465" i="1"/>
  <c r="O2465" i="1"/>
  <c r="R2464" i="1"/>
  <c r="P2464" i="1"/>
  <c r="O2464" i="1"/>
  <c r="R2463" i="1"/>
  <c r="P2463" i="1"/>
  <c r="O2463" i="1"/>
  <c r="R2462" i="1"/>
  <c r="P2462" i="1"/>
  <c r="O2462" i="1"/>
  <c r="R2461" i="1"/>
  <c r="P2461" i="1"/>
  <c r="O2461" i="1"/>
  <c r="R2460" i="1"/>
  <c r="P2460" i="1"/>
  <c r="O2460" i="1"/>
  <c r="R2459" i="1"/>
  <c r="P2459" i="1"/>
  <c r="O2459" i="1"/>
  <c r="R2458" i="1"/>
  <c r="P2458" i="1"/>
  <c r="O2458" i="1"/>
  <c r="R2457" i="1"/>
  <c r="P2457" i="1"/>
  <c r="O2457" i="1"/>
  <c r="R2456" i="1"/>
  <c r="P2456" i="1"/>
  <c r="O2456" i="1"/>
  <c r="R2455" i="1"/>
  <c r="P2455" i="1"/>
  <c r="O2455" i="1"/>
  <c r="R2454" i="1"/>
  <c r="P2454" i="1"/>
  <c r="O2454" i="1"/>
  <c r="R2453" i="1"/>
  <c r="P2453" i="1"/>
  <c r="O2453" i="1"/>
  <c r="R2452" i="1"/>
  <c r="P2452" i="1"/>
  <c r="O2452" i="1"/>
  <c r="R2451" i="1"/>
  <c r="P2451" i="1"/>
  <c r="O2451" i="1"/>
  <c r="R2450" i="1"/>
  <c r="P2450" i="1"/>
  <c r="O2450" i="1"/>
  <c r="R2449" i="1"/>
  <c r="P2449" i="1"/>
  <c r="O2449" i="1"/>
  <c r="R2448" i="1"/>
  <c r="P2448" i="1"/>
  <c r="O2448" i="1"/>
  <c r="R2447" i="1"/>
  <c r="P2447" i="1"/>
  <c r="O2447" i="1"/>
  <c r="R2446" i="1"/>
  <c r="P2446" i="1"/>
  <c r="O2446" i="1"/>
  <c r="R2445" i="1"/>
  <c r="P2445" i="1"/>
  <c r="O2445" i="1"/>
  <c r="R2444" i="1"/>
  <c r="P2444" i="1"/>
  <c r="O2444" i="1"/>
  <c r="R2443" i="1"/>
  <c r="P2443" i="1"/>
  <c r="O2443" i="1"/>
  <c r="R2442" i="1"/>
  <c r="P2442" i="1"/>
  <c r="O2442" i="1"/>
  <c r="R2441" i="1"/>
  <c r="P2441" i="1"/>
  <c r="O2441" i="1"/>
  <c r="R2440" i="1"/>
  <c r="P2440" i="1"/>
  <c r="O2440" i="1"/>
  <c r="R2439" i="1"/>
  <c r="P2439" i="1"/>
  <c r="O2439" i="1"/>
  <c r="R2438" i="1"/>
  <c r="P2438" i="1"/>
  <c r="O2438" i="1"/>
  <c r="R2437" i="1"/>
  <c r="P2437" i="1"/>
  <c r="O2437" i="1"/>
  <c r="R2436" i="1"/>
  <c r="P2436" i="1"/>
  <c r="O2436" i="1"/>
  <c r="R2435" i="1"/>
  <c r="P2435" i="1"/>
  <c r="O2435" i="1"/>
  <c r="R2434" i="1"/>
  <c r="P2434" i="1"/>
  <c r="O2434" i="1"/>
  <c r="R2433" i="1"/>
  <c r="P2433" i="1"/>
  <c r="O2433" i="1"/>
  <c r="R2432" i="1"/>
  <c r="P2432" i="1"/>
  <c r="O2432" i="1"/>
  <c r="R2431" i="1"/>
  <c r="P2431" i="1"/>
  <c r="O2431" i="1"/>
  <c r="R2430" i="1"/>
  <c r="P2430" i="1"/>
  <c r="O2430" i="1"/>
  <c r="R2429" i="1"/>
  <c r="P2429" i="1"/>
  <c r="O2429" i="1"/>
  <c r="R2428" i="1"/>
  <c r="P2428" i="1"/>
  <c r="O2428" i="1"/>
  <c r="R2427" i="1"/>
  <c r="P2427" i="1"/>
  <c r="O2427" i="1"/>
  <c r="R2426" i="1"/>
  <c r="P2426" i="1"/>
  <c r="O2426" i="1"/>
  <c r="R2425" i="1"/>
  <c r="P2425" i="1"/>
  <c r="O2425" i="1"/>
  <c r="R2424" i="1"/>
  <c r="P2424" i="1"/>
  <c r="O2424" i="1"/>
  <c r="R2423" i="1"/>
  <c r="P2423" i="1"/>
  <c r="O2423" i="1"/>
  <c r="R2422" i="1"/>
  <c r="P2422" i="1"/>
  <c r="O2422" i="1"/>
  <c r="R2421" i="1"/>
  <c r="P2421" i="1"/>
  <c r="O2421" i="1"/>
  <c r="R2420" i="1"/>
  <c r="P2420" i="1"/>
  <c r="O2420" i="1"/>
  <c r="R2419" i="1"/>
  <c r="P2419" i="1"/>
  <c r="O2419" i="1"/>
  <c r="R2418" i="1"/>
  <c r="P2418" i="1"/>
  <c r="O2418" i="1"/>
  <c r="R2417" i="1"/>
  <c r="P2417" i="1"/>
  <c r="O2417" i="1"/>
  <c r="R2416" i="1"/>
  <c r="P2416" i="1"/>
  <c r="O2416" i="1"/>
  <c r="R2415" i="1"/>
  <c r="P2415" i="1"/>
  <c r="O2415" i="1"/>
  <c r="R2414" i="1"/>
  <c r="P2414" i="1"/>
  <c r="O2414" i="1"/>
  <c r="R2413" i="1"/>
  <c r="P2413" i="1"/>
  <c r="O2413" i="1"/>
  <c r="R2412" i="1"/>
  <c r="P2412" i="1"/>
  <c r="O2412" i="1"/>
  <c r="R2411" i="1"/>
  <c r="P2411" i="1"/>
  <c r="O2411" i="1"/>
  <c r="R2410" i="1"/>
  <c r="P2410" i="1"/>
  <c r="O2410" i="1"/>
  <c r="R2409" i="1"/>
  <c r="P2409" i="1"/>
  <c r="O2409" i="1"/>
  <c r="R2408" i="1"/>
  <c r="P2408" i="1"/>
  <c r="O2408" i="1"/>
  <c r="R2407" i="1"/>
  <c r="P2407" i="1"/>
  <c r="O2407" i="1"/>
  <c r="R2406" i="1"/>
  <c r="P2406" i="1"/>
  <c r="O2406" i="1"/>
  <c r="R2405" i="1"/>
  <c r="P2405" i="1"/>
  <c r="O2405" i="1"/>
  <c r="R2404" i="1"/>
  <c r="P2404" i="1"/>
  <c r="O2404" i="1"/>
  <c r="R2403" i="1"/>
  <c r="P2403" i="1"/>
  <c r="O2403" i="1"/>
  <c r="R2402" i="1"/>
  <c r="P2402" i="1"/>
  <c r="O2402" i="1"/>
  <c r="R2401" i="1"/>
  <c r="P2401" i="1"/>
  <c r="O2401" i="1"/>
  <c r="R2400" i="1"/>
  <c r="P2400" i="1"/>
  <c r="O2400" i="1"/>
  <c r="R2399" i="1"/>
  <c r="P2399" i="1"/>
  <c r="O2399" i="1"/>
  <c r="R2398" i="1"/>
  <c r="P2398" i="1"/>
  <c r="O2398" i="1"/>
  <c r="R2397" i="1"/>
  <c r="P2397" i="1"/>
  <c r="O2397" i="1"/>
  <c r="R2396" i="1"/>
  <c r="P2396" i="1"/>
  <c r="O2396" i="1"/>
  <c r="R2395" i="1"/>
  <c r="P2395" i="1"/>
  <c r="O2395" i="1"/>
  <c r="R2394" i="1"/>
  <c r="P2394" i="1"/>
  <c r="O2394" i="1"/>
  <c r="R2393" i="1"/>
  <c r="P2393" i="1"/>
  <c r="O2393" i="1"/>
  <c r="R2392" i="1"/>
  <c r="P2392" i="1"/>
  <c r="O2392" i="1"/>
  <c r="R2391" i="1"/>
  <c r="P2391" i="1"/>
  <c r="O2391" i="1"/>
  <c r="R2390" i="1"/>
  <c r="P2390" i="1"/>
  <c r="O2390" i="1"/>
  <c r="R2389" i="1"/>
  <c r="P2389" i="1"/>
  <c r="O2389" i="1"/>
  <c r="R2388" i="1"/>
  <c r="P2388" i="1"/>
  <c r="O2388" i="1"/>
  <c r="R2387" i="1"/>
  <c r="P2387" i="1"/>
  <c r="O2387" i="1"/>
  <c r="R2386" i="1"/>
  <c r="P2386" i="1"/>
  <c r="O2386" i="1"/>
  <c r="R2385" i="1"/>
  <c r="P2385" i="1"/>
  <c r="O2385" i="1"/>
  <c r="R2384" i="1"/>
  <c r="P2384" i="1"/>
  <c r="O2384" i="1"/>
  <c r="R2383" i="1"/>
  <c r="P2383" i="1"/>
  <c r="O2383" i="1"/>
  <c r="R2382" i="1"/>
  <c r="P2382" i="1"/>
  <c r="O2382" i="1"/>
  <c r="R2381" i="1"/>
  <c r="P2381" i="1"/>
  <c r="O2381" i="1"/>
  <c r="R2380" i="1"/>
  <c r="P2380" i="1"/>
  <c r="O2380" i="1"/>
  <c r="R2379" i="1"/>
  <c r="P2379" i="1"/>
  <c r="O2379" i="1"/>
  <c r="R2378" i="1"/>
  <c r="P2378" i="1"/>
  <c r="O2378" i="1"/>
  <c r="R2377" i="1"/>
  <c r="P2377" i="1"/>
  <c r="O2377" i="1"/>
  <c r="R2376" i="1"/>
  <c r="P2376" i="1"/>
  <c r="O2376" i="1"/>
  <c r="R2375" i="1"/>
  <c r="P2375" i="1"/>
  <c r="O2375" i="1"/>
  <c r="R2374" i="1"/>
  <c r="P2374" i="1"/>
  <c r="O2374" i="1"/>
  <c r="R2373" i="1"/>
  <c r="P2373" i="1"/>
  <c r="O2373" i="1"/>
  <c r="R2372" i="1"/>
  <c r="P2372" i="1"/>
  <c r="O2372" i="1"/>
  <c r="R2371" i="1"/>
  <c r="P2371" i="1"/>
  <c r="O2371" i="1"/>
  <c r="R2370" i="1"/>
  <c r="P2370" i="1"/>
  <c r="O2370" i="1"/>
  <c r="R2369" i="1"/>
  <c r="P2369" i="1"/>
  <c r="O2369" i="1"/>
  <c r="R2368" i="1"/>
  <c r="P2368" i="1"/>
  <c r="O2368" i="1"/>
  <c r="R2367" i="1"/>
  <c r="P2367" i="1"/>
  <c r="O2367" i="1"/>
  <c r="R2366" i="1"/>
  <c r="P2366" i="1"/>
  <c r="O2366" i="1"/>
  <c r="R2365" i="1"/>
  <c r="P2365" i="1"/>
  <c r="O2365" i="1"/>
  <c r="R2364" i="1"/>
  <c r="P2364" i="1"/>
  <c r="O2364" i="1"/>
  <c r="R2363" i="1"/>
  <c r="P2363" i="1"/>
  <c r="O2363" i="1"/>
  <c r="R2362" i="1"/>
  <c r="P2362" i="1"/>
  <c r="O2362" i="1"/>
  <c r="R2361" i="1"/>
  <c r="P2361" i="1"/>
  <c r="O2361" i="1"/>
  <c r="R2360" i="1"/>
  <c r="P2360" i="1"/>
  <c r="O2360" i="1"/>
  <c r="R2359" i="1"/>
  <c r="P2359" i="1"/>
  <c r="O2359" i="1"/>
  <c r="R2358" i="1"/>
  <c r="P2358" i="1"/>
  <c r="O2358" i="1"/>
  <c r="R2357" i="1"/>
  <c r="P2357" i="1"/>
  <c r="O2357" i="1"/>
  <c r="R2356" i="1"/>
  <c r="P2356" i="1"/>
  <c r="O2356" i="1"/>
  <c r="R2355" i="1"/>
  <c r="P2355" i="1"/>
  <c r="O2355" i="1"/>
  <c r="R2354" i="1"/>
  <c r="P2354" i="1"/>
  <c r="O2354" i="1"/>
  <c r="R2353" i="1"/>
  <c r="P2353" i="1"/>
  <c r="O2353" i="1"/>
  <c r="R2352" i="1"/>
  <c r="P2352" i="1"/>
  <c r="O2352" i="1"/>
  <c r="R2351" i="1"/>
  <c r="P2351" i="1"/>
  <c r="O2351" i="1"/>
  <c r="R2350" i="1"/>
  <c r="P2350" i="1"/>
  <c r="O2350" i="1"/>
  <c r="R2349" i="1"/>
  <c r="P2349" i="1"/>
  <c r="O2349" i="1"/>
  <c r="R2348" i="1"/>
  <c r="P2348" i="1"/>
  <c r="O2348" i="1"/>
  <c r="R2347" i="1"/>
  <c r="P2347" i="1"/>
  <c r="O2347" i="1"/>
  <c r="R2346" i="1"/>
  <c r="P2346" i="1"/>
  <c r="O2346" i="1"/>
  <c r="R2345" i="1"/>
  <c r="P2345" i="1"/>
  <c r="O2345" i="1"/>
  <c r="R2344" i="1"/>
  <c r="P2344" i="1"/>
  <c r="O2344" i="1"/>
  <c r="R2343" i="1"/>
  <c r="P2343" i="1"/>
  <c r="O2343" i="1"/>
  <c r="R2342" i="1"/>
  <c r="P2342" i="1"/>
  <c r="O2342" i="1"/>
  <c r="R2341" i="1"/>
  <c r="P2341" i="1"/>
  <c r="O2341" i="1"/>
  <c r="R2340" i="1"/>
  <c r="P2340" i="1"/>
  <c r="O2340" i="1"/>
  <c r="R2339" i="1"/>
  <c r="P2339" i="1"/>
  <c r="O2339" i="1"/>
  <c r="R2338" i="1"/>
  <c r="P2338" i="1"/>
  <c r="O2338" i="1"/>
  <c r="R2337" i="1"/>
  <c r="P2337" i="1"/>
  <c r="O2337" i="1"/>
  <c r="R2336" i="1"/>
  <c r="P2336" i="1"/>
  <c r="O2336" i="1"/>
  <c r="R2335" i="1"/>
  <c r="P2335" i="1"/>
  <c r="O2335" i="1"/>
  <c r="R2334" i="1"/>
  <c r="P2334" i="1"/>
  <c r="O2334" i="1"/>
  <c r="R2333" i="1"/>
  <c r="P2333" i="1"/>
  <c r="O2333" i="1"/>
  <c r="R2332" i="1"/>
  <c r="P2332" i="1"/>
  <c r="O2332" i="1"/>
  <c r="R2331" i="1"/>
  <c r="P2331" i="1"/>
  <c r="O2331" i="1"/>
  <c r="R2330" i="1"/>
  <c r="P2330" i="1"/>
  <c r="O2330" i="1"/>
  <c r="R2329" i="1"/>
  <c r="P2329" i="1"/>
  <c r="O2329" i="1"/>
  <c r="R2328" i="1"/>
  <c r="P2328" i="1"/>
  <c r="O2328" i="1"/>
  <c r="R2327" i="1"/>
  <c r="P2327" i="1"/>
  <c r="O2327" i="1"/>
  <c r="R2326" i="1"/>
  <c r="P2326" i="1"/>
  <c r="O2326" i="1"/>
  <c r="R2325" i="1"/>
  <c r="P2325" i="1"/>
  <c r="O2325" i="1"/>
  <c r="R2324" i="1"/>
  <c r="P2324" i="1"/>
  <c r="O2324" i="1"/>
  <c r="R2323" i="1"/>
  <c r="P2323" i="1"/>
  <c r="O2323" i="1"/>
  <c r="R2322" i="1"/>
  <c r="P2322" i="1"/>
  <c r="O2322" i="1"/>
  <c r="R2321" i="1"/>
  <c r="P2321" i="1"/>
  <c r="O2321" i="1"/>
  <c r="R2320" i="1"/>
  <c r="P2320" i="1"/>
  <c r="O2320" i="1"/>
  <c r="R2319" i="1"/>
  <c r="P2319" i="1"/>
  <c r="O2319" i="1"/>
  <c r="R2318" i="1"/>
  <c r="P2318" i="1"/>
  <c r="O2318" i="1"/>
  <c r="R2317" i="1"/>
  <c r="P2317" i="1"/>
  <c r="O2317" i="1"/>
  <c r="R2316" i="1"/>
  <c r="P2316" i="1"/>
  <c r="O2316" i="1"/>
  <c r="R2315" i="1"/>
  <c r="P2315" i="1"/>
  <c r="O2315" i="1"/>
  <c r="R2314" i="1"/>
  <c r="P2314" i="1"/>
  <c r="O2314" i="1"/>
  <c r="R2313" i="1"/>
  <c r="P2313" i="1"/>
  <c r="O2313" i="1"/>
  <c r="R2312" i="1"/>
  <c r="P2312" i="1"/>
  <c r="O2312" i="1"/>
  <c r="R2311" i="1"/>
  <c r="P2311" i="1"/>
  <c r="O2311" i="1"/>
  <c r="R2310" i="1"/>
  <c r="P2310" i="1"/>
  <c r="O2310" i="1"/>
  <c r="R2309" i="1"/>
  <c r="P2309" i="1"/>
  <c r="O2309" i="1"/>
  <c r="R2308" i="1"/>
  <c r="P2308" i="1"/>
  <c r="O2308" i="1"/>
  <c r="R2307" i="1"/>
  <c r="P2307" i="1"/>
  <c r="O2307" i="1"/>
  <c r="R2306" i="1"/>
  <c r="P2306" i="1"/>
  <c r="O2306" i="1"/>
  <c r="R2305" i="1"/>
  <c r="P2305" i="1"/>
  <c r="O2305" i="1"/>
  <c r="R2304" i="1"/>
  <c r="P2304" i="1"/>
  <c r="O2304" i="1"/>
  <c r="R2303" i="1"/>
  <c r="P2303" i="1"/>
  <c r="O2303" i="1"/>
  <c r="R2302" i="1"/>
  <c r="P2302" i="1"/>
  <c r="O2302" i="1"/>
  <c r="R2301" i="1"/>
  <c r="P2301" i="1"/>
  <c r="O2301" i="1"/>
  <c r="R2300" i="1"/>
  <c r="P2300" i="1"/>
  <c r="O2300" i="1"/>
  <c r="R2299" i="1"/>
  <c r="P2299" i="1"/>
  <c r="O2299" i="1"/>
  <c r="R2298" i="1"/>
  <c r="P2298" i="1"/>
  <c r="O2298" i="1"/>
  <c r="R2297" i="1"/>
  <c r="P2297" i="1"/>
  <c r="O2297" i="1"/>
  <c r="R2296" i="1"/>
  <c r="P2296" i="1"/>
  <c r="O2296" i="1"/>
  <c r="R2295" i="1"/>
  <c r="P2295" i="1"/>
  <c r="O2295" i="1"/>
  <c r="R2294" i="1"/>
  <c r="P2294" i="1"/>
  <c r="O2294" i="1"/>
  <c r="R2293" i="1"/>
  <c r="P2293" i="1"/>
  <c r="O2293" i="1"/>
  <c r="R2292" i="1"/>
  <c r="P2292" i="1"/>
  <c r="O2292" i="1"/>
  <c r="R2291" i="1"/>
  <c r="P2291" i="1"/>
  <c r="O2291" i="1"/>
  <c r="R2290" i="1"/>
  <c r="P2290" i="1"/>
  <c r="O2290" i="1"/>
  <c r="R2289" i="1"/>
  <c r="P2289" i="1"/>
  <c r="O2289" i="1"/>
  <c r="R2288" i="1"/>
  <c r="P2288" i="1"/>
  <c r="O2288" i="1"/>
  <c r="R2287" i="1"/>
  <c r="P2287" i="1"/>
  <c r="O2287" i="1"/>
  <c r="R2286" i="1"/>
  <c r="P2286" i="1"/>
  <c r="O2286" i="1"/>
  <c r="R2285" i="1"/>
  <c r="P2285" i="1"/>
  <c r="O2285" i="1"/>
  <c r="R2284" i="1"/>
  <c r="P2284" i="1"/>
  <c r="O2284" i="1"/>
  <c r="R2283" i="1"/>
  <c r="P2283" i="1"/>
  <c r="O2283" i="1"/>
  <c r="R2282" i="1"/>
  <c r="P2282" i="1"/>
  <c r="O2282" i="1"/>
  <c r="R2281" i="1"/>
  <c r="P2281" i="1"/>
  <c r="O2281" i="1"/>
  <c r="R2280" i="1"/>
  <c r="P2280" i="1"/>
  <c r="O2280" i="1"/>
  <c r="R2279" i="1"/>
  <c r="P2279" i="1"/>
  <c r="O2279" i="1"/>
  <c r="R2278" i="1"/>
  <c r="P2278" i="1"/>
  <c r="O2278" i="1"/>
  <c r="R2277" i="1"/>
  <c r="P2277" i="1"/>
  <c r="O2277" i="1"/>
  <c r="R2276" i="1"/>
  <c r="P2276" i="1"/>
  <c r="O2276" i="1"/>
  <c r="R2275" i="1"/>
  <c r="P2275" i="1"/>
  <c r="O2275" i="1"/>
  <c r="R2274" i="1"/>
  <c r="P2274" i="1"/>
  <c r="O2274" i="1"/>
  <c r="R2273" i="1"/>
  <c r="P2273" i="1"/>
  <c r="O2273" i="1"/>
  <c r="R2272" i="1"/>
  <c r="P2272" i="1"/>
  <c r="O2272" i="1"/>
  <c r="R2271" i="1"/>
  <c r="P2271" i="1"/>
  <c r="O2271" i="1"/>
  <c r="R2270" i="1"/>
  <c r="P2270" i="1"/>
  <c r="O2270" i="1"/>
  <c r="R2269" i="1"/>
  <c r="P2269" i="1"/>
  <c r="O2269" i="1"/>
  <c r="R2268" i="1"/>
  <c r="P2268" i="1"/>
  <c r="O2268" i="1"/>
  <c r="R2267" i="1"/>
  <c r="P2267" i="1"/>
  <c r="O2267" i="1"/>
  <c r="R2266" i="1"/>
  <c r="P2266" i="1"/>
  <c r="O2266" i="1"/>
  <c r="R2265" i="1"/>
  <c r="P2265" i="1"/>
  <c r="O2265" i="1"/>
  <c r="R2264" i="1"/>
  <c r="P2264" i="1"/>
  <c r="O2264" i="1"/>
  <c r="R2263" i="1"/>
  <c r="P2263" i="1"/>
  <c r="O2263" i="1"/>
  <c r="R2262" i="1"/>
  <c r="P2262" i="1"/>
  <c r="O2262" i="1"/>
  <c r="R2261" i="1"/>
  <c r="P2261" i="1"/>
  <c r="O2261" i="1"/>
  <c r="R2260" i="1"/>
  <c r="P2260" i="1"/>
  <c r="O2260" i="1"/>
  <c r="R2259" i="1"/>
  <c r="P2259" i="1"/>
  <c r="O2259" i="1"/>
  <c r="R2258" i="1"/>
  <c r="P2258" i="1"/>
  <c r="O2258" i="1"/>
  <c r="R2257" i="1"/>
  <c r="P2257" i="1"/>
  <c r="O2257" i="1"/>
  <c r="R2256" i="1"/>
  <c r="P2256" i="1"/>
  <c r="O2256" i="1"/>
  <c r="R2255" i="1"/>
  <c r="P2255" i="1"/>
  <c r="O2255" i="1"/>
  <c r="R2254" i="1"/>
  <c r="P2254" i="1"/>
  <c r="O2254" i="1"/>
  <c r="R2253" i="1"/>
  <c r="P2253" i="1"/>
  <c r="O2253" i="1"/>
  <c r="R2252" i="1"/>
  <c r="P2252" i="1"/>
  <c r="O2252" i="1"/>
  <c r="R2251" i="1"/>
  <c r="P2251" i="1"/>
  <c r="O2251" i="1"/>
  <c r="R2250" i="1"/>
  <c r="P2250" i="1"/>
  <c r="O2250" i="1"/>
  <c r="R2249" i="1"/>
  <c r="P2249" i="1"/>
  <c r="O2249" i="1"/>
  <c r="R2248" i="1"/>
  <c r="P2248" i="1"/>
  <c r="O2248" i="1"/>
  <c r="R2247" i="1"/>
  <c r="P2247" i="1"/>
  <c r="O2247" i="1"/>
  <c r="R2246" i="1"/>
  <c r="P2246" i="1"/>
  <c r="O2246" i="1"/>
  <c r="R2245" i="1"/>
  <c r="P2245" i="1"/>
  <c r="O2245" i="1"/>
  <c r="R2244" i="1"/>
  <c r="P2244" i="1"/>
  <c r="O2244" i="1"/>
  <c r="R2243" i="1"/>
  <c r="P2243" i="1"/>
  <c r="O2243" i="1"/>
  <c r="R2242" i="1"/>
  <c r="P2242" i="1"/>
  <c r="O2242" i="1"/>
  <c r="R2241" i="1"/>
  <c r="P2241" i="1"/>
  <c r="O2241" i="1"/>
  <c r="R2240" i="1"/>
  <c r="P2240" i="1"/>
  <c r="O2240" i="1"/>
  <c r="R2239" i="1"/>
  <c r="P2239" i="1"/>
  <c r="O2239" i="1"/>
  <c r="R2238" i="1"/>
  <c r="P2238" i="1"/>
  <c r="O2238" i="1"/>
  <c r="R2237" i="1"/>
  <c r="P2237" i="1"/>
  <c r="O2237" i="1"/>
  <c r="R2236" i="1"/>
  <c r="P2236" i="1"/>
  <c r="O2236" i="1"/>
  <c r="R2235" i="1"/>
  <c r="P2235" i="1"/>
  <c r="O2235" i="1"/>
  <c r="R2234" i="1"/>
  <c r="P2234" i="1"/>
  <c r="O2234" i="1"/>
  <c r="R2233" i="1"/>
  <c r="P2233" i="1"/>
  <c r="O2233" i="1"/>
  <c r="R2232" i="1"/>
  <c r="P2232" i="1"/>
  <c r="O2232" i="1"/>
  <c r="R2231" i="1"/>
  <c r="P2231" i="1"/>
  <c r="O2231" i="1"/>
  <c r="R2230" i="1"/>
  <c r="P2230" i="1"/>
  <c r="O2230" i="1"/>
  <c r="R2229" i="1"/>
  <c r="P2229" i="1"/>
  <c r="O2229" i="1"/>
  <c r="R2228" i="1"/>
  <c r="P2228" i="1"/>
  <c r="O2228" i="1"/>
  <c r="R2227" i="1"/>
  <c r="P2227" i="1"/>
  <c r="O2227" i="1"/>
  <c r="R2226" i="1"/>
  <c r="P2226" i="1"/>
  <c r="O2226" i="1"/>
  <c r="R2225" i="1"/>
  <c r="P2225" i="1"/>
  <c r="O2225" i="1"/>
  <c r="R2224" i="1"/>
  <c r="P2224" i="1"/>
  <c r="O2224" i="1"/>
  <c r="R2223" i="1"/>
  <c r="P2223" i="1"/>
  <c r="O2223" i="1"/>
  <c r="R2222" i="1"/>
  <c r="P2222" i="1"/>
  <c r="O2222" i="1"/>
  <c r="R2221" i="1"/>
  <c r="P2221" i="1"/>
  <c r="O2221" i="1"/>
  <c r="R2220" i="1"/>
  <c r="P2220" i="1"/>
  <c r="O2220" i="1"/>
  <c r="R2219" i="1"/>
  <c r="P2219" i="1"/>
  <c r="O2219" i="1"/>
  <c r="R2218" i="1"/>
  <c r="P2218" i="1"/>
  <c r="O2218" i="1"/>
  <c r="R2217" i="1"/>
  <c r="P2217" i="1"/>
  <c r="O2217" i="1"/>
  <c r="R2216" i="1"/>
  <c r="P2216" i="1"/>
  <c r="O2216" i="1"/>
  <c r="R2215" i="1"/>
  <c r="P2215" i="1"/>
  <c r="O2215" i="1"/>
  <c r="R2214" i="1"/>
  <c r="P2214" i="1"/>
  <c r="O2214" i="1"/>
  <c r="R2213" i="1"/>
  <c r="P2213" i="1"/>
  <c r="O2213" i="1"/>
  <c r="R2212" i="1"/>
  <c r="P2212" i="1"/>
  <c r="O2212" i="1"/>
  <c r="R2211" i="1"/>
  <c r="P2211" i="1"/>
  <c r="O2211" i="1"/>
  <c r="R2210" i="1"/>
  <c r="P2210" i="1"/>
  <c r="O2210" i="1"/>
  <c r="R2209" i="1"/>
  <c r="P2209" i="1"/>
  <c r="O2209" i="1"/>
  <c r="R2208" i="1"/>
  <c r="P2208" i="1"/>
  <c r="O2208" i="1"/>
  <c r="R2207" i="1"/>
  <c r="P2207" i="1"/>
  <c r="O2207" i="1"/>
  <c r="R2206" i="1"/>
  <c r="P2206" i="1"/>
  <c r="O2206" i="1"/>
  <c r="R2205" i="1"/>
  <c r="P2205" i="1"/>
  <c r="O2205" i="1"/>
  <c r="R2204" i="1"/>
  <c r="P2204" i="1"/>
  <c r="O2204" i="1"/>
  <c r="R2203" i="1"/>
  <c r="P2203" i="1"/>
  <c r="O2203" i="1"/>
  <c r="R2202" i="1"/>
  <c r="P2202" i="1"/>
  <c r="O2202" i="1"/>
  <c r="R2201" i="1"/>
  <c r="P2201" i="1"/>
  <c r="O2201" i="1"/>
  <c r="R2200" i="1"/>
  <c r="P2200" i="1"/>
  <c r="O2200" i="1"/>
  <c r="R2199" i="1"/>
  <c r="P2199" i="1"/>
  <c r="O2199" i="1"/>
  <c r="R2198" i="1"/>
  <c r="P2198" i="1"/>
  <c r="O2198" i="1"/>
  <c r="R2197" i="1"/>
  <c r="P2197" i="1"/>
  <c r="O2197" i="1"/>
  <c r="R2196" i="1"/>
  <c r="P2196" i="1"/>
  <c r="O2196" i="1"/>
  <c r="R2195" i="1"/>
  <c r="P2195" i="1"/>
  <c r="O2195" i="1"/>
  <c r="R2194" i="1"/>
  <c r="P2194" i="1"/>
  <c r="O2194" i="1"/>
  <c r="R2193" i="1"/>
  <c r="P2193" i="1"/>
  <c r="O2193" i="1"/>
  <c r="R2192" i="1"/>
  <c r="P2192" i="1"/>
  <c r="O2192" i="1"/>
  <c r="R2191" i="1"/>
  <c r="P2191" i="1"/>
  <c r="O2191" i="1"/>
  <c r="R2190" i="1"/>
  <c r="P2190" i="1"/>
  <c r="O2190" i="1"/>
  <c r="R2189" i="1"/>
  <c r="P2189" i="1"/>
  <c r="O2189" i="1"/>
  <c r="R2188" i="1"/>
  <c r="P2188" i="1"/>
  <c r="O2188" i="1"/>
  <c r="R2187" i="1"/>
  <c r="P2187" i="1"/>
  <c r="O2187" i="1"/>
  <c r="R2186" i="1"/>
  <c r="P2186" i="1"/>
  <c r="O2186" i="1"/>
  <c r="R2185" i="1"/>
  <c r="P2185" i="1"/>
  <c r="O2185" i="1"/>
  <c r="R2184" i="1"/>
  <c r="P2184" i="1"/>
  <c r="O2184" i="1"/>
  <c r="R2183" i="1"/>
  <c r="P2183" i="1"/>
  <c r="O2183" i="1"/>
  <c r="R2182" i="1"/>
  <c r="P2182" i="1"/>
  <c r="O2182" i="1"/>
  <c r="R2181" i="1"/>
  <c r="P2181" i="1"/>
  <c r="O2181" i="1"/>
  <c r="R2180" i="1"/>
  <c r="P2180" i="1"/>
  <c r="O2180" i="1"/>
  <c r="R2179" i="1"/>
  <c r="P2179" i="1"/>
  <c r="O2179" i="1"/>
  <c r="R2178" i="1"/>
  <c r="P2178" i="1"/>
  <c r="O2178" i="1"/>
  <c r="R2177" i="1"/>
  <c r="P2177" i="1"/>
  <c r="O2177" i="1"/>
  <c r="R2176" i="1"/>
  <c r="P2176" i="1"/>
  <c r="O2176" i="1"/>
  <c r="R2175" i="1"/>
  <c r="P2175" i="1"/>
  <c r="O2175" i="1"/>
  <c r="R2174" i="1"/>
  <c r="P2174" i="1"/>
  <c r="O2174" i="1"/>
  <c r="R2173" i="1"/>
  <c r="P2173" i="1"/>
  <c r="O2173" i="1"/>
  <c r="R2172" i="1"/>
  <c r="P2172" i="1"/>
  <c r="O2172" i="1"/>
  <c r="R2171" i="1"/>
  <c r="P2171" i="1"/>
  <c r="O2171" i="1"/>
  <c r="R2170" i="1"/>
  <c r="P2170" i="1"/>
  <c r="O2170" i="1"/>
  <c r="R2169" i="1"/>
  <c r="P2169" i="1"/>
  <c r="O2169" i="1"/>
  <c r="R2168" i="1"/>
  <c r="P2168" i="1"/>
  <c r="O2168" i="1"/>
  <c r="R2167" i="1"/>
  <c r="P2167" i="1"/>
  <c r="O2167" i="1"/>
  <c r="R2166" i="1"/>
  <c r="P2166" i="1"/>
  <c r="O2166" i="1"/>
  <c r="R2165" i="1"/>
  <c r="P2165" i="1"/>
  <c r="O2165" i="1"/>
  <c r="R2164" i="1"/>
  <c r="P2164" i="1"/>
  <c r="O2164" i="1"/>
  <c r="R2163" i="1"/>
  <c r="P2163" i="1"/>
  <c r="O2163" i="1"/>
  <c r="R2162" i="1"/>
  <c r="P2162" i="1"/>
  <c r="O2162" i="1"/>
  <c r="R2161" i="1"/>
  <c r="P2161" i="1"/>
  <c r="O2161" i="1"/>
  <c r="R2160" i="1"/>
  <c r="P2160" i="1"/>
  <c r="O2160" i="1"/>
  <c r="R2159" i="1"/>
  <c r="P2159" i="1"/>
  <c r="O2159" i="1"/>
  <c r="R2158" i="1"/>
  <c r="P2158" i="1"/>
  <c r="O2158" i="1"/>
  <c r="R2157" i="1"/>
  <c r="P2157" i="1"/>
  <c r="O2157" i="1"/>
  <c r="R2156" i="1"/>
  <c r="P2156" i="1"/>
  <c r="O2156" i="1"/>
  <c r="R2155" i="1"/>
  <c r="P2155" i="1"/>
  <c r="O2155" i="1"/>
  <c r="R2154" i="1"/>
  <c r="P2154" i="1"/>
  <c r="O2154" i="1"/>
  <c r="R2153" i="1"/>
  <c r="P2153" i="1"/>
  <c r="O2153" i="1"/>
  <c r="R2152" i="1"/>
  <c r="P2152" i="1"/>
  <c r="O2152" i="1"/>
  <c r="R2151" i="1"/>
  <c r="P2151" i="1"/>
  <c r="O2151" i="1"/>
  <c r="R2150" i="1"/>
  <c r="P2150" i="1"/>
  <c r="O2150" i="1"/>
  <c r="R2149" i="1"/>
  <c r="P2149" i="1"/>
  <c r="O2149" i="1"/>
  <c r="R2148" i="1"/>
  <c r="P2148" i="1"/>
  <c r="O2148" i="1"/>
  <c r="R2147" i="1"/>
  <c r="P2147" i="1"/>
  <c r="O2147" i="1"/>
  <c r="R2146" i="1"/>
  <c r="P2146" i="1"/>
  <c r="O2146" i="1"/>
  <c r="R2145" i="1"/>
  <c r="P2145" i="1"/>
  <c r="O2145" i="1"/>
  <c r="R2144" i="1"/>
  <c r="P2144" i="1"/>
  <c r="O2144" i="1"/>
  <c r="R2143" i="1"/>
  <c r="P2143" i="1"/>
  <c r="O2143" i="1"/>
  <c r="R2142" i="1"/>
  <c r="P2142" i="1"/>
  <c r="O2142" i="1"/>
  <c r="R2141" i="1"/>
  <c r="P2141" i="1"/>
  <c r="O2141" i="1"/>
  <c r="R2140" i="1"/>
  <c r="P2140" i="1"/>
  <c r="O2140" i="1"/>
  <c r="R2139" i="1"/>
  <c r="P2139" i="1"/>
  <c r="O2139" i="1"/>
  <c r="R2138" i="1"/>
  <c r="P2138" i="1"/>
  <c r="O2138" i="1"/>
  <c r="R2137" i="1"/>
  <c r="P2137" i="1"/>
  <c r="O2137" i="1"/>
  <c r="R2136" i="1"/>
  <c r="P2136" i="1"/>
  <c r="O2136" i="1"/>
  <c r="R2135" i="1"/>
  <c r="P2135" i="1"/>
  <c r="O2135" i="1"/>
  <c r="R2134" i="1"/>
  <c r="P2134" i="1"/>
  <c r="O2134" i="1"/>
  <c r="R2133" i="1"/>
  <c r="P2133" i="1"/>
  <c r="O2133" i="1"/>
  <c r="R2132" i="1"/>
  <c r="P2132" i="1"/>
  <c r="O2132" i="1"/>
  <c r="R2131" i="1"/>
  <c r="P2131" i="1"/>
  <c r="O2131" i="1"/>
  <c r="R2130" i="1"/>
  <c r="P2130" i="1"/>
  <c r="O2130" i="1"/>
  <c r="R2129" i="1"/>
  <c r="P2129" i="1"/>
  <c r="O2129" i="1"/>
  <c r="R2128" i="1"/>
  <c r="P2128" i="1"/>
  <c r="O2128" i="1"/>
  <c r="R2127" i="1"/>
  <c r="P2127" i="1"/>
  <c r="O2127" i="1"/>
  <c r="R2126" i="1"/>
  <c r="P2126" i="1"/>
  <c r="O2126" i="1"/>
  <c r="R2125" i="1"/>
  <c r="P2125" i="1"/>
  <c r="O2125" i="1"/>
  <c r="R2124" i="1"/>
  <c r="P2124" i="1"/>
  <c r="O2124" i="1"/>
  <c r="R2123" i="1"/>
  <c r="P2123" i="1"/>
  <c r="O2123" i="1"/>
  <c r="R2122" i="1"/>
  <c r="P2122" i="1"/>
  <c r="O2122" i="1"/>
  <c r="R2121" i="1"/>
  <c r="P2121" i="1"/>
  <c r="O2121" i="1"/>
  <c r="R2120" i="1"/>
  <c r="P2120" i="1"/>
  <c r="O2120" i="1"/>
  <c r="R2119" i="1"/>
  <c r="P2119" i="1"/>
  <c r="O2119" i="1"/>
  <c r="R2118" i="1"/>
  <c r="P2118" i="1"/>
  <c r="O2118" i="1"/>
  <c r="R2117" i="1"/>
  <c r="P2117" i="1"/>
  <c r="O2117" i="1"/>
  <c r="R2116" i="1"/>
  <c r="P2116" i="1"/>
  <c r="O2116" i="1"/>
  <c r="R2115" i="1"/>
  <c r="P2115" i="1"/>
  <c r="O2115" i="1"/>
  <c r="R2114" i="1"/>
  <c r="P2114" i="1"/>
  <c r="O2114" i="1"/>
  <c r="R2113" i="1"/>
  <c r="P2113" i="1"/>
  <c r="O2113" i="1"/>
  <c r="R2112" i="1"/>
  <c r="P2112" i="1"/>
  <c r="O2112" i="1"/>
  <c r="R2111" i="1"/>
  <c r="P2111" i="1"/>
  <c r="O2111" i="1"/>
  <c r="R2110" i="1"/>
  <c r="P2110" i="1"/>
  <c r="O2110" i="1"/>
  <c r="R2109" i="1"/>
  <c r="P2109" i="1"/>
  <c r="O2109" i="1"/>
  <c r="R2108" i="1"/>
  <c r="P2108" i="1"/>
  <c r="O2108" i="1"/>
  <c r="R2107" i="1"/>
  <c r="P2107" i="1"/>
  <c r="O2107" i="1"/>
  <c r="R2106" i="1"/>
  <c r="P2106" i="1"/>
  <c r="O2106" i="1"/>
  <c r="R2105" i="1"/>
  <c r="P2105" i="1"/>
  <c r="O2105" i="1"/>
  <c r="R2104" i="1"/>
  <c r="P2104" i="1"/>
  <c r="O2104" i="1"/>
  <c r="R2103" i="1"/>
  <c r="P2103" i="1"/>
  <c r="O2103" i="1"/>
  <c r="R2102" i="1"/>
  <c r="P2102" i="1"/>
  <c r="O2102" i="1"/>
  <c r="R2101" i="1"/>
  <c r="P2101" i="1"/>
  <c r="O2101" i="1"/>
  <c r="R2100" i="1"/>
  <c r="P2100" i="1"/>
  <c r="O2100" i="1"/>
  <c r="R2099" i="1"/>
  <c r="P2099" i="1"/>
  <c r="O2099" i="1"/>
  <c r="R2098" i="1"/>
  <c r="P2098" i="1"/>
  <c r="O2098" i="1"/>
  <c r="R2097" i="1"/>
  <c r="P2097" i="1"/>
  <c r="O2097" i="1"/>
  <c r="R2096" i="1"/>
  <c r="P2096" i="1"/>
  <c r="O2096" i="1"/>
  <c r="R2095" i="1"/>
  <c r="P2095" i="1"/>
  <c r="O2095" i="1"/>
  <c r="R2094" i="1"/>
  <c r="P2094" i="1"/>
  <c r="O2094" i="1"/>
  <c r="R2093" i="1"/>
  <c r="P2093" i="1"/>
  <c r="O2093" i="1"/>
  <c r="R2092" i="1"/>
  <c r="P2092" i="1"/>
  <c r="O2092" i="1"/>
  <c r="R2091" i="1"/>
  <c r="P2091" i="1"/>
  <c r="O2091" i="1"/>
  <c r="R2090" i="1"/>
  <c r="P2090" i="1"/>
  <c r="O2090" i="1"/>
  <c r="R2089" i="1"/>
  <c r="P2089" i="1"/>
  <c r="O2089" i="1"/>
  <c r="R2088" i="1"/>
  <c r="P2088" i="1"/>
  <c r="O2088" i="1"/>
  <c r="R2087" i="1"/>
  <c r="P2087" i="1"/>
  <c r="O2087" i="1"/>
  <c r="R2086" i="1"/>
  <c r="P2086" i="1"/>
  <c r="O2086" i="1"/>
  <c r="R2085" i="1"/>
  <c r="P2085" i="1"/>
  <c r="O2085" i="1"/>
  <c r="R2084" i="1"/>
  <c r="P2084" i="1"/>
  <c r="O2084" i="1"/>
  <c r="R2083" i="1"/>
  <c r="P2083" i="1"/>
  <c r="O2083" i="1"/>
  <c r="R2082" i="1"/>
  <c r="P2082" i="1"/>
  <c r="O2082" i="1"/>
  <c r="R2081" i="1"/>
  <c r="P2081" i="1"/>
  <c r="O2081" i="1"/>
  <c r="R2080" i="1"/>
  <c r="P2080" i="1"/>
  <c r="O2080" i="1"/>
  <c r="R2079" i="1"/>
  <c r="P2079" i="1"/>
  <c r="O2079" i="1"/>
  <c r="R2078" i="1"/>
  <c r="P2078" i="1"/>
  <c r="O2078" i="1"/>
  <c r="R2077" i="1"/>
  <c r="P2077" i="1"/>
  <c r="O2077" i="1"/>
  <c r="R2076" i="1"/>
  <c r="P2076" i="1"/>
  <c r="O2076" i="1"/>
  <c r="R2075" i="1"/>
  <c r="P2075" i="1"/>
  <c r="O2075" i="1"/>
  <c r="R2074" i="1"/>
  <c r="P2074" i="1"/>
  <c r="O2074" i="1"/>
  <c r="R2073" i="1"/>
  <c r="P2073" i="1"/>
  <c r="O2073" i="1"/>
  <c r="R2072" i="1"/>
  <c r="P2072" i="1"/>
  <c r="O2072" i="1"/>
  <c r="R2071" i="1"/>
  <c r="P2071" i="1"/>
  <c r="O2071" i="1"/>
  <c r="R2070" i="1"/>
  <c r="P2070" i="1"/>
  <c r="O2070" i="1"/>
  <c r="R2069" i="1"/>
  <c r="P2069" i="1"/>
  <c r="O2069" i="1"/>
  <c r="R2068" i="1"/>
  <c r="P2068" i="1"/>
  <c r="O2068" i="1"/>
  <c r="R2067" i="1"/>
  <c r="P2067" i="1"/>
  <c r="O2067" i="1"/>
  <c r="R2066" i="1"/>
  <c r="P2066" i="1"/>
  <c r="O2066" i="1"/>
  <c r="R2065" i="1"/>
  <c r="P2065" i="1"/>
  <c r="O2065" i="1"/>
  <c r="R2064" i="1"/>
  <c r="P2064" i="1"/>
  <c r="O2064" i="1"/>
  <c r="R2063" i="1"/>
  <c r="P2063" i="1"/>
  <c r="O2063" i="1"/>
  <c r="R2062" i="1"/>
  <c r="P2062" i="1"/>
  <c r="O2062" i="1"/>
  <c r="R2061" i="1"/>
  <c r="P2061" i="1"/>
  <c r="O2061" i="1"/>
  <c r="R2060" i="1"/>
  <c r="P2060" i="1"/>
  <c r="O2060" i="1"/>
  <c r="R2059" i="1"/>
  <c r="P2059" i="1"/>
  <c r="O2059" i="1"/>
  <c r="R2058" i="1"/>
  <c r="P2058" i="1"/>
  <c r="O2058" i="1"/>
  <c r="R2057" i="1"/>
  <c r="P2057" i="1"/>
  <c r="O2057" i="1"/>
  <c r="R2056" i="1"/>
  <c r="P2056" i="1"/>
  <c r="O2056" i="1"/>
  <c r="R2055" i="1"/>
  <c r="P2055" i="1"/>
  <c r="O2055" i="1"/>
  <c r="R2054" i="1"/>
  <c r="P2054" i="1"/>
  <c r="O2054" i="1"/>
  <c r="R2053" i="1"/>
  <c r="P2053" i="1"/>
  <c r="O2053" i="1"/>
  <c r="R2052" i="1"/>
  <c r="P2052" i="1"/>
  <c r="O2052" i="1"/>
  <c r="R2051" i="1"/>
  <c r="P2051" i="1"/>
  <c r="O2051" i="1"/>
  <c r="R2050" i="1"/>
  <c r="P2050" i="1"/>
  <c r="O2050" i="1"/>
  <c r="R2049" i="1"/>
  <c r="P2049" i="1"/>
  <c r="O2049" i="1"/>
  <c r="R2048" i="1"/>
  <c r="P2048" i="1"/>
  <c r="O2048" i="1"/>
  <c r="R2047" i="1"/>
  <c r="P2047" i="1"/>
  <c r="O2047" i="1"/>
  <c r="R2046" i="1"/>
  <c r="P2046" i="1"/>
  <c r="O2046" i="1"/>
  <c r="R2045" i="1"/>
  <c r="P2045" i="1"/>
  <c r="O2045" i="1"/>
  <c r="R2044" i="1"/>
  <c r="P2044" i="1"/>
  <c r="O2044" i="1"/>
  <c r="R2043" i="1"/>
  <c r="P2043" i="1"/>
  <c r="O2043" i="1"/>
  <c r="R2042" i="1"/>
  <c r="P2042" i="1"/>
  <c r="O2042" i="1"/>
  <c r="R2041" i="1"/>
  <c r="P2041" i="1"/>
  <c r="O2041" i="1"/>
  <c r="R2040" i="1"/>
  <c r="P2040" i="1"/>
  <c r="O2040" i="1"/>
  <c r="R2039" i="1"/>
  <c r="P2039" i="1"/>
  <c r="O2039" i="1"/>
  <c r="R2038" i="1"/>
  <c r="P2038" i="1"/>
  <c r="O2038" i="1"/>
  <c r="R2037" i="1"/>
  <c r="P2037" i="1"/>
  <c r="O2037" i="1"/>
  <c r="R2036" i="1"/>
  <c r="P2036" i="1"/>
  <c r="O2036" i="1"/>
  <c r="R2035" i="1"/>
  <c r="P2035" i="1"/>
  <c r="O2035" i="1"/>
  <c r="R2034" i="1"/>
  <c r="P2034" i="1"/>
  <c r="O2034" i="1"/>
  <c r="R2033" i="1"/>
  <c r="P2033" i="1"/>
  <c r="O2033" i="1"/>
  <c r="R2032" i="1"/>
  <c r="P2032" i="1"/>
  <c r="O2032" i="1"/>
  <c r="R2031" i="1"/>
  <c r="P2031" i="1"/>
  <c r="O2031" i="1"/>
  <c r="R2030" i="1"/>
  <c r="P2030" i="1"/>
  <c r="O2030" i="1"/>
  <c r="R2029" i="1"/>
  <c r="P2029" i="1"/>
  <c r="O2029" i="1"/>
  <c r="R2028" i="1"/>
  <c r="P2028" i="1"/>
  <c r="O2028" i="1"/>
  <c r="R2027" i="1"/>
  <c r="P2027" i="1"/>
  <c r="O2027" i="1"/>
  <c r="R2026" i="1"/>
  <c r="P2026" i="1"/>
  <c r="O2026" i="1"/>
  <c r="R2025" i="1"/>
  <c r="P2025" i="1"/>
  <c r="O2025" i="1"/>
  <c r="R2024" i="1"/>
  <c r="P2024" i="1"/>
  <c r="O2024" i="1"/>
  <c r="R2023" i="1"/>
  <c r="P2023" i="1"/>
  <c r="O2023" i="1"/>
  <c r="R2022" i="1"/>
  <c r="P2022" i="1"/>
  <c r="O2022" i="1"/>
  <c r="R2021" i="1"/>
  <c r="P2021" i="1"/>
  <c r="O2021" i="1"/>
  <c r="R2020" i="1"/>
  <c r="P2020" i="1"/>
  <c r="O2020" i="1"/>
  <c r="R2019" i="1"/>
  <c r="P2019" i="1"/>
  <c r="O2019" i="1"/>
  <c r="R2018" i="1"/>
  <c r="P2018" i="1"/>
  <c r="O2018" i="1"/>
  <c r="R2017" i="1"/>
  <c r="P2017" i="1"/>
  <c r="O2017" i="1"/>
  <c r="R2016" i="1"/>
  <c r="P2016" i="1"/>
  <c r="O2016" i="1"/>
  <c r="R2015" i="1"/>
  <c r="P2015" i="1"/>
  <c r="O2015" i="1"/>
  <c r="R2014" i="1"/>
  <c r="P2014" i="1"/>
  <c r="O2014" i="1"/>
  <c r="R2013" i="1"/>
  <c r="P2013" i="1"/>
  <c r="O2013" i="1"/>
  <c r="R2012" i="1"/>
  <c r="P2012" i="1"/>
  <c r="O2012" i="1"/>
  <c r="R2011" i="1"/>
  <c r="P2011" i="1"/>
  <c r="O2011" i="1"/>
  <c r="R2010" i="1"/>
  <c r="P2010" i="1"/>
  <c r="O2010" i="1"/>
  <c r="R2009" i="1"/>
  <c r="P2009" i="1"/>
  <c r="O2009" i="1"/>
  <c r="R2008" i="1"/>
  <c r="P2008" i="1"/>
  <c r="O2008" i="1"/>
  <c r="R2007" i="1"/>
  <c r="P2007" i="1"/>
  <c r="O2007" i="1"/>
  <c r="R2006" i="1"/>
  <c r="P2006" i="1"/>
  <c r="O2006" i="1"/>
  <c r="R2005" i="1"/>
  <c r="P2005" i="1"/>
  <c r="O2005" i="1"/>
  <c r="R2004" i="1"/>
  <c r="P2004" i="1"/>
  <c r="O2004" i="1"/>
  <c r="R2003" i="1"/>
  <c r="P2003" i="1"/>
  <c r="O2003" i="1"/>
  <c r="R2002" i="1"/>
  <c r="P2002" i="1"/>
  <c r="O2002" i="1"/>
  <c r="R2001" i="1"/>
  <c r="P2001" i="1"/>
  <c r="O2001" i="1"/>
  <c r="R2000" i="1"/>
  <c r="P2000" i="1"/>
  <c r="O2000" i="1"/>
  <c r="R1999" i="1"/>
  <c r="P1999" i="1"/>
  <c r="O1999" i="1"/>
  <c r="R1998" i="1"/>
  <c r="P1998" i="1"/>
  <c r="O1998" i="1"/>
  <c r="R1997" i="1"/>
  <c r="P1997" i="1"/>
  <c r="O1997" i="1"/>
  <c r="R1996" i="1"/>
  <c r="P1996" i="1"/>
  <c r="O1996" i="1"/>
  <c r="R1995" i="1"/>
  <c r="P1995" i="1"/>
  <c r="O1995" i="1"/>
  <c r="R1994" i="1"/>
  <c r="P1994" i="1"/>
  <c r="O1994" i="1"/>
  <c r="R1993" i="1"/>
  <c r="P1993" i="1"/>
  <c r="O1993" i="1"/>
  <c r="R1992" i="1"/>
  <c r="P1992" i="1"/>
  <c r="O1992" i="1"/>
  <c r="R1991" i="1"/>
  <c r="P1991" i="1"/>
  <c r="O1991" i="1"/>
  <c r="R1990" i="1"/>
  <c r="P1990" i="1"/>
  <c r="O1990" i="1"/>
  <c r="R1989" i="1"/>
  <c r="P1989" i="1"/>
  <c r="O1989" i="1"/>
  <c r="R1988" i="1"/>
  <c r="P1988" i="1"/>
  <c r="O1988" i="1"/>
  <c r="R1987" i="1"/>
  <c r="P1987" i="1"/>
  <c r="O1987" i="1"/>
  <c r="R1986" i="1"/>
  <c r="P1986" i="1"/>
  <c r="O1986" i="1"/>
  <c r="R1985" i="1"/>
  <c r="P1985" i="1"/>
  <c r="O1985" i="1"/>
  <c r="R1984" i="1"/>
  <c r="P1984" i="1"/>
  <c r="O1984" i="1"/>
  <c r="R1983" i="1"/>
  <c r="P1983" i="1"/>
  <c r="O1983" i="1"/>
  <c r="R1982" i="1"/>
  <c r="P1982" i="1"/>
  <c r="O1982" i="1"/>
  <c r="R1981" i="1"/>
  <c r="P1981" i="1"/>
  <c r="O1981" i="1"/>
  <c r="R1980" i="1"/>
  <c r="P1980" i="1"/>
  <c r="O1980" i="1"/>
  <c r="R1979" i="1"/>
  <c r="P1979" i="1"/>
  <c r="O1979" i="1"/>
  <c r="R1978" i="1"/>
  <c r="P1978" i="1"/>
  <c r="O1978" i="1"/>
  <c r="R1977" i="1"/>
  <c r="P1977" i="1"/>
  <c r="O1977" i="1"/>
  <c r="R1976" i="1"/>
  <c r="P1976" i="1"/>
  <c r="O1976" i="1"/>
  <c r="R1975" i="1"/>
  <c r="P1975" i="1"/>
  <c r="O1975" i="1"/>
  <c r="R1974" i="1"/>
  <c r="P1974" i="1"/>
  <c r="O1974" i="1"/>
  <c r="R1973" i="1"/>
  <c r="P1973" i="1"/>
  <c r="O1973" i="1"/>
  <c r="R1972" i="1"/>
  <c r="P1972" i="1"/>
  <c r="O1972" i="1"/>
  <c r="R1971" i="1"/>
  <c r="P1971" i="1"/>
  <c r="O1971" i="1"/>
  <c r="R1970" i="1"/>
  <c r="P1970" i="1"/>
  <c r="O1970" i="1"/>
  <c r="R1969" i="1"/>
  <c r="P1969" i="1"/>
  <c r="O1969" i="1"/>
  <c r="R1968" i="1"/>
  <c r="P1968" i="1"/>
  <c r="O1968" i="1"/>
  <c r="R1967" i="1"/>
  <c r="P1967" i="1"/>
  <c r="O1967" i="1"/>
  <c r="R1966" i="1"/>
  <c r="P1966" i="1"/>
  <c r="O1966" i="1"/>
  <c r="R1965" i="1"/>
  <c r="P1965" i="1"/>
  <c r="O1965" i="1"/>
  <c r="R1964" i="1"/>
  <c r="P1964" i="1"/>
  <c r="O1964" i="1"/>
  <c r="R1963" i="1"/>
  <c r="P1963" i="1"/>
  <c r="O1963" i="1"/>
  <c r="R1962" i="1"/>
  <c r="P1962" i="1"/>
  <c r="O1962" i="1"/>
  <c r="R1961" i="1"/>
  <c r="P1961" i="1"/>
  <c r="O1961" i="1"/>
  <c r="R1960" i="1"/>
  <c r="P1960" i="1"/>
  <c r="O1960" i="1"/>
  <c r="R1959" i="1"/>
  <c r="P1959" i="1"/>
  <c r="O1959" i="1"/>
  <c r="R1958" i="1"/>
  <c r="P1958" i="1"/>
  <c r="O1958" i="1"/>
  <c r="R1957" i="1"/>
  <c r="P1957" i="1"/>
  <c r="O1957" i="1"/>
  <c r="R1956" i="1"/>
  <c r="P1956" i="1"/>
  <c r="O1956" i="1"/>
  <c r="R1955" i="1"/>
  <c r="P1955" i="1"/>
  <c r="O1955" i="1"/>
  <c r="R1954" i="1"/>
  <c r="P1954" i="1"/>
  <c r="O1954" i="1"/>
  <c r="R1953" i="1"/>
  <c r="P1953" i="1"/>
  <c r="O1953" i="1"/>
  <c r="R1952" i="1"/>
  <c r="P1952" i="1"/>
  <c r="O1952" i="1"/>
  <c r="R1951" i="1"/>
  <c r="P1951" i="1"/>
  <c r="O1951" i="1"/>
  <c r="R1950" i="1"/>
  <c r="P1950" i="1"/>
  <c r="O1950" i="1"/>
  <c r="R1949" i="1"/>
  <c r="P1949" i="1"/>
  <c r="O1949" i="1"/>
  <c r="R1948" i="1"/>
  <c r="P1948" i="1"/>
  <c r="O1948" i="1"/>
  <c r="R1947" i="1"/>
  <c r="P1947" i="1"/>
  <c r="O1947" i="1"/>
  <c r="R1946" i="1"/>
  <c r="P1946" i="1"/>
  <c r="O1946" i="1"/>
  <c r="R1945" i="1"/>
  <c r="P1945" i="1"/>
  <c r="O1945" i="1"/>
  <c r="R1944" i="1"/>
  <c r="P1944" i="1"/>
  <c r="O1944" i="1"/>
  <c r="R1943" i="1"/>
  <c r="P1943" i="1"/>
  <c r="O1943" i="1"/>
  <c r="R1942" i="1"/>
  <c r="P1942" i="1"/>
  <c r="O1942" i="1"/>
  <c r="R1941" i="1"/>
  <c r="P1941" i="1"/>
  <c r="O1941" i="1"/>
  <c r="R1940" i="1"/>
  <c r="P1940" i="1"/>
  <c r="O1940" i="1"/>
  <c r="R1939" i="1"/>
  <c r="P1939" i="1"/>
  <c r="O1939" i="1"/>
  <c r="R1938" i="1"/>
  <c r="P1938" i="1"/>
  <c r="O1938" i="1"/>
  <c r="R1937" i="1"/>
  <c r="P1937" i="1"/>
  <c r="O1937" i="1"/>
  <c r="R1936" i="1"/>
  <c r="P1936" i="1"/>
  <c r="O1936" i="1"/>
  <c r="R1935" i="1"/>
  <c r="P1935" i="1"/>
  <c r="O1935" i="1"/>
  <c r="R1934" i="1"/>
  <c r="P1934" i="1"/>
  <c r="O1934" i="1"/>
  <c r="R1933" i="1"/>
  <c r="P1933" i="1"/>
  <c r="O1933" i="1"/>
  <c r="R1932" i="1"/>
  <c r="P1932" i="1"/>
  <c r="O1932" i="1"/>
  <c r="R1931" i="1"/>
  <c r="P1931" i="1"/>
  <c r="O1931" i="1"/>
  <c r="R1930" i="1"/>
  <c r="P1930" i="1"/>
  <c r="O1930" i="1"/>
  <c r="R1929" i="1"/>
  <c r="P1929" i="1"/>
  <c r="O1929" i="1"/>
  <c r="R1928" i="1"/>
  <c r="P1928" i="1"/>
  <c r="O1928" i="1"/>
  <c r="R1927" i="1"/>
  <c r="P1927" i="1"/>
  <c r="O1927" i="1"/>
  <c r="R1926" i="1"/>
  <c r="P1926" i="1"/>
  <c r="O1926" i="1"/>
  <c r="R1925" i="1"/>
  <c r="P1925" i="1"/>
  <c r="O1925" i="1"/>
  <c r="R1924" i="1"/>
  <c r="P1924" i="1"/>
  <c r="O1924" i="1"/>
  <c r="R1923" i="1"/>
  <c r="P1923" i="1"/>
  <c r="O1923" i="1"/>
  <c r="R1922" i="1"/>
  <c r="P1922" i="1"/>
  <c r="O1922" i="1"/>
  <c r="R1921" i="1"/>
  <c r="P1921" i="1"/>
  <c r="O1921" i="1"/>
  <c r="R1920" i="1"/>
  <c r="P1920" i="1"/>
  <c r="O1920" i="1"/>
  <c r="R1919" i="1"/>
  <c r="P1919" i="1"/>
  <c r="O1919" i="1"/>
  <c r="R1918" i="1"/>
  <c r="P1918" i="1"/>
  <c r="O1918" i="1"/>
  <c r="R1917" i="1"/>
  <c r="P1917" i="1"/>
  <c r="O1917" i="1"/>
  <c r="R1916" i="1"/>
  <c r="P1916" i="1"/>
  <c r="O1916" i="1"/>
  <c r="R1915" i="1"/>
  <c r="P1915" i="1"/>
  <c r="O1915" i="1"/>
  <c r="R1914" i="1"/>
  <c r="P1914" i="1"/>
  <c r="O1914" i="1"/>
  <c r="R1913" i="1"/>
  <c r="P1913" i="1"/>
  <c r="O1913" i="1"/>
  <c r="R1912" i="1"/>
  <c r="P1912" i="1"/>
  <c r="O1912" i="1"/>
  <c r="R1911" i="1"/>
  <c r="P1911" i="1"/>
  <c r="O1911" i="1"/>
  <c r="R1910" i="1"/>
  <c r="P1910" i="1"/>
  <c r="O1910" i="1"/>
  <c r="R1909" i="1"/>
  <c r="P1909" i="1"/>
  <c r="O1909" i="1"/>
  <c r="R1908" i="1"/>
  <c r="P1908" i="1"/>
  <c r="O1908" i="1"/>
  <c r="R1907" i="1"/>
  <c r="P1907" i="1"/>
  <c r="O1907" i="1"/>
  <c r="R1906" i="1"/>
  <c r="P1906" i="1"/>
  <c r="O1906" i="1"/>
  <c r="R1905" i="1"/>
  <c r="P1905" i="1"/>
  <c r="O1905" i="1"/>
  <c r="R1904" i="1"/>
  <c r="P1904" i="1"/>
  <c r="O1904" i="1"/>
  <c r="R1903" i="1"/>
  <c r="P1903" i="1"/>
  <c r="O1903" i="1"/>
  <c r="R1902" i="1"/>
  <c r="P1902" i="1"/>
  <c r="O1902" i="1"/>
  <c r="R1901" i="1"/>
  <c r="P1901" i="1"/>
  <c r="O1901" i="1"/>
  <c r="R1900" i="1"/>
  <c r="P1900" i="1"/>
  <c r="O1900" i="1"/>
  <c r="R1899" i="1"/>
  <c r="P1899" i="1"/>
  <c r="O1899" i="1"/>
  <c r="R1898" i="1"/>
  <c r="P1898" i="1"/>
  <c r="O1898" i="1"/>
  <c r="R1897" i="1"/>
  <c r="P1897" i="1"/>
  <c r="O1897" i="1"/>
  <c r="R1896" i="1"/>
  <c r="P1896" i="1"/>
  <c r="O1896" i="1"/>
  <c r="R1895" i="1"/>
  <c r="P1895" i="1"/>
  <c r="O1895" i="1"/>
  <c r="R1894" i="1"/>
  <c r="P1894" i="1"/>
  <c r="O1894" i="1"/>
  <c r="R1893" i="1"/>
  <c r="P1893" i="1"/>
  <c r="O1893" i="1"/>
  <c r="R1892" i="1"/>
  <c r="P1892" i="1"/>
  <c r="O1892" i="1"/>
  <c r="R1891" i="1"/>
  <c r="P1891" i="1"/>
  <c r="O1891" i="1"/>
  <c r="R1890" i="1"/>
  <c r="P1890" i="1"/>
  <c r="O1890" i="1"/>
  <c r="R1889" i="1"/>
  <c r="P1889" i="1"/>
  <c r="O1889" i="1"/>
  <c r="R1888" i="1"/>
  <c r="P1888" i="1"/>
  <c r="O1888" i="1"/>
  <c r="R1887" i="1"/>
  <c r="P1887" i="1"/>
  <c r="O1887" i="1"/>
  <c r="R1886" i="1"/>
  <c r="P1886" i="1"/>
  <c r="O1886" i="1"/>
  <c r="R1885" i="1"/>
  <c r="P1885" i="1"/>
  <c r="O1885" i="1"/>
  <c r="R1884" i="1"/>
  <c r="P1884" i="1"/>
  <c r="O1884" i="1"/>
  <c r="R1883" i="1"/>
  <c r="P1883" i="1"/>
  <c r="O1883" i="1"/>
  <c r="R1882" i="1"/>
  <c r="P1882" i="1"/>
  <c r="O1882" i="1"/>
  <c r="R1881" i="1"/>
  <c r="P1881" i="1"/>
  <c r="O1881" i="1"/>
  <c r="R1880" i="1"/>
  <c r="P1880" i="1"/>
  <c r="O1880" i="1"/>
  <c r="R1879" i="1"/>
  <c r="P1879" i="1"/>
  <c r="O1879" i="1"/>
  <c r="R1878" i="1"/>
  <c r="P1878" i="1"/>
  <c r="O1878" i="1"/>
  <c r="R1877" i="1"/>
  <c r="P1877" i="1"/>
  <c r="O1877" i="1"/>
  <c r="R1876" i="1"/>
  <c r="P1876" i="1"/>
  <c r="O1876" i="1"/>
  <c r="R1875" i="1"/>
  <c r="P1875" i="1"/>
  <c r="O1875" i="1"/>
  <c r="R1874" i="1"/>
  <c r="P1874" i="1"/>
  <c r="O1874" i="1"/>
  <c r="R1873" i="1"/>
  <c r="P1873" i="1"/>
  <c r="O1873" i="1"/>
  <c r="R1872" i="1"/>
  <c r="P1872" i="1"/>
  <c r="O1872" i="1"/>
  <c r="R1871" i="1"/>
  <c r="P1871" i="1"/>
  <c r="O1871" i="1"/>
  <c r="R1870" i="1"/>
  <c r="P1870" i="1"/>
  <c r="O1870" i="1"/>
  <c r="R1869" i="1"/>
  <c r="P1869" i="1"/>
  <c r="O1869" i="1"/>
  <c r="R1868" i="1"/>
  <c r="P1868" i="1"/>
  <c r="O1868" i="1"/>
  <c r="R1867" i="1"/>
  <c r="P1867" i="1"/>
  <c r="O1867" i="1"/>
  <c r="R1866" i="1"/>
  <c r="P1866" i="1"/>
  <c r="O1866" i="1"/>
  <c r="R1865" i="1"/>
  <c r="P1865" i="1"/>
  <c r="O1865" i="1"/>
  <c r="R1864" i="1"/>
  <c r="P1864" i="1"/>
  <c r="O1864" i="1"/>
  <c r="R1863" i="1"/>
  <c r="P1863" i="1"/>
  <c r="O1863" i="1"/>
  <c r="R1862" i="1"/>
  <c r="P1862" i="1"/>
  <c r="O1862" i="1"/>
  <c r="R1861" i="1"/>
  <c r="P1861" i="1"/>
  <c r="O1861" i="1"/>
  <c r="R1860" i="1"/>
  <c r="P1860" i="1"/>
  <c r="O1860" i="1"/>
  <c r="R1859" i="1"/>
  <c r="P1859" i="1"/>
  <c r="O1859" i="1"/>
  <c r="R1858" i="1"/>
  <c r="P1858" i="1"/>
  <c r="O1858" i="1"/>
  <c r="R1857" i="1"/>
  <c r="P1857" i="1"/>
  <c r="O1857" i="1"/>
  <c r="R1856" i="1"/>
  <c r="P1856" i="1"/>
  <c r="O1856" i="1"/>
  <c r="R1855" i="1"/>
  <c r="P1855" i="1"/>
  <c r="O1855" i="1"/>
  <c r="R1854" i="1"/>
  <c r="P1854" i="1"/>
  <c r="O1854" i="1"/>
  <c r="R1853" i="1"/>
  <c r="P1853" i="1"/>
  <c r="O1853" i="1"/>
  <c r="R1852" i="1"/>
  <c r="P1852" i="1"/>
  <c r="O1852" i="1"/>
  <c r="R1851" i="1"/>
  <c r="P1851" i="1"/>
  <c r="O1851" i="1"/>
  <c r="R1850" i="1"/>
  <c r="P1850" i="1"/>
  <c r="O1850" i="1"/>
  <c r="R1849" i="1"/>
  <c r="P1849" i="1"/>
  <c r="O1849" i="1"/>
  <c r="R1848" i="1"/>
  <c r="P1848" i="1"/>
  <c r="O1848" i="1"/>
  <c r="R1847" i="1"/>
  <c r="P1847" i="1"/>
  <c r="O1847" i="1"/>
  <c r="R1846" i="1"/>
  <c r="P1846" i="1"/>
  <c r="O1846" i="1"/>
  <c r="R1845" i="1"/>
  <c r="P1845" i="1"/>
  <c r="O1845" i="1"/>
  <c r="R1844" i="1"/>
  <c r="P1844" i="1"/>
  <c r="O1844" i="1"/>
  <c r="R1843" i="1"/>
  <c r="P1843" i="1"/>
  <c r="O1843" i="1"/>
  <c r="R1842" i="1"/>
  <c r="P1842" i="1"/>
  <c r="O1842" i="1"/>
  <c r="R1841" i="1"/>
  <c r="P1841" i="1"/>
  <c r="O1841" i="1"/>
  <c r="R1840" i="1"/>
  <c r="P1840" i="1"/>
  <c r="O1840" i="1"/>
  <c r="R1839" i="1"/>
  <c r="P1839" i="1"/>
  <c r="O1839" i="1"/>
  <c r="R1838" i="1"/>
  <c r="P1838" i="1"/>
  <c r="O1838" i="1"/>
  <c r="R1837" i="1"/>
  <c r="P1837" i="1"/>
  <c r="O1837" i="1"/>
  <c r="R1836" i="1"/>
  <c r="P1836" i="1"/>
  <c r="O1836" i="1"/>
  <c r="R1835" i="1"/>
  <c r="P1835" i="1"/>
  <c r="O1835" i="1"/>
  <c r="R1834" i="1"/>
  <c r="P1834" i="1"/>
  <c r="O1834" i="1"/>
  <c r="R1833" i="1"/>
  <c r="P1833" i="1"/>
  <c r="O1833" i="1"/>
  <c r="R1832" i="1"/>
  <c r="P1832" i="1"/>
  <c r="O1832" i="1"/>
  <c r="R1831" i="1"/>
  <c r="P1831" i="1"/>
  <c r="O1831" i="1"/>
  <c r="R1830" i="1"/>
  <c r="P1830" i="1"/>
  <c r="O1830" i="1"/>
  <c r="R1829" i="1"/>
  <c r="P1829" i="1"/>
  <c r="O1829" i="1"/>
  <c r="R1828" i="1"/>
  <c r="P1828" i="1"/>
  <c r="O1828" i="1"/>
  <c r="R1827" i="1"/>
  <c r="P1827" i="1"/>
  <c r="O1827" i="1"/>
  <c r="R1826" i="1"/>
  <c r="P1826" i="1"/>
  <c r="O1826" i="1"/>
  <c r="R1825" i="1"/>
  <c r="P1825" i="1"/>
  <c r="O1825" i="1"/>
  <c r="R1824" i="1"/>
  <c r="P1824" i="1"/>
  <c r="O1824" i="1"/>
  <c r="R1823" i="1"/>
  <c r="P1823" i="1"/>
  <c r="O1823" i="1"/>
  <c r="R1822" i="1"/>
  <c r="P1822" i="1"/>
  <c r="O1822" i="1"/>
  <c r="R1821" i="1"/>
  <c r="P1821" i="1"/>
  <c r="O1821" i="1"/>
  <c r="R1820" i="1"/>
  <c r="P1820" i="1"/>
  <c r="O1820" i="1"/>
  <c r="R1819" i="1"/>
  <c r="P1819" i="1"/>
  <c r="O1819" i="1"/>
  <c r="R1818" i="1"/>
  <c r="P1818" i="1"/>
  <c r="O1818" i="1"/>
  <c r="R1817" i="1"/>
  <c r="P1817" i="1"/>
  <c r="O1817" i="1"/>
  <c r="R1816" i="1"/>
  <c r="P1816" i="1"/>
  <c r="O1816" i="1"/>
  <c r="R1815" i="1"/>
  <c r="P1815" i="1"/>
  <c r="O1815" i="1"/>
  <c r="R1814" i="1"/>
  <c r="P1814" i="1"/>
  <c r="O1814" i="1"/>
  <c r="R1813" i="1"/>
  <c r="P1813" i="1"/>
  <c r="O1813" i="1"/>
  <c r="R1812" i="1"/>
  <c r="P1812" i="1"/>
  <c r="O1812" i="1"/>
  <c r="R1811" i="1"/>
  <c r="P1811" i="1"/>
  <c r="O1811" i="1"/>
  <c r="R1810" i="1"/>
  <c r="P1810" i="1"/>
  <c r="O1810" i="1"/>
  <c r="R1809" i="1"/>
  <c r="P1809" i="1"/>
  <c r="O1809" i="1"/>
  <c r="R1808" i="1"/>
  <c r="P1808" i="1"/>
  <c r="O1808" i="1"/>
  <c r="R1807" i="1"/>
  <c r="P1807" i="1"/>
  <c r="O1807" i="1"/>
  <c r="R1806" i="1"/>
  <c r="P1806" i="1"/>
  <c r="O1806" i="1"/>
  <c r="R1805" i="1"/>
  <c r="P1805" i="1"/>
  <c r="O1805" i="1"/>
  <c r="R1804" i="1"/>
  <c r="P1804" i="1"/>
  <c r="O1804" i="1"/>
  <c r="R1803" i="1"/>
  <c r="P1803" i="1"/>
  <c r="O1803" i="1"/>
  <c r="R1802" i="1"/>
  <c r="P1802" i="1"/>
  <c r="O1802" i="1"/>
  <c r="R1801" i="1"/>
  <c r="P1801" i="1"/>
  <c r="O1801" i="1"/>
  <c r="R1800" i="1"/>
  <c r="P1800" i="1"/>
  <c r="O1800" i="1"/>
  <c r="R1799" i="1"/>
  <c r="P1799" i="1"/>
  <c r="O1799" i="1"/>
  <c r="R1798" i="1"/>
  <c r="P1798" i="1"/>
  <c r="O1798" i="1"/>
  <c r="R1797" i="1"/>
  <c r="P1797" i="1"/>
  <c r="O1797" i="1"/>
  <c r="R1796" i="1"/>
  <c r="P1796" i="1"/>
  <c r="O1796" i="1"/>
  <c r="R1795" i="1"/>
  <c r="P1795" i="1"/>
  <c r="O1795" i="1"/>
  <c r="R1794" i="1"/>
  <c r="P1794" i="1"/>
  <c r="O1794" i="1"/>
  <c r="R1793" i="1"/>
  <c r="P1793" i="1"/>
  <c r="O1793" i="1"/>
  <c r="R1792" i="1"/>
  <c r="P1792" i="1"/>
  <c r="O1792" i="1"/>
  <c r="R1791" i="1"/>
  <c r="P1791" i="1"/>
  <c r="O1791" i="1"/>
  <c r="R1790" i="1"/>
  <c r="P1790" i="1"/>
  <c r="O1790" i="1"/>
  <c r="R1789" i="1"/>
  <c r="P1789" i="1"/>
  <c r="O1789" i="1"/>
  <c r="R1788" i="1"/>
  <c r="P1788" i="1"/>
  <c r="O1788" i="1"/>
  <c r="R1787" i="1"/>
  <c r="P1787" i="1"/>
  <c r="O1787" i="1"/>
  <c r="R1786" i="1"/>
  <c r="P1786" i="1"/>
  <c r="O1786" i="1"/>
  <c r="R1785" i="1"/>
  <c r="P1785" i="1"/>
  <c r="O1785" i="1"/>
  <c r="R1784" i="1"/>
  <c r="P1784" i="1"/>
  <c r="O1784" i="1"/>
  <c r="R1783" i="1"/>
  <c r="P1783" i="1"/>
  <c r="O1783" i="1"/>
  <c r="R1782" i="1"/>
  <c r="P1782" i="1"/>
  <c r="O1782" i="1"/>
  <c r="R1781" i="1"/>
  <c r="P1781" i="1"/>
  <c r="O1781" i="1"/>
  <c r="R1780" i="1"/>
  <c r="P1780" i="1"/>
  <c r="O1780" i="1"/>
  <c r="R1779" i="1"/>
  <c r="P1779" i="1"/>
  <c r="O1779" i="1"/>
  <c r="R1778" i="1"/>
  <c r="P1778" i="1"/>
  <c r="O1778" i="1"/>
  <c r="R1777" i="1"/>
  <c r="P1777" i="1"/>
  <c r="O1777" i="1"/>
  <c r="R1776" i="1"/>
  <c r="P1776" i="1"/>
  <c r="O1776" i="1"/>
  <c r="R1775" i="1"/>
  <c r="P1775" i="1"/>
  <c r="O1775" i="1"/>
  <c r="R1774" i="1"/>
  <c r="P1774" i="1"/>
  <c r="O1774" i="1"/>
  <c r="R1773" i="1"/>
  <c r="P1773" i="1"/>
  <c r="O1773" i="1"/>
  <c r="R1772" i="1"/>
  <c r="P1772" i="1"/>
  <c r="O1772" i="1"/>
  <c r="R1771" i="1"/>
  <c r="P1771" i="1"/>
  <c r="O1771" i="1"/>
  <c r="R1770" i="1"/>
  <c r="P1770" i="1"/>
  <c r="O1770" i="1"/>
  <c r="R1769" i="1"/>
  <c r="P1769" i="1"/>
  <c r="O1769" i="1"/>
  <c r="R1768" i="1"/>
  <c r="P1768" i="1"/>
  <c r="O1768" i="1"/>
  <c r="R1767" i="1"/>
  <c r="P1767" i="1"/>
  <c r="O1767" i="1"/>
  <c r="R1766" i="1"/>
  <c r="P1766" i="1"/>
  <c r="O1766" i="1"/>
  <c r="R1765" i="1"/>
  <c r="P1765" i="1"/>
  <c r="O1765" i="1"/>
  <c r="R1764" i="1"/>
  <c r="P1764" i="1"/>
  <c r="O1764" i="1"/>
  <c r="R1763" i="1"/>
  <c r="P1763" i="1"/>
  <c r="O1763" i="1"/>
  <c r="R1762" i="1"/>
  <c r="P1762" i="1"/>
  <c r="O1762" i="1"/>
  <c r="R1761" i="1"/>
  <c r="P1761" i="1"/>
  <c r="O1761" i="1"/>
  <c r="R1760" i="1"/>
  <c r="P1760" i="1"/>
  <c r="O1760" i="1"/>
  <c r="R1759" i="1"/>
  <c r="P1759" i="1"/>
  <c r="O1759" i="1"/>
  <c r="R1758" i="1"/>
  <c r="P1758" i="1"/>
  <c r="O1758" i="1"/>
  <c r="R1757" i="1"/>
  <c r="P1757" i="1"/>
  <c r="O1757" i="1"/>
  <c r="R1756" i="1"/>
  <c r="P1756" i="1"/>
  <c r="O1756" i="1"/>
  <c r="R1755" i="1"/>
  <c r="P1755" i="1"/>
  <c r="O1755" i="1"/>
  <c r="R1754" i="1"/>
  <c r="P1754" i="1"/>
  <c r="O1754" i="1"/>
  <c r="R1753" i="1"/>
  <c r="P1753" i="1"/>
  <c r="O1753" i="1"/>
  <c r="R1752" i="1"/>
  <c r="P1752" i="1"/>
  <c r="O1752" i="1"/>
  <c r="R1751" i="1"/>
  <c r="P1751" i="1"/>
  <c r="O1751" i="1"/>
  <c r="R1750" i="1"/>
  <c r="P1750" i="1"/>
  <c r="O1750" i="1"/>
  <c r="R1749" i="1"/>
  <c r="P1749" i="1"/>
  <c r="O1749" i="1"/>
  <c r="R1748" i="1"/>
  <c r="P1748" i="1"/>
  <c r="O1748" i="1"/>
  <c r="R1747" i="1"/>
  <c r="P1747" i="1"/>
  <c r="O1747" i="1"/>
  <c r="R1746" i="1"/>
  <c r="P1746" i="1"/>
  <c r="O1746" i="1"/>
  <c r="R1745" i="1"/>
  <c r="P1745" i="1"/>
  <c r="O1745" i="1"/>
  <c r="R1744" i="1"/>
  <c r="P1744" i="1"/>
  <c r="O1744" i="1"/>
  <c r="R1743" i="1"/>
  <c r="P1743" i="1"/>
  <c r="O1743" i="1"/>
  <c r="R1742" i="1"/>
  <c r="P1742" i="1"/>
  <c r="O1742" i="1"/>
  <c r="R1741" i="1"/>
  <c r="P1741" i="1"/>
  <c r="O1741" i="1"/>
  <c r="R1740" i="1"/>
  <c r="P1740" i="1"/>
  <c r="O1740" i="1"/>
  <c r="R1739" i="1"/>
  <c r="P1739" i="1"/>
  <c r="O1739" i="1"/>
  <c r="R1738" i="1"/>
  <c r="P1738" i="1"/>
  <c r="O1738" i="1"/>
  <c r="R1737" i="1"/>
  <c r="P1737" i="1"/>
  <c r="O1737" i="1"/>
  <c r="R1736" i="1"/>
  <c r="P1736" i="1"/>
  <c r="O1736" i="1"/>
  <c r="R1735" i="1"/>
  <c r="P1735" i="1"/>
  <c r="O1735" i="1"/>
  <c r="R1734" i="1"/>
  <c r="P1734" i="1"/>
  <c r="O1734" i="1"/>
  <c r="R1733" i="1"/>
  <c r="P1733" i="1"/>
  <c r="O1733" i="1"/>
  <c r="R1732" i="1"/>
  <c r="P1732" i="1"/>
  <c r="O1732" i="1"/>
  <c r="R1731" i="1"/>
  <c r="P1731" i="1"/>
  <c r="O1731" i="1"/>
  <c r="R1730" i="1"/>
  <c r="P1730" i="1"/>
  <c r="O1730" i="1"/>
  <c r="R1729" i="1"/>
  <c r="P1729" i="1"/>
  <c r="O1729" i="1"/>
  <c r="R1728" i="1"/>
  <c r="P1728" i="1"/>
  <c r="O1728" i="1"/>
  <c r="R1727" i="1"/>
  <c r="P1727" i="1"/>
  <c r="O1727" i="1"/>
  <c r="R1726" i="1"/>
  <c r="P1726" i="1"/>
  <c r="O1726" i="1"/>
  <c r="R1725" i="1"/>
  <c r="P1725" i="1"/>
  <c r="O1725" i="1"/>
  <c r="R1724" i="1"/>
  <c r="P1724" i="1"/>
  <c r="O1724" i="1"/>
  <c r="R1723" i="1"/>
  <c r="P1723" i="1"/>
  <c r="O1723" i="1"/>
  <c r="R1722" i="1"/>
  <c r="P1722" i="1"/>
  <c r="O1722" i="1"/>
  <c r="R1721" i="1"/>
  <c r="P1721" i="1"/>
  <c r="O1721" i="1"/>
  <c r="R1720" i="1"/>
  <c r="P1720" i="1"/>
  <c r="O1720" i="1"/>
  <c r="R1719" i="1"/>
  <c r="P1719" i="1"/>
  <c r="O1719" i="1"/>
  <c r="R1718" i="1"/>
  <c r="P1718" i="1"/>
  <c r="O1718" i="1"/>
  <c r="R1717" i="1"/>
  <c r="P1717" i="1"/>
  <c r="O1717" i="1"/>
  <c r="R1716" i="1"/>
  <c r="P1716" i="1"/>
  <c r="O1716" i="1"/>
  <c r="R1715" i="1"/>
  <c r="P1715" i="1"/>
  <c r="O1715" i="1"/>
  <c r="R1714" i="1"/>
  <c r="P1714" i="1"/>
  <c r="O1714" i="1"/>
  <c r="R1713" i="1"/>
  <c r="P1713" i="1"/>
  <c r="O1713" i="1"/>
  <c r="R1712" i="1"/>
  <c r="P1712" i="1"/>
  <c r="O1712" i="1"/>
  <c r="R1711" i="1"/>
  <c r="P1711" i="1"/>
  <c r="O1711" i="1"/>
  <c r="R1710" i="1"/>
  <c r="P1710" i="1"/>
  <c r="O1710" i="1"/>
  <c r="R1709" i="1"/>
  <c r="P1709" i="1"/>
  <c r="O1709" i="1"/>
  <c r="R1708" i="1"/>
  <c r="P1708" i="1"/>
  <c r="O1708" i="1"/>
  <c r="R1707" i="1"/>
  <c r="P1707" i="1"/>
  <c r="O1707" i="1"/>
  <c r="R1706" i="1"/>
  <c r="P1706" i="1"/>
  <c r="O1706" i="1"/>
  <c r="R1705" i="1"/>
  <c r="P1705" i="1"/>
  <c r="O1705" i="1"/>
  <c r="R1704" i="1"/>
  <c r="P1704" i="1"/>
  <c r="O1704" i="1"/>
  <c r="R1703" i="1"/>
  <c r="P1703" i="1"/>
  <c r="O1703" i="1"/>
  <c r="R1702" i="1"/>
  <c r="P1702" i="1"/>
  <c r="O1702" i="1"/>
  <c r="R1701" i="1"/>
  <c r="P1701" i="1"/>
  <c r="O1701" i="1"/>
  <c r="R1700" i="1"/>
  <c r="P1700" i="1"/>
  <c r="O1700" i="1"/>
  <c r="R1699" i="1"/>
  <c r="P1699" i="1"/>
  <c r="O1699" i="1"/>
  <c r="R1698" i="1"/>
  <c r="P1698" i="1"/>
  <c r="O1698" i="1"/>
  <c r="R1697" i="1"/>
  <c r="P1697" i="1"/>
  <c r="O1697" i="1"/>
  <c r="R1696" i="1"/>
  <c r="P1696" i="1"/>
  <c r="O1696" i="1"/>
  <c r="R1695" i="1"/>
  <c r="P1695" i="1"/>
  <c r="O1695" i="1"/>
  <c r="R1694" i="1"/>
  <c r="P1694" i="1"/>
  <c r="O1694" i="1"/>
  <c r="R1693" i="1"/>
  <c r="P1693" i="1"/>
  <c r="O1693" i="1"/>
  <c r="R1692" i="1"/>
  <c r="P1692" i="1"/>
  <c r="O1692" i="1"/>
  <c r="R1691" i="1"/>
  <c r="P1691" i="1"/>
  <c r="O1691" i="1"/>
  <c r="R1690" i="1"/>
  <c r="P1690" i="1"/>
  <c r="O1690" i="1"/>
  <c r="R1689" i="1"/>
  <c r="P1689" i="1"/>
  <c r="O1689" i="1"/>
  <c r="R1688" i="1"/>
  <c r="P1688" i="1"/>
  <c r="O1688" i="1"/>
  <c r="R1687" i="1"/>
  <c r="P1687" i="1"/>
  <c r="O1687" i="1"/>
  <c r="R1686" i="1"/>
  <c r="P1686" i="1"/>
  <c r="O1686" i="1"/>
  <c r="R1685" i="1"/>
  <c r="P1685" i="1"/>
  <c r="O1685" i="1"/>
  <c r="R1684" i="1"/>
  <c r="P1684" i="1"/>
  <c r="O1684" i="1"/>
  <c r="R1683" i="1"/>
  <c r="P1683" i="1"/>
  <c r="O1683" i="1"/>
  <c r="R1682" i="1"/>
  <c r="P1682" i="1"/>
  <c r="O1682" i="1"/>
  <c r="R1681" i="1"/>
  <c r="P1681" i="1"/>
  <c r="O1681" i="1"/>
  <c r="R1680" i="1"/>
  <c r="P1680" i="1"/>
  <c r="O1680" i="1"/>
  <c r="R1679" i="1"/>
  <c r="P1679" i="1"/>
  <c r="O1679" i="1"/>
  <c r="R1678" i="1"/>
  <c r="P1678" i="1"/>
  <c r="O1678" i="1"/>
  <c r="R1677" i="1"/>
  <c r="P1677" i="1"/>
  <c r="O1677" i="1"/>
  <c r="R1676" i="1"/>
  <c r="P1676" i="1"/>
  <c r="O1676" i="1"/>
  <c r="R1675" i="1"/>
  <c r="P1675" i="1"/>
  <c r="O1675" i="1"/>
  <c r="R1674" i="1"/>
  <c r="P1674" i="1"/>
  <c r="O1674" i="1"/>
  <c r="R1673" i="1"/>
  <c r="P1673" i="1"/>
  <c r="O1673" i="1"/>
  <c r="R1672" i="1"/>
  <c r="P1672" i="1"/>
  <c r="O1672" i="1"/>
  <c r="R1671" i="1"/>
  <c r="P1671" i="1"/>
  <c r="O1671" i="1"/>
  <c r="R1670" i="1"/>
  <c r="P1670" i="1"/>
  <c r="O1670" i="1"/>
  <c r="R1669" i="1"/>
  <c r="P1669" i="1"/>
  <c r="O1669" i="1"/>
  <c r="R1668" i="1"/>
  <c r="P1668" i="1"/>
  <c r="O1668" i="1"/>
  <c r="R1667" i="1"/>
  <c r="P1667" i="1"/>
  <c r="O1667" i="1"/>
  <c r="R1666" i="1"/>
  <c r="P1666" i="1"/>
  <c r="O1666" i="1"/>
  <c r="R1665" i="1"/>
  <c r="P1665" i="1"/>
  <c r="O1665" i="1"/>
  <c r="R1664" i="1"/>
  <c r="P1664" i="1"/>
  <c r="O1664" i="1"/>
  <c r="R1663" i="1"/>
  <c r="P1663" i="1"/>
  <c r="O1663" i="1"/>
  <c r="R1662" i="1"/>
  <c r="P1662" i="1"/>
  <c r="O1662" i="1"/>
  <c r="R1661" i="1"/>
  <c r="P1661" i="1"/>
  <c r="O1661" i="1"/>
  <c r="R1660" i="1"/>
  <c r="P1660" i="1"/>
  <c r="O1660" i="1"/>
  <c r="R1659" i="1"/>
  <c r="P1659" i="1"/>
  <c r="O1659" i="1"/>
  <c r="R1658" i="1"/>
  <c r="P1658" i="1"/>
  <c r="O1658" i="1"/>
  <c r="R1657" i="1"/>
  <c r="P1657" i="1"/>
  <c r="O1657" i="1"/>
  <c r="R1656" i="1"/>
  <c r="P1656" i="1"/>
  <c r="O1656" i="1"/>
  <c r="R1655" i="1"/>
  <c r="P1655" i="1"/>
  <c r="O1655" i="1"/>
  <c r="R1654" i="1"/>
  <c r="P1654" i="1"/>
  <c r="O1654" i="1"/>
  <c r="R1653" i="1"/>
  <c r="P1653" i="1"/>
  <c r="O1653" i="1"/>
  <c r="R1652" i="1"/>
  <c r="P1652" i="1"/>
  <c r="O1652" i="1"/>
  <c r="R1651" i="1"/>
  <c r="P1651" i="1"/>
  <c r="O1651" i="1"/>
  <c r="R1650" i="1"/>
  <c r="P1650" i="1"/>
  <c r="O1650" i="1"/>
  <c r="R1649" i="1"/>
  <c r="P1649" i="1"/>
  <c r="O1649" i="1"/>
  <c r="R1648" i="1"/>
  <c r="P1648" i="1"/>
  <c r="O1648" i="1"/>
  <c r="R1647" i="1"/>
  <c r="P1647" i="1"/>
  <c r="O1647" i="1"/>
  <c r="R1646" i="1"/>
  <c r="P1646" i="1"/>
  <c r="O1646" i="1"/>
  <c r="R1645" i="1"/>
  <c r="P1645" i="1"/>
  <c r="O1645" i="1"/>
  <c r="R1644" i="1"/>
  <c r="P1644" i="1"/>
  <c r="O1644" i="1"/>
  <c r="R1643" i="1"/>
  <c r="P1643" i="1"/>
  <c r="O1643" i="1"/>
  <c r="R1642" i="1"/>
  <c r="P1642" i="1"/>
  <c r="O1642" i="1"/>
  <c r="R1641" i="1"/>
  <c r="P1641" i="1"/>
  <c r="O1641" i="1"/>
  <c r="R1640" i="1"/>
  <c r="P1640" i="1"/>
  <c r="O1640" i="1"/>
  <c r="R1639" i="1"/>
  <c r="P1639" i="1"/>
  <c r="O1639" i="1"/>
  <c r="R1638" i="1"/>
  <c r="P1638" i="1"/>
  <c r="O1638" i="1"/>
  <c r="R1637" i="1"/>
  <c r="P1637" i="1"/>
  <c r="O1637" i="1"/>
  <c r="R1636" i="1"/>
  <c r="P1636" i="1"/>
  <c r="O1636" i="1"/>
  <c r="R1635" i="1"/>
  <c r="P1635" i="1"/>
  <c r="O1635" i="1"/>
  <c r="R1634" i="1"/>
  <c r="P1634" i="1"/>
  <c r="O1634" i="1"/>
  <c r="R1633" i="1"/>
  <c r="P1633" i="1"/>
  <c r="O1633" i="1"/>
  <c r="R1632" i="1"/>
  <c r="P1632" i="1"/>
  <c r="O1632" i="1"/>
  <c r="R1631" i="1"/>
  <c r="P1631" i="1"/>
  <c r="O1631" i="1"/>
  <c r="R1630" i="1"/>
  <c r="P1630" i="1"/>
  <c r="O1630" i="1"/>
  <c r="R1629" i="1"/>
  <c r="P1629" i="1"/>
  <c r="O1629" i="1"/>
  <c r="R1628" i="1"/>
  <c r="P1628" i="1"/>
  <c r="O1628" i="1"/>
  <c r="R1627" i="1"/>
  <c r="P1627" i="1"/>
  <c r="O1627" i="1"/>
  <c r="R1626" i="1"/>
  <c r="P1626" i="1"/>
  <c r="O1626" i="1"/>
  <c r="R1625" i="1"/>
  <c r="P1625" i="1"/>
  <c r="O1625" i="1"/>
  <c r="R1624" i="1"/>
  <c r="P1624" i="1"/>
  <c r="O1624" i="1"/>
  <c r="R1623" i="1"/>
  <c r="P1623" i="1"/>
  <c r="O1623" i="1"/>
  <c r="R1622" i="1"/>
  <c r="P1622" i="1"/>
  <c r="O1622" i="1"/>
  <c r="R1621" i="1"/>
  <c r="P1621" i="1"/>
  <c r="O1621" i="1"/>
  <c r="R1620" i="1"/>
  <c r="P1620" i="1"/>
  <c r="O1620" i="1"/>
  <c r="R1619" i="1"/>
  <c r="P1619" i="1"/>
  <c r="O1619" i="1"/>
  <c r="R1618" i="1"/>
  <c r="P1618" i="1"/>
  <c r="O1618" i="1"/>
  <c r="R1617" i="1"/>
  <c r="P1617" i="1"/>
  <c r="O1617" i="1"/>
  <c r="R1616" i="1"/>
  <c r="P1616" i="1"/>
  <c r="O1616" i="1"/>
  <c r="R1615" i="1"/>
  <c r="P1615" i="1"/>
  <c r="O1615" i="1"/>
  <c r="R1614" i="1"/>
  <c r="P1614" i="1"/>
  <c r="O1614" i="1"/>
  <c r="R1613" i="1"/>
  <c r="P1613" i="1"/>
  <c r="O1613" i="1"/>
  <c r="R1612" i="1"/>
  <c r="P1612" i="1"/>
  <c r="O1612" i="1"/>
  <c r="R1611" i="1"/>
  <c r="P1611" i="1"/>
  <c r="O1611" i="1"/>
  <c r="R1610" i="1"/>
  <c r="P1610" i="1"/>
  <c r="O1610" i="1"/>
  <c r="R1609" i="1"/>
  <c r="P1609" i="1"/>
  <c r="O1609" i="1"/>
  <c r="R1608" i="1"/>
  <c r="P1608" i="1"/>
  <c r="O1608" i="1"/>
  <c r="R1607" i="1"/>
  <c r="P1607" i="1"/>
  <c r="O1607" i="1"/>
  <c r="R1606" i="1"/>
  <c r="P1606" i="1"/>
  <c r="O1606" i="1"/>
  <c r="R1605" i="1"/>
  <c r="P1605" i="1"/>
  <c r="O1605" i="1"/>
  <c r="R1604" i="1"/>
  <c r="P1604" i="1"/>
  <c r="O1604" i="1"/>
  <c r="R1603" i="1"/>
  <c r="P1603" i="1"/>
  <c r="O1603" i="1"/>
  <c r="R1602" i="1"/>
  <c r="P1602" i="1"/>
  <c r="O1602" i="1"/>
  <c r="R1601" i="1"/>
  <c r="P1601" i="1"/>
  <c r="O1601" i="1"/>
  <c r="R1600" i="1"/>
  <c r="P1600" i="1"/>
  <c r="O1600" i="1"/>
  <c r="R1599" i="1"/>
  <c r="P1599" i="1"/>
  <c r="O1599" i="1"/>
  <c r="R1598" i="1"/>
  <c r="P1598" i="1"/>
  <c r="O1598" i="1"/>
  <c r="R1597" i="1"/>
  <c r="P1597" i="1"/>
  <c r="O1597" i="1"/>
  <c r="R1596" i="1"/>
  <c r="P1596" i="1"/>
  <c r="O1596" i="1"/>
  <c r="R1595" i="1"/>
  <c r="P1595" i="1"/>
  <c r="O1595" i="1"/>
  <c r="R1594" i="1"/>
  <c r="P1594" i="1"/>
  <c r="O1594" i="1"/>
  <c r="R1593" i="1"/>
  <c r="P1593" i="1"/>
  <c r="O1593" i="1"/>
  <c r="R1592" i="1"/>
  <c r="P1592" i="1"/>
  <c r="O1592" i="1"/>
  <c r="R1591" i="1"/>
  <c r="P1591" i="1"/>
  <c r="O1591" i="1"/>
  <c r="R1590" i="1"/>
  <c r="P1590" i="1"/>
  <c r="O1590" i="1"/>
  <c r="R1589" i="1"/>
  <c r="P1589" i="1"/>
  <c r="O1589" i="1"/>
  <c r="R1588" i="1"/>
  <c r="P1588" i="1"/>
  <c r="O1588" i="1"/>
  <c r="R1587" i="1"/>
  <c r="P1587" i="1"/>
  <c r="O1587" i="1"/>
  <c r="R1586" i="1"/>
  <c r="P1586" i="1"/>
  <c r="O1586" i="1"/>
  <c r="R1585" i="1"/>
  <c r="P1585" i="1"/>
  <c r="O1585" i="1"/>
  <c r="R1584" i="1"/>
  <c r="P1584" i="1"/>
  <c r="O1584" i="1"/>
  <c r="R1583" i="1"/>
  <c r="P1583" i="1"/>
  <c r="O1583" i="1"/>
  <c r="R1582" i="1"/>
  <c r="P1582" i="1"/>
  <c r="O1582" i="1"/>
  <c r="R1581" i="1"/>
  <c r="P1581" i="1"/>
  <c r="O1581" i="1"/>
  <c r="R1580" i="1"/>
  <c r="P1580" i="1"/>
  <c r="O1580" i="1"/>
  <c r="R1579" i="1"/>
  <c r="P1579" i="1"/>
  <c r="O1579" i="1"/>
  <c r="R1578" i="1"/>
  <c r="P1578" i="1"/>
  <c r="O1578" i="1"/>
  <c r="R1577" i="1"/>
  <c r="P1577" i="1"/>
  <c r="O1577" i="1"/>
  <c r="R1576" i="1"/>
  <c r="P1576" i="1"/>
  <c r="O1576" i="1"/>
  <c r="R1575" i="1"/>
  <c r="P1575" i="1"/>
  <c r="O1575" i="1"/>
  <c r="R1574" i="1"/>
  <c r="P1574" i="1"/>
  <c r="O1574" i="1"/>
  <c r="R1573" i="1"/>
  <c r="P1573" i="1"/>
  <c r="O1573" i="1"/>
  <c r="R1572" i="1"/>
  <c r="P1572" i="1"/>
  <c r="O1572" i="1"/>
  <c r="R1571" i="1"/>
  <c r="P1571" i="1"/>
  <c r="O1571" i="1"/>
  <c r="R1570" i="1"/>
  <c r="P1570" i="1"/>
  <c r="O1570" i="1"/>
  <c r="R1569" i="1"/>
  <c r="P1569" i="1"/>
  <c r="O1569" i="1"/>
  <c r="R1568" i="1"/>
  <c r="P1568" i="1"/>
  <c r="O1568" i="1"/>
  <c r="R1567" i="1"/>
  <c r="P1567" i="1"/>
  <c r="O1567" i="1"/>
  <c r="R1566" i="1"/>
  <c r="P1566" i="1"/>
  <c r="O1566" i="1"/>
  <c r="R1565" i="1"/>
  <c r="P1565" i="1"/>
  <c r="O1565" i="1"/>
  <c r="R1564" i="1"/>
  <c r="P1564" i="1"/>
  <c r="O1564" i="1"/>
  <c r="R1563" i="1"/>
  <c r="P1563" i="1"/>
  <c r="O1563" i="1"/>
  <c r="R1562" i="1"/>
  <c r="P1562" i="1"/>
  <c r="O1562" i="1"/>
  <c r="R1561" i="1"/>
  <c r="P1561" i="1"/>
  <c r="O1561" i="1"/>
  <c r="R1560" i="1"/>
  <c r="P1560" i="1"/>
  <c r="O1560" i="1"/>
  <c r="R1559" i="1"/>
  <c r="P1559" i="1"/>
  <c r="O1559" i="1"/>
  <c r="R1558" i="1"/>
  <c r="P1558" i="1"/>
  <c r="O1558" i="1"/>
  <c r="R1557" i="1"/>
  <c r="P1557" i="1"/>
  <c r="O1557" i="1"/>
  <c r="R1556" i="1"/>
  <c r="P1556" i="1"/>
  <c r="O1556" i="1"/>
  <c r="R1555" i="1"/>
  <c r="P1555" i="1"/>
  <c r="O1555" i="1"/>
  <c r="R1554" i="1"/>
  <c r="P1554" i="1"/>
  <c r="O1554" i="1"/>
  <c r="R1553" i="1"/>
  <c r="P1553" i="1"/>
  <c r="O1553" i="1"/>
  <c r="R1552" i="1"/>
  <c r="P1552" i="1"/>
  <c r="O1552" i="1"/>
  <c r="R1551" i="1"/>
  <c r="P1551" i="1"/>
  <c r="O1551" i="1"/>
  <c r="R1550" i="1"/>
  <c r="P1550" i="1"/>
  <c r="O1550" i="1"/>
  <c r="R1549" i="1"/>
  <c r="P1549" i="1"/>
  <c r="O1549" i="1"/>
  <c r="R1548" i="1"/>
  <c r="P1548" i="1"/>
  <c r="O1548" i="1"/>
  <c r="R1547" i="1"/>
  <c r="P1547" i="1"/>
  <c r="O1547" i="1"/>
  <c r="R1546" i="1"/>
  <c r="P1546" i="1"/>
  <c r="O1546" i="1"/>
  <c r="R1545" i="1"/>
  <c r="P1545" i="1"/>
  <c r="O1545" i="1"/>
  <c r="R1544" i="1"/>
  <c r="P1544" i="1"/>
  <c r="O1544" i="1"/>
  <c r="R1543" i="1"/>
  <c r="P1543" i="1"/>
  <c r="O1543" i="1"/>
  <c r="R1542" i="1"/>
  <c r="P1542" i="1"/>
  <c r="O1542" i="1"/>
  <c r="R1541" i="1"/>
  <c r="P1541" i="1"/>
  <c r="O1541" i="1"/>
  <c r="R1540" i="1"/>
  <c r="P1540" i="1"/>
  <c r="O1540" i="1"/>
  <c r="R1539" i="1"/>
  <c r="P1539" i="1"/>
  <c r="O1539" i="1"/>
  <c r="R1538" i="1"/>
  <c r="P1538" i="1"/>
  <c r="O1538" i="1"/>
  <c r="R1537" i="1"/>
  <c r="P1537" i="1"/>
  <c r="O1537" i="1"/>
  <c r="R1536" i="1"/>
  <c r="P1536" i="1"/>
  <c r="O1536" i="1"/>
  <c r="R1535" i="1"/>
  <c r="P1535" i="1"/>
  <c r="O1535" i="1"/>
  <c r="R1534" i="1"/>
  <c r="P1534" i="1"/>
  <c r="O1534" i="1"/>
  <c r="R1533" i="1"/>
  <c r="P1533" i="1"/>
  <c r="O1533" i="1"/>
  <c r="R1532" i="1"/>
  <c r="P1532" i="1"/>
  <c r="O1532" i="1"/>
  <c r="R1531" i="1"/>
  <c r="P1531" i="1"/>
  <c r="O1531" i="1"/>
  <c r="R1530" i="1"/>
  <c r="P1530" i="1"/>
  <c r="O1530" i="1"/>
  <c r="R1529" i="1"/>
  <c r="P1529" i="1"/>
  <c r="O1529" i="1"/>
  <c r="R1528" i="1"/>
  <c r="P1528" i="1"/>
  <c r="O1528" i="1"/>
  <c r="R1527" i="1"/>
  <c r="P1527" i="1"/>
  <c r="O1527" i="1"/>
  <c r="R1526" i="1"/>
  <c r="P1526" i="1"/>
  <c r="O1526" i="1"/>
  <c r="R1525" i="1"/>
  <c r="P1525" i="1"/>
  <c r="O1525" i="1"/>
  <c r="R1524" i="1"/>
  <c r="P1524" i="1"/>
  <c r="O1524" i="1"/>
  <c r="R1523" i="1"/>
  <c r="P1523" i="1"/>
  <c r="O1523" i="1"/>
  <c r="R1522" i="1"/>
  <c r="P1522" i="1"/>
  <c r="O1522" i="1"/>
  <c r="R1521" i="1"/>
  <c r="P1521" i="1"/>
  <c r="O1521" i="1"/>
  <c r="R1520" i="1"/>
  <c r="P1520" i="1"/>
  <c r="O1520" i="1"/>
  <c r="R1519" i="1"/>
  <c r="P1519" i="1"/>
  <c r="O1519" i="1"/>
  <c r="R1518" i="1"/>
  <c r="P1518" i="1"/>
  <c r="O1518" i="1"/>
  <c r="R1517" i="1"/>
  <c r="P1517" i="1"/>
  <c r="O1517" i="1"/>
  <c r="R1516" i="1"/>
  <c r="P1516" i="1"/>
  <c r="O1516" i="1"/>
  <c r="R1515" i="1"/>
  <c r="P1515" i="1"/>
  <c r="O1515" i="1"/>
  <c r="R1514" i="1"/>
  <c r="P1514" i="1"/>
  <c r="O1514" i="1"/>
  <c r="R1513" i="1"/>
  <c r="P1513" i="1"/>
  <c r="O1513" i="1"/>
  <c r="R1512" i="1"/>
  <c r="P1512" i="1"/>
  <c r="O1512" i="1"/>
  <c r="R1511" i="1"/>
  <c r="P1511" i="1"/>
  <c r="O1511" i="1"/>
  <c r="R1510" i="1"/>
  <c r="P1510" i="1"/>
  <c r="O1510" i="1"/>
  <c r="R1509" i="1"/>
  <c r="P1509" i="1"/>
  <c r="O1509" i="1"/>
  <c r="R1508" i="1"/>
  <c r="P1508" i="1"/>
  <c r="O1508" i="1"/>
  <c r="R1507" i="1"/>
  <c r="P1507" i="1"/>
  <c r="O1507" i="1"/>
  <c r="R1506" i="1"/>
  <c r="P1506" i="1"/>
  <c r="O1506" i="1"/>
  <c r="R1505" i="1"/>
  <c r="P1505" i="1"/>
  <c r="O1505" i="1"/>
  <c r="R1504" i="1"/>
  <c r="P1504" i="1"/>
  <c r="O1504" i="1"/>
  <c r="R1503" i="1"/>
  <c r="P1503" i="1"/>
  <c r="O1503" i="1"/>
  <c r="R1502" i="1"/>
  <c r="P1502" i="1"/>
  <c r="O1502" i="1"/>
  <c r="R1501" i="1"/>
  <c r="P1501" i="1"/>
  <c r="O1501" i="1"/>
  <c r="R1500" i="1"/>
  <c r="P1500" i="1"/>
  <c r="O1500" i="1"/>
  <c r="R1499" i="1"/>
  <c r="P1499" i="1"/>
  <c r="O1499" i="1"/>
  <c r="R1498" i="1"/>
  <c r="P1498" i="1"/>
  <c r="O1498" i="1"/>
  <c r="R1497" i="1"/>
  <c r="P1497" i="1"/>
  <c r="O1497" i="1"/>
  <c r="R1496" i="1"/>
  <c r="P1496" i="1"/>
  <c r="O1496" i="1"/>
  <c r="R1495" i="1"/>
  <c r="P1495" i="1"/>
  <c r="O1495" i="1"/>
  <c r="R1494" i="1"/>
  <c r="P1494" i="1"/>
  <c r="O1494" i="1"/>
  <c r="R1493" i="1"/>
  <c r="P1493" i="1"/>
  <c r="O1493" i="1"/>
  <c r="R1492" i="1"/>
  <c r="P1492" i="1"/>
  <c r="O1492" i="1"/>
  <c r="R1491" i="1"/>
  <c r="P1491" i="1"/>
  <c r="O1491" i="1"/>
  <c r="R1490" i="1"/>
  <c r="P1490" i="1"/>
  <c r="O1490" i="1"/>
  <c r="R1489" i="1"/>
  <c r="P1489" i="1"/>
  <c r="O1489" i="1"/>
  <c r="R1488" i="1"/>
  <c r="P1488" i="1"/>
  <c r="O1488" i="1"/>
  <c r="R1487" i="1"/>
  <c r="P1487" i="1"/>
  <c r="O1487" i="1"/>
  <c r="R1486" i="1"/>
  <c r="P1486" i="1"/>
  <c r="O1486" i="1"/>
  <c r="R1485" i="1"/>
  <c r="P1485" i="1"/>
  <c r="O1485" i="1"/>
  <c r="R1484" i="1"/>
  <c r="P1484" i="1"/>
  <c r="O1484" i="1"/>
  <c r="R1483" i="1"/>
  <c r="P1483" i="1"/>
  <c r="O1483" i="1"/>
  <c r="R1482" i="1"/>
  <c r="P1482" i="1"/>
  <c r="O1482" i="1"/>
  <c r="R1481" i="1"/>
  <c r="P1481" i="1"/>
  <c r="O1481" i="1"/>
  <c r="R1480" i="1"/>
  <c r="P1480" i="1"/>
  <c r="O1480" i="1"/>
  <c r="R1479" i="1"/>
  <c r="P1479" i="1"/>
  <c r="O1479" i="1"/>
  <c r="R1478" i="1"/>
  <c r="P1478" i="1"/>
  <c r="O1478" i="1"/>
  <c r="R1477" i="1"/>
  <c r="P1477" i="1"/>
  <c r="O1477" i="1"/>
  <c r="R1476" i="1"/>
  <c r="P1476" i="1"/>
  <c r="O1476" i="1"/>
  <c r="R1475" i="1"/>
  <c r="P1475" i="1"/>
  <c r="O1475" i="1"/>
  <c r="R1474" i="1"/>
  <c r="P1474" i="1"/>
  <c r="O1474" i="1"/>
  <c r="R1473" i="1"/>
  <c r="P1473" i="1"/>
  <c r="O1473" i="1"/>
  <c r="R1472" i="1"/>
  <c r="P1472" i="1"/>
  <c r="O1472" i="1"/>
  <c r="R1471" i="1"/>
  <c r="P1471" i="1"/>
  <c r="O1471" i="1"/>
  <c r="R1470" i="1"/>
  <c r="P1470" i="1"/>
  <c r="O1470" i="1"/>
  <c r="R1469" i="1"/>
  <c r="P1469" i="1"/>
  <c r="O1469" i="1"/>
  <c r="R1468" i="1"/>
  <c r="P1468" i="1"/>
  <c r="O1468" i="1"/>
  <c r="R1467" i="1"/>
  <c r="P1467" i="1"/>
  <c r="O1467" i="1"/>
  <c r="R1466" i="1"/>
  <c r="P1466" i="1"/>
  <c r="O1466" i="1"/>
  <c r="R1465" i="1"/>
  <c r="P1465" i="1"/>
  <c r="O1465" i="1"/>
  <c r="R1464" i="1"/>
  <c r="P1464" i="1"/>
  <c r="O1464" i="1"/>
  <c r="R1463" i="1"/>
  <c r="P1463" i="1"/>
  <c r="O1463" i="1"/>
  <c r="R1462" i="1"/>
  <c r="P1462" i="1"/>
  <c r="O1462" i="1"/>
  <c r="R1461" i="1"/>
  <c r="P1461" i="1"/>
  <c r="O1461" i="1"/>
  <c r="R1460" i="1"/>
  <c r="P1460" i="1"/>
  <c r="O1460" i="1"/>
  <c r="R1459" i="1"/>
  <c r="P1459" i="1"/>
  <c r="O1459" i="1"/>
  <c r="R1458" i="1"/>
  <c r="P1458" i="1"/>
  <c r="O1458" i="1"/>
  <c r="R1457" i="1"/>
  <c r="P1457" i="1"/>
  <c r="O1457" i="1"/>
  <c r="R1456" i="1"/>
  <c r="P1456" i="1"/>
  <c r="O1456" i="1"/>
  <c r="R1455" i="1"/>
  <c r="P1455" i="1"/>
  <c r="O1455" i="1"/>
  <c r="R1454" i="1"/>
  <c r="P1454" i="1"/>
  <c r="O1454" i="1"/>
  <c r="R1453" i="1"/>
  <c r="P1453" i="1"/>
  <c r="O1453" i="1"/>
  <c r="R1452" i="1"/>
  <c r="P1452" i="1"/>
  <c r="O1452" i="1"/>
  <c r="R1451" i="1"/>
  <c r="P1451" i="1"/>
  <c r="O1451" i="1"/>
  <c r="R1450" i="1"/>
  <c r="P1450" i="1"/>
  <c r="O1450" i="1"/>
  <c r="R1449" i="1"/>
  <c r="P1449" i="1"/>
  <c r="O1449" i="1"/>
  <c r="R1448" i="1"/>
  <c r="P1448" i="1"/>
  <c r="O1448" i="1"/>
  <c r="R1447" i="1"/>
  <c r="P1447" i="1"/>
  <c r="O1447" i="1"/>
  <c r="R1446" i="1"/>
  <c r="P1446" i="1"/>
  <c r="O1446" i="1"/>
  <c r="R1445" i="1"/>
  <c r="P1445" i="1"/>
  <c r="O1445" i="1"/>
  <c r="R1444" i="1"/>
  <c r="P1444" i="1"/>
  <c r="O1444" i="1"/>
  <c r="R1443" i="1"/>
  <c r="P1443" i="1"/>
  <c r="O1443" i="1"/>
  <c r="R1442" i="1"/>
  <c r="P1442" i="1"/>
  <c r="O1442" i="1"/>
  <c r="R1441" i="1"/>
  <c r="P1441" i="1"/>
  <c r="O1441" i="1"/>
  <c r="R1440" i="1"/>
  <c r="P1440" i="1"/>
  <c r="O1440" i="1"/>
  <c r="R1439" i="1"/>
  <c r="P1439" i="1"/>
  <c r="O1439" i="1"/>
  <c r="R1438" i="1"/>
  <c r="P1438" i="1"/>
  <c r="O1438" i="1"/>
  <c r="R1437" i="1"/>
  <c r="P1437" i="1"/>
  <c r="O1437" i="1"/>
  <c r="R1436" i="1"/>
  <c r="P1436" i="1"/>
  <c r="O1436" i="1"/>
  <c r="R1435" i="1"/>
  <c r="P1435" i="1"/>
  <c r="O1435" i="1"/>
  <c r="R1434" i="1"/>
  <c r="P1434" i="1"/>
  <c r="O1434" i="1"/>
  <c r="R1433" i="1"/>
  <c r="P1433" i="1"/>
  <c r="O1433" i="1"/>
  <c r="R1432" i="1"/>
  <c r="P1432" i="1"/>
  <c r="O1432" i="1"/>
  <c r="R1431" i="1"/>
  <c r="P1431" i="1"/>
  <c r="O1431" i="1"/>
  <c r="R1430" i="1"/>
  <c r="P1430" i="1"/>
  <c r="O1430" i="1"/>
  <c r="R1429" i="1"/>
  <c r="P1429" i="1"/>
  <c r="O1429" i="1"/>
  <c r="R1428" i="1"/>
  <c r="P1428" i="1"/>
  <c r="O1428" i="1"/>
  <c r="R1427" i="1"/>
  <c r="P1427" i="1"/>
  <c r="O1427" i="1"/>
  <c r="R1426" i="1"/>
  <c r="P1426" i="1"/>
  <c r="O1426" i="1"/>
  <c r="R1425" i="1"/>
  <c r="P1425" i="1"/>
  <c r="O1425" i="1"/>
  <c r="R1424" i="1"/>
  <c r="P1424" i="1"/>
  <c r="O1424" i="1"/>
  <c r="R1423" i="1"/>
  <c r="P1423" i="1"/>
  <c r="O1423" i="1"/>
  <c r="R1422" i="1"/>
  <c r="P1422" i="1"/>
  <c r="O1422" i="1"/>
  <c r="R1421" i="1"/>
  <c r="P1421" i="1"/>
  <c r="O1421" i="1"/>
  <c r="R1420" i="1"/>
  <c r="P1420" i="1"/>
  <c r="O1420" i="1"/>
  <c r="R1419" i="1"/>
  <c r="P1419" i="1"/>
  <c r="O1419" i="1"/>
  <c r="R1418" i="1"/>
  <c r="P1418" i="1"/>
  <c r="O1418" i="1"/>
  <c r="R1417" i="1"/>
  <c r="P1417" i="1"/>
  <c r="O1417" i="1"/>
  <c r="R1416" i="1"/>
  <c r="P1416" i="1"/>
  <c r="O1416" i="1"/>
  <c r="R1415" i="1"/>
  <c r="P1415" i="1"/>
  <c r="O1415" i="1"/>
  <c r="R1414" i="1"/>
  <c r="P1414" i="1"/>
  <c r="O1414" i="1"/>
  <c r="R1413" i="1"/>
  <c r="P1413" i="1"/>
  <c r="O1413" i="1"/>
  <c r="R1412" i="1"/>
  <c r="P1412" i="1"/>
  <c r="O1412" i="1"/>
  <c r="R1411" i="1"/>
  <c r="P1411" i="1"/>
  <c r="O1411" i="1"/>
  <c r="R1410" i="1"/>
  <c r="P1410" i="1"/>
  <c r="O1410" i="1"/>
  <c r="R1409" i="1"/>
  <c r="P1409" i="1"/>
  <c r="O1409" i="1"/>
  <c r="R1408" i="1"/>
  <c r="P1408" i="1"/>
  <c r="O1408" i="1"/>
  <c r="R1407" i="1"/>
  <c r="P1407" i="1"/>
  <c r="O1407" i="1"/>
  <c r="R1406" i="1"/>
  <c r="P1406" i="1"/>
  <c r="O1406" i="1"/>
  <c r="R1405" i="1"/>
  <c r="P1405" i="1"/>
  <c r="O1405" i="1"/>
  <c r="R1404" i="1"/>
  <c r="P1404" i="1"/>
  <c r="O1404" i="1"/>
  <c r="R1403" i="1"/>
  <c r="P1403" i="1"/>
  <c r="O1403" i="1"/>
  <c r="R1402" i="1"/>
  <c r="P1402" i="1"/>
  <c r="O1402" i="1"/>
  <c r="R1401" i="1"/>
  <c r="P1401" i="1"/>
  <c r="O1401" i="1"/>
  <c r="R1400" i="1"/>
  <c r="P1400" i="1"/>
  <c r="O1400" i="1"/>
  <c r="R1399" i="1"/>
  <c r="P1399" i="1"/>
  <c r="O1399" i="1"/>
  <c r="R1398" i="1"/>
  <c r="P1398" i="1"/>
  <c r="O1398" i="1"/>
  <c r="R1397" i="1"/>
  <c r="P1397" i="1"/>
  <c r="O1397" i="1"/>
  <c r="R1396" i="1"/>
  <c r="P1396" i="1"/>
  <c r="O1396" i="1"/>
  <c r="R1395" i="1"/>
  <c r="P1395" i="1"/>
  <c r="O1395" i="1"/>
  <c r="R1394" i="1"/>
  <c r="P1394" i="1"/>
  <c r="O1394" i="1"/>
  <c r="R1393" i="1"/>
  <c r="P1393" i="1"/>
  <c r="O1393" i="1"/>
  <c r="R1392" i="1"/>
  <c r="P1392" i="1"/>
  <c r="O1392" i="1"/>
  <c r="R1391" i="1"/>
  <c r="P1391" i="1"/>
  <c r="O1391" i="1"/>
  <c r="R1390" i="1"/>
  <c r="P1390" i="1"/>
  <c r="O1390" i="1"/>
  <c r="R1389" i="1"/>
  <c r="P1389" i="1"/>
  <c r="O1389" i="1"/>
  <c r="R1388" i="1"/>
  <c r="P1388" i="1"/>
  <c r="O1388" i="1"/>
  <c r="R1387" i="1"/>
  <c r="P1387" i="1"/>
  <c r="O1387" i="1"/>
  <c r="R1386" i="1"/>
  <c r="P1386" i="1"/>
  <c r="O1386" i="1"/>
  <c r="R1385" i="1"/>
  <c r="P1385" i="1"/>
  <c r="O1385" i="1"/>
  <c r="R1384" i="1"/>
  <c r="P1384" i="1"/>
  <c r="O1384" i="1"/>
  <c r="R1383" i="1"/>
  <c r="P1383" i="1"/>
  <c r="O1383" i="1"/>
  <c r="R1382" i="1"/>
  <c r="P1382" i="1"/>
  <c r="O1382" i="1"/>
  <c r="R1381" i="1"/>
  <c r="P1381" i="1"/>
  <c r="O1381" i="1"/>
  <c r="R1380" i="1"/>
  <c r="P1380" i="1"/>
  <c r="O1380" i="1"/>
  <c r="R1379" i="1"/>
  <c r="P1379" i="1"/>
  <c r="O1379" i="1"/>
  <c r="R1378" i="1"/>
  <c r="P1378" i="1"/>
  <c r="O1378" i="1"/>
  <c r="R1377" i="1"/>
  <c r="P1377" i="1"/>
  <c r="O1377" i="1"/>
  <c r="R1376" i="1"/>
  <c r="P1376" i="1"/>
  <c r="O1376" i="1"/>
  <c r="R1375" i="1"/>
  <c r="P1375" i="1"/>
  <c r="O1375" i="1"/>
  <c r="R1374" i="1"/>
  <c r="P1374" i="1"/>
  <c r="O1374" i="1"/>
  <c r="R1373" i="1"/>
  <c r="P1373" i="1"/>
  <c r="O1373" i="1"/>
  <c r="R1372" i="1"/>
  <c r="P1372" i="1"/>
  <c r="O1372" i="1"/>
  <c r="R1371" i="1"/>
  <c r="P1371" i="1"/>
  <c r="O1371" i="1"/>
  <c r="R1370" i="1"/>
  <c r="P1370" i="1"/>
  <c r="O1370" i="1"/>
  <c r="R1369" i="1"/>
  <c r="P1369" i="1"/>
  <c r="O1369" i="1"/>
  <c r="R1368" i="1"/>
  <c r="P1368" i="1"/>
  <c r="O1368" i="1"/>
  <c r="R1367" i="1"/>
  <c r="P1367" i="1"/>
  <c r="O1367" i="1"/>
  <c r="R1366" i="1"/>
  <c r="P1366" i="1"/>
  <c r="O1366" i="1"/>
  <c r="R1365" i="1"/>
  <c r="P1365" i="1"/>
  <c r="O1365" i="1"/>
  <c r="R1364" i="1"/>
  <c r="P1364" i="1"/>
  <c r="O1364" i="1"/>
  <c r="R1363" i="1"/>
  <c r="P1363" i="1"/>
  <c r="O1363" i="1"/>
  <c r="R1362" i="1"/>
  <c r="P1362" i="1"/>
  <c r="O1362" i="1"/>
  <c r="R1361" i="1"/>
  <c r="P1361" i="1"/>
  <c r="O1361" i="1"/>
  <c r="R1360" i="1"/>
  <c r="P1360" i="1"/>
  <c r="O1360" i="1"/>
  <c r="R1359" i="1"/>
  <c r="P1359" i="1"/>
  <c r="O1359" i="1"/>
  <c r="R1358" i="1"/>
  <c r="P1358" i="1"/>
  <c r="O1358" i="1"/>
  <c r="R1357" i="1"/>
  <c r="P1357" i="1"/>
  <c r="O1357" i="1"/>
  <c r="R1356" i="1"/>
  <c r="P1356" i="1"/>
  <c r="O1356" i="1"/>
  <c r="R1355" i="1"/>
  <c r="P1355" i="1"/>
  <c r="O1355" i="1"/>
  <c r="R1354" i="1"/>
  <c r="P1354" i="1"/>
  <c r="O1354" i="1"/>
  <c r="R1353" i="1"/>
  <c r="P1353" i="1"/>
  <c r="O1353" i="1"/>
  <c r="R1352" i="1"/>
  <c r="P1352" i="1"/>
  <c r="O1352" i="1"/>
  <c r="R1351" i="1"/>
  <c r="P1351" i="1"/>
  <c r="O1351" i="1"/>
  <c r="R1350" i="1"/>
  <c r="P1350" i="1"/>
  <c r="O1350" i="1"/>
  <c r="R1349" i="1"/>
  <c r="P1349" i="1"/>
  <c r="O1349" i="1"/>
  <c r="R1348" i="1"/>
  <c r="P1348" i="1"/>
  <c r="O1348" i="1"/>
  <c r="R1347" i="1"/>
  <c r="P1347" i="1"/>
  <c r="O1347" i="1"/>
  <c r="R1346" i="1"/>
  <c r="P1346" i="1"/>
  <c r="O1346" i="1"/>
  <c r="R1345" i="1"/>
  <c r="P1345" i="1"/>
  <c r="O1345" i="1"/>
  <c r="R1344" i="1"/>
  <c r="P1344" i="1"/>
  <c r="O1344" i="1"/>
  <c r="R1343" i="1"/>
  <c r="P1343" i="1"/>
  <c r="O1343" i="1"/>
  <c r="R1342" i="1"/>
  <c r="P1342" i="1"/>
  <c r="O1342" i="1"/>
  <c r="R1341" i="1"/>
  <c r="P1341" i="1"/>
  <c r="O1341" i="1"/>
  <c r="R1340" i="1"/>
  <c r="P1340" i="1"/>
  <c r="O1340" i="1"/>
  <c r="R1339" i="1"/>
  <c r="P1339" i="1"/>
  <c r="O1339" i="1"/>
  <c r="R1338" i="1"/>
  <c r="P1338" i="1"/>
  <c r="O1338" i="1"/>
  <c r="R1337" i="1"/>
  <c r="P1337" i="1"/>
  <c r="O1337" i="1"/>
  <c r="R1336" i="1"/>
  <c r="P1336" i="1"/>
  <c r="O1336" i="1"/>
  <c r="R1335" i="1"/>
  <c r="P1335" i="1"/>
  <c r="O1335" i="1"/>
  <c r="R1334" i="1"/>
  <c r="P1334" i="1"/>
  <c r="O1334" i="1"/>
  <c r="R1333" i="1"/>
  <c r="P1333" i="1"/>
  <c r="O1333" i="1"/>
  <c r="R1332" i="1"/>
  <c r="P1332" i="1"/>
  <c r="O1332" i="1"/>
  <c r="R1331" i="1"/>
  <c r="P1331" i="1"/>
  <c r="O1331" i="1"/>
  <c r="R1330" i="1"/>
  <c r="P1330" i="1"/>
  <c r="O1330" i="1"/>
  <c r="R1329" i="1"/>
  <c r="P1329" i="1"/>
  <c r="O1329" i="1"/>
  <c r="R1328" i="1"/>
  <c r="P1328" i="1"/>
  <c r="O1328" i="1"/>
  <c r="R1327" i="1"/>
  <c r="P1327" i="1"/>
  <c r="O1327" i="1"/>
  <c r="R1326" i="1"/>
  <c r="P1326" i="1"/>
  <c r="O1326" i="1"/>
  <c r="R1325" i="1"/>
  <c r="P1325" i="1"/>
  <c r="O1325" i="1"/>
  <c r="R1324" i="1"/>
  <c r="P1324" i="1"/>
  <c r="O1324" i="1"/>
  <c r="R1323" i="1"/>
  <c r="P1323" i="1"/>
  <c r="O1323" i="1"/>
  <c r="R1322" i="1"/>
  <c r="P1322" i="1"/>
  <c r="O1322" i="1"/>
  <c r="R1321" i="1"/>
  <c r="P1321" i="1"/>
  <c r="O1321" i="1"/>
  <c r="R1320" i="1"/>
  <c r="P1320" i="1"/>
  <c r="O1320" i="1"/>
  <c r="R1319" i="1"/>
  <c r="P1319" i="1"/>
  <c r="O1319" i="1"/>
  <c r="R1318" i="1"/>
  <c r="P1318" i="1"/>
  <c r="O1318" i="1"/>
  <c r="R1317" i="1"/>
  <c r="P1317" i="1"/>
  <c r="O1317" i="1"/>
  <c r="R1316" i="1"/>
  <c r="P1316" i="1"/>
  <c r="O1316" i="1"/>
  <c r="R1315" i="1"/>
  <c r="P1315" i="1"/>
  <c r="O1315" i="1"/>
  <c r="R1314" i="1"/>
  <c r="P1314" i="1"/>
  <c r="O1314" i="1"/>
  <c r="R1313" i="1"/>
  <c r="P1313" i="1"/>
  <c r="O1313" i="1"/>
  <c r="R1312" i="1"/>
  <c r="P1312" i="1"/>
  <c r="O1312" i="1"/>
  <c r="R1311" i="1"/>
  <c r="P1311" i="1"/>
  <c r="O1311" i="1"/>
  <c r="R1310" i="1"/>
  <c r="P1310" i="1"/>
  <c r="O1310" i="1"/>
  <c r="R1309" i="1"/>
  <c r="P1309" i="1"/>
  <c r="O1309" i="1"/>
  <c r="R1308" i="1"/>
  <c r="P1308" i="1"/>
  <c r="O1308" i="1"/>
  <c r="R1307" i="1"/>
  <c r="P1307" i="1"/>
  <c r="O1307" i="1"/>
  <c r="R1306" i="1"/>
  <c r="P1306" i="1"/>
  <c r="O1306" i="1"/>
  <c r="R1305" i="1"/>
  <c r="P1305" i="1"/>
  <c r="O1305" i="1"/>
  <c r="R1304" i="1"/>
  <c r="P1304" i="1"/>
  <c r="O1304" i="1"/>
  <c r="R1303" i="1"/>
  <c r="P1303" i="1"/>
  <c r="O1303" i="1"/>
  <c r="R1302" i="1"/>
  <c r="P1302" i="1"/>
  <c r="O1302" i="1"/>
  <c r="R1301" i="1"/>
  <c r="P1301" i="1"/>
  <c r="O1301" i="1"/>
  <c r="R1300" i="1"/>
  <c r="P1300" i="1"/>
  <c r="O1300" i="1"/>
  <c r="R1299" i="1"/>
  <c r="P1299" i="1"/>
  <c r="O1299" i="1"/>
  <c r="R1298" i="1"/>
  <c r="P1298" i="1"/>
  <c r="O1298" i="1"/>
  <c r="R1297" i="1"/>
  <c r="P1297" i="1"/>
  <c r="O1297" i="1"/>
  <c r="R1296" i="1"/>
  <c r="P1296" i="1"/>
  <c r="O1296" i="1"/>
  <c r="R1295" i="1"/>
  <c r="P1295" i="1"/>
  <c r="O1295" i="1"/>
  <c r="R1294" i="1"/>
  <c r="P1294" i="1"/>
  <c r="O1294" i="1"/>
  <c r="R1293" i="1"/>
  <c r="P1293" i="1"/>
  <c r="O1293" i="1"/>
  <c r="R1292" i="1"/>
  <c r="P1292" i="1"/>
  <c r="O1292" i="1"/>
  <c r="R1291" i="1"/>
  <c r="P1291" i="1"/>
  <c r="O1291" i="1"/>
  <c r="R1290" i="1"/>
  <c r="P1290" i="1"/>
  <c r="O1290" i="1"/>
  <c r="R1289" i="1"/>
  <c r="P1289" i="1"/>
  <c r="O1289" i="1"/>
  <c r="R1288" i="1"/>
  <c r="P1288" i="1"/>
  <c r="O1288" i="1"/>
  <c r="R1287" i="1"/>
  <c r="P1287" i="1"/>
  <c r="O1287" i="1"/>
  <c r="R1286" i="1"/>
  <c r="P1286" i="1"/>
  <c r="O1286" i="1"/>
  <c r="R1285" i="1"/>
  <c r="P1285" i="1"/>
  <c r="O1285" i="1"/>
  <c r="R1284" i="1"/>
  <c r="P1284" i="1"/>
  <c r="O1284" i="1"/>
  <c r="R1283" i="1"/>
  <c r="P1283" i="1"/>
  <c r="O1283" i="1"/>
  <c r="R1282" i="1"/>
  <c r="P1282" i="1"/>
  <c r="O1282" i="1"/>
  <c r="R1281" i="1"/>
  <c r="P1281" i="1"/>
  <c r="O1281" i="1"/>
  <c r="R1280" i="1"/>
  <c r="P1280" i="1"/>
  <c r="O1280" i="1"/>
  <c r="R1279" i="1"/>
  <c r="P1279" i="1"/>
  <c r="O1279" i="1"/>
  <c r="R1278" i="1"/>
  <c r="P1278" i="1"/>
  <c r="O1278" i="1"/>
  <c r="R1277" i="1"/>
  <c r="P1277" i="1"/>
  <c r="O1277" i="1"/>
  <c r="R1276" i="1"/>
  <c r="P1276" i="1"/>
  <c r="O1276" i="1"/>
  <c r="R1275" i="1"/>
  <c r="P1275" i="1"/>
  <c r="O1275" i="1"/>
  <c r="R1274" i="1"/>
  <c r="P1274" i="1"/>
  <c r="O1274" i="1"/>
  <c r="R1273" i="1"/>
  <c r="P1273" i="1"/>
  <c r="O1273" i="1"/>
  <c r="R1272" i="1"/>
  <c r="P1272" i="1"/>
  <c r="O1272" i="1"/>
  <c r="R1271" i="1"/>
  <c r="P1271" i="1"/>
  <c r="O1271" i="1"/>
  <c r="R1270" i="1"/>
  <c r="P1270" i="1"/>
  <c r="O1270" i="1"/>
  <c r="R1269" i="1"/>
  <c r="P1269" i="1"/>
  <c r="O1269" i="1"/>
  <c r="R1268" i="1"/>
  <c r="P1268" i="1"/>
  <c r="O1268" i="1"/>
  <c r="R1267" i="1"/>
  <c r="P1267" i="1"/>
  <c r="O1267" i="1"/>
  <c r="R1266" i="1"/>
  <c r="P1266" i="1"/>
  <c r="O1266" i="1"/>
  <c r="R1265" i="1"/>
  <c r="P1265" i="1"/>
  <c r="O1265" i="1"/>
  <c r="R1264" i="1"/>
  <c r="P1264" i="1"/>
  <c r="O1264" i="1"/>
  <c r="R1263" i="1"/>
  <c r="P1263" i="1"/>
  <c r="O1263" i="1"/>
  <c r="R1262" i="1"/>
  <c r="P1262" i="1"/>
  <c r="O1262" i="1"/>
  <c r="R1261" i="1"/>
  <c r="P1261" i="1"/>
  <c r="O1261" i="1"/>
  <c r="R1260" i="1"/>
  <c r="P1260" i="1"/>
  <c r="O1260" i="1"/>
  <c r="R1259" i="1"/>
  <c r="P1259" i="1"/>
  <c r="O1259" i="1"/>
  <c r="R1258" i="1"/>
  <c r="P1258" i="1"/>
  <c r="O1258" i="1"/>
  <c r="R1257" i="1"/>
  <c r="P1257" i="1"/>
  <c r="O1257" i="1"/>
  <c r="R1256" i="1"/>
  <c r="P1256" i="1"/>
  <c r="O1256" i="1"/>
  <c r="R1255" i="1"/>
  <c r="P1255" i="1"/>
  <c r="O1255" i="1"/>
  <c r="R1254" i="1"/>
  <c r="P1254" i="1"/>
  <c r="O1254" i="1"/>
  <c r="R1253" i="1"/>
  <c r="P1253" i="1"/>
  <c r="O1253" i="1"/>
  <c r="R1252" i="1"/>
  <c r="P1252" i="1"/>
  <c r="O1252" i="1"/>
  <c r="R1251" i="1"/>
  <c r="P1251" i="1"/>
  <c r="O1251" i="1"/>
  <c r="R1250" i="1"/>
  <c r="P1250" i="1"/>
  <c r="O1250" i="1"/>
  <c r="R1249" i="1"/>
  <c r="P1249" i="1"/>
  <c r="O1249" i="1"/>
  <c r="R1248" i="1"/>
  <c r="P1248" i="1"/>
  <c r="O1248" i="1"/>
  <c r="R1247" i="1"/>
  <c r="P1247" i="1"/>
  <c r="O1247" i="1"/>
  <c r="R1246" i="1"/>
  <c r="P1246" i="1"/>
  <c r="O1246" i="1"/>
  <c r="R1245" i="1"/>
  <c r="P1245" i="1"/>
  <c r="O1245" i="1"/>
  <c r="R1244" i="1"/>
  <c r="P1244" i="1"/>
  <c r="O1244" i="1"/>
  <c r="R1243" i="1"/>
  <c r="P1243" i="1"/>
  <c r="O1243" i="1"/>
  <c r="R1242" i="1"/>
  <c r="P1242" i="1"/>
  <c r="O1242" i="1"/>
  <c r="R1241" i="1"/>
  <c r="P1241" i="1"/>
  <c r="O1241" i="1"/>
  <c r="R1240" i="1"/>
  <c r="P1240" i="1"/>
  <c r="O1240" i="1"/>
  <c r="R1239" i="1"/>
  <c r="P1239" i="1"/>
  <c r="O1239" i="1"/>
  <c r="R1238" i="1"/>
  <c r="P1238" i="1"/>
  <c r="O1238" i="1"/>
  <c r="R1237" i="1"/>
  <c r="P1237" i="1"/>
  <c r="O1237" i="1"/>
  <c r="R1236" i="1"/>
  <c r="P1236" i="1"/>
  <c r="O1236" i="1"/>
  <c r="R1235" i="1"/>
  <c r="P1235" i="1"/>
  <c r="O1235" i="1"/>
  <c r="R1234" i="1"/>
  <c r="P1234" i="1"/>
  <c r="O1234" i="1"/>
  <c r="R1233" i="1"/>
  <c r="P1233" i="1"/>
  <c r="O1233" i="1"/>
  <c r="R1232" i="1"/>
  <c r="P1232" i="1"/>
  <c r="O1232" i="1"/>
  <c r="R1231" i="1"/>
  <c r="P1231" i="1"/>
  <c r="O1231" i="1"/>
  <c r="R1230" i="1"/>
  <c r="P1230" i="1"/>
  <c r="O1230" i="1"/>
  <c r="R1229" i="1"/>
  <c r="P1229" i="1"/>
  <c r="O1229" i="1"/>
  <c r="R1228" i="1"/>
  <c r="P1228" i="1"/>
  <c r="O1228" i="1"/>
  <c r="R1227" i="1"/>
  <c r="P1227" i="1"/>
  <c r="O1227" i="1"/>
  <c r="R1226" i="1"/>
  <c r="P1226" i="1"/>
  <c r="O1226" i="1"/>
  <c r="R1225" i="1"/>
  <c r="P1225" i="1"/>
  <c r="O1225" i="1"/>
  <c r="R1224" i="1"/>
  <c r="P1224" i="1"/>
  <c r="O1224" i="1"/>
  <c r="R1223" i="1"/>
  <c r="P1223" i="1"/>
  <c r="O1223" i="1"/>
  <c r="R1222" i="1"/>
  <c r="P1222" i="1"/>
  <c r="O1222" i="1"/>
  <c r="R1221" i="1"/>
  <c r="P1221" i="1"/>
  <c r="O1221" i="1"/>
  <c r="R1220" i="1"/>
  <c r="P1220" i="1"/>
  <c r="O1220" i="1"/>
  <c r="R1219" i="1"/>
  <c r="P1219" i="1"/>
  <c r="O1219" i="1"/>
  <c r="R1218" i="1"/>
  <c r="P1218" i="1"/>
  <c r="O1218" i="1"/>
  <c r="R1217" i="1"/>
  <c r="P1217" i="1"/>
  <c r="O1217" i="1"/>
  <c r="R1216" i="1"/>
  <c r="P1216" i="1"/>
  <c r="O1216" i="1"/>
  <c r="R1215" i="1"/>
  <c r="P1215" i="1"/>
  <c r="O1215" i="1"/>
  <c r="R1214" i="1"/>
  <c r="P1214" i="1"/>
  <c r="O1214" i="1"/>
  <c r="R1213" i="1"/>
  <c r="P1213" i="1"/>
  <c r="O1213" i="1"/>
  <c r="R1212" i="1"/>
  <c r="P1212" i="1"/>
  <c r="O1212" i="1"/>
  <c r="R1211" i="1"/>
  <c r="P1211" i="1"/>
  <c r="O1211" i="1"/>
  <c r="R1210" i="1"/>
  <c r="P1210" i="1"/>
  <c r="O1210" i="1"/>
  <c r="R1209" i="1"/>
  <c r="P1209" i="1"/>
  <c r="O1209" i="1"/>
  <c r="R1208" i="1"/>
  <c r="P1208" i="1"/>
  <c r="O1208" i="1"/>
  <c r="R1207" i="1"/>
  <c r="P1207" i="1"/>
  <c r="O1207" i="1"/>
  <c r="R1206" i="1"/>
  <c r="P1206" i="1"/>
  <c r="O1206" i="1"/>
  <c r="R1205" i="1"/>
  <c r="P1205" i="1"/>
  <c r="O1205" i="1"/>
  <c r="R1204" i="1"/>
  <c r="P1204" i="1"/>
  <c r="O1204" i="1"/>
  <c r="R1203" i="1"/>
  <c r="P1203" i="1"/>
  <c r="O1203" i="1"/>
  <c r="R1202" i="1"/>
  <c r="P1202" i="1"/>
  <c r="O1202" i="1"/>
  <c r="R1201" i="1"/>
  <c r="P1201" i="1"/>
  <c r="O1201" i="1"/>
  <c r="R1200" i="1"/>
  <c r="P1200" i="1"/>
  <c r="O1200" i="1"/>
  <c r="R1199" i="1"/>
  <c r="P1199" i="1"/>
  <c r="O1199" i="1"/>
  <c r="R1198" i="1"/>
  <c r="P1198" i="1"/>
  <c r="O1198" i="1"/>
  <c r="R1197" i="1"/>
  <c r="P1197" i="1"/>
  <c r="O1197" i="1"/>
  <c r="R1196" i="1"/>
  <c r="P1196" i="1"/>
  <c r="O1196" i="1"/>
  <c r="R1195" i="1"/>
  <c r="P1195" i="1"/>
  <c r="O1195" i="1"/>
  <c r="R1194" i="1"/>
  <c r="P1194" i="1"/>
  <c r="O1194" i="1"/>
  <c r="R1193" i="1"/>
  <c r="P1193" i="1"/>
  <c r="O1193" i="1"/>
  <c r="R1192" i="1"/>
  <c r="P1192" i="1"/>
  <c r="O1192" i="1"/>
  <c r="R1191" i="1"/>
  <c r="P1191" i="1"/>
  <c r="O1191" i="1"/>
  <c r="R1190" i="1"/>
  <c r="P1190" i="1"/>
  <c r="O1190" i="1"/>
  <c r="R1189" i="1"/>
  <c r="P1189" i="1"/>
  <c r="O1189" i="1"/>
  <c r="R1188" i="1"/>
  <c r="P1188" i="1"/>
  <c r="O1188" i="1"/>
  <c r="R1187" i="1"/>
  <c r="P1187" i="1"/>
  <c r="O1187" i="1"/>
  <c r="R1186" i="1"/>
  <c r="P1186" i="1"/>
  <c r="O1186" i="1"/>
  <c r="R1185" i="1"/>
  <c r="P1185" i="1"/>
  <c r="O1185" i="1"/>
  <c r="R1184" i="1"/>
  <c r="P1184" i="1"/>
  <c r="O1184" i="1"/>
  <c r="R1183" i="1"/>
  <c r="P1183" i="1"/>
  <c r="O1183" i="1"/>
  <c r="R1182" i="1"/>
  <c r="P1182" i="1"/>
  <c r="O1182" i="1"/>
  <c r="R1181" i="1"/>
  <c r="P1181" i="1"/>
  <c r="O1181" i="1"/>
  <c r="R1180" i="1"/>
  <c r="P1180" i="1"/>
  <c r="O1180" i="1"/>
  <c r="R1179" i="1"/>
  <c r="P1179" i="1"/>
  <c r="O1179" i="1"/>
  <c r="R1178" i="1"/>
  <c r="P1178" i="1"/>
  <c r="O1178" i="1"/>
  <c r="R1177" i="1"/>
  <c r="P1177" i="1"/>
  <c r="O1177" i="1"/>
  <c r="R1176" i="1"/>
  <c r="P1176" i="1"/>
  <c r="O1176" i="1"/>
  <c r="R1175" i="1"/>
  <c r="P1175" i="1"/>
  <c r="O1175" i="1"/>
  <c r="R1174" i="1"/>
  <c r="P1174" i="1"/>
  <c r="O1174" i="1"/>
  <c r="R1173" i="1"/>
  <c r="P1173" i="1"/>
  <c r="O1173" i="1"/>
  <c r="R1172" i="1"/>
  <c r="P1172" i="1"/>
  <c r="O1172" i="1"/>
  <c r="R1171" i="1"/>
  <c r="P1171" i="1"/>
  <c r="O1171" i="1"/>
  <c r="R1170" i="1"/>
  <c r="P1170" i="1"/>
  <c r="O1170" i="1"/>
  <c r="R1169" i="1"/>
  <c r="P1169" i="1"/>
  <c r="O1169" i="1"/>
  <c r="R1168" i="1"/>
  <c r="P1168" i="1"/>
  <c r="O1168" i="1"/>
  <c r="R1167" i="1"/>
  <c r="P1167" i="1"/>
  <c r="O1167" i="1"/>
  <c r="R1166" i="1"/>
  <c r="P1166" i="1"/>
  <c r="O1166" i="1"/>
  <c r="R1165" i="1"/>
  <c r="P1165" i="1"/>
  <c r="O1165" i="1"/>
  <c r="R1164" i="1"/>
  <c r="P1164" i="1"/>
  <c r="O1164" i="1"/>
  <c r="R1163" i="1"/>
  <c r="P1163" i="1"/>
  <c r="O1163" i="1"/>
  <c r="R1162" i="1"/>
  <c r="P1162" i="1"/>
  <c r="O1162" i="1"/>
  <c r="R1161" i="1"/>
  <c r="P1161" i="1"/>
  <c r="O1161" i="1"/>
  <c r="R1160" i="1"/>
  <c r="P1160" i="1"/>
  <c r="O1160" i="1"/>
  <c r="R1159" i="1"/>
  <c r="P1159" i="1"/>
  <c r="O1159" i="1"/>
  <c r="R1158" i="1"/>
  <c r="P1158" i="1"/>
  <c r="O1158" i="1"/>
  <c r="R1157" i="1"/>
  <c r="P1157" i="1"/>
  <c r="O1157" i="1"/>
  <c r="R1156" i="1"/>
  <c r="P1156" i="1"/>
  <c r="O1156" i="1"/>
  <c r="R1155" i="1"/>
  <c r="P1155" i="1"/>
  <c r="O1155" i="1"/>
  <c r="R1154" i="1"/>
  <c r="P1154" i="1"/>
  <c r="O1154" i="1"/>
  <c r="R1153" i="1"/>
  <c r="P1153" i="1"/>
  <c r="O1153" i="1"/>
  <c r="R1152" i="1"/>
  <c r="P1152" i="1"/>
  <c r="O1152" i="1"/>
  <c r="R1151" i="1"/>
  <c r="P1151" i="1"/>
  <c r="O1151" i="1"/>
  <c r="R1150" i="1"/>
  <c r="P1150" i="1"/>
  <c r="O1150" i="1"/>
  <c r="R1149" i="1"/>
  <c r="P1149" i="1"/>
  <c r="O1149" i="1"/>
  <c r="R1148" i="1"/>
  <c r="P1148" i="1"/>
  <c r="O1148" i="1"/>
  <c r="R1147" i="1"/>
  <c r="P1147" i="1"/>
  <c r="O1147" i="1"/>
  <c r="R1146" i="1"/>
  <c r="P1146" i="1"/>
  <c r="O1146" i="1"/>
  <c r="R1145" i="1"/>
  <c r="P1145" i="1"/>
  <c r="O1145" i="1"/>
  <c r="R1144" i="1"/>
  <c r="P1144" i="1"/>
  <c r="O1144" i="1"/>
  <c r="R1143" i="1"/>
  <c r="P1143" i="1"/>
  <c r="O1143" i="1"/>
  <c r="R1142" i="1"/>
  <c r="P1142" i="1"/>
  <c r="O1142" i="1"/>
  <c r="R1141" i="1"/>
  <c r="P1141" i="1"/>
  <c r="O1141" i="1"/>
  <c r="R1140" i="1"/>
  <c r="P1140" i="1"/>
  <c r="O1140" i="1"/>
  <c r="R1139" i="1"/>
  <c r="P1139" i="1"/>
  <c r="O1139" i="1"/>
  <c r="R1138" i="1"/>
  <c r="P1138" i="1"/>
  <c r="O1138" i="1"/>
  <c r="R1137" i="1"/>
  <c r="P1137" i="1"/>
  <c r="O1137" i="1"/>
  <c r="R1136" i="1"/>
  <c r="P1136" i="1"/>
  <c r="O1136" i="1"/>
  <c r="R1135" i="1"/>
  <c r="P1135" i="1"/>
  <c r="O1135" i="1"/>
  <c r="R1134" i="1"/>
  <c r="P1134" i="1"/>
  <c r="O1134" i="1"/>
  <c r="R1133" i="1"/>
  <c r="P1133" i="1"/>
  <c r="O1133" i="1"/>
  <c r="R1132" i="1"/>
  <c r="P1132" i="1"/>
  <c r="O1132" i="1"/>
  <c r="R1131" i="1"/>
  <c r="P1131" i="1"/>
  <c r="O1131" i="1"/>
  <c r="R1130" i="1"/>
  <c r="P1130" i="1"/>
  <c r="O1130" i="1"/>
  <c r="R1129" i="1"/>
  <c r="P1129" i="1"/>
  <c r="O1129" i="1"/>
  <c r="R1128" i="1"/>
  <c r="P1128" i="1"/>
  <c r="O1128" i="1"/>
  <c r="R1127" i="1"/>
  <c r="P1127" i="1"/>
  <c r="O1127" i="1"/>
  <c r="R1126" i="1"/>
  <c r="P1126" i="1"/>
  <c r="O1126" i="1"/>
  <c r="R1125" i="1"/>
  <c r="P1125" i="1"/>
  <c r="O1125" i="1"/>
  <c r="R1124" i="1"/>
  <c r="P1124" i="1"/>
  <c r="O1124" i="1"/>
  <c r="R1123" i="1"/>
  <c r="P1123" i="1"/>
  <c r="O1123" i="1"/>
  <c r="R1122" i="1"/>
  <c r="P1122" i="1"/>
  <c r="O1122" i="1"/>
  <c r="R1121" i="1"/>
  <c r="P1121" i="1"/>
  <c r="O1121" i="1"/>
  <c r="R1120" i="1"/>
  <c r="P1120" i="1"/>
  <c r="O1120" i="1"/>
  <c r="R1119" i="1"/>
  <c r="P1119" i="1"/>
  <c r="O1119" i="1"/>
  <c r="R1118" i="1"/>
  <c r="P1118" i="1"/>
  <c r="O1118" i="1"/>
  <c r="R1117" i="1"/>
  <c r="P1117" i="1"/>
  <c r="O1117" i="1"/>
  <c r="R1116" i="1"/>
  <c r="P1116" i="1"/>
  <c r="O1116" i="1"/>
  <c r="R1115" i="1"/>
  <c r="P1115" i="1"/>
  <c r="O1115" i="1"/>
  <c r="R1114" i="1"/>
  <c r="P1114" i="1"/>
  <c r="O1114" i="1"/>
  <c r="R1113" i="1"/>
  <c r="P1113" i="1"/>
  <c r="O1113" i="1"/>
  <c r="R1112" i="1"/>
  <c r="P1112" i="1"/>
  <c r="O1112" i="1"/>
  <c r="R1111" i="1"/>
  <c r="P1111" i="1"/>
  <c r="O1111" i="1"/>
  <c r="R1110" i="1"/>
  <c r="P1110" i="1"/>
  <c r="O1110" i="1"/>
  <c r="R1109" i="1"/>
  <c r="P1109" i="1"/>
  <c r="O1109" i="1"/>
  <c r="R1108" i="1"/>
  <c r="P1108" i="1"/>
  <c r="O1108" i="1"/>
  <c r="R1107" i="1"/>
  <c r="P1107" i="1"/>
  <c r="O1107" i="1"/>
  <c r="R1106" i="1"/>
  <c r="P1106" i="1"/>
  <c r="O1106" i="1"/>
  <c r="R1105" i="1"/>
  <c r="P1105" i="1"/>
  <c r="O1105" i="1"/>
  <c r="R1104" i="1"/>
  <c r="P1104" i="1"/>
  <c r="O1104" i="1"/>
  <c r="R1103" i="1"/>
  <c r="P1103" i="1"/>
  <c r="O1103" i="1"/>
  <c r="R1102" i="1"/>
  <c r="P1102" i="1"/>
  <c r="O1102" i="1"/>
  <c r="R1101" i="1"/>
  <c r="P1101" i="1"/>
  <c r="O1101" i="1"/>
  <c r="R1100" i="1"/>
  <c r="P1100" i="1"/>
  <c r="O1100" i="1"/>
  <c r="R1099" i="1"/>
  <c r="P1099" i="1"/>
  <c r="O1099" i="1"/>
  <c r="R1098" i="1"/>
  <c r="P1098" i="1"/>
  <c r="O1098" i="1"/>
  <c r="R1097" i="1"/>
  <c r="P1097" i="1"/>
  <c r="O1097" i="1"/>
  <c r="R1096" i="1"/>
  <c r="P1096" i="1"/>
  <c r="O1096" i="1"/>
  <c r="R1095" i="1"/>
  <c r="P1095" i="1"/>
  <c r="O1095" i="1"/>
  <c r="R1094" i="1"/>
  <c r="P1094" i="1"/>
  <c r="O1094" i="1"/>
  <c r="R1093" i="1"/>
  <c r="P1093" i="1"/>
  <c r="O1093" i="1"/>
  <c r="R1092" i="1"/>
  <c r="P1092" i="1"/>
  <c r="O1092" i="1"/>
  <c r="R1091" i="1"/>
  <c r="P1091" i="1"/>
  <c r="O1091" i="1"/>
  <c r="R1090" i="1"/>
  <c r="P1090" i="1"/>
  <c r="O1090" i="1"/>
  <c r="R1089" i="1"/>
  <c r="P1089" i="1"/>
  <c r="O1089" i="1"/>
  <c r="R1088" i="1"/>
  <c r="P1088" i="1"/>
  <c r="O1088" i="1"/>
  <c r="R1087" i="1"/>
  <c r="P1087" i="1"/>
  <c r="O1087" i="1"/>
  <c r="R1086" i="1"/>
  <c r="P1086" i="1"/>
  <c r="O1086" i="1"/>
  <c r="R1085" i="1"/>
  <c r="P1085" i="1"/>
  <c r="O1085" i="1"/>
  <c r="R1084" i="1"/>
  <c r="P1084" i="1"/>
  <c r="O1084" i="1"/>
  <c r="R1083" i="1"/>
  <c r="P1083" i="1"/>
  <c r="O1083" i="1"/>
  <c r="R1082" i="1"/>
  <c r="P1082" i="1"/>
  <c r="O1082" i="1"/>
  <c r="R1081" i="1"/>
  <c r="P1081" i="1"/>
  <c r="O1081" i="1"/>
  <c r="R1080" i="1"/>
  <c r="P1080" i="1"/>
  <c r="O1080" i="1"/>
  <c r="R1079" i="1"/>
  <c r="P1079" i="1"/>
  <c r="O1079" i="1"/>
  <c r="R1078" i="1"/>
  <c r="P1078" i="1"/>
  <c r="O1078" i="1"/>
  <c r="R1077" i="1"/>
  <c r="P1077" i="1"/>
  <c r="O1077" i="1"/>
  <c r="R1076" i="1"/>
  <c r="P1076" i="1"/>
  <c r="O1076" i="1"/>
  <c r="R1075" i="1"/>
  <c r="P1075" i="1"/>
  <c r="O1075" i="1"/>
  <c r="R1074" i="1"/>
  <c r="P1074" i="1"/>
  <c r="O1074" i="1"/>
  <c r="R1073" i="1"/>
  <c r="P1073" i="1"/>
  <c r="O1073" i="1"/>
  <c r="R1072" i="1"/>
  <c r="P1072" i="1"/>
  <c r="O1072" i="1"/>
  <c r="R1071" i="1"/>
  <c r="P1071" i="1"/>
  <c r="O1071" i="1"/>
  <c r="R1070" i="1"/>
  <c r="P1070" i="1"/>
  <c r="O1070" i="1"/>
  <c r="R1069" i="1"/>
  <c r="P1069" i="1"/>
  <c r="O1069" i="1"/>
  <c r="R1068" i="1"/>
  <c r="P1068" i="1"/>
  <c r="O1068" i="1"/>
  <c r="R1067" i="1"/>
  <c r="P1067" i="1"/>
  <c r="O1067" i="1"/>
  <c r="R1066" i="1"/>
  <c r="P1066" i="1"/>
  <c r="O1066" i="1"/>
  <c r="R1065" i="1"/>
  <c r="P1065" i="1"/>
  <c r="O1065" i="1"/>
  <c r="R1064" i="1"/>
  <c r="P1064" i="1"/>
  <c r="O1064" i="1"/>
  <c r="R1063" i="1"/>
  <c r="P1063" i="1"/>
  <c r="O1063" i="1"/>
  <c r="R1062" i="1"/>
  <c r="P1062" i="1"/>
  <c r="O1062" i="1"/>
  <c r="R1061" i="1"/>
  <c r="P1061" i="1"/>
  <c r="O1061" i="1"/>
  <c r="R1060" i="1"/>
  <c r="P1060" i="1"/>
  <c r="O1060" i="1"/>
  <c r="R1059" i="1"/>
  <c r="P1059" i="1"/>
  <c r="O1059" i="1"/>
  <c r="R1058" i="1"/>
  <c r="P1058" i="1"/>
  <c r="O1058" i="1"/>
  <c r="R1057" i="1"/>
  <c r="P1057" i="1"/>
  <c r="O1057" i="1"/>
  <c r="R1056" i="1"/>
  <c r="P1056" i="1"/>
  <c r="O1056" i="1"/>
  <c r="R1055" i="1"/>
  <c r="P1055" i="1"/>
  <c r="O1055" i="1"/>
  <c r="R1054" i="1"/>
  <c r="P1054" i="1"/>
  <c r="O1054" i="1"/>
  <c r="R1053" i="1"/>
  <c r="P1053" i="1"/>
  <c r="O1053" i="1"/>
  <c r="R1052" i="1"/>
  <c r="P1052" i="1"/>
  <c r="O1052" i="1"/>
  <c r="R1051" i="1"/>
  <c r="P1051" i="1"/>
  <c r="O1051" i="1"/>
  <c r="R1050" i="1"/>
  <c r="P1050" i="1"/>
  <c r="O1050" i="1"/>
  <c r="R1049" i="1"/>
  <c r="P1049" i="1"/>
  <c r="O1049" i="1"/>
  <c r="R1048" i="1"/>
  <c r="P1048" i="1"/>
  <c r="O1048" i="1"/>
  <c r="R1047" i="1"/>
  <c r="P1047" i="1"/>
  <c r="O1047" i="1"/>
  <c r="R1046" i="1"/>
  <c r="P1046" i="1"/>
  <c r="O1046" i="1"/>
  <c r="R1045" i="1"/>
  <c r="P1045" i="1"/>
  <c r="O1045" i="1"/>
  <c r="R1044" i="1"/>
  <c r="P1044" i="1"/>
  <c r="O1044" i="1"/>
  <c r="R1043" i="1"/>
  <c r="P1043" i="1"/>
  <c r="O1043" i="1"/>
  <c r="R1042" i="1"/>
  <c r="P1042" i="1"/>
  <c r="O1042" i="1"/>
  <c r="R1041" i="1"/>
  <c r="P1041" i="1"/>
  <c r="O1041" i="1"/>
  <c r="R1040" i="1"/>
  <c r="P1040" i="1"/>
  <c r="O1040" i="1"/>
  <c r="R1039" i="1"/>
  <c r="P1039" i="1"/>
  <c r="O1039" i="1"/>
  <c r="R1038" i="1"/>
  <c r="P1038" i="1"/>
  <c r="O1038" i="1"/>
  <c r="R1037" i="1"/>
  <c r="P1037" i="1"/>
  <c r="O1037" i="1"/>
  <c r="R1036" i="1"/>
  <c r="P1036" i="1"/>
  <c r="O1036" i="1"/>
  <c r="R1035" i="1"/>
  <c r="P1035" i="1"/>
  <c r="O1035" i="1"/>
  <c r="R1034" i="1"/>
  <c r="P1034" i="1"/>
  <c r="O1034" i="1"/>
  <c r="R1033" i="1"/>
  <c r="P1033" i="1"/>
  <c r="O1033" i="1"/>
  <c r="R1032" i="1"/>
  <c r="P1032" i="1"/>
  <c r="O1032" i="1"/>
  <c r="R1031" i="1"/>
  <c r="P1031" i="1"/>
  <c r="O1031" i="1"/>
  <c r="R1030" i="1"/>
  <c r="P1030" i="1"/>
  <c r="O1030" i="1"/>
  <c r="R1029" i="1"/>
  <c r="P1029" i="1"/>
  <c r="O1029" i="1"/>
  <c r="R1028" i="1"/>
  <c r="P1028" i="1"/>
  <c r="O1028" i="1"/>
  <c r="R1027" i="1"/>
  <c r="P1027" i="1"/>
  <c r="O1027" i="1"/>
  <c r="R1026" i="1"/>
  <c r="P1026" i="1"/>
  <c r="O1026" i="1"/>
  <c r="R1025" i="1"/>
  <c r="P1025" i="1"/>
  <c r="O1025" i="1"/>
  <c r="R1024" i="1"/>
  <c r="P1024" i="1"/>
  <c r="O1024" i="1"/>
  <c r="R1023" i="1"/>
  <c r="P1023" i="1"/>
  <c r="O1023" i="1"/>
  <c r="R1022" i="1"/>
  <c r="P1022" i="1"/>
  <c r="O1022" i="1"/>
  <c r="R1021" i="1"/>
  <c r="P1021" i="1"/>
  <c r="O1021" i="1"/>
  <c r="R1020" i="1"/>
  <c r="P1020" i="1"/>
  <c r="O1020" i="1"/>
  <c r="R1019" i="1"/>
  <c r="P1019" i="1"/>
  <c r="O1019" i="1"/>
  <c r="R1018" i="1"/>
  <c r="P1018" i="1"/>
  <c r="O1018" i="1"/>
  <c r="R1017" i="1"/>
  <c r="P1017" i="1"/>
  <c r="O1017" i="1"/>
  <c r="R1016" i="1"/>
  <c r="P1016" i="1"/>
  <c r="O1016" i="1"/>
  <c r="R1015" i="1"/>
  <c r="P1015" i="1"/>
  <c r="O1015" i="1"/>
  <c r="R1014" i="1"/>
  <c r="P1014" i="1"/>
  <c r="O1014" i="1"/>
  <c r="R1013" i="1"/>
  <c r="P1013" i="1"/>
  <c r="O1013" i="1"/>
  <c r="R1012" i="1"/>
  <c r="P1012" i="1"/>
  <c r="O1012" i="1"/>
  <c r="R1011" i="1"/>
  <c r="P1011" i="1"/>
  <c r="O1011" i="1"/>
  <c r="R1010" i="1"/>
  <c r="P1010" i="1"/>
  <c r="O1010" i="1"/>
  <c r="R1009" i="1"/>
  <c r="P1009" i="1"/>
  <c r="O1009" i="1"/>
  <c r="R1008" i="1"/>
  <c r="P1008" i="1"/>
  <c r="O1008" i="1"/>
  <c r="R1007" i="1"/>
  <c r="P1007" i="1"/>
  <c r="O1007" i="1"/>
  <c r="R1006" i="1"/>
  <c r="P1006" i="1"/>
  <c r="O1006" i="1"/>
  <c r="R1005" i="1"/>
  <c r="P1005" i="1"/>
  <c r="O1005" i="1"/>
  <c r="R1004" i="1"/>
  <c r="P1004" i="1"/>
  <c r="O1004" i="1"/>
  <c r="R1003" i="1"/>
  <c r="P1003" i="1"/>
  <c r="O1003" i="1"/>
  <c r="R1002" i="1"/>
  <c r="P1002" i="1"/>
  <c r="O1002" i="1"/>
  <c r="R1001" i="1"/>
  <c r="P1001" i="1"/>
  <c r="O1001" i="1"/>
  <c r="R1000" i="1"/>
  <c r="P1000" i="1"/>
  <c r="O1000" i="1"/>
  <c r="R999" i="1"/>
  <c r="P999" i="1"/>
  <c r="O999" i="1"/>
  <c r="R998" i="1"/>
  <c r="P998" i="1"/>
  <c r="O998" i="1"/>
  <c r="R997" i="1"/>
  <c r="P997" i="1"/>
  <c r="O997" i="1"/>
  <c r="R996" i="1"/>
  <c r="P996" i="1"/>
  <c r="O996" i="1"/>
  <c r="R995" i="1"/>
  <c r="P995" i="1"/>
  <c r="O995" i="1"/>
  <c r="R994" i="1"/>
  <c r="P994" i="1"/>
  <c r="O994" i="1"/>
  <c r="R993" i="1"/>
  <c r="P993" i="1"/>
  <c r="O993" i="1"/>
  <c r="R992" i="1"/>
  <c r="P992" i="1"/>
  <c r="O992" i="1"/>
  <c r="R991" i="1"/>
  <c r="P991" i="1"/>
  <c r="O991" i="1"/>
  <c r="R990" i="1"/>
  <c r="P990" i="1"/>
  <c r="O990" i="1"/>
  <c r="R989" i="1"/>
  <c r="P989" i="1"/>
  <c r="O989" i="1"/>
  <c r="R988" i="1"/>
  <c r="P988" i="1"/>
  <c r="O988" i="1"/>
  <c r="R987" i="1"/>
  <c r="P987" i="1"/>
  <c r="O987" i="1"/>
  <c r="R986" i="1"/>
  <c r="P986" i="1"/>
  <c r="O986" i="1"/>
  <c r="R985" i="1"/>
  <c r="P985" i="1"/>
  <c r="O985" i="1"/>
  <c r="R984" i="1"/>
  <c r="P984" i="1"/>
  <c r="O984" i="1"/>
  <c r="R983" i="1"/>
  <c r="P983" i="1"/>
  <c r="O983" i="1"/>
  <c r="R982" i="1"/>
  <c r="P982" i="1"/>
  <c r="O982" i="1"/>
  <c r="R981" i="1"/>
  <c r="P981" i="1"/>
  <c r="O981" i="1"/>
  <c r="R980" i="1"/>
  <c r="P980" i="1"/>
  <c r="O980" i="1"/>
  <c r="R979" i="1"/>
  <c r="P979" i="1"/>
  <c r="O979" i="1"/>
  <c r="R978" i="1"/>
  <c r="P978" i="1"/>
  <c r="O978" i="1"/>
  <c r="R977" i="1"/>
  <c r="P977" i="1"/>
  <c r="O977" i="1"/>
  <c r="R976" i="1"/>
  <c r="P976" i="1"/>
  <c r="O976" i="1"/>
  <c r="R975" i="1"/>
  <c r="P975" i="1"/>
  <c r="O975" i="1"/>
  <c r="R974" i="1"/>
  <c r="P974" i="1"/>
  <c r="O974" i="1"/>
  <c r="R973" i="1"/>
  <c r="P973" i="1"/>
  <c r="O973" i="1"/>
  <c r="R972" i="1"/>
  <c r="P972" i="1"/>
  <c r="O972" i="1"/>
  <c r="R971" i="1"/>
  <c r="P971" i="1"/>
  <c r="O971" i="1"/>
  <c r="R970" i="1"/>
  <c r="P970" i="1"/>
  <c r="O970" i="1"/>
  <c r="R969" i="1"/>
  <c r="P969" i="1"/>
  <c r="O969" i="1"/>
  <c r="R968" i="1"/>
  <c r="P968" i="1"/>
  <c r="O968" i="1"/>
  <c r="R967" i="1"/>
  <c r="P967" i="1"/>
  <c r="O967" i="1"/>
  <c r="R966" i="1"/>
  <c r="P966" i="1"/>
  <c r="O966" i="1"/>
  <c r="R965" i="1"/>
  <c r="P965" i="1"/>
  <c r="O965" i="1"/>
  <c r="R964" i="1"/>
  <c r="P964" i="1"/>
  <c r="O964" i="1"/>
  <c r="R963" i="1"/>
  <c r="P963" i="1"/>
  <c r="O963" i="1"/>
  <c r="R962" i="1"/>
  <c r="P962" i="1"/>
  <c r="O962" i="1"/>
  <c r="R961" i="1"/>
  <c r="P961" i="1"/>
  <c r="O961" i="1"/>
  <c r="R960" i="1"/>
  <c r="P960" i="1"/>
  <c r="O960" i="1"/>
  <c r="R959" i="1"/>
  <c r="P959" i="1"/>
  <c r="O959" i="1"/>
  <c r="R958" i="1"/>
  <c r="P958" i="1"/>
  <c r="O958" i="1"/>
  <c r="R957" i="1"/>
  <c r="P957" i="1"/>
  <c r="O957" i="1"/>
  <c r="R956" i="1"/>
  <c r="P956" i="1"/>
  <c r="O956" i="1"/>
  <c r="R955" i="1"/>
  <c r="P955" i="1"/>
  <c r="O955" i="1"/>
  <c r="R954" i="1"/>
  <c r="P954" i="1"/>
  <c r="O954" i="1"/>
  <c r="R953" i="1"/>
  <c r="P953" i="1"/>
  <c r="O953" i="1"/>
  <c r="R952" i="1"/>
  <c r="P952" i="1"/>
  <c r="O952" i="1"/>
  <c r="R951" i="1"/>
  <c r="P951" i="1"/>
  <c r="O951" i="1"/>
  <c r="R950" i="1"/>
  <c r="P950" i="1"/>
  <c r="O950" i="1"/>
  <c r="R949" i="1"/>
  <c r="P949" i="1"/>
  <c r="O949" i="1"/>
  <c r="R948" i="1"/>
  <c r="P948" i="1"/>
  <c r="O948" i="1"/>
  <c r="R947" i="1"/>
  <c r="P947" i="1"/>
  <c r="O947" i="1"/>
  <c r="R946" i="1"/>
  <c r="P946" i="1"/>
  <c r="O946" i="1"/>
  <c r="R945" i="1"/>
  <c r="P945" i="1"/>
  <c r="O945" i="1"/>
  <c r="R944" i="1"/>
  <c r="P944" i="1"/>
  <c r="O944" i="1"/>
  <c r="R943" i="1"/>
  <c r="P943" i="1"/>
  <c r="O943" i="1"/>
  <c r="R942" i="1"/>
  <c r="P942" i="1"/>
  <c r="O942" i="1"/>
  <c r="R941" i="1"/>
  <c r="P941" i="1"/>
  <c r="O941" i="1"/>
  <c r="R940" i="1"/>
  <c r="P940" i="1"/>
  <c r="O940" i="1"/>
  <c r="R939" i="1"/>
  <c r="P939" i="1"/>
  <c r="O939" i="1"/>
  <c r="R938" i="1"/>
  <c r="P938" i="1"/>
  <c r="O938" i="1"/>
  <c r="R937" i="1"/>
  <c r="P937" i="1"/>
  <c r="O937" i="1"/>
  <c r="R936" i="1"/>
  <c r="P936" i="1"/>
  <c r="O936" i="1"/>
  <c r="R935" i="1"/>
  <c r="P935" i="1"/>
  <c r="O935" i="1"/>
  <c r="R934" i="1"/>
  <c r="P934" i="1"/>
  <c r="O934" i="1"/>
  <c r="R933" i="1"/>
  <c r="P933" i="1"/>
  <c r="O933" i="1"/>
  <c r="R932" i="1"/>
  <c r="P932" i="1"/>
  <c r="O932" i="1"/>
  <c r="R931" i="1"/>
  <c r="P931" i="1"/>
  <c r="O931" i="1"/>
  <c r="R930" i="1"/>
  <c r="P930" i="1"/>
  <c r="O930" i="1"/>
  <c r="R929" i="1"/>
  <c r="P929" i="1"/>
  <c r="O929" i="1"/>
  <c r="R928" i="1"/>
  <c r="P928" i="1"/>
  <c r="O928" i="1"/>
  <c r="R927" i="1"/>
  <c r="P927" i="1"/>
  <c r="O927" i="1"/>
  <c r="R926" i="1"/>
  <c r="P926" i="1"/>
  <c r="O926" i="1"/>
  <c r="R925" i="1"/>
  <c r="P925" i="1"/>
  <c r="O925" i="1"/>
  <c r="R924" i="1"/>
  <c r="P924" i="1"/>
  <c r="O924" i="1"/>
  <c r="R923" i="1"/>
  <c r="P923" i="1"/>
  <c r="O923" i="1"/>
  <c r="R922" i="1"/>
  <c r="P922" i="1"/>
  <c r="O922" i="1"/>
  <c r="R921" i="1"/>
  <c r="P921" i="1"/>
  <c r="O921" i="1"/>
  <c r="R920" i="1"/>
  <c r="P920" i="1"/>
  <c r="O920" i="1"/>
  <c r="R919" i="1"/>
  <c r="P919" i="1"/>
  <c r="O919" i="1"/>
  <c r="R918" i="1"/>
  <c r="P918" i="1"/>
  <c r="O918" i="1"/>
  <c r="R917" i="1"/>
  <c r="P917" i="1"/>
  <c r="O917" i="1"/>
  <c r="R916" i="1"/>
  <c r="P916" i="1"/>
  <c r="O916" i="1"/>
  <c r="R915" i="1"/>
  <c r="P915" i="1"/>
  <c r="O915" i="1"/>
  <c r="R914" i="1"/>
  <c r="P914" i="1"/>
  <c r="O914" i="1"/>
  <c r="R913" i="1"/>
  <c r="P913" i="1"/>
  <c r="O913" i="1"/>
  <c r="R912" i="1"/>
  <c r="P912" i="1"/>
  <c r="O912" i="1"/>
  <c r="R911" i="1"/>
  <c r="P911" i="1"/>
  <c r="O911" i="1"/>
  <c r="R910" i="1"/>
  <c r="P910" i="1"/>
  <c r="O910" i="1"/>
  <c r="R909" i="1"/>
  <c r="P909" i="1"/>
  <c r="O909" i="1"/>
  <c r="R908" i="1"/>
  <c r="P908" i="1"/>
  <c r="O908" i="1"/>
  <c r="R907" i="1"/>
  <c r="P907" i="1"/>
  <c r="O907" i="1"/>
  <c r="R906" i="1"/>
  <c r="P906" i="1"/>
  <c r="O906" i="1"/>
  <c r="R905" i="1"/>
  <c r="P905" i="1"/>
  <c r="O905" i="1"/>
  <c r="R904" i="1"/>
  <c r="P904" i="1"/>
  <c r="O904" i="1"/>
  <c r="R903" i="1"/>
  <c r="P903" i="1"/>
  <c r="O903" i="1"/>
  <c r="R902" i="1"/>
  <c r="P902" i="1"/>
  <c r="O902" i="1"/>
  <c r="R901" i="1"/>
  <c r="P901" i="1"/>
  <c r="O901" i="1"/>
  <c r="R900" i="1"/>
  <c r="P900" i="1"/>
  <c r="O900" i="1"/>
  <c r="R899" i="1"/>
  <c r="P899" i="1"/>
  <c r="O899" i="1"/>
  <c r="R898" i="1"/>
  <c r="P898" i="1"/>
  <c r="O898" i="1"/>
  <c r="R897" i="1"/>
  <c r="P897" i="1"/>
  <c r="O897" i="1"/>
  <c r="R896" i="1"/>
  <c r="P896" i="1"/>
  <c r="O896" i="1"/>
  <c r="R895" i="1"/>
  <c r="P895" i="1"/>
  <c r="O895" i="1"/>
  <c r="R894" i="1"/>
  <c r="P894" i="1"/>
  <c r="O894" i="1"/>
  <c r="R893" i="1"/>
  <c r="P893" i="1"/>
  <c r="O893" i="1"/>
  <c r="R892" i="1"/>
  <c r="P892" i="1"/>
  <c r="O892" i="1"/>
  <c r="R891" i="1"/>
  <c r="P891" i="1"/>
  <c r="O891" i="1"/>
  <c r="R890" i="1"/>
  <c r="P890" i="1"/>
  <c r="O890" i="1"/>
  <c r="R889" i="1"/>
  <c r="P889" i="1"/>
  <c r="O889" i="1"/>
  <c r="R888" i="1"/>
  <c r="P888" i="1"/>
  <c r="O888" i="1"/>
  <c r="R887" i="1"/>
  <c r="P887" i="1"/>
  <c r="O887" i="1"/>
  <c r="R886" i="1"/>
  <c r="P886" i="1"/>
  <c r="O886" i="1"/>
  <c r="R885" i="1"/>
  <c r="P885" i="1"/>
  <c r="O885" i="1"/>
  <c r="R884" i="1"/>
  <c r="P884" i="1"/>
  <c r="O884" i="1"/>
  <c r="R883" i="1"/>
  <c r="P883" i="1"/>
  <c r="O883" i="1"/>
  <c r="R882" i="1"/>
  <c r="P882" i="1"/>
  <c r="O882" i="1"/>
  <c r="R881" i="1"/>
  <c r="P881" i="1"/>
  <c r="O881" i="1"/>
  <c r="R880" i="1"/>
  <c r="P880" i="1"/>
  <c r="O880" i="1"/>
  <c r="R879" i="1"/>
  <c r="P879" i="1"/>
  <c r="O879" i="1"/>
  <c r="R878" i="1"/>
  <c r="P878" i="1"/>
  <c r="O878" i="1"/>
  <c r="R877" i="1"/>
  <c r="P877" i="1"/>
  <c r="O877" i="1"/>
  <c r="R876" i="1"/>
  <c r="P876" i="1"/>
  <c r="O876" i="1"/>
  <c r="R875" i="1"/>
  <c r="P875" i="1"/>
  <c r="O875" i="1"/>
  <c r="R874" i="1"/>
  <c r="P874" i="1"/>
  <c r="O874" i="1"/>
  <c r="R873" i="1"/>
  <c r="P873" i="1"/>
  <c r="O873" i="1"/>
  <c r="R872" i="1"/>
  <c r="P872" i="1"/>
  <c r="O872" i="1"/>
  <c r="R871" i="1"/>
  <c r="P871" i="1"/>
  <c r="O871" i="1"/>
  <c r="R870" i="1"/>
  <c r="P870" i="1"/>
  <c r="O870" i="1"/>
  <c r="R869" i="1"/>
  <c r="P869" i="1"/>
  <c r="O869" i="1"/>
  <c r="R868" i="1"/>
  <c r="P868" i="1"/>
  <c r="O868" i="1"/>
  <c r="R867" i="1"/>
  <c r="P867" i="1"/>
  <c r="O867" i="1"/>
  <c r="R866" i="1"/>
  <c r="P866" i="1"/>
  <c r="O866" i="1"/>
  <c r="R865" i="1"/>
  <c r="P865" i="1"/>
  <c r="O865" i="1"/>
  <c r="R864" i="1"/>
  <c r="P864" i="1"/>
  <c r="O864" i="1"/>
  <c r="R863" i="1"/>
  <c r="P863" i="1"/>
  <c r="O863" i="1"/>
  <c r="R862" i="1"/>
  <c r="P862" i="1"/>
  <c r="O862" i="1"/>
  <c r="R861" i="1"/>
  <c r="P861" i="1"/>
  <c r="O861" i="1"/>
  <c r="R860" i="1"/>
  <c r="P860" i="1"/>
  <c r="O860" i="1"/>
  <c r="R859" i="1"/>
  <c r="P859" i="1"/>
  <c r="O859" i="1"/>
  <c r="R858" i="1"/>
  <c r="P858" i="1"/>
  <c r="O858" i="1"/>
  <c r="R857" i="1"/>
  <c r="P857" i="1"/>
  <c r="O857" i="1"/>
  <c r="R856" i="1"/>
  <c r="P856" i="1"/>
  <c r="O856" i="1"/>
  <c r="R855" i="1"/>
  <c r="P855" i="1"/>
  <c r="O855" i="1"/>
  <c r="R854" i="1"/>
  <c r="P854" i="1"/>
  <c r="O854" i="1"/>
  <c r="R853" i="1"/>
  <c r="P853" i="1"/>
  <c r="O853" i="1"/>
  <c r="R852" i="1"/>
  <c r="P852" i="1"/>
  <c r="O852" i="1"/>
  <c r="R851" i="1"/>
  <c r="P851" i="1"/>
  <c r="O851" i="1"/>
  <c r="R850" i="1"/>
  <c r="P850" i="1"/>
  <c r="O850" i="1"/>
  <c r="R849" i="1"/>
  <c r="P849" i="1"/>
  <c r="O849" i="1"/>
  <c r="R848" i="1"/>
  <c r="P848" i="1"/>
  <c r="O848" i="1"/>
  <c r="R847" i="1"/>
  <c r="P847" i="1"/>
  <c r="O847" i="1"/>
  <c r="R846" i="1"/>
  <c r="P846" i="1"/>
  <c r="O846" i="1"/>
  <c r="R845" i="1"/>
  <c r="P845" i="1"/>
  <c r="O845" i="1"/>
  <c r="R844" i="1"/>
  <c r="P844" i="1"/>
  <c r="O844" i="1"/>
  <c r="R843" i="1"/>
  <c r="P843" i="1"/>
  <c r="O843" i="1"/>
  <c r="R842" i="1"/>
  <c r="P842" i="1"/>
  <c r="O842" i="1"/>
  <c r="R841" i="1"/>
  <c r="P841" i="1"/>
  <c r="O841" i="1"/>
  <c r="R840" i="1"/>
  <c r="P840" i="1"/>
  <c r="O840" i="1"/>
  <c r="R839" i="1"/>
  <c r="P839" i="1"/>
  <c r="O839" i="1"/>
  <c r="R838" i="1"/>
  <c r="P838" i="1"/>
  <c r="O838" i="1"/>
  <c r="R837" i="1"/>
  <c r="P837" i="1"/>
  <c r="O837" i="1"/>
  <c r="R836" i="1"/>
  <c r="P836" i="1"/>
  <c r="O836" i="1"/>
  <c r="R835" i="1"/>
  <c r="P835" i="1"/>
  <c r="O835" i="1"/>
  <c r="R834" i="1"/>
  <c r="P834" i="1"/>
  <c r="O834" i="1"/>
  <c r="R833" i="1"/>
  <c r="P833" i="1"/>
  <c r="O833" i="1"/>
  <c r="R832" i="1"/>
  <c r="P832" i="1"/>
  <c r="O832" i="1"/>
  <c r="R831" i="1"/>
  <c r="P831" i="1"/>
  <c r="O831" i="1"/>
  <c r="R830" i="1"/>
  <c r="P830" i="1"/>
  <c r="O830" i="1"/>
  <c r="R829" i="1"/>
  <c r="P829" i="1"/>
  <c r="O829" i="1"/>
  <c r="R828" i="1"/>
  <c r="P828" i="1"/>
  <c r="O828" i="1"/>
  <c r="R827" i="1"/>
  <c r="P827" i="1"/>
  <c r="O827" i="1"/>
  <c r="R826" i="1"/>
  <c r="P826" i="1"/>
  <c r="O826" i="1"/>
  <c r="R825" i="1"/>
  <c r="P825" i="1"/>
  <c r="O825" i="1"/>
  <c r="R824" i="1"/>
  <c r="P824" i="1"/>
  <c r="O824" i="1"/>
  <c r="R823" i="1"/>
  <c r="P823" i="1"/>
  <c r="O823" i="1"/>
  <c r="R822" i="1"/>
  <c r="P822" i="1"/>
  <c r="O822" i="1"/>
  <c r="R821" i="1"/>
  <c r="P821" i="1"/>
  <c r="O821" i="1"/>
  <c r="R820" i="1"/>
  <c r="P820" i="1"/>
  <c r="O820" i="1"/>
  <c r="R819" i="1"/>
  <c r="P819" i="1"/>
  <c r="O819" i="1"/>
  <c r="R818" i="1"/>
  <c r="P818" i="1"/>
  <c r="O818" i="1"/>
  <c r="R817" i="1"/>
  <c r="P817" i="1"/>
  <c r="O817" i="1"/>
  <c r="R816" i="1"/>
  <c r="P816" i="1"/>
  <c r="O816" i="1"/>
  <c r="R815" i="1"/>
  <c r="P815" i="1"/>
  <c r="O815" i="1"/>
  <c r="R814" i="1"/>
  <c r="P814" i="1"/>
  <c r="O814" i="1"/>
  <c r="R813" i="1"/>
  <c r="P813" i="1"/>
  <c r="O813" i="1"/>
  <c r="R812" i="1"/>
  <c r="P812" i="1"/>
  <c r="O812" i="1"/>
  <c r="R811" i="1"/>
  <c r="P811" i="1"/>
  <c r="O811" i="1"/>
  <c r="R810" i="1"/>
  <c r="P810" i="1"/>
  <c r="O810" i="1"/>
  <c r="R809" i="1"/>
  <c r="P809" i="1"/>
  <c r="O809" i="1"/>
  <c r="R808" i="1"/>
  <c r="P808" i="1"/>
  <c r="O808" i="1"/>
  <c r="R807" i="1"/>
  <c r="P807" i="1"/>
  <c r="O807" i="1"/>
  <c r="R806" i="1"/>
  <c r="P806" i="1"/>
  <c r="O806" i="1"/>
  <c r="R805" i="1"/>
  <c r="P805" i="1"/>
  <c r="O805" i="1"/>
  <c r="R804" i="1"/>
  <c r="P804" i="1"/>
  <c r="O804" i="1"/>
  <c r="R803" i="1"/>
  <c r="P803" i="1"/>
  <c r="O803" i="1"/>
  <c r="R802" i="1"/>
  <c r="P802" i="1"/>
  <c r="O802" i="1"/>
  <c r="R801" i="1"/>
  <c r="P801" i="1"/>
  <c r="O801" i="1"/>
  <c r="R800" i="1"/>
  <c r="P800" i="1"/>
  <c r="O800" i="1"/>
  <c r="R799" i="1"/>
  <c r="P799" i="1"/>
  <c r="O799" i="1"/>
  <c r="R798" i="1"/>
  <c r="P798" i="1"/>
  <c r="O798" i="1"/>
  <c r="R797" i="1"/>
  <c r="P797" i="1"/>
  <c r="O797" i="1"/>
  <c r="R796" i="1"/>
  <c r="P796" i="1"/>
  <c r="O796" i="1"/>
  <c r="R795" i="1"/>
  <c r="P795" i="1"/>
  <c r="O795" i="1"/>
  <c r="R794" i="1"/>
  <c r="P794" i="1"/>
  <c r="O794" i="1"/>
  <c r="R793" i="1"/>
  <c r="P793" i="1"/>
  <c r="O793" i="1"/>
  <c r="R792" i="1"/>
  <c r="P792" i="1"/>
  <c r="O792" i="1"/>
  <c r="R791" i="1"/>
  <c r="P791" i="1"/>
  <c r="O791" i="1"/>
  <c r="R790" i="1"/>
  <c r="P790" i="1"/>
  <c r="O790" i="1"/>
  <c r="R789" i="1"/>
  <c r="P789" i="1"/>
  <c r="O789" i="1"/>
  <c r="R788" i="1"/>
  <c r="P788" i="1"/>
  <c r="O788" i="1"/>
  <c r="R787" i="1"/>
  <c r="P787" i="1"/>
  <c r="O787" i="1"/>
  <c r="R786" i="1"/>
  <c r="P786" i="1"/>
  <c r="O786" i="1"/>
  <c r="R785" i="1"/>
  <c r="P785" i="1"/>
  <c r="O785" i="1"/>
  <c r="R784" i="1"/>
  <c r="P784" i="1"/>
  <c r="O784" i="1"/>
  <c r="R783" i="1"/>
  <c r="P783" i="1"/>
  <c r="O783" i="1"/>
  <c r="R782" i="1"/>
  <c r="P782" i="1"/>
  <c r="O782" i="1"/>
  <c r="R781" i="1"/>
  <c r="P781" i="1"/>
  <c r="O781" i="1"/>
  <c r="R780" i="1"/>
  <c r="P780" i="1"/>
  <c r="O780" i="1"/>
  <c r="R779" i="1"/>
  <c r="P779" i="1"/>
  <c r="O779" i="1"/>
  <c r="R778" i="1"/>
  <c r="P778" i="1"/>
  <c r="O778" i="1"/>
  <c r="R777" i="1"/>
  <c r="P777" i="1"/>
  <c r="O777" i="1"/>
  <c r="R776" i="1"/>
  <c r="P776" i="1"/>
  <c r="O776" i="1"/>
  <c r="R775" i="1"/>
  <c r="P775" i="1"/>
  <c r="O775" i="1"/>
  <c r="R774" i="1"/>
  <c r="P774" i="1"/>
  <c r="O774" i="1"/>
  <c r="R773" i="1"/>
  <c r="P773" i="1"/>
  <c r="O773" i="1"/>
  <c r="R772" i="1"/>
  <c r="P772" i="1"/>
  <c r="O772" i="1"/>
  <c r="R771" i="1"/>
  <c r="P771" i="1"/>
  <c r="O771" i="1"/>
  <c r="R770" i="1"/>
  <c r="P770" i="1"/>
  <c r="O770" i="1"/>
  <c r="R769" i="1"/>
  <c r="P769" i="1"/>
  <c r="O769" i="1"/>
  <c r="R768" i="1"/>
  <c r="P768" i="1"/>
  <c r="O768" i="1"/>
  <c r="R767" i="1"/>
  <c r="P767" i="1"/>
  <c r="O767" i="1"/>
  <c r="R766" i="1"/>
  <c r="P766" i="1"/>
  <c r="O766" i="1"/>
  <c r="R765" i="1"/>
  <c r="P765" i="1"/>
  <c r="O765" i="1"/>
  <c r="R764" i="1"/>
  <c r="P764" i="1"/>
  <c r="O764" i="1"/>
  <c r="R763" i="1"/>
  <c r="P763" i="1"/>
  <c r="O763" i="1"/>
  <c r="R762" i="1"/>
  <c r="P762" i="1"/>
  <c r="O762" i="1"/>
  <c r="R761" i="1"/>
  <c r="P761" i="1"/>
  <c r="O761" i="1"/>
  <c r="R760" i="1"/>
  <c r="P760" i="1"/>
  <c r="O760" i="1"/>
  <c r="R759" i="1"/>
  <c r="P759" i="1"/>
  <c r="O759" i="1"/>
  <c r="R758" i="1"/>
  <c r="P758" i="1"/>
  <c r="O758" i="1"/>
  <c r="R757" i="1"/>
  <c r="P757" i="1"/>
  <c r="O757" i="1"/>
  <c r="R756" i="1"/>
  <c r="P756" i="1"/>
  <c r="O756" i="1"/>
  <c r="R755" i="1"/>
  <c r="P755" i="1"/>
  <c r="O755" i="1"/>
  <c r="R754" i="1"/>
  <c r="P754" i="1"/>
  <c r="O754" i="1"/>
  <c r="R753" i="1"/>
  <c r="P753" i="1"/>
  <c r="O753" i="1"/>
  <c r="R752" i="1"/>
  <c r="P752" i="1"/>
  <c r="O752" i="1"/>
  <c r="R751" i="1"/>
  <c r="P751" i="1"/>
  <c r="O751" i="1"/>
  <c r="R750" i="1"/>
  <c r="P750" i="1"/>
  <c r="O750" i="1"/>
  <c r="R749" i="1"/>
  <c r="P749" i="1"/>
  <c r="O749" i="1"/>
  <c r="R748" i="1"/>
  <c r="P748" i="1"/>
  <c r="O748" i="1"/>
  <c r="R747" i="1"/>
  <c r="P747" i="1"/>
  <c r="O747" i="1"/>
  <c r="R746" i="1"/>
  <c r="P746" i="1"/>
  <c r="O746" i="1"/>
  <c r="R745" i="1"/>
  <c r="P745" i="1"/>
  <c r="O745" i="1"/>
  <c r="R744" i="1"/>
  <c r="P744" i="1"/>
  <c r="O744" i="1"/>
  <c r="R743" i="1"/>
  <c r="P743" i="1"/>
  <c r="O743" i="1"/>
  <c r="R742" i="1"/>
  <c r="P742" i="1"/>
  <c r="O742" i="1"/>
  <c r="R741" i="1"/>
  <c r="P741" i="1"/>
  <c r="O741" i="1"/>
  <c r="R740" i="1"/>
  <c r="P740" i="1"/>
  <c r="O740" i="1"/>
  <c r="R739" i="1"/>
  <c r="P739" i="1"/>
  <c r="O739" i="1"/>
  <c r="R738" i="1"/>
  <c r="P738" i="1"/>
  <c r="O738" i="1"/>
  <c r="R737" i="1"/>
  <c r="P737" i="1"/>
  <c r="O737" i="1"/>
  <c r="R736" i="1"/>
  <c r="P736" i="1"/>
  <c r="O736" i="1"/>
  <c r="R735" i="1"/>
  <c r="P735" i="1"/>
  <c r="O735" i="1"/>
  <c r="R734" i="1"/>
  <c r="P734" i="1"/>
  <c r="O734" i="1"/>
  <c r="R733" i="1"/>
  <c r="P733" i="1"/>
  <c r="O733" i="1"/>
  <c r="R732" i="1"/>
  <c r="P732" i="1"/>
  <c r="O732" i="1"/>
  <c r="R731" i="1"/>
  <c r="P731" i="1"/>
  <c r="O731" i="1"/>
  <c r="R730" i="1"/>
  <c r="P730" i="1"/>
  <c r="O730" i="1"/>
  <c r="R729" i="1"/>
  <c r="P729" i="1"/>
  <c r="O729" i="1"/>
  <c r="R728" i="1"/>
  <c r="P728" i="1"/>
  <c r="O728" i="1"/>
  <c r="R727" i="1"/>
  <c r="P727" i="1"/>
  <c r="O727" i="1"/>
  <c r="R726" i="1"/>
  <c r="P726" i="1"/>
  <c r="O726" i="1"/>
  <c r="R725" i="1"/>
  <c r="P725" i="1"/>
  <c r="O725" i="1"/>
  <c r="R724" i="1"/>
  <c r="P724" i="1"/>
  <c r="O724" i="1"/>
  <c r="R723" i="1"/>
  <c r="P723" i="1"/>
  <c r="O723" i="1"/>
  <c r="R722" i="1"/>
  <c r="P722" i="1"/>
  <c r="O722" i="1"/>
  <c r="R721" i="1"/>
  <c r="P721" i="1"/>
  <c r="O721" i="1"/>
  <c r="R720" i="1"/>
  <c r="P720" i="1"/>
  <c r="O720" i="1"/>
  <c r="R719" i="1"/>
  <c r="P719" i="1"/>
  <c r="O719" i="1"/>
  <c r="R718" i="1"/>
  <c r="P718" i="1"/>
  <c r="O718" i="1"/>
  <c r="R717" i="1"/>
  <c r="P717" i="1"/>
  <c r="O717" i="1"/>
  <c r="R716" i="1"/>
  <c r="P716" i="1"/>
  <c r="O716" i="1"/>
  <c r="R715" i="1"/>
  <c r="P715" i="1"/>
  <c r="O715" i="1"/>
  <c r="R714" i="1"/>
  <c r="P714" i="1"/>
  <c r="O714" i="1"/>
  <c r="R713" i="1"/>
  <c r="P713" i="1"/>
  <c r="O713" i="1"/>
  <c r="R712" i="1"/>
  <c r="P712" i="1"/>
  <c r="O712" i="1"/>
  <c r="R711" i="1"/>
  <c r="P711" i="1"/>
  <c r="O711" i="1"/>
  <c r="R710" i="1"/>
  <c r="P710" i="1"/>
  <c r="O710" i="1"/>
  <c r="R709" i="1"/>
  <c r="P709" i="1"/>
  <c r="O709" i="1"/>
  <c r="R708" i="1"/>
  <c r="P708" i="1"/>
  <c r="O708" i="1"/>
  <c r="R707" i="1"/>
  <c r="P707" i="1"/>
  <c r="O707" i="1"/>
  <c r="R706" i="1"/>
  <c r="P706" i="1"/>
  <c r="O706" i="1"/>
  <c r="R705" i="1"/>
  <c r="P705" i="1"/>
  <c r="O705" i="1"/>
  <c r="R704" i="1"/>
  <c r="P704" i="1"/>
  <c r="O704" i="1"/>
  <c r="R703" i="1"/>
  <c r="P703" i="1"/>
  <c r="O703" i="1"/>
  <c r="R702" i="1"/>
  <c r="P702" i="1"/>
  <c r="O702" i="1"/>
  <c r="R701" i="1"/>
  <c r="P701" i="1"/>
  <c r="O701" i="1"/>
  <c r="R700" i="1"/>
  <c r="P700" i="1"/>
  <c r="O700" i="1"/>
  <c r="R699" i="1"/>
  <c r="P699" i="1"/>
  <c r="O699" i="1"/>
  <c r="R698" i="1"/>
  <c r="P698" i="1"/>
  <c r="O698" i="1"/>
  <c r="R697" i="1"/>
  <c r="P697" i="1"/>
  <c r="O697" i="1"/>
  <c r="R696" i="1"/>
  <c r="P696" i="1"/>
  <c r="O696" i="1"/>
  <c r="R695" i="1"/>
  <c r="P695" i="1"/>
  <c r="O695" i="1"/>
  <c r="R694" i="1"/>
  <c r="P694" i="1"/>
  <c r="O694" i="1"/>
  <c r="R693" i="1"/>
  <c r="P693" i="1"/>
  <c r="O693" i="1"/>
  <c r="R692" i="1"/>
  <c r="P692" i="1"/>
  <c r="O692" i="1"/>
  <c r="R691" i="1"/>
  <c r="P691" i="1"/>
  <c r="O691" i="1"/>
  <c r="R690" i="1"/>
  <c r="P690" i="1"/>
  <c r="O690" i="1"/>
  <c r="R689" i="1"/>
  <c r="P689" i="1"/>
  <c r="O689" i="1"/>
  <c r="R688" i="1"/>
  <c r="P688" i="1"/>
  <c r="O688" i="1"/>
  <c r="R687" i="1"/>
  <c r="P687" i="1"/>
  <c r="O687" i="1"/>
  <c r="R686" i="1"/>
  <c r="P686" i="1"/>
  <c r="O686" i="1"/>
  <c r="R685" i="1"/>
  <c r="P685" i="1"/>
  <c r="O685" i="1"/>
  <c r="R684" i="1"/>
  <c r="P684" i="1"/>
  <c r="O684" i="1"/>
  <c r="R683" i="1"/>
  <c r="P683" i="1"/>
  <c r="O683" i="1"/>
  <c r="R682" i="1"/>
  <c r="P682" i="1"/>
  <c r="O682" i="1"/>
  <c r="R681" i="1"/>
  <c r="P681" i="1"/>
  <c r="O681" i="1"/>
  <c r="R680" i="1"/>
  <c r="P680" i="1"/>
  <c r="O680" i="1"/>
  <c r="R679" i="1"/>
  <c r="P679" i="1"/>
  <c r="O679" i="1"/>
  <c r="R678" i="1"/>
  <c r="P678" i="1"/>
  <c r="O678" i="1"/>
  <c r="R677" i="1"/>
  <c r="P677" i="1"/>
  <c r="O677" i="1"/>
  <c r="R676" i="1"/>
  <c r="P676" i="1"/>
  <c r="O676" i="1"/>
  <c r="R675" i="1"/>
  <c r="P675" i="1"/>
  <c r="O675" i="1"/>
  <c r="R674" i="1"/>
  <c r="P674" i="1"/>
  <c r="O674" i="1"/>
  <c r="R673" i="1"/>
  <c r="P673" i="1"/>
  <c r="O673" i="1"/>
  <c r="R672" i="1"/>
  <c r="P672" i="1"/>
  <c r="O672" i="1"/>
  <c r="R671" i="1"/>
  <c r="P671" i="1"/>
  <c r="O671" i="1"/>
  <c r="R670" i="1"/>
  <c r="P670" i="1"/>
  <c r="O670" i="1"/>
  <c r="R669" i="1"/>
  <c r="P669" i="1"/>
  <c r="O669" i="1"/>
  <c r="R668" i="1"/>
  <c r="P668" i="1"/>
  <c r="O668" i="1"/>
  <c r="R667" i="1"/>
  <c r="P667" i="1"/>
  <c r="O667" i="1"/>
  <c r="R666" i="1"/>
  <c r="P666" i="1"/>
  <c r="O666" i="1"/>
  <c r="R665" i="1"/>
  <c r="P665" i="1"/>
  <c r="O665" i="1"/>
  <c r="R664" i="1"/>
  <c r="P664" i="1"/>
  <c r="O664" i="1"/>
  <c r="R663" i="1"/>
  <c r="P663" i="1"/>
  <c r="O663" i="1"/>
  <c r="R662" i="1"/>
  <c r="P662" i="1"/>
  <c r="O662" i="1"/>
  <c r="R661" i="1"/>
  <c r="P661" i="1"/>
  <c r="O661" i="1"/>
  <c r="R660" i="1"/>
  <c r="P660" i="1"/>
  <c r="O660" i="1"/>
  <c r="R659" i="1"/>
  <c r="P659" i="1"/>
  <c r="O659" i="1"/>
  <c r="R658" i="1"/>
  <c r="P658" i="1"/>
  <c r="O658" i="1"/>
  <c r="R657" i="1"/>
  <c r="P657" i="1"/>
  <c r="O657" i="1"/>
  <c r="R656" i="1"/>
  <c r="P656" i="1"/>
  <c r="O656" i="1"/>
  <c r="R655" i="1"/>
  <c r="P655" i="1"/>
  <c r="O655" i="1"/>
  <c r="R654" i="1"/>
  <c r="P654" i="1"/>
  <c r="O654" i="1"/>
  <c r="R653" i="1"/>
  <c r="P653" i="1"/>
  <c r="O653" i="1"/>
  <c r="R652" i="1"/>
  <c r="P652" i="1"/>
  <c r="O652" i="1"/>
  <c r="R651" i="1"/>
  <c r="P651" i="1"/>
  <c r="O651" i="1"/>
  <c r="R650" i="1"/>
  <c r="P650" i="1"/>
  <c r="O650" i="1"/>
  <c r="R649" i="1"/>
  <c r="P649" i="1"/>
  <c r="O649" i="1"/>
  <c r="R648" i="1"/>
  <c r="P648" i="1"/>
  <c r="O648" i="1"/>
  <c r="R647" i="1"/>
  <c r="P647" i="1"/>
  <c r="O647" i="1"/>
  <c r="R646" i="1"/>
  <c r="P646" i="1"/>
  <c r="O646" i="1"/>
  <c r="R645" i="1"/>
  <c r="P645" i="1"/>
  <c r="O645" i="1"/>
  <c r="R644" i="1"/>
  <c r="P644" i="1"/>
  <c r="O644" i="1"/>
  <c r="R643" i="1"/>
  <c r="P643" i="1"/>
  <c r="O643" i="1"/>
  <c r="R642" i="1"/>
  <c r="P642" i="1"/>
  <c r="O642" i="1"/>
  <c r="R641" i="1"/>
  <c r="P641" i="1"/>
  <c r="O641" i="1"/>
  <c r="R640" i="1"/>
  <c r="P640" i="1"/>
  <c r="O640" i="1"/>
  <c r="R639" i="1"/>
  <c r="P639" i="1"/>
  <c r="O639" i="1"/>
  <c r="R638" i="1"/>
  <c r="P638" i="1"/>
  <c r="O638" i="1"/>
  <c r="R637" i="1"/>
  <c r="P637" i="1"/>
  <c r="O637" i="1"/>
  <c r="R636" i="1"/>
  <c r="P636" i="1"/>
  <c r="O636" i="1"/>
  <c r="R635" i="1"/>
  <c r="P635" i="1"/>
  <c r="O635" i="1"/>
  <c r="R634" i="1"/>
  <c r="P634" i="1"/>
  <c r="O634" i="1"/>
  <c r="R633" i="1"/>
  <c r="P633" i="1"/>
  <c r="O633" i="1"/>
  <c r="R632" i="1"/>
  <c r="P632" i="1"/>
  <c r="O632" i="1"/>
  <c r="R631" i="1"/>
  <c r="P631" i="1"/>
  <c r="O631" i="1"/>
  <c r="R630" i="1"/>
  <c r="P630" i="1"/>
  <c r="O630" i="1"/>
  <c r="R629" i="1"/>
  <c r="P629" i="1"/>
  <c r="O629" i="1"/>
  <c r="R628" i="1"/>
  <c r="P628" i="1"/>
  <c r="O628" i="1"/>
  <c r="R627" i="1"/>
  <c r="P627" i="1"/>
  <c r="O627" i="1"/>
  <c r="R626" i="1"/>
  <c r="P626" i="1"/>
  <c r="O626" i="1"/>
  <c r="R625" i="1"/>
  <c r="P625" i="1"/>
  <c r="O625" i="1"/>
  <c r="R624" i="1"/>
  <c r="P624" i="1"/>
  <c r="O624" i="1"/>
  <c r="R623" i="1"/>
  <c r="P623" i="1"/>
  <c r="O623" i="1"/>
  <c r="R622" i="1"/>
  <c r="P622" i="1"/>
  <c r="O622" i="1"/>
  <c r="R621" i="1"/>
  <c r="P621" i="1"/>
  <c r="O621" i="1"/>
  <c r="R620" i="1"/>
  <c r="P620" i="1"/>
  <c r="O620" i="1"/>
  <c r="R619" i="1"/>
  <c r="P619" i="1"/>
  <c r="O619" i="1"/>
  <c r="R618" i="1"/>
  <c r="P618" i="1"/>
  <c r="O618" i="1"/>
  <c r="R617" i="1"/>
  <c r="P617" i="1"/>
  <c r="O617" i="1"/>
  <c r="R616" i="1"/>
  <c r="P616" i="1"/>
  <c r="O616" i="1"/>
  <c r="R615" i="1"/>
  <c r="P615" i="1"/>
  <c r="O615" i="1"/>
  <c r="R614" i="1"/>
  <c r="P614" i="1"/>
  <c r="O614" i="1"/>
  <c r="R613" i="1"/>
  <c r="P613" i="1"/>
  <c r="O613" i="1"/>
  <c r="R612" i="1"/>
  <c r="P612" i="1"/>
  <c r="O612" i="1"/>
  <c r="R611" i="1"/>
  <c r="P611" i="1"/>
  <c r="O611" i="1"/>
  <c r="R610" i="1"/>
  <c r="P610" i="1"/>
  <c r="O610" i="1"/>
  <c r="R609" i="1"/>
  <c r="P609" i="1"/>
  <c r="O609" i="1"/>
  <c r="R608" i="1"/>
  <c r="P608" i="1"/>
  <c r="O608" i="1"/>
  <c r="R607" i="1"/>
  <c r="P607" i="1"/>
  <c r="O607" i="1"/>
  <c r="R606" i="1"/>
  <c r="P606" i="1"/>
  <c r="O606" i="1"/>
  <c r="R605" i="1"/>
  <c r="P605" i="1"/>
  <c r="O605" i="1"/>
  <c r="R604" i="1"/>
  <c r="P604" i="1"/>
  <c r="O604" i="1"/>
  <c r="R603" i="1"/>
  <c r="P603" i="1"/>
  <c r="O603" i="1"/>
  <c r="R602" i="1"/>
  <c r="P602" i="1"/>
  <c r="O602" i="1"/>
  <c r="R601" i="1"/>
  <c r="P601" i="1"/>
  <c r="O601" i="1"/>
  <c r="R600" i="1"/>
  <c r="P600" i="1"/>
  <c r="O600" i="1"/>
  <c r="R599" i="1"/>
  <c r="P599" i="1"/>
  <c r="O599" i="1"/>
  <c r="R598" i="1"/>
  <c r="P598" i="1"/>
  <c r="O598" i="1"/>
  <c r="R597" i="1"/>
  <c r="P597" i="1"/>
  <c r="O597" i="1"/>
  <c r="R596" i="1"/>
  <c r="P596" i="1"/>
  <c r="O596" i="1"/>
  <c r="R595" i="1"/>
  <c r="P595" i="1"/>
  <c r="O595" i="1"/>
  <c r="R594" i="1"/>
  <c r="P594" i="1"/>
  <c r="O594" i="1"/>
  <c r="R593" i="1"/>
  <c r="P593" i="1"/>
  <c r="O593" i="1"/>
  <c r="R592" i="1"/>
  <c r="P592" i="1"/>
  <c r="O592" i="1"/>
  <c r="R591" i="1"/>
  <c r="P591" i="1"/>
  <c r="O591" i="1"/>
  <c r="R590" i="1"/>
  <c r="P590" i="1"/>
  <c r="O590" i="1"/>
  <c r="R589" i="1"/>
  <c r="P589" i="1"/>
  <c r="O589" i="1"/>
  <c r="R588" i="1"/>
  <c r="P588" i="1"/>
  <c r="O588" i="1"/>
  <c r="R587" i="1"/>
  <c r="P587" i="1"/>
  <c r="O587" i="1"/>
  <c r="R586" i="1"/>
  <c r="P586" i="1"/>
  <c r="O586" i="1"/>
  <c r="R585" i="1"/>
  <c r="P585" i="1"/>
  <c r="O585" i="1"/>
  <c r="R584" i="1"/>
  <c r="P584" i="1"/>
  <c r="O584" i="1"/>
  <c r="R583" i="1"/>
  <c r="P583" i="1"/>
  <c r="O583" i="1"/>
  <c r="R582" i="1"/>
  <c r="P582" i="1"/>
  <c r="O582" i="1"/>
  <c r="R581" i="1"/>
  <c r="P581" i="1"/>
  <c r="O581" i="1"/>
  <c r="R580" i="1"/>
  <c r="P580" i="1"/>
  <c r="O580" i="1"/>
  <c r="R579" i="1"/>
  <c r="P579" i="1"/>
  <c r="O579" i="1"/>
  <c r="R578" i="1"/>
  <c r="P578" i="1"/>
  <c r="O578" i="1"/>
  <c r="R577" i="1"/>
  <c r="P577" i="1"/>
  <c r="O577" i="1"/>
  <c r="R576" i="1"/>
  <c r="P576" i="1"/>
  <c r="O576" i="1"/>
  <c r="R575" i="1"/>
  <c r="P575" i="1"/>
  <c r="O575" i="1"/>
  <c r="R574" i="1"/>
  <c r="P574" i="1"/>
  <c r="O574" i="1"/>
  <c r="R573" i="1"/>
  <c r="P573" i="1"/>
  <c r="O573" i="1"/>
  <c r="R572" i="1"/>
  <c r="P572" i="1"/>
  <c r="O572" i="1"/>
  <c r="R571" i="1"/>
  <c r="P571" i="1"/>
  <c r="O571" i="1"/>
  <c r="R570" i="1"/>
  <c r="P570" i="1"/>
  <c r="O570" i="1"/>
  <c r="R569" i="1"/>
  <c r="P569" i="1"/>
  <c r="O569" i="1"/>
  <c r="R568" i="1"/>
  <c r="P568" i="1"/>
  <c r="O568" i="1"/>
  <c r="R567" i="1"/>
  <c r="P567" i="1"/>
  <c r="O567" i="1"/>
  <c r="R566" i="1"/>
  <c r="P566" i="1"/>
  <c r="O566" i="1"/>
  <c r="R565" i="1"/>
  <c r="P565" i="1"/>
  <c r="O565" i="1"/>
  <c r="R564" i="1"/>
  <c r="P564" i="1"/>
  <c r="O564" i="1"/>
  <c r="R563" i="1"/>
  <c r="P563" i="1"/>
  <c r="O563" i="1"/>
  <c r="R562" i="1"/>
  <c r="P562" i="1"/>
  <c r="O562" i="1"/>
  <c r="R561" i="1"/>
  <c r="P561" i="1"/>
  <c r="O561" i="1"/>
  <c r="R560" i="1"/>
  <c r="P560" i="1"/>
  <c r="O560" i="1"/>
  <c r="R559" i="1"/>
  <c r="P559" i="1"/>
  <c r="O559" i="1"/>
  <c r="R558" i="1"/>
  <c r="P558" i="1"/>
  <c r="O558" i="1"/>
  <c r="R557" i="1"/>
  <c r="P557" i="1"/>
  <c r="O557" i="1"/>
  <c r="R556" i="1"/>
  <c r="P556" i="1"/>
  <c r="O556" i="1"/>
  <c r="R555" i="1"/>
  <c r="P555" i="1"/>
  <c r="O555" i="1"/>
  <c r="R554" i="1"/>
  <c r="P554" i="1"/>
  <c r="O554" i="1"/>
  <c r="R553" i="1"/>
  <c r="P553" i="1"/>
  <c r="O553" i="1"/>
  <c r="R552" i="1"/>
  <c r="P552" i="1"/>
  <c r="O552" i="1"/>
  <c r="R551" i="1"/>
  <c r="P551" i="1"/>
  <c r="O551" i="1"/>
  <c r="R550" i="1"/>
  <c r="P550" i="1"/>
  <c r="O550" i="1"/>
  <c r="R549" i="1"/>
  <c r="P549" i="1"/>
  <c r="O549" i="1"/>
  <c r="R548" i="1"/>
  <c r="P548" i="1"/>
  <c r="O548" i="1"/>
  <c r="R547" i="1"/>
  <c r="P547" i="1"/>
  <c r="O547" i="1"/>
  <c r="R546" i="1"/>
  <c r="P546" i="1"/>
  <c r="O546" i="1"/>
  <c r="R545" i="1"/>
  <c r="P545" i="1"/>
  <c r="O545" i="1"/>
  <c r="R544" i="1"/>
  <c r="P544" i="1"/>
  <c r="O544" i="1"/>
  <c r="R543" i="1"/>
  <c r="P543" i="1"/>
  <c r="O543" i="1"/>
  <c r="R542" i="1"/>
  <c r="P542" i="1"/>
  <c r="O542" i="1"/>
  <c r="R541" i="1"/>
  <c r="P541" i="1"/>
  <c r="O541" i="1"/>
  <c r="R540" i="1"/>
  <c r="P540" i="1"/>
  <c r="O540" i="1"/>
  <c r="R539" i="1"/>
  <c r="P539" i="1"/>
  <c r="O539" i="1"/>
  <c r="R538" i="1"/>
  <c r="P538" i="1"/>
  <c r="O538" i="1"/>
  <c r="R537" i="1"/>
  <c r="P537" i="1"/>
  <c r="O537" i="1"/>
  <c r="R536" i="1"/>
  <c r="P536" i="1"/>
  <c r="O536" i="1"/>
  <c r="R535" i="1"/>
  <c r="P535" i="1"/>
  <c r="O535" i="1"/>
  <c r="R534" i="1"/>
  <c r="P534" i="1"/>
  <c r="O534" i="1"/>
  <c r="R533" i="1"/>
  <c r="P533" i="1"/>
  <c r="O533" i="1"/>
  <c r="R532" i="1"/>
  <c r="P532" i="1"/>
  <c r="O532" i="1"/>
  <c r="R531" i="1"/>
  <c r="P531" i="1"/>
  <c r="O531" i="1"/>
  <c r="R530" i="1"/>
  <c r="P530" i="1"/>
  <c r="O530" i="1"/>
  <c r="R529" i="1"/>
  <c r="P529" i="1"/>
  <c r="O529" i="1"/>
  <c r="R528" i="1"/>
  <c r="P528" i="1"/>
  <c r="O528" i="1"/>
  <c r="R527" i="1"/>
  <c r="P527" i="1"/>
  <c r="O527" i="1"/>
  <c r="R526" i="1"/>
  <c r="P526" i="1"/>
  <c r="O526" i="1"/>
  <c r="R525" i="1"/>
  <c r="P525" i="1"/>
  <c r="O525" i="1"/>
  <c r="R524" i="1"/>
  <c r="P524" i="1"/>
  <c r="O524" i="1"/>
  <c r="R523" i="1"/>
  <c r="P523" i="1"/>
  <c r="O523" i="1"/>
  <c r="R522" i="1"/>
  <c r="P522" i="1"/>
  <c r="O522" i="1"/>
  <c r="R521" i="1"/>
  <c r="P521" i="1"/>
  <c r="O521" i="1"/>
  <c r="R520" i="1"/>
  <c r="P520" i="1"/>
  <c r="O520" i="1"/>
  <c r="R519" i="1"/>
  <c r="P519" i="1"/>
  <c r="O519" i="1"/>
  <c r="R518" i="1"/>
  <c r="P518" i="1"/>
  <c r="O518" i="1"/>
  <c r="R517" i="1"/>
  <c r="P517" i="1"/>
  <c r="O517" i="1"/>
  <c r="R516" i="1"/>
  <c r="P516" i="1"/>
  <c r="O516" i="1"/>
  <c r="R515" i="1"/>
  <c r="P515" i="1"/>
  <c r="O515" i="1"/>
  <c r="R514" i="1"/>
  <c r="P514" i="1"/>
  <c r="O514" i="1"/>
  <c r="R513" i="1"/>
  <c r="P513" i="1"/>
  <c r="O513" i="1"/>
  <c r="R512" i="1"/>
  <c r="P512" i="1"/>
  <c r="O512" i="1"/>
  <c r="R511" i="1"/>
  <c r="P511" i="1"/>
  <c r="O511" i="1"/>
  <c r="R510" i="1"/>
  <c r="P510" i="1"/>
  <c r="O510" i="1"/>
  <c r="R509" i="1"/>
  <c r="P509" i="1"/>
  <c r="O509" i="1"/>
  <c r="R508" i="1"/>
  <c r="P508" i="1"/>
  <c r="O508" i="1"/>
  <c r="R507" i="1"/>
  <c r="P507" i="1"/>
  <c r="O507" i="1"/>
  <c r="R506" i="1"/>
  <c r="P506" i="1"/>
  <c r="O506" i="1"/>
  <c r="R505" i="1"/>
  <c r="P505" i="1"/>
  <c r="O505" i="1"/>
  <c r="R504" i="1"/>
  <c r="P504" i="1"/>
  <c r="O504" i="1"/>
  <c r="R503" i="1"/>
  <c r="P503" i="1"/>
  <c r="O503" i="1"/>
  <c r="R502" i="1"/>
  <c r="P502" i="1"/>
  <c r="O502" i="1"/>
  <c r="R501" i="1"/>
  <c r="P501" i="1"/>
  <c r="O501" i="1"/>
  <c r="R500" i="1"/>
  <c r="P500" i="1"/>
  <c r="O500" i="1"/>
  <c r="R499" i="1"/>
  <c r="P499" i="1"/>
  <c r="O499" i="1"/>
  <c r="R498" i="1"/>
  <c r="P498" i="1"/>
  <c r="O498" i="1"/>
  <c r="R497" i="1"/>
  <c r="P497" i="1"/>
  <c r="O497" i="1"/>
  <c r="R496" i="1"/>
  <c r="P496" i="1"/>
  <c r="O496" i="1"/>
  <c r="R495" i="1"/>
  <c r="P495" i="1"/>
  <c r="O495" i="1"/>
  <c r="R494" i="1"/>
  <c r="P494" i="1"/>
  <c r="O494" i="1"/>
  <c r="R493" i="1"/>
  <c r="P493" i="1"/>
  <c r="O493" i="1"/>
  <c r="R492" i="1"/>
  <c r="P492" i="1"/>
  <c r="O492" i="1"/>
  <c r="R491" i="1"/>
  <c r="P491" i="1"/>
  <c r="O491" i="1"/>
  <c r="R490" i="1"/>
  <c r="P490" i="1"/>
  <c r="O490" i="1"/>
  <c r="R489" i="1"/>
  <c r="P489" i="1"/>
  <c r="O489" i="1"/>
  <c r="R488" i="1"/>
  <c r="P488" i="1"/>
  <c r="O488" i="1"/>
  <c r="R487" i="1"/>
  <c r="P487" i="1"/>
  <c r="O487" i="1"/>
  <c r="R486" i="1"/>
  <c r="P486" i="1"/>
  <c r="O486" i="1"/>
  <c r="R485" i="1"/>
  <c r="P485" i="1"/>
  <c r="O485" i="1"/>
  <c r="R484" i="1"/>
  <c r="P484" i="1"/>
  <c r="O484" i="1"/>
  <c r="R483" i="1"/>
  <c r="P483" i="1"/>
  <c r="O483" i="1"/>
  <c r="R482" i="1"/>
  <c r="P482" i="1"/>
  <c r="O482" i="1"/>
  <c r="R481" i="1"/>
  <c r="P481" i="1"/>
  <c r="O481" i="1"/>
  <c r="R480" i="1"/>
  <c r="P480" i="1"/>
  <c r="O480" i="1"/>
  <c r="R479" i="1"/>
  <c r="P479" i="1"/>
  <c r="O479" i="1"/>
  <c r="R478" i="1"/>
  <c r="P478" i="1"/>
  <c r="O478" i="1"/>
  <c r="R477" i="1"/>
  <c r="P477" i="1"/>
  <c r="O477" i="1"/>
  <c r="R476" i="1"/>
  <c r="P476" i="1"/>
  <c r="O476" i="1"/>
  <c r="R475" i="1"/>
  <c r="P475" i="1"/>
  <c r="O475" i="1"/>
  <c r="R474" i="1"/>
  <c r="P474" i="1"/>
  <c r="O474" i="1"/>
  <c r="R473" i="1"/>
  <c r="P473" i="1"/>
  <c r="O473" i="1"/>
  <c r="R472" i="1"/>
  <c r="P472" i="1"/>
  <c r="O472" i="1"/>
  <c r="R471" i="1"/>
  <c r="P471" i="1"/>
  <c r="O471" i="1"/>
  <c r="R470" i="1"/>
  <c r="P470" i="1"/>
  <c r="O470" i="1"/>
  <c r="R469" i="1"/>
  <c r="P469" i="1"/>
  <c r="O469" i="1"/>
  <c r="R468" i="1"/>
  <c r="P468" i="1"/>
  <c r="O468" i="1"/>
  <c r="R467" i="1"/>
  <c r="P467" i="1"/>
  <c r="O467" i="1"/>
  <c r="R466" i="1"/>
  <c r="P466" i="1"/>
  <c r="O466" i="1"/>
  <c r="R465" i="1"/>
  <c r="P465" i="1"/>
  <c r="O465" i="1"/>
  <c r="R464" i="1"/>
  <c r="P464" i="1"/>
  <c r="O464" i="1"/>
  <c r="R463" i="1"/>
  <c r="P463" i="1"/>
  <c r="O463" i="1"/>
  <c r="R462" i="1"/>
  <c r="P462" i="1"/>
  <c r="O462" i="1"/>
  <c r="R461" i="1"/>
  <c r="P461" i="1"/>
  <c r="O461" i="1"/>
  <c r="R460" i="1"/>
  <c r="P460" i="1"/>
  <c r="O460" i="1"/>
  <c r="R459" i="1"/>
  <c r="P459" i="1"/>
  <c r="O459" i="1"/>
  <c r="R458" i="1"/>
  <c r="P458" i="1"/>
  <c r="O458" i="1"/>
  <c r="R457" i="1"/>
  <c r="P457" i="1"/>
  <c r="O457" i="1"/>
  <c r="R456" i="1"/>
  <c r="P456" i="1"/>
  <c r="O456" i="1"/>
  <c r="R455" i="1"/>
  <c r="P455" i="1"/>
  <c r="O455" i="1"/>
  <c r="R454" i="1"/>
  <c r="P454" i="1"/>
  <c r="O454" i="1"/>
  <c r="R453" i="1"/>
  <c r="P453" i="1"/>
  <c r="O453" i="1"/>
  <c r="R452" i="1"/>
  <c r="P452" i="1"/>
  <c r="O452" i="1"/>
  <c r="R451" i="1"/>
  <c r="P451" i="1"/>
  <c r="O451" i="1"/>
  <c r="R450" i="1"/>
  <c r="P450" i="1"/>
  <c r="O450" i="1"/>
  <c r="R449" i="1"/>
  <c r="P449" i="1"/>
  <c r="O449" i="1"/>
  <c r="R448" i="1"/>
  <c r="P448" i="1"/>
  <c r="O448" i="1"/>
  <c r="R447" i="1"/>
  <c r="P447" i="1"/>
  <c r="O447" i="1"/>
  <c r="R446" i="1"/>
  <c r="P446" i="1"/>
  <c r="O446" i="1"/>
  <c r="R445" i="1"/>
  <c r="P445" i="1"/>
  <c r="O445" i="1"/>
  <c r="R444" i="1"/>
  <c r="P444" i="1"/>
  <c r="O444" i="1"/>
  <c r="R443" i="1"/>
  <c r="P443" i="1"/>
  <c r="O443" i="1"/>
  <c r="R442" i="1"/>
  <c r="P442" i="1"/>
  <c r="O442" i="1"/>
  <c r="R441" i="1"/>
  <c r="P441" i="1"/>
  <c r="O441" i="1"/>
  <c r="R440" i="1"/>
  <c r="P440" i="1"/>
  <c r="O440" i="1"/>
  <c r="R439" i="1"/>
  <c r="P439" i="1"/>
  <c r="O439" i="1"/>
  <c r="R438" i="1"/>
  <c r="P438" i="1"/>
  <c r="O438" i="1"/>
  <c r="R437" i="1"/>
  <c r="P437" i="1"/>
  <c r="O437" i="1"/>
  <c r="R436" i="1"/>
  <c r="P436" i="1"/>
  <c r="O436" i="1"/>
  <c r="R435" i="1"/>
  <c r="P435" i="1"/>
  <c r="O435" i="1"/>
  <c r="R434" i="1"/>
  <c r="P434" i="1"/>
  <c r="O434" i="1"/>
  <c r="R433" i="1"/>
  <c r="P433" i="1"/>
  <c r="O433" i="1"/>
  <c r="R432" i="1"/>
  <c r="P432" i="1"/>
  <c r="O432" i="1"/>
  <c r="R431" i="1"/>
  <c r="P431" i="1"/>
  <c r="O431" i="1"/>
  <c r="R430" i="1"/>
  <c r="P430" i="1"/>
  <c r="O430" i="1"/>
  <c r="R429" i="1"/>
  <c r="P429" i="1"/>
  <c r="O429" i="1"/>
  <c r="R428" i="1"/>
  <c r="P428" i="1"/>
  <c r="O428" i="1"/>
  <c r="R427" i="1"/>
  <c r="P427" i="1"/>
  <c r="O427" i="1"/>
  <c r="R426" i="1"/>
  <c r="P426" i="1"/>
  <c r="O426" i="1"/>
  <c r="R425" i="1"/>
  <c r="P425" i="1"/>
  <c r="O425" i="1"/>
  <c r="R424" i="1"/>
  <c r="P424" i="1"/>
  <c r="O424" i="1"/>
  <c r="R423" i="1"/>
  <c r="P423" i="1"/>
  <c r="O423" i="1"/>
  <c r="R422" i="1"/>
  <c r="P422" i="1"/>
  <c r="O422" i="1"/>
  <c r="R421" i="1"/>
  <c r="P421" i="1"/>
  <c r="O421" i="1"/>
  <c r="R420" i="1"/>
  <c r="P420" i="1"/>
  <c r="O420" i="1"/>
  <c r="R419" i="1"/>
  <c r="P419" i="1"/>
  <c r="O419" i="1"/>
  <c r="R418" i="1"/>
  <c r="P418" i="1"/>
  <c r="O418" i="1"/>
  <c r="R417" i="1"/>
  <c r="P417" i="1"/>
  <c r="O417" i="1"/>
  <c r="R416" i="1"/>
  <c r="P416" i="1"/>
  <c r="O416" i="1"/>
  <c r="R415" i="1"/>
  <c r="P415" i="1"/>
  <c r="O415" i="1"/>
  <c r="R414" i="1"/>
  <c r="P414" i="1"/>
  <c r="O414" i="1"/>
  <c r="R413" i="1"/>
  <c r="P413" i="1"/>
  <c r="O413" i="1"/>
  <c r="R412" i="1"/>
  <c r="P412" i="1"/>
  <c r="O412" i="1"/>
  <c r="R411" i="1"/>
  <c r="P411" i="1"/>
  <c r="O411" i="1"/>
  <c r="R410" i="1"/>
  <c r="P410" i="1"/>
  <c r="O410" i="1"/>
  <c r="R409" i="1"/>
  <c r="P409" i="1"/>
  <c r="O409" i="1"/>
  <c r="R408" i="1"/>
  <c r="P408" i="1"/>
  <c r="O408" i="1"/>
  <c r="R407" i="1"/>
  <c r="P407" i="1"/>
  <c r="O407" i="1"/>
  <c r="R406" i="1"/>
  <c r="P406" i="1"/>
  <c r="O406" i="1"/>
  <c r="R405" i="1"/>
  <c r="P405" i="1"/>
  <c r="O405" i="1"/>
  <c r="R404" i="1"/>
  <c r="P404" i="1"/>
  <c r="O404" i="1"/>
  <c r="R403" i="1"/>
  <c r="P403" i="1"/>
  <c r="O403" i="1"/>
  <c r="R402" i="1"/>
  <c r="P402" i="1"/>
  <c r="O402" i="1"/>
  <c r="R401" i="1"/>
  <c r="P401" i="1"/>
  <c r="O401" i="1"/>
  <c r="R400" i="1"/>
  <c r="P400" i="1"/>
  <c r="O400" i="1"/>
  <c r="R399" i="1"/>
  <c r="P399" i="1"/>
  <c r="O399" i="1"/>
  <c r="R398" i="1"/>
  <c r="P398" i="1"/>
  <c r="O398" i="1"/>
  <c r="R397" i="1"/>
  <c r="P397" i="1"/>
  <c r="O397" i="1"/>
  <c r="R396" i="1"/>
  <c r="P396" i="1"/>
  <c r="O396" i="1"/>
  <c r="R395" i="1"/>
  <c r="P395" i="1"/>
  <c r="O395" i="1"/>
  <c r="R394" i="1"/>
  <c r="P394" i="1"/>
  <c r="O394" i="1"/>
  <c r="R393" i="1"/>
  <c r="P393" i="1"/>
  <c r="O393" i="1"/>
  <c r="R392" i="1"/>
  <c r="P392" i="1"/>
  <c r="O392" i="1"/>
  <c r="R391" i="1"/>
  <c r="P391" i="1"/>
  <c r="O391" i="1"/>
  <c r="R390" i="1"/>
  <c r="P390" i="1"/>
  <c r="O390" i="1"/>
  <c r="R389" i="1"/>
  <c r="P389" i="1"/>
  <c r="O389" i="1"/>
  <c r="R388" i="1"/>
  <c r="P388" i="1"/>
  <c r="O388" i="1"/>
  <c r="R387" i="1"/>
  <c r="P387" i="1"/>
  <c r="O387" i="1"/>
  <c r="R386" i="1"/>
  <c r="P386" i="1"/>
  <c r="O386" i="1"/>
  <c r="R385" i="1"/>
  <c r="P385" i="1"/>
  <c r="O385" i="1"/>
  <c r="R384" i="1"/>
  <c r="P384" i="1"/>
  <c r="O384" i="1"/>
  <c r="R383" i="1"/>
  <c r="P383" i="1"/>
  <c r="O383" i="1"/>
  <c r="R382" i="1"/>
  <c r="P382" i="1"/>
  <c r="O382" i="1"/>
  <c r="R381" i="1"/>
  <c r="P381" i="1"/>
  <c r="O381" i="1"/>
  <c r="R380" i="1"/>
  <c r="P380" i="1"/>
  <c r="O380" i="1"/>
  <c r="R379" i="1"/>
  <c r="P379" i="1"/>
  <c r="O379" i="1"/>
  <c r="R378" i="1"/>
  <c r="P378" i="1"/>
  <c r="O378" i="1"/>
  <c r="R377" i="1"/>
  <c r="P377" i="1"/>
  <c r="O377" i="1"/>
  <c r="R376" i="1"/>
  <c r="P376" i="1"/>
  <c r="O376" i="1"/>
  <c r="R375" i="1"/>
  <c r="P375" i="1"/>
  <c r="O375" i="1"/>
  <c r="R374" i="1"/>
  <c r="P374" i="1"/>
  <c r="O374" i="1"/>
  <c r="R373" i="1"/>
  <c r="P373" i="1"/>
  <c r="O373" i="1"/>
  <c r="R372" i="1"/>
  <c r="P372" i="1"/>
  <c r="O372" i="1"/>
  <c r="R371" i="1"/>
  <c r="P371" i="1"/>
  <c r="O371" i="1"/>
  <c r="R370" i="1"/>
  <c r="P370" i="1"/>
  <c r="O370" i="1"/>
  <c r="R369" i="1"/>
  <c r="P369" i="1"/>
  <c r="O369" i="1"/>
  <c r="R368" i="1"/>
  <c r="P368" i="1"/>
  <c r="O368" i="1"/>
  <c r="R367" i="1"/>
  <c r="P367" i="1"/>
  <c r="O367" i="1"/>
  <c r="R366" i="1"/>
  <c r="P366" i="1"/>
  <c r="O366" i="1"/>
  <c r="R365" i="1"/>
  <c r="P365" i="1"/>
  <c r="O365" i="1"/>
  <c r="R364" i="1"/>
  <c r="P364" i="1"/>
  <c r="O364" i="1"/>
  <c r="R363" i="1"/>
  <c r="P363" i="1"/>
  <c r="O363" i="1"/>
  <c r="R362" i="1"/>
  <c r="P362" i="1"/>
  <c r="O362" i="1"/>
  <c r="R361" i="1"/>
  <c r="P361" i="1"/>
  <c r="O361" i="1"/>
  <c r="R360" i="1"/>
  <c r="P360" i="1"/>
  <c r="O360" i="1"/>
  <c r="R359" i="1"/>
  <c r="P359" i="1"/>
  <c r="O359" i="1"/>
  <c r="R358" i="1"/>
  <c r="P358" i="1"/>
  <c r="O358" i="1"/>
  <c r="R357" i="1"/>
  <c r="P357" i="1"/>
  <c r="O357" i="1"/>
  <c r="R356" i="1"/>
  <c r="P356" i="1"/>
  <c r="O356" i="1"/>
  <c r="R355" i="1"/>
  <c r="P355" i="1"/>
  <c r="O355" i="1"/>
  <c r="R354" i="1"/>
  <c r="P354" i="1"/>
  <c r="O354" i="1"/>
  <c r="R353" i="1"/>
  <c r="P353" i="1"/>
  <c r="O353" i="1"/>
  <c r="R352" i="1"/>
  <c r="P352" i="1"/>
  <c r="O352" i="1"/>
  <c r="R351" i="1"/>
  <c r="P351" i="1"/>
  <c r="O351" i="1"/>
  <c r="R350" i="1"/>
  <c r="P350" i="1"/>
  <c r="O350" i="1"/>
  <c r="R349" i="1"/>
  <c r="P349" i="1"/>
  <c r="O349" i="1"/>
  <c r="R348" i="1"/>
  <c r="P348" i="1"/>
  <c r="O348" i="1"/>
  <c r="R347" i="1"/>
  <c r="P347" i="1"/>
  <c r="O347" i="1"/>
  <c r="R346" i="1"/>
  <c r="P346" i="1"/>
  <c r="O346" i="1"/>
  <c r="R345" i="1"/>
  <c r="P345" i="1"/>
  <c r="O345" i="1"/>
  <c r="R344" i="1"/>
  <c r="P344" i="1"/>
  <c r="O344" i="1"/>
  <c r="R343" i="1"/>
  <c r="P343" i="1"/>
  <c r="O343" i="1"/>
  <c r="R342" i="1"/>
  <c r="P342" i="1"/>
  <c r="O342" i="1"/>
  <c r="R341" i="1"/>
  <c r="P341" i="1"/>
  <c r="O341" i="1"/>
  <c r="R340" i="1"/>
  <c r="P340" i="1"/>
  <c r="O340" i="1"/>
  <c r="R339" i="1"/>
  <c r="P339" i="1"/>
  <c r="O339" i="1"/>
  <c r="R338" i="1"/>
  <c r="P338" i="1"/>
  <c r="O338" i="1"/>
  <c r="R337" i="1"/>
  <c r="P337" i="1"/>
  <c r="O337" i="1"/>
  <c r="R336" i="1"/>
  <c r="P336" i="1"/>
  <c r="O336" i="1"/>
  <c r="R335" i="1"/>
  <c r="P335" i="1"/>
  <c r="O335" i="1"/>
  <c r="R334" i="1"/>
  <c r="P334" i="1"/>
  <c r="O334" i="1"/>
  <c r="R333" i="1"/>
  <c r="P333" i="1"/>
  <c r="O333" i="1"/>
  <c r="R332" i="1"/>
  <c r="P332" i="1"/>
  <c r="O332" i="1"/>
  <c r="R331" i="1"/>
  <c r="P331" i="1"/>
  <c r="O331" i="1"/>
  <c r="R330" i="1"/>
  <c r="P330" i="1"/>
  <c r="O330" i="1"/>
  <c r="R329" i="1"/>
  <c r="P329" i="1"/>
  <c r="O329" i="1"/>
  <c r="R328" i="1"/>
  <c r="P328" i="1"/>
  <c r="O328" i="1"/>
  <c r="R327" i="1"/>
  <c r="P327" i="1"/>
  <c r="O327" i="1"/>
  <c r="R326" i="1"/>
  <c r="P326" i="1"/>
  <c r="O326" i="1"/>
  <c r="R325" i="1"/>
  <c r="P325" i="1"/>
  <c r="O325" i="1"/>
  <c r="R324" i="1"/>
  <c r="P324" i="1"/>
  <c r="O324" i="1"/>
  <c r="R323" i="1"/>
  <c r="P323" i="1"/>
  <c r="O323" i="1"/>
  <c r="R322" i="1"/>
  <c r="P322" i="1"/>
  <c r="O322" i="1"/>
  <c r="R321" i="1"/>
  <c r="P321" i="1"/>
  <c r="O321" i="1"/>
  <c r="R320" i="1"/>
  <c r="P320" i="1"/>
  <c r="O320" i="1"/>
  <c r="R319" i="1"/>
  <c r="P319" i="1"/>
  <c r="O319" i="1"/>
  <c r="R318" i="1"/>
  <c r="P318" i="1"/>
  <c r="O318" i="1"/>
  <c r="R317" i="1"/>
  <c r="P317" i="1"/>
  <c r="O317" i="1"/>
  <c r="R316" i="1"/>
  <c r="P316" i="1"/>
  <c r="O316" i="1"/>
  <c r="R315" i="1"/>
  <c r="P315" i="1"/>
  <c r="O315" i="1"/>
  <c r="R314" i="1"/>
  <c r="P314" i="1"/>
  <c r="O314" i="1"/>
  <c r="R313" i="1"/>
  <c r="P313" i="1"/>
  <c r="O313" i="1"/>
  <c r="R312" i="1"/>
  <c r="P312" i="1"/>
  <c r="O312" i="1"/>
  <c r="R311" i="1"/>
  <c r="P311" i="1"/>
  <c r="O311" i="1"/>
  <c r="R310" i="1"/>
  <c r="P310" i="1"/>
  <c r="O310" i="1"/>
  <c r="R309" i="1"/>
  <c r="P309" i="1"/>
  <c r="O309" i="1"/>
  <c r="R308" i="1"/>
  <c r="P308" i="1"/>
  <c r="O308" i="1"/>
  <c r="R307" i="1"/>
  <c r="P307" i="1"/>
  <c r="O307" i="1"/>
  <c r="R306" i="1"/>
  <c r="P306" i="1"/>
  <c r="O306" i="1"/>
  <c r="R305" i="1"/>
  <c r="P305" i="1"/>
  <c r="O305" i="1"/>
  <c r="R304" i="1"/>
  <c r="P304" i="1"/>
  <c r="O304" i="1"/>
  <c r="R303" i="1"/>
  <c r="P303" i="1"/>
  <c r="O303" i="1"/>
  <c r="R302" i="1"/>
  <c r="P302" i="1"/>
  <c r="O302" i="1"/>
  <c r="R301" i="1"/>
  <c r="P301" i="1"/>
  <c r="O301" i="1"/>
  <c r="R300" i="1"/>
  <c r="P300" i="1"/>
  <c r="O300" i="1"/>
  <c r="R299" i="1"/>
  <c r="P299" i="1"/>
  <c r="O299" i="1"/>
  <c r="R298" i="1"/>
  <c r="P298" i="1"/>
  <c r="O298" i="1"/>
  <c r="R297" i="1"/>
  <c r="P297" i="1"/>
  <c r="O297" i="1"/>
  <c r="R296" i="1"/>
  <c r="P296" i="1"/>
  <c r="O296" i="1"/>
  <c r="R295" i="1"/>
  <c r="P295" i="1"/>
  <c r="O295" i="1"/>
  <c r="R294" i="1"/>
  <c r="P294" i="1"/>
  <c r="O294" i="1"/>
  <c r="R293" i="1"/>
  <c r="P293" i="1"/>
  <c r="O293" i="1"/>
  <c r="R292" i="1"/>
  <c r="P292" i="1"/>
  <c r="O292" i="1"/>
  <c r="R291" i="1"/>
  <c r="P291" i="1"/>
  <c r="O291" i="1"/>
  <c r="R290" i="1"/>
  <c r="P290" i="1"/>
  <c r="O290" i="1"/>
  <c r="R289" i="1"/>
  <c r="P289" i="1"/>
  <c r="O289" i="1"/>
  <c r="R288" i="1"/>
  <c r="P288" i="1"/>
  <c r="O288" i="1"/>
  <c r="R287" i="1"/>
  <c r="P287" i="1"/>
  <c r="O287" i="1"/>
  <c r="R286" i="1"/>
  <c r="P286" i="1"/>
  <c r="O286" i="1"/>
  <c r="R285" i="1"/>
  <c r="P285" i="1"/>
  <c r="O285" i="1"/>
  <c r="R284" i="1"/>
  <c r="P284" i="1"/>
  <c r="O284" i="1"/>
  <c r="R283" i="1"/>
  <c r="P283" i="1"/>
  <c r="O283" i="1"/>
  <c r="R282" i="1"/>
  <c r="P282" i="1"/>
  <c r="O282" i="1"/>
  <c r="R281" i="1"/>
  <c r="P281" i="1"/>
  <c r="O281" i="1"/>
  <c r="R280" i="1"/>
  <c r="P280" i="1"/>
  <c r="O280" i="1"/>
  <c r="R279" i="1"/>
  <c r="P279" i="1"/>
  <c r="O279" i="1"/>
  <c r="R278" i="1"/>
  <c r="P278" i="1"/>
  <c r="O278" i="1"/>
  <c r="R277" i="1"/>
  <c r="P277" i="1"/>
  <c r="O277" i="1"/>
  <c r="R276" i="1"/>
  <c r="P276" i="1"/>
  <c r="O276" i="1"/>
  <c r="R275" i="1"/>
  <c r="P275" i="1"/>
  <c r="O275" i="1"/>
  <c r="R274" i="1"/>
  <c r="P274" i="1"/>
  <c r="O274" i="1"/>
  <c r="R273" i="1"/>
  <c r="P273" i="1"/>
  <c r="O273" i="1"/>
  <c r="R272" i="1"/>
  <c r="P272" i="1"/>
  <c r="O272" i="1"/>
  <c r="R271" i="1"/>
  <c r="P271" i="1"/>
  <c r="O271" i="1"/>
  <c r="R270" i="1"/>
  <c r="P270" i="1"/>
  <c r="O270" i="1"/>
  <c r="R269" i="1"/>
  <c r="P269" i="1"/>
  <c r="O269" i="1"/>
  <c r="R268" i="1"/>
  <c r="P268" i="1"/>
  <c r="O268" i="1"/>
  <c r="R267" i="1"/>
  <c r="P267" i="1"/>
  <c r="O267" i="1"/>
  <c r="R266" i="1"/>
  <c r="P266" i="1"/>
  <c r="O266" i="1"/>
  <c r="R265" i="1"/>
  <c r="P265" i="1"/>
  <c r="O265" i="1"/>
  <c r="R264" i="1"/>
  <c r="P264" i="1"/>
  <c r="O264" i="1"/>
  <c r="R263" i="1"/>
  <c r="P263" i="1"/>
  <c r="O263" i="1"/>
  <c r="R262" i="1"/>
  <c r="P262" i="1"/>
  <c r="O262" i="1"/>
  <c r="R261" i="1"/>
  <c r="P261" i="1"/>
  <c r="O261" i="1"/>
  <c r="R260" i="1"/>
  <c r="P260" i="1"/>
  <c r="O260" i="1"/>
  <c r="R259" i="1"/>
  <c r="P259" i="1"/>
  <c r="O259" i="1"/>
  <c r="R258" i="1"/>
  <c r="P258" i="1"/>
  <c r="O258" i="1"/>
  <c r="R257" i="1"/>
  <c r="P257" i="1"/>
  <c r="O257" i="1"/>
  <c r="R256" i="1"/>
  <c r="P256" i="1"/>
  <c r="O256" i="1"/>
  <c r="R255" i="1"/>
  <c r="P255" i="1"/>
  <c r="O255" i="1"/>
  <c r="R254" i="1"/>
  <c r="P254" i="1"/>
  <c r="O254" i="1"/>
  <c r="R253" i="1"/>
  <c r="P253" i="1"/>
  <c r="O253" i="1"/>
  <c r="R252" i="1"/>
  <c r="P252" i="1"/>
  <c r="O252" i="1"/>
  <c r="R251" i="1"/>
  <c r="P251" i="1"/>
  <c r="O251" i="1"/>
  <c r="R250" i="1"/>
  <c r="P250" i="1"/>
  <c r="O250" i="1"/>
  <c r="R249" i="1"/>
  <c r="P249" i="1"/>
  <c r="O249" i="1"/>
  <c r="R248" i="1"/>
  <c r="P248" i="1"/>
  <c r="O248" i="1"/>
  <c r="R247" i="1"/>
  <c r="P247" i="1"/>
  <c r="O247" i="1"/>
  <c r="R246" i="1"/>
  <c r="P246" i="1"/>
  <c r="O246" i="1"/>
  <c r="R245" i="1"/>
  <c r="P245" i="1"/>
  <c r="O245" i="1"/>
  <c r="R244" i="1"/>
  <c r="P244" i="1"/>
  <c r="O244" i="1"/>
  <c r="R243" i="1"/>
  <c r="P243" i="1"/>
  <c r="O243" i="1"/>
  <c r="R242" i="1"/>
  <c r="P242" i="1"/>
  <c r="O242" i="1"/>
  <c r="R241" i="1"/>
  <c r="P241" i="1"/>
  <c r="O241" i="1"/>
  <c r="R240" i="1"/>
  <c r="P240" i="1"/>
  <c r="O240" i="1"/>
  <c r="R239" i="1"/>
  <c r="P239" i="1"/>
  <c r="O239" i="1"/>
  <c r="R238" i="1"/>
  <c r="P238" i="1"/>
  <c r="O238" i="1"/>
  <c r="R237" i="1"/>
  <c r="P237" i="1"/>
  <c r="O237" i="1"/>
  <c r="R236" i="1"/>
  <c r="P236" i="1"/>
  <c r="O236" i="1"/>
  <c r="R235" i="1"/>
  <c r="P235" i="1"/>
  <c r="O235" i="1"/>
  <c r="R234" i="1"/>
  <c r="P234" i="1"/>
  <c r="O234" i="1"/>
  <c r="R233" i="1"/>
  <c r="P233" i="1"/>
  <c r="O233" i="1"/>
  <c r="R232" i="1"/>
  <c r="P232" i="1"/>
  <c r="O232" i="1"/>
  <c r="R231" i="1"/>
  <c r="P231" i="1"/>
  <c r="O231" i="1"/>
  <c r="R230" i="1"/>
  <c r="P230" i="1"/>
  <c r="O230" i="1"/>
  <c r="R229" i="1"/>
  <c r="P229" i="1"/>
  <c r="O229" i="1"/>
  <c r="R228" i="1"/>
  <c r="P228" i="1"/>
  <c r="O228" i="1"/>
  <c r="R227" i="1"/>
  <c r="P227" i="1"/>
  <c r="O227" i="1"/>
  <c r="R226" i="1"/>
  <c r="P226" i="1"/>
  <c r="O226" i="1"/>
  <c r="R225" i="1"/>
  <c r="P225" i="1"/>
  <c r="O225" i="1"/>
  <c r="R224" i="1"/>
  <c r="P224" i="1"/>
  <c r="O224" i="1"/>
  <c r="R223" i="1"/>
  <c r="P223" i="1"/>
  <c r="O223" i="1"/>
  <c r="R222" i="1"/>
  <c r="P222" i="1"/>
  <c r="O222" i="1"/>
  <c r="R221" i="1"/>
  <c r="P221" i="1"/>
  <c r="O221" i="1"/>
  <c r="R220" i="1"/>
  <c r="P220" i="1"/>
  <c r="O220" i="1"/>
  <c r="R219" i="1"/>
  <c r="P219" i="1"/>
  <c r="O219" i="1"/>
  <c r="R218" i="1"/>
  <c r="P218" i="1"/>
  <c r="O218" i="1"/>
  <c r="R217" i="1"/>
  <c r="P217" i="1"/>
  <c r="O217" i="1"/>
  <c r="R216" i="1"/>
  <c r="P216" i="1"/>
  <c r="O216" i="1"/>
  <c r="R215" i="1"/>
  <c r="P215" i="1"/>
  <c r="O215" i="1"/>
  <c r="R214" i="1"/>
  <c r="P214" i="1"/>
  <c r="O214" i="1"/>
  <c r="R213" i="1"/>
  <c r="P213" i="1"/>
  <c r="O213" i="1"/>
  <c r="R212" i="1"/>
  <c r="P212" i="1"/>
  <c r="O212" i="1"/>
  <c r="R211" i="1"/>
  <c r="P211" i="1"/>
  <c r="O211" i="1"/>
  <c r="R210" i="1"/>
  <c r="P210" i="1"/>
  <c r="O210" i="1"/>
  <c r="R209" i="1"/>
  <c r="P209" i="1"/>
  <c r="O209" i="1"/>
  <c r="R208" i="1"/>
  <c r="P208" i="1"/>
  <c r="O208" i="1"/>
  <c r="R207" i="1"/>
  <c r="P207" i="1"/>
  <c r="O207" i="1"/>
  <c r="R206" i="1"/>
  <c r="P206" i="1"/>
  <c r="O206" i="1"/>
  <c r="R205" i="1"/>
  <c r="P205" i="1"/>
  <c r="O205" i="1"/>
  <c r="R204" i="1"/>
  <c r="P204" i="1"/>
  <c r="O204" i="1"/>
  <c r="R203" i="1"/>
  <c r="P203" i="1"/>
  <c r="O203" i="1"/>
  <c r="R202" i="1"/>
  <c r="P202" i="1"/>
  <c r="O202" i="1"/>
  <c r="R201" i="1"/>
  <c r="P201" i="1"/>
  <c r="O201" i="1"/>
  <c r="R200" i="1"/>
  <c r="P200" i="1"/>
  <c r="O200" i="1"/>
  <c r="R199" i="1"/>
  <c r="P199" i="1"/>
  <c r="O199" i="1"/>
  <c r="R198" i="1"/>
  <c r="P198" i="1"/>
  <c r="O198" i="1"/>
  <c r="R197" i="1"/>
  <c r="P197" i="1"/>
  <c r="O197" i="1"/>
  <c r="R196" i="1"/>
  <c r="P196" i="1"/>
  <c r="O196" i="1"/>
  <c r="R195" i="1"/>
  <c r="P195" i="1"/>
  <c r="O195" i="1"/>
  <c r="R194" i="1"/>
  <c r="P194" i="1"/>
  <c r="O194" i="1"/>
  <c r="R193" i="1"/>
  <c r="P193" i="1"/>
  <c r="O193" i="1"/>
  <c r="R192" i="1"/>
  <c r="P192" i="1"/>
  <c r="O192" i="1"/>
  <c r="R191" i="1"/>
  <c r="P191" i="1"/>
  <c r="O191" i="1"/>
  <c r="R190" i="1"/>
  <c r="P190" i="1"/>
  <c r="O190" i="1"/>
  <c r="R189" i="1"/>
  <c r="P189" i="1"/>
  <c r="O189" i="1"/>
  <c r="R188" i="1"/>
  <c r="P188" i="1"/>
  <c r="O188" i="1"/>
  <c r="R187" i="1"/>
  <c r="P187" i="1"/>
  <c r="O187" i="1"/>
  <c r="R186" i="1"/>
  <c r="P186" i="1"/>
  <c r="O186" i="1"/>
  <c r="R185" i="1"/>
  <c r="P185" i="1"/>
  <c r="O185" i="1"/>
  <c r="R184" i="1"/>
  <c r="P184" i="1"/>
  <c r="O184" i="1"/>
  <c r="R183" i="1"/>
  <c r="P183" i="1"/>
  <c r="O183" i="1"/>
  <c r="R182" i="1"/>
  <c r="P182" i="1"/>
  <c r="O182" i="1"/>
  <c r="R181" i="1"/>
  <c r="P181" i="1"/>
  <c r="O181" i="1"/>
  <c r="R180" i="1"/>
  <c r="P180" i="1"/>
  <c r="O180" i="1"/>
  <c r="R179" i="1"/>
  <c r="P179" i="1"/>
  <c r="O179" i="1"/>
  <c r="R178" i="1"/>
  <c r="P178" i="1"/>
  <c r="O178" i="1"/>
  <c r="R177" i="1"/>
  <c r="P177" i="1"/>
  <c r="O177" i="1"/>
  <c r="R176" i="1"/>
  <c r="P176" i="1"/>
  <c r="O176" i="1"/>
  <c r="R175" i="1"/>
  <c r="P175" i="1"/>
  <c r="O175" i="1"/>
  <c r="R174" i="1"/>
  <c r="P174" i="1"/>
  <c r="O174" i="1"/>
  <c r="R173" i="1"/>
  <c r="P173" i="1"/>
  <c r="O173" i="1"/>
  <c r="R172" i="1"/>
  <c r="P172" i="1"/>
  <c r="O172" i="1"/>
  <c r="R171" i="1"/>
  <c r="P171" i="1"/>
  <c r="O171" i="1"/>
  <c r="R170" i="1"/>
  <c r="P170" i="1"/>
  <c r="O170" i="1"/>
  <c r="R169" i="1"/>
  <c r="P169" i="1"/>
  <c r="O169" i="1"/>
  <c r="R168" i="1"/>
  <c r="P168" i="1"/>
  <c r="O168" i="1"/>
  <c r="R167" i="1"/>
  <c r="P167" i="1"/>
  <c r="O167" i="1"/>
  <c r="R166" i="1"/>
  <c r="P166" i="1"/>
  <c r="O166" i="1"/>
  <c r="R165" i="1"/>
  <c r="P165" i="1"/>
  <c r="O165" i="1"/>
  <c r="R164" i="1"/>
  <c r="P164" i="1"/>
  <c r="O164" i="1"/>
  <c r="R163" i="1"/>
  <c r="P163" i="1"/>
  <c r="O163" i="1"/>
  <c r="R162" i="1"/>
  <c r="P162" i="1"/>
  <c r="O162" i="1"/>
  <c r="R161" i="1"/>
  <c r="P161" i="1"/>
  <c r="O161" i="1"/>
  <c r="R160" i="1"/>
  <c r="P160" i="1"/>
  <c r="O160" i="1"/>
  <c r="R159" i="1"/>
  <c r="P159" i="1"/>
  <c r="O159" i="1"/>
  <c r="R158" i="1"/>
  <c r="P158" i="1"/>
  <c r="O158" i="1"/>
  <c r="R157" i="1"/>
  <c r="P157" i="1"/>
  <c r="O157" i="1"/>
  <c r="R156" i="1"/>
  <c r="P156" i="1"/>
  <c r="O156" i="1"/>
  <c r="R155" i="1"/>
  <c r="P155" i="1"/>
  <c r="O155" i="1"/>
  <c r="R154" i="1"/>
  <c r="P154" i="1"/>
  <c r="O154" i="1"/>
  <c r="R153" i="1"/>
  <c r="P153" i="1"/>
  <c r="O153" i="1"/>
  <c r="R152" i="1"/>
  <c r="P152" i="1"/>
  <c r="O152" i="1"/>
  <c r="R151" i="1"/>
  <c r="P151" i="1"/>
  <c r="O151" i="1"/>
  <c r="R150" i="1"/>
  <c r="P150" i="1"/>
  <c r="O150" i="1"/>
  <c r="R149" i="1"/>
  <c r="P149" i="1"/>
  <c r="O149" i="1"/>
  <c r="R148" i="1"/>
  <c r="P148" i="1"/>
  <c r="O148" i="1"/>
  <c r="R147" i="1"/>
  <c r="P147" i="1"/>
  <c r="O147" i="1"/>
  <c r="R146" i="1"/>
  <c r="P146" i="1"/>
  <c r="O146" i="1"/>
  <c r="R145" i="1"/>
  <c r="P145" i="1"/>
  <c r="O145" i="1"/>
  <c r="R144" i="1"/>
  <c r="P144" i="1"/>
  <c r="O144" i="1"/>
  <c r="R143" i="1"/>
  <c r="P143" i="1"/>
  <c r="O143" i="1"/>
  <c r="R142" i="1"/>
  <c r="P142" i="1"/>
  <c r="O142" i="1"/>
  <c r="R141" i="1"/>
  <c r="P141" i="1"/>
  <c r="O141" i="1"/>
  <c r="R140" i="1"/>
  <c r="P140" i="1"/>
  <c r="O140" i="1"/>
  <c r="R139" i="1"/>
  <c r="P139" i="1"/>
  <c r="O139" i="1"/>
  <c r="R138" i="1"/>
  <c r="P138" i="1"/>
  <c r="O138" i="1"/>
  <c r="R137" i="1"/>
  <c r="P137" i="1"/>
  <c r="O137" i="1"/>
  <c r="R136" i="1"/>
  <c r="P136" i="1"/>
  <c r="O136" i="1"/>
  <c r="R135" i="1"/>
  <c r="P135" i="1"/>
  <c r="O135" i="1"/>
  <c r="R134" i="1"/>
  <c r="P134" i="1"/>
  <c r="O134" i="1"/>
  <c r="R133" i="1"/>
  <c r="P133" i="1"/>
  <c r="O133" i="1"/>
  <c r="R132" i="1"/>
  <c r="P132" i="1"/>
  <c r="O132" i="1"/>
  <c r="R131" i="1"/>
  <c r="P131" i="1"/>
  <c r="O131" i="1"/>
  <c r="R130" i="1"/>
  <c r="P130" i="1"/>
  <c r="O130" i="1"/>
  <c r="R129" i="1"/>
  <c r="P129" i="1"/>
  <c r="O129" i="1"/>
  <c r="R128" i="1"/>
  <c r="P128" i="1"/>
  <c r="O128" i="1"/>
  <c r="R127" i="1"/>
  <c r="P127" i="1"/>
  <c r="O127" i="1"/>
  <c r="R126" i="1"/>
  <c r="P126" i="1"/>
  <c r="O126" i="1"/>
  <c r="R125" i="1"/>
  <c r="P125" i="1"/>
  <c r="O125" i="1"/>
  <c r="R124" i="1"/>
  <c r="P124" i="1"/>
  <c r="O124" i="1"/>
  <c r="R123" i="1"/>
  <c r="P123" i="1"/>
  <c r="O123" i="1"/>
  <c r="R122" i="1"/>
  <c r="P122" i="1"/>
  <c r="O122" i="1"/>
  <c r="R121" i="1"/>
  <c r="P121" i="1"/>
  <c r="O121" i="1"/>
  <c r="R120" i="1"/>
  <c r="P120" i="1"/>
  <c r="O120" i="1"/>
  <c r="R119" i="1"/>
  <c r="P119" i="1"/>
  <c r="O119" i="1"/>
  <c r="R118" i="1"/>
  <c r="P118" i="1"/>
  <c r="O118" i="1"/>
  <c r="R117" i="1"/>
  <c r="P117" i="1"/>
  <c r="O117" i="1"/>
  <c r="R116" i="1"/>
  <c r="P116" i="1"/>
  <c r="O116" i="1"/>
  <c r="R115" i="1"/>
  <c r="P115" i="1"/>
  <c r="O115" i="1"/>
  <c r="R114" i="1"/>
  <c r="P114" i="1"/>
  <c r="O114" i="1"/>
  <c r="R113" i="1"/>
  <c r="P113" i="1"/>
  <c r="O113" i="1"/>
  <c r="R112" i="1"/>
  <c r="P112" i="1"/>
  <c r="O112" i="1"/>
  <c r="R111" i="1"/>
  <c r="P111" i="1"/>
  <c r="O111" i="1"/>
  <c r="R110" i="1"/>
  <c r="P110" i="1"/>
  <c r="O110" i="1"/>
  <c r="R109" i="1"/>
  <c r="P109" i="1"/>
  <c r="O109" i="1"/>
  <c r="R108" i="1"/>
  <c r="P108" i="1"/>
  <c r="O108" i="1"/>
  <c r="R107" i="1"/>
  <c r="P107" i="1"/>
  <c r="O107" i="1"/>
  <c r="R106" i="1"/>
  <c r="P106" i="1"/>
  <c r="O106" i="1"/>
  <c r="R105" i="1"/>
  <c r="P105" i="1"/>
  <c r="O105" i="1"/>
  <c r="R104" i="1"/>
  <c r="P104" i="1"/>
  <c r="O104" i="1"/>
  <c r="R103" i="1"/>
  <c r="P103" i="1"/>
  <c r="O103" i="1"/>
  <c r="R102" i="1"/>
  <c r="P102" i="1"/>
  <c r="O102" i="1"/>
  <c r="R101" i="1"/>
  <c r="P101" i="1"/>
  <c r="O101" i="1"/>
  <c r="R100" i="1"/>
  <c r="P100" i="1"/>
  <c r="O100" i="1"/>
  <c r="R99" i="1"/>
  <c r="P99" i="1"/>
  <c r="O99" i="1"/>
  <c r="R98" i="1"/>
  <c r="P98" i="1"/>
  <c r="O98" i="1"/>
  <c r="R97" i="1"/>
  <c r="P97" i="1"/>
  <c r="O97" i="1"/>
  <c r="R96" i="1"/>
  <c r="P96" i="1"/>
  <c r="O96" i="1"/>
  <c r="R95" i="1"/>
  <c r="P95" i="1"/>
  <c r="O95" i="1"/>
  <c r="R94" i="1"/>
  <c r="P94" i="1"/>
  <c r="O94" i="1"/>
  <c r="R93" i="1"/>
  <c r="P93" i="1"/>
  <c r="O93" i="1"/>
  <c r="R92" i="1"/>
  <c r="P92" i="1"/>
  <c r="O92" i="1"/>
  <c r="R91" i="1"/>
  <c r="P91" i="1"/>
  <c r="O91" i="1"/>
  <c r="R90" i="1"/>
  <c r="P90" i="1"/>
  <c r="O90" i="1"/>
  <c r="R89" i="1"/>
  <c r="P89" i="1"/>
  <c r="O89" i="1"/>
  <c r="R88" i="1"/>
  <c r="P88" i="1"/>
  <c r="O88" i="1"/>
  <c r="R87" i="1"/>
  <c r="P87" i="1"/>
  <c r="O87" i="1"/>
  <c r="R86" i="1"/>
  <c r="P86" i="1"/>
  <c r="O86" i="1"/>
  <c r="R85" i="1"/>
  <c r="P85" i="1"/>
  <c r="O85" i="1"/>
  <c r="R84" i="1"/>
  <c r="P84" i="1"/>
  <c r="O84" i="1"/>
  <c r="R83" i="1"/>
  <c r="P83" i="1"/>
  <c r="O83" i="1"/>
  <c r="R82" i="1"/>
  <c r="P82" i="1"/>
  <c r="O82" i="1"/>
  <c r="R81" i="1"/>
  <c r="P81" i="1"/>
  <c r="O81" i="1"/>
  <c r="R80" i="1"/>
  <c r="P80" i="1"/>
  <c r="O80" i="1"/>
  <c r="R79" i="1"/>
  <c r="P79" i="1"/>
  <c r="O79" i="1"/>
  <c r="R78" i="1"/>
  <c r="P78" i="1"/>
  <c r="O78" i="1"/>
  <c r="R77" i="1"/>
  <c r="P77" i="1"/>
  <c r="O77" i="1"/>
  <c r="R76" i="1"/>
  <c r="P76" i="1"/>
  <c r="O76" i="1"/>
  <c r="R75" i="1"/>
  <c r="P75" i="1"/>
  <c r="O75" i="1"/>
  <c r="R74" i="1"/>
  <c r="P74" i="1"/>
  <c r="O74" i="1"/>
  <c r="R73" i="1"/>
  <c r="P73" i="1"/>
  <c r="O73" i="1"/>
  <c r="R72" i="1"/>
  <c r="P72" i="1"/>
  <c r="O72" i="1"/>
  <c r="R71" i="1"/>
  <c r="P71" i="1"/>
  <c r="O71" i="1"/>
  <c r="R70" i="1"/>
  <c r="P70" i="1"/>
  <c r="O70" i="1"/>
  <c r="R69" i="1"/>
  <c r="P69" i="1"/>
  <c r="O69" i="1"/>
  <c r="R68" i="1"/>
  <c r="P68" i="1"/>
  <c r="O68" i="1"/>
  <c r="R67" i="1"/>
  <c r="P67" i="1"/>
  <c r="O67" i="1"/>
  <c r="R66" i="1"/>
  <c r="P66" i="1"/>
  <c r="O66" i="1"/>
  <c r="R65" i="1"/>
  <c r="P65" i="1"/>
  <c r="O65" i="1"/>
  <c r="R64" i="1"/>
  <c r="P64" i="1"/>
  <c r="O64" i="1"/>
  <c r="R63" i="1"/>
  <c r="P63" i="1"/>
  <c r="O63" i="1"/>
  <c r="R62" i="1"/>
  <c r="P62" i="1"/>
  <c r="O62" i="1"/>
  <c r="R61" i="1"/>
  <c r="P61" i="1"/>
  <c r="O61" i="1"/>
  <c r="R60" i="1"/>
  <c r="P60" i="1"/>
  <c r="O60" i="1"/>
  <c r="R59" i="1"/>
  <c r="P59" i="1"/>
  <c r="O59" i="1"/>
  <c r="R58" i="1"/>
  <c r="P58" i="1"/>
  <c r="O58" i="1"/>
  <c r="R57" i="1"/>
  <c r="P57" i="1"/>
  <c r="O57" i="1"/>
  <c r="R56" i="1"/>
  <c r="P56" i="1"/>
  <c r="O56" i="1"/>
  <c r="R55" i="1"/>
  <c r="P55" i="1"/>
  <c r="O55" i="1"/>
  <c r="R54" i="1"/>
  <c r="P54" i="1"/>
  <c r="O54" i="1"/>
  <c r="R53" i="1"/>
  <c r="P53" i="1"/>
  <c r="O53" i="1"/>
  <c r="R52" i="1"/>
  <c r="P52" i="1"/>
  <c r="O52" i="1"/>
  <c r="R51" i="1"/>
  <c r="P51" i="1"/>
  <c r="O51" i="1"/>
  <c r="R50" i="1"/>
  <c r="P50" i="1"/>
  <c r="O50" i="1"/>
  <c r="R49" i="1"/>
  <c r="P49" i="1"/>
  <c r="O49" i="1"/>
  <c r="R48" i="1"/>
  <c r="P48" i="1"/>
  <c r="O48" i="1"/>
  <c r="R47" i="1"/>
  <c r="P47" i="1"/>
  <c r="O47" i="1"/>
  <c r="R46" i="1"/>
  <c r="P46" i="1"/>
  <c r="O46" i="1"/>
  <c r="R45" i="1"/>
  <c r="P45" i="1"/>
  <c r="O45" i="1"/>
  <c r="R44" i="1"/>
  <c r="P44" i="1"/>
  <c r="O44" i="1"/>
  <c r="R43" i="1"/>
  <c r="P43" i="1"/>
  <c r="O43" i="1"/>
  <c r="R42" i="1"/>
  <c r="P42" i="1"/>
  <c r="O42" i="1"/>
  <c r="R41" i="1"/>
  <c r="P41" i="1"/>
  <c r="O41" i="1"/>
  <c r="R40" i="1"/>
  <c r="P40" i="1"/>
  <c r="O40" i="1"/>
  <c r="R39" i="1"/>
  <c r="P39" i="1"/>
  <c r="O39" i="1"/>
  <c r="R38" i="1"/>
  <c r="P38" i="1"/>
  <c r="O38" i="1"/>
  <c r="R37" i="1"/>
  <c r="P37" i="1"/>
  <c r="O37" i="1"/>
  <c r="R36" i="1"/>
  <c r="P36" i="1"/>
  <c r="O36" i="1"/>
  <c r="R35" i="1"/>
  <c r="P35" i="1"/>
  <c r="O35" i="1"/>
  <c r="R34" i="1"/>
  <c r="P34" i="1"/>
  <c r="O34" i="1"/>
  <c r="R33" i="1"/>
  <c r="P33" i="1"/>
  <c r="O33" i="1"/>
  <c r="R32" i="1"/>
  <c r="P32" i="1"/>
  <c r="O32" i="1"/>
  <c r="R31" i="1"/>
  <c r="P31" i="1"/>
  <c r="O31" i="1"/>
  <c r="R30" i="1"/>
  <c r="P30" i="1"/>
  <c r="O30" i="1"/>
  <c r="R29" i="1"/>
  <c r="P29" i="1"/>
  <c r="O29" i="1"/>
  <c r="R28" i="1"/>
  <c r="P28" i="1"/>
  <c r="O28" i="1"/>
  <c r="R27" i="1"/>
  <c r="P27" i="1"/>
  <c r="O27" i="1"/>
  <c r="R26" i="1"/>
  <c r="P26" i="1"/>
  <c r="O26" i="1"/>
  <c r="R25" i="1"/>
  <c r="P25" i="1"/>
  <c r="O25" i="1"/>
  <c r="R24" i="1"/>
  <c r="P24" i="1"/>
  <c r="O24" i="1"/>
  <c r="R23" i="1"/>
  <c r="P23" i="1"/>
  <c r="O23" i="1"/>
  <c r="R22" i="1"/>
  <c r="P22" i="1"/>
  <c r="O22" i="1"/>
  <c r="R21" i="1"/>
  <c r="P21" i="1"/>
  <c r="O21" i="1"/>
  <c r="R20" i="1"/>
  <c r="P20" i="1"/>
  <c r="O20" i="1"/>
  <c r="R19" i="1"/>
  <c r="P19" i="1"/>
  <c r="O19" i="1"/>
  <c r="R18" i="1"/>
  <c r="P18" i="1"/>
  <c r="O18" i="1"/>
  <c r="R17" i="1"/>
  <c r="P17" i="1"/>
  <c r="O17" i="1"/>
  <c r="R16" i="1"/>
  <c r="P16" i="1"/>
  <c r="O16" i="1"/>
  <c r="R15" i="1"/>
  <c r="P15" i="1"/>
  <c r="O15" i="1"/>
  <c r="R14" i="1"/>
  <c r="P14" i="1"/>
  <c r="O14" i="1"/>
  <c r="R13" i="1"/>
  <c r="P13" i="1"/>
  <c r="O13" i="1"/>
  <c r="R12" i="1"/>
  <c r="P12" i="1"/>
  <c r="O12" i="1"/>
  <c r="R11" i="1"/>
  <c r="P11" i="1"/>
  <c r="O11" i="1"/>
  <c r="R10" i="1"/>
  <c r="P10" i="1"/>
  <c r="O10" i="1"/>
  <c r="R9" i="1"/>
  <c r="P9" i="1"/>
  <c r="O9" i="1"/>
  <c r="R8" i="1"/>
  <c r="P8" i="1"/>
  <c r="O8" i="1"/>
  <c r="R7" i="1"/>
  <c r="P7" i="1"/>
  <c r="O7" i="1"/>
  <c r="R6" i="1"/>
  <c r="P6" i="1"/>
  <c r="O6" i="1"/>
  <c r="R5" i="1"/>
  <c r="P5" i="1"/>
  <c r="O5" i="1"/>
  <c r="R4" i="1"/>
  <c r="P4" i="1"/>
  <c r="O4" i="1"/>
  <c r="R3" i="1"/>
  <c r="P3" i="1"/>
  <c r="O3" i="1"/>
  <c r="R2" i="1"/>
  <c r="P2" i="1"/>
  <c r="O2" i="1"/>
  <c r="Q3297" i="1" l="1"/>
  <c r="Q3309" i="1"/>
  <c r="Q3325" i="1"/>
  <c r="Q3333" i="1"/>
  <c r="Q3345" i="1"/>
  <c r="Q3349" i="1"/>
  <c r="Q3289" i="1"/>
  <c r="Q3293" i="1"/>
  <c r="Q3301" i="1"/>
  <c r="Q3305" i="1"/>
  <c r="Q3313" i="1"/>
  <c r="Q3317" i="1"/>
  <c r="Q3321" i="1"/>
  <c r="Q3329" i="1"/>
  <c r="Q3337" i="1"/>
  <c r="Q3341" i="1"/>
  <c r="Q3353" i="1"/>
  <c r="Q3276" i="1"/>
  <c r="Q3286" i="1"/>
  <c r="Q3290" i="1"/>
  <c r="Q3294" i="1"/>
  <c r="Q3298" i="1"/>
  <c r="Q3302" i="1"/>
  <c r="Q3306" i="1"/>
  <c r="Q3310" i="1"/>
  <c r="Q3314" i="1"/>
  <c r="Q3318" i="1"/>
  <c r="Q3322" i="1"/>
  <c r="Q3326" i="1"/>
  <c r="Q3288" i="1"/>
  <c r="Q3300" i="1"/>
  <c r="Q3308" i="1"/>
  <c r="Q3316" i="1"/>
  <c r="Q3324" i="1"/>
  <c r="Q3292" i="1"/>
  <c r="Q3296" i="1"/>
  <c r="Q3304" i="1"/>
  <c r="Q3312" i="1"/>
  <c r="Q3320" i="1"/>
  <c r="Q3287" i="1"/>
  <c r="Q3291" i="1"/>
  <c r="Q3295" i="1"/>
  <c r="Q3299" i="1"/>
  <c r="Q3303" i="1"/>
  <c r="Q3307" i="1"/>
  <c r="Q3311" i="1"/>
  <c r="Q3315" i="1"/>
  <c r="Q3319" i="1"/>
  <c r="Q3323" i="1"/>
  <c r="Q3327" i="1"/>
  <c r="Q3331" i="1"/>
  <c r="Q3335" i="1"/>
  <c r="Q3339" i="1"/>
  <c r="Q3343" i="1"/>
  <c r="Q3347" i="1"/>
  <c r="Q3351" i="1"/>
  <c r="Q3328" i="1"/>
  <c r="Q3332" i="1"/>
  <c r="Q3336" i="1"/>
  <c r="Q3340" i="1"/>
  <c r="Q3344" i="1"/>
  <c r="Q3348" i="1"/>
  <c r="Q3352" i="1"/>
  <c r="Q3253" i="1"/>
  <c r="Q3257" i="1"/>
  <c r="Q3261" i="1"/>
  <c r="Q3265" i="1"/>
  <c r="Q3269" i="1"/>
  <c r="Q3273" i="1"/>
  <c r="Q3281" i="1"/>
  <c r="Q3330" i="1"/>
  <c r="Q3334" i="1"/>
  <c r="Q3338" i="1"/>
  <c r="Q3342" i="1"/>
  <c r="Q3346" i="1"/>
  <c r="Q3350" i="1"/>
  <c r="Q3357" i="1"/>
  <c r="Q3361" i="1"/>
  <c r="Q3365" i="1"/>
  <c r="Q3369" i="1"/>
  <c r="Q3373" i="1"/>
  <c r="Q3377" i="1"/>
  <c r="Q3381" i="1"/>
  <c r="Q3385" i="1"/>
  <c r="Q3389" i="1"/>
  <c r="Q3393" i="1"/>
  <c r="Q3397" i="1"/>
  <c r="Q3401" i="1"/>
  <c r="Q3405" i="1"/>
  <c r="Q3409" i="1"/>
  <c r="Q3413" i="1"/>
  <c r="Q3417" i="1"/>
  <c r="Q3421" i="1"/>
  <c r="Q3425" i="1"/>
  <c r="Q3429" i="1"/>
  <c r="Q3433" i="1"/>
  <c r="Q3437" i="1"/>
  <c r="Q3441" i="1"/>
  <c r="Q3445" i="1"/>
  <c r="Q3449" i="1"/>
  <c r="Q3453" i="1"/>
  <c r="Q3457" i="1"/>
  <c r="Q3461" i="1"/>
  <c r="Q3465" i="1"/>
  <c r="Q3469" i="1"/>
  <c r="Q3473" i="1"/>
  <c r="Q3477" i="1"/>
  <c r="Q3481" i="1"/>
  <c r="Q3485" i="1"/>
  <c r="Q3489" i="1"/>
  <c r="Q3493" i="1"/>
  <c r="Q3497" i="1"/>
  <c r="Q3501" i="1"/>
  <c r="Q3505" i="1"/>
  <c r="Q3509" i="1"/>
  <c r="Q3513" i="1"/>
  <c r="Q3517" i="1"/>
  <c r="Q3521" i="1"/>
  <c r="Q3525" i="1"/>
  <c r="Q3529" i="1"/>
  <c r="Q3533" i="1"/>
  <c r="Q3537" i="1"/>
  <c r="Q3541" i="1"/>
  <c r="Q3545" i="1"/>
  <c r="Q3549" i="1"/>
  <c r="Q3553" i="1"/>
  <c r="Q3557" i="1"/>
  <c r="Q3561" i="1"/>
  <c r="Q3565" i="1"/>
  <c r="Q3569" i="1"/>
  <c r="Q3573" i="1"/>
  <c r="Q3577" i="1"/>
  <c r="Q3581" i="1"/>
  <c r="Q3585" i="1"/>
  <c r="Q3255" i="1"/>
  <c r="Q3259" i="1"/>
  <c r="Q3263" i="1"/>
  <c r="Q3267" i="1"/>
  <c r="Q3271" i="1"/>
  <c r="Q3275" i="1"/>
  <c r="Q3278" i="1"/>
  <c r="Q3279" i="1"/>
  <c r="Q3283" i="1"/>
  <c r="Q4" i="1"/>
  <c r="Q8" i="1"/>
  <c r="Q12" i="1"/>
  <c r="Q16" i="1"/>
  <c r="Q20" i="1"/>
  <c r="Q24" i="1"/>
  <c r="Q28" i="1"/>
  <c r="Q32" i="1"/>
  <c r="Q36" i="1"/>
  <c r="Q40" i="1"/>
  <c r="Q44" i="1"/>
  <c r="Q48" i="1"/>
  <c r="Q52" i="1"/>
  <c r="Q56" i="1"/>
  <c r="Q60" i="1"/>
  <c r="Q64" i="1"/>
  <c r="Q68" i="1"/>
  <c r="Q72" i="1"/>
  <c r="Q76" i="1"/>
  <c r="Q80" i="1"/>
  <c r="Q84" i="1"/>
  <c r="Q88" i="1"/>
  <c r="Q92" i="1"/>
  <c r="Q96" i="1"/>
  <c r="Q100" i="1"/>
  <c r="Q104" i="1"/>
  <c r="Q108" i="1"/>
  <c r="Q112" i="1"/>
  <c r="Q116" i="1"/>
  <c r="Q120" i="1"/>
  <c r="Q124" i="1"/>
  <c r="Q128" i="1"/>
  <c r="Q132" i="1"/>
  <c r="Q136" i="1"/>
  <c r="Q140" i="1"/>
  <c r="Q144" i="1"/>
  <c r="Q148" i="1"/>
  <c r="Q152" i="1"/>
  <c r="Q156" i="1"/>
  <c r="Q160" i="1"/>
  <c r="Q164" i="1"/>
  <c r="Q168" i="1"/>
  <c r="Q172" i="1"/>
  <c r="Q176" i="1"/>
  <c r="Q180" i="1"/>
  <c r="Q184" i="1"/>
  <c r="Q188" i="1"/>
  <c r="Q192" i="1"/>
  <c r="Q196" i="1"/>
  <c r="Q200" i="1"/>
  <c r="Q204" i="1"/>
  <c r="Q208" i="1"/>
  <c r="Q212" i="1"/>
  <c r="Q216" i="1"/>
  <c r="Q220" i="1"/>
  <c r="Q224" i="1"/>
  <c r="Q228" i="1"/>
  <c r="Q232" i="1"/>
  <c r="Q236" i="1"/>
  <c r="Q240" i="1"/>
  <c r="Q244" i="1"/>
  <c r="Q248" i="1"/>
  <c r="Q252" i="1"/>
  <c r="Q256" i="1"/>
  <c r="Q260" i="1"/>
  <c r="Q264" i="1"/>
  <c r="Q268" i="1"/>
  <c r="Q272" i="1"/>
  <c r="Q276" i="1"/>
  <c r="Q280" i="1"/>
  <c r="Q284" i="1"/>
  <c r="Q288" i="1"/>
  <c r="Q292" i="1"/>
  <c r="Q296" i="1"/>
  <c r="Q300" i="1"/>
  <c r="Q304" i="1"/>
  <c r="Q308" i="1"/>
  <c r="Q312" i="1"/>
  <c r="Q316" i="1"/>
  <c r="Q320" i="1"/>
  <c r="Q324" i="1"/>
  <c r="Q328" i="1"/>
  <c r="Q332" i="1"/>
  <c r="Q336" i="1"/>
  <c r="Q340" i="1"/>
  <c r="Q344" i="1"/>
  <c r="Q348" i="1"/>
  <c r="Q352" i="1"/>
  <c r="Q356" i="1"/>
  <c r="Q360" i="1"/>
  <c r="Q364" i="1"/>
  <c r="Q368" i="1"/>
  <c r="Q372" i="1"/>
  <c r="Q376" i="1"/>
  <c r="Q380" i="1"/>
  <c r="Q384" i="1"/>
  <c r="Q388" i="1"/>
  <c r="Q392" i="1"/>
  <c r="Q396" i="1"/>
  <c r="Q400" i="1"/>
  <c r="Q404" i="1"/>
  <c r="Q408" i="1"/>
  <c r="Q412" i="1"/>
  <c r="Q416" i="1"/>
  <c r="Q420" i="1"/>
  <c r="Q424" i="1"/>
  <c r="Q428" i="1"/>
  <c r="Q432" i="1"/>
  <c r="Q436" i="1"/>
  <c r="Q440" i="1"/>
  <c r="Q444" i="1"/>
  <c r="Q448" i="1"/>
  <c r="Q452" i="1"/>
  <c r="Q456" i="1"/>
  <c r="Q460" i="1"/>
  <c r="Q464" i="1"/>
  <c r="Q468" i="1"/>
  <c r="Q472" i="1"/>
  <c r="Q476" i="1"/>
  <c r="Q480" i="1"/>
  <c r="Q484" i="1"/>
  <c r="Q488" i="1"/>
  <c r="Q492" i="1"/>
  <c r="Q496" i="1"/>
  <c r="Q500" i="1"/>
  <c r="Q504" i="1"/>
  <c r="Q508" i="1"/>
  <c r="Q512" i="1"/>
  <c r="Q516" i="1"/>
  <c r="Q520" i="1"/>
  <c r="Q524" i="1"/>
  <c r="Q528" i="1"/>
  <c r="Q532" i="1"/>
  <c r="Q536" i="1"/>
  <c r="Q540" i="1"/>
  <c r="Q544" i="1"/>
  <c r="Q548" i="1"/>
  <c r="Q552" i="1"/>
  <c r="Q556" i="1"/>
  <c r="Q560" i="1"/>
  <c r="Q564" i="1"/>
  <c r="Q568" i="1"/>
  <c r="Q572" i="1"/>
  <c r="Q576" i="1"/>
  <c r="Q580" i="1"/>
  <c r="Q864" i="1"/>
  <c r="Q868" i="1"/>
  <c r="Q872" i="1"/>
  <c r="Q876" i="1"/>
  <c r="Q880" i="1"/>
  <c r="Q884" i="1"/>
  <c r="Q888" i="1"/>
  <c r="Q892" i="1"/>
  <c r="Q896" i="1"/>
  <c r="Q900" i="1"/>
  <c r="Q904" i="1"/>
  <c r="Q908" i="1"/>
  <c r="Q912" i="1"/>
  <c r="Q916" i="1"/>
  <c r="Q920" i="1"/>
  <c r="Q924" i="1"/>
  <c r="Q928" i="1"/>
  <c r="Q932" i="1"/>
  <c r="Q936" i="1"/>
  <c r="Q940" i="1"/>
  <c r="Q944" i="1"/>
  <c r="Q1140" i="1"/>
  <c r="Q1144" i="1"/>
  <c r="Q3280" i="1"/>
  <c r="Q3284" i="1"/>
  <c r="Q3282" i="1"/>
  <c r="Q3254" i="1"/>
  <c r="Q3258" i="1"/>
  <c r="Q3262" i="1"/>
  <c r="Q3266" i="1"/>
  <c r="Q3270" i="1"/>
  <c r="Q3274" i="1"/>
  <c r="Q3277" i="1"/>
  <c r="Q3256" i="1"/>
  <c r="Q3260" i="1"/>
  <c r="Q3264" i="1"/>
  <c r="Q3268" i="1"/>
  <c r="Q3272" i="1"/>
  <c r="Q3285" i="1"/>
  <c r="Q951" i="1"/>
  <c r="Q955" i="1"/>
  <c r="Q959" i="1"/>
  <c r="Q963" i="1"/>
  <c r="Q967" i="1"/>
  <c r="Q971" i="1"/>
  <c r="Q975" i="1"/>
  <c r="Q979" i="1"/>
  <c r="Q983" i="1"/>
  <c r="Q987" i="1"/>
  <c r="Q991" i="1"/>
  <c r="Q995" i="1"/>
  <c r="Q999" i="1"/>
  <c r="Q1003" i="1"/>
  <c r="Q1007" i="1"/>
  <c r="Q1011" i="1"/>
  <c r="Q1015" i="1"/>
  <c r="Q1019" i="1"/>
  <c r="Q1023" i="1"/>
  <c r="Q1027" i="1"/>
  <c r="Q1031" i="1"/>
  <c r="Q1035" i="1"/>
  <c r="Q1039" i="1"/>
  <c r="Q1043" i="1"/>
  <c r="Q1047" i="1"/>
  <c r="Q1135" i="1"/>
  <c r="Q953" i="1"/>
  <c r="Q957" i="1"/>
  <c r="Q961" i="1"/>
  <c r="Q965" i="1"/>
  <c r="Q969" i="1"/>
  <c r="Q973" i="1"/>
  <c r="Q977" i="1"/>
  <c r="Q981" i="1"/>
  <c r="Q985" i="1"/>
  <c r="Q989" i="1"/>
  <c r="Q993" i="1"/>
  <c r="Q997" i="1"/>
  <c r="Q1001" i="1"/>
  <c r="Q1005" i="1"/>
  <c r="Q1009" i="1"/>
  <c r="Q1013" i="1"/>
  <c r="Q1017" i="1"/>
  <c r="Q1021" i="1"/>
  <c r="Q1025" i="1"/>
  <c r="Q1029" i="1"/>
  <c r="Q1033" i="1"/>
  <c r="Q1037" i="1"/>
  <c r="Q1041" i="1"/>
  <c r="Q1045" i="1"/>
  <c r="Q1049" i="1"/>
  <c r="Q1137" i="1"/>
  <c r="Q1789" i="1"/>
  <c r="Q1793" i="1"/>
  <c r="Q1797" i="1"/>
  <c r="Q1801" i="1"/>
  <c r="Q1805" i="1"/>
  <c r="Q1809" i="1"/>
  <c r="Q1813" i="1"/>
  <c r="Q1817" i="1"/>
  <c r="Q1821" i="1"/>
  <c r="Q1825" i="1"/>
  <c r="Q1829" i="1"/>
  <c r="Q1833" i="1"/>
  <c r="Q1837" i="1"/>
  <c r="Q1841" i="1"/>
  <c r="Q1845" i="1"/>
  <c r="Q1849" i="1"/>
  <c r="Q1853" i="1"/>
  <c r="Q1857" i="1"/>
  <c r="Q1861" i="1"/>
  <c r="Q1865" i="1"/>
  <c r="Q1869" i="1"/>
  <c r="Q1873" i="1"/>
  <c r="Q1877" i="1"/>
  <c r="Q1881" i="1"/>
  <c r="Q1885" i="1"/>
  <c r="Q1889" i="1"/>
  <c r="Q1893" i="1"/>
  <c r="Q2261" i="1"/>
  <c r="Q2265" i="1"/>
  <c r="Q2269" i="1"/>
  <c r="Q2273" i="1"/>
  <c r="Q2277" i="1"/>
  <c r="Q2281" i="1"/>
  <c r="Q2285" i="1"/>
  <c r="Q2289" i="1"/>
  <c r="Q2293" i="1"/>
  <c r="Q2297" i="1"/>
  <c r="Q2301" i="1"/>
  <c r="Q2305" i="1"/>
  <c r="Q2309" i="1"/>
  <c r="Q2313" i="1"/>
  <c r="Q2317" i="1"/>
  <c r="Q2321" i="1"/>
  <c r="Q2325" i="1"/>
  <c r="Q2329" i="1"/>
  <c r="Q2333" i="1"/>
  <c r="Q2337" i="1"/>
  <c r="Q2341" i="1"/>
  <c r="Q2345" i="1"/>
  <c r="Q2349" i="1"/>
  <c r="Q2353" i="1"/>
  <c r="Q2357" i="1"/>
  <c r="Q2361" i="1"/>
  <c r="Q2365" i="1"/>
  <c r="Q2369" i="1"/>
  <c r="Q2465" i="1"/>
  <c r="Q2469" i="1"/>
  <c r="Q2473" i="1"/>
  <c r="Q2477" i="1"/>
  <c r="Q2481" i="1"/>
  <c r="Q2485" i="1"/>
  <c r="Q2489" i="1"/>
  <c r="Q2493" i="1"/>
  <c r="Q2497" i="1"/>
  <c r="Q2501" i="1"/>
  <c r="Q2505" i="1"/>
  <c r="Q2509" i="1"/>
  <c r="Q2513" i="1"/>
  <c r="Q2517" i="1"/>
  <c r="Q2521" i="1"/>
  <c r="Q2525" i="1"/>
  <c r="Q2529" i="1"/>
  <c r="Q2533" i="1"/>
  <c r="Q2537" i="1"/>
  <c r="Q2597" i="1"/>
  <c r="Q2601" i="1"/>
  <c r="Q2605" i="1"/>
  <c r="Q2609" i="1"/>
  <c r="Q2613" i="1"/>
  <c r="Q2617" i="1"/>
  <c r="Q2621" i="1"/>
  <c r="Q2625" i="1"/>
  <c r="Q2629" i="1"/>
  <c r="Q2633" i="1"/>
  <c r="Q2637" i="1"/>
  <c r="Q2641" i="1"/>
  <c r="Q2645" i="1"/>
  <c r="Q2649" i="1"/>
  <c r="Q2653" i="1"/>
  <c r="Q2657" i="1"/>
  <c r="Q2661" i="1"/>
  <c r="Q2665" i="1"/>
  <c r="Q2669" i="1"/>
  <c r="Q2673" i="1"/>
  <c r="Q2677" i="1"/>
  <c r="Q2681" i="1"/>
  <c r="Q2685" i="1"/>
  <c r="Q2689" i="1"/>
  <c r="Q2693" i="1"/>
  <c r="Q2697" i="1"/>
  <c r="Q2701" i="1"/>
  <c r="Q2705" i="1"/>
  <c r="Q2709" i="1"/>
  <c r="Q3046" i="1"/>
  <c r="Q3050" i="1"/>
  <c r="Q3054" i="1"/>
  <c r="Q3058" i="1"/>
  <c r="Q3062" i="1"/>
  <c r="Q3066" i="1"/>
  <c r="Q3070" i="1"/>
  <c r="Q3074" i="1"/>
  <c r="Q3078" i="1"/>
  <c r="Q3118" i="1"/>
  <c r="Q3122" i="1"/>
  <c r="Q3126" i="1"/>
  <c r="Q3130" i="1"/>
  <c r="Q3134" i="1"/>
  <c r="Q3138" i="1"/>
  <c r="Q3142" i="1"/>
  <c r="Q3146" i="1"/>
  <c r="Q3150" i="1"/>
  <c r="Q3210" i="1"/>
  <c r="Q3214" i="1"/>
  <c r="Q3218" i="1"/>
  <c r="Q3222" i="1"/>
  <c r="Q3226" i="1"/>
  <c r="Q3250" i="1"/>
  <c r="Q2806" i="1"/>
  <c r="Q2810" i="1"/>
  <c r="Q2814" i="1"/>
  <c r="Q2818" i="1"/>
  <c r="Q2822" i="1"/>
  <c r="Q2826" i="1"/>
  <c r="Q2830" i="1"/>
  <c r="Q2834" i="1"/>
  <c r="Q2838" i="1"/>
  <c r="Q2842" i="1"/>
  <c r="Q2846" i="1"/>
  <c r="Q2850" i="1"/>
  <c r="Q2854" i="1"/>
  <c r="Q2858" i="1"/>
  <c r="Q2862" i="1"/>
  <c r="Q2866" i="1"/>
  <c r="Q2870" i="1"/>
  <c r="Q2874" i="1"/>
  <c r="Q2878" i="1"/>
  <c r="Q2882" i="1"/>
  <c r="Q2886" i="1"/>
  <c r="Q2890" i="1"/>
  <c r="Q950" i="1"/>
  <c r="Q954" i="1"/>
  <c r="Q958" i="1"/>
  <c r="Q962" i="1"/>
  <c r="Q966" i="1"/>
  <c r="Q970" i="1"/>
  <c r="Q974" i="1"/>
  <c r="Q978" i="1"/>
  <c r="Q982" i="1"/>
  <c r="Q986" i="1"/>
  <c r="Q990" i="1"/>
  <c r="Q994" i="1"/>
  <c r="Q998" i="1"/>
  <c r="Q1002" i="1"/>
  <c r="Q1006" i="1"/>
  <c r="Q1010" i="1"/>
  <c r="Q1014" i="1"/>
  <c r="Q1018" i="1"/>
  <c r="Q1022" i="1"/>
  <c r="Q1026" i="1"/>
  <c r="Q1030" i="1"/>
  <c r="Q1034" i="1"/>
  <c r="Q1038" i="1"/>
  <c r="Q1042" i="1"/>
  <c r="Q1046" i="1"/>
  <c r="Q1134" i="1"/>
  <c r="Q473" i="1"/>
  <c r="Q477" i="1"/>
  <c r="Q481" i="1"/>
  <c r="Q485" i="1"/>
  <c r="Q489" i="1"/>
  <c r="Q493" i="1"/>
  <c r="Q497" i="1"/>
  <c r="Q501" i="1"/>
  <c r="Q505" i="1"/>
  <c r="Q509" i="1"/>
  <c r="Q513" i="1"/>
  <c r="Q517" i="1"/>
  <c r="Q521" i="1"/>
  <c r="Q525" i="1"/>
  <c r="Q529" i="1"/>
  <c r="Q533" i="1"/>
  <c r="Q537" i="1"/>
  <c r="Q541" i="1"/>
  <c r="Q545" i="1"/>
  <c r="Q549" i="1"/>
  <c r="Q553" i="1"/>
  <c r="Q557" i="1"/>
  <c r="Q561" i="1"/>
  <c r="Q565" i="1"/>
  <c r="Q569" i="1"/>
  <c r="Q573" i="1"/>
  <c r="Q577" i="1"/>
  <c r="Q581" i="1"/>
  <c r="Q585" i="1"/>
  <c r="Q589" i="1"/>
  <c r="Q593" i="1"/>
  <c r="Q597" i="1"/>
  <c r="Q601" i="1"/>
  <c r="Q605" i="1"/>
  <c r="Q609" i="1"/>
  <c r="Q613" i="1"/>
  <c r="Q617" i="1"/>
  <c r="Q621" i="1"/>
  <c r="Q625" i="1"/>
  <c r="Q629" i="1"/>
  <c r="Q633" i="1"/>
  <c r="Q637" i="1"/>
  <c r="Q641" i="1"/>
  <c r="Q645" i="1"/>
  <c r="Q1143" i="1"/>
  <c r="Q1147" i="1"/>
  <c r="Q1151" i="1"/>
  <c r="Q1155" i="1"/>
  <c r="Q1159" i="1"/>
  <c r="Q1163" i="1"/>
  <c r="Q1167" i="1"/>
  <c r="Q1171" i="1"/>
  <c r="Q1175" i="1"/>
  <c r="Q1179" i="1"/>
  <c r="Q1183" i="1"/>
  <c r="Q1187" i="1"/>
  <c r="Q1191" i="1"/>
  <c r="Q1195" i="1"/>
  <c r="Q1199" i="1"/>
  <c r="Q1203" i="1"/>
  <c r="Q1207" i="1"/>
  <c r="Q1211" i="1"/>
  <c r="Q1215" i="1"/>
  <c r="Q1219" i="1"/>
  <c r="Q1223" i="1"/>
  <c r="Q1227" i="1"/>
  <c r="Q1231" i="1"/>
  <c r="Q1235" i="1"/>
  <c r="Q1239" i="1"/>
  <c r="Q1243" i="1"/>
  <c r="Q1247" i="1"/>
  <c r="Q1251" i="1"/>
  <c r="Q1255" i="1"/>
  <c r="Q1259" i="1"/>
  <c r="Q1263" i="1"/>
  <c r="Q1267" i="1"/>
  <c r="Q1271" i="1"/>
  <c r="Q1275" i="1"/>
  <c r="Q1279" i="1"/>
  <c r="Q1283" i="1"/>
  <c r="Q1287" i="1"/>
  <c r="Q1291" i="1"/>
  <c r="Q1295" i="1"/>
  <c r="Q1299" i="1"/>
  <c r="Q1303" i="1"/>
  <c r="Q1307" i="1"/>
  <c r="Q1311" i="1"/>
  <c r="Q1315" i="1"/>
  <c r="Q1319" i="1"/>
  <c r="Q1323" i="1"/>
  <c r="Q1327" i="1"/>
  <c r="Q1331" i="1"/>
  <c r="Q1335" i="1"/>
  <c r="Q1339" i="1"/>
  <c r="Q1343" i="1"/>
  <c r="Q1347" i="1"/>
  <c r="Q1351" i="1"/>
  <c r="Q1355" i="1"/>
  <c r="Q1359" i="1"/>
  <c r="Q1363" i="1"/>
  <c r="Q1367" i="1"/>
  <c r="Q1371" i="1"/>
  <c r="Q1375" i="1"/>
  <c r="Q1379" i="1"/>
  <c r="Q1383" i="1"/>
  <c r="Q1387" i="1"/>
  <c r="Q1391" i="1"/>
  <c r="Q1395" i="1"/>
  <c r="Q1399" i="1"/>
  <c r="Q1403" i="1"/>
  <c r="Q1407" i="1"/>
  <c r="Q1411" i="1"/>
  <c r="Q1415" i="1"/>
  <c r="Q1419" i="1"/>
  <c r="Q1423" i="1"/>
  <c r="Q1427" i="1"/>
  <c r="Q1431" i="1"/>
  <c r="Q1435" i="1"/>
  <c r="Q1439" i="1"/>
  <c r="Q1443" i="1"/>
  <c r="Q1447" i="1"/>
  <c r="Q1451" i="1"/>
  <c r="Q1455" i="1"/>
  <c r="Q1459" i="1"/>
  <c r="Q1463" i="1"/>
  <c r="Q1467" i="1"/>
  <c r="Q1471" i="1"/>
  <c r="Q1475" i="1"/>
  <c r="Q1479" i="1"/>
  <c r="Q1483" i="1"/>
  <c r="Q1487" i="1"/>
  <c r="Q1491" i="1"/>
  <c r="Q1495" i="1"/>
  <c r="Q1499" i="1"/>
  <c r="Q1503" i="1"/>
  <c r="Q1507" i="1"/>
  <c r="Q1511" i="1"/>
  <c r="Q1515" i="1"/>
  <c r="Q1519" i="1"/>
  <c r="Q1523" i="1"/>
  <c r="Q1527" i="1"/>
  <c r="Q1531" i="1"/>
  <c r="Q1535" i="1"/>
  <c r="Q1539" i="1"/>
  <c r="Q1543" i="1"/>
  <c r="Q1547" i="1"/>
  <c r="Q1551" i="1"/>
  <c r="Q1555" i="1"/>
  <c r="Q1559" i="1"/>
  <c r="Q1563" i="1"/>
  <c r="Q1567" i="1"/>
  <c r="Q1571" i="1"/>
  <c r="Q1575" i="1"/>
  <c r="Q1579" i="1"/>
  <c r="Q1583" i="1"/>
  <c r="Q1587" i="1"/>
  <c r="Q1591" i="1"/>
  <c r="Q1595" i="1"/>
  <c r="Q1599" i="1"/>
  <c r="Q1603" i="1"/>
  <c r="Q1607" i="1"/>
  <c r="Q1611" i="1"/>
  <c r="Q1615" i="1"/>
  <c r="Q1619" i="1"/>
  <c r="Q1623" i="1"/>
  <c r="Q1627" i="1"/>
  <c r="Q1631" i="1"/>
  <c r="Q1635" i="1"/>
  <c r="Q1639" i="1"/>
  <c r="Q1643" i="1"/>
  <c r="Q1647" i="1"/>
  <c r="Q1651" i="1"/>
  <c r="Q1655" i="1"/>
  <c r="Q1659" i="1"/>
  <c r="Q1663" i="1"/>
  <c r="Q1667" i="1"/>
  <c r="Q1671" i="1"/>
  <c r="Q1675" i="1"/>
  <c r="Q1679" i="1"/>
  <c r="Q1683" i="1"/>
  <c r="Q1687" i="1"/>
  <c r="Q1691" i="1"/>
  <c r="Q1695" i="1"/>
  <c r="Q1699" i="1"/>
  <c r="Q1703" i="1"/>
  <c r="Q1707" i="1"/>
  <c r="Q1711" i="1"/>
  <c r="Q1715" i="1"/>
  <c r="Q1719" i="1"/>
  <c r="Q1723" i="1"/>
  <c r="Q1727" i="1"/>
  <c r="Q1731" i="1"/>
  <c r="Q1735" i="1"/>
  <c r="Q1739" i="1"/>
  <c r="Q1743" i="1"/>
  <c r="Q1747" i="1"/>
  <c r="Q1751" i="1"/>
  <c r="Q1755" i="1"/>
  <c r="Q1759" i="1"/>
  <c r="Q1763" i="1"/>
  <c r="Q1767" i="1"/>
  <c r="Q1771" i="1"/>
  <c r="Q1775" i="1"/>
  <c r="Q1779" i="1"/>
  <c r="Q1783" i="1"/>
  <c r="Q1787" i="1"/>
  <c r="Q1895" i="1"/>
  <c r="Q1899" i="1"/>
  <c r="Q1903" i="1"/>
  <c r="Q1907" i="1"/>
  <c r="Q1911" i="1"/>
  <c r="Q1915" i="1"/>
  <c r="Q1919" i="1"/>
  <c r="Q1923" i="1"/>
  <c r="Q1927" i="1"/>
  <c r="Q1931" i="1"/>
  <c r="Q1935" i="1"/>
  <c r="Q1939" i="1"/>
  <c r="Q1943" i="1"/>
  <c r="Q1947" i="1"/>
  <c r="Q1951" i="1"/>
  <c r="Q1955" i="1"/>
  <c r="Q1959" i="1"/>
  <c r="Q1963" i="1"/>
  <c r="Q1967" i="1"/>
  <c r="Q1971" i="1"/>
  <c r="Q1975" i="1"/>
  <c r="Q1979" i="1"/>
  <c r="Q1983" i="1"/>
  <c r="Q1987" i="1"/>
  <c r="Q1991" i="1"/>
  <c r="Q1995" i="1"/>
  <c r="Q1999" i="1"/>
  <c r="Q2003" i="1"/>
  <c r="Q2007" i="1"/>
  <c r="Q2011" i="1"/>
  <c r="Q2015" i="1"/>
  <c r="Q2019" i="1"/>
  <c r="Q2023" i="1"/>
  <c r="Q2027" i="1"/>
  <c r="Q2031" i="1"/>
  <c r="Q2035" i="1"/>
  <c r="Q2039" i="1"/>
  <c r="Q2043" i="1"/>
  <c r="Q2047" i="1"/>
  <c r="Q2051" i="1"/>
  <c r="Q2055" i="1"/>
  <c r="Q2059" i="1"/>
  <c r="Q2063" i="1"/>
  <c r="Q2067" i="1"/>
  <c r="Q2071" i="1"/>
  <c r="Q2075" i="1"/>
  <c r="Q2079" i="1"/>
  <c r="Q2083" i="1"/>
  <c r="Q2087" i="1"/>
  <c r="Q2091" i="1"/>
  <c r="Q2095" i="1"/>
  <c r="Q2099" i="1"/>
  <c r="Q2103" i="1"/>
  <c r="Q2107" i="1"/>
  <c r="Q1354" i="1"/>
  <c r="Q1358" i="1"/>
  <c r="Q1362" i="1"/>
  <c r="Q1366" i="1"/>
  <c r="Q1370" i="1"/>
  <c r="Q1374" i="1"/>
  <c r="Q1378" i="1"/>
  <c r="Q1382" i="1"/>
  <c r="Q1386" i="1"/>
  <c r="Q1390" i="1"/>
  <c r="Q1394" i="1"/>
  <c r="Q1398" i="1"/>
  <c r="Q1402" i="1"/>
  <c r="Q1406" i="1"/>
  <c r="Q1410" i="1"/>
  <c r="Q1414" i="1"/>
  <c r="Q1418" i="1"/>
  <c r="Q1422" i="1"/>
  <c r="Q1426" i="1"/>
  <c r="Q1430" i="1"/>
  <c r="Q1434" i="1"/>
  <c r="Q1438" i="1"/>
  <c r="Q1442" i="1"/>
  <c r="Q1446" i="1"/>
  <c r="Q1450" i="1"/>
  <c r="Q1454" i="1"/>
  <c r="Q1458" i="1"/>
  <c r="Q1462" i="1"/>
  <c r="Q1466" i="1"/>
  <c r="Q1470" i="1"/>
  <c r="Q1474" i="1"/>
  <c r="Q1478" i="1"/>
  <c r="Q1482" i="1"/>
  <c r="Q1486" i="1"/>
  <c r="Q1490" i="1"/>
  <c r="Q1494" i="1"/>
  <c r="Q1498" i="1"/>
  <c r="Q1502" i="1"/>
  <c r="Q1506" i="1"/>
  <c r="Q1510" i="1"/>
  <c r="Q1514" i="1"/>
  <c r="Q1518" i="1"/>
  <c r="Q1522" i="1"/>
  <c r="Q1526" i="1"/>
  <c r="Q1530" i="1"/>
  <c r="Q1534" i="1"/>
  <c r="Q1538" i="1"/>
  <c r="Q1542" i="1"/>
  <c r="Q1546" i="1"/>
  <c r="Q1550" i="1"/>
  <c r="Q1554" i="1"/>
  <c r="Q1558" i="1"/>
  <c r="Q1562" i="1"/>
  <c r="Q1566" i="1"/>
  <c r="Q1570" i="1"/>
  <c r="Q1574" i="1"/>
  <c r="Q1578" i="1"/>
  <c r="Q1582" i="1"/>
  <c r="Q1586" i="1"/>
  <c r="Q1590" i="1"/>
  <c r="Q1594" i="1"/>
  <c r="Q1598" i="1"/>
  <c r="Q649" i="1"/>
  <c r="Q653" i="1"/>
  <c r="Q657" i="1"/>
  <c r="Q661" i="1"/>
  <c r="Q665" i="1"/>
  <c r="Q669" i="1"/>
  <c r="Q673" i="1"/>
  <c r="Q677" i="1"/>
  <c r="Q681" i="1"/>
  <c r="Q685" i="1"/>
  <c r="Q689" i="1"/>
  <c r="Q693" i="1"/>
  <c r="Q697" i="1"/>
  <c r="Q701" i="1"/>
  <c r="Q705" i="1"/>
  <c r="Q709" i="1"/>
  <c r="Q713" i="1"/>
  <c r="Q717" i="1"/>
  <c r="Q721" i="1"/>
  <c r="Q725" i="1"/>
  <c r="Q729" i="1"/>
  <c r="Q733" i="1"/>
  <c r="Q737" i="1"/>
  <c r="Q741" i="1"/>
  <c r="Q745" i="1"/>
  <c r="Q749" i="1"/>
  <c r="Q753" i="1"/>
  <c r="Q757" i="1"/>
  <c r="Q761" i="1"/>
  <c r="Q765" i="1"/>
  <c r="Q769" i="1"/>
  <c r="Q773" i="1"/>
  <c r="Q777" i="1"/>
  <c r="Q781" i="1"/>
  <c r="Q785" i="1"/>
  <c r="Q789" i="1"/>
  <c r="Q793" i="1"/>
  <c r="Q797" i="1"/>
  <c r="Q801" i="1"/>
  <c r="Q805" i="1"/>
  <c r="Q809" i="1"/>
  <c r="Q813" i="1"/>
  <c r="Q817" i="1"/>
  <c r="Q821" i="1"/>
  <c r="Q825" i="1"/>
  <c r="Q829" i="1"/>
  <c r="Q833" i="1"/>
  <c r="Q837" i="1"/>
  <c r="Q841" i="1"/>
  <c r="Q845" i="1"/>
  <c r="Q849" i="1"/>
  <c r="Q853" i="1"/>
  <c r="Q857" i="1"/>
  <c r="Q861" i="1"/>
  <c r="Q949" i="1"/>
  <c r="Q952" i="1"/>
  <c r="Q956" i="1"/>
  <c r="Q960" i="1"/>
  <c r="Q964" i="1"/>
  <c r="Q968" i="1"/>
  <c r="Q972" i="1"/>
  <c r="Q976" i="1"/>
  <c r="Q980" i="1"/>
  <c r="Q984" i="1"/>
  <c r="Q988" i="1"/>
  <c r="Q992" i="1"/>
  <c r="Q996" i="1"/>
  <c r="Q1000" i="1"/>
  <c r="Q1004" i="1"/>
  <c r="Q1008" i="1"/>
  <c r="Q1012" i="1"/>
  <c r="Q1016" i="1"/>
  <c r="Q1020" i="1"/>
  <c r="Q1024" i="1"/>
  <c r="Q1028" i="1"/>
  <c r="Q1032" i="1"/>
  <c r="Q1036" i="1"/>
  <c r="Q1040" i="1"/>
  <c r="Q1044" i="1"/>
  <c r="Q1048" i="1"/>
  <c r="Q1053" i="1"/>
  <c r="Q1057" i="1"/>
  <c r="Q1061" i="1"/>
  <c r="Q1065" i="1"/>
  <c r="Q1069" i="1"/>
  <c r="Q1073" i="1"/>
  <c r="Q1077" i="1"/>
  <c r="Q1081" i="1"/>
  <c r="Q1085" i="1"/>
  <c r="Q1089" i="1"/>
  <c r="Q1093" i="1"/>
  <c r="Q1097" i="1"/>
  <c r="Q1101" i="1"/>
  <c r="Q1105" i="1"/>
  <c r="Q1109" i="1"/>
  <c r="Q1113" i="1"/>
  <c r="Q1117" i="1"/>
  <c r="Q1121" i="1"/>
  <c r="Q1125" i="1"/>
  <c r="Q1129" i="1"/>
  <c r="Q1133" i="1"/>
  <c r="Q1136" i="1"/>
  <c r="Q2111" i="1"/>
  <c r="Q2115" i="1"/>
  <c r="Q2119" i="1"/>
  <c r="Q2123" i="1"/>
  <c r="Q2127" i="1"/>
  <c r="Q2131" i="1"/>
  <c r="Q2135" i="1"/>
  <c r="Q2139" i="1"/>
  <c r="Q2143" i="1"/>
  <c r="Q2147" i="1"/>
  <c r="Q2151" i="1"/>
  <c r="Q2155" i="1"/>
  <c r="Q2159" i="1"/>
  <c r="Q2163" i="1"/>
  <c r="Q2167" i="1"/>
  <c r="Q2171" i="1"/>
  <c r="Q2175" i="1"/>
  <c r="Q2179" i="1"/>
  <c r="Q2183" i="1"/>
  <c r="Q2187" i="1"/>
  <c r="Q2191" i="1"/>
  <c r="Q2195" i="1"/>
  <c r="Q2199" i="1"/>
  <c r="Q2203" i="1"/>
  <c r="Q2207" i="1"/>
  <c r="Q2211" i="1"/>
  <c r="Q2215" i="1"/>
  <c r="Q2219" i="1"/>
  <c r="Q2223" i="1"/>
  <c r="Q2227" i="1"/>
  <c r="Q2231" i="1"/>
  <c r="Q2235" i="1"/>
  <c r="Q2239" i="1"/>
  <c r="Q2243" i="1"/>
  <c r="Q2247" i="1"/>
  <c r="Q2251" i="1"/>
  <c r="Q2255" i="1"/>
  <c r="Q2259" i="1"/>
  <c r="Q2371" i="1"/>
  <c r="Q2375" i="1"/>
  <c r="Q2379" i="1"/>
  <c r="Q2383" i="1"/>
  <c r="Q2387" i="1"/>
  <c r="Q2391" i="1"/>
  <c r="Q2395" i="1"/>
  <c r="Q2399" i="1"/>
  <c r="Q2403" i="1"/>
  <c r="Q2407" i="1"/>
  <c r="Q2411" i="1"/>
  <c r="Q2415" i="1"/>
  <c r="Q2419" i="1"/>
  <c r="Q2423" i="1"/>
  <c r="Q2427" i="1"/>
  <c r="Q2431" i="1"/>
  <c r="Q2435" i="1"/>
  <c r="Q2439" i="1"/>
  <c r="Q2443" i="1"/>
  <c r="Q2447" i="1"/>
  <c r="Q2451" i="1"/>
  <c r="Q2455" i="1"/>
  <c r="Q2459" i="1"/>
  <c r="Q2463" i="1"/>
  <c r="Q2543" i="1"/>
  <c r="Q2547" i="1"/>
  <c r="Q2551" i="1"/>
  <c r="Q2555" i="1"/>
  <c r="Q2559" i="1"/>
  <c r="Q2563" i="1"/>
  <c r="Q2567" i="1"/>
  <c r="Q2571" i="1"/>
  <c r="Q2575" i="1"/>
  <c r="Q2579" i="1"/>
  <c r="Q2583" i="1"/>
  <c r="Q2587" i="1"/>
  <c r="Q2591" i="1"/>
  <c r="Q2711" i="1"/>
  <c r="Q2715" i="1"/>
  <c r="Q2719" i="1"/>
  <c r="Q2723" i="1"/>
  <c r="Q2727" i="1"/>
  <c r="Q2731" i="1"/>
  <c r="Q2735" i="1"/>
  <c r="Q2739" i="1"/>
  <c r="Q2743" i="1"/>
  <c r="Q2747" i="1"/>
  <c r="Q2751" i="1"/>
  <c r="Q2755" i="1"/>
  <c r="Q2759" i="1"/>
  <c r="Q2763" i="1"/>
  <c r="Q1602" i="1"/>
  <c r="Q1606" i="1"/>
  <c r="Q1610" i="1"/>
  <c r="Q1614" i="1"/>
  <c r="Q1618" i="1"/>
  <c r="Q1622" i="1"/>
  <c r="Q1626" i="1"/>
  <c r="Q1630" i="1"/>
  <c r="Q1634" i="1"/>
  <c r="Q1638" i="1"/>
  <c r="Q1642" i="1"/>
  <c r="Q1646" i="1"/>
  <c r="Q1650" i="1"/>
  <c r="Q1654" i="1"/>
  <c r="Q1658" i="1"/>
  <c r="Q1662" i="1"/>
  <c r="Q1666" i="1"/>
  <c r="Q1670" i="1"/>
  <c r="Q1674" i="1"/>
  <c r="Q1678" i="1"/>
  <c r="Q1682" i="1"/>
  <c r="Q1686" i="1"/>
  <c r="Q1690" i="1"/>
  <c r="Q1694" i="1"/>
  <c r="Q1698" i="1"/>
  <c r="Q1702" i="1"/>
  <c r="Q1706" i="1"/>
  <c r="Q1710" i="1"/>
  <c r="Q1714" i="1"/>
  <c r="Q1718" i="1"/>
  <c r="Q1722" i="1"/>
  <c r="Q1726" i="1"/>
  <c r="Q1730" i="1"/>
  <c r="Q1734" i="1"/>
  <c r="Q1738" i="1"/>
  <c r="Q1742" i="1"/>
  <c r="Q1746" i="1"/>
  <c r="Q1750" i="1"/>
  <c r="Q1754" i="1"/>
  <c r="Q1758" i="1"/>
  <c r="Q1762" i="1"/>
  <c r="Q1766" i="1"/>
  <c r="Q1770" i="1"/>
  <c r="Q1774" i="1"/>
  <c r="Q1778" i="1"/>
  <c r="Q1782" i="1"/>
  <c r="Q1786" i="1"/>
  <c r="Q1966" i="1"/>
  <c r="Q1970" i="1"/>
  <c r="Q1974" i="1"/>
  <c r="Q1978" i="1"/>
  <c r="Q1982" i="1"/>
  <c r="Q1986" i="1"/>
  <c r="Q1990" i="1"/>
  <c r="Q1994" i="1"/>
  <c r="Q1998" i="1"/>
  <c r="Q2002" i="1"/>
  <c r="Q2006" i="1"/>
  <c r="Q2010" i="1"/>
  <c r="Q2014" i="1"/>
  <c r="Q2018" i="1"/>
  <c r="Q2022" i="1"/>
  <c r="Q2026" i="1"/>
  <c r="Q2174" i="1"/>
  <c r="Q2178" i="1"/>
  <c r="Q2182" i="1"/>
  <c r="Q2186" i="1"/>
  <c r="Q2190" i="1"/>
  <c r="Q2194" i="1"/>
  <c r="Q2198" i="1"/>
  <c r="Q2202" i="1"/>
  <c r="Q2206" i="1"/>
  <c r="Q2210" i="1"/>
  <c r="Q2214" i="1"/>
  <c r="Q2218" i="1"/>
  <c r="Q2222" i="1"/>
  <c r="Q2226" i="1"/>
  <c r="Q2230" i="1"/>
  <c r="Q2234" i="1"/>
  <c r="Q2238" i="1"/>
  <c r="Q2242" i="1"/>
  <c r="Q2246" i="1"/>
  <c r="Q2250" i="1"/>
  <c r="Q2254" i="1"/>
  <c r="Q2258" i="1"/>
  <c r="Q1788" i="1"/>
  <c r="Q1792" i="1"/>
  <c r="Q1796" i="1"/>
  <c r="Q1800" i="1"/>
  <c r="Q1804" i="1"/>
  <c r="Q1808" i="1"/>
  <c r="Q1812" i="1"/>
  <c r="Q1816" i="1"/>
  <c r="Q1820" i="1"/>
  <c r="Q1824" i="1"/>
  <c r="Q1828" i="1"/>
  <c r="Q1832" i="1"/>
  <c r="Q1836" i="1"/>
  <c r="Q1840" i="1"/>
  <c r="Q1844" i="1"/>
  <c r="Q1848" i="1"/>
  <c r="Q1852" i="1"/>
  <c r="Q1856" i="1"/>
  <c r="Q1860" i="1"/>
  <c r="Q1864" i="1"/>
  <c r="Q1868" i="1"/>
  <c r="Q1872" i="1"/>
  <c r="Q1876" i="1"/>
  <c r="Q1880" i="1"/>
  <c r="Q1884" i="1"/>
  <c r="Q1888" i="1"/>
  <c r="Q1892" i="1"/>
  <c r="Q2260" i="1"/>
  <c r="Q2264" i="1"/>
  <c r="Q2268" i="1"/>
  <c r="Q2272" i="1"/>
  <c r="Q2276" i="1"/>
  <c r="Q2280" i="1"/>
  <c r="Q2284" i="1"/>
  <c r="Q2288" i="1"/>
  <c r="Q2292" i="1"/>
  <c r="Q2296" i="1"/>
  <c r="Q2300" i="1"/>
  <c r="Q2304" i="1"/>
  <c r="Q2308" i="1"/>
  <c r="Q2312" i="1"/>
  <c r="Q2316" i="1"/>
  <c r="Q2320" i="1"/>
  <c r="Q2324" i="1"/>
  <c r="Q2328" i="1"/>
  <c r="Q2332" i="1"/>
  <c r="Q2336" i="1"/>
  <c r="Q2340" i="1"/>
  <c r="Q2344" i="1"/>
  <c r="Q2348" i="1"/>
  <c r="Q2352" i="1"/>
  <c r="Q2356" i="1"/>
  <c r="Q2360" i="1"/>
  <c r="Q2446" i="1"/>
  <c r="Q2450" i="1"/>
  <c r="Q2454" i="1"/>
  <c r="Q2458" i="1"/>
  <c r="Q2462" i="1"/>
  <c r="Q2893" i="1"/>
  <c r="Q2897" i="1"/>
  <c r="Q2901" i="1"/>
  <c r="Q2905" i="1"/>
  <c r="Q2909" i="1"/>
  <c r="Q2913" i="1"/>
  <c r="Q2917" i="1"/>
  <c r="Q2921" i="1"/>
  <c r="Q2925" i="1"/>
  <c r="Q2929" i="1"/>
  <c r="Q2933" i="1"/>
  <c r="Q2937" i="1"/>
  <c r="Q2941" i="1"/>
  <c r="Q2945" i="1"/>
  <c r="Q2949" i="1"/>
  <c r="Q2953" i="1"/>
  <c r="Q2957" i="1"/>
  <c r="Q2961" i="1"/>
  <c r="Q2965" i="1"/>
  <c r="Q2969" i="1"/>
  <c r="Q2973" i="1"/>
  <c r="Q2977" i="1"/>
  <c r="Q2981" i="1"/>
  <c r="Q2985" i="1"/>
  <c r="Q2989" i="1"/>
  <c r="Q2993" i="1"/>
  <c r="Q2997" i="1"/>
  <c r="Q3001" i="1"/>
  <c r="Q3153" i="1"/>
  <c r="Q3157" i="1"/>
  <c r="Q3161" i="1"/>
  <c r="Q3165" i="1"/>
  <c r="Q3233" i="1"/>
  <c r="Q3237" i="1"/>
  <c r="Q3241" i="1"/>
  <c r="Q3245" i="1"/>
  <c r="Q3249" i="1"/>
  <c r="Q2364" i="1"/>
  <c r="Q2368" i="1"/>
  <c r="Q2468" i="1"/>
  <c r="Q2472" i="1"/>
  <c r="Q2476" i="1"/>
  <c r="Q2480" i="1"/>
  <c r="Q2484" i="1"/>
  <c r="Q2488" i="1"/>
  <c r="Q2492" i="1"/>
  <c r="Q2496" i="1"/>
  <c r="Q2500" i="1"/>
  <c r="Q2504" i="1"/>
  <c r="Q2508" i="1"/>
  <c r="Q2512" i="1"/>
  <c r="Q2516" i="1"/>
  <c r="Q2520" i="1"/>
  <c r="Q2524" i="1"/>
  <c r="Q2528" i="1"/>
  <c r="Q2532" i="1"/>
  <c r="Q2536" i="1"/>
  <c r="Q2596" i="1"/>
  <c r="Q2600" i="1"/>
  <c r="Q2604" i="1"/>
  <c r="Q2608" i="1"/>
  <c r="Q2612" i="1"/>
  <c r="Q2616" i="1"/>
  <c r="Q2620" i="1"/>
  <c r="Q2624" i="1"/>
  <c r="Q2628" i="1"/>
  <c r="Q2632" i="1"/>
  <c r="Q2636" i="1"/>
  <c r="Q2640" i="1"/>
  <c r="Q2644" i="1"/>
  <c r="Q2648" i="1"/>
  <c r="Q2652" i="1"/>
  <c r="Q2656" i="1"/>
  <c r="Q2660" i="1"/>
  <c r="Q2664" i="1"/>
  <c r="Q2668" i="1"/>
  <c r="Q2672" i="1"/>
  <c r="Q2676" i="1"/>
  <c r="Q2680" i="1"/>
  <c r="Q2684" i="1"/>
  <c r="Q2688" i="1"/>
  <c r="Q2692" i="1"/>
  <c r="Q2696" i="1"/>
  <c r="Q2700" i="1"/>
  <c r="Q2704" i="1"/>
  <c r="Q2708" i="1"/>
  <c r="Q2896" i="1"/>
  <c r="Q2900" i="1"/>
  <c r="Q2904" i="1"/>
  <c r="Q2908" i="1"/>
  <c r="Q2912" i="1"/>
  <c r="Q2916" i="1"/>
  <c r="Q2920" i="1"/>
  <c r="Q2924" i="1"/>
  <c r="Q2928" i="1"/>
  <c r="Q2932" i="1"/>
  <c r="Q2936" i="1"/>
  <c r="Q2940" i="1"/>
  <c r="Q2944" i="1"/>
  <c r="Q2948" i="1"/>
  <c r="Q2952" i="1"/>
  <c r="Q2956" i="1"/>
  <c r="Q2960" i="1"/>
  <c r="Q2964" i="1"/>
  <c r="Q2968" i="1"/>
  <c r="Q2972" i="1"/>
  <c r="Q2976" i="1"/>
  <c r="Q2980" i="1"/>
  <c r="Q2984" i="1"/>
  <c r="Q2988" i="1"/>
  <c r="Q2992" i="1"/>
  <c r="Q2996" i="1"/>
  <c r="Q3000" i="1"/>
  <c r="Q3152" i="1"/>
  <c r="Q3156" i="1"/>
  <c r="Q3160" i="1"/>
  <c r="Q3164" i="1"/>
  <c r="Q3232" i="1"/>
  <c r="Q3236" i="1"/>
  <c r="Q3240" i="1"/>
  <c r="Q3244" i="1"/>
  <c r="Q3248" i="1"/>
  <c r="Q2767" i="1"/>
  <c r="Q2771" i="1"/>
  <c r="Q2775" i="1"/>
  <c r="Q2779" i="1"/>
  <c r="Q2783" i="1"/>
  <c r="Q2787" i="1"/>
  <c r="Q2791" i="1"/>
  <c r="Q2795" i="1"/>
  <c r="Q2799" i="1"/>
  <c r="Q2803" i="1"/>
  <c r="Q2807" i="1"/>
  <c r="Q2811" i="1"/>
  <c r="Q2815" i="1"/>
  <c r="Q2819" i="1"/>
  <c r="Q2823" i="1"/>
  <c r="Q2827" i="1"/>
  <c r="Q2831" i="1"/>
  <c r="Q2835" i="1"/>
  <c r="Q2839" i="1"/>
  <c r="Q2843" i="1"/>
  <c r="Q2847" i="1"/>
  <c r="Q2851" i="1"/>
  <c r="Q2855" i="1"/>
  <c r="Q2859" i="1"/>
  <c r="Q2863" i="1"/>
  <c r="Q2867" i="1"/>
  <c r="Q2871" i="1"/>
  <c r="Q2875" i="1"/>
  <c r="Q2879" i="1"/>
  <c r="Q2883" i="1"/>
  <c r="Q2887" i="1"/>
  <c r="Q2891" i="1"/>
  <c r="Q3007" i="1"/>
  <c r="Q3011" i="1"/>
  <c r="Q3015" i="1"/>
  <c r="Q3019" i="1"/>
  <c r="Q3023" i="1"/>
  <c r="Q3027" i="1"/>
  <c r="Q3031" i="1"/>
  <c r="Q3035" i="1"/>
  <c r="Q3039" i="1"/>
  <c r="Q3043" i="1"/>
  <c r="Q3047" i="1"/>
  <c r="Q3051" i="1"/>
  <c r="Q3055" i="1"/>
  <c r="Q3059" i="1"/>
  <c r="Q3063" i="1"/>
  <c r="Q3067" i="1"/>
  <c r="Q3071" i="1"/>
  <c r="Q3075" i="1"/>
  <c r="Q3079" i="1"/>
  <c r="Q3083" i="1"/>
  <c r="Q3087" i="1"/>
  <c r="Q3091" i="1"/>
  <c r="Q3095" i="1"/>
  <c r="Q3099" i="1"/>
  <c r="Q3103" i="1"/>
  <c r="Q3107" i="1"/>
  <c r="Q3111" i="1"/>
  <c r="Q3115" i="1"/>
  <c r="Q3119" i="1"/>
  <c r="Q3123" i="1"/>
  <c r="Q3127" i="1"/>
  <c r="Q3131" i="1"/>
  <c r="Q3135" i="1"/>
  <c r="Q3139" i="1"/>
  <c r="Q3143" i="1"/>
  <c r="Q3147" i="1"/>
  <c r="Q3167" i="1"/>
  <c r="Q3171" i="1"/>
  <c r="Q3175" i="1"/>
  <c r="Q3179" i="1"/>
  <c r="Q3183" i="1"/>
  <c r="Q3187" i="1"/>
  <c r="Q3191" i="1"/>
  <c r="Q3195" i="1"/>
  <c r="Q3199" i="1"/>
  <c r="Q3203" i="1"/>
  <c r="Q3207" i="1"/>
  <c r="Q3211" i="1"/>
  <c r="Q3215" i="1"/>
  <c r="Q3219" i="1"/>
  <c r="Q3223" i="1"/>
  <c r="Q3227" i="1"/>
  <c r="Q3251" i="1"/>
  <c r="Q3" i="1"/>
  <c r="Q11" i="1"/>
  <c r="Q19" i="1"/>
  <c r="Q23" i="1"/>
  <c r="Q31" i="1"/>
  <c r="Q39" i="1"/>
  <c r="Q43" i="1"/>
  <c r="Q51" i="1"/>
  <c r="Q63" i="1"/>
  <c r="Q67" i="1"/>
  <c r="Q75" i="1"/>
  <c r="Q83" i="1"/>
  <c r="Q87" i="1"/>
  <c r="Q91" i="1"/>
  <c r="Q127" i="1"/>
  <c r="Q167" i="1"/>
  <c r="Q183" i="1"/>
  <c r="Q191" i="1"/>
  <c r="Q195" i="1"/>
  <c r="Q207" i="1"/>
  <c r="Q211" i="1"/>
  <c r="Q227" i="1"/>
  <c r="Q235" i="1"/>
  <c r="Q251" i="1"/>
  <c r="Q7" i="1"/>
  <c r="Q55" i="1"/>
  <c r="Q59" i="1"/>
  <c r="Q95" i="1"/>
  <c r="Q99" i="1"/>
  <c r="Q107" i="1"/>
  <c r="Q111" i="1"/>
  <c r="Q119" i="1"/>
  <c r="Q123" i="1"/>
  <c r="Q131" i="1"/>
  <c r="Q139" i="1"/>
  <c r="Q147" i="1"/>
  <c r="Q151" i="1"/>
  <c r="Q159" i="1"/>
  <c r="Q171" i="1"/>
  <c r="Q175" i="1"/>
  <c r="Q203" i="1"/>
  <c r="Q219" i="1"/>
  <c r="Q231" i="1"/>
  <c r="Q239" i="1"/>
  <c r="Q247" i="1"/>
  <c r="Q255" i="1"/>
  <c r="Q263" i="1"/>
  <c r="Q15" i="1"/>
  <c r="Q27" i="1"/>
  <c r="Q35" i="1"/>
  <c r="Q47" i="1"/>
  <c r="Q71" i="1"/>
  <c r="Q79" i="1"/>
  <c r="Q103" i="1"/>
  <c r="Q115" i="1"/>
  <c r="Q135" i="1"/>
  <c r="Q143" i="1"/>
  <c r="Q155" i="1"/>
  <c r="Q163" i="1"/>
  <c r="Q179" i="1"/>
  <c r="Q187" i="1"/>
  <c r="Q199" i="1"/>
  <c r="Q215" i="1"/>
  <c r="Q223" i="1"/>
  <c r="Q243" i="1"/>
  <c r="Q259" i="1"/>
  <c r="Q283" i="1"/>
  <c r="Q307" i="1"/>
  <c r="Q591" i="1"/>
  <c r="Q611" i="1"/>
  <c r="Q631" i="1"/>
  <c r="Q647" i="1"/>
  <c r="Q663" i="1"/>
  <c r="Q671" i="1"/>
  <c r="Q695" i="1"/>
  <c r="Q723" i="1"/>
  <c r="Q743" i="1"/>
  <c r="Q759" i="1"/>
  <c r="Q771" i="1"/>
  <c r="Q779" i="1"/>
  <c r="Q791" i="1"/>
  <c r="Q811" i="1"/>
  <c r="Q839" i="1"/>
  <c r="Q859" i="1"/>
  <c r="Q871" i="1"/>
  <c r="Q883" i="1"/>
  <c r="Q903" i="1"/>
  <c r="Q911" i="1"/>
  <c r="Q927" i="1"/>
  <c r="Q943" i="1"/>
  <c r="Q2" i="1"/>
  <c r="Q18" i="1"/>
  <c r="Q42" i="1"/>
  <c r="Q50" i="1"/>
  <c r="Q70" i="1"/>
  <c r="Q114" i="1"/>
  <c r="Q166" i="1"/>
  <c r="Q174" i="1"/>
  <c r="Q198" i="1"/>
  <c r="Q218" i="1"/>
  <c r="Q238" i="1"/>
  <c r="Q246" i="1"/>
  <c r="Q250" i="1"/>
  <c r="Q274" i="1"/>
  <c r="Q278" i="1"/>
  <c r="Q286" i="1"/>
  <c r="Q294" i="1"/>
  <c r="Q314" i="1"/>
  <c r="Q1142" i="1"/>
  <c r="Q267" i="1"/>
  <c r="Q271" i="1"/>
  <c r="Q275" i="1"/>
  <c r="Q279" i="1"/>
  <c r="Q287" i="1"/>
  <c r="Q291" i="1"/>
  <c r="Q295" i="1"/>
  <c r="Q299" i="1"/>
  <c r="Q303" i="1"/>
  <c r="Q311" i="1"/>
  <c r="Q315" i="1"/>
  <c r="Q319" i="1"/>
  <c r="Q583" i="1"/>
  <c r="Q587" i="1"/>
  <c r="Q595" i="1"/>
  <c r="Q599" i="1"/>
  <c r="Q603" i="1"/>
  <c r="Q607" i="1"/>
  <c r="Q615" i="1"/>
  <c r="Q619" i="1"/>
  <c r="Q623" i="1"/>
  <c r="Q627" i="1"/>
  <c r="Q635" i="1"/>
  <c r="Q639" i="1"/>
  <c r="Q643" i="1"/>
  <c r="Q651" i="1"/>
  <c r="Q655" i="1"/>
  <c r="Q659" i="1"/>
  <c r="Q667" i="1"/>
  <c r="Q675" i="1"/>
  <c r="Q679" i="1"/>
  <c r="Q683" i="1"/>
  <c r="Q687" i="1"/>
  <c r="Q691" i="1"/>
  <c r="Q699" i="1"/>
  <c r="Q703" i="1"/>
  <c r="Q707" i="1"/>
  <c r="Q711" i="1"/>
  <c r="Q715" i="1"/>
  <c r="Q719" i="1"/>
  <c r="Q727" i="1"/>
  <c r="Q731" i="1"/>
  <c r="Q735" i="1"/>
  <c r="Q739" i="1"/>
  <c r="Q747" i="1"/>
  <c r="Q751" i="1"/>
  <c r="Q755" i="1"/>
  <c r="Q763" i="1"/>
  <c r="Q767" i="1"/>
  <c r="Q775" i="1"/>
  <c r="Q783" i="1"/>
  <c r="Q787" i="1"/>
  <c r="Q795" i="1"/>
  <c r="Q799" i="1"/>
  <c r="Q803" i="1"/>
  <c r="Q807" i="1"/>
  <c r="Q815" i="1"/>
  <c r="Q819" i="1"/>
  <c r="Q823" i="1"/>
  <c r="Q827" i="1"/>
  <c r="Q831" i="1"/>
  <c r="Q835" i="1"/>
  <c r="Q843" i="1"/>
  <c r="Q847" i="1"/>
  <c r="Q851" i="1"/>
  <c r="Q855" i="1"/>
  <c r="Q863" i="1"/>
  <c r="Q867" i="1"/>
  <c r="Q875" i="1"/>
  <c r="Q879" i="1"/>
  <c r="Q887" i="1"/>
  <c r="Q891" i="1"/>
  <c r="Q895" i="1"/>
  <c r="Q899" i="1"/>
  <c r="Q907" i="1"/>
  <c r="Q915" i="1"/>
  <c r="Q919" i="1"/>
  <c r="Q923" i="1"/>
  <c r="Q931" i="1"/>
  <c r="Q935" i="1"/>
  <c r="Q939" i="1"/>
  <c r="Q947" i="1"/>
  <c r="Q1139" i="1"/>
  <c r="Q6" i="1"/>
  <c r="Q10" i="1"/>
  <c r="Q14" i="1"/>
  <c r="Q22" i="1"/>
  <c r="Q26" i="1"/>
  <c r="Q30" i="1"/>
  <c r="Q34" i="1"/>
  <c r="Q38" i="1"/>
  <c r="Q46" i="1"/>
  <c r="Q54" i="1"/>
  <c r="Q58" i="1"/>
  <c r="Q62" i="1"/>
  <c r="Q66" i="1"/>
  <c r="Q74" i="1"/>
  <c r="Q78" i="1"/>
  <c r="Q82" i="1"/>
  <c r="Q86" i="1"/>
  <c r="Q90" i="1"/>
  <c r="Q94" i="1"/>
  <c r="Q98" i="1"/>
  <c r="Q102" i="1"/>
  <c r="Q106" i="1"/>
  <c r="Q110" i="1"/>
  <c r="Q118" i="1"/>
  <c r="Q122" i="1"/>
  <c r="Q126" i="1"/>
  <c r="Q130" i="1"/>
  <c r="Q134" i="1"/>
  <c r="Q138" i="1"/>
  <c r="Q142" i="1"/>
  <c r="Q146" i="1"/>
  <c r="Q150" i="1"/>
  <c r="Q154" i="1"/>
  <c r="Q158" i="1"/>
  <c r="Q162" i="1"/>
  <c r="Q170" i="1"/>
  <c r="Q178" i="1"/>
  <c r="Q182" i="1"/>
  <c r="Q186" i="1"/>
  <c r="Q190" i="1"/>
  <c r="Q194" i="1"/>
  <c r="Q202" i="1"/>
  <c r="Q206" i="1"/>
  <c r="Q210" i="1"/>
  <c r="Q214" i="1"/>
  <c r="Q222" i="1"/>
  <c r="Q226" i="1"/>
  <c r="Q230" i="1"/>
  <c r="Q234" i="1"/>
  <c r="Q242" i="1"/>
  <c r="Q254" i="1"/>
  <c r="Q258" i="1"/>
  <c r="Q262" i="1"/>
  <c r="Q266" i="1"/>
  <c r="Q270" i="1"/>
  <c r="Q282" i="1"/>
  <c r="Q290" i="1"/>
  <c r="Q298" i="1"/>
  <c r="Q302" i="1"/>
  <c r="Q306" i="1"/>
  <c r="Q310" i="1"/>
  <c r="Q318" i="1"/>
  <c r="Q5" i="1"/>
  <c r="Q9" i="1"/>
  <c r="Q13" i="1"/>
  <c r="Q17" i="1"/>
  <c r="Q21" i="1"/>
  <c r="Q25" i="1"/>
  <c r="Q29" i="1"/>
  <c r="Q33" i="1"/>
  <c r="Q37" i="1"/>
  <c r="Q41" i="1"/>
  <c r="Q45" i="1"/>
  <c r="Q49" i="1"/>
  <c r="Q53" i="1"/>
  <c r="Q57" i="1"/>
  <c r="Q61" i="1"/>
  <c r="Q65" i="1"/>
  <c r="Q69" i="1"/>
  <c r="Q73" i="1"/>
  <c r="Q77" i="1"/>
  <c r="Q81" i="1"/>
  <c r="Q85" i="1"/>
  <c r="Q89" i="1"/>
  <c r="Q93" i="1"/>
  <c r="Q97" i="1"/>
  <c r="Q101" i="1"/>
  <c r="Q105" i="1"/>
  <c r="Q109" i="1"/>
  <c r="Q113" i="1"/>
  <c r="Q117" i="1"/>
  <c r="Q121" i="1"/>
  <c r="Q125" i="1"/>
  <c r="Q129" i="1"/>
  <c r="Q133" i="1"/>
  <c r="Q137" i="1"/>
  <c r="Q141" i="1"/>
  <c r="Q145" i="1"/>
  <c r="Q149" i="1"/>
  <c r="Q153" i="1"/>
  <c r="Q157" i="1"/>
  <c r="Q161" i="1"/>
  <c r="Q165" i="1"/>
  <c r="Q169" i="1"/>
  <c r="Q173" i="1"/>
  <c r="Q177" i="1"/>
  <c r="Q181" i="1"/>
  <c r="Q185" i="1"/>
  <c r="Q189" i="1"/>
  <c r="Q193" i="1"/>
  <c r="Q197" i="1"/>
  <c r="Q201" i="1"/>
  <c r="Q205" i="1"/>
  <c r="Q209" i="1"/>
  <c r="Q213" i="1"/>
  <c r="Q217" i="1"/>
  <c r="Q221" i="1"/>
  <c r="Q225" i="1"/>
  <c r="Q229" i="1"/>
  <c r="Q233" i="1"/>
  <c r="Q237" i="1"/>
  <c r="Q241" i="1"/>
  <c r="Q245" i="1"/>
  <c r="Q249" i="1"/>
  <c r="Q253" i="1"/>
  <c r="Q257" i="1"/>
  <c r="Q261" i="1"/>
  <c r="Q265" i="1"/>
  <c r="Q269" i="1"/>
  <c r="Q273" i="1"/>
  <c r="Q277" i="1"/>
  <c r="Q281" i="1"/>
  <c r="Q285" i="1"/>
  <c r="Q289" i="1"/>
  <c r="Q293" i="1"/>
  <c r="Q297" i="1"/>
  <c r="Q301" i="1"/>
  <c r="Q305" i="1"/>
  <c r="Q309" i="1"/>
  <c r="Q313" i="1"/>
  <c r="Q317" i="1"/>
  <c r="Q321" i="1"/>
  <c r="Q325" i="1"/>
  <c r="Q329" i="1"/>
  <c r="Q333" i="1"/>
  <c r="Q337" i="1"/>
  <c r="Q341" i="1"/>
  <c r="Q345" i="1"/>
  <c r="Q349" i="1"/>
  <c r="Q353" i="1"/>
  <c r="Q357" i="1"/>
  <c r="Q361" i="1"/>
  <c r="Q365" i="1"/>
  <c r="Q369" i="1"/>
  <c r="Q373" i="1"/>
  <c r="Q377" i="1"/>
  <c r="Q381" i="1"/>
  <c r="Q385" i="1"/>
  <c r="Q389" i="1"/>
  <c r="Q393" i="1"/>
  <c r="Q397" i="1"/>
  <c r="Q401" i="1"/>
  <c r="Q405" i="1"/>
  <c r="Q409" i="1"/>
  <c r="Q413" i="1"/>
  <c r="Q417" i="1"/>
  <c r="Q421" i="1"/>
  <c r="Q425" i="1"/>
  <c r="Q429" i="1"/>
  <c r="Q433" i="1"/>
  <c r="Q437" i="1"/>
  <c r="Q441" i="1"/>
  <c r="Q445" i="1"/>
  <c r="Q449" i="1"/>
  <c r="Q453" i="1"/>
  <c r="Q457" i="1"/>
  <c r="Q461" i="1"/>
  <c r="Q465" i="1"/>
  <c r="Q469" i="1"/>
  <c r="Q1141" i="1"/>
  <c r="Q1317" i="1"/>
  <c r="Q1321" i="1"/>
  <c r="Q1325" i="1"/>
  <c r="Q1329" i="1"/>
  <c r="Q1333" i="1"/>
  <c r="Q1337" i="1"/>
  <c r="Q1341" i="1"/>
  <c r="Q1345" i="1"/>
  <c r="Q1349" i="1"/>
  <c r="Q1353" i="1"/>
  <c r="Q1357" i="1"/>
  <c r="Q1361" i="1"/>
  <c r="Q1365" i="1"/>
  <c r="Q1369" i="1"/>
  <c r="Q1373" i="1"/>
  <c r="Q1377" i="1"/>
  <c r="Q1381" i="1"/>
  <c r="Q1385" i="1"/>
  <c r="Q1389" i="1"/>
  <c r="Q1393" i="1"/>
  <c r="Q1397" i="1"/>
  <c r="Q1401" i="1"/>
  <c r="Q1405" i="1"/>
  <c r="Q1409" i="1"/>
  <c r="Q1413" i="1"/>
  <c r="Q1417" i="1"/>
  <c r="Q1421" i="1"/>
  <c r="Q1425" i="1"/>
  <c r="Q1429" i="1"/>
  <c r="Q1433" i="1"/>
  <c r="Q1437" i="1"/>
  <c r="Q1441" i="1"/>
  <c r="Q1445" i="1"/>
  <c r="Q1449" i="1"/>
  <c r="Q1453" i="1"/>
  <c r="Q1457" i="1"/>
  <c r="Q1461" i="1"/>
  <c r="Q1465" i="1"/>
  <c r="Q1469" i="1"/>
  <c r="Q1473" i="1"/>
  <c r="Q1477" i="1"/>
  <c r="Q1481" i="1"/>
  <c r="Q1485" i="1"/>
  <c r="Q1489" i="1"/>
  <c r="Q1493" i="1"/>
  <c r="Q1497" i="1"/>
  <c r="Q1501" i="1"/>
  <c r="Q1505" i="1"/>
  <c r="Q1509" i="1"/>
  <c r="Q1513" i="1"/>
  <c r="Q1517" i="1"/>
  <c r="Q1521" i="1"/>
  <c r="Q1525" i="1"/>
  <c r="Q1529" i="1"/>
  <c r="Q1533" i="1"/>
  <c r="Q1537" i="1"/>
  <c r="Q1541" i="1"/>
  <c r="Q1545" i="1"/>
  <c r="Q1549" i="1"/>
  <c r="Q1553" i="1"/>
  <c r="Q1557" i="1"/>
  <c r="Q1561" i="1"/>
  <c r="Q1565" i="1"/>
  <c r="Q1569" i="1"/>
  <c r="Q1573" i="1"/>
  <c r="Q1577" i="1"/>
  <c r="Q1581" i="1"/>
  <c r="Q1585" i="1"/>
  <c r="Q1589" i="1"/>
  <c r="Q1593" i="1"/>
  <c r="Q1597" i="1"/>
  <c r="Q1601" i="1"/>
  <c r="Q1605" i="1"/>
  <c r="Q1609" i="1"/>
  <c r="Q1613" i="1"/>
  <c r="Q1617" i="1"/>
  <c r="Q1621" i="1"/>
  <c r="Q1625" i="1"/>
  <c r="Q1629" i="1"/>
  <c r="Q1633" i="1"/>
  <c r="Q1637" i="1"/>
  <c r="Q1641" i="1"/>
  <c r="Q1645" i="1"/>
  <c r="Q1649" i="1"/>
  <c r="Q1653" i="1"/>
  <c r="Q1657" i="1"/>
  <c r="Q1661" i="1"/>
  <c r="Q1665" i="1"/>
  <c r="Q1669" i="1"/>
  <c r="Q1673" i="1"/>
  <c r="Q1677" i="1"/>
  <c r="Q1681" i="1"/>
  <c r="Q1685" i="1"/>
  <c r="Q1689" i="1"/>
  <c r="Q1693" i="1"/>
  <c r="Q1697" i="1"/>
  <c r="Q1701" i="1"/>
  <c r="Q1705" i="1"/>
  <c r="Q1709" i="1"/>
  <c r="Q1713" i="1"/>
  <c r="Q1717" i="1"/>
  <c r="Q1721" i="1"/>
  <c r="Q1725" i="1"/>
  <c r="Q1729" i="1"/>
  <c r="Q1733" i="1"/>
  <c r="Q1737" i="1"/>
  <c r="Q1741" i="1"/>
  <c r="Q1745" i="1"/>
  <c r="Q1749" i="1"/>
  <c r="Q1753" i="1"/>
  <c r="Q1757" i="1"/>
  <c r="Q1761" i="1"/>
  <c r="Q1765" i="1"/>
  <c r="Q1769" i="1"/>
  <c r="Q1773" i="1"/>
  <c r="Q1777" i="1"/>
  <c r="Q1781" i="1"/>
  <c r="Q1785" i="1"/>
  <c r="Q1897" i="1"/>
  <c r="Q1901" i="1"/>
  <c r="Q1905" i="1"/>
  <c r="Q1909" i="1"/>
  <c r="Q1913" i="1"/>
  <c r="Q1917" i="1"/>
  <c r="Q1921" i="1"/>
  <c r="Q1925" i="1"/>
  <c r="Q1929" i="1"/>
  <c r="Q1933" i="1"/>
  <c r="Q1937" i="1"/>
  <c r="Q1941" i="1"/>
  <c r="Q1945" i="1"/>
  <c r="Q1949" i="1"/>
  <c r="Q1953" i="1"/>
  <c r="Q1957" i="1"/>
  <c r="Q1961" i="1"/>
  <c r="Q1965" i="1"/>
  <c r="Q1969" i="1"/>
  <c r="Q1973" i="1"/>
  <c r="Q1977" i="1"/>
  <c r="Q1981" i="1"/>
  <c r="Q1985" i="1"/>
  <c r="Q1989" i="1"/>
  <c r="Q1993" i="1"/>
  <c r="Q1997" i="1"/>
  <c r="Q2001" i="1"/>
  <c r="Q2005" i="1"/>
  <c r="Q2009" i="1"/>
  <c r="Q2013" i="1"/>
  <c r="Q2017" i="1"/>
  <c r="Q2021" i="1"/>
  <c r="Q2025" i="1"/>
  <c r="Q2029" i="1"/>
  <c r="Q2033" i="1"/>
  <c r="Q2037" i="1"/>
  <c r="Q2041" i="1"/>
  <c r="Q2045" i="1"/>
  <c r="Q2049" i="1"/>
  <c r="Q2053" i="1"/>
  <c r="Q2057" i="1"/>
  <c r="Q2061" i="1"/>
  <c r="Q2065" i="1"/>
  <c r="Q2069" i="1"/>
  <c r="Q2073" i="1"/>
  <c r="Q2077" i="1"/>
  <c r="Q2081" i="1"/>
  <c r="Q2085" i="1"/>
  <c r="Q2089" i="1"/>
  <c r="Q2093" i="1"/>
  <c r="Q2097" i="1"/>
  <c r="Q2101" i="1"/>
  <c r="Q2105" i="1"/>
  <c r="Q2109" i="1"/>
  <c r="Q2113" i="1"/>
  <c r="Q2117" i="1"/>
  <c r="Q2121" i="1"/>
  <c r="Q2125" i="1"/>
  <c r="Q2129" i="1"/>
  <c r="Q2133" i="1"/>
  <c r="Q2137" i="1"/>
  <c r="Q2141" i="1"/>
  <c r="Q2145" i="1"/>
  <c r="Q2149" i="1"/>
  <c r="Q2153" i="1"/>
  <c r="Q2157" i="1"/>
  <c r="Q2161" i="1"/>
  <c r="Q2165" i="1"/>
  <c r="Q2169" i="1"/>
  <c r="Q2173" i="1"/>
  <c r="Q2177" i="1"/>
  <c r="Q2181" i="1"/>
  <c r="Q2185" i="1"/>
  <c r="Q2189" i="1"/>
  <c r="Q2193" i="1"/>
  <c r="Q2197" i="1"/>
  <c r="Q2201" i="1"/>
  <c r="Q2205" i="1"/>
  <c r="Q2209" i="1"/>
  <c r="Q2213" i="1"/>
  <c r="Q2217" i="1"/>
  <c r="Q2221" i="1"/>
  <c r="Q2225" i="1"/>
  <c r="Q2229" i="1"/>
  <c r="Q2233" i="1"/>
  <c r="Q2237" i="1"/>
  <c r="Q2241" i="1"/>
  <c r="Q2245" i="1"/>
  <c r="Q2249" i="1"/>
  <c r="Q2253" i="1"/>
  <c r="Q2257" i="1"/>
  <c r="Q2373" i="1"/>
  <c r="Q2377" i="1"/>
  <c r="Q2381" i="1"/>
  <c r="Q2385" i="1"/>
  <c r="Q2389" i="1"/>
  <c r="Q2393" i="1"/>
  <c r="Q2397" i="1"/>
  <c r="Q2401" i="1"/>
  <c r="Q2405" i="1"/>
  <c r="Q2409" i="1"/>
  <c r="Q2413" i="1"/>
  <c r="Q2417" i="1"/>
  <c r="Q2421" i="1"/>
  <c r="Q2425" i="1"/>
  <c r="Q2429" i="1"/>
  <c r="Q2433" i="1"/>
  <c r="Q2437" i="1"/>
  <c r="Q2441" i="1"/>
  <c r="Q2445" i="1"/>
  <c r="Q2449" i="1"/>
  <c r="Q2453" i="1"/>
  <c r="Q2457" i="1"/>
  <c r="Q2461" i="1"/>
  <c r="Q2541" i="1"/>
  <c r="Q2545" i="1"/>
  <c r="Q2549" i="1"/>
  <c r="Q2553" i="1"/>
  <c r="Q2557" i="1"/>
  <c r="Q2561" i="1"/>
  <c r="Q2565" i="1"/>
  <c r="Q2569" i="1"/>
  <c r="Q2573" i="1"/>
  <c r="Q2577" i="1"/>
  <c r="Q2581" i="1"/>
  <c r="Q2585" i="1"/>
  <c r="Q2589" i="1"/>
  <c r="Q2593" i="1"/>
  <c r="Q2765" i="1"/>
  <c r="Q2769" i="1"/>
  <c r="Q2773" i="1"/>
  <c r="Q2777" i="1"/>
  <c r="Q2781" i="1"/>
  <c r="Q2785" i="1"/>
  <c r="Q2789" i="1"/>
  <c r="Q2793" i="1"/>
  <c r="Q2797" i="1"/>
  <c r="Q2801" i="1"/>
  <c r="Q2805" i="1"/>
  <c r="Q2809" i="1"/>
  <c r="Q2813" i="1"/>
  <c r="Q2817" i="1"/>
  <c r="Q2821" i="1"/>
  <c r="Q2825" i="1"/>
  <c r="Q2829" i="1"/>
  <c r="Q2833" i="1"/>
  <c r="Q2837" i="1"/>
  <c r="Q2841" i="1"/>
  <c r="Q2845" i="1"/>
  <c r="Q2849" i="1"/>
  <c r="Q2853" i="1"/>
  <c r="Q2857" i="1"/>
  <c r="Q2861" i="1"/>
  <c r="Q2865" i="1"/>
  <c r="Q2869" i="1"/>
  <c r="Q2873" i="1"/>
  <c r="Q2877" i="1"/>
  <c r="Q2881" i="1"/>
  <c r="Q2885" i="1"/>
  <c r="Q2889" i="1"/>
  <c r="Q3005" i="1"/>
  <c r="Q3009" i="1"/>
  <c r="Q3013" i="1"/>
  <c r="Q3017" i="1"/>
  <c r="Q3021" i="1"/>
  <c r="Q3025" i="1"/>
  <c r="Q3029" i="1"/>
  <c r="Q3033" i="1"/>
  <c r="Q3037" i="1"/>
  <c r="Q3041" i="1"/>
  <c r="Q3045" i="1"/>
  <c r="Q3049" i="1"/>
  <c r="Q3053" i="1"/>
  <c r="Q3057" i="1"/>
  <c r="Q3061" i="1"/>
  <c r="Q3065" i="1"/>
  <c r="Q3069" i="1"/>
  <c r="Q3073" i="1"/>
  <c r="Q3077" i="1"/>
  <c r="Q3081" i="1"/>
  <c r="Q3085" i="1"/>
  <c r="Q3089" i="1"/>
  <c r="Q3093" i="1"/>
  <c r="Q3097" i="1"/>
  <c r="Q3101" i="1"/>
  <c r="Q3105" i="1"/>
  <c r="Q3109" i="1"/>
  <c r="Q3113" i="1"/>
  <c r="Q3117" i="1"/>
  <c r="Q3121" i="1"/>
  <c r="Q3125" i="1"/>
  <c r="Q3129" i="1"/>
  <c r="Q3133" i="1"/>
  <c r="Q3137" i="1"/>
  <c r="Q3141" i="1"/>
  <c r="Q3145" i="1"/>
  <c r="Q3149" i="1"/>
  <c r="Q3169" i="1"/>
  <c r="Q3173" i="1"/>
  <c r="Q3177" i="1"/>
  <c r="Q3181" i="1"/>
  <c r="Q3185" i="1"/>
  <c r="Q3189" i="1"/>
  <c r="Q3193" i="1"/>
  <c r="Q3197" i="1"/>
  <c r="Q3201" i="1"/>
  <c r="Q3205" i="1"/>
  <c r="Q3209" i="1"/>
  <c r="Q3213" i="1"/>
  <c r="Q3217" i="1"/>
  <c r="Q3221" i="1"/>
  <c r="Q3225" i="1"/>
  <c r="Q3229" i="1"/>
  <c r="Q1050" i="1"/>
  <c r="Q1054" i="1"/>
  <c r="Q1058" i="1"/>
  <c r="Q1062" i="1"/>
  <c r="Q1066" i="1"/>
  <c r="Q1070" i="1"/>
  <c r="Q1074" i="1"/>
  <c r="Q1078" i="1"/>
  <c r="Q1082" i="1"/>
  <c r="Q1086" i="1"/>
  <c r="Q1090" i="1"/>
  <c r="Q1094" i="1"/>
  <c r="Q1098" i="1"/>
  <c r="Q1102" i="1"/>
  <c r="Q1106" i="1"/>
  <c r="Q1110" i="1"/>
  <c r="Q1114" i="1"/>
  <c r="Q1118" i="1"/>
  <c r="Q1122" i="1"/>
  <c r="Q1126" i="1"/>
  <c r="Q1130" i="1"/>
  <c r="Q1138" i="1"/>
  <c r="Q1148" i="1"/>
  <c r="Q1152" i="1"/>
  <c r="Q1156" i="1"/>
  <c r="Q1160" i="1"/>
  <c r="Q1164" i="1"/>
  <c r="Q1168" i="1"/>
  <c r="Q1172" i="1"/>
  <c r="Q1176" i="1"/>
  <c r="Q1180" i="1"/>
  <c r="Q1184" i="1"/>
  <c r="Q1188" i="1"/>
  <c r="Q1192" i="1"/>
  <c r="Q1196" i="1"/>
  <c r="Q1200" i="1"/>
  <c r="Q1204" i="1"/>
  <c r="Q1208" i="1"/>
  <c r="Q1212" i="1"/>
  <c r="Q1216" i="1"/>
  <c r="Q1220" i="1"/>
  <c r="Q1224" i="1"/>
  <c r="Q1228" i="1"/>
  <c r="Q1232" i="1"/>
  <c r="Q1236" i="1"/>
  <c r="Q1240" i="1"/>
  <c r="Q1244" i="1"/>
  <c r="Q1248" i="1"/>
  <c r="Q1252" i="1"/>
  <c r="Q1256" i="1"/>
  <c r="Q1260" i="1"/>
  <c r="Q1264" i="1"/>
  <c r="Q1268" i="1"/>
  <c r="Q1272" i="1"/>
  <c r="Q1276" i="1"/>
  <c r="Q1280" i="1"/>
  <c r="Q1284" i="1"/>
  <c r="Q1288" i="1"/>
  <c r="Q1292" i="1"/>
  <c r="Q1296" i="1"/>
  <c r="Q1300" i="1"/>
  <c r="Q1304" i="1"/>
  <c r="Q1308" i="1"/>
  <c r="Q1312" i="1"/>
  <c r="Q1352" i="1"/>
  <c r="Q1356" i="1"/>
  <c r="Q1360" i="1"/>
  <c r="Q1364" i="1"/>
  <c r="Q1368" i="1"/>
  <c r="Q1372" i="1"/>
  <c r="Q1376" i="1"/>
  <c r="Q1380" i="1"/>
  <c r="Q1384" i="1"/>
  <c r="Q1388" i="1"/>
  <c r="Q1392" i="1"/>
  <c r="Q1396" i="1"/>
  <c r="Q1400" i="1"/>
  <c r="Q1404" i="1"/>
  <c r="Q1408" i="1"/>
  <c r="Q1412" i="1"/>
  <c r="Q1416" i="1"/>
  <c r="Q1420" i="1"/>
  <c r="Q1424" i="1"/>
  <c r="Q1428" i="1"/>
  <c r="Q1432" i="1"/>
  <c r="Q1436" i="1"/>
  <c r="Q1440" i="1"/>
  <c r="Q1444" i="1"/>
  <c r="Q1448" i="1"/>
  <c r="Q1452" i="1"/>
  <c r="Q1456" i="1"/>
  <c r="Q1460" i="1"/>
  <c r="Q1464" i="1"/>
  <c r="Q1468" i="1"/>
  <c r="Q1472" i="1"/>
  <c r="Q1476" i="1"/>
  <c r="Q1480" i="1"/>
  <c r="Q1484" i="1"/>
  <c r="Q1488" i="1"/>
  <c r="Q1492" i="1"/>
  <c r="Q1496" i="1"/>
  <c r="Q1790" i="1"/>
  <c r="Q1794" i="1"/>
  <c r="Q1798" i="1"/>
  <c r="Q1802" i="1"/>
  <c r="Q1806" i="1"/>
  <c r="Q1810" i="1"/>
  <c r="Q1814" i="1"/>
  <c r="Q1818" i="1"/>
  <c r="Q1822" i="1"/>
  <c r="Q1826" i="1"/>
  <c r="Q1830" i="1"/>
  <c r="Q1834" i="1"/>
  <c r="Q1838" i="1"/>
  <c r="Q1842" i="1"/>
  <c r="Q1846" i="1"/>
  <c r="Q1850" i="1"/>
  <c r="Q1854" i="1"/>
  <c r="Q1858" i="1"/>
  <c r="Q1862" i="1"/>
  <c r="Q1866" i="1"/>
  <c r="Q1870" i="1"/>
  <c r="Q1874" i="1"/>
  <c r="Q1878" i="1"/>
  <c r="Q1882" i="1"/>
  <c r="Q1886" i="1"/>
  <c r="Q1890" i="1"/>
  <c r="Q2262" i="1"/>
  <c r="Q2266" i="1"/>
  <c r="Q2270" i="1"/>
  <c r="Q2274" i="1"/>
  <c r="Q2278" i="1"/>
  <c r="Q2282" i="1"/>
  <c r="Q2286" i="1"/>
  <c r="Q2290" i="1"/>
  <c r="Q2294" i="1"/>
  <c r="Q2298" i="1"/>
  <c r="Q2302" i="1"/>
  <c r="Q2306" i="1"/>
  <c r="Q2310" i="1"/>
  <c r="Q2314" i="1"/>
  <c r="Q2318" i="1"/>
  <c r="Q2322" i="1"/>
  <c r="Q2326" i="1"/>
  <c r="Q2330" i="1"/>
  <c r="Q2334" i="1"/>
  <c r="Q2338" i="1"/>
  <c r="Q2342" i="1"/>
  <c r="Q2346" i="1"/>
  <c r="Q2350" i="1"/>
  <c r="Q2354" i="1"/>
  <c r="Q2358" i="1"/>
  <c r="Q2362" i="1"/>
  <c r="Q2366" i="1"/>
  <c r="Q1500" i="1"/>
  <c r="Q1504" i="1"/>
  <c r="Q1508" i="1"/>
  <c r="Q1512" i="1"/>
  <c r="Q1516" i="1"/>
  <c r="Q1520" i="1"/>
  <c r="Q1524" i="1"/>
  <c r="Q1528" i="1"/>
  <c r="Q1532" i="1"/>
  <c r="Q1536" i="1"/>
  <c r="Q1540" i="1"/>
  <c r="Q1544" i="1"/>
  <c r="Q1548" i="1"/>
  <c r="Q1552" i="1"/>
  <c r="Q1556" i="1"/>
  <c r="Q1560" i="1"/>
  <c r="Q1564" i="1"/>
  <c r="Q1568" i="1"/>
  <c r="Q1572" i="1"/>
  <c r="Q1576" i="1"/>
  <c r="Q1580" i="1"/>
  <c r="Q1584" i="1"/>
  <c r="Q1588" i="1"/>
  <c r="Q1592" i="1"/>
  <c r="Q1596" i="1"/>
  <c r="Q1600" i="1"/>
  <c r="Q1604" i="1"/>
  <c r="Q1608" i="1"/>
  <c r="Q1612" i="1"/>
  <c r="Q1616" i="1"/>
  <c r="Q1620" i="1"/>
  <c r="Q1624" i="1"/>
  <c r="Q1628" i="1"/>
  <c r="Q1632" i="1"/>
  <c r="Q1636" i="1"/>
  <c r="Q1640" i="1"/>
  <c r="Q1644" i="1"/>
  <c r="Q1648" i="1"/>
  <c r="Q1652" i="1"/>
  <c r="Q1656" i="1"/>
  <c r="Q1660" i="1"/>
  <c r="Q1664" i="1"/>
  <c r="Q1668" i="1"/>
  <c r="Q1672" i="1"/>
  <c r="Q1676" i="1"/>
  <c r="Q1680" i="1"/>
  <c r="Q1684" i="1"/>
  <c r="Q1688" i="1"/>
  <c r="Q1692" i="1"/>
  <c r="Q1696" i="1"/>
  <c r="Q1700" i="1"/>
  <c r="Q1704" i="1"/>
  <c r="Q1708" i="1"/>
  <c r="Q1712" i="1"/>
  <c r="Q1716" i="1"/>
  <c r="Q1720" i="1"/>
  <c r="Q1724" i="1"/>
  <c r="Q1728" i="1"/>
  <c r="Q1732" i="1"/>
  <c r="Q1736" i="1"/>
  <c r="Q1740" i="1"/>
  <c r="Q1744" i="1"/>
  <c r="Q1748" i="1"/>
  <c r="Q1752" i="1"/>
  <c r="Q1756" i="1"/>
  <c r="Q1760" i="1"/>
  <c r="Q1764" i="1"/>
  <c r="Q1768" i="1"/>
  <c r="Q1772" i="1"/>
  <c r="Q1776" i="1"/>
  <c r="Q1780" i="1"/>
  <c r="Q1784" i="1"/>
  <c r="Q1791" i="1"/>
  <c r="Q1795" i="1"/>
  <c r="Q1799" i="1"/>
  <c r="Q1803" i="1"/>
  <c r="Q1807" i="1"/>
  <c r="Q1811" i="1"/>
  <c r="Q1815" i="1"/>
  <c r="Q1819" i="1"/>
  <c r="Q1823" i="1"/>
  <c r="Q1827" i="1"/>
  <c r="Q1831" i="1"/>
  <c r="Q1835" i="1"/>
  <c r="Q1839" i="1"/>
  <c r="Q1843" i="1"/>
  <c r="Q1847" i="1"/>
  <c r="Q1851" i="1"/>
  <c r="Q1855" i="1"/>
  <c r="Q1859" i="1"/>
  <c r="Q1863" i="1"/>
  <c r="Q1867" i="1"/>
  <c r="Q1871" i="1"/>
  <c r="Q1875" i="1"/>
  <c r="Q1879" i="1"/>
  <c r="Q1883" i="1"/>
  <c r="Q1887" i="1"/>
  <c r="Q1891" i="1"/>
  <c r="Q1968" i="1"/>
  <c r="Q1972" i="1"/>
  <c r="Q1976" i="1"/>
  <c r="Q1980" i="1"/>
  <c r="Q1984" i="1"/>
  <c r="Q1988" i="1"/>
  <c r="Q1992" i="1"/>
  <c r="Q1996" i="1"/>
  <c r="Q2000" i="1"/>
  <c r="Q2004" i="1"/>
  <c r="Q2008" i="1"/>
  <c r="Q2012" i="1"/>
  <c r="Q2016" i="1"/>
  <c r="Q2020" i="1"/>
  <c r="Q2024" i="1"/>
  <c r="Q2028" i="1"/>
  <c r="Q2172" i="1"/>
  <c r="Q2176" i="1"/>
  <c r="Q2180" i="1"/>
  <c r="Q2466" i="1"/>
  <c r="Q2470" i="1"/>
  <c r="Q2474" i="1"/>
  <c r="Q2478" i="1"/>
  <c r="Q2482" i="1"/>
  <c r="Q2486" i="1"/>
  <c r="Q2490" i="1"/>
  <c r="Q2494" i="1"/>
  <c r="Q2498" i="1"/>
  <c r="Q2502" i="1"/>
  <c r="Q2506" i="1"/>
  <c r="Q2510" i="1"/>
  <c r="Q2514" i="1"/>
  <c r="Q2518" i="1"/>
  <c r="Q2522" i="1"/>
  <c r="Q2526" i="1"/>
  <c r="Q2530" i="1"/>
  <c r="Q2534" i="1"/>
  <c r="Q2538" i="1"/>
  <c r="Q2594" i="1"/>
  <c r="Q2598" i="1"/>
  <c r="Q2602" i="1"/>
  <c r="Q2606" i="1"/>
  <c r="Q2610" i="1"/>
  <c r="Q2614" i="1"/>
  <c r="Q2618" i="1"/>
  <c r="Q2622" i="1"/>
  <c r="Q2626" i="1"/>
  <c r="Q2630" i="1"/>
  <c r="Q2634" i="1"/>
  <c r="Q2638" i="1"/>
  <c r="Q2642" i="1"/>
  <c r="Q2646" i="1"/>
  <c r="Q2650" i="1"/>
  <c r="Q2654" i="1"/>
  <c r="Q2658" i="1"/>
  <c r="Q2662" i="1"/>
  <c r="Q2666" i="1"/>
  <c r="Q2670" i="1"/>
  <c r="Q2674" i="1"/>
  <c r="Q2678" i="1"/>
  <c r="Q2682" i="1"/>
  <c r="Q2686" i="1"/>
  <c r="Q2690" i="1"/>
  <c r="Q2694" i="1"/>
  <c r="Q2698" i="1"/>
  <c r="Q2702" i="1"/>
  <c r="Q2706" i="1"/>
  <c r="Q2894" i="1"/>
  <c r="Q2898" i="1"/>
  <c r="Q2902" i="1"/>
  <c r="Q2906" i="1"/>
  <c r="Q2910" i="1"/>
  <c r="Q2914" i="1"/>
  <c r="Q2918" i="1"/>
  <c r="Q2922" i="1"/>
  <c r="Q2926" i="1"/>
  <c r="Q2930" i="1"/>
  <c r="Q2934" i="1"/>
  <c r="Q2938" i="1"/>
  <c r="Q2942" i="1"/>
  <c r="Q2946" i="1"/>
  <c r="Q2950" i="1"/>
  <c r="Q2954" i="1"/>
  <c r="Q2958" i="1"/>
  <c r="Q2962" i="1"/>
  <c r="Q2966" i="1"/>
  <c r="Q2970" i="1"/>
  <c r="Q2974" i="1"/>
  <c r="Q2978" i="1"/>
  <c r="Q2982" i="1"/>
  <c r="Q2986" i="1"/>
  <c r="Q2990" i="1"/>
  <c r="Q2994" i="1"/>
  <c r="Q2998" i="1"/>
  <c r="Q3002" i="1"/>
  <c r="Q3154" i="1"/>
  <c r="Q3158" i="1"/>
  <c r="Q3162" i="1"/>
  <c r="Q3230" i="1"/>
  <c r="Q3234" i="1"/>
  <c r="Q3238" i="1"/>
  <c r="Q3242" i="1"/>
  <c r="Q3246" i="1"/>
  <c r="Q3252" i="1"/>
  <c r="Q2184" i="1"/>
  <c r="Q2188" i="1"/>
  <c r="Q2192" i="1"/>
  <c r="Q2196" i="1"/>
  <c r="Q2200" i="1"/>
  <c r="Q2204" i="1"/>
  <c r="Q2208" i="1"/>
  <c r="Q2212" i="1"/>
  <c r="Q2216" i="1"/>
  <c r="Q2220" i="1"/>
  <c r="Q2224" i="1"/>
  <c r="Q2228" i="1"/>
  <c r="Q2232" i="1"/>
  <c r="Q2236" i="1"/>
  <c r="Q2240" i="1"/>
  <c r="Q2244" i="1"/>
  <c r="Q2248" i="1"/>
  <c r="Q2252" i="1"/>
  <c r="Q2256" i="1"/>
  <c r="Q2263" i="1"/>
  <c r="Q2267" i="1"/>
  <c r="Q2271" i="1"/>
  <c r="Q2275" i="1"/>
  <c r="Q2279" i="1"/>
  <c r="Q2283" i="1"/>
  <c r="Q2287" i="1"/>
  <c r="Q2291" i="1"/>
  <c r="Q2295" i="1"/>
  <c r="Q2299" i="1"/>
  <c r="Q2303" i="1"/>
  <c r="Q2307" i="1"/>
  <c r="Q2311" i="1"/>
  <c r="Q2315" i="1"/>
  <c r="Q2319" i="1"/>
  <c r="Q2323" i="1"/>
  <c r="Q2327" i="1"/>
  <c r="Q2331" i="1"/>
  <c r="Q2335" i="1"/>
  <c r="Q2339" i="1"/>
  <c r="Q2343" i="1"/>
  <c r="Q2347" i="1"/>
  <c r="Q2351" i="1"/>
  <c r="Q2355" i="1"/>
  <c r="Q2359" i="1"/>
  <c r="Q2363" i="1"/>
  <c r="Q2367" i="1"/>
  <c r="Q2444" i="1"/>
  <c r="Q2448" i="1"/>
  <c r="Q2452" i="1"/>
  <c r="Q2456" i="1"/>
  <c r="Q2460" i="1"/>
  <c r="Q2464" i="1"/>
  <c r="Q2467" i="1"/>
  <c r="Q2471" i="1"/>
  <c r="Q2475" i="1"/>
  <c r="Q2479" i="1"/>
  <c r="Q2483" i="1"/>
  <c r="Q2487" i="1"/>
  <c r="Q2491" i="1"/>
  <c r="Q2495" i="1"/>
  <c r="Q2499" i="1"/>
  <c r="Q2503" i="1"/>
  <c r="Q2507" i="1"/>
  <c r="Q2511" i="1"/>
  <c r="Q2515" i="1"/>
  <c r="Q2519" i="1"/>
  <c r="Q2523" i="1"/>
  <c r="Q2527" i="1"/>
  <c r="Q2531" i="1"/>
  <c r="Q2535" i="1"/>
  <c r="Q2539" i="1"/>
  <c r="Q2595" i="1"/>
  <c r="Q2599" i="1"/>
  <c r="Q2603" i="1"/>
  <c r="Q2607" i="1"/>
  <c r="Q2611" i="1"/>
  <c r="Q2615" i="1"/>
  <c r="Q2619" i="1"/>
  <c r="Q2623" i="1"/>
  <c r="Q2627" i="1"/>
  <c r="Q2631" i="1"/>
  <c r="Q2635" i="1"/>
  <c r="Q2639" i="1"/>
  <c r="Q2643" i="1"/>
  <c r="Q2647" i="1"/>
  <c r="Q2651" i="1"/>
  <c r="Q2655" i="1"/>
  <c r="Q2659" i="1"/>
  <c r="Q2663" i="1"/>
  <c r="Q2667" i="1"/>
  <c r="Q2671" i="1"/>
  <c r="Q2675" i="1"/>
  <c r="Q2679" i="1"/>
  <c r="Q2683" i="1"/>
  <c r="Q2687" i="1"/>
  <c r="Q2691" i="1"/>
  <c r="Q2695" i="1"/>
  <c r="Q2699" i="1"/>
  <c r="Q2703" i="1"/>
  <c r="Q2707" i="1"/>
  <c r="Q2712" i="1"/>
  <c r="Q2716" i="1"/>
  <c r="Q2720" i="1"/>
  <c r="Q2724" i="1"/>
  <c r="Q2728" i="1"/>
  <c r="Q2732" i="1"/>
  <c r="Q2736" i="1"/>
  <c r="Q2740" i="1"/>
  <c r="Q2744" i="1"/>
  <c r="Q2748" i="1"/>
  <c r="Q2752" i="1"/>
  <c r="Q2756" i="1"/>
  <c r="Q2760" i="1"/>
  <c r="Q2808" i="1"/>
  <c r="Q2812" i="1"/>
  <c r="Q2816" i="1"/>
  <c r="Q2820" i="1"/>
  <c r="Q2824" i="1"/>
  <c r="Q2828" i="1"/>
  <c r="Q2832" i="1"/>
  <c r="Q2836" i="1"/>
  <c r="Q2840" i="1"/>
  <c r="Q2844" i="1"/>
  <c r="Q2848" i="1"/>
  <c r="Q2852" i="1"/>
  <c r="Q2856" i="1"/>
  <c r="Q2860" i="1"/>
  <c r="Q2864" i="1"/>
  <c r="Q2868" i="1"/>
  <c r="Q2872" i="1"/>
  <c r="Q2876" i="1"/>
  <c r="Q2880" i="1"/>
  <c r="Q2884" i="1"/>
  <c r="Q2888" i="1"/>
  <c r="Q2892" i="1"/>
  <c r="Q2895" i="1"/>
  <c r="Q2899" i="1"/>
  <c r="Q2903" i="1"/>
  <c r="Q2907" i="1"/>
  <c r="Q2911" i="1"/>
  <c r="Q2915" i="1"/>
  <c r="Q2919" i="1"/>
  <c r="Q2923" i="1"/>
  <c r="Q2927" i="1"/>
  <c r="Q2931" i="1"/>
  <c r="Q2935" i="1"/>
  <c r="Q2939" i="1"/>
  <c r="Q2943" i="1"/>
  <c r="Q2947" i="1"/>
  <c r="Q2951" i="1"/>
  <c r="Q2955" i="1"/>
  <c r="Q2959" i="1"/>
  <c r="Q2963" i="1"/>
  <c r="Q2967" i="1"/>
  <c r="Q2971" i="1"/>
  <c r="Q2975" i="1"/>
  <c r="Q2979" i="1"/>
  <c r="Q2983" i="1"/>
  <c r="Q2987" i="1"/>
  <c r="Q2991" i="1"/>
  <c r="Q2995" i="1"/>
  <c r="Q2999" i="1"/>
  <c r="Q3003" i="1"/>
  <c r="Q3048" i="1"/>
  <c r="Q3052" i="1"/>
  <c r="Q3056" i="1"/>
  <c r="Q3060" i="1"/>
  <c r="Q3064" i="1"/>
  <c r="Q3068" i="1"/>
  <c r="Q3072" i="1"/>
  <c r="Q3076" i="1"/>
  <c r="Q3080" i="1"/>
  <c r="Q3116" i="1"/>
  <c r="Q3120" i="1"/>
  <c r="Q3124" i="1"/>
  <c r="Q3128" i="1"/>
  <c r="Q3132" i="1"/>
  <c r="Q3136" i="1"/>
  <c r="Q3140" i="1"/>
  <c r="Q3144" i="1"/>
  <c r="Q3148" i="1"/>
  <c r="Q3151" i="1"/>
  <c r="Q3155" i="1"/>
  <c r="Q3159" i="1"/>
  <c r="Q3163" i="1"/>
  <c r="Q3208" i="1"/>
  <c r="Q3212" i="1"/>
  <c r="Q3216" i="1"/>
  <c r="Q3220" i="1"/>
  <c r="Q3224" i="1"/>
  <c r="Q3228" i="1"/>
  <c r="Q3231" i="1"/>
  <c r="Q3235" i="1"/>
  <c r="Q3239" i="1"/>
  <c r="Q3243" i="1"/>
  <c r="Q3247" i="1"/>
  <c r="Q3355" i="1"/>
  <c r="Q3359" i="1"/>
  <c r="Q3363" i="1"/>
  <c r="Q3367" i="1"/>
  <c r="Q3371" i="1"/>
  <c r="Q3375" i="1"/>
  <c r="Q3379" i="1"/>
  <c r="Q3383" i="1"/>
  <c r="Q3387" i="1"/>
  <c r="Q3391" i="1"/>
  <c r="Q3395" i="1"/>
  <c r="Q3399" i="1"/>
  <c r="Q3403" i="1"/>
  <c r="Q3407" i="1"/>
  <c r="Q3411" i="1"/>
  <c r="Q3415" i="1"/>
  <c r="Q3419" i="1"/>
  <c r="Q3423" i="1"/>
  <c r="Q3427" i="1"/>
  <c r="Q3431" i="1"/>
  <c r="Q3435" i="1"/>
  <c r="Q3439" i="1"/>
  <c r="Q3443" i="1"/>
  <c r="Q3447" i="1"/>
  <c r="Q3451" i="1"/>
  <c r="Q3455" i="1"/>
  <c r="Q3459" i="1"/>
  <c r="Q3463" i="1"/>
  <c r="Q3467" i="1"/>
  <c r="Q3471" i="1"/>
  <c r="Q3475" i="1"/>
  <c r="Q3479" i="1"/>
  <c r="Q3483" i="1"/>
  <c r="Q3487" i="1"/>
  <c r="Q3491" i="1"/>
  <c r="Q3495" i="1"/>
  <c r="Q3499" i="1"/>
  <c r="Q3503" i="1"/>
  <c r="Q3507" i="1"/>
  <c r="Q3511" i="1"/>
  <c r="Q3515" i="1"/>
  <c r="Q3519" i="1"/>
  <c r="Q3523" i="1"/>
  <c r="Q3527" i="1"/>
  <c r="Q3531" i="1"/>
  <c r="Q3535" i="1"/>
  <c r="Q3539" i="1"/>
  <c r="Q3543" i="1"/>
  <c r="Q3547" i="1"/>
  <c r="Q3551" i="1"/>
  <c r="Q3555" i="1"/>
  <c r="Q3559" i="1"/>
  <c r="Q3563" i="1"/>
  <c r="Q3567" i="1"/>
  <c r="Q3571" i="1"/>
  <c r="Q3575" i="1"/>
  <c r="Q3579" i="1"/>
  <c r="Q3583" i="1"/>
  <c r="Q3587" i="1"/>
  <c r="Q323" i="1"/>
  <c r="Q331" i="1"/>
  <c r="Q339" i="1"/>
  <c r="Q351" i="1"/>
  <c r="Q363" i="1"/>
  <c r="Q371" i="1"/>
  <c r="Q379" i="1"/>
  <c r="Q387" i="1"/>
  <c r="Q395" i="1"/>
  <c r="Q407" i="1"/>
  <c r="Q415" i="1"/>
  <c r="Q423" i="1"/>
  <c r="Q431" i="1"/>
  <c r="Q443" i="1"/>
  <c r="Q459" i="1"/>
  <c r="Q471" i="1"/>
  <c r="Q483" i="1"/>
  <c r="Q491" i="1"/>
  <c r="Q495" i="1"/>
  <c r="Q507" i="1"/>
  <c r="Q515" i="1"/>
  <c r="Q523" i="1"/>
  <c r="Q531" i="1"/>
  <c r="Q539" i="1"/>
  <c r="Q551" i="1"/>
  <c r="Q559" i="1"/>
  <c r="Q571" i="1"/>
  <c r="Q575" i="1"/>
  <c r="Q327" i="1"/>
  <c r="Q335" i="1"/>
  <c r="Q343" i="1"/>
  <c r="Q347" i="1"/>
  <c r="Q355" i="1"/>
  <c r="Q359" i="1"/>
  <c r="Q367" i="1"/>
  <c r="Q375" i="1"/>
  <c r="Q383" i="1"/>
  <c r="Q391" i="1"/>
  <c r="Q399" i="1"/>
  <c r="Q403" i="1"/>
  <c r="Q411" i="1"/>
  <c r="Q419" i="1"/>
  <c r="Q427" i="1"/>
  <c r="Q435" i="1"/>
  <c r="Q439" i="1"/>
  <c r="Q447" i="1"/>
  <c r="Q451" i="1"/>
  <c r="Q455" i="1"/>
  <c r="Q463" i="1"/>
  <c r="Q467" i="1"/>
  <c r="Q475" i="1"/>
  <c r="Q479" i="1"/>
  <c r="Q487" i="1"/>
  <c r="Q499" i="1"/>
  <c r="Q503" i="1"/>
  <c r="Q511" i="1"/>
  <c r="Q519" i="1"/>
  <c r="Q527" i="1"/>
  <c r="Q535" i="1"/>
  <c r="Q543" i="1"/>
  <c r="Q547" i="1"/>
  <c r="Q555" i="1"/>
  <c r="Q563" i="1"/>
  <c r="Q567" i="1"/>
  <c r="Q579" i="1"/>
  <c r="Q322" i="1"/>
  <c r="Q326" i="1"/>
  <c r="Q330" i="1"/>
  <c r="Q334" i="1"/>
  <c r="Q338" i="1"/>
  <c r="Q342" i="1"/>
  <c r="Q346" i="1"/>
  <c r="Q350" i="1"/>
  <c r="Q354" i="1"/>
  <c r="Q358" i="1"/>
  <c r="Q362" i="1"/>
  <c r="Q366" i="1"/>
  <c r="Q370" i="1"/>
  <c r="Q374" i="1"/>
  <c r="Q378" i="1"/>
  <c r="Q382" i="1"/>
  <c r="Q386" i="1"/>
  <c r="Q390" i="1"/>
  <c r="Q394" i="1"/>
  <c r="Q398" i="1"/>
  <c r="Q402" i="1"/>
  <c r="Q406" i="1"/>
  <c r="Q410" i="1"/>
  <c r="Q414" i="1"/>
  <c r="Q418" i="1"/>
  <c r="Q422" i="1"/>
  <c r="Q426" i="1"/>
  <c r="Q430" i="1"/>
  <c r="Q434" i="1"/>
  <c r="Q438" i="1"/>
  <c r="Q442" i="1"/>
  <c r="Q446" i="1"/>
  <c r="Q450" i="1"/>
  <c r="Q454" i="1"/>
  <c r="Q458" i="1"/>
  <c r="Q462" i="1"/>
  <c r="Q466" i="1"/>
  <c r="Q470" i="1"/>
  <c r="Q474" i="1"/>
  <c r="Q478" i="1"/>
  <c r="Q482" i="1"/>
  <c r="Q486" i="1"/>
  <c r="Q490" i="1"/>
  <c r="Q494" i="1"/>
  <c r="Q498" i="1"/>
  <c r="Q502" i="1"/>
  <c r="Q506" i="1"/>
  <c r="Q510" i="1"/>
  <c r="Q514" i="1"/>
  <c r="Q518" i="1"/>
  <c r="Q522" i="1"/>
  <c r="Q526" i="1"/>
  <c r="Q530" i="1"/>
  <c r="Q534" i="1"/>
  <c r="Q538" i="1"/>
  <c r="Q542" i="1"/>
  <c r="Q546" i="1"/>
  <c r="Q550" i="1"/>
  <c r="Q554" i="1"/>
  <c r="Q558" i="1"/>
  <c r="Q562" i="1"/>
  <c r="Q566" i="1"/>
  <c r="Q570" i="1"/>
  <c r="Q574" i="1"/>
  <c r="Q578" i="1"/>
  <c r="Q582" i="1"/>
  <c r="Q586" i="1"/>
  <c r="Q590" i="1"/>
  <c r="Q594" i="1"/>
  <c r="Q598" i="1"/>
  <c r="Q602" i="1"/>
  <c r="Q606" i="1"/>
  <c r="Q610" i="1"/>
  <c r="Q614" i="1"/>
  <c r="Q618" i="1"/>
  <c r="Q622" i="1"/>
  <c r="Q626" i="1"/>
  <c r="Q630" i="1"/>
  <c r="Q634" i="1"/>
  <c r="Q638" i="1"/>
  <c r="Q584" i="1"/>
  <c r="Q588" i="1"/>
  <c r="Q592" i="1"/>
  <c r="Q596" i="1"/>
  <c r="Q600" i="1"/>
  <c r="Q604" i="1"/>
  <c r="Q608" i="1"/>
  <c r="Q612" i="1"/>
  <c r="Q616" i="1"/>
  <c r="Q620" i="1"/>
  <c r="Q624" i="1"/>
  <c r="Q628" i="1"/>
  <c r="Q632" i="1"/>
  <c r="Q636" i="1"/>
  <c r="Q640" i="1"/>
  <c r="Q644" i="1"/>
  <c r="Q648" i="1"/>
  <c r="Q652" i="1"/>
  <c r="Q656" i="1"/>
  <c r="Q660" i="1"/>
  <c r="Q664" i="1"/>
  <c r="Q668" i="1"/>
  <c r="Q672" i="1"/>
  <c r="Q676" i="1"/>
  <c r="Q680" i="1"/>
  <c r="Q684" i="1"/>
  <c r="Q688" i="1"/>
  <c r="Q692" i="1"/>
  <c r="Q696" i="1"/>
  <c r="Q700" i="1"/>
  <c r="Q704" i="1"/>
  <c r="Q708" i="1"/>
  <c r="Q712" i="1"/>
  <c r="Q716" i="1"/>
  <c r="Q720" i="1"/>
  <c r="Q724" i="1"/>
  <c r="Q728" i="1"/>
  <c r="Q732" i="1"/>
  <c r="Q736" i="1"/>
  <c r="Q740" i="1"/>
  <c r="Q744" i="1"/>
  <c r="Q748" i="1"/>
  <c r="Q752" i="1"/>
  <c r="Q756" i="1"/>
  <c r="Q760" i="1"/>
  <c r="Q764" i="1"/>
  <c r="Q768" i="1"/>
  <c r="Q772" i="1"/>
  <c r="Q776" i="1"/>
  <c r="Q780" i="1"/>
  <c r="Q784" i="1"/>
  <c r="Q788" i="1"/>
  <c r="Q792" i="1"/>
  <c r="Q796" i="1"/>
  <c r="Q800" i="1"/>
  <c r="Q804" i="1"/>
  <c r="Q808" i="1"/>
  <c r="Q812" i="1"/>
  <c r="Q816" i="1"/>
  <c r="Q820" i="1"/>
  <c r="Q824" i="1"/>
  <c r="Q828" i="1"/>
  <c r="Q832" i="1"/>
  <c r="Q836" i="1"/>
  <c r="Q840" i="1"/>
  <c r="Q844" i="1"/>
  <c r="Q848" i="1"/>
  <c r="Q852" i="1"/>
  <c r="Q856" i="1"/>
  <c r="Q860" i="1"/>
  <c r="Q948" i="1"/>
  <c r="Q1318" i="1"/>
  <c r="Q1322" i="1"/>
  <c r="Q1326" i="1"/>
  <c r="Q1330" i="1"/>
  <c r="Q1334" i="1"/>
  <c r="Q1338" i="1"/>
  <c r="Q1342" i="1"/>
  <c r="Q1346" i="1"/>
  <c r="Q1350" i="1"/>
  <c r="Q642" i="1"/>
  <c r="Q646" i="1"/>
  <c r="Q650" i="1"/>
  <c r="Q654" i="1"/>
  <c r="Q658" i="1"/>
  <c r="Q662" i="1"/>
  <c r="Q666" i="1"/>
  <c r="Q670" i="1"/>
  <c r="Q674" i="1"/>
  <c r="Q678" i="1"/>
  <c r="Q682" i="1"/>
  <c r="Q686" i="1"/>
  <c r="Q690" i="1"/>
  <c r="Q694" i="1"/>
  <c r="Q698" i="1"/>
  <c r="Q702" i="1"/>
  <c r="Q706" i="1"/>
  <c r="Q710" i="1"/>
  <c r="Q714" i="1"/>
  <c r="Q718" i="1"/>
  <c r="Q722" i="1"/>
  <c r="Q726" i="1"/>
  <c r="Q730" i="1"/>
  <c r="Q734" i="1"/>
  <c r="Q738" i="1"/>
  <c r="Q742" i="1"/>
  <c r="Q746" i="1"/>
  <c r="Q750" i="1"/>
  <c r="Q754" i="1"/>
  <c r="Q758" i="1"/>
  <c r="Q762" i="1"/>
  <c r="Q766" i="1"/>
  <c r="Q770" i="1"/>
  <c r="Q774" i="1"/>
  <c r="Q778" i="1"/>
  <c r="Q782" i="1"/>
  <c r="Q786" i="1"/>
  <c r="Q790" i="1"/>
  <c r="Q794" i="1"/>
  <c r="Q798" i="1"/>
  <c r="Q802" i="1"/>
  <c r="Q806" i="1"/>
  <c r="Q810" i="1"/>
  <c r="Q814" i="1"/>
  <c r="Q818" i="1"/>
  <c r="Q822" i="1"/>
  <c r="Q826" i="1"/>
  <c r="Q830" i="1"/>
  <c r="Q834" i="1"/>
  <c r="Q838" i="1"/>
  <c r="Q842" i="1"/>
  <c r="Q846" i="1"/>
  <c r="Q850" i="1"/>
  <c r="Q854" i="1"/>
  <c r="Q858" i="1"/>
  <c r="Q862" i="1"/>
  <c r="Q1316" i="1"/>
  <c r="Q1320" i="1"/>
  <c r="Q1324" i="1"/>
  <c r="Q1328" i="1"/>
  <c r="Q1332" i="1"/>
  <c r="Q1336" i="1"/>
  <c r="Q1340" i="1"/>
  <c r="Q1344" i="1"/>
  <c r="Q1348" i="1"/>
  <c r="Q1894" i="1"/>
  <c r="Q1898" i="1"/>
  <c r="Q1902" i="1"/>
  <c r="Q1906" i="1"/>
  <c r="Q1910" i="1"/>
  <c r="Q1914" i="1"/>
  <c r="Q1918" i="1"/>
  <c r="Q1922" i="1"/>
  <c r="Q1926" i="1"/>
  <c r="Q1930" i="1"/>
  <c r="Q1934" i="1"/>
  <c r="Q1938" i="1"/>
  <c r="Q1942" i="1"/>
  <c r="Q1946" i="1"/>
  <c r="Q1950" i="1"/>
  <c r="Q1954" i="1"/>
  <c r="Q1958" i="1"/>
  <c r="Q1962" i="1"/>
  <c r="Q866" i="1"/>
  <c r="Q874" i="1"/>
  <c r="Q882" i="1"/>
  <c r="Q898" i="1"/>
  <c r="Q906" i="1"/>
  <c r="Q918" i="1"/>
  <c r="Q934" i="1"/>
  <c r="Q942" i="1"/>
  <c r="Q1052" i="1"/>
  <c r="Q1056" i="1"/>
  <c r="Q1068" i="1"/>
  <c r="Q1072" i="1"/>
  <c r="Q1084" i="1"/>
  <c r="Q1088" i="1"/>
  <c r="Q1096" i="1"/>
  <c r="Q1104" i="1"/>
  <c r="Q1112" i="1"/>
  <c r="Q1116" i="1"/>
  <c r="Q1120" i="1"/>
  <c r="Q1150" i="1"/>
  <c r="Q1158" i="1"/>
  <c r="Q1162" i="1"/>
  <c r="Q1170" i="1"/>
  <c r="Q1178" i="1"/>
  <c r="Q1190" i="1"/>
  <c r="Q1202" i="1"/>
  <c r="Q1214" i="1"/>
  <c r="Q1222" i="1"/>
  <c r="Q1234" i="1"/>
  <c r="Q1238" i="1"/>
  <c r="Q1242" i="1"/>
  <c r="Q1254" i="1"/>
  <c r="Q1266" i="1"/>
  <c r="Q1270" i="1"/>
  <c r="Q1286" i="1"/>
  <c r="Q1298" i="1"/>
  <c r="Q1314" i="1"/>
  <c r="Q870" i="1"/>
  <c r="Q878" i="1"/>
  <c r="Q886" i="1"/>
  <c r="Q890" i="1"/>
  <c r="Q894" i="1"/>
  <c r="Q902" i="1"/>
  <c r="Q910" i="1"/>
  <c r="Q914" i="1"/>
  <c r="Q922" i="1"/>
  <c r="Q926" i="1"/>
  <c r="Q930" i="1"/>
  <c r="Q938" i="1"/>
  <c r="Q946" i="1"/>
  <c r="Q1060" i="1"/>
  <c r="Q1064" i="1"/>
  <c r="Q1076" i="1"/>
  <c r="Q1080" i="1"/>
  <c r="Q1092" i="1"/>
  <c r="Q1100" i="1"/>
  <c r="Q1108" i="1"/>
  <c r="Q1124" i="1"/>
  <c r="Q1128" i="1"/>
  <c r="Q1132" i="1"/>
  <c r="Q1146" i="1"/>
  <c r="Q1154" i="1"/>
  <c r="Q1166" i="1"/>
  <c r="Q1174" i="1"/>
  <c r="Q1182" i="1"/>
  <c r="Q1186" i="1"/>
  <c r="Q1194" i="1"/>
  <c r="Q1198" i="1"/>
  <c r="Q1206" i="1"/>
  <c r="Q1210" i="1"/>
  <c r="Q1218" i="1"/>
  <c r="Q1226" i="1"/>
  <c r="Q1230" i="1"/>
  <c r="Q1246" i="1"/>
  <c r="Q1250" i="1"/>
  <c r="Q1258" i="1"/>
  <c r="Q1262" i="1"/>
  <c r="Q1274" i="1"/>
  <c r="Q1278" i="1"/>
  <c r="Q1282" i="1"/>
  <c r="Q1290" i="1"/>
  <c r="Q1294" i="1"/>
  <c r="Q1302" i="1"/>
  <c r="Q1306" i="1"/>
  <c r="Q1310" i="1"/>
  <c r="Q865" i="1"/>
  <c r="Q869" i="1"/>
  <c r="Q873" i="1"/>
  <c r="Q877" i="1"/>
  <c r="Q881" i="1"/>
  <c r="Q885" i="1"/>
  <c r="Q889" i="1"/>
  <c r="Q893" i="1"/>
  <c r="Q897" i="1"/>
  <c r="Q901" i="1"/>
  <c r="Q905" i="1"/>
  <c r="Q909" i="1"/>
  <c r="Q913" i="1"/>
  <c r="Q917" i="1"/>
  <c r="Q921" i="1"/>
  <c r="Q925" i="1"/>
  <c r="Q929" i="1"/>
  <c r="Q933" i="1"/>
  <c r="Q937" i="1"/>
  <c r="Q941" i="1"/>
  <c r="Q945" i="1"/>
  <c r="Q1896" i="1"/>
  <c r="Q1900" i="1"/>
  <c r="Q1904" i="1"/>
  <c r="Q1908" i="1"/>
  <c r="Q1912" i="1"/>
  <c r="Q1916" i="1"/>
  <c r="Q1920" i="1"/>
  <c r="Q1924" i="1"/>
  <c r="Q1928" i="1"/>
  <c r="Q1932" i="1"/>
  <c r="Q1936" i="1"/>
  <c r="Q1940" i="1"/>
  <c r="Q1944" i="1"/>
  <c r="Q1948" i="1"/>
  <c r="Q1952" i="1"/>
  <c r="Q1956" i="1"/>
  <c r="Q1960" i="1"/>
  <c r="Q1964" i="1"/>
  <c r="Q2030" i="1"/>
  <c r="Q2034" i="1"/>
  <c r="Q2038" i="1"/>
  <c r="Q2042" i="1"/>
  <c r="Q2046" i="1"/>
  <c r="Q2050" i="1"/>
  <c r="Q2054" i="1"/>
  <c r="Q2058" i="1"/>
  <c r="Q2062" i="1"/>
  <c r="Q2066" i="1"/>
  <c r="Q2070" i="1"/>
  <c r="Q2074" i="1"/>
  <c r="Q2078" i="1"/>
  <c r="Q2082" i="1"/>
  <c r="Q2086" i="1"/>
  <c r="Q2090" i="1"/>
  <c r="Q2094" i="1"/>
  <c r="Q2098" i="1"/>
  <c r="Q2102" i="1"/>
  <c r="Q2106" i="1"/>
  <c r="Q2110" i="1"/>
  <c r="Q2114" i="1"/>
  <c r="Q2118" i="1"/>
  <c r="Q2122" i="1"/>
  <c r="Q2126" i="1"/>
  <c r="Q2130" i="1"/>
  <c r="Q2134" i="1"/>
  <c r="Q2138" i="1"/>
  <c r="Q2142" i="1"/>
  <c r="Q2146" i="1"/>
  <c r="Q2150" i="1"/>
  <c r="Q2154" i="1"/>
  <c r="Q2158" i="1"/>
  <c r="Q2162" i="1"/>
  <c r="Q2166" i="1"/>
  <c r="Q2170" i="1"/>
  <c r="Q2032" i="1"/>
  <c r="Q2036" i="1"/>
  <c r="Q2040" i="1"/>
  <c r="Q2044" i="1"/>
  <c r="Q2048" i="1"/>
  <c r="Q2052" i="1"/>
  <c r="Q2056" i="1"/>
  <c r="Q2060" i="1"/>
  <c r="Q2064" i="1"/>
  <c r="Q2068" i="1"/>
  <c r="Q2072" i="1"/>
  <c r="Q2076" i="1"/>
  <c r="Q2080" i="1"/>
  <c r="Q2084" i="1"/>
  <c r="Q2088" i="1"/>
  <c r="Q2092" i="1"/>
  <c r="Q2096" i="1"/>
  <c r="Q2100" i="1"/>
  <c r="Q2104" i="1"/>
  <c r="Q2108" i="1"/>
  <c r="Q2112" i="1"/>
  <c r="Q2116" i="1"/>
  <c r="Q2120" i="1"/>
  <c r="Q2124" i="1"/>
  <c r="Q2128" i="1"/>
  <c r="Q2132" i="1"/>
  <c r="Q2136" i="1"/>
  <c r="Q2140" i="1"/>
  <c r="Q2144" i="1"/>
  <c r="Q2148" i="1"/>
  <c r="Q2152" i="1"/>
  <c r="Q2156" i="1"/>
  <c r="Q2160" i="1"/>
  <c r="Q2164" i="1"/>
  <c r="Q2168" i="1"/>
  <c r="Q2370" i="1"/>
  <c r="Q2374" i="1"/>
  <c r="Q2378" i="1"/>
  <c r="Q2382" i="1"/>
  <c r="Q2386" i="1"/>
  <c r="Q2390" i="1"/>
  <c r="Q2394" i="1"/>
  <c r="Q2398" i="1"/>
  <c r="Q2402" i="1"/>
  <c r="Q2406" i="1"/>
  <c r="Q2410" i="1"/>
  <c r="Q2414" i="1"/>
  <c r="Q2418" i="1"/>
  <c r="Q2422" i="1"/>
  <c r="Q2426" i="1"/>
  <c r="Q2430" i="1"/>
  <c r="Q2434" i="1"/>
  <c r="Q2438" i="1"/>
  <c r="Q2442" i="1"/>
  <c r="Q1051" i="1"/>
  <c r="Q1055" i="1"/>
  <c r="Q1059" i="1"/>
  <c r="Q1063" i="1"/>
  <c r="Q1067" i="1"/>
  <c r="Q1071" i="1"/>
  <c r="Q1075" i="1"/>
  <c r="Q1079" i="1"/>
  <c r="Q1083" i="1"/>
  <c r="Q1087" i="1"/>
  <c r="Q1091" i="1"/>
  <c r="Q1095" i="1"/>
  <c r="Q1099" i="1"/>
  <c r="Q1103" i="1"/>
  <c r="Q1107" i="1"/>
  <c r="Q1111" i="1"/>
  <c r="Q1115" i="1"/>
  <c r="Q1119" i="1"/>
  <c r="Q1123" i="1"/>
  <c r="Q1127" i="1"/>
  <c r="Q1131" i="1"/>
  <c r="Q1145" i="1"/>
  <c r="Q1149" i="1"/>
  <c r="Q1153" i="1"/>
  <c r="Q1157" i="1"/>
  <c r="Q1161" i="1"/>
  <c r="Q1165" i="1"/>
  <c r="Q1169" i="1"/>
  <c r="Q1173" i="1"/>
  <c r="Q1177" i="1"/>
  <c r="Q1181" i="1"/>
  <c r="Q1185" i="1"/>
  <c r="Q1189" i="1"/>
  <c r="Q1193" i="1"/>
  <c r="Q1197" i="1"/>
  <c r="Q2372" i="1"/>
  <c r="Q2376" i="1"/>
  <c r="Q2380" i="1"/>
  <c r="Q2384" i="1"/>
  <c r="Q2388" i="1"/>
  <c r="Q2392" i="1"/>
  <c r="Q2396" i="1"/>
  <c r="Q2400" i="1"/>
  <c r="Q2404" i="1"/>
  <c r="Q2408" i="1"/>
  <c r="Q2412" i="1"/>
  <c r="Q2416" i="1"/>
  <c r="Q2420" i="1"/>
  <c r="Q2424" i="1"/>
  <c r="Q2428" i="1"/>
  <c r="Q2432" i="1"/>
  <c r="Q2436" i="1"/>
  <c r="Q2440" i="1"/>
  <c r="Q1201" i="1"/>
  <c r="Q1205" i="1"/>
  <c r="Q1209" i="1"/>
  <c r="Q1213" i="1"/>
  <c r="Q1217" i="1"/>
  <c r="Q1221" i="1"/>
  <c r="Q1225" i="1"/>
  <c r="Q1229" i="1"/>
  <c r="Q1233" i="1"/>
  <c r="Q1237" i="1"/>
  <c r="Q1241" i="1"/>
  <c r="Q1245" i="1"/>
  <c r="Q1249" i="1"/>
  <c r="Q1253" i="1"/>
  <c r="Q1257" i="1"/>
  <c r="Q1261" i="1"/>
  <c r="Q1265" i="1"/>
  <c r="Q2542" i="1"/>
  <c r="Q2546" i="1"/>
  <c r="Q2550" i="1"/>
  <c r="Q2554" i="1"/>
  <c r="Q2558" i="1"/>
  <c r="Q2562" i="1"/>
  <c r="Q2566" i="1"/>
  <c r="Q2570" i="1"/>
  <c r="Q2574" i="1"/>
  <c r="Q2578" i="1"/>
  <c r="Q2582" i="1"/>
  <c r="Q2586" i="1"/>
  <c r="Q2590" i="1"/>
  <c r="Q2540" i="1"/>
  <c r="Q2544" i="1"/>
  <c r="Q2548" i="1"/>
  <c r="Q2552" i="1"/>
  <c r="Q2556" i="1"/>
  <c r="Q2560" i="1"/>
  <c r="Q2564" i="1"/>
  <c r="Q2568" i="1"/>
  <c r="Q2572" i="1"/>
  <c r="Q2576" i="1"/>
  <c r="Q2580" i="1"/>
  <c r="Q2584" i="1"/>
  <c r="Q2588" i="1"/>
  <c r="Q2592" i="1"/>
  <c r="Q2710" i="1"/>
  <c r="Q2766" i="1"/>
  <c r="Q2770" i="1"/>
  <c r="Q2774" i="1"/>
  <c r="Q2778" i="1"/>
  <c r="Q2782" i="1"/>
  <c r="Q2786" i="1"/>
  <c r="Q2790" i="1"/>
  <c r="Q2794" i="1"/>
  <c r="Q2798" i="1"/>
  <c r="Q2802" i="1"/>
  <c r="Q1269" i="1"/>
  <c r="Q1273" i="1"/>
  <c r="Q1277" i="1"/>
  <c r="Q1281" i="1"/>
  <c r="Q1285" i="1"/>
  <c r="Q1289" i="1"/>
  <c r="Q1293" i="1"/>
  <c r="Q1297" i="1"/>
  <c r="Q1301" i="1"/>
  <c r="Q1305" i="1"/>
  <c r="Q1309" i="1"/>
  <c r="Q1313" i="1"/>
  <c r="Q2764" i="1"/>
  <c r="Q2768" i="1"/>
  <c r="Q2772" i="1"/>
  <c r="Q2776" i="1"/>
  <c r="Q2780" i="1"/>
  <c r="Q2784" i="1"/>
  <c r="Q2788" i="1"/>
  <c r="Q2792" i="1"/>
  <c r="Q2796" i="1"/>
  <c r="Q2800" i="1"/>
  <c r="Q2804" i="1"/>
  <c r="Q2714" i="1"/>
  <c r="Q2718" i="1"/>
  <c r="Q2722" i="1"/>
  <c r="Q2726" i="1"/>
  <c r="Q2730" i="1"/>
  <c r="Q2734" i="1"/>
  <c r="Q2738" i="1"/>
  <c r="Q2742" i="1"/>
  <c r="Q2746" i="1"/>
  <c r="Q2750" i="1"/>
  <c r="Q2754" i="1"/>
  <c r="Q2758" i="1"/>
  <c r="Q2762" i="1"/>
  <c r="Q3006" i="1"/>
  <c r="Q3010" i="1"/>
  <c r="Q3014" i="1"/>
  <c r="Q3018" i="1"/>
  <c r="Q3022" i="1"/>
  <c r="Q3026" i="1"/>
  <c r="Q3030" i="1"/>
  <c r="Q3034" i="1"/>
  <c r="Q3038" i="1"/>
  <c r="Q3042" i="1"/>
  <c r="Q3004" i="1"/>
  <c r="Q3008" i="1"/>
  <c r="Q3012" i="1"/>
  <c r="Q3016" i="1"/>
  <c r="Q3020" i="1"/>
  <c r="Q3024" i="1"/>
  <c r="Q3028" i="1"/>
  <c r="Q3032" i="1"/>
  <c r="Q3036" i="1"/>
  <c r="Q3040" i="1"/>
  <c r="Q3044" i="1"/>
  <c r="Q3082" i="1"/>
  <c r="Q3086" i="1"/>
  <c r="Q3090" i="1"/>
  <c r="Q3094" i="1"/>
  <c r="Q3098" i="1"/>
  <c r="Q3102" i="1"/>
  <c r="Q3106" i="1"/>
  <c r="Q3110" i="1"/>
  <c r="Q3114" i="1"/>
  <c r="Q3084" i="1"/>
  <c r="Q3088" i="1"/>
  <c r="Q3092" i="1"/>
  <c r="Q3096" i="1"/>
  <c r="Q3100" i="1"/>
  <c r="Q3104" i="1"/>
  <c r="Q3108" i="1"/>
  <c r="Q3112" i="1"/>
  <c r="Q3166" i="1"/>
  <c r="Q3170" i="1"/>
  <c r="Q3174" i="1"/>
  <c r="Q3178" i="1"/>
  <c r="Q3182" i="1"/>
  <c r="Q3186" i="1"/>
  <c r="Q3190" i="1"/>
  <c r="Q3194" i="1"/>
  <c r="Q3198" i="1"/>
  <c r="Q3202" i="1"/>
  <c r="Q3206" i="1"/>
  <c r="Q3168" i="1"/>
  <c r="Q3172" i="1"/>
  <c r="Q3176" i="1"/>
  <c r="Q3180" i="1"/>
  <c r="Q3184" i="1"/>
  <c r="Q3188" i="1"/>
  <c r="Q3192" i="1"/>
  <c r="Q3196" i="1"/>
  <c r="Q3200" i="1"/>
  <c r="Q3204" i="1"/>
  <c r="Q2713" i="1"/>
  <c r="Q2717" i="1"/>
  <c r="Q2721" i="1"/>
  <c r="Q2725" i="1"/>
  <c r="Q2729" i="1"/>
  <c r="Q2733" i="1"/>
  <c r="Q2737" i="1"/>
  <c r="Q2741" i="1"/>
  <c r="Q2745" i="1"/>
  <c r="Q2749" i="1"/>
  <c r="Q2753" i="1"/>
  <c r="Q2757" i="1"/>
  <c r="Q2761" i="1"/>
  <c r="Q3356" i="1"/>
  <c r="Q3360" i="1"/>
  <c r="Q3364" i="1"/>
  <c r="Q3368" i="1"/>
  <c r="Q3372" i="1"/>
  <c r="Q3376" i="1"/>
  <c r="Q3380" i="1"/>
  <c r="Q3384" i="1"/>
  <c r="Q3388" i="1"/>
  <c r="Q3392" i="1"/>
  <c r="Q3396" i="1"/>
  <c r="Q3400" i="1"/>
  <c r="Q3404" i="1"/>
  <c r="Q3408" i="1"/>
  <c r="Q3412" i="1"/>
  <c r="Q3416" i="1"/>
  <c r="Q3420" i="1"/>
  <c r="Q3424" i="1"/>
  <c r="Q3428" i="1"/>
  <c r="Q3432" i="1"/>
  <c r="Q3436" i="1"/>
  <c r="Q3440" i="1"/>
  <c r="Q3444" i="1"/>
  <c r="Q3448" i="1"/>
  <c r="Q3452" i="1"/>
  <c r="Q3456" i="1"/>
  <c r="Q3460" i="1"/>
  <c r="Q3464" i="1"/>
  <c r="Q3468" i="1"/>
  <c r="Q3472" i="1"/>
  <c r="Q3476" i="1"/>
  <c r="Q3480" i="1"/>
  <c r="Q3484" i="1"/>
  <c r="Q3488" i="1"/>
  <c r="Q3492" i="1"/>
  <c r="Q3496" i="1"/>
  <c r="Q3500" i="1"/>
  <c r="Q3504" i="1"/>
  <c r="Q3508" i="1"/>
  <c r="Q3512" i="1"/>
  <c r="Q3516" i="1"/>
  <c r="Q3520" i="1"/>
  <c r="Q3524" i="1"/>
  <c r="Q3528" i="1"/>
  <c r="Q3532" i="1"/>
  <c r="Q3536" i="1"/>
  <c r="Q3540" i="1"/>
  <c r="Q3544" i="1"/>
  <c r="Q3548" i="1"/>
  <c r="Q3552" i="1"/>
  <c r="Q3556" i="1"/>
  <c r="Q3560" i="1"/>
  <c r="Q3564" i="1"/>
  <c r="Q3568" i="1"/>
  <c r="Q3572" i="1"/>
  <c r="Q3576" i="1"/>
  <c r="Q3580" i="1"/>
  <c r="Q3584" i="1"/>
  <c r="Q3588" i="1"/>
  <c r="Q3354" i="1"/>
  <c r="Q3358" i="1"/>
  <c r="Q3362" i="1"/>
  <c r="Q3366" i="1"/>
  <c r="Q3370" i="1"/>
  <c r="Q3374" i="1"/>
  <c r="Q3378" i="1"/>
  <c r="Q3382" i="1"/>
  <c r="Q3386" i="1"/>
  <c r="Q3390" i="1"/>
  <c r="Q3394" i="1"/>
  <c r="Q3398" i="1"/>
  <c r="Q3402" i="1"/>
  <c r="Q3406" i="1"/>
  <c r="Q3410" i="1"/>
  <c r="Q3414" i="1"/>
  <c r="Q3418" i="1"/>
  <c r="Q3422" i="1"/>
  <c r="Q3426" i="1"/>
  <c r="Q3430" i="1"/>
  <c r="Q3434" i="1"/>
  <c r="Q3438" i="1"/>
  <c r="Q3442" i="1"/>
  <c r="Q3446" i="1"/>
  <c r="Q3450" i="1"/>
  <c r="Q3454" i="1"/>
  <c r="Q3458" i="1"/>
  <c r="Q3462" i="1"/>
  <c r="Q3466" i="1"/>
  <c r="Q3470" i="1"/>
  <c r="Q3474" i="1"/>
  <c r="Q3478" i="1"/>
  <c r="Q3482" i="1"/>
  <c r="Q3486" i="1"/>
  <c r="Q3490" i="1"/>
  <c r="Q3494" i="1"/>
  <c r="Q3498" i="1"/>
  <c r="Q3502" i="1"/>
  <c r="Q3506" i="1"/>
  <c r="Q3510" i="1"/>
  <c r="Q3514" i="1"/>
  <c r="Q3518" i="1"/>
  <c r="Q3522" i="1"/>
  <c r="Q3526" i="1"/>
  <c r="Q3530" i="1"/>
  <c r="Q3534" i="1"/>
  <c r="Q3538" i="1"/>
  <c r="Q3542" i="1"/>
  <c r="Q3546" i="1"/>
  <c r="Q3550" i="1"/>
  <c r="Q3554" i="1"/>
  <c r="Q3558" i="1"/>
  <c r="Q3562" i="1"/>
  <c r="Q3566" i="1"/>
  <c r="Q3570" i="1"/>
  <c r="Q3574" i="1"/>
  <c r="Q3578" i="1"/>
  <c r="Q3582" i="1"/>
  <c r="Q3586" i="1"/>
</calcChain>
</file>

<file path=xl/sharedStrings.xml><?xml version="1.0" encoding="utf-8"?>
<sst xmlns="http://schemas.openxmlformats.org/spreadsheetml/2006/main" count="28904" uniqueCount="10997">
  <si>
    <t>director_name</t>
  </si>
  <si>
    <t>num_critic_for_reviews</t>
  </si>
  <si>
    <t>gross</t>
  </si>
  <si>
    <t>genres</t>
  </si>
  <si>
    <t>actor_1_name</t>
  </si>
  <si>
    <t>movie_title</t>
  </si>
  <si>
    <t>num_voted_users</t>
  </si>
  <si>
    <t>plot_keywords</t>
  </si>
  <si>
    <t>num_user_for_reviews</t>
  </si>
  <si>
    <t>language</t>
  </si>
  <si>
    <t>country</t>
  </si>
  <si>
    <t>budget</t>
  </si>
  <si>
    <t>title_year</t>
  </si>
  <si>
    <t>imdb_score</t>
  </si>
  <si>
    <t>budget_us_dollar</t>
  </si>
  <si>
    <t>gross_us_dollar</t>
  </si>
  <si>
    <t>profit _us_dollar</t>
  </si>
  <si>
    <t>movie_title1</t>
  </si>
  <si>
    <t>Cal Brunker</t>
  </si>
  <si>
    <t>Adventure|Animation|Comedy|Family|Sci-Fi</t>
  </si>
  <si>
    <t>Brendan Fraser</t>
  </si>
  <si>
    <t xml:space="preserve">Escape from Planet EarthÂ </t>
  </si>
  <si>
    <t>alien|cult film|mission control|product placement|rescue</t>
  </si>
  <si>
    <t>English</t>
  </si>
  <si>
    <t>USA</t>
  </si>
  <si>
    <t>Ericson Core</t>
  </si>
  <si>
    <t>Action|Crime|Sport|Thriller</t>
  </si>
  <si>
    <t>Ray Winstone</t>
  </si>
  <si>
    <t>Point BreakÂ </t>
  </si>
  <si>
    <t>athlete|extreme sports|fbi|fbi agent|heist</t>
  </si>
  <si>
    <t>Gavin O'Connor</t>
  </si>
  <si>
    <t>Biography|Drama|History|Sport</t>
  </si>
  <si>
    <t>Eddie Cahill</t>
  </si>
  <si>
    <t>MiracleÂ </t>
  </si>
  <si>
    <t>1980s|hockey|ice hockey|olympics|soviet union</t>
  </si>
  <si>
    <t>Sergio Leone</t>
  </si>
  <si>
    <t>Action|Drama|Western</t>
  </si>
  <si>
    <t>Clint Eastwood</t>
  </si>
  <si>
    <t>A Fistful of DollarsÂ </t>
  </si>
  <si>
    <t>balladeer|bar|drifter|mexican|revenge</t>
  </si>
  <si>
    <t>Italian</t>
  </si>
  <si>
    <t>Italy</t>
  </si>
  <si>
    <t>Gregory Hoblit</t>
  </si>
  <si>
    <t>Crime|Drama|Mystery|Sci-Fi|Thriller</t>
  </si>
  <si>
    <t>Dennis Quaid</t>
  </si>
  <si>
    <t>FrequencyÂ </t>
  </si>
  <si>
    <t>altering history|alternate history|amateur radio|ham radio|paranormal phenomena</t>
  </si>
  <si>
    <t>Kevin Bray</t>
  </si>
  <si>
    <t>Action|Crime</t>
  </si>
  <si>
    <t>Dwayne Johnson</t>
  </si>
  <si>
    <t>Walking TallÂ </t>
  </si>
  <si>
    <t>casino|football|sheriff|special forces|violence</t>
  </si>
  <si>
    <t>Quentin Tarantino</t>
  </si>
  <si>
    <t>Crime|Drama</t>
  </si>
  <si>
    <t>Bruce Willis</t>
  </si>
  <si>
    <t>Pulp FictionÂ </t>
  </si>
  <si>
    <t>black comedy|cunnilingus|neo noir|nonlinear timeline|postmodern</t>
  </si>
  <si>
    <t>Griffin Dunne</t>
  </si>
  <si>
    <t>Comedy|Drama|Fantasy|Romance</t>
  </si>
  <si>
    <t>Goran Visnjic</t>
  </si>
  <si>
    <t>Practical MagicÂ </t>
  </si>
  <si>
    <t>curse|death|island|love|magic</t>
  </si>
  <si>
    <t>Kurt Wimmer</t>
  </si>
  <si>
    <t>Action|Horror|Sci-Fi|Thriller</t>
  </si>
  <si>
    <t>Milla Jovovich</t>
  </si>
  <si>
    <t>UltravioletÂ </t>
  </si>
  <si>
    <t>boy|disease|hemophagia|speed|vampire</t>
  </si>
  <si>
    <t>Spike Lee</t>
  </si>
  <si>
    <t>Biography|Drama|History|Romance</t>
  </si>
  <si>
    <t>Denzel Washington</t>
  </si>
  <si>
    <t>Malcolm XÂ </t>
  </si>
  <si>
    <t>african american|black history|civil rights|ku klux klan|nation of islam</t>
  </si>
  <si>
    <t>Ridley Scott</t>
  </si>
  <si>
    <t>Drama|History|War</t>
  </si>
  <si>
    <t>Ioan Gruffudd</t>
  </si>
  <si>
    <t>Black Hawk DownÂ </t>
  </si>
  <si>
    <t>army|helicopter|somali|somalia|warlord</t>
  </si>
  <si>
    <t>John Sayles</t>
  </si>
  <si>
    <t>Drama|Mystery</t>
  </si>
  <si>
    <t>Matthew McConaughey</t>
  </si>
  <si>
    <t>Lone StarÂ </t>
  </si>
  <si>
    <t>father son relationship|interracial relationship|neo western|sheriff|texas</t>
  </si>
  <si>
    <t>Florian Henckel von Donnersmarck</t>
  </si>
  <si>
    <t>Action|Romance|Thriller</t>
  </si>
  <si>
    <t>Johnny Depp</t>
  </si>
  <si>
    <t>The TouristÂ </t>
  </si>
  <si>
    <t>police surveillance|surveillance van|tailing a suspect|tourist|venice italy</t>
  </si>
  <si>
    <t>JosÃ© Luis Valenzuela</t>
  </si>
  <si>
    <t>Comedy|Romance</t>
  </si>
  <si>
    <t>Cheech Marin</t>
  </si>
  <si>
    <t>LuminariasÂ </t>
  </si>
  <si>
    <t>divorce|friend|jewish|lent|restaurant</t>
  </si>
  <si>
    <t>John Ottman</t>
  </si>
  <si>
    <t>Horror|Mystery|Thriller</t>
  </si>
  <si>
    <t>Loretta Devine</t>
  </si>
  <si>
    <t>Urban Legends: Final CutÂ </t>
  </si>
  <si>
    <t>film set|movie set|sequel|slow motion|urban legend</t>
  </si>
  <si>
    <t>Andy Cadiff</t>
  </si>
  <si>
    <t>Annabella Sciorra</t>
  </si>
  <si>
    <t>Chasing LibertyÂ </t>
  </si>
  <si>
    <t>first daughter|photographer|prague|president|secret service agent</t>
  </si>
  <si>
    <t>Michael Polish</t>
  </si>
  <si>
    <t>Drama</t>
  </si>
  <si>
    <t>Sasha Alexander</t>
  </si>
  <si>
    <t>Twin Falls IdahoÂ </t>
  </si>
  <si>
    <t>conjoined twins|independent film|low budget film|separation|twin</t>
  </si>
  <si>
    <t>Tim Boxell</t>
  </si>
  <si>
    <t>Bruce McGill</t>
  </si>
  <si>
    <t>Valley of the Heart's DelightÂ </t>
  </si>
  <si>
    <t/>
  </si>
  <si>
    <t>Steve Miner</t>
  </si>
  <si>
    <t>Action|Comedy|Horror</t>
  </si>
  <si>
    <t>Oliver Platt</t>
  </si>
  <si>
    <t>Lake PlacidÂ </t>
  </si>
  <si>
    <t>crocodile|eaten alive|lake|maine|sheriff</t>
  </si>
  <si>
    <t>Nick Cassavetes</t>
  </si>
  <si>
    <t>Crime|Drama|Thriller</t>
  </si>
  <si>
    <t>John QÂ </t>
  </si>
  <si>
    <t>health care|heart transplant|hospital|hostage|insurance</t>
  </si>
  <si>
    <t>Vincente Minnelli</t>
  </si>
  <si>
    <t>Adventure|Comedy|Musical|Romance</t>
  </si>
  <si>
    <t>Gladys Cooper</t>
  </si>
  <si>
    <t>The PirateÂ </t>
  </si>
  <si>
    <t>hoop|horseback riding|love|pirate|singer</t>
  </si>
  <si>
    <t>J.B. Rogers</t>
  </si>
  <si>
    <t>Eddie Cibrian</t>
  </si>
  <si>
    <t>Say It Isn't SoÂ </t>
  </si>
  <si>
    <t>bestiality|brother sister incest|fisting|hit on the head with a pipe|wedding</t>
  </si>
  <si>
    <t>Edgar Wright</t>
  </si>
  <si>
    <t>Action|Comedy|Mystery</t>
  </si>
  <si>
    <t>Bill Bailey</t>
  </si>
  <si>
    <t>Hot FuzzÂ </t>
  </si>
  <si>
    <t>accident|conspiracy|police|police officer|village</t>
  </si>
  <si>
    <t>UK</t>
  </si>
  <si>
    <t>Tim Chambers</t>
  </si>
  <si>
    <t>Drama|Sport</t>
  </si>
  <si>
    <t>Ellen Burstyn</t>
  </si>
  <si>
    <t>The Mighty MacsÂ </t>
  </si>
  <si>
    <t>basketball|catholic|coach|college|nun</t>
  </si>
  <si>
    <t>Hugh Wilson</t>
  </si>
  <si>
    <t>Comedy</t>
  </si>
  <si>
    <t>Steve Guttenberg</t>
  </si>
  <si>
    <t>Police AcademyÂ </t>
  </si>
  <si>
    <t>misfit|police|police academy|police cadet|police officer</t>
  </si>
  <si>
    <t>Simon Wincer</t>
  </si>
  <si>
    <t>Action|Adventure|Comedy|Fantasy</t>
  </si>
  <si>
    <t>Cary-Hiroyuki Tagawa</t>
  </si>
  <si>
    <t>The PhantomÂ </t>
  </si>
  <si>
    <t>ghost|new york city|phantom|skull|superhero</t>
  </si>
  <si>
    <t>Australia</t>
  </si>
  <si>
    <t>Wes Craven</t>
  </si>
  <si>
    <t>Horror</t>
  </si>
  <si>
    <t>A Nightmare on Elm StreetÂ </t>
  </si>
  <si>
    <t>freddy krueger|lucid dream|serial killer|slasher|sleep deprivation</t>
  </si>
  <si>
    <t>Johnnie To</t>
  </si>
  <si>
    <t>Action|Crime|Thriller</t>
  </si>
  <si>
    <t>Simon Yam</t>
  </si>
  <si>
    <t>ExiledÂ </t>
  </si>
  <si>
    <t>baby|friendship|macau|practical joke|selfie</t>
  </si>
  <si>
    <t>Cantonese</t>
  </si>
  <si>
    <t>Hong Kong</t>
  </si>
  <si>
    <t>James L. Brooks</t>
  </si>
  <si>
    <t>Comedy|Drama|Romance</t>
  </si>
  <si>
    <t>Shelley Conn</t>
  </si>
  <si>
    <t>How Do You KnowÂ </t>
  </si>
  <si>
    <t>embarrassment|falling in love|love|love triangle|revelation</t>
  </si>
  <si>
    <t>F. Gary Gray</t>
  </si>
  <si>
    <t>Action|Crime|Drama|Romance|Thriller</t>
  </si>
  <si>
    <t>Vivica A. Fox</t>
  </si>
  <si>
    <t>Set It OffÂ </t>
  </si>
  <si>
    <t>bank|black comedy|main characters killed off|money|robbery</t>
  </si>
  <si>
    <t>Neil LaBute</t>
  </si>
  <si>
    <t>Comedy|Crime|Drama</t>
  </si>
  <si>
    <t>Morgan Freeman</t>
  </si>
  <si>
    <t>Nurse BettyÂ </t>
  </si>
  <si>
    <t>hospital|kansas city|obsession|salesman|soap opera</t>
  </si>
  <si>
    <t>Germany</t>
  </si>
  <si>
    <t>Roland Emmerich</t>
  </si>
  <si>
    <t>Action|Drama|Thriller</t>
  </si>
  <si>
    <t>Channing Tatum</t>
  </si>
  <si>
    <t>White House DownÂ </t>
  </si>
  <si>
    <t>black u.s. president|president|secret service|tour|white house</t>
  </si>
  <si>
    <t>Tim Burton</t>
  </si>
  <si>
    <t>Action</t>
  </si>
  <si>
    <t>Michael Gough</t>
  </si>
  <si>
    <t>Batman ReturnsÂ </t>
  </si>
  <si>
    <t>box office hit|dc comics|gotham|mayor|penguin</t>
  </si>
  <si>
    <t>James Cameron</t>
  </si>
  <si>
    <t>Action|Adventure|Sci-Fi</t>
  </si>
  <si>
    <t>Michael Biehn</t>
  </si>
  <si>
    <t>AliensÂ </t>
  </si>
  <si>
    <t>alien|human versus alien|monster|rescue mission|space marine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</si>
  <si>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</si>
  <si>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</si>
  <si>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</si>
  <si>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</si>
  <si>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</si>
  <si>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Terry Zwigoff</t>
  </si>
  <si>
    <t>Bernie Mac</t>
  </si>
  <si>
    <t>Bad SantaÂ </t>
  </si>
  <si>
    <t>bartender|christmas|christmas eve|department store|drink</t>
  </si>
  <si>
    <t>Len Wiseman</t>
  </si>
  <si>
    <t>Action|Fantasy|Thriller</t>
  </si>
  <si>
    <t>Sophia Myles</t>
  </si>
  <si>
    <t>UnderworldÂ </t>
  </si>
  <si>
    <t>blood|death|hybrid|vampire|werewolf</t>
  </si>
  <si>
    <t>Robert B. Weide</t>
  </si>
  <si>
    <t>James Corden</t>
  </si>
  <si>
    <t>How to Lose Friends &amp; Alienate PeopleÂ </t>
  </si>
  <si>
    <t>celebrity|party|pig|starlet|writer</t>
  </si>
  <si>
    <t>Sam Firstenberg</t>
  </si>
  <si>
    <t>Action|Drama</t>
  </si>
  <si>
    <t>Michael Dudikoff</t>
  </si>
  <si>
    <t>American Ninja 2: The ConfrontationÂ </t>
  </si>
  <si>
    <t>blood splatter|island|motorboat|ninja|sequel to cult film</t>
  </si>
  <si>
    <t>Wayne Wang</t>
  </si>
  <si>
    <t>Drama|History</t>
  </si>
  <si>
    <t>Bingbing Li</t>
  </si>
  <si>
    <t>Snow Flower and the Secret FanÂ </t>
  </si>
  <si>
    <t>car hitting pedestrian|china|fan|nineteenth century|reversal of fortune</t>
  </si>
  <si>
    <t>China</t>
  </si>
  <si>
    <t>James Mangold</t>
  </si>
  <si>
    <t>Action|Comedy|Romance</t>
  </si>
  <si>
    <t>Tom Cruise</t>
  </si>
  <si>
    <t>Knight and DayÂ </t>
  </si>
  <si>
    <t>chase|fbi|garage|spy|surveillance</t>
  </si>
  <si>
    <t>Alex Smith</t>
  </si>
  <si>
    <t>Ryan Gosling</t>
  </si>
  <si>
    <t>The Slaughter RuleÂ </t>
  </si>
  <si>
    <t>cheerleader|father son relationship|football coach|loss of father|mother son relationship</t>
  </si>
  <si>
    <t>Jaume BalaguerÃ³</t>
  </si>
  <si>
    <t>Lena Olin</t>
  </si>
  <si>
    <t>DarknessÂ </t>
  </si>
  <si>
    <t>9 year old|blood|gramophone|house|missing children</t>
  </si>
  <si>
    <t>Anne Fontaine</t>
  </si>
  <si>
    <t>Drama|Romance</t>
  </si>
  <si>
    <t>Robin Wright</t>
  </si>
  <si>
    <t>AdoreÂ </t>
  </si>
  <si>
    <t>beach|friend|friendship|happiness|neighbor</t>
  </si>
  <si>
    <t>James Ivory</t>
  </si>
  <si>
    <t>Anthony Hopkins</t>
  </si>
  <si>
    <t>The Remains of the DayÂ </t>
  </si>
  <si>
    <t>butler|housekeeper|manor|servant|service</t>
  </si>
  <si>
    <t>David Mirkin</t>
  </si>
  <si>
    <t>Comedy|Crime|Romance</t>
  </si>
  <si>
    <t>Sarah Silverman</t>
  </si>
  <si>
    <t>HeartbreakersÂ </t>
  </si>
  <si>
    <t>bank|infidelity|millionaire|money|scam</t>
  </si>
  <si>
    <t>Paul Feig</t>
  </si>
  <si>
    <t>Action|Comedy|Fantasy|Sci-Fi</t>
  </si>
  <si>
    <t>Ed Begley Jr.</t>
  </si>
  <si>
    <t>GhostbustersÂ </t>
  </si>
  <si>
    <t>ghost|ghostbuster|ghostbusters|male objectification|reboot</t>
  </si>
  <si>
    <t>Rick de Oliveira</t>
  </si>
  <si>
    <t>Documentary</t>
  </si>
  <si>
    <t>Laura Ramsey</t>
  </si>
  <si>
    <t>The Real CancunÂ </t>
  </si>
  <si>
    <t>cancun mexico|mexico|spring break|vacation|wisconsin</t>
  </si>
  <si>
    <t>Eric Darnell</t>
  </si>
  <si>
    <t>Action|Adventure|Animation|Comedy|Family</t>
  </si>
  <si>
    <t>Madagascar: Escape 2 AfricaÂ </t>
  </si>
  <si>
    <t>africa|madagascar|new york city|sequel|zoo</t>
  </si>
  <si>
    <t>David Slade</t>
  </si>
  <si>
    <t>Adventure|Drama|Fantasy|Romance</t>
  </si>
  <si>
    <t>Robert Pattinson</t>
  </si>
  <si>
    <t>The Twilight Saga: EclipseÂ </t>
  </si>
  <si>
    <t>friendship|graduation|revenge|vampire|werewolf</t>
  </si>
  <si>
    <t>Keenen Ivory Wayans</t>
  </si>
  <si>
    <t>Action|Comedy|Crime</t>
  </si>
  <si>
    <t>Jada Pinkett Smith</t>
  </si>
  <si>
    <t>A Low Down Dirty ShameÂ </t>
  </si>
  <si>
    <t>drugs|ex cop|gun fu|machismo|shootout</t>
  </si>
  <si>
    <t>Lee Tamahori</t>
  </si>
  <si>
    <t>Along Came a SpiderÂ </t>
  </si>
  <si>
    <t>kidnapping|partner|ransom|school|secret service</t>
  </si>
  <si>
    <t>John Gatins</t>
  </si>
  <si>
    <t>Drama|Family|Sport</t>
  </si>
  <si>
    <t>Ken Howard</t>
  </si>
  <si>
    <t>Dreamer: Inspired by a True StoryÂ </t>
  </si>
  <si>
    <t>colon in title|horse|kentucky|overalls|six word title</t>
  </si>
  <si>
    <t>Rob Cohen</t>
  </si>
  <si>
    <t>Action|Adventure|Fantasy</t>
  </si>
  <si>
    <t>DragonHeartÂ </t>
  </si>
  <si>
    <t>dragon|england|human dragon relationship|king|knight</t>
  </si>
  <si>
    <t>Adam McKay</t>
  </si>
  <si>
    <t>The Other GuysÂ </t>
  </si>
  <si>
    <t>capitalist|detective|investigation|new york city|police</t>
  </si>
  <si>
    <t>William Brent Bell</t>
  </si>
  <si>
    <t>Lauren Cohan</t>
  </si>
  <si>
    <t>The BoyÂ </t>
  </si>
  <si>
    <t>animate doll|doll|england|nanny|surprise ending</t>
  </si>
  <si>
    <t>Joel Zwick</t>
  </si>
  <si>
    <t>Comedy|Family|Romance</t>
  </si>
  <si>
    <t>Nia Vardalos</t>
  </si>
  <si>
    <t>My Big Fat Greek WeddingÂ </t>
  </si>
  <si>
    <t>baptism|greek|greek restaurant|prejudice|travel agency</t>
  </si>
  <si>
    <t>Michael Moore</t>
  </si>
  <si>
    <t>Roger &amp; MeÂ </t>
  </si>
  <si>
    <t>factory|flint michigan|general motors|michigan|quest</t>
  </si>
  <si>
    <t>Eric Styles</t>
  </si>
  <si>
    <t>Samantha Morton</t>
  </si>
  <si>
    <t>Dreaming of Joseph LeesÂ </t>
  </si>
  <si>
    <t>love crime|love triangle|lust|sister sister relationship|unrequited love</t>
  </si>
  <si>
    <t>Chris Miller</t>
  </si>
  <si>
    <t>Adventure|Animation|Comedy|Family|Fantasy</t>
  </si>
  <si>
    <t>Justin Timberlake</t>
  </si>
  <si>
    <t>Shrek the ThirdÂ </t>
  </si>
  <si>
    <t>disney spoof|fairy tale|prince|princess|tough guy</t>
  </si>
  <si>
    <t>M. Night Shyamalan</t>
  </si>
  <si>
    <t>Horror|Thriller</t>
  </si>
  <si>
    <t>Ocean James</t>
  </si>
  <si>
    <t>The VisitÂ </t>
  </si>
  <si>
    <t>farm|handheld camera|impostor|rap|rock paper scissors</t>
  </si>
  <si>
    <t>D.J. Caruso</t>
  </si>
  <si>
    <t>Drama|Mystery|Thriller</t>
  </si>
  <si>
    <t>Sarah Roemer</t>
  </si>
  <si>
    <t>DisturbiaÂ </t>
  </si>
  <si>
    <t>binoculars|electronic tag|house arrest|neighbor|watching someone</t>
  </si>
  <si>
    <t>Steven Soderbergh</t>
  </si>
  <si>
    <t>Crime|Thriller</t>
  </si>
  <si>
    <t>Al Pacino</t>
  </si>
  <si>
    <t>Ocean's ThirteenÂ </t>
  </si>
  <si>
    <t>casino|heist|manmade earthquake|revenge|tunnel boring machine</t>
  </si>
  <si>
    <t>Andrew Fleming</t>
  </si>
  <si>
    <t>Comedy|Music</t>
  </si>
  <si>
    <t>Steve Coogan</t>
  </si>
  <si>
    <t>Hamlet 2Â </t>
  </si>
  <si>
    <t>gang banger|sequel|shakespeare's hamlet|student|time machine</t>
  </si>
  <si>
    <t>Keith Gordon</t>
  </si>
  <si>
    <t>Comedy|Crime|Musical|Mystery</t>
  </si>
  <si>
    <t>Robert Downey Jr.</t>
  </si>
  <si>
    <t>The Singing DetectiveÂ </t>
  </si>
  <si>
    <t>detective|detective novel|fantasy sequence|hallucination|writer</t>
  </si>
  <si>
    <t>Steve Antin</t>
  </si>
  <si>
    <t>Drama|Music|Musical|Romance</t>
  </si>
  <si>
    <t>Eric Dane</t>
  </si>
  <si>
    <t>BurlesqueÂ </t>
  </si>
  <si>
    <t>burlesque|dancer|iowa|small town girl|stage</t>
  </si>
  <si>
    <t>George Clooney</t>
  </si>
  <si>
    <t>The Ides of MarchÂ </t>
  </si>
  <si>
    <t>governor|intern|manager|ohio|politics</t>
  </si>
  <si>
    <t>David Lynch</t>
  </si>
  <si>
    <t>Virginia Madsen</t>
  </si>
  <si>
    <t>DuneÂ </t>
  </si>
  <si>
    <t>desert planet|dune|giant worm|space travel|spice</t>
  </si>
  <si>
    <t>Peter Chelsom</t>
  </si>
  <si>
    <t>Comedy|Drama|Family|Music|Romance</t>
  </si>
  <si>
    <t>Emily Osment</t>
  </si>
  <si>
    <t>Hannah Montana: The MovieÂ </t>
  </si>
  <si>
    <t>farm|female protagonist|hannah montana|horseback riding|overalls</t>
  </si>
  <si>
    <t>Andrew Adamson</t>
  </si>
  <si>
    <t>Action|Adventure|Family|Fantasy</t>
  </si>
  <si>
    <t>Peter Dinklage</t>
  </si>
  <si>
    <t>The Chronicles of Narnia: Prince CaspianÂ </t>
  </si>
  <si>
    <t>brother brother relationship|brother sister relationship|good versus evil|king|narnia</t>
  </si>
  <si>
    <t>Alex Kendrick</t>
  </si>
  <si>
    <t>Facing the GiantsÂ </t>
  </si>
  <si>
    <t>christian|coach|faith|football|football team</t>
  </si>
  <si>
    <t>Antoine Fuqua</t>
  </si>
  <si>
    <t>The EqualizerÂ </t>
  </si>
  <si>
    <t>assassin|ex soldier|gangster|hanged man|mysterious past</t>
  </si>
  <si>
    <t>Marc Abraham</t>
  </si>
  <si>
    <t>Biography|Drama</t>
  </si>
  <si>
    <t>Dylan Authors</t>
  </si>
  <si>
    <t>Flash of GeniusÂ </t>
  </si>
  <si>
    <t>flash of genius|genius|intellectual property|professor|university</t>
  </si>
  <si>
    <t>Alex Craig Mann</t>
  </si>
  <si>
    <t>Comedy|Horror</t>
  </si>
  <si>
    <t>Justin Chon</t>
  </si>
  <si>
    <t>Detention of the DeadÂ </t>
  </si>
  <si>
    <t>based on play|blood|independent film|teenager|zombie</t>
  </si>
  <si>
    <t>Jon Turteltaub</t>
  </si>
  <si>
    <t>Drama|Thriller</t>
  </si>
  <si>
    <t>InstinctÂ </t>
  </si>
  <si>
    <t>africa|anthropologist|murder|poacher|psychiatrist</t>
  </si>
  <si>
    <t>Robert Wise</t>
  </si>
  <si>
    <t>Biography|Drama|Family|Musical|Romance</t>
  </si>
  <si>
    <t>Eleanor Parker</t>
  </si>
  <si>
    <t>The Sound of MusicÂ </t>
  </si>
  <si>
    <t>austria|children|governess|love|orchestral music score</t>
  </si>
  <si>
    <t>Jessie Nelson</t>
  </si>
  <si>
    <t>Olivia Wilde</t>
  </si>
  <si>
    <t>Love the CoopersÂ </t>
  </si>
  <si>
    <t>christmas|family dinner|husband wife conflict|husband wife kiss|large family</t>
  </si>
  <si>
    <t>Brian De Palma</t>
  </si>
  <si>
    <t>ScarfaceÂ </t>
  </si>
  <si>
    <t>assassination attempt|capitalism|cocaine|cuban american|cuban refugee</t>
  </si>
  <si>
    <t>Colin Strause</t>
  </si>
  <si>
    <t>Sam Trammell</t>
  </si>
  <si>
    <t>Aliens vs. Predator: RequiemÂ </t>
  </si>
  <si>
    <t>alien|escape|hunting|hybrid|predator</t>
  </si>
  <si>
    <t>Rick Rosenthal</t>
  </si>
  <si>
    <t>Comedy|Horror|Thriller</t>
  </si>
  <si>
    <t>Jamie Lee Curtis</t>
  </si>
  <si>
    <t>Halloween: ResurrectionÂ </t>
  </si>
  <si>
    <t>cult film|halloween|killer|michael myers|serial killer</t>
  </si>
  <si>
    <t>John Hoffman</t>
  </si>
  <si>
    <t>Comedy|Drama|Family|Fantasy|Sci-Fi</t>
  </si>
  <si>
    <t>Liam Aiken</t>
  </si>
  <si>
    <t>Good Boy!Â </t>
  </si>
  <si>
    <t>dog|friend|neighborhood|planet|star</t>
  </si>
  <si>
    <t>Robert Moresco</t>
  </si>
  <si>
    <t>Brian Dennehy</t>
  </si>
  <si>
    <t>10th &amp; WolfÂ </t>
  </si>
  <si>
    <t>desert storm|fbi|fbi agent|fragmentation grenade|woman kills attacker</t>
  </si>
  <si>
    <t>John Dahl</t>
  </si>
  <si>
    <t>Action|Drama|War</t>
  </si>
  <si>
    <t>James Franco</t>
  </si>
  <si>
    <t>The Great RaidÂ </t>
  </si>
  <si>
    <t>american|lieutenant colonel|mission|rescue|soldier</t>
  </si>
  <si>
    <t>Filipino</t>
  </si>
  <si>
    <t>Roger Spottiswoode</t>
  </si>
  <si>
    <t>Action|Mystery|Sci-Fi|Thriller</t>
  </si>
  <si>
    <t>Robert Duvall</t>
  </si>
  <si>
    <t>The 6th DayÂ </t>
  </si>
  <si>
    <t>clone|cloning|future|laser gun|murder</t>
  </si>
  <si>
    <t>Joe Dante</t>
  </si>
  <si>
    <t>Adventure|Animation|Comedy|Family|Fantasy|Sci-Fi</t>
  </si>
  <si>
    <t>Looney Tunes: Back in ActionÂ </t>
  </si>
  <si>
    <t>diamond|duck|monkey|spy|stuntman</t>
  </si>
  <si>
    <t>Kate Barker-Froyland</t>
  </si>
  <si>
    <t>Drama|Music</t>
  </si>
  <si>
    <t>Anne Hathaway</t>
  </si>
  <si>
    <t>Song OneÂ </t>
  </si>
  <si>
    <t>musician|number in title|recording|sibling</t>
  </si>
  <si>
    <t>Brian Koppelman</t>
  </si>
  <si>
    <t>Jenna Fischer</t>
  </si>
  <si>
    <t>Solitary ManÂ </t>
  </si>
  <si>
    <t>aging|hdtv|high definition television|love|marriage</t>
  </si>
  <si>
    <t>Martin Campbell</t>
  </si>
  <si>
    <t>Action|Adventure|Comedy|Romance|Thriller|Western</t>
  </si>
  <si>
    <t>The Mask of ZorroÂ </t>
  </si>
  <si>
    <t>19th century|california|revenge|training|zorro</t>
  </si>
  <si>
    <t>David Cronenberg</t>
  </si>
  <si>
    <t>Biography|Drama|Thriller</t>
  </si>
  <si>
    <t>Michael Fassbender</t>
  </si>
  <si>
    <t>A Dangerous MethodÂ </t>
  </si>
  <si>
    <t>carl jung|patient|psychoanalysis|russian|sigmund freud</t>
  </si>
  <si>
    <t>Crime|Drama|Mystery|Thriller</t>
  </si>
  <si>
    <t>Scarlett Johansson</t>
  </si>
  <si>
    <t>The Black DahliaÂ </t>
  </si>
  <si>
    <t>black dahlia|boxer|corpse|death|partner</t>
  </si>
  <si>
    <t>Jay Roach</t>
  </si>
  <si>
    <t>Comedy|Crime</t>
  </si>
  <si>
    <t>Will Ferrell</t>
  </si>
  <si>
    <t>Austin Powers: International Man of MysteryÂ </t>
  </si>
  <si>
    <t>cartoon on tv|reference to frankenstein|reference to jimi hendrix|scene during end credits|surrealism</t>
  </si>
  <si>
    <t>Michael Winterbottom</t>
  </si>
  <si>
    <t>Drama|Romance|Western</t>
  </si>
  <si>
    <t>The ClaimÂ </t>
  </si>
  <si>
    <t>gold|gold mine|miner|railroad|surveyor</t>
  </si>
  <si>
    <t>James Wong</t>
  </si>
  <si>
    <t>Action|Adventure|Fantasy|Sci-Fi|Thriller</t>
  </si>
  <si>
    <t>Ian Whyte</t>
  </si>
  <si>
    <t>Dragonball: EvolutionÂ </t>
  </si>
  <si>
    <t>bad|dragon|grandfather|orb|warrior</t>
  </si>
  <si>
    <t>Steve Buscemi</t>
  </si>
  <si>
    <t>Comedy|Drama</t>
  </si>
  <si>
    <t>Trees LoungeÂ </t>
  </si>
  <si>
    <t>alcoholic drink|bar|drink|drinking|drunk</t>
  </si>
  <si>
    <t>Werner Herzog</t>
  </si>
  <si>
    <t>Nicolas Cage</t>
  </si>
  <si>
    <t>Bad Lieutenant: Port of Call New OrleansÂ </t>
  </si>
  <si>
    <t>drugs|flood|hallucination|lieutenant|murder investigation</t>
  </si>
  <si>
    <t>Tom Hanks</t>
  </si>
  <si>
    <t>Comedy|Drama|Music</t>
  </si>
  <si>
    <t>That Thing You Do!Â </t>
  </si>
  <si>
    <t>band|drummer|jazz|pennsylvania|song</t>
  </si>
  <si>
    <t>Richard Loncraine</t>
  </si>
  <si>
    <t>Jimmy Bennett</t>
  </si>
  <si>
    <t>FirewallÂ </t>
  </si>
  <si>
    <t>architect|bank|cayman islands|meeting|murder</t>
  </si>
  <si>
    <t>Wes Anderson</t>
  </si>
  <si>
    <t>Bill Murray</t>
  </si>
  <si>
    <t>RushmoreÂ </t>
  </si>
  <si>
    <t>coming of age|friendship|private school|student|teacher</t>
  </si>
  <si>
    <t>John McTiernan</t>
  </si>
  <si>
    <t>Action|Adventure|Thriller</t>
  </si>
  <si>
    <t>Scott Glenn</t>
  </si>
  <si>
    <t>The Hunt for Red OctoberÂ </t>
  </si>
  <si>
    <t>analyst|defection|navy|soviet submarine|submarine</t>
  </si>
  <si>
    <t>Tommy Wirkola</t>
  </si>
  <si>
    <t>Action|Fantasy|Horror</t>
  </si>
  <si>
    <t>Jeremy Renner</t>
  </si>
  <si>
    <t>Hansel &amp; Gretel: Witch HuntersÂ </t>
  </si>
  <si>
    <t>bounty hunter|brother sister team|death of loved one|hansel and gretel|supernatural power</t>
  </si>
  <si>
    <t>Kevin Spacey</t>
  </si>
  <si>
    <t>Viggo Mortensen</t>
  </si>
  <si>
    <t>Albino AlligatorÂ </t>
  </si>
  <si>
    <t>bar|box office flop|hostage|new orleans louisiana|police</t>
  </si>
  <si>
    <t>Eddie O'Flaherty</t>
  </si>
  <si>
    <t>Don Wallace</t>
  </si>
  <si>
    <t>Fighting Tommy RileyÂ </t>
  </si>
  <si>
    <t>older man younger man relationship|punching bag|school teacher|undressing|unrequited love</t>
  </si>
  <si>
    <t>Chuck Russell</t>
  </si>
  <si>
    <t>Action|Comedy|Crime|Fantasy</t>
  </si>
  <si>
    <t>Peter Greene</t>
  </si>
  <si>
    <t>The MaskÂ </t>
  </si>
  <si>
    <t>bank|bank clerk|gangster|loki|mask</t>
  </si>
  <si>
    <t>Fred Wolf</t>
  </si>
  <si>
    <t>Emma Stone</t>
  </si>
  <si>
    <t>The House BunnyÂ </t>
  </si>
  <si>
    <t>makeover|party|playboy|playboy mansion|sorority</t>
  </si>
  <si>
    <t>Brian Helgeland</t>
  </si>
  <si>
    <t>Action|Crime|Drama|Thriller</t>
  </si>
  <si>
    <t>Bill Duke</t>
  </si>
  <si>
    <t>PaybackÂ </t>
  </si>
  <si>
    <t>anti hero|criminal|greed|prostitute|tough guy</t>
  </si>
  <si>
    <t>Jon Favreau</t>
  </si>
  <si>
    <t>Adventure|Drama|Family|Fantasy</t>
  </si>
  <si>
    <t>The Jungle BookÂ </t>
  </si>
  <si>
    <t>fire|jungle|remake|tiger|wolf</t>
  </si>
  <si>
    <t>Todd Graff</t>
  </si>
  <si>
    <t>Dolly Parton</t>
  </si>
  <si>
    <t>Joyful NoiseÂ </t>
  </si>
  <si>
    <t>bare chested male|chips|two word title</t>
  </si>
  <si>
    <t>Mark Waters</t>
  </si>
  <si>
    <t>Comedy|Family|Fantasy</t>
  </si>
  <si>
    <t>Madeline Carroll</t>
  </si>
  <si>
    <t>Mr. Popper's PenguinsÂ </t>
  </si>
  <si>
    <t>father|penguin|snowglobe|son|winter</t>
  </si>
  <si>
    <t>Tim Robbins</t>
  </si>
  <si>
    <t>Cradle Will RockÂ </t>
  </si>
  <si>
    <t>1930s|depression|play|theatre|union</t>
  </si>
  <si>
    <t>Phillip Noyce</t>
  </si>
  <si>
    <t>Drama|Mystery|Romance|Thriller|War</t>
  </si>
  <si>
    <t>The Quiet AmericanÂ </t>
  </si>
  <si>
    <t>american|french|saigon|vietnam|vietnamese</t>
  </si>
  <si>
    <t>Raymond De Felitta</t>
  </si>
  <si>
    <t>Ezra Miller</t>
  </si>
  <si>
    <t>City IslandÂ </t>
  </si>
  <si>
    <t>anger|family reunion|father son reunion|hugging|movie making</t>
  </si>
  <si>
    <t>Joel Schumacher</t>
  </si>
  <si>
    <t>Batman ForeverÂ </t>
  </si>
  <si>
    <t>love|necktie|partner|rock music|tuxedo</t>
  </si>
  <si>
    <t>Donald Petrie</t>
  </si>
  <si>
    <t>Julia Roberts</t>
  </si>
  <si>
    <t>Mystic PizzaÂ </t>
  </si>
  <si>
    <t>commitment|marriage|pizza|title appears in writing|woman wearing only a man's shirt</t>
  </si>
  <si>
    <t>Robert Zemeckis</t>
  </si>
  <si>
    <t>Action|Adventure|Animation|Fantasy</t>
  </si>
  <si>
    <t>BeowulfÂ </t>
  </si>
  <si>
    <t>creature|demon|king|reward|warrior</t>
  </si>
  <si>
    <t>Doug Lefler</t>
  </si>
  <si>
    <t>Action|Adventure|Fantasy|War</t>
  </si>
  <si>
    <t>Colin Firth</t>
  </si>
  <si>
    <t>The Last LegionÂ </t>
  </si>
  <si>
    <t>5th century|boy|capri|roman legion|soldier</t>
  </si>
  <si>
    <t>Adventure|Animation|Comedy|Family|Fantasy|Romance</t>
  </si>
  <si>
    <t>Rupert Everett</t>
  </si>
  <si>
    <t>Shrek 2Â </t>
  </si>
  <si>
    <t>drag queen|physical appearance|princess|queen|sequel</t>
  </si>
  <si>
    <t>P.J. Hogan</t>
  </si>
  <si>
    <t>My Best Friend's WeddingÂ </t>
  </si>
  <si>
    <t>best friend|chick flick|male female friendship|promise|wedding</t>
  </si>
  <si>
    <t>Cameron Crowe</t>
  </si>
  <si>
    <t>Orlando Bloom</t>
  </si>
  <si>
    <t>ElizabethtownÂ </t>
  </si>
  <si>
    <t>flight|flight attendant|kentucky|shoes|travel</t>
  </si>
  <si>
    <t>Morten Tyldum</t>
  </si>
  <si>
    <t>Biography|Drama|Thriller|War</t>
  </si>
  <si>
    <t>Benedict Cumberbatch</t>
  </si>
  <si>
    <t>The Imitation GameÂ </t>
  </si>
  <si>
    <t>crossword puzzle|cryptography|enigma code|gay lead character|world war two</t>
  </si>
  <si>
    <t>Tom McCarthy</t>
  </si>
  <si>
    <t>The Station AgentÂ </t>
  </si>
  <si>
    <t>abandoned|depot|dwarf|newfoundland new jersey|train</t>
  </si>
  <si>
    <t>Scott Derrickson</t>
  </si>
  <si>
    <t>Horror|Mystery</t>
  </si>
  <si>
    <t>Danielle Kotch</t>
  </si>
  <si>
    <t>SinisterÂ </t>
  </si>
  <si>
    <t>book|found footage|research|snuff film|writer</t>
  </si>
  <si>
    <t>Dick Richards</t>
  </si>
  <si>
    <t>Adventure|Drama|Romance|War</t>
  </si>
  <si>
    <t>Catherine Deneuve</t>
  </si>
  <si>
    <t>March or DieÂ </t>
  </si>
  <si>
    <t>arab|bare chested male|foreign legion|french foreign legion|morocco</t>
  </si>
  <si>
    <t>Barbet Schroeder</t>
  </si>
  <si>
    <t>Crime|Mystery|Thriller</t>
  </si>
  <si>
    <t>Murder by NumbersÂ </t>
  </si>
  <si>
    <t>disposing of a dead body|high school student|murder|sociopath|teenage boy</t>
  </si>
  <si>
    <t>Hoyt Yeatman</t>
  </si>
  <si>
    <t>Action|Adventure|Animation|Comedy|Family|Fantasy|Sci-Fi</t>
  </si>
  <si>
    <t>Kelli Garner</t>
  </si>
  <si>
    <t>G-ForceÂ </t>
  </si>
  <si>
    <t>fbi director|guinea pig|household appliance|secret agent|talking mouse</t>
  </si>
  <si>
    <t>Gus Van Sant</t>
  </si>
  <si>
    <t>Adventure|Drama|Mystery</t>
  </si>
  <si>
    <t>Matt Damon</t>
  </si>
  <si>
    <t>GerryÂ </t>
  </si>
  <si>
    <t>desert|friend|friendship|minimal dialogue|water</t>
  </si>
  <si>
    <t>John Michael McDonagh</t>
  </si>
  <si>
    <t>Comedy|Crime|Thriller</t>
  </si>
  <si>
    <t>Don Cheadle</t>
  </si>
  <si>
    <t>The GuardÂ </t>
  </si>
  <si>
    <t>boat on fire|drug smuggling|fbi|fbi agent|small town</t>
  </si>
  <si>
    <t>Ireland</t>
  </si>
  <si>
    <t>Phil Lord</t>
  </si>
  <si>
    <t>22 Jump StreetÂ </t>
  </si>
  <si>
    <t>college|drugs|hidden camera|tattoo|undercover</t>
  </si>
  <si>
    <t>Bob Hoskins</t>
  </si>
  <si>
    <t>Maid in ManhattanÂ </t>
  </si>
  <si>
    <t>hotel|maid|new york city|place name in title|the bronx</t>
  </si>
  <si>
    <t>Jason Bateman</t>
  </si>
  <si>
    <t>Beth Grant</t>
  </si>
  <si>
    <t>Bad WordsÂ </t>
  </si>
  <si>
    <t>directed by star|indian american|spelling|spelling bee|two word title</t>
  </si>
  <si>
    <t>Olivier Megaton</t>
  </si>
  <si>
    <t>Liam Neeson</t>
  </si>
  <si>
    <t>Taken 2Â </t>
  </si>
  <si>
    <t>albanian|revenge|revenge motive|teenage daughter|vacation</t>
  </si>
  <si>
    <t>France</t>
  </si>
  <si>
    <t>Jonathan Mostow</t>
  </si>
  <si>
    <t>Action|Crime|Drama|Mystery|Thriller</t>
  </si>
  <si>
    <t>Kathleen Quinlan</t>
  </si>
  <si>
    <t>BreakdownÂ </t>
  </si>
  <si>
    <t>car breakdown|diner|jeep|paranoia|violence</t>
  </si>
  <si>
    <t>Steven Brill</t>
  </si>
  <si>
    <t>Comedy|Fantasy</t>
  </si>
  <si>
    <t>Adam Sandler</t>
  </si>
  <si>
    <t>Little NickyÂ </t>
  </si>
  <si>
    <t>angel|devil|flask|hell|the devil</t>
  </si>
  <si>
    <t>Philip Saville</t>
  </si>
  <si>
    <t>Biography|Drama|History</t>
  </si>
  <si>
    <t>Henry Ian Cusick</t>
  </si>
  <si>
    <t>The Visual Bible: The Gospel of JohnÂ </t>
  </si>
  <si>
    <t>1st century|based on the bible|miracle|religion|resurrection</t>
  </si>
  <si>
    <t>Canada</t>
  </si>
  <si>
    <t>Edward Zwick</t>
  </si>
  <si>
    <t>GloryÂ </t>
  </si>
  <si>
    <t>army|black soldier|military uniform|prejudice|u.s. civil war</t>
  </si>
  <si>
    <t>Adventure|Drama|Sci-Fi|Thriller</t>
  </si>
  <si>
    <t>The AbyssÂ </t>
  </si>
  <si>
    <t>alien|estranged couple|ocean|submarine|underwater</t>
  </si>
  <si>
    <t>Richard Donner</t>
  </si>
  <si>
    <t>Rene Russo</t>
  </si>
  <si>
    <t>Lethal Weapon 3Â </t>
  </si>
  <si>
    <t>gangster|gun|internal affairs|police|police officer</t>
  </si>
  <si>
    <t>Steven Spielberg</t>
  </si>
  <si>
    <t>Action|Adventure</t>
  </si>
  <si>
    <t>Harrison Ford</t>
  </si>
  <si>
    <t>Indiana Jones and the Temple of DoomÂ </t>
  </si>
  <si>
    <t>children|studio logo segues into film|temple|village|white dinner jacket</t>
  </si>
  <si>
    <t>David O. Russell</t>
  </si>
  <si>
    <t>Action|Adventure|Comedy|Drama|War</t>
  </si>
  <si>
    <t>Judy Greer</t>
  </si>
  <si>
    <t>Three KingsÂ </t>
  </si>
  <si>
    <t>gold|gulf war|iraq|kuwait|map</t>
  </si>
  <si>
    <t>Dean Parisot</t>
  </si>
  <si>
    <t>Adventure|Comedy|Sci-Fi</t>
  </si>
  <si>
    <t>Alan Rickman</t>
  </si>
  <si>
    <t>Galaxy QuestÂ </t>
  </si>
  <si>
    <t>alien|alien race|convention|fan|general</t>
  </si>
  <si>
    <t>John Schlesinger</t>
  </si>
  <si>
    <t>Mark Valley</t>
  </si>
  <si>
    <t>The Next Best ThingÂ </t>
  </si>
  <si>
    <t>best friend|cartoon on tv|custody battle|gay|gay friend</t>
  </si>
  <si>
    <t>Jean-Pierre Jeunet</t>
  </si>
  <si>
    <t>Mathieu Kassovitz</t>
  </si>
  <si>
    <t>AmÃ©lieÂ </t>
  </si>
  <si>
    <t>cheerfulness|female protagonist|garden gnome|magical realism|waitress</t>
  </si>
  <si>
    <t>French</t>
  </si>
  <si>
    <t>John A. Davis</t>
  </si>
  <si>
    <t>The Ant BullyÂ </t>
  </si>
  <si>
    <t>ant|miniaturization|punishment|shrinking|sudden change in size</t>
  </si>
  <si>
    <t>Ric Roman Waugh</t>
  </si>
  <si>
    <t>SnitchÂ </t>
  </si>
  <si>
    <t>cigarette smoking|dea|drugs|inspired by true events|undercover</t>
  </si>
  <si>
    <t>Yash Chopra</t>
  </si>
  <si>
    <t>Drama|Musical|Romance</t>
  </si>
  <si>
    <t>Shah Rukh Khan</t>
  </si>
  <si>
    <t>Veer-ZaaraÂ </t>
  </si>
  <si>
    <t>fair|pakistan|prison|rescue|stranded</t>
  </si>
  <si>
    <t>Hindi</t>
  </si>
  <si>
    <t>India</t>
  </si>
  <si>
    <t>Peter Weir</t>
  </si>
  <si>
    <t>Robin Williams</t>
  </si>
  <si>
    <t>Dead Poets SocietyÂ </t>
  </si>
  <si>
    <t>education|english teacher|poet|professor|student</t>
  </si>
  <si>
    <t>Stephen Herek</t>
  </si>
  <si>
    <t>Rock StarÂ </t>
  </si>
  <si>
    <t>cover band|fired from a job|heavy metal|rock star|tribute band</t>
  </si>
  <si>
    <t>Drama|War</t>
  </si>
  <si>
    <t>Jeremy Irvine</t>
  </si>
  <si>
    <t>War HorseÂ </t>
  </si>
  <si>
    <t>barbed wire|british|cavalry|horse|world war one</t>
  </si>
  <si>
    <t>Drama|Fantasy</t>
  </si>
  <si>
    <t>Peter Coyote</t>
  </si>
  <si>
    <t>NorthforkÂ </t>
  </si>
  <si>
    <t>boy|caretaker|dam|evacuation|orphanage</t>
  </si>
  <si>
    <t>John Moore</t>
  </si>
  <si>
    <t>Action|Drama|Thriller|War</t>
  </si>
  <si>
    <t>Joaquim de Almeida</t>
  </si>
  <si>
    <t>Behind Enemy LinesÂ </t>
  </si>
  <si>
    <t>battle|massacre|navigator|navy|rescue</t>
  </si>
  <si>
    <t>Peter Segal</t>
  </si>
  <si>
    <t>Adventure|Comedy</t>
  </si>
  <si>
    <t>Wilford Brimley</t>
  </si>
  <si>
    <t>My Fellow AmericansÂ </t>
  </si>
  <si>
    <t>gay pride|highway travel|president|road movie|u.s. president</t>
  </si>
  <si>
    <t>William Friedkin</t>
  </si>
  <si>
    <t>JadeÂ </t>
  </si>
  <si>
    <t>blackmail|investigation|murder|panties pulled down|prostitution</t>
  </si>
  <si>
    <t>Don Michael Paul</t>
  </si>
  <si>
    <t>Claudia Christian</t>
  </si>
  <si>
    <t>Half Past DeadÂ </t>
  </si>
  <si>
    <t>alcatraz|fbi|gold|prison|undercover</t>
  </si>
  <si>
    <t>Peter Fonda</t>
  </si>
  <si>
    <t>The LimeyÂ </t>
  </si>
  <si>
    <t>daughter|englishman|ex con|revenge|young woman</t>
  </si>
  <si>
    <t>Tom Hooper</t>
  </si>
  <si>
    <t>The King's SpeechÂ </t>
  </si>
  <si>
    <t>king|king george vi|speech|speech therapist|throne</t>
  </si>
  <si>
    <t>Christian Duguay</t>
  </si>
  <si>
    <t>Action|Adventure|Crime|Thriller</t>
  </si>
  <si>
    <t>The Art of WarÂ </t>
  </si>
  <si>
    <t>blood splatter|fbi|murder|secretary general|united nations</t>
  </si>
  <si>
    <t>Jon M. Chu</t>
  </si>
  <si>
    <t>Documentary|Music</t>
  </si>
  <si>
    <t>Usher Raymond</t>
  </si>
  <si>
    <t>Justin Bieber: Never Say NeverÂ </t>
  </si>
  <si>
    <t>boyhood friend|manager|plasma tv|prodigy|star</t>
  </si>
  <si>
    <t>Gil Kenan</t>
  </si>
  <si>
    <t>Animation|Comedy|Family|Fantasy|Mystery</t>
  </si>
  <si>
    <t>Monster HouseÂ </t>
  </si>
  <si>
    <t>babysitter|halloween|house|neighbor|suburb</t>
  </si>
  <si>
    <t>Robert Rodriguez</t>
  </si>
  <si>
    <t>Horror|Mystery|Sci-Fi</t>
  </si>
  <si>
    <t>Jordana Brewster</t>
  </si>
  <si>
    <t>The FacultyÂ </t>
  </si>
  <si>
    <t>alien|high school|ohio|photographer|water</t>
  </si>
  <si>
    <t>FranÃ§ois Girard</t>
  </si>
  <si>
    <t>Drama|Music|Mystery|Romance</t>
  </si>
  <si>
    <t>Johannes Silberschneider</t>
  </si>
  <si>
    <t>The Red ViolinÂ </t>
  </si>
  <si>
    <t>auction|montreal|secret|violin|violinist</t>
  </si>
  <si>
    <t>Nicholas Hytner</t>
  </si>
  <si>
    <t>Drama|Music|Romance</t>
  </si>
  <si>
    <t>Amanda Schull</t>
  </si>
  <si>
    <t>Center StageÂ </t>
  </si>
  <si>
    <t>ballet|dance|dancer|dancing|love</t>
  </si>
  <si>
    <t>Costa-Gavras</t>
  </si>
  <si>
    <t>Biography|Crime|Drama|War</t>
  </si>
  <si>
    <t>Sebastian Koch</t>
  </si>
  <si>
    <t>Amen.Â </t>
  </si>
  <si>
    <t>jesuit|jew|pope|priest|ss</t>
  </si>
  <si>
    <t>Lawrence Guterman</t>
  </si>
  <si>
    <t>Jamie Kennedy</t>
  </si>
  <si>
    <t>Son of the MaskÂ </t>
  </si>
  <si>
    <t>baby|cartoon on tv|cartoonist|dog|mask</t>
  </si>
  <si>
    <t>Michael Chapman</t>
  </si>
  <si>
    <t>Adventure|Drama|Fantasy</t>
  </si>
  <si>
    <t>Curtis Armstrong</t>
  </si>
  <si>
    <t>The Clan of the Cave BearÂ </t>
  </si>
  <si>
    <t>cave bear|cro magnon|neanderthal|survival|tradition</t>
  </si>
  <si>
    <t>Mike Nichols</t>
  </si>
  <si>
    <t>Maura Tierney</t>
  </si>
  <si>
    <t>Primary ColorsÂ </t>
  </si>
  <si>
    <t>campaigning|candidate|election|governor|president</t>
  </si>
  <si>
    <t>Adam Shankman</t>
  </si>
  <si>
    <t>Lauren German</t>
  </si>
  <si>
    <t>A Walk to RememberÂ </t>
  </si>
  <si>
    <t>community service|love|punishment|school|student</t>
  </si>
  <si>
    <t>Martin Scorsese</t>
  </si>
  <si>
    <t>Bringing Out the DeadÂ </t>
  </si>
  <si>
    <t>ambulance|ghost|hell|paramedic|rescue</t>
  </si>
  <si>
    <t>Kimberly Peirce</t>
  </si>
  <si>
    <t>Joseph Gordon-Levitt</t>
  </si>
  <si>
    <t>Stop-LossÂ </t>
  </si>
  <si>
    <t>friendship|honor|iraq war|soldier|texas</t>
  </si>
  <si>
    <t>Mike Binder</t>
  </si>
  <si>
    <t>Reign Over MeÂ </t>
  </si>
  <si>
    <t>college|depression|grief|mental breakdown|post september 11 2001</t>
  </si>
  <si>
    <t>JosÃ© Padilha</t>
  </si>
  <si>
    <t>Action|Crime|Sci-Fi|Thriller</t>
  </si>
  <si>
    <t>Gary Oldman</t>
  </si>
  <si>
    <t>RoboCopÂ </t>
  </si>
  <si>
    <t>law enforcement|police|robocop|robot|technology</t>
  </si>
  <si>
    <t>Neil Burger</t>
  </si>
  <si>
    <t>Adventure|Mystery|Sci-Fi</t>
  </si>
  <si>
    <t>Kate Winslet</t>
  </si>
  <si>
    <t>DivergentÂ </t>
  </si>
  <si>
    <t>army|brother sister relationship|dystopia|father son relationship|narrated by character</t>
  </si>
  <si>
    <t>Saving Private RyanÂ </t>
  </si>
  <si>
    <t>army|invasion|killed in action|normandy|soldier</t>
  </si>
  <si>
    <t>Mark Rydell</t>
  </si>
  <si>
    <t>David Keith</t>
  </si>
  <si>
    <t>The RoseÂ </t>
  </si>
  <si>
    <t>awol|demand|driver|drugs|roses</t>
  </si>
  <si>
    <t>Adam Goldberg</t>
  </si>
  <si>
    <t>I Love Your WorkÂ </t>
  </si>
  <si>
    <t>film student|marriage|mental breakdown|movie star|obsession</t>
  </si>
  <si>
    <t>George Gallo</t>
  </si>
  <si>
    <t>Action|Comedy|Crime|Thriller</t>
  </si>
  <si>
    <t>Daniel Roebuck</t>
  </si>
  <si>
    <t>Double TakeÂ </t>
  </si>
  <si>
    <t>cia|cia agent|fbi|mexico|train</t>
  </si>
  <si>
    <t>Action|Adventure|Sci-Fi|Thriller</t>
  </si>
  <si>
    <t>G.I. Joe: RetaliationÂ </t>
  </si>
  <si>
    <t>general|gi joe|martial arts|ninja|president</t>
  </si>
  <si>
    <t>Will Finn</t>
  </si>
  <si>
    <t>Adventure|Animation|Family|Fantasy|Musical</t>
  </si>
  <si>
    <t>Lea Michele</t>
  </si>
  <si>
    <t>Legends of Oz: Dorothy's ReturnÂ </t>
  </si>
  <si>
    <t>jester|kansas|oz|princess|tornado</t>
  </si>
  <si>
    <t>Paul Walker</t>
  </si>
  <si>
    <t>Flags of Our FathersÂ </t>
  </si>
  <si>
    <t>imperial japan|japan|japanese army|japanese soldier|world war two</t>
  </si>
  <si>
    <t>Rod Lurie</t>
  </si>
  <si>
    <t>Clifton Collins Jr.</t>
  </si>
  <si>
    <t>The Last CastleÂ </t>
  </si>
  <si>
    <t>colonel|general|military|prison|three star general</t>
  </si>
  <si>
    <t>Andrea Di Stefano</t>
  </si>
  <si>
    <t>Crime|Drama|Romance|Thriller</t>
  </si>
  <si>
    <t>Josh Hutcherson</t>
  </si>
  <si>
    <t>Escobar: Paradise LostÂ </t>
  </si>
  <si>
    <t>colombia|dream|love|surfer|village</t>
  </si>
  <si>
    <t>Patrick Hughes</t>
  </si>
  <si>
    <t>Jason Statham</t>
  </si>
  <si>
    <t>The Expendables 3Â </t>
  </si>
  <si>
    <t>battle|fight|mission|pg 13 sequel to r rated franchise|rescue</t>
  </si>
  <si>
    <t>Frank LaLoggia</t>
  </si>
  <si>
    <t>Fantasy|Horror|Mystery|Thriller</t>
  </si>
  <si>
    <t>Alex Rocco</t>
  </si>
  <si>
    <t>Lady in WhiteÂ </t>
  </si>
  <si>
    <t>1960s|boy|ghost|murder|small town</t>
  </si>
  <si>
    <t>Jon Amiel</t>
  </si>
  <si>
    <t>Action|Crime|Romance|Thriller</t>
  </si>
  <si>
    <t>Will Patton</t>
  </si>
  <si>
    <t>EntrapmentÂ </t>
  </si>
  <si>
    <t>art thief|insurance|mask|master thief|reference to iron maiden</t>
  </si>
  <si>
    <t>Gabriele Muccino</t>
  </si>
  <si>
    <t>Comedy|Romance|Sport</t>
  </si>
  <si>
    <t>Gerard Butler</t>
  </si>
  <si>
    <t>Playing for KeepsÂ </t>
  </si>
  <si>
    <t>coach|soccer|soccer coach|soccer mom|soccer team</t>
  </si>
  <si>
    <t>Nadine Labaki</t>
  </si>
  <si>
    <t>Yasmine Al Massri</t>
  </si>
  <si>
    <t>CaramelÂ </t>
  </si>
  <si>
    <t>caramel|friendship|police|secret|suitor</t>
  </si>
  <si>
    <t>Arabic</t>
  </si>
  <si>
    <t>John Glen</t>
  </si>
  <si>
    <t>Robert Davi</t>
  </si>
  <si>
    <t>Licence to KillÂ </t>
  </si>
  <si>
    <t>drug cartel|drug lord|james bond 007|personal vendetta|vengeance</t>
  </si>
  <si>
    <t>Robert Stromberg</t>
  </si>
  <si>
    <t>Action|Adventure|Family|Fantasy|Romance</t>
  </si>
  <si>
    <t>Angelina Jolie Pitt</t>
  </si>
  <si>
    <t>MaleficentÂ </t>
  </si>
  <si>
    <t>curse|dark fantasy|fairy|king|kingdom</t>
  </si>
  <si>
    <t>Lana Wachowski</t>
  </si>
  <si>
    <t>Action|Sci-Fi</t>
  </si>
  <si>
    <t>Steve Bastoni</t>
  </si>
  <si>
    <t>The Matrix ReloadedÂ </t>
  </si>
  <si>
    <t>car motorcycle chase|one against many|oracle|prophecy|stylized violence</t>
  </si>
  <si>
    <t>Robert Cary</t>
  </si>
  <si>
    <t>Frances Conroy</t>
  </si>
  <si>
    <t>Ira &amp; AbbyÂ </t>
  </si>
  <si>
    <t>erectile dysfunction|mugger|mugging|subway robbery|therapy</t>
  </si>
  <si>
    <t>Sean Anders</t>
  </si>
  <si>
    <t>Comedy|Family</t>
  </si>
  <si>
    <t>Daddy's HomeÂ </t>
  </si>
  <si>
    <t>biological father|dad|drinking|product placement|wilhelm scream</t>
  </si>
  <si>
    <t>Michael Bay</t>
  </si>
  <si>
    <t>Action|Drama|History|Romance|War</t>
  </si>
  <si>
    <t>Jennifer Garner</t>
  </si>
  <si>
    <t>Pearl HarborÂ </t>
  </si>
  <si>
    <t>air raid|black smoke|japanese military|japanese navy|sunday</t>
  </si>
  <si>
    <t>Adventure|Animation|Family|Fantasy</t>
  </si>
  <si>
    <t>The Polar ExpressÂ </t>
  </si>
  <si>
    <t>boy|christmas|christmas eve|north pole|train</t>
  </si>
  <si>
    <t>John Woo</t>
  </si>
  <si>
    <t>Delroy Lindo</t>
  </si>
  <si>
    <t>Broken ArrowÂ </t>
  </si>
  <si>
    <t>captain|desert|major|park ranger|utah</t>
  </si>
  <si>
    <t>Michael Haneke</t>
  </si>
  <si>
    <t>Crime|Drama|Horror|Thriller</t>
  </si>
  <si>
    <t>Naomi Watts</t>
  </si>
  <si>
    <t>Funny GamesÂ </t>
  </si>
  <si>
    <t>breaking the fourth wall|looking at the camera|remake|serial killer|violence</t>
  </si>
  <si>
    <t>David Ayer</t>
  </si>
  <si>
    <t>J.K. Simmons</t>
  </si>
  <si>
    <t>Harsh TimesÂ </t>
  </si>
  <si>
    <t>blood splatter|friend|lapd|mexican|violence</t>
  </si>
  <si>
    <t>Terry Gilliam</t>
  </si>
  <si>
    <t>Drama|Sci-Fi</t>
  </si>
  <si>
    <t>Robert De Niro</t>
  </si>
  <si>
    <t>BrazilÂ </t>
  </si>
  <si>
    <t>black comedy|bureaucracy|dream|terrorist|wrongful arrest</t>
  </si>
  <si>
    <t>Michael Hoffman</t>
  </si>
  <si>
    <t>Biography|Drama|Romance</t>
  </si>
  <si>
    <t>David Masterson</t>
  </si>
  <si>
    <t>The Last StationÂ </t>
  </si>
  <si>
    <t>countess|leo tolstoy|russian|wealth|writing</t>
  </si>
  <si>
    <t>Randal Kleiser</t>
  </si>
  <si>
    <t>Adventure|Drama</t>
  </si>
  <si>
    <t>Seymour Cassel</t>
  </si>
  <si>
    <t>White FangÂ </t>
  </si>
  <si>
    <t>alaska|dog|friendship|gold|yukon</t>
  </si>
  <si>
    <t>Kevin Smith</t>
  </si>
  <si>
    <t>Stephen Root</t>
  </si>
  <si>
    <t>Jersey GirlÂ </t>
  </si>
  <si>
    <t>baby|childbirth|death|karma|publicist</t>
  </si>
  <si>
    <t>Nick Gomez</t>
  </si>
  <si>
    <t>Comedy|Crime|Mystery</t>
  </si>
  <si>
    <t>Drowning MonaÂ </t>
  </si>
  <si>
    <t>crying woman|plot|suspect|waitress|younger man older woman relationship</t>
  </si>
  <si>
    <t>James McTeigue</t>
  </si>
  <si>
    <t>ShÃ´ Kosugi</t>
  </si>
  <si>
    <t>Ninja AssassinÂ </t>
  </si>
  <si>
    <t>critically bashed|kung fu|martial artist|martial arts|ninja</t>
  </si>
  <si>
    <t>Michel Hazanavicius</t>
  </si>
  <si>
    <t>BÃ©rÃ©nice Bejo</t>
  </si>
  <si>
    <t>The ArtistÂ </t>
  </si>
  <si>
    <t>1920s|jack russell terrier|modern silent movie|movie star|movie studio</t>
  </si>
  <si>
    <t>Wallace Wolodarsky</t>
  </si>
  <si>
    <t>Heather Matarazzo</t>
  </si>
  <si>
    <t>Sorority BoysÂ </t>
  </si>
  <si>
    <t>college|cruise|drag|female armpit hair|sorority</t>
  </si>
  <si>
    <t>Action|Comedy|Drama|Family|Thriller</t>
  </si>
  <si>
    <t>Vin Diesel</t>
  </si>
  <si>
    <t>The PacifierÂ </t>
  </si>
  <si>
    <t>bodyguard|death of husband|male nanny|nanny|wrestling match</t>
  </si>
  <si>
    <t>Sylvain White</t>
  </si>
  <si>
    <t>Chris Brown</t>
  </si>
  <si>
    <t>Stomp the YardÂ </t>
  </si>
  <si>
    <t>atlanta georgia|competition|dancer|death|fraternity</t>
  </si>
  <si>
    <t>Wolfgang Petersen</t>
  </si>
  <si>
    <t>Action|Adventure|Drama|Thriller</t>
  </si>
  <si>
    <t>PoseidonÂ </t>
  </si>
  <si>
    <t>cruise|escape|ocean|passenger|water</t>
  </si>
  <si>
    <t>Rob Marshall</t>
  </si>
  <si>
    <t>Fergie</t>
  </si>
  <si>
    <t>NineÂ </t>
  </si>
  <si>
    <t>based on stage musical based on film|child abuse|film director|italian|mistress</t>
  </si>
  <si>
    <t>Sofia Coppola</t>
  </si>
  <si>
    <t>Lost in TranslationÂ </t>
  </si>
  <si>
    <t>fish out of water|japanese|loneliness|older man younger woman relationship|unlikely friendship</t>
  </si>
  <si>
    <t>Betty Thomas</t>
  </si>
  <si>
    <t>Doctor DolittleÂ </t>
  </si>
  <si>
    <t>box office hit|doctor|dog|first part|tiger</t>
  </si>
  <si>
    <t>Jaume Collet-Serra</t>
  </si>
  <si>
    <t>Run All NightÂ </t>
  </si>
  <si>
    <t>death|drug dealer|limousine|limousine driver|one night</t>
  </si>
  <si>
    <t>Forest Whitaker</t>
  </si>
  <si>
    <t>Bill Cobbs</t>
  </si>
  <si>
    <t>Hope FloatsÂ </t>
  </si>
  <si>
    <t>best friend|friend|mother daughter relationship|small town|texas</t>
  </si>
  <si>
    <t>Adventure|Comedy|Crime</t>
  </si>
  <si>
    <t>Jere Burns</t>
  </si>
  <si>
    <t>Crocodile Dundee in Los AngelesÂ </t>
  </si>
  <si>
    <t>boat|crocodile|garbage can|knife|paramount pictures</t>
  </si>
  <si>
    <t>Don Bluth</t>
  </si>
  <si>
    <t>Adventure|Animation|Drama|Family|Fantasy|Musical|Mystery|Romance</t>
  </si>
  <si>
    <t>Kirsten Dunst</t>
  </si>
  <si>
    <t>AnastasiaÂ </t>
  </si>
  <si>
    <t>amnesia|reference to anastasia romanov|romanov|russia|russian revolution</t>
  </si>
  <si>
    <t>Adam Marcus</t>
  </si>
  <si>
    <t>Fantasy|Horror|Thriller</t>
  </si>
  <si>
    <t>Kane Hodder</t>
  </si>
  <si>
    <t>Jason Goes to Hell: The Final FridayÂ </t>
  </si>
  <si>
    <t>brutality|evil|jason voorhees|paranormal phenomena|terror</t>
  </si>
  <si>
    <t>Oliver Stone</t>
  </si>
  <si>
    <t>Drama|History|Thriller</t>
  </si>
  <si>
    <t>World Trade CenterÂ </t>
  </si>
  <si>
    <t>based on true story|police|rescue|rubble|trapped</t>
  </si>
  <si>
    <t>Glenn Ficarra</t>
  </si>
  <si>
    <t>Crazy, Stupid, Love.Â </t>
  </si>
  <si>
    <t>bar|divorce|friend|girl|male objectification</t>
  </si>
  <si>
    <t>StonewallÂ </t>
  </si>
  <si>
    <t>box office flop|critically bashed|gay rights|new york city|stonewall riots</t>
  </si>
  <si>
    <t>Action|Comedy</t>
  </si>
  <si>
    <t>Christina Milian</t>
  </si>
  <si>
    <t>Man of the HouseÂ </t>
  </si>
  <si>
    <t>cheerleader|cheerleading movie|neo noir|neo western|texas ranger</t>
  </si>
  <si>
    <t>Shawn Levy</t>
  </si>
  <si>
    <t>Action|Drama|Sci-Fi|Sport</t>
  </si>
  <si>
    <t>Hugh Jackman</t>
  </si>
  <si>
    <t>Real SteelÂ </t>
  </si>
  <si>
    <t>arena|boxing|boxing movie|robot|robot battle</t>
  </si>
  <si>
    <t>Jon Gunn</t>
  </si>
  <si>
    <t>Action|Crime|Drama</t>
  </si>
  <si>
    <t>Stacy Keach</t>
  </si>
  <si>
    <t>Mercy StreetsÂ </t>
  </si>
  <si>
    <t>church|cigarette smoking|deacon|twin brother|twins</t>
  </si>
  <si>
    <t>Joel Gallen</t>
  </si>
  <si>
    <t>Chris Evans</t>
  </si>
  <si>
    <t>Not Another Teen MovieÂ </t>
  </si>
  <si>
    <t>cheerleader|foreign exchange student|incestuous desire|incestuous kiss|prom</t>
  </si>
  <si>
    <t>Simon West</t>
  </si>
  <si>
    <t>Daniel von Bargen</t>
  </si>
  <si>
    <t>The General's DaughterÂ </t>
  </si>
  <si>
    <t>army cid|cover up|military|murder|woman in military</t>
  </si>
  <si>
    <t>Malcolm D. Lee</t>
  </si>
  <si>
    <t>Dave Chappelle</t>
  </si>
  <si>
    <t>Undercover BrotherÂ </t>
  </si>
  <si>
    <t>african american|cadillac|disguise|secret agent|undercover</t>
  </si>
  <si>
    <t>Sol Tryon</t>
  </si>
  <si>
    <t>Jim Gaffigan</t>
  </si>
  <si>
    <t>The Living WakeÂ </t>
  </si>
  <si>
    <t>artist|black comedy</t>
  </si>
  <si>
    <t>Peter Jackson</t>
  </si>
  <si>
    <t>Action|Adventure|Drama|Romance</t>
  </si>
  <si>
    <t>King KongÂ </t>
  </si>
  <si>
    <t>animal name in title|ape abducts a woman|gorilla|island|king kong</t>
  </si>
  <si>
    <t>New Zealand</t>
  </si>
  <si>
    <t>Morgan Spurlock</t>
  </si>
  <si>
    <t>Comedy|Documentary|Drama</t>
  </si>
  <si>
    <t>Chemeeka Walker</t>
  </si>
  <si>
    <t>Super Size MeÂ </t>
  </si>
  <si>
    <t>experiment|fast food|food industry|meal|overeating</t>
  </si>
  <si>
    <t>George Jackson</t>
  </si>
  <si>
    <t>Comedy|Drama|Music|Romance</t>
  </si>
  <si>
    <t>William Schallert</t>
  </si>
  <si>
    <t>House Party 2Â </t>
  </si>
  <si>
    <t>college|misogyny|money|new friend|party</t>
  </si>
  <si>
    <t>Mia Kirshner</t>
  </si>
  <si>
    <t>Mad CityÂ </t>
  </si>
  <si>
    <t>hostage|museum|natural history museum|news reporter|reporter</t>
  </si>
  <si>
    <t>John Erick Dowdle</t>
  </si>
  <si>
    <t>Horror|Sci-Fi|Thriller</t>
  </si>
  <si>
    <t>Andrew Fiscella</t>
  </si>
  <si>
    <t>QuarantineÂ </t>
  </si>
  <si>
    <t>apartment building|found footage|television|trapped|virus</t>
  </si>
  <si>
    <t>David Yates</t>
  </si>
  <si>
    <t>Adventure|Family|Fantasy|Mystery</t>
  </si>
  <si>
    <t>Harry Potter and the Half-Blood PrinceÂ </t>
  </si>
  <si>
    <t>blood|book|love|potion|professor</t>
  </si>
  <si>
    <t>Drama|Mystery|Romance|Thriller</t>
  </si>
  <si>
    <t>Bryce Dallas Howard</t>
  </si>
  <si>
    <t>The VillageÂ </t>
  </si>
  <si>
    <t>creature|pact|plot twist|village|woods</t>
  </si>
  <si>
    <t>Action|Adventure|Drama|Fantasy</t>
  </si>
  <si>
    <t>Christopher Lee</t>
  </si>
  <si>
    <t>The Lord of the Rings: The Two TowersÂ </t>
  </si>
  <si>
    <t>epic|evil wizard|middle earth|ring|wizard</t>
  </si>
  <si>
    <t>Action|Fantasy|Horror|Thriller</t>
  </si>
  <si>
    <t>Julian Sands</t>
  </si>
  <si>
    <t>WarlockÂ </t>
  </si>
  <si>
    <t>17th century|book|death|warlock|witch hunter</t>
  </si>
  <si>
    <t>Marco Kreuzpaintner</t>
  </si>
  <si>
    <t>Comedy|Drama|Romance|Sport</t>
  </si>
  <si>
    <t>Alicja Bachleda</t>
  </si>
  <si>
    <t>Summer StormÂ </t>
  </si>
  <si>
    <t>friend|friendship|rowing|storm|summer camp</t>
  </si>
  <si>
    <t>German</t>
  </si>
  <si>
    <t>Drama|Mystery|Romance|War</t>
  </si>
  <si>
    <t>Denis Lavant</t>
  </si>
  <si>
    <t>A Very Long EngagementÂ </t>
  </si>
  <si>
    <t>court martial|death|girl|no man's land|soldier</t>
  </si>
  <si>
    <t>Tyler Perry</t>
  </si>
  <si>
    <t>Eric Mendenhall</t>
  </si>
  <si>
    <t>I Can Do Bad All by MyselfÂ </t>
  </si>
  <si>
    <t>aunt|immigrant|looting|love|nightclub singer</t>
  </si>
  <si>
    <t>Anna Boden</t>
  </si>
  <si>
    <t>ZoÃ« Kravitz</t>
  </si>
  <si>
    <t>It's Kind of a Funny StoryÂ </t>
  </si>
  <si>
    <t>based on novel|depression|psychiatric ward|suicide attempt|therapy</t>
  </si>
  <si>
    <t>Jez Butterworth</t>
  </si>
  <si>
    <t>Mark Gatiss</t>
  </si>
  <si>
    <t>Birthday GirlÂ </t>
  </si>
  <si>
    <t>bank|bank clerk|birthday|mail order bride|russian</t>
  </si>
  <si>
    <t>Alex Zamm</t>
  </si>
  <si>
    <t>Taylor Negron</t>
  </si>
  <si>
    <t>Chairman of the BoardÂ </t>
  </si>
  <si>
    <t>box office flop|company|invention|roommate|surfer</t>
  </si>
  <si>
    <t>Jeff Tremaine</t>
  </si>
  <si>
    <t>Jackson Nicoll</t>
  </si>
  <si>
    <t>Bad GrandpaÂ </t>
  </si>
  <si>
    <t>child beauty pageant|grandson|hidden camera|jackass|road trip</t>
  </si>
  <si>
    <t>Ramaa Mosley</t>
  </si>
  <si>
    <t>Comedy|Fantasy|Thriller</t>
  </si>
  <si>
    <t>Jack McBrayer</t>
  </si>
  <si>
    <t>The Brass TeapotÂ </t>
  </si>
  <si>
    <t>mini dress|mini skirt|money|voyeur|voyeurism</t>
  </si>
  <si>
    <t>David Raynr</t>
  </si>
  <si>
    <t>Whatever It TakesÂ </t>
  </si>
  <si>
    <t>male objectification|manipulative behavior|modern day adaptation|narcissistic woman|promiscuous woman</t>
  </si>
  <si>
    <t>Irwin Winkler</t>
  </si>
  <si>
    <t>Mira Sorvino</t>
  </si>
  <si>
    <t>At First SightÂ </t>
  </si>
  <si>
    <t>based on article|blindness|box office flop|massage therapist|regaining sight</t>
  </si>
  <si>
    <t>Peter Sollett</t>
  </si>
  <si>
    <t>Steve Carell</t>
  </si>
  <si>
    <t>FreeheldÂ </t>
  </si>
  <si>
    <t>cancer|gay bar|lesbian kiss|partner|public hearing</t>
  </si>
  <si>
    <t>Alex Gibney</t>
  </si>
  <si>
    <t>Crime|Documentary|War</t>
  </si>
  <si>
    <t>Taxi to the Dark SideÂ </t>
  </si>
  <si>
    <t>afghanistan|detainee|guantanamo bay|taxi|torture</t>
  </si>
  <si>
    <t>Jim Sheridan</t>
  </si>
  <si>
    <t>Natalie Portman</t>
  </si>
  <si>
    <t>BrothersÂ </t>
  </si>
  <si>
    <t>afghanistan|death of soldier|presumed dead|prisoner|war trauma</t>
  </si>
  <si>
    <t>Brian Levant</t>
  </si>
  <si>
    <t>Comedy|Family|Romance|Sci-Fi</t>
  </si>
  <si>
    <t>The Flintstones in Viva Rock VegasÂ </t>
  </si>
  <si>
    <t>based on tv series|love|prequel|the flintstones|title appears in song</t>
  </si>
  <si>
    <t>Renny Harlin</t>
  </si>
  <si>
    <t>Action|Thriller</t>
  </si>
  <si>
    <t>Die Hard 2Â </t>
  </si>
  <si>
    <t>airport|fuel|plane|police|terrorist</t>
  </si>
  <si>
    <t>Comedy|Fantasy|Horror</t>
  </si>
  <si>
    <t>Phoebe Cates</t>
  </si>
  <si>
    <t>GremlinsÂ </t>
  </si>
  <si>
    <t>bright light|midnight|pet|small town|water</t>
  </si>
  <si>
    <t>Lance Hool</t>
  </si>
  <si>
    <t>Action|Drama|History|Romance|War|Western</t>
  </si>
  <si>
    <t>Tom Berenger</t>
  </si>
  <si>
    <t>One Man's HeroÂ </t>
  </si>
  <si>
    <t>american|battalion|catholic|mexican|sergeant</t>
  </si>
  <si>
    <t>Spain</t>
  </si>
  <si>
    <t>The CounselorÂ </t>
  </si>
  <si>
    <t>cunnilingus|drug trafficking|lawyer|no panties|shootout</t>
  </si>
  <si>
    <t>Jan de Bont</t>
  </si>
  <si>
    <t>Jason Patric</t>
  </si>
  <si>
    <t>Speed 2: Cruise ControlÂ </t>
  </si>
  <si>
    <t>collision course|computer|cruise|diamonds|ship run aground</t>
  </si>
  <si>
    <t>Christopher McQuarrie</t>
  </si>
  <si>
    <t>Mission: Impossible - Rogue NationÂ </t>
  </si>
  <si>
    <t>capture|computer hacker|mission|rogue agent|spy</t>
  </si>
  <si>
    <t>Independence Day: ResurgenceÂ </t>
  </si>
  <si>
    <t>alien|battle|defense|independence day|mothership</t>
  </si>
  <si>
    <t>Brad Silberling</t>
  </si>
  <si>
    <t>Land of the LostÂ </t>
  </si>
  <si>
    <t>human versus dinosaur|lizard|primate|time travel|tyrannosaurus rex</t>
  </si>
  <si>
    <t>Ron Howard</t>
  </si>
  <si>
    <t>Biography|Drama|Sport</t>
  </si>
  <si>
    <t>Paddy Considine</t>
  </si>
  <si>
    <t>Cinderella ManÂ </t>
  </si>
  <si>
    <t>boxer|boxing|dream|great depression|love</t>
  </si>
  <si>
    <t>Chris Stokes</t>
  </si>
  <si>
    <t>Jennifer Freeman</t>
  </si>
  <si>
    <t>You Got ServedÂ </t>
  </si>
  <si>
    <t>competition|dance contest|friend|money|street dancing</t>
  </si>
  <si>
    <t>Martin Weisz</t>
  </si>
  <si>
    <t>Jeff Kober</t>
  </si>
  <si>
    <t>The Hills Have Eyes IIÂ </t>
  </si>
  <si>
    <t>desert|fight|hill|murder|mutant</t>
  </si>
  <si>
    <t>Adventure|Animation|Comedy|Crime|Family</t>
  </si>
  <si>
    <t>Fantastic Mr. FoxÂ </t>
  </si>
  <si>
    <t>cider|farm|farmer|fox|tale</t>
  </si>
  <si>
    <t>Todd Haynes</t>
  </si>
  <si>
    <t>Far from HeavenÂ </t>
  </si>
  <si>
    <t>african american|catastrophe|family relationships|farewell scene|therapy</t>
  </si>
  <si>
    <t>David Twohy</t>
  </si>
  <si>
    <t>The Chronicles of RiddickÂ </t>
  </si>
  <si>
    <t>bounty hunter|escape|necromonger|planet|warrior</t>
  </si>
  <si>
    <t>Michael Martin</t>
  </si>
  <si>
    <t>Joe Estevez</t>
  </si>
  <si>
    <t>I Got the Hook UpÂ </t>
  </si>
  <si>
    <t>friend|obscenity|scam|vacant lot|van</t>
  </si>
  <si>
    <t>Comedy|Crime|Sport</t>
  </si>
  <si>
    <t>The Longest YardÂ </t>
  </si>
  <si>
    <t>coach|convict|football|prison|warden</t>
  </si>
  <si>
    <t>Scott Stewart</t>
  </si>
  <si>
    <t>LegionÂ </t>
  </si>
  <si>
    <t>angel|diner|faith|human race|religious faith</t>
  </si>
  <si>
    <t>Action|Mystery|Thriller</t>
  </si>
  <si>
    <t>Heath Ledger</t>
  </si>
  <si>
    <t>The OrderÂ </t>
  </si>
  <si>
    <t>death|exorcism|heaven|priest|sin eater</t>
  </si>
  <si>
    <t>Ken Scott</t>
  </si>
  <si>
    <t>Jack Reynor</t>
  </si>
  <si>
    <t>Delivery ManÂ </t>
  </si>
  <si>
    <t>children|identity|lawsuit|lawyer|sperm donor</t>
  </si>
  <si>
    <t>Tony Bancroft</t>
  </si>
  <si>
    <t>Adventure|Animation|Family|Fantasy|Musical|War</t>
  </si>
  <si>
    <t>Ming-Na Wen</t>
  </si>
  <si>
    <t>MulanÂ </t>
  </si>
  <si>
    <t>based on poem|based on true story|china|one word title|the huns</t>
  </si>
  <si>
    <t>Peter Hewitt</t>
  </si>
  <si>
    <t>Adventure|Comedy|Fantasy|Music|Sci-Fi</t>
  </si>
  <si>
    <t>Keanu Reeves</t>
  </si>
  <si>
    <t>Bill &amp; Ted's Bogus JourneyÂ </t>
  </si>
  <si>
    <t>battle of the bands|bill and ted|heaven|hell|robot</t>
  </si>
  <si>
    <t>Drama|Fantasy|Thriller</t>
  </si>
  <si>
    <t>Michael Imperioli</t>
  </si>
  <si>
    <t>The Lovely BonesÂ </t>
  </si>
  <si>
    <t>1970s|afterlife|heaven|pedophile|rape</t>
  </si>
  <si>
    <t>Action|Crime|Mystery|Thriller</t>
  </si>
  <si>
    <t>Jack ReacherÂ </t>
  </si>
  <si>
    <t>coma|mysterious villain|police chase|shooting range|sniper</t>
  </si>
  <si>
    <t>Christopher Erskin</t>
  </si>
  <si>
    <t>Vanessa Williams</t>
  </si>
  <si>
    <t>Johnson Family VacationÂ </t>
  </si>
  <si>
    <t>cross country|cross country trip|highway travel|on the road|road movie</t>
  </si>
  <si>
    <t>Etan Cohen</t>
  </si>
  <si>
    <t>Get HardÂ </t>
  </si>
  <si>
    <t>camera focus on female butt|gay bar|millionaire|singing in a car|two word title</t>
  </si>
  <si>
    <t>Ang Lee</t>
  </si>
  <si>
    <t>Sense and SensibilityÂ </t>
  </si>
  <si>
    <t>1810s|female protagonist|horseback riding|inheritance|three word title</t>
  </si>
  <si>
    <t>Norman Ferguson</t>
  </si>
  <si>
    <t>Animation|Family|Fantasy|Musical</t>
  </si>
  <si>
    <t>Mel Blanc</t>
  </si>
  <si>
    <t>PinocchioÂ </t>
  </si>
  <si>
    <t>boy|conscience|fairy|jiminy cricket|pinocchio</t>
  </si>
  <si>
    <t>Jonathan Dayton</t>
  </si>
  <si>
    <t>Little Miss SunshineÂ </t>
  </si>
  <si>
    <t>gay|graduate student|sister sister relationship|sprite|uncle nephew relationship</t>
  </si>
  <si>
    <t>Tim Johnson</t>
  </si>
  <si>
    <t>Jim Parsons</t>
  </si>
  <si>
    <t>HomeÂ </t>
  </si>
  <si>
    <t>alien friendship|alien invasion|australia|flying car|mother daughter relationship</t>
  </si>
  <si>
    <t>Peter Farrelly</t>
  </si>
  <si>
    <t>Lauren Holly</t>
  </si>
  <si>
    <t>Dumb &amp; DumberÂ </t>
  </si>
  <si>
    <t>briefcase full of money|character repeating someone else's dialogue|character says i love you|friendship|reference to cinderella</t>
  </si>
  <si>
    <t>Breck Eisner</t>
  </si>
  <si>
    <t>Action|Adventure|Comedy|Thriller</t>
  </si>
  <si>
    <t>SaharaÂ </t>
  </si>
  <si>
    <t>beach|civil war|desert|dictator|ship</t>
  </si>
  <si>
    <t>Josh Schwartz</t>
  </si>
  <si>
    <t>Thomas McDonell</t>
  </si>
  <si>
    <t>Fun SizeÂ </t>
  </si>
  <si>
    <t>adult humor|best friend|friend|halloween|teenage girl</t>
  </si>
  <si>
    <t>Enrique Begne</t>
  </si>
  <si>
    <t>Kevin Pollak</t>
  </si>
  <si>
    <t>CompadresÂ </t>
  </si>
  <si>
    <t>Mexico</t>
  </si>
  <si>
    <t>Peter Atencio</t>
  </si>
  <si>
    <t>Nia Long</t>
  </si>
  <si>
    <t>KeanuÂ </t>
  </si>
  <si>
    <t>car chase|gangsta|gun fight|hitman|kitten</t>
  </si>
  <si>
    <t>Death Becomes HerÂ </t>
  </si>
  <si>
    <t>plastic surgeon|rejuvenation|revenge|rival|rivalry</t>
  </si>
  <si>
    <t>James Foley</t>
  </si>
  <si>
    <t>Louis Lombardi</t>
  </si>
  <si>
    <t>ConfidenceÂ </t>
  </si>
  <si>
    <t>con|grifter|lap dance|organized crime|shot in the forehead</t>
  </si>
  <si>
    <t>Norman Jewison</t>
  </si>
  <si>
    <t>Haley Joel Osment</t>
  </si>
  <si>
    <t>BogusÂ </t>
  </si>
  <si>
    <t>box office flop|circus|imaginary friend|magician|one word title</t>
  </si>
  <si>
    <t>The Sixth SenseÂ </t>
  </si>
  <si>
    <t>able to see the dead|ghost|plot twist|psychic|surprise ending</t>
  </si>
  <si>
    <t>Rand Ravich</t>
  </si>
  <si>
    <t>Drama|Sci-Fi|Thriller</t>
  </si>
  <si>
    <t>The Astronaut's WifeÂ </t>
  </si>
  <si>
    <t>astronaut|electrocuted in bathtub|mission|pilot|sister</t>
  </si>
  <si>
    <t>Tom Holland</t>
  </si>
  <si>
    <t>Fantasy|Horror</t>
  </si>
  <si>
    <t>Catherine Hicks</t>
  </si>
  <si>
    <t>Child's PlayÂ </t>
  </si>
  <si>
    <t>birthday|doll|murder|serial killer|voodoo</t>
  </si>
  <si>
    <t>F. Murray Abraham</t>
  </si>
  <si>
    <t>Finding ForresterÂ </t>
  </si>
  <si>
    <t>basketball|mentor|new york|school|writing</t>
  </si>
  <si>
    <t>Charles Herman-Wurmfeld</t>
  </si>
  <si>
    <t>John Enos III</t>
  </si>
  <si>
    <t>The HammerÂ </t>
  </si>
  <si>
    <t>birthday|boxing|coach|gym|olympics</t>
  </si>
  <si>
    <t>Batman &amp; RobinÂ </t>
  </si>
  <si>
    <t>butler|critically bashed|cure|freeze|gotham</t>
  </si>
  <si>
    <t>Paul Weitz</t>
  </si>
  <si>
    <t>In Good CompanyÂ </t>
  </si>
  <si>
    <t>company|corporate takeover|executive|magazine|new boss</t>
  </si>
  <si>
    <t>Chris Weitz</t>
  </si>
  <si>
    <t>Adventure|Family|Fantasy</t>
  </si>
  <si>
    <t>The Golden CompassÂ </t>
  </si>
  <si>
    <t>children|epic|friend|girl|quest</t>
  </si>
  <si>
    <t>Rich Cowan</t>
  </si>
  <si>
    <t>The BasketÂ </t>
  </si>
  <si>
    <t>basketball|german immigrant|opera|two word title|war orphan</t>
  </si>
  <si>
    <t>Craig R. Baxley</t>
  </si>
  <si>
    <t>Action JacksonÂ </t>
  </si>
  <si>
    <t>murder|power|psychotronic|tough cop|union</t>
  </si>
  <si>
    <t>Dan Rush</t>
  </si>
  <si>
    <t>Everything Must GoÂ </t>
  </si>
  <si>
    <t>alcoholic|beer|bicycle|new neighbor|yard sale</t>
  </si>
  <si>
    <t>Russell Mulcahy</t>
  </si>
  <si>
    <t>Action|Adventure|Crime|Fantasy|Mystery|Thriller</t>
  </si>
  <si>
    <t>Jonathan Winters</t>
  </si>
  <si>
    <t>The ShadowÂ </t>
  </si>
  <si>
    <t>1930s|bomb|city|invisibility|the shadow</t>
  </si>
  <si>
    <t>Daniel Algrant</t>
  </si>
  <si>
    <t>Crime|Drama|Mystery</t>
  </si>
  <si>
    <t>People I KnowÂ </t>
  </si>
  <si>
    <t>actor|client|new york|protection|scandal</t>
  </si>
  <si>
    <t>Cody Cameron</t>
  </si>
  <si>
    <t>Animation|Comedy|Family|Fantasy|Sci-Fi</t>
  </si>
  <si>
    <t>Will Forte</t>
  </si>
  <si>
    <t>Cloudy with a Chance of Meatballs 2Â </t>
  </si>
  <si>
    <t>food|inventor|island|orangutan|scientist</t>
  </si>
  <si>
    <t>Guy Hamilton</t>
  </si>
  <si>
    <t>Desmond Llewelyn</t>
  </si>
  <si>
    <t>Diamonds Are ForeverÂ </t>
  </si>
  <si>
    <t>cat|diamond|ford mustang|james bond 007|yanked off bikini top</t>
  </si>
  <si>
    <t>George Lucas</t>
  </si>
  <si>
    <t>Action|Adventure|Fantasy|Sci-Fi</t>
  </si>
  <si>
    <t>Star Wars: Episode IV - A New HopeÂ </t>
  </si>
  <si>
    <t>death star|empire|galactic war|princess|rebellion</t>
  </si>
  <si>
    <t>Tristram Shandy: A Cock and Bull StoryÂ </t>
  </si>
  <si>
    <t>actor playing himself|battle|boots|penis|womb</t>
  </si>
  <si>
    <t>Sam Shepard</t>
  </si>
  <si>
    <t>StealthÂ </t>
  </si>
  <si>
    <t>artificial intelligence|box office flop|fighter jet|navy|pilot</t>
  </si>
  <si>
    <t>John Whitesell</t>
  </si>
  <si>
    <t>Brandon T. Jackson</t>
  </si>
  <si>
    <t>Big Mommas: Like Father, Like SonÂ </t>
  </si>
  <si>
    <t>fbi agent|murder|performing arts school|scene during end credits|undercover</t>
  </si>
  <si>
    <t>Absolute PowerÂ </t>
  </si>
  <si>
    <t>death|death of wife|murder|thief|violence</t>
  </si>
  <si>
    <t>Susanne Bier</t>
  </si>
  <si>
    <t>Alison Lohman</t>
  </si>
  <si>
    <t>Things We Lost in the FireÂ </t>
  </si>
  <si>
    <t>best friend|dinner|garage|narcotics anonymous|recovery</t>
  </si>
  <si>
    <t>Julie Anne Robinson</t>
  </si>
  <si>
    <t>Action|Comedy|Crime|Romance|Thriller</t>
  </si>
  <si>
    <t>Fisher Stevens</t>
  </si>
  <si>
    <t>One for the MoneyÂ </t>
  </si>
  <si>
    <t>bail bond|bounty hunter|jeans|shot in the butt|title directed by female</t>
  </si>
  <si>
    <t>Mabrouk El Mechri</t>
  </si>
  <si>
    <t>Henry Cavill</t>
  </si>
  <si>
    <t>The Cold Light of DayÂ </t>
  </si>
  <si>
    <t>driving a car down stairs|duct tape gag|held captive|murder of a police officer|sailing</t>
  </si>
  <si>
    <t>Bille Woodruff</t>
  </si>
  <si>
    <t>Christian Monzon</t>
  </si>
  <si>
    <t>HoneyÂ </t>
  </si>
  <si>
    <t>choreographer|dance|dancer|dancing|hip hop</t>
  </si>
  <si>
    <t>Bryan Singer</t>
  </si>
  <si>
    <t>The Usual SuspectsÂ </t>
  </si>
  <si>
    <t>criminal|dirty cop|flashback|limping|suspect</t>
  </si>
  <si>
    <t>Adventure|Sci-Fi|Thriller</t>
  </si>
  <si>
    <t>War of the WorldsÂ </t>
  </si>
  <si>
    <t>alien|fight|storm|survival|tripod</t>
  </si>
  <si>
    <t>Tobe Hooper</t>
  </si>
  <si>
    <t>Horror|Sci-Fi</t>
  </si>
  <si>
    <t>Louise Fletcher</t>
  </si>
  <si>
    <t>Invaders from MarsÂ </t>
  </si>
  <si>
    <t>alien|boy|nurse|school|school nurse</t>
  </si>
  <si>
    <t>Tomas Alfredson</t>
  </si>
  <si>
    <t>Tinker Tailor Soldier SpyÂ </t>
  </si>
  <si>
    <t>cold war|hungary|mole|spy|woman on top</t>
  </si>
  <si>
    <t>Daisy von Scherler Mayer</t>
  </si>
  <si>
    <t>LL Cool J</t>
  </si>
  <si>
    <t>WooÂ </t>
  </si>
  <si>
    <t>blind date|law clerk|love|manhattan new york city|world trade center manhattan new york city</t>
  </si>
  <si>
    <t>Kirk Jones</t>
  </si>
  <si>
    <t>Everybody's FineÂ </t>
  </si>
  <si>
    <t>bus trip|parental love|retirement|surprise visit|train ride</t>
  </si>
  <si>
    <t>Stanley Kramer</t>
  </si>
  <si>
    <t>Action|Adventure|Comedy|Crime</t>
  </si>
  <si>
    <t>It's a Mad, Mad, Mad, Mad WorldÂ </t>
  </si>
  <si>
    <t>california|desert|dying words|money|race</t>
  </si>
  <si>
    <t>Richard Kwietniowski</t>
  </si>
  <si>
    <t>Philip Seymour Hoffman</t>
  </si>
  <si>
    <t>Owning MahownyÂ </t>
  </si>
  <si>
    <t>bank|bank fraud|bank manager|gambling|toronto</t>
  </si>
  <si>
    <t>Joe Nussbaum</t>
  </si>
  <si>
    <t>SleepoverÂ </t>
  </si>
  <si>
    <t>best friend|party|rival|scavenger hunt|sleepover</t>
  </si>
  <si>
    <t>Sam Raimi</t>
  </si>
  <si>
    <t>Action|Adventure|Romance</t>
  </si>
  <si>
    <t>Spider-Man 3Â </t>
  </si>
  <si>
    <t>sandman|spider man|symbiote|venom|villain</t>
  </si>
  <si>
    <t>Christopher Nolan</t>
  </si>
  <si>
    <t>Leonardo DiCaprio</t>
  </si>
  <si>
    <t>InceptionÂ </t>
  </si>
  <si>
    <t>ambiguous ending|corporate espionage|dream|subconscious|thief</t>
  </si>
  <si>
    <t>Jonathan Caouette</t>
  </si>
  <si>
    <t>Biography|Documentary</t>
  </si>
  <si>
    <t>Greg Ayres</t>
  </si>
  <si>
    <t>TarnationÂ </t>
  </si>
  <si>
    <t>answering machine|home movie|lithium|schizophrenic|video diary</t>
  </si>
  <si>
    <t>David F. Sandberg</t>
  </si>
  <si>
    <t>Billy Burke</t>
  </si>
  <si>
    <t>Lights OutÂ </t>
  </si>
  <si>
    <t>based on short film|reference to avenged sevenfold|reference to slayer|switching lights on and off|two word title</t>
  </si>
  <si>
    <t>Roxanne McKee</t>
  </si>
  <si>
    <t>The Legend of HerculesÂ </t>
  </si>
  <si>
    <t>ancient greece|forbidden love|hercules|king|slavery</t>
  </si>
  <si>
    <t>Christian Volckman</t>
  </si>
  <si>
    <t>Action|Animation|Sci-Fi|Thriller</t>
  </si>
  <si>
    <t>Romola Garai</t>
  </si>
  <si>
    <t>RenaissanceÂ </t>
  </si>
  <si>
    <t>future|kidnapping|missing file|paris france|year 2054</t>
  </si>
  <si>
    <t>J.J. Abrams</t>
  </si>
  <si>
    <t>Mission: Impossible IIIÂ </t>
  </si>
  <si>
    <t>arms dealer|fictional government agency|mission|rescue|vatican</t>
  </si>
  <si>
    <t>Jason Alexander</t>
  </si>
  <si>
    <t>Gretchen Mol</t>
  </si>
  <si>
    <t>Just LookingÂ </t>
  </si>
  <si>
    <t>1955 chevrolet|nurse|peeping tom|reference to brooklyn dodgers|spying</t>
  </si>
  <si>
    <t>Wes Ball</t>
  </si>
  <si>
    <t>Ki Hong Lee</t>
  </si>
  <si>
    <t>The Maze RunnerÂ </t>
  </si>
  <si>
    <t>based on novel|concrete wall|maze|open ended|teenage boy</t>
  </si>
  <si>
    <t>Tom Vaughan</t>
  </si>
  <si>
    <t>Treat Williams</t>
  </si>
  <si>
    <t>What Happens in VegasÂ </t>
  </si>
  <si>
    <t>casino|father son relationship|jackpot|judge|wedding</t>
  </si>
  <si>
    <t>Charles Ferguson</t>
  </si>
  <si>
    <t>Jane Goodall</t>
  </si>
  <si>
    <t>Time to ChooseÂ </t>
  </si>
  <si>
    <t>Jonathan Liebesman</t>
  </si>
  <si>
    <t>Action|Adventure|Comedy|Sci-Fi</t>
  </si>
  <si>
    <t>Noel Fisher</t>
  </si>
  <si>
    <t>Teenage Mutant Ninja TurtlesÂ </t>
  </si>
  <si>
    <t>18 wheeler|mutant|ninja|sewer|turtle</t>
  </si>
  <si>
    <t>Kevin Reynolds</t>
  </si>
  <si>
    <t>Jeanne Tripplehorn</t>
  </si>
  <si>
    <t>WaterworldÂ </t>
  </si>
  <si>
    <t>future|sail|sea|smoker|water</t>
  </si>
  <si>
    <t>Trey Parker</t>
  </si>
  <si>
    <t>Animation|Comedy|Fantasy|Musical</t>
  </si>
  <si>
    <t>Minnie Driver</t>
  </si>
  <si>
    <t>South Park: Bigger Longer &amp; UncutÂ </t>
  </si>
  <si>
    <t>boy|canada|hell|misunderstanding|refrence to liza minnelli</t>
  </si>
  <si>
    <t>Jeff Bridges</t>
  </si>
  <si>
    <t>White SquallÂ </t>
  </si>
  <si>
    <t>acrophobia|jamaica|male bonding|prostitute|tragedy</t>
  </si>
  <si>
    <t>Comedy|Drama|Musical|Romance</t>
  </si>
  <si>
    <t>James Martin Kelly</t>
  </si>
  <si>
    <t>Rock of AgesÂ </t>
  </si>
  <si>
    <t>concert|love|music industry|panties|pole dancer</t>
  </si>
  <si>
    <t>Battle Los AngelesÂ </t>
  </si>
  <si>
    <t>alien|extraterrestrial|invasion|marine|mission</t>
  </si>
  <si>
    <t>Lewis Gilbert</t>
  </si>
  <si>
    <t>Caroline Munro</t>
  </si>
  <si>
    <t>The Spy Who Loved MeÂ </t>
  </si>
  <si>
    <t>1970s|cult film|official james bond series|submarine|world war three</t>
  </si>
  <si>
    <t>FirefoxÂ </t>
  </si>
  <si>
    <t>fighter plane|jet fighter|refueling|russia|soviet union</t>
  </si>
  <si>
    <t>Robert Altman</t>
  </si>
  <si>
    <t>Kristin Scott Thomas</t>
  </si>
  <si>
    <t>Gosford ParkÂ </t>
  </si>
  <si>
    <t>country house|murder|producer|servant|shooting party</t>
  </si>
  <si>
    <t>Marc Lawrence</t>
  </si>
  <si>
    <t>Dorian Missick</t>
  </si>
  <si>
    <t>Two Weeks NoticeÂ </t>
  </si>
  <si>
    <t>developer|divorce|lawyer|love|new york city</t>
  </si>
  <si>
    <t>Hart's WarÂ </t>
  </si>
  <si>
    <t>colonel|honor|lieutenant|pilot|racism</t>
  </si>
  <si>
    <t>David Fincher</t>
  </si>
  <si>
    <t>Brad Pitt</t>
  </si>
  <si>
    <t>Fight ClubÂ </t>
  </si>
  <si>
    <t>anti establishment|dark humor|fighting|multiple personality disorder|surprise ending</t>
  </si>
  <si>
    <t>Ron Underwood</t>
  </si>
  <si>
    <t>Comedy|Horror|Sci-Fi</t>
  </si>
  <si>
    <t>Reba McEntire</t>
  </si>
  <si>
    <t>TremorsÂ </t>
  </si>
  <si>
    <t>desert|giant worm|monster|pipe bomb|small town</t>
  </si>
  <si>
    <t>American DreamzÂ </t>
  </si>
  <si>
    <t>chief of staff|contest|president|singing|terrorist</t>
  </si>
  <si>
    <t>The KidÂ </t>
  </si>
  <si>
    <t>altering history|cartoon on tv|childhood|image consultant|one two combo</t>
  </si>
  <si>
    <t>Action|Adventure|Biography|Drama|History|Thriller</t>
  </si>
  <si>
    <t>Chris Hemsworth</t>
  </si>
  <si>
    <t>In the Heart of the SeaÂ </t>
  </si>
  <si>
    <t>emaciation|ship|starvation|vomiting|whale</t>
  </si>
  <si>
    <t>Josh Gordon</t>
  </si>
  <si>
    <t>Caroline Dhavernas</t>
  </si>
  <si>
    <t>The SwitchÂ </t>
  </si>
  <si>
    <t>artificial insemination|best friend|new york city|sperm|sperm donor</t>
  </si>
  <si>
    <t>Action|Drama|History|War</t>
  </si>
  <si>
    <t>The PatriotÂ </t>
  </si>
  <si>
    <t>american revolution|british|french|hero|standoff</t>
  </si>
  <si>
    <t>Laurent Tirard</t>
  </si>
  <si>
    <t>Comedy|History</t>
  </si>
  <si>
    <t>Romain Duris</t>
  </si>
  <si>
    <t>MoliÃ¨reÂ </t>
  </si>
  <si>
    <t>deathbed|play|playwright|prison|theater</t>
  </si>
  <si>
    <t>Tom Shadyac</t>
  </si>
  <si>
    <t>Comedy|Romance|Sci-Fi</t>
  </si>
  <si>
    <t>The Nutty ProfessorÂ </t>
  </si>
  <si>
    <t>face slap|formula|overweight|professor|teacher</t>
  </si>
  <si>
    <t>Bobby Farrelly</t>
  </si>
  <si>
    <t>Stuck on YouÂ </t>
  </si>
  <si>
    <t>actor|conjoined twins|cook|internet|short order cook</t>
  </si>
  <si>
    <t>Stefan Ruzowitzky</t>
  </si>
  <si>
    <t>Benno FÃ¼rmann</t>
  </si>
  <si>
    <t>AnatomyÂ </t>
  </si>
  <si>
    <t>dissection|male pubic hair|medical school|medical student|train</t>
  </si>
  <si>
    <t>E. Elias Merhige</t>
  </si>
  <si>
    <t>Drama|Horror</t>
  </si>
  <si>
    <t>Eddie Izzard</t>
  </si>
  <si>
    <t>Shadow of the VampireÂ </t>
  </si>
  <si>
    <t>actor|breasts|film actress|nosferatu|vampire</t>
  </si>
  <si>
    <t>Danny Cannon</t>
  </si>
  <si>
    <t>Muse Watson</t>
  </si>
  <si>
    <t>I Still Know What You Did Last SummerÂ </t>
  </si>
  <si>
    <t>bahamas|fisherman|hook|island|roommate</t>
  </si>
  <si>
    <t>Guillermo del Toro</t>
  </si>
  <si>
    <t>Action|Fantasy|Horror|Sci-Fi</t>
  </si>
  <si>
    <t>James Babson</t>
  </si>
  <si>
    <t>HellboyÂ </t>
  </si>
  <si>
    <t>assassin|demon|hero|nazi|superhero</t>
  </si>
  <si>
    <t>John H. Lee</t>
  </si>
  <si>
    <t>Operation ChromiteÂ </t>
  </si>
  <si>
    <t>South Korea</t>
  </si>
  <si>
    <t>Action|Adventure|Drama|History|War</t>
  </si>
  <si>
    <t>Kingdom of HeavenÂ </t>
  </si>
  <si>
    <t>12th century|crusader|jerusalem|knight|medieval times</t>
  </si>
  <si>
    <t>Roger Donaldson</t>
  </si>
  <si>
    <t>The Bank JobÂ </t>
  </si>
  <si>
    <t>chase|heist|london england|mobster|safe deposit</t>
  </si>
  <si>
    <t>Mark Steven Johnson</t>
  </si>
  <si>
    <t>Comedy|Drama|Family</t>
  </si>
  <si>
    <t>Simon BirchÂ </t>
  </si>
  <si>
    <t>boy|christmas|christmas pageant|friendship|illegitimate son</t>
  </si>
  <si>
    <t>John Madden</t>
  </si>
  <si>
    <t>Tom Wilkinson</t>
  </si>
  <si>
    <t>Shakespeare in LoveÂ </t>
  </si>
  <si>
    <t>actor|audition|muse|playwright|theater</t>
  </si>
  <si>
    <t>Debra Granik</t>
  </si>
  <si>
    <t>Jennifer Lawrence</t>
  </si>
  <si>
    <t>Winter's BoneÂ </t>
  </si>
  <si>
    <t>bail|crystal meth|family relationships|female protagonist|search for father</t>
  </si>
  <si>
    <t>Henry Selick</t>
  </si>
  <si>
    <t>Animation|Comedy|Fantasy</t>
  </si>
  <si>
    <t>MonkeyboneÂ </t>
  </si>
  <si>
    <t>carnival|coma|death|monkey|nightmare</t>
  </si>
  <si>
    <t>Rob Bowman</t>
  </si>
  <si>
    <t>Action|Crime|Fantasy|Thriller</t>
  </si>
  <si>
    <t>ElektraÂ </t>
  </si>
  <si>
    <t>assassin|battle|heroine|martial arts|spin off</t>
  </si>
  <si>
    <t>Nanette Burstein</t>
  </si>
  <si>
    <t>Rob Riggle</t>
  </si>
  <si>
    <t>Going the DistanceÂ </t>
  </si>
  <si>
    <t>bar|job|long distance relationship|male pubic hair|pubic hair</t>
  </si>
  <si>
    <t>Frederik Du Chau</t>
  </si>
  <si>
    <t>Adventure|Animation|Comedy|Drama|Family|Fantasy|Musical</t>
  </si>
  <si>
    <t>The Magic Sword: Quest for CamelotÂ </t>
  </si>
  <si>
    <t>camelot|dragon|excalibur|knight|sword</t>
  </si>
  <si>
    <t>Ghost RiderÂ </t>
  </si>
  <si>
    <t>blackheart|devil|father|ghost|mephistopheles</t>
  </si>
  <si>
    <t>Marc Forster</t>
  </si>
  <si>
    <t>Biography|Drama|Family</t>
  </si>
  <si>
    <t>Finding NeverlandÂ </t>
  </si>
  <si>
    <t>boy|inspiration|reference to peter pan|stage play|widow</t>
  </si>
  <si>
    <t>Bruce Campbell</t>
  </si>
  <si>
    <t>Ted Raimi</t>
  </si>
  <si>
    <t>My Name Is BruceÂ </t>
  </si>
  <si>
    <t>b movie|birthday|chinese|demon|small town</t>
  </si>
  <si>
    <t>Robert Fontaine</t>
  </si>
  <si>
    <t>Michael Derek</t>
  </si>
  <si>
    <t>Mi AmericaÂ </t>
  </si>
  <si>
    <t>Paul Haggis</t>
  </si>
  <si>
    <t>The Next Three DaysÂ </t>
  </si>
  <si>
    <t>argument|evidence|fingerprints|murder|murder weapon</t>
  </si>
  <si>
    <t>Gore Verbinski</t>
  </si>
  <si>
    <t>Pirates of the Caribbean: The Curse of the Black PearlÂ </t>
  </si>
  <si>
    <t>caribbean|curse|governor|pirate|undead</t>
  </si>
  <si>
    <t>Katsuhiro Ã”tomo</t>
  </si>
  <si>
    <t>Action|Animation|Sci-Fi</t>
  </si>
  <si>
    <t>Mitsuo Iwata</t>
  </si>
  <si>
    <t>AkiraÂ </t>
  </si>
  <si>
    <t>based on manga|biker gang|gifted child|post thermonuclear war|science runs amok</t>
  </si>
  <si>
    <t>Japanese</t>
  </si>
  <si>
    <t>Japan</t>
  </si>
  <si>
    <t>Josh Trank</t>
  </si>
  <si>
    <t>Tim Blake Nelson</t>
  </si>
  <si>
    <t>Fantastic FourÂ </t>
  </si>
  <si>
    <t>box office flop|critically bashed|portal|teleportation|troubled production</t>
  </si>
  <si>
    <t>A Man ApartÂ </t>
  </si>
  <si>
    <t>bust|dea|drug cartel|justice|tragic hero</t>
  </si>
  <si>
    <t>Eva Green</t>
  </si>
  <si>
    <t>Casino RoyaleÂ </t>
  </si>
  <si>
    <t>casino|espionage|free running|james bond|terrorist</t>
  </si>
  <si>
    <t>Mick Jackson</t>
  </si>
  <si>
    <t>Action|Drama|Sci-Fi|Thriller</t>
  </si>
  <si>
    <t>VolcanoÂ </t>
  </si>
  <si>
    <t>earthquake|fire|lava|rescue|volcano</t>
  </si>
  <si>
    <t>Richard Glatzer</t>
  </si>
  <si>
    <t>Emily Rios</t>
  </si>
  <si>
    <t>QuinceaÃ±eraÂ </t>
  </si>
  <si>
    <t>15th birthday|birthday|gay|party|security guard</t>
  </si>
  <si>
    <t>Spanish</t>
  </si>
  <si>
    <t>Andrzej Bartkowiak</t>
  </si>
  <si>
    <t>Jet Li</t>
  </si>
  <si>
    <t>Cradle 2 the GraveÂ </t>
  </si>
  <si>
    <t>camera shot from inside human body|diamond|evil man|heist|terrorism</t>
  </si>
  <si>
    <t>McG</t>
  </si>
  <si>
    <t>Demi Moore</t>
  </si>
  <si>
    <t>Charlie's Angels: Full ThrottleÂ </t>
  </si>
  <si>
    <t>fbi|murder|ring|witness protection|witness protection program</t>
  </si>
  <si>
    <t>David S. Goyer</t>
  </si>
  <si>
    <t>Drama|Fantasy|Horror|Mystery|Thriller</t>
  </si>
  <si>
    <t>The UnbornÂ </t>
  </si>
  <si>
    <t>babysitting|experiment|nightmare|possession|twin</t>
  </si>
  <si>
    <t>Bob Balaban</t>
  </si>
  <si>
    <t>Close Encounters of the Third KindÂ </t>
  </si>
  <si>
    <t>alien|close encounter of the third kind|mothership|ufo|vision</t>
  </si>
  <si>
    <t>Tom Tykwer</t>
  </si>
  <si>
    <t>Moritz Bleibtreu</t>
  </si>
  <si>
    <t>Run Lola RunÂ </t>
  </si>
  <si>
    <t>bechdel test failed|money|multiple outcomes|repeated event|subway</t>
  </si>
  <si>
    <t>Ethan Coen</t>
  </si>
  <si>
    <t>Comedy|Mystery</t>
  </si>
  <si>
    <t>Hail, Caesar!Â </t>
  </si>
  <si>
    <t>50s|film within a film|hollywood|illegitimate pregnancy|twins</t>
  </si>
  <si>
    <t>Gillian Armstrong</t>
  </si>
  <si>
    <t>Drama|Family|Romance</t>
  </si>
  <si>
    <t>Christian Bale</t>
  </si>
  <si>
    <t>Little WomenÂ </t>
  </si>
  <si>
    <t>civil war|female protagonist|post civil war|reference to friedrich schiller|u.s. civil war</t>
  </si>
  <si>
    <t>Zach Braff</t>
  </si>
  <si>
    <t>Wish I Was HereÂ </t>
  </si>
  <si>
    <t>actor|dream sequence|genius recluse|jew|religion</t>
  </si>
  <si>
    <t>Matt Bomer</t>
  </si>
  <si>
    <t>The Texas Chainsaw Massacre: The BeginningÂ </t>
  </si>
  <si>
    <t>cannibal|car accident|leatherface|psychopath|slaughterhouse</t>
  </si>
  <si>
    <t>Frank Oz</t>
  </si>
  <si>
    <t>In &amp; OutÂ </t>
  </si>
  <si>
    <t>academy award|gay|high school|reporter|teacher</t>
  </si>
  <si>
    <t>Gary Fleder</t>
  </si>
  <si>
    <t>Drama|Mystery|Sci-Fi|Thriller</t>
  </si>
  <si>
    <t>Gary Dourdan</t>
  </si>
  <si>
    <t>ImpostorÂ </t>
  </si>
  <si>
    <t>alien|android|bomb|future|weapon</t>
  </si>
  <si>
    <t>Archie Panjabi</t>
  </si>
  <si>
    <t>A Good YearÂ </t>
  </si>
  <si>
    <t>based on novel|inheritance|provence|uncle|wine</t>
  </si>
  <si>
    <t>Vincent Gallo</t>
  </si>
  <si>
    <t>Comedy|Crime|Drama|Romance</t>
  </si>
  <si>
    <t>Anjelica Huston</t>
  </si>
  <si>
    <t>Buffalo '66Â </t>
  </si>
  <si>
    <t>shower|stripper|tap dancing|underwear|undressing</t>
  </si>
  <si>
    <t>S.R. Bindler</t>
  </si>
  <si>
    <t>Surfer, DudeÂ </t>
  </si>
  <si>
    <t>barefoot|endorsement|surfboard|virtual reality|waves</t>
  </si>
  <si>
    <t>Action|Adventure|Comedy|Fantasy|Thriller</t>
  </si>
  <si>
    <t>The Brothers GrimmÂ </t>
  </si>
  <si>
    <t>creature|curse|exorcism|girl|village</t>
  </si>
  <si>
    <t>Peter Cattaneo</t>
  </si>
  <si>
    <t>James Nesbitt</t>
  </si>
  <si>
    <t>Lucky BreakÂ </t>
  </si>
  <si>
    <t>escape|prison|prison escape|sadism|solitary confinement</t>
  </si>
  <si>
    <t>Richard Williams</t>
  </si>
  <si>
    <t>Action|Adventure|Animation|Comedy|Fantasy</t>
  </si>
  <si>
    <t>Donald Pleasence</t>
  </si>
  <si>
    <t>The Princess and the CobblerÂ </t>
  </si>
  <si>
    <t>cobbler|desert|gold|princess|thief</t>
  </si>
  <si>
    <t>Allison Anders</t>
  </si>
  <si>
    <t>Ally Sheedy</t>
  </si>
  <si>
    <t>Sugar TownÂ </t>
  </si>
  <si>
    <t>drugs|music producer|rock music|title directed by female|vegetarian</t>
  </si>
  <si>
    <t>DeterrenceÂ </t>
  </si>
  <si>
    <t>colorado|diner|iraq|nuclear missile|president</t>
  </si>
  <si>
    <t>Matt Bettinelli-Olpin</t>
  </si>
  <si>
    <t>Zach Gilford</t>
  </si>
  <si>
    <t>Devil's DueÂ </t>
  </si>
  <si>
    <t>eiffel tower at night|honeymoon|implied insemination|party|taxi driver</t>
  </si>
  <si>
    <t>Joss Whedon</t>
  </si>
  <si>
    <t>Avengers: Age of UltronÂ </t>
  </si>
  <si>
    <t>artificial intelligence|based on comic book|captain america|marvel cinematic universe|superhero</t>
  </si>
  <si>
    <t>Biography|Crime|Drama|History|Thriller</t>
  </si>
  <si>
    <t>Tom Hardy</t>
  </si>
  <si>
    <t>LegendÂ </t>
  </si>
  <si>
    <t>1960s|based on a true story|gangster|identical twins|murder</t>
  </si>
  <si>
    <t>Jun Falkenstein</t>
  </si>
  <si>
    <t>Animation|Comedy|Drama|Family|Musical</t>
  </si>
  <si>
    <t>Kath Soucie</t>
  </si>
  <si>
    <t>The Tigger MovieÂ </t>
  </si>
  <si>
    <t>cartoon tiger|coming of age|tiger|tigger|title directed by female</t>
  </si>
  <si>
    <t>John Carl Buechler</t>
  </si>
  <si>
    <t>Friday the 13th Part VII: The New BloodÂ </t>
  </si>
  <si>
    <t>death|jason voorhees|massacre|slaughter|telekinesis</t>
  </si>
  <si>
    <t>Melvin Van Peebles</t>
  </si>
  <si>
    <t>John Amos</t>
  </si>
  <si>
    <t>Sweet Sweetback's Baadasssss SongÂ </t>
  </si>
  <si>
    <t>black panther|hells angels|on the run|racist|racist cop</t>
  </si>
  <si>
    <t>Brian Trenchard-Smith</t>
  </si>
  <si>
    <t>In Her Line of FireÂ </t>
  </si>
  <si>
    <t>camp|die hard scenario|female protagonist|island|vice president</t>
  </si>
  <si>
    <t>John Carpenter</t>
  </si>
  <si>
    <t>Escape from New YorkÂ </t>
  </si>
  <si>
    <t>1990s|police|prison|rescue|year 1997</t>
  </si>
  <si>
    <t>Francis Ford Coppola</t>
  </si>
  <si>
    <t>The OutsidersÂ </t>
  </si>
  <si>
    <t>dysfunctional family|gang|greaser|holding someone's head underwater|rivalry</t>
  </si>
  <si>
    <t>Gangs of New YorkÂ </t>
  </si>
  <si>
    <t>butcher|civil war|gangster|new york city|revenge</t>
  </si>
  <si>
    <t>Sam Miller</t>
  </si>
  <si>
    <t>Leslie Bibb</t>
  </si>
  <si>
    <t>No Good DeedÂ </t>
  </si>
  <si>
    <t>home invasion|police officer shot|police officer shot in the chest|psychopath|three word title</t>
  </si>
  <si>
    <t>Scott Kalvert</t>
  </si>
  <si>
    <t>Norman Reedus</t>
  </si>
  <si>
    <t>Deuces WildÂ </t>
  </si>
  <si>
    <t>1950s|drug overdose|gang|gang war|new york city</t>
  </si>
  <si>
    <t>George A. Romero</t>
  </si>
  <si>
    <t>Julian Richings</t>
  </si>
  <si>
    <t>Survival of the DeadÂ </t>
  </si>
  <si>
    <t>delaware|feud|island|undead|zombie</t>
  </si>
  <si>
    <t>Damien O'Donnell</t>
  </si>
  <si>
    <t>East Is EastÂ </t>
  </si>
  <si>
    <t>england|marriage|muslim|pakistani|salford</t>
  </si>
  <si>
    <t>Frank Marshall</t>
  </si>
  <si>
    <t>Adventure|Drama|Family</t>
  </si>
  <si>
    <t>Eight BelowÂ </t>
  </si>
  <si>
    <t>antarctica|dog|siberian husky|sled dog|survival</t>
  </si>
  <si>
    <t>John Hamburg</t>
  </si>
  <si>
    <t>Along Came PollyÂ </t>
  </si>
  <si>
    <t>bride|friend|honeymoon|insurance|insurance company</t>
  </si>
  <si>
    <t>Paul W.S. Anderson</t>
  </si>
  <si>
    <t>Action|Adventure|Drama|History|Romance</t>
  </si>
  <si>
    <t>Sasha Roiz</t>
  </si>
  <si>
    <t>PompeiiÂ </t>
  </si>
  <si>
    <t>arena|lava bomb|mount vesuvius|pompeii|slave</t>
  </si>
  <si>
    <t>Craig Gillespie</t>
  </si>
  <si>
    <t>Jon Hamm</t>
  </si>
  <si>
    <t>Million Dollar ArmÂ </t>
  </si>
  <si>
    <t>baseball|based on true story|india|sports agent|training</t>
  </si>
  <si>
    <t>Alejandro G. IÃ±Ã¡rritu</t>
  </si>
  <si>
    <t>Adventure|Drama|Thriller|Western</t>
  </si>
  <si>
    <t>The RevenantÂ </t>
  </si>
  <si>
    <t>bear attack|cauterizing a wound|native american|revenge|survival</t>
  </si>
  <si>
    <t>Kerry Conran</t>
  </si>
  <si>
    <t>Action|Adventure|Mystery|Sci-Fi|Thriller</t>
  </si>
  <si>
    <t>Sky Captain and the World of TomorrowÂ </t>
  </si>
  <si>
    <t>captain|pilot|reporter|robot|scientist</t>
  </si>
  <si>
    <t>Jane Got a GunÂ </t>
  </si>
  <si>
    <t>brothel|death of husband|ex lover|haunted by the past|redemption</t>
  </si>
  <si>
    <t>Gavin Hood</t>
  </si>
  <si>
    <t>RenditionÂ </t>
  </si>
  <si>
    <t>american|bare chested male bondage|cia|detention|interrogation</t>
  </si>
  <si>
    <t>Action|Comedy|Sci-Fi</t>
  </si>
  <si>
    <t>Michael Smiley</t>
  </si>
  <si>
    <t>The World's EndÂ </t>
  </si>
  <si>
    <t>alcoholic|doppelganger|group therapy|self mutilation|twin actresses for twin sisters</t>
  </si>
  <si>
    <t>Rob Minkoff</t>
  </si>
  <si>
    <t>Ty Burrell</t>
  </si>
  <si>
    <t>Mr. Peabody &amp; ShermanÂ </t>
  </si>
  <si>
    <t>dog|father son relationship|inventor|talking dog|time travel</t>
  </si>
  <si>
    <t>Stiles White</t>
  </si>
  <si>
    <t>Lin Shaye</t>
  </si>
  <si>
    <t>OuijaÂ </t>
  </si>
  <si>
    <t>death of girlfriend|funeral|ghost|ouija|spirit</t>
  </si>
  <si>
    <t>Roger Michell</t>
  </si>
  <si>
    <t>Noah Bean</t>
  </si>
  <si>
    <t>Morning GloryÂ </t>
  </si>
  <si>
    <t>job offer|roller coaster|slow motion action scene|slow motion sequence|television</t>
  </si>
  <si>
    <t>Paul Crowder</t>
  </si>
  <si>
    <t>Documentary|Sport</t>
  </si>
  <si>
    <t>PelÃ©</t>
  </si>
  <si>
    <t>Once in a Lifetime: The Extraordinary Story of the New York CosmosÂ </t>
  </si>
  <si>
    <t>new york|new york cosmos|professional sports|soccer|soccer team</t>
  </si>
  <si>
    <t>John G. Avildsen</t>
  </si>
  <si>
    <t>Action|Drama|Family|Sport</t>
  </si>
  <si>
    <t>Martin Kove</t>
  </si>
  <si>
    <t>The Karate KidÂ </t>
  </si>
  <si>
    <t>apartment|bully|fight|karate|master</t>
  </si>
  <si>
    <t>Andrew Erwin</t>
  </si>
  <si>
    <t>Moms' Night OutÂ </t>
  </si>
  <si>
    <t>blogger|pastor|reference to the shawshank redemption|taser|tasered</t>
  </si>
  <si>
    <t>Mark Neveldine</t>
  </si>
  <si>
    <t>Action|Sci-Fi|Thriller</t>
  </si>
  <si>
    <t>GamerÂ </t>
  </si>
  <si>
    <t>battle|convict|death|mind control|role playing</t>
  </si>
  <si>
    <t>John Francis Daley</t>
  </si>
  <si>
    <t>VacationÂ </t>
  </si>
  <si>
    <t>amusement park|dysfunctional family|road trip|sequel|vacation</t>
  </si>
  <si>
    <t>Woody Allen</t>
  </si>
  <si>
    <t>Comedy|Fantasy|Romance</t>
  </si>
  <si>
    <t>Kurt Fuller</t>
  </si>
  <si>
    <t>Midnight in ParisÂ </t>
  </si>
  <si>
    <t>1920s|golden age|midnight|paris france|time travel romance</t>
  </si>
  <si>
    <t>Adventure|Comedy|Drama|Music</t>
  </si>
  <si>
    <t>Almost FamousÂ </t>
  </si>
  <si>
    <t>band|magazine|rolling stone magazine|smoking marijuana|tour</t>
  </si>
  <si>
    <t>Richard Benjamin</t>
  </si>
  <si>
    <t>Jon Lovitz</t>
  </si>
  <si>
    <t>My Stepmother Is an AlienÂ </t>
  </si>
  <si>
    <t>alien|earth|female alien|mission|secret</t>
  </si>
  <si>
    <t>Douglas McGrath</t>
  </si>
  <si>
    <t>Charlie Hunnam</t>
  </si>
  <si>
    <t>Nicholas NicklebyÂ </t>
  </si>
  <si>
    <t>boy|boys' school|death|friend|orphan</t>
  </si>
  <si>
    <t>Courtney Solomon</t>
  </si>
  <si>
    <t>Rebecca Budig</t>
  </si>
  <si>
    <t>GetawayÂ </t>
  </si>
  <si>
    <t>die hard scenario|earth viewed from space|race against time|race car driver|title at the end</t>
  </si>
  <si>
    <t>Jee-woon Kim</t>
  </si>
  <si>
    <t>Action|Adventure|Comedy|Western</t>
  </si>
  <si>
    <t>Kang-ho Song</t>
  </si>
  <si>
    <t>The Good, the Bad, the WeirdÂ </t>
  </si>
  <si>
    <t>bounty hunter|manchuria|map|train|treasure</t>
  </si>
  <si>
    <t>Korean</t>
  </si>
  <si>
    <t>Barry Levinson</t>
  </si>
  <si>
    <t>DinerÂ </t>
  </si>
  <si>
    <t>baltimore colts|diner|marriage|salesman|wedding</t>
  </si>
  <si>
    <t>The RockerÂ </t>
  </si>
  <si>
    <t>20 years later|drummer|hdtv|rock band|rock star</t>
  </si>
  <si>
    <t>Snake EyesÂ </t>
  </si>
  <si>
    <t>assassination|boxing|casino|conspiracy|long take</t>
  </si>
  <si>
    <t>Biography|Crime|Drama</t>
  </si>
  <si>
    <t>Catch Me If You CanÂ </t>
  </si>
  <si>
    <t>attorney|cat and mouse|fbi|pan am|pilot</t>
  </si>
  <si>
    <t>I Heart HuckabeesÂ </t>
  </si>
  <si>
    <t>coincidence|cult film|overalls|suburb|vomiting</t>
  </si>
  <si>
    <t>Lisa Cholodenko</t>
  </si>
  <si>
    <t>The Kids Are All RightÂ </t>
  </si>
  <si>
    <t>biological father|college|motorcycle|sperm|sperm donor</t>
  </si>
  <si>
    <t>Chia-Liang Liu</t>
  </si>
  <si>
    <t>Andy Lau</t>
  </si>
  <si>
    <t>The Legend of Drunken MasterÂ </t>
  </si>
  <si>
    <t>battle|fight|fighting|martial artist|snake</t>
  </si>
  <si>
    <t>Mike McCoy</t>
  </si>
  <si>
    <t>Action|Adventure|Drama|Thriller|War</t>
  </si>
  <si>
    <t>Alex Veadov</t>
  </si>
  <si>
    <t>Act of ValorÂ </t>
  </si>
  <si>
    <t>mission|navy seal|terrorist|torture|valor</t>
  </si>
  <si>
    <t>Andrew Currie</t>
  </si>
  <si>
    <t>Comedy|Drama|Horror|Sci-Fi</t>
  </si>
  <si>
    <t>Alexia Fast</t>
  </si>
  <si>
    <t>FidoÂ </t>
  </si>
  <si>
    <t>decapitation|neighbor|neighborhood|next door neighbor|zombie</t>
  </si>
  <si>
    <t>Harold Ramis</t>
  </si>
  <si>
    <t>John de Lancie</t>
  </si>
  <si>
    <t>MultiplicityÂ </t>
  </si>
  <si>
    <t>clone|cloning|construction|same actor playing two characters simultaneously on screen|year 1996</t>
  </si>
  <si>
    <t>Alicia Witt</t>
  </si>
  <si>
    <t>Mr. Holland's OpusÂ </t>
  </si>
  <si>
    <t>1990s|high school|high school teacher|teacher inspires students|teaching</t>
  </si>
  <si>
    <t>50 First DatesÂ </t>
  </si>
  <si>
    <t>dream|hawaii|hawaiian shirt|short term memory loss|veterinarian</t>
  </si>
  <si>
    <t>Mike Newell</t>
  </si>
  <si>
    <t>Four Weddings and a FuneralÂ </t>
  </si>
  <si>
    <t>1990s|chick flick|funeral|gay relationship|wedding</t>
  </si>
  <si>
    <t>Justin Chadwick</t>
  </si>
  <si>
    <t>Terry Pheto</t>
  </si>
  <si>
    <t>Mandela: Long Walk to FreedomÂ </t>
  </si>
  <si>
    <t>africa|apartheid|nelson mandela|president|resistance</t>
  </si>
  <si>
    <t>Steve Martino</t>
  </si>
  <si>
    <t>Adventure|Animation|Comedy|Family</t>
  </si>
  <si>
    <t>Ice Age: Continental DriftÂ </t>
  </si>
  <si>
    <t>acorn|herd|iceberg|ocean|pirate</t>
  </si>
  <si>
    <t>Robert Redford</t>
  </si>
  <si>
    <t>The Horse WhispererÂ </t>
  </si>
  <si>
    <t>grace|groom|horse|montana|western u.s.</t>
  </si>
  <si>
    <t>Comedy|Drama|Romance|Thriller</t>
  </si>
  <si>
    <t>Man of the YearÂ </t>
  </si>
  <si>
    <t>campaign|election|president|presidential election|satire</t>
  </si>
  <si>
    <t>Atom Egoyan</t>
  </si>
  <si>
    <t>ChloeÂ </t>
  </si>
  <si>
    <t>bare chested boy|doctor|escort|infidelity|prostitute</t>
  </si>
  <si>
    <t>Action|Comedy|Family|Fantasy</t>
  </si>
  <si>
    <t>Carol Ann Susi</t>
  </si>
  <si>
    <t>Cats &amp; DogsÂ </t>
  </si>
  <si>
    <t>cartoon on tv|cat|dog|scientist|secret agent</t>
  </si>
  <si>
    <t>Todd Solondz</t>
  </si>
  <si>
    <t>Welcome to the DollhouseÂ </t>
  </si>
  <si>
    <t>bully|first crush|school|social outcast|taunting</t>
  </si>
  <si>
    <t>Corey Yuen</t>
  </si>
  <si>
    <t>Steve Howey</t>
  </si>
  <si>
    <t>DOA: Dead or AliveÂ </t>
  </si>
  <si>
    <t>female fighter|island|martial arts|parachute|tournament</t>
  </si>
  <si>
    <t>Action|Adventure|Fantasy|Horror|Thriller</t>
  </si>
  <si>
    <t>The Mummy: Tomb of the Dragon EmperorÂ </t>
  </si>
  <si>
    <t>army|china|emperor|mummy|shangri la</t>
  </si>
  <si>
    <t>Janusz Kaminski</t>
  </si>
  <si>
    <t>Drama|Horror|Thriller</t>
  </si>
  <si>
    <t>Philip Baker Hall</t>
  </si>
  <si>
    <t>Lost SoulsÂ </t>
  </si>
  <si>
    <t>faith|mental patient|priest|scheme|teacher</t>
  </si>
  <si>
    <t>Mike Leigh</t>
  </si>
  <si>
    <t>Biography|Comedy|Drama|History|Music|Musical</t>
  </si>
  <si>
    <t>Jim Broadbent</t>
  </si>
  <si>
    <t>Topsy-TurvyÂ </t>
  </si>
  <si>
    <t>19th century|exhibition|gilbert and sullivan|gilbert and sullivan's princess ida|japanese</t>
  </si>
  <si>
    <t>David Wain</t>
  </si>
  <si>
    <t>Joe Lo Truglio</t>
  </si>
  <si>
    <t>Role ModelsÂ </t>
  </si>
  <si>
    <t>absent father|big brother|community service|live action role playing|peter pan syndrome</t>
  </si>
  <si>
    <t>David Jacobson</t>
  </si>
  <si>
    <t>Drama|Romance|Thriller</t>
  </si>
  <si>
    <t>Hunter Parrish</t>
  </si>
  <si>
    <t>Down in the ValleyÂ </t>
  </si>
  <si>
    <t>beach|cowboy|cowboy hat|neo western|valley</t>
  </si>
  <si>
    <t>Eric Brevig</t>
  </si>
  <si>
    <t>Yogi BearÂ </t>
  </si>
  <si>
    <t>bear|mayor|park|sabotage|yogi bear</t>
  </si>
  <si>
    <t>Ellory Elkayem</t>
  </si>
  <si>
    <t>Eight Legged FreaksÂ </t>
  </si>
  <si>
    <t>creature feature|human versus spider|spider|spider feature|woman sheriff</t>
  </si>
  <si>
    <t>Camille Delamarre</t>
  </si>
  <si>
    <t>Ed Skrein</t>
  </si>
  <si>
    <t>The Transporter RefueledÂ </t>
  </si>
  <si>
    <t>airfield|car|car stunt|driver|private jet</t>
  </si>
  <si>
    <t>Brett Ratner</t>
  </si>
  <si>
    <t>Mei MelanÃ§on</t>
  </si>
  <si>
    <t>Rush Hour 2Â </t>
  </si>
  <si>
    <t>boat|gang|hong kong|triad|vacation</t>
  </si>
  <si>
    <t>TimelineÂ </t>
  </si>
  <si>
    <t>castle|france|professor|student|time machine</t>
  </si>
  <si>
    <t>Adventure|Comedy|Family|Fantasy</t>
  </si>
  <si>
    <t>Chazz Palminteri</t>
  </si>
  <si>
    <t>Stuart LittleÂ </t>
  </si>
  <si>
    <t>box office hit|cat|first part|mouse|orphanage</t>
  </si>
  <si>
    <t>Michael Lehmann</t>
  </si>
  <si>
    <t>Action|Adventure|Comedy</t>
  </si>
  <si>
    <t>Hudson HawkÂ </t>
  </si>
  <si>
    <t>blackmail|burglar|critically bashed|leonardo da vinci|prison</t>
  </si>
  <si>
    <t>Erin BrockovichÂ </t>
  </si>
  <si>
    <t>contamination|corporate crime|environmental issue|female protagonist|working single mother</t>
  </si>
  <si>
    <t>Ghost WorldÂ </t>
  </si>
  <si>
    <t>art class|diner|friend|graduation|high school</t>
  </si>
  <si>
    <t>Jamie Blanks</t>
  </si>
  <si>
    <t>Urban LegendÂ </t>
  </si>
  <si>
    <t>campus|death|friend|professor|urban legend</t>
  </si>
  <si>
    <t>Carlos Carrera</t>
  </si>
  <si>
    <t>DamiÃ¡n AlcÃ¡zar</t>
  </si>
  <si>
    <t>El crimen del padre AmaroÂ </t>
  </si>
  <si>
    <t>church|love|mexico|politics|priest</t>
  </si>
  <si>
    <t>Luc Besson</t>
  </si>
  <si>
    <t>Adventure|Biography|Drama|History|War</t>
  </si>
  <si>
    <t>Paul Brooke</t>
  </si>
  <si>
    <t>The Messenger: The Story of Joan of ArcÂ </t>
  </si>
  <si>
    <t>cathedral|dauphin|france|trial|wartime rape</t>
  </si>
  <si>
    <t>Miranda Richardson</t>
  </si>
  <si>
    <t>SpiderÂ </t>
  </si>
  <si>
    <t>halfway house|key|reality|schizophrenia|spider</t>
  </si>
  <si>
    <t>Tom Dey</t>
  </si>
  <si>
    <t>Bradley Cooper</t>
  </si>
  <si>
    <t>Failure to LaunchÂ </t>
  </si>
  <si>
    <t>friend|intervention|moving|secret|slacker</t>
  </si>
  <si>
    <t>Gonzalo LÃ³pez-Gallego</t>
  </si>
  <si>
    <t>Horror|Mystery|Sci-Fi|Thriller</t>
  </si>
  <si>
    <t>Warren Christie</t>
  </si>
  <si>
    <t>Apollo 18Â </t>
  </si>
  <si>
    <t>cosmonaut|footprint|found footage|moon|secret mission</t>
  </si>
  <si>
    <t>Perry Andelin Blake</t>
  </si>
  <si>
    <t>Jennifer Esposito</t>
  </si>
  <si>
    <t>The Master of DisguiseÂ </t>
  </si>
  <si>
    <t>disguise|mask|master of disguise|restaurant|waiter</t>
  </si>
  <si>
    <t>Craig Mazin</t>
  </si>
  <si>
    <t>Action|Comedy|Sci-Fi|Thriller</t>
  </si>
  <si>
    <t>Drake Bell</t>
  </si>
  <si>
    <t>Superhero MovieÂ </t>
  </si>
  <si>
    <t>dragonfly|hero|high school|soaking wet|supervillian origin</t>
  </si>
  <si>
    <t>Biography|Comedy|Drama</t>
  </si>
  <si>
    <t>Ed WoodÂ </t>
  </si>
  <si>
    <t>1950s|director|friend|friendship|transvestism</t>
  </si>
  <si>
    <t>Wayne Knight</t>
  </si>
  <si>
    <t>Jurassic ParkÂ </t>
  </si>
  <si>
    <t>dinosaur|jurassic park|survival|theme park|tyrannosaurus rex</t>
  </si>
  <si>
    <t>Jonathan Kesselman</t>
  </si>
  <si>
    <t>The Hebrew HammerÂ </t>
  </si>
  <si>
    <t>blaxploitation|hanukkah|jewish|kwanzaa|santa claus</t>
  </si>
  <si>
    <t>Action|Adventure|Drama|Romance|Sci-Fi</t>
  </si>
  <si>
    <t>Marlon Brando</t>
  </si>
  <si>
    <t>SupermanÂ </t>
  </si>
  <si>
    <t>1970s|clark kent|planet|superhero|year 1978</t>
  </si>
  <si>
    <t>Con AirÂ </t>
  </si>
  <si>
    <t>army rangers|convict|criminal|escape|prison</t>
  </si>
  <si>
    <t>Mark Sandrich</t>
  </si>
  <si>
    <t>Comedy|Musical|Romance</t>
  </si>
  <si>
    <t>Ginger Rogers</t>
  </si>
  <si>
    <t>Top HatÂ </t>
  </si>
  <si>
    <t>dance|dancer|dancing|horse|tap dancing</t>
  </si>
  <si>
    <t>Stephen Daldry</t>
  </si>
  <si>
    <t>Meryl Streep</t>
  </si>
  <si>
    <t>The HoursÂ </t>
  </si>
  <si>
    <t>housewife|lesbian|novel|party|reading</t>
  </si>
  <si>
    <t>Crank: High VoltageÂ </t>
  </si>
  <si>
    <t>artificial heart|heart|horse penis|prostitute|stripper</t>
  </si>
  <si>
    <t>David Koepp</t>
  </si>
  <si>
    <t>Action|Comedy|Mystery|Romance</t>
  </si>
  <si>
    <t>MortdecaiÂ </t>
  </si>
  <si>
    <t>art dealer|fake painting|macguffin|moustache|stolen painting</t>
  </si>
  <si>
    <t>Phyllida Lloyd</t>
  </si>
  <si>
    <t>Comedy|Family|Musical|Romance</t>
  </si>
  <si>
    <t>Mamma Mia!Â </t>
  </si>
  <si>
    <t>bride|greece|island|mediterranean|wedding</t>
  </si>
  <si>
    <t>David R. Ellis</t>
  </si>
  <si>
    <t>Action|Adventure|Crime|Drama|Thriller</t>
  </si>
  <si>
    <t>Snakes on a PlaneÂ </t>
  </si>
  <si>
    <t>baby rattle|famous line|murder|passenger|snake</t>
  </si>
  <si>
    <t>Bob Saget</t>
  </si>
  <si>
    <t>Don Rickles</t>
  </si>
  <si>
    <t>Dirty WorkÂ </t>
  </si>
  <si>
    <t>cult film|gambling debt|job|off screen murder|revenge</t>
  </si>
  <si>
    <t>Michel Gondry</t>
  </si>
  <si>
    <t>Comedy|Documentary|Music</t>
  </si>
  <si>
    <t>Common</t>
  </si>
  <si>
    <t>Dave Chappelle's Block PartyÂ </t>
  </si>
  <si>
    <t>block party|marching band|neighborhood|new york city|tyrannosaurus rex</t>
  </si>
  <si>
    <t>Evan AlmightyÂ </t>
  </si>
  <si>
    <t>ark|change|congressman|depiction of god|flood</t>
  </si>
  <si>
    <t>Kristen Stewart</t>
  </si>
  <si>
    <t>Panic RoomÂ </t>
  </si>
  <si>
    <t>brownstone|burglar|money|panic|panic room</t>
  </si>
  <si>
    <t>Jesse Dylan</t>
  </si>
  <si>
    <t>Hector Elizondo</t>
  </si>
  <si>
    <t>How HighÂ </t>
  </si>
  <si>
    <t>college|drugs|harvard|pot|smoke</t>
  </si>
  <si>
    <t>Action|Adventure|Comedy|Family|Fantasy</t>
  </si>
  <si>
    <t>Night at the MuseumÂ </t>
  </si>
  <si>
    <t>chaos|museum|museum of natural history|night watchman|watchman</t>
  </si>
  <si>
    <t>The UntouchablesÂ </t>
  </si>
  <si>
    <t>corrupt judge|tax evasion|tough cop|white suit|year 1930</t>
  </si>
  <si>
    <t>Joe Mantegna</t>
  </si>
  <si>
    <t>ThinnerÂ </t>
  </si>
  <si>
    <t>death|doctor|gypsy|judge|lawyer</t>
  </si>
  <si>
    <t>Danny DeVito</t>
  </si>
  <si>
    <t>Frank Whaley</t>
  </si>
  <si>
    <t>HoffaÂ </t>
  </si>
  <si>
    <t>labor|labor union|leader|mafia|union</t>
  </si>
  <si>
    <t>Hugh Hudson</t>
  </si>
  <si>
    <t>Adventure|Drama|Romance</t>
  </si>
  <si>
    <t>I Dreamed of AfricaÂ </t>
  </si>
  <si>
    <t>dream|italian|kenya|ranch|snake</t>
  </si>
  <si>
    <t>Jonathan Levine</t>
  </si>
  <si>
    <t>50/50Â </t>
  </si>
  <si>
    <t>best friend|cancer|survival rate|therapist|vomiting</t>
  </si>
  <si>
    <t>David Zucker</t>
  </si>
  <si>
    <t>Carmen Electra</t>
  </si>
  <si>
    <t>My Boss's DaughterÂ </t>
  </si>
  <si>
    <t>boss' daughter|crush|house sitter|housesitting|love interest</t>
  </si>
  <si>
    <t>Bad CompanyÂ </t>
  </si>
  <si>
    <t>cia|cia agent|terrorist|twin|twin brother</t>
  </si>
  <si>
    <t>Patrice Leconte</t>
  </si>
  <si>
    <t>Emir Kusturica</t>
  </si>
  <si>
    <t>The Widow of Saint-PierreÂ </t>
  </si>
  <si>
    <t>archipelago|guillotine|island|prison|redemption</t>
  </si>
  <si>
    <t>Rupert Wyatt</t>
  </si>
  <si>
    <t>George Kennedy</t>
  </si>
  <si>
    <t>The GamblerÂ </t>
  </si>
  <si>
    <t>dog|gambler|gambling|gangster|professor</t>
  </si>
  <si>
    <t>Anne Fletcher</t>
  </si>
  <si>
    <t>Hot PursuitÂ </t>
  </si>
  <si>
    <t>danger|drug cartel|female cop|female police officer|fugitive</t>
  </si>
  <si>
    <t>Stephen Chbosky</t>
  </si>
  <si>
    <t>Logan Lerman</t>
  </si>
  <si>
    <t>The Perks of Being a WallflowerÂ </t>
  </si>
  <si>
    <t>coming of age|depression|gay|high school|mental illness</t>
  </si>
  <si>
    <t>Jon Stewart</t>
  </si>
  <si>
    <t>Numan Acar</t>
  </si>
  <si>
    <t>RosewaterÂ </t>
  </si>
  <si>
    <t>based on true story|hijab|journalism|prison|reference to mahmoud ahmedinejad</t>
  </si>
  <si>
    <t>Darren Aronofsky</t>
  </si>
  <si>
    <t>Requiem for a DreamÂ </t>
  </si>
  <si>
    <t>addiction|diet pill|drug addiction|fast motion scene|heroin</t>
  </si>
  <si>
    <t>John Waters</t>
  </si>
  <si>
    <t>Cecil B. DeMentedÂ </t>
  </si>
  <si>
    <t>actress|drive in|female protagonist|movie star|woman shot in the forehead</t>
  </si>
  <si>
    <t>Martin McDonagh</t>
  </si>
  <si>
    <t>Abbie Cornish</t>
  </si>
  <si>
    <t>Seven PsychopathsÂ </t>
  </si>
  <si>
    <t>dognapping|gangster|misfiring gun|screenwriter|shih tzu</t>
  </si>
  <si>
    <t>Penguins of MadagascarÂ </t>
  </si>
  <si>
    <t>little girl|park|spy|statue of liberty|television van</t>
  </si>
  <si>
    <t>Florent-Emilio Siri</t>
  </si>
  <si>
    <t>HostageÂ </t>
  </si>
  <si>
    <t>california|hostage|hostage negotiator|organized crime|police</t>
  </si>
  <si>
    <t>Joseph Sargent</t>
  </si>
  <si>
    <t>Adventure|Horror|Thriller</t>
  </si>
  <si>
    <t>Judith Barsi</t>
  </si>
  <si>
    <t>Jaws: The RevengeÂ </t>
  </si>
  <si>
    <t>banana boat|boat|christmas|sea|shark</t>
  </si>
  <si>
    <t>Andrew Wilson</t>
  </si>
  <si>
    <t>The Wendell Baker StoryÂ </t>
  </si>
  <si>
    <t>directorial debut|fantasy sequence|nurse|old age home|prison</t>
  </si>
  <si>
    <t>Akiva Schaffer</t>
  </si>
  <si>
    <t>The WatchÂ </t>
  </si>
  <si>
    <t>alien|escape|manager|neighborhood watch|ohio</t>
  </si>
  <si>
    <t>John Fortenberry</t>
  </si>
  <si>
    <t>Comedy|Music|Romance</t>
  </si>
  <si>
    <t>A Night at the RoxburyÂ </t>
  </si>
  <si>
    <t>1990s|bar|car accident|nightclub|whipped cream</t>
  </si>
  <si>
    <t>George Roy Hill</t>
  </si>
  <si>
    <t>Eileen Brennan</t>
  </si>
  <si>
    <t>The StingÂ </t>
  </si>
  <si>
    <t>con|con man|courier|long con|murder</t>
  </si>
  <si>
    <t>Kevin Costner</t>
  </si>
  <si>
    <t>Adventure|Drama|Western</t>
  </si>
  <si>
    <t>Mary McDonnell</t>
  </si>
  <si>
    <t>Dances with WolvesÂ </t>
  </si>
  <si>
    <t>friendship|frontier|honor|outpost|soldier</t>
  </si>
  <si>
    <t>John Pasquin</t>
  </si>
  <si>
    <t>Comedy|Drama|Family|Fantasy</t>
  </si>
  <si>
    <t>Judge Reinhold</t>
  </si>
  <si>
    <t>The Santa ClauseÂ </t>
  </si>
  <si>
    <t>1990s|christmas|christmas eve|sleigh|surrealism</t>
  </si>
  <si>
    <t>Marc Webb</t>
  </si>
  <si>
    <t>The Amazing Spider-ManÂ </t>
  </si>
  <si>
    <t>lizard|outcast|spider|spider man|teenager</t>
  </si>
  <si>
    <t>Mem Ferda</t>
  </si>
  <si>
    <t>The Devil's DoubleÂ </t>
  </si>
  <si>
    <t>betrayal|debauchery|lust|palace|saddam hussein</t>
  </si>
  <si>
    <t>Belgium</t>
  </si>
  <si>
    <t>Oliver Parker</t>
  </si>
  <si>
    <t>The Importance of Being EarnestÂ </t>
  </si>
  <si>
    <t>comedy of manners|false identity|farce|love|period drama</t>
  </si>
  <si>
    <t>James Bobin</t>
  </si>
  <si>
    <t>Adventure|Comedy|Family|Musical</t>
  </si>
  <si>
    <t>The MuppetsÂ </t>
  </si>
  <si>
    <t>bel air california|book|friends who live together|the muppets|tribute band</t>
  </si>
  <si>
    <t>Howard Zieff</t>
  </si>
  <si>
    <t>Comedy|Drama|Family|Romance</t>
  </si>
  <si>
    <t>Macaulay Culkin</t>
  </si>
  <si>
    <t>My GirlÂ </t>
  </si>
  <si>
    <t>best friend|funeral|girl|overalls|summer</t>
  </si>
  <si>
    <t>The RockÂ </t>
  </si>
  <si>
    <t>alcatraz|fbi|general|hostage|rocket</t>
  </si>
  <si>
    <t>Finn Taylor</t>
  </si>
  <si>
    <t>David Arquette</t>
  </si>
  <si>
    <t>Dream with the FishesÂ </t>
  </si>
  <si>
    <t>dying|to do list|twenty something|underwear|voyeur</t>
  </si>
  <si>
    <t>Ken Kwapis</t>
  </si>
  <si>
    <t>Mike Vogel</t>
  </si>
  <si>
    <t>The Sisterhood of the Traveling PantsÂ </t>
  </si>
  <si>
    <t>friendship|jeans|pants|summer|vacation</t>
  </si>
  <si>
    <t>Action|Adventure|Comedy|Crime|Mystery|Thriller</t>
  </si>
  <si>
    <t>Daniel Radcliffe</t>
  </si>
  <si>
    <t>Now You See Me 2Â </t>
  </si>
  <si>
    <t>card trick|london england|magician|rain machine|rooftop</t>
  </si>
  <si>
    <t>Dennis Dugan</t>
  </si>
  <si>
    <t>Grown Ups 2Â </t>
  </si>
  <si>
    <t>belching|number in title|party|reference to nicki minaj|sneezing</t>
  </si>
  <si>
    <t>Star TrekÂ </t>
  </si>
  <si>
    <t>box office hit|future|lifted by the throat|star trek|vulcan</t>
  </si>
  <si>
    <t>James Gunn</t>
  </si>
  <si>
    <t>Linda Cardellini</t>
  </si>
  <si>
    <t>SuperÂ </t>
  </si>
  <si>
    <t>drug dealer|superhero|tragedy|tragic hero|tragic love</t>
  </si>
  <si>
    <t>Mic Rodgers</t>
  </si>
  <si>
    <t>Michael Jai White</t>
  </si>
  <si>
    <t>Universal Soldier: The ReturnÂ </t>
  </si>
  <si>
    <t>combat|computer|general|military|reporter</t>
  </si>
  <si>
    <t>2012Â </t>
  </si>
  <si>
    <t>ark|catastrophe|geologist|president|writer</t>
  </si>
  <si>
    <t>Comedy|Drama|Sci-Fi</t>
  </si>
  <si>
    <t>Natascha McElhone</t>
  </si>
  <si>
    <t>The Truman ShowÂ </t>
  </si>
  <si>
    <t>controlled environment|fictional reality show|hidden camera|innocence lost|simulated reality</t>
  </si>
  <si>
    <t>Franco Zeffirelli</t>
  </si>
  <si>
    <t>Comedy|Drama|War</t>
  </si>
  <si>
    <t>Lily Tomlin</t>
  </si>
  <si>
    <t>Tea with MussoliniÂ </t>
  </si>
  <si>
    <t>ambassador|american|art|english|italy</t>
  </si>
  <si>
    <t>Step BrothersÂ </t>
  </si>
  <si>
    <t>dream|friendship|karaoke|love|slacker</t>
  </si>
  <si>
    <t>Babylon A.D.Â </t>
  </si>
  <si>
    <t>box office flop|convent|mercenary|new york|pregnant</t>
  </si>
  <si>
    <t>Indiana Jones and the Last CrusadeÂ </t>
  </si>
  <si>
    <t>castle|diary|holy grail|map|nazi</t>
  </si>
  <si>
    <t>Angelo Pizzo</t>
  </si>
  <si>
    <t>Donny Boaz</t>
  </si>
  <si>
    <t>CourageÂ </t>
  </si>
  <si>
    <t>coach|football|football movie|football team|high school sweethearts</t>
  </si>
  <si>
    <t>Patrick Tatopoulos</t>
  </si>
  <si>
    <t>Craig Parker</t>
  </si>
  <si>
    <t>Underworld: Rise of the LycansÂ </t>
  </si>
  <si>
    <t>battle|slave|vampire|warrior|werewolf</t>
  </si>
  <si>
    <t>Nora Ephron</t>
  </si>
  <si>
    <t>Michael Rapaport</t>
  </si>
  <si>
    <t>Lucky NumbersÂ </t>
  </si>
  <si>
    <t>celebrity|lottery|murder|snowmobile|weatherman</t>
  </si>
  <si>
    <t>Neil Marshall</t>
  </si>
  <si>
    <t>Ryan Kruger</t>
  </si>
  <si>
    <t>DoomsdayÂ </t>
  </si>
  <si>
    <t>cure|quarantine|scotland|virus|wall</t>
  </si>
  <si>
    <t>The Dark Knight RisesÂ</t>
  </si>
  <si>
    <t>deception|imprisonment|lawlessness|police officer|terrorist plot</t>
  </si>
  <si>
    <t>Jonathan Kaplan</t>
  </si>
  <si>
    <t>John Doe</t>
  </si>
  <si>
    <t>Brokedown PalaceÂ </t>
  </si>
  <si>
    <t>bangkok|friend|lawyer|smuggling|thailand</t>
  </si>
  <si>
    <t>The Fifth ElementÂ </t>
  </si>
  <si>
    <t>1910s|alien|artificially created woman|love|taxi driver</t>
  </si>
  <si>
    <t>The DepartedÂ </t>
  </si>
  <si>
    <t>boston|mole|police|undercover|undercover cop</t>
  </si>
  <si>
    <t>Adriana Barraza</t>
  </si>
  <si>
    <t>Amores PerrosÂ </t>
  </si>
  <si>
    <t>animal in title|dog fight|mexico city|multiple perspectives|nonlinear timeline</t>
  </si>
  <si>
    <t>Biography|Crime|Drama|History|Music</t>
  </si>
  <si>
    <t>Aldis Hodge</t>
  </si>
  <si>
    <t>Straight Outta ComptonÂ </t>
  </si>
  <si>
    <t>concert|gangsta rap|hip hop|nwa|rap music</t>
  </si>
  <si>
    <t>David Bowers</t>
  </si>
  <si>
    <t>Action|Animation|Comedy|Family|Sci-Fi</t>
  </si>
  <si>
    <t>Astro BoyÂ </t>
  </si>
  <si>
    <t>betrayal|futuristic|gladiator|robot|scientist</t>
  </si>
  <si>
    <t>The Lord of the Rings: The Fellowship of the RingÂ </t>
  </si>
  <si>
    <t>elf|hobbit|middle earth|quest|ring</t>
  </si>
  <si>
    <t>Drama|Family</t>
  </si>
  <si>
    <t>Jacqueline McKenzie</t>
  </si>
  <si>
    <t>Opal DreamÂ </t>
  </si>
  <si>
    <t>friend|girl|imaginary friend|outback|town</t>
  </si>
  <si>
    <t>My Big Fat Greek Wedding 2Â </t>
  </si>
  <si>
    <t>family restaurant|greek|remarriage|suburb|wedding</t>
  </si>
  <si>
    <t>Richard Kelly</t>
  </si>
  <si>
    <t>Drama|Fantasy|Mystery|Thriller</t>
  </si>
  <si>
    <t>Frank Langella</t>
  </si>
  <si>
    <t>The BoxÂ </t>
  </si>
  <si>
    <t>alien|library|moral dilemma|nosebleed|supernatural power</t>
  </si>
  <si>
    <t>Action|Comedy|Crime|Drama|Thriller</t>
  </si>
  <si>
    <t>Exit WoundsÂ </t>
  </si>
  <si>
    <t>corrupt cop|drug dealer|drugs|heroin|vice president</t>
  </si>
  <si>
    <t>Whit Stillman</t>
  </si>
  <si>
    <t>Chris Eigeman</t>
  </si>
  <si>
    <t>MetropolitanÂ </t>
  </si>
  <si>
    <t>apartment|dancing|debutante|new york|upper class</t>
  </si>
  <si>
    <t>Michael Kelly</t>
  </si>
  <si>
    <t>ChronicleÂ </t>
  </si>
  <si>
    <t>found footage|high school|subjective camera|teen angst|troubled teen</t>
  </si>
  <si>
    <t>Raja Gosnell</t>
  </si>
  <si>
    <t>Big Momma's HouseÂ </t>
  </si>
  <si>
    <t>disguise|fbi|female impersonation|gender disguise|obesity</t>
  </si>
  <si>
    <t>Ben Stiller</t>
  </si>
  <si>
    <t>Comedy|Drama|Thriller</t>
  </si>
  <si>
    <t>Matthew Broderick</t>
  </si>
  <si>
    <t>The Cable GuyÂ </t>
  </si>
  <si>
    <t>cable guy|foreplay|friend|kissing|television</t>
  </si>
  <si>
    <t>Phil Joanou</t>
  </si>
  <si>
    <t>Crime|Drama|Sport</t>
  </si>
  <si>
    <t>Gridiron GangÂ </t>
  </si>
  <si>
    <t>alliterative title|football|football coach|football practice|football team</t>
  </si>
  <si>
    <t>Rupert Wainwright</t>
  </si>
  <si>
    <t>StigmataÂ </t>
  </si>
  <si>
    <t>catholic|priest|stigmata|vatican|wound</t>
  </si>
  <si>
    <t>Jab Tak Hai JaanÂ </t>
  </si>
  <si>
    <t>accident|army|bomb|indian army|love</t>
  </si>
  <si>
    <t>Stephan Elliott</t>
  </si>
  <si>
    <t>Jason Priestley</t>
  </si>
  <si>
    <t>Eye of the BeholderÂ </t>
  </si>
  <si>
    <t>chicago illinois|false identity|femme fatale|new york city|spying</t>
  </si>
  <si>
    <t>Apocalypse NowÂ </t>
  </si>
  <si>
    <t>army|green beret|insanity|jungle|vietnam</t>
  </si>
  <si>
    <t>Matthew O'Callaghan</t>
  </si>
  <si>
    <t>Curious GeorgeÂ </t>
  </si>
  <si>
    <t>hat|monkey|museum|shrine|yellow</t>
  </si>
  <si>
    <t>Joan Allen</t>
  </si>
  <si>
    <t>The Ice StormÂ </t>
  </si>
  <si>
    <t>ice|ice storm|storm|thanksgiving|virgin</t>
  </si>
  <si>
    <t>Mireille Enos</t>
  </si>
  <si>
    <t>SabotageÂ </t>
  </si>
  <si>
    <t>dea|drug cartel|kicked in the crotch|strip club|tough girl</t>
  </si>
  <si>
    <t>Juan JosÃ© Campanella</t>
  </si>
  <si>
    <t>Ricardo DarÃ­n</t>
  </si>
  <si>
    <t>The Secret in Their EyesÂ </t>
  </si>
  <si>
    <t>investigation|justice|murder|suspect|tension</t>
  </si>
  <si>
    <t>Argentina</t>
  </si>
  <si>
    <t>Agnieszka Holland</t>
  </si>
  <si>
    <t>Biography|Drama|Music</t>
  </si>
  <si>
    <t>Phyllida Law</t>
  </si>
  <si>
    <t>Copying BeethovenÂ </t>
  </si>
  <si>
    <t>music copyist|music student|musical composition|student|symphony</t>
  </si>
  <si>
    <t>Harold Becker</t>
  </si>
  <si>
    <t>Domestic DisturbanceÂ </t>
  </si>
  <si>
    <t>amateur detective|boat builder|boy|stepfather|witness</t>
  </si>
  <si>
    <t>Julie Taymor</t>
  </si>
  <si>
    <t>Drama|Fantasy|Musical|Romance</t>
  </si>
  <si>
    <t>Jim Sturgess</t>
  </si>
  <si>
    <t>Across the UniverseÂ </t>
  </si>
  <si>
    <t>anti war|liverpool|love|protest|song</t>
  </si>
  <si>
    <t>Herbert Ross</t>
  </si>
  <si>
    <t>Dianne Wiest</t>
  </si>
  <si>
    <t>FootlooseÂ </t>
  </si>
  <si>
    <t>church|cowboy boots|dancing|high school dance|teenager</t>
  </si>
  <si>
    <t>Eric Idle</t>
  </si>
  <si>
    <t>CasperÂ </t>
  </si>
  <si>
    <t>casper|friendly ghost|ghost|maine|mansion</t>
  </si>
  <si>
    <t>Dave Borthwick</t>
  </si>
  <si>
    <t>Jimmy Fallon</t>
  </si>
  <si>
    <t>DoogalÂ </t>
  </si>
  <si>
    <t>diamond|lava|magic|mountain|sorcerer</t>
  </si>
  <si>
    <t>Andy Tennant</t>
  </si>
  <si>
    <t>Action|Adventure|Comedy|Romance|Thriller</t>
  </si>
  <si>
    <t>Fool's GoldÂ </t>
  </si>
  <si>
    <t>debt|rapper|treasure|treasure hunter|yacht</t>
  </si>
  <si>
    <t>Ruben Fleischer</t>
  </si>
  <si>
    <t>Gangster SquadÂ </t>
  </si>
  <si>
    <t>good versus evil|machine gun|mobster|police vigilantism|year 1949</t>
  </si>
  <si>
    <t>Quinton Aaron</t>
  </si>
  <si>
    <t>Be Kind RewindÂ </t>
  </si>
  <si>
    <t>friend|power plant|sabotage|store clerk|video store</t>
  </si>
  <si>
    <t>Thor Freudenthal</t>
  </si>
  <si>
    <t>ChloÃ« Grace Moretz</t>
  </si>
  <si>
    <t>Diary of a Wimpy KidÂ </t>
  </si>
  <si>
    <t>cheese|diary|friend|middle school|school</t>
  </si>
  <si>
    <t>Lethal Weapon 4Â </t>
  </si>
  <si>
    <t>kung fu|lapd|martial arts|private investigator|triad</t>
  </si>
  <si>
    <t>Derrick Borte</t>
  </si>
  <si>
    <t>The JonesesÂ </t>
  </si>
  <si>
    <t>envy|fake family|gadget|materialism|unhappy marriage</t>
  </si>
  <si>
    <t>Guardians of the GalaxyÂ </t>
  </si>
  <si>
    <t>bounty hunter|outer space|raccoon|talking animal|tree</t>
  </si>
  <si>
    <t>James Cox</t>
  </si>
  <si>
    <t>Alexis Dziena</t>
  </si>
  <si>
    <t>WonderlandÂ </t>
  </si>
  <si>
    <t>murder|police|police investigation|porn star|robbery</t>
  </si>
  <si>
    <t>Air Force OneÂ </t>
  </si>
  <si>
    <t>ex soldier|hijacker|hostage|president|terrorist</t>
  </si>
  <si>
    <t>John Lasseter</t>
  </si>
  <si>
    <t>A Bug's LifeÂ </t>
  </si>
  <si>
    <t>ant|circus|grasshopper|misunderstanding|overhearing</t>
  </si>
  <si>
    <t>Lee Daniels</t>
  </si>
  <si>
    <t>Mo'Nique</t>
  </si>
  <si>
    <t>PreciousÂ </t>
  </si>
  <si>
    <t>abuse|african american lesbian|lesbian|lesbian couple|school</t>
  </si>
  <si>
    <t>Gremlins 2: The New BatchÂ </t>
  </si>
  <si>
    <t>gremlin|horror host|hulk hogan|monster|skyscraper</t>
  </si>
  <si>
    <t>Dave Green</t>
  </si>
  <si>
    <t>Adventure|Family|Sci-Fi</t>
  </si>
  <si>
    <t>Teo Halm</t>
  </si>
  <si>
    <t>Earth to EchoÂ </t>
  </si>
  <si>
    <t>alien|bar|construction worker|no opening credits|no title at beginning</t>
  </si>
  <si>
    <t>Ron Fricke</t>
  </si>
  <si>
    <t>Collin Alfredo St. Dic</t>
  </si>
  <si>
    <t>SamsaraÂ </t>
  </si>
  <si>
    <t>hall of mirrors|mont saint michel france|palace of versailles|turkey the country|yellowstone national park</t>
  </si>
  <si>
    <t>None</t>
  </si>
  <si>
    <t>Larry Charles</t>
  </si>
  <si>
    <t>Sayed Badreya</t>
  </si>
  <si>
    <t>The DictatorÂ </t>
  </si>
  <si>
    <t>dictator|hotel|oil|overalls|sunglasses</t>
  </si>
  <si>
    <t>Lucky McKee</t>
  </si>
  <si>
    <t>James Duval</t>
  </si>
  <si>
    <t>MayÂ </t>
  </si>
  <si>
    <t>case|doll|dry humor|friend|love</t>
  </si>
  <si>
    <t>George Tillman Jr.</t>
  </si>
  <si>
    <t>FasterÂ </t>
  </si>
  <si>
    <t>gun|prison|reference to god|reference to jesus christ|vengeance</t>
  </si>
  <si>
    <t>Groundhog DayÂ </t>
  </si>
  <si>
    <t>cult film|existentialism|groundhog day|time loop|trapped in a time loop</t>
  </si>
  <si>
    <t>Documentary|War</t>
  </si>
  <si>
    <t>Campbell Scott</t>
  </si>
  <si>
    <t>No End in SightÂ </t>
  </si>
  <si>
    <t>american politics|iraq|iraq war|occupation|white house</t>
  </si>
  <si>
    <t>John Singleton</t>
  </si>
  <si>
    <t>Ken Arnold</t>
  </si>
  <si>
    <t>AbductionÂ </t>
  </si>
  <si>
    <t>assassin|high school|on the run|teenager|website</t>
  </si>
  <si>
    <t>Michael Radford</t>
  </si>
  <si>
    <t>The Merchant of VeniceÂ </t>
  </si>
  <si>
    <t>debt|jew|loan|merchant|pound of flesh</t>
  </si>
  <si>
    <t>Wolfgang Becker</t>
  </si>
  <si>
    <t>Florian Lukas</t>
  </si>
  <si>
    <t>Good Bye Lenin!Â </t>
  </si>
  <si>
    <t>coma|east germany|german democratic republic|germany|heart attack</t>
  </si>
  <si>
    <t>Jim Sonzero</t>
  </si>
  <si>
    <t>Drama|Horror|Sci-Fi|Thriller</t>
  </si>
  <si>
    <t>Ian Somerhalder</t>
  </si>
  <si>
    <t>PulseÂ </t>
  </si>
  <si>
    <t>cell phone|computer|computer hacker|e mail|technology</t>
  </si>
  <si>
    <t>Comedy|Fantasy|Horror|Thriller</t>
  </si>
  <si>
    <t>ArachnophobiaÂ </t>
  </si>
  <si>
    <t>arachnophobia|death|doctor|small town|spider</t>
  </si>
  <si>
    <t>Chris Koch</t>
  </si>
  <si>
    <t>Thomas Lennon</t>
  </si>
  <si>
    <t>A Guy ThingÂ </t>
  </si>
  <si>
    <t>bachelor party|climbing a tree|taxi|toilet|wedding</t>
  </si>
  <si>
    <t>Robert Forster</t>
  </si>
  <si>
    <t>Me, Myself &amp; IreneÂ </t>
  </si>
  <si>
    <t>dissociative identity disorder|limousine|multiple personality|police|rhode island</t>
  </si>
  <si>
    <t>Jonathan Frakes</t>
  </si>
  <si>
    <t>Action|Adventure|Comedy|Sci-Fi|Thriller</t>
  </si>
  <si>
    <t>ClockstoppersÂ </t>
  </si>
  <si>
    <t>frozen time|stopped time|time freeze|watch|wristwatch</t>
  </si>
  <si>
    <t>Jean-FranÃ§ois Richet</t>
  </si>
  <si>
    <t>Assault on Precinct 13Â </t>
  </si>
  <si>
    <t>criminal|mobster|new year's eve|police|sergeant</t>
  </si>
  <si>
    <t>Dito Montiel</t>
  </si>
  <si>
    <t>The Son of No OneÂ </t>
  </si>
  <si>
    <t>housing project|letter|man with glasses|murder|subjective camera</t>
  </si>
  <si>
    <t>Carlos Saldanha</t>
  </si>
  <si>
    <t>Denis Leary</t>
  </si>
  <si>
    <t>Ice Age: Dawn of the DinosaursÂ </t>
  </si>
  <si>
    <t>egg|lost world|rescue|squirrel|weasel</t>
  </si>
  <si>
    <t>Roger Avary</t>
  </si>
  <si>
    <t>Eric Stoltz</t>
  </si>
  <si>
    <t>Killing ZoeÂ </t>
  </si>
  <si>
    <t>bank|bastille day|call girl|childhood friend|drugs</t>
  </si>
  <si>
    <t>Robert Schwentke</t>
  </si>
  <si>
    <t>REDÂ </t>
  </si>
  <si>
    <t>cia|female assassin|interrogation|office cubicle|spy</t>
  </si>
  <si>
    <t>Tom Brady</t>
  </si>
  <si>
    <t>Don Johnson</t>
  </si>
  <si>
    <t>Bucky Larson: Born to Be a StarÂ </t>
  </si>
  <si>
    <t>diner|eating a banana|masturbation|porn star|shooting a pornographic movie</t>
  </si>
  <si>
    <t>Stephen Sommers</t>
  </si>
  <si>
    <t>Adventure|Comedy|Drama|Family</t>
  </si>
  <si>
    <t>The Adventures of Huck FinnÂ </t>
  </si>
  <si>
    <t>boy|lesson|mississippi river|river|slave</t>
  </si>
  <si>
    <t>Audrey Wells</t>
  </si>
  <si>
    <t>Raoul Bova</t>
  </si>
  <si>
    <t>Under the Tuscan SunÂ </t>
  </si>
  <si>
    <t>author|book|vacation|villa|writer</t>
  </si>
  <si>
    <t>Sydney Pollack</t>
  </si>
  <si>
    <t>Curtiss Cook</t>
  </si>
  <si>
    <t>The InterpreterÂ </t>
  </si>
  <si>
    <t>african|assassination|dialect|interpreter|threat</t>
  </si>
  <si>
    <t>Aboriginal</t>
  </si>
  <si>
    <t>John Carney</t>
  </si>
  <si>
    <t>Begin AgainÂ </t>
  </si>
  <si>
    <t>manhattan new york city|new york city|record label|singer|song</t>
  </si>
  <si>
    <t>Ulu Grosbard</t>
  </si>
  <si>
    <t>Alexa PenaVega</t>
  </si>
  <si>
    <t>The Deep End of the OceanÂ </t>
  </si>
  <si>
    <t>basketball|boy|italian|kidnapping a child|reunion</t>
  </si>
  <si>
    <t>Stephen Carpenter</t>
  </si>
  <si>
    <t>Drama|Horror|Mystery|Thriller</t>
  </si>
  <si>
    <t>Melissa Sagemiller</t>
  </si>
  <si>
    <t>Soul SurvivorsÂ </t>
  </si>
  <si>
    <t>car accident|college|ghost|girl in panties|white panties</t>
  </si>
  <si>
    <t>Paul Greengrass</t>
  </si>
  <si>
    <t>Jason BourneÂ </t>
  </si>
  <si>
    <t>black ops|chase|cia|cia agent|repeated scene</t>
  </si>
  <si>
    <t>Drama|Fantasy|Horror|Thriller</t>
  </si>
  <si>
    <t>Christine Taylor</t>
  </si>
  <si>
    <t>The CraftÂ </t>
  </si>
  <si>
    <t>coven|occult|outcast|spell|witch</t>
  </si>
  <si>
    <t>We Are MarshallÂ </t>
  </si>
  <si>
    <t>coach|football|football team|marshall university|university</t>
  </si>
  <si>
    <t>Adventure|Animation|Comedy|Family|Sport</t>
  </si>
  <si>
    <t>Cars 2Â </t>
  </si>
  <si>
    <t>best friend|car race|conspiracy|gadget car|spy</t>
  </si>
  <si>
    <t>Stanley Kubrick</t>
  </si>
  <si>
    <t>Keir Dullea</t>
  </si>
  <si>
    <t>2001: A Space OdysseyÂ </t>
  </si>
  <si>
    <t>ancient astronaut|famous line|message from outer space|monolith|star child</t>
  </si>
  <si>
    <t>Joe Camp</t>
  </si>
  <si>
    <t>Adventure|Family|Romance</t>
  </si>
  <si>
    <t>Frances Bavier</t>
  </si>
  <si>
    <t>BenjiÂ </t>
  </si>
  <si>
    <t>animal abuse|cat|dog|dog movie|tween girl</t>
  </si>
  <si>
    <t>Stephen Frears</t>
  </si>
  <si>
    <t>High FidelityÂ </t>
  </si>
  <si>
    <t>employer employee relationship|record store|store|thirty something|vinyl</t>
  </si>
  <si>
    <t>The FountainÂ </t>
  </si>
  <si>
    <t>eternity|love|mayan|tree|tree of life</t>
  </si>
  <si>
    <t>Beeban Kidron</t>
  </si>
  <si>
    <t>Bridget Jones: The Edge of ReasonÂ </t>
  </si>
  <si>
    <t>american actress playing british character|intern|prison|six word title|thailand</t>
  </si>
  <si>
    <t>Action|Horror|Sci-Fi</t>
  </si>
  <si>
    <t>Alien: ResurrectionÂ </t>
  </si>
  <si>
    <t>alien|blood|breeding|clone|scientist</t>
  </si>
  <si>
    <t>Action|Drama|Sci-Fi</t>
  </si>
  <si>
    <t>Connie Nielsen</t>
  </si>
  <si>
    <t>SoldierÂ </t>
  </si>
  <si>
    <t>crash survivor|planet|sergeant|soldier|survivor</t>
  </si>
  <si>
    <t>Extremely Loud &amp; Incredibly CloseÂ </t>
  </si>
  <si>
    <t>fear|mourning|mute|quest|revelation</t>
  </si>
  <si>
    <t>Ray Lawrence</t>
  </si>
  <si>
    <t>John Howard</t>
  </si>
  <si>
    <t>JindabyneÂ </t>
  </si>
  <si>
    <t>camp|fishing|fishing trip|river|town</t>
  </si>
  <si>
    <t>Pete Docter</t>
  </si>
  <si>
    <t>John Ratzenberger</t>
  </si>
  <si>
    <t>UpÂ </t>
  </si>
  <si>
    <t>balloon|house|promise|retirement|skeleton</t>
  </si>
  <si>
    <t>Captain PhillipsÂ </t>
  </si>
  <si>
    <t>hijacking|hostage|leader|ship|somalia</t>
  </si>
  <si>
    <t>Biography|Drama|Music|Musical</t>
  </si>
  <si>
    <t>Kevin McNally</t>
  </si>
  <si>
    <t>De-LovelyÂ </t>
  </si>
  <si>
    <t>cole porter|composer|love|party|tears</t>
  </si>
  <si>
    <t>Comedy|Drama|Fantasy</t>
  </si>
  <si>
    <t>ScroogedÂ </t>
  </si>
  <si>
    <t>christmas|compassion|executive|ghost|redemption</t>
  </si>
  <si>
    <t>Ava DuVernay</t>
  </si>
  <si>
    <t>Omari Hardwick</t>
  </si>
  <si>
    <t>Middle of NowhereÂ </t>
  </si>
  <si>
    <t>Fernanda Andrade</t>
  </si>
  <si>
    <t>The Devil InsideÂ </t>
  </si>
  <si>
    <t>critically bashed|demonic possession|exorcism|exorcist|found footage</t>
  </si>
  <si>
    <t>Brad Anderson</t>
  </si>
  <si>
    <t>Thomas Kretschmann</t>
  </si>
  <si>
    <t>TranssiberianÂ </t>
  </si>
  <si>
    <t>35 mm digital camera|drugs|murder|train|travel</t>
  </si>
  <si>
    <t>Action|Comedy|Fantasy</t>
  </si>
  <si>
    <t>Ryan Reynolds</t>
  </si>
  <si>
    <t>R.I.P.D.Â </t>
  </si>
  <si>
    <t>drug dealer|gold|partner|police|undead</t>
  </si>
  <si>
    <t>Joe Berlinger</t>
  </si>
  <si>
    <t>Adventure|Fantasy|Horror|Mystery|Thriller</t>
  </si>
  <si>
    <t>Kim Director</t>
  </si>
  <si>
    <t>Book of Shadows: Blair Witch 2Â </t>
  </si>
  <si>
    <t>convenience store|digit in title|punctuation in title|violence|witch</t>
  </si>
  <si>
    <t>Gareth Edwards</t>
  </si>
  <si>
    <t>Scoot McNairy</t>
  </si>
  <si>
    <t>MonstersÂ </t>
  </si>
  <si>
    <t>alien|alien invasion|destroyed building|destruction|mexico</t>
  </si>
  <si>
    <t>Comedy|Drama|Family|Sport</t>
  </si>
  <si>
    <t>Lane Smith</t>
  </si>
  <si>
    <t>The Mighty DucksÂ </t>
  </si>
  <si>
    <t>coach|hockey team|lawyer|respect|team</t>
  </si>
  <si>
    <t>Richard Lester</t>
  </si>
  <si>
    <t>Comedy|Musical</t>
  </si>
  <si>
    <t>Paul McCartney</t>
  </si>
  <si>
    <t>A Hard Day's NightÂ </t>
  </si>
  <si>
    <t>boy|concert|drummer|manager|television</t>
  </si>
  <si>
    <t>Dennie Gordon</t>
  </si>
  <si>
    <t>Comedy|Crime|Family|Romance</t>
  </si>
  <si>
    <t>Mary-Kate Olsen</t>
  </si>
  <si>
    <t>New York MinuteÂ </t>
  </si>
  <si>
    <t>dog|new york city|scholarship|senator|twin</t>
  </si>
  <si>
    <t>Duncan Jones</t>
  </si>
  <si>
    <t>Dominic Cooper</t>
  </si>
  <si>
    <t>WarcraftÂ </t>
  </si>
  <si>
    <t>based on video game|fictional language|fictional war|orc|sword and sorcery</t>
  </si>
  <si>
    <t>Bruce Beresford</t>
  </si>
  <si>
    <t>Driving Miss DaisyÂ </t>
  </si>
  <si>
    <t>1950s|african american|jewish|old age|widow</t>
  </si>
  <si>
    <t>Tim McCanlies</t>
  </si>
  <si>
    <t>Secondhand LionsÂ </t>
  </si>
  <si>
    <t>africa|eyeglasses|money|texas|veteran</t>
  </si>
  <si>
    <t>Allen Coulter</t>
  </si>
  <si>
    <t>Remember MeÂ </t>
  </si>
  <si>
    <t>binge drinking|new york|new york city|september 11 2001|suicide</t>
  </si>
  <si>
    <t>David Frankel</t>
  </si>
  <si>
    <t>Hope SpringsÂ </t>
  </si>
  <si>
    <t>couple|intimacy|marriage|marriage counseling|middle age couple</t>
  </si>
  <si>
    <t>Crime|Drama|Fantasy</t>
  </si>
  <si>
    <t>Perfume: The Story of a MurdererÂ </t>
  </si>
  <si>
    <t>18th century|perfume|scent|sense of smell|smell</t>
  </si>
  <si>
    <t>Seth Gilliam</t>
  </si>
  <si>
    <t>Jefferson in ParisÂ </t>
  </si>
  <si>
    <t>18th century|ambassador|french revolution|friendship|thomas jefferson</t>
  </si>
  <si>
    <t>Joe Wright</t>
  </si>
  <si>
    <t>PanÂ </t>
  </si>
  <si>
    <t>1940s|child hero|fantasy world|orphan|reference to peter pan</t>
  </si>
  <si>
    <t>John Michael Higgins</t>
  </si>
  <si>
    <t>Fun with Dick and JaneÂ </t>
  </si>
  <si>
    <t>animal abuse|ceo|heist|suburb|unemployment</t>
  </si>
  <si>
    <t>Tony Scott</t>
  </si>
  <si>
    <t>True RomanceÂ </t>
  </si>
  <si>
    <t>aspiring actor|cocaine|drugs|pimp|suitcase full of money</t>
  </si>
  <si>
    <t>Dan Gilroy</t>
  </si>
  <si>
    <t>Jake Gyllenhaal</t>
  </si>
  <si>
    <t>NightcrawlerÂ </t>
  </si>
  <si>
    <t>employer employee relationship|ethics|journalism|sociopath|tv news</t>
  </si>
  <si>
    <t>DemiÃ¡n Bichir</t>
  </si>
  <si>
    <t>SavagesÂ </t>
  </si>
  <si>
    <t>arms tied overhead|damsel in distress|dea|marijuana|southern california</t>
  </si>
  <si>
    <t>Ethan Embry</t>
  </si>
  <si>
    <t>Sweet Home AlabamaÂ </t>
  </si>
  <si>
    <t>alabama|divorce|divorce papers|husband wife relationship|new york city</t>
  </si>
  <si>
    <t>Gregory Widen</t>
  </si>
  <si>
    <t>Action|Fantasy|Horror|Mystery|Thriller</t>
  </si>
  <si>
    <t>The ProphecyÂ </t>
  </si>
  <si>
    <t>angel|corpse|girl|heaven|soul</t>
  </si>
  <si>
    <t>Billy Ray</t>
  </si>
  <si>
    <t>Hayden Christensen</t>
  </si>
  <si>
    <t>Shattered GlassÂ </t>
  </si>
  <si>
    <t>fabricated facts|journalist|stephen glass|the new republic|writer</t>
  </si>
  <si>
    <t>Jafar Panahi</t>
  </si>
  <si>
    <t>Fereshteh Sadre Orafaiy</t>
  </si>
  <si>
    <t>The CircleÂ </t>
  </si>
  <si>
    <t>abortion|bus|hospital|prison|prostitution</t>
  </si>
  <si>
    <t>Persian</t>
  </si>
  <si>
    <t>Iran</t>
  </si>
  <si>
    <t>Sylvester Stallone</t>
  </si>
  <si>
    <t>DaylightÂ </t>
  </si>
  <si>
    <t>collapsing tunnel|explosion|new jersey|tunnel|weimaraner</t>
  </si>
  <si>
    <t>Ivan Reitman</t>
  </si>
  <si>
    <t>Richard Tyson</t>
  </si>
  <si>
    <t>Kindergarten CopÂ </t>
  </si>
  <si>
    <t>astoria|kindergarten|kindergarten teacher|school|teacher</t>
  </si>
  <si>
    <t>The Replacement KillersÂ </t>
  </si>
  <si>
    <t>forger|hitman|passport|police|replacement</t>
  </si>
  <si>
    <t>NimrÃ³d Antal</t>
  </si>
  <si>
    <t>Topher Grace</t>
  </si>
  <si>
    <t>PredatorsÂ </t>
  </si>
  <si>
    <t>kicked in the face|martial arts|punched in the face|strong female character|woman punching a man</t>
  </si>
  <si>
    <t>The Sorcerer's ApprenticeÂ </t>
  </si>
  <si>
    <t>chosen one|enchanted object|love|spell|training</t>
  </si>
  <si>
    <t>Ari Sandel</t>
  </si>
  <si>
    <t>Bella Thorne</t>
  </si>
  <si>
    <t>The DUFFÂ </t>
  </si>
  <si>
    <t>cartoon on tv|generation y|high school|overalls|strong female character</t>
  </si>
  <si>
    <t>Baby BoyÂ </t>
  </si>
  <si>
    <t>cartoon on tv|family relationships|physical abuse|single parent|two word title</t>
  </si>
  <si>
    <t>Harry F. Millarde</t>
  </si>
  <si>
    <t>Stephen Carr</t>
  </si>
  <si>
    <t>Over the Hill to the PoorhouseÂ </t>
  </si>
  <si>
    <t>family relationships|gang|idler|poorhouse|thief</t>
  </si>
  <si>
    <t>Death RaceÂ </t>
  </si>
  <si>
    <t>armored car|car|murder|prison|warden</t>
  </si>
  <si>
    <t>Des McAnuff</t>
  </si>
  <si>
    <t>The Adventures of Rocky &amp; BullwinkleÂ </t>
  </si>
  <si>
    <t>deforestation|fbi|lighthouse|moose|squirrel</t>
  </si>
  <si>
    <t>Brandon Camp</t>
  </si>
  <si>
    <t>Love HappensÂ </t>
  </si>
  <si>
    <t>florist|motivational speaker|self help guru|seminar|widower</t>
  </si>
  <si>
    <t>Hal Needham</t>
  </si>
  <si>
    <t>Barry Bostwick</t>
  </si>
  <si>
    <t>MegaforceÂ </t>
  </si>
  <si>
    <t>dictator|electronic music score|one word title|secret headquarters|soldier</t>
  </si>
  <si>
    <t>Side EffectsÂ </t>
  </si>
  <si>
    <t>clinical trial|female protagonist|neuropharmacology|psychiatrist|side effect</t>
  </si>
  <si>
    <t>David Dobkin</t>
  </si>
  <si>
    <t>Janeane Garofalo</t>
  </si>
  <si>
    <t>Clay PigeonsÂ </t>
  </si>
  <si>
    <t>breasts|serial killer|small town|vomiting|widow</t>
  </si>
  <si>
    <t>J Blakeson</t>
  </si>
  <si>
    <t>The 5th WaveÂ </t>
  </si>
  <si>
    <t>alien|attack|based on novel|based on young adult novel|fear</t>
  </si>
  <si>
    <t>Tomm Moore</t>
  </si>
  <si>
    <t>Sean Lennon</t>
  </si>
  <si>
    <t>The Secret of KellsÂ </t>
  </si>
  <si>
    <t>barbarian|fairy|forest|monastery|unfinished book</t>
  </si>
  <si>
    <t>Terry George</t>
  </si>
  <si>
    <t>Hotel RwandaÂ </t>
  </si>
  <si>
    <t>atrocity|central africa|ethnic warfare|united nations peace keeping force|united nations soldier</t>
  </si>
  <si>
    <t>Trent Cooper</t>
  </si>
  <si>
    <t>Thomas F. Wilson</t>
  </si>
  <si>
    <t>Larry the Cable Guy: Health InspectorÂ </t>
  </si>
  <si>
    <t>diner|food poisoning|health inspector|restaurant|undercover</t>
  </si>
  <si>
    <t>Henry Alex Rubin</t>
  </si>
  <si>
    <t>Mark Zupan</t>
  </si>
  <si>
    <t>MurderballÂ </t>
  </si>
  <si>
    <t>paralympics|quad rugby|rugby|team|wheelchair</t>
  </si>
  <si>
    <t>Don Scardino</t>
  </si>
  <si>
    <t>The Incredible Burt WonderstoneÂ </t>
  </si>
  <si>
    <t>magic|magic kit|magician|stage magician|vegas</t>
  </si>
  <si>
    <t>Glen Hansard</t>
  </si>
  <si>
    <t>OnceÂ </t>
  </si>
  <si>
    <t>immigrant|independent film|song|street|vacuum cleaner</t>
  </si>
  <si>
    <t>Richard Linklater</t>
  </si>
  <si>
    <t>Dazed and ConfusedÂ </t>
  </si>
  <si>
    <t>football|hazing|high school|last day of school|pledge</t>
  </si>
  <si>
    <t>Walter Hill</t>
  </si>
  <si>
    <t>SupernovaÂ </t>
  </si>
  <si>
    <t>deep space|distress signal|explosion|mining|rescue</t>
  </si>
  <si>
    <t>Nick Stahl</t>
  </si>
  <si>
    <t>Terminator 3: Rise of the MachinesÂ </t>
  </si>
  <si>
    <t>drifter|exploding truck|future|machine|skynet</t>
  </si>
  <si>
    <t>Barbra Streisand</t>
  </si>
  <si>
    <t>George Carlin</t>
  </si>
  <si>
    <t>The Prince of TidesÂ </t>
  </si>
  <si>
    <t>new york|psychiatrist|shrimper|south carolina|twins</t>
  </si>
  <si>
    <t>Joe Don Baker</t>
  </si>
  <si>
    <t>The Living DaylightsÂ </t>
  </si>
  <si>
    <t>british agent|defection|escape|kgb|soviet general</t>
  </si>
  <si>
    <t>Adventure|Comedy|Crime|Romance</t>
  </si>
  <si>
    <t>The MexicanÂ </t>
  </si>
  <si>
    <t>curse|hostage|mexico|pistol|vomiting</t>
  </si>
  <si>
    <t>Jonathan Demme</t>
  </si>
  <si>
    <t>PhiladelphiaÂ </t>
  </si>
  <si>
    <t>aids|city name in title|gay|homophobia|lawyer</t>
  </si>
  <si>
    <t>There's Something About MaryÂ </t>
  </si>
  <si>
    <t>accident|curtain call|dream girl|high school|prom</t>
  </si>
  <si>
    <t>Alex Proyas</t>
  </si>
  <si>
    <t>Gods of EgyptÂ </t>
  </si>
  <si>
    <t>ancient egypt|egypt|egyptian|egyptian god|egyptian goddess</t>
  </si>
  <si>
    <t>Shekhar Kapur</t>
  </si>
  <si>
    <t>Fanny Ardant</t>
  </si>
  <si>
    <t>ElizabethÂ </t>
  </si>
  <si>
    <t>16th century|british royal family|catholic|queen|queen elizabeth i</t>
  </si>
  <si>
    <t>Stephen Hillenburg</t>
  </si>
  <si>
    <t>The SpongeBob SquarePants MovieÂ </t>
  </si>
  <si>
    <t>based on tv series|crown|dream|king neptune|plankton</t>
  </si>
  <si>
    <t>Brian Dannelly</t>
  </si>
  <si>
    <t>Saved!Â </t>
  </si>
  <si>
    <t>christian|jewish|pastor|school|virginity</t>
  </si>
  <si>
    <t>Patricia Riggen</t>
  </si>
  <si>
    <t>Miracles from HeavenÂ </t>
  </si>
  <si>
    <t>child cancer|christian film|christianity|falling into a hole|inspiring</t>
  </si>
  <si>
    <t>Jonathan Teplitzky</t>
  </si>
  <si>
    <t>Biography|Drama|Romance|War</t>
  </si>
  <si>
    <t>The Railway ManÂ </t>
  </si>
  <si>
    <t>japanese soldier|physical torture|pow camp|prisoner of war|reference to adolf hitler</t>
  </si>
  <si>
    <t>Minority ReportÂ </t>
  </si>
  <si>
    <t>future|murder|neo noir|washington d.c.|year 2054</t>
  </si>
  <si>
    <t>Richard Fleischer</t>
  </si>
  <si>
    <t>Joseph Cotten</t>
  </si>
  <si>
    <t>Tora! Tora! Tora!Â </t>
  </si>
  <si>
    <t>attack|hawaii|navy|pearl harbor|u.s. navy</t>
  </si>
  <si>
    <t>Les Mayfield</t>
  </si>
  <si>
    <t>Blue StreakÂ </t>
  </si>
  <si>
    <t>detective|diamond|jewel|police|thief</t>
  </si>
  <si>
    <t>Animation|Comedy|Family|Fantasy|Music</t>
  </si>
  <si>
    <t>Amy Poehler</t>
  </si>
  <si>
    <t>Alvin and the Chipmunks: The SqueakquelÂ </t>
  </si>
  <si>
    <t>adidas|chipmunk|hospital|school|waste container</t>
  </si>
  <si>
    <t>Adventure|Comedy|Fantasy</t>
  </si>
  <si>
    <t>Monty Python and the Holy GrailÂ </t>
  </si>
  <si>
    <t>camelot|holy grail|king arthur|knight|lancelot</t>
  </si>
  <si>
    <t>Tina Gordon Chism</t>
  </si>
  <si>
    <t>Tyler James Williams</t>
  </si>
  <si>
    <t>PeeplesÂ </t>
  </si>
  <si>
    <t>african american</t>
  </si>
  <si>
    <t>Mort Nathan</t>
  </si>
  <si>
    <t>Boat TripÂ </t>
  </si>
  <si>
    <t>gay|hot air balloon|rejecting a marriage proposal|talking to a dog|vomiting on someone</t>
  </si>
  <si>
    <t>Adventure|Comedy|Drama|Fantasy|Romance</t>
  </si>
  <si>
    <t>Adam Scott</t>
  </si>
  <si>
    <t>The Secret Life of Walter MittyÂ </t>
  </si>
  <si>
    <t>daydream|life magazine|magazine|photographer|snow leopard</t>
  </si>
  <si>
    <t>David Nixon</t>
  </si>
  <si>
    <t>Robyn Lively</t>
  </si>
  <si>
    <t>Letters to GodÂ </t>
  </si>
  <si>
    <t>cancer|faith|hope|letter|prayer</t>
  </si>
  <si>
    <t>Michael Mann</t>
  </si>
  <si>
    <t>Biography|Crime|Drama|History|Romance</t>
  </si>
  <si>
    <t>Public EnemiesÂ </t>
  </si>
  <si>
    <t>1930s|bank|celebrity criminal|fbi|public enemy number one</t>
  </si>
  <si>
    <t>Raging BullÂ </t>
  </si>
  <si>
    <t>boxing|domestic violence|hot temper|jealousy|rage</t>
  </si>
  <si>
    <t>Lucio Fulci</t>
  </si>
  <si>
    <t>Catriona MacColl</t>
  </si>
  <si>
    <t>The BeyondÂ </t>
  </si>
  <si>
    <t>doctor|hell|hotel|painter|plumber</t>
  </si>
  <si>
    <t>Isabel Coixet</t>
  </si>
  <si>
    <t>Sarah Polley</t>
  </si>
  <si>
    <t>My Life Without MeÂ </t>
  </si>
  <si>
    <t>cancer|death|doctor|drinking|love</t>
  </si>
  <si>
    <t>SpanglishÂ </t>
  </si>
  <si>
    <t>chef|college|housekeeper|letter|mexico</t>
  </si>
  <si>
    <t>The Fast and the FuriousÂ </t>
  </si>
  <si>
    <t>eighteen wheeler|illegal street racing|truck|trucker|undercover cop</t>
  </si>
  <si>
    <t>Taylor Hackford</t>
  </si>
  <si>
    <t>ParkerÂ </t>
  </si>
  <si>
    <t>action hero|disguise|hospital|real estate agent|thief</t>
  </si>
  <si>
    <t>Cicely Tyson</t>
  </si>
  <si>
    <t>Because of Winn-DixieÂ </t>
  </si>
  <si>
    <t>10 year old|dog|florida|girl|supermarket</t>
  </si>
  <si>
    <t>21Â </t>
  </si>
  <si>
    <t>based on true story|blackjack|card counting|gambling|massachusetts institute of technology</t>
  </si>
  <si>
    <t>Pirates of the Caribbean: Dead Man's ChestÂ </t>
  </si>
  <si>
    <t>box office hit|giant squid|heart|liar's dice|monster</t>
  </si>
  <si>
    <t>PlatoonÂ </t>
  </si>
  <si>
    <t>1960s|famous score|hero|vietnam|vietnam war</t>
  </si>
  <si>
    <t>Bennett Miller</t>
  </si>
  <si>
    <t>MoneyballÂ </t>
  </si>
  <si>
    <t>baseball|meeting|statistics|strategy|voice over</t>
  </si>
  <si>
    <t>Adventure|Comedy|Family</t>
  </si>
  <si>
    <t>Frankie Muniz</t>
  </si>
  <si>
    <t>Big Fat LiarÂ </t>
  </si>
  <si>
    <t>brunette|film producer|liar|prank|stunt</t>
  </si>
  <si>
    <t>Nick Love</t>
  </si>
  <si>
    <t>Hayley Atwell</t>
  </si>
  <si>
    <t>The SweeneyÂ </t>
  </si>
  <si>
    <t>bank|criminal|detective|flying squad|policewoman</t>
  </si>
  <si>
    <t>Barry Sonnenfeld</t>
  </si>
  <si>
    <t>Action|Adventure|Comedy|Family|Fantasy|Sci-Fi</t>
  </si>
  <si>
    <t>Will Smith</t>
  </si>
  <si>
    <t>Men in Black 3Â </t>
  </si>
  <si>
    <t>alien|criminal|m.i.b.|maximum security prison|prison</t>
  </si>
  <si>
    <t>Rich Moore</t>
  </si>
  <si>
    <t>Wreck-It RalphÂ </t>
  </si>
  <si>
    <t>arcade|candy|glitch|king|medal</t>
  </si>
  <si>
    <t>Patrick Read Johnson</t>
  </si>
  <si>
    <t>Ariana Richards</t>
  </si>
  <si>
    <t>Spaced InvadersÂ </t>
  </si>
  <si>
    <t>alien|halloween|killer robot|outer space|wrestler costume</t>
  </si>
  <si>
    <t>Elizabeth Banks</t>
  </si>
  <si>
    <t>Movie 43Â </t>
  </si>
  <si>
    <t>awkwardness|embarrassment|gross out|irreverence|shame</t>
  </si>
  <si>
    <t>Matthew Vaughn</t>
  </si>
  <si>
    <t>Elizabeth McGovern</t>
  </si>
  <si>
    <t>Kick-AssÂ </t>
  </si>
  <si>
    <t>comic book|female killer|hit in the crotch|narrated by character|reference to batman</t>
  </si>
  <si>
    <t>Alexander Payne</t>
  </si>
  <si>
    <t>Hope Davis</t>
  </si>
  <si>
    <t>About SchmidtÂ </t>
  </si>
  <si>
    <t>highway travel|on the road|retirement|road movie|wedding</t>
  </si>
  <si>
    <t>Brett Leonard</t>
  </si>
  <si>
    <t>Jeff Fahey</t>
  </si>
  <si>
    <t>The Lawnmower ManÂ </t>
  </si>
  <si>
    <t>intelligence|science runs amok|scientist|supernatural power|virtual reality</t>
  </si>
  <si>
    <t>Patrick Lussier</t>
  </si>
  <si>
    <t>Dracula 2000Â </t>
  </si>
  <si>
    <t>dracula|gothic|painting|rescue|van helsing</t>
  </si>
  <si>
    <t>Action|Horror|Thriller</t>
  </si>
  <si>
    <t>GrindhouseÂ </t>
  </si>
  <si>
    <t>anthropophagus|blood and gore|double feature|real twins playing twins|zombie</t>
  </si>
  <si>
    <t>Marc F. Adler</t>
  </si>
  <si>
    <t>Adventure|Animation|Comedy|Fantasy|Romance</t>
  </si>
  <si>
    <t>DelgoÂ </t>
  </si>
  <si>
    <t>box office flop|computer animation|one word title|surrealism|villainess</t>
  </si>
  <si>
    <t>Justin Theroux</t>
  </si>
  <si>
    <t>DuplexÂ </t>
  </si>
  <si>
    <t>christmas|duplex|television|tenant|writer</t>
  </si>
  <si>
    <t>Genndy Tartakovsky</t>
  </si>
  <si>
    <t>Animation|Comedy|Family|Fantasy</t>
  </si>
  <si>
    <t>Hotel TransylvaniaÂ </t>
  </si>
  <si>
    <t>dracula|hotel|invisible man|monster|transylvania</t>
  </si>
  <si>
    <t>Rick Famuyiwa</t>
  </si>
  <si>
    <t>Kimberly Elise</t>
  </si>
  <si>
    <t>DopeÂ </t>
  </si>
  <si>
    <t>african american|geek|hip hop|party|tomboy</t>
  </si>
  <si>
    <t>Carlos Saura</t>
  </si>
  <si>
    <t>Drama|Musical</t>
  </si>
  <si>
    <t>MÃ­a Maestro</t>
  </si>
  <si>
    <t>TangoÂ </t>
  </si>
  <si>
    <t>dancer|director|love|musical filmmaking|tango</t>
  </si>
  <si>
    <t>Tony Goldwyn</t>
  </si>
  <si>
    <t>A Walk on the MoonÂ </t>
  </si>
  <si>
    <t>adulterous wife|cheating wife|summer|unfaithfulness|woodstock</t>
  </si>
  <si>
    <t>Ã‰mile Gaudreault</t>
  </si>
  <si>
    <t>Paul Sorvino</t>
  </si>
  <si>
    <t>Mambo ItalianoÂ </t>
  </si>
  <si>
    <t>gay|immigrant|italian|police|police officer</t>
  </si>
  <si>
    <t>Peter Kassovitz</t>
  </si>
  <si>
    <t>Jakob the LiarÂ </t>
  </si>
  <si>
    <t>german|ghetto|hope|nazi|radio</t>
  </si>
  <si>
    <t>Baltasar KormÃ¡kur</t>
  </si>
  <si>
    <t>ContrabandÂ </t>
  </si>
  <si>
    <t>cocaine|contraband|drug lord|prison|smuggling</t>
  </si>
  <si>
    <t>Morgan J. Freeman</t>
  </si>
  <si>
    <t>Ethan Suplee</t>
  </si>
  <si>
    <t>Desert BlueÂ </t>
  </si>
  <si>
    <t>cola|desert|ice cream cone|teenage girl|vomiting</t>
  </si>
  <si>
    <t>Djimon Hounsou</t>
  </si>
  <si>
    <t>The TempestÂ </t>
  </si>
  <si>
    <t>banishment|sorcery|spirit|staff|storm at sea</t>
  </si>
  <si>
    <t>Dan Scanlon</t>
  </si>
  <si>
    <t>Monsters UniversityÂ </t>
  </si>
  <si>
    <t>cheating|fraternity|monster|singing in a car|university</t>
  </si>
  <si>
    <t>Tim Holmes</t>
  </si>
  <si>
    <t>Oz the Great and PowerfulÂ </t>
  </si>
  <si>
    <t>circus|magic|magician|oz|witch</t>
  </si>
  <si>
    <t>Sheryl Lee</t>
  </si>
  <si>
    <t>VampiresÂ </t>
  </si>
  <si>
    <t>cross|relic|team|vampire|vampire hunter</t>
  </si>
  <si>
    <t>Tom Sanchez</t>
  </si>
  <si>
    <t>Nataniel SÃ¡nchez</t>
  </si>
  <si>
    <t>The Knife of Don JuanÂ </t>
  </si>
  <si>
    <t>Anton Corbijn</t>
  </si>
  <si>
    <t>A Most Wanted ManÂ </t>
  </si>
  <si>
    <t>intelligence|intelligence agency|secret service|surveillance camera|war on terror</t>
  </si>
  <si>
    <t>Michael Wadleigh</t>
  </si>
  <si>
    <t>Documentary|History|Music</t>
  </si>
  <si>
    <t>Joe Cocker</t>
  </si>
  <si>
    <t>WoodstockÂ </t>
  </si>
  <si>
    <t>drugs|hippie|music festival|the who|woodstock</t>
  </si>
  <si>
    <t>Oprah Winfrey</t>
  </si>
  <si>
    <t>The Color PurpleÂ </t>
  </si>
  <si>
    <t>book strap|girl|racial discrimination|racial tension|stereotype</t>
  </si>
  <si>
    <t>Paul Verhoeven</t>
  </si>
  <si>
    <t>Greg Grunberg</t>
  </si>
  <si>
    <t>Hollow ManÂ </t>
  </si>
  <si>
    <t>experiment|research|scientist|suburb|surrealism</t>
  </si>
  <si>
    <t>Alice Through the Looking GlassÂ </t>
  </si>
  <si>
    <t>clock|dark fantasy|mad hatter|queen|sequel</t>
  </si>
  <si>
    <t>Inside Llewyn DavisÂ </t>
  </si>
  <si>
    <t>1960s|car hitting an animal|folk singer|friend|singer</t>
  </si>
  <si>
    <t>Brooklyn's FinestÂ </t>
  </si>
  <si>
    <t>catholic|corrupt cop|new york city|police detective|police officer killed</t>
  </si>
  <si>
    <t>Hart Bochner</t>
  </si>
  <si>
    <t>PCUÂ </t>
  </si>
  <si>
    <t>college|high school senior|meat|protest|university</t>
  </si>
  <si>
    <t>Johnny Cannizzaro</t>
  </si>
  <si>
    <t>Jersey BoysÂ </t>
  </si>
  <si>
    <t>band|music group|musical quartet|singer|song</t>
  </si>
  <si>
    <t>Michael Ritchie</t>
  </si>
  <si>
    <t>Mara Wilson</t>
  </si>
  <si>
    <t>A Simple WishÂ </t>
  </si>
  <si>
    <t>8 year old|convention|magic|magic wand|male fairy godmother</t>
  </si>
  <si>
    <t>Patrick Macnee</t>
  </si>
  <si>
    <t>A View to a KillÂ </t>
  </si>
  <si>
    <t>computer|earthquake|microchip|official james bond series|silicon valley</t>
  </si>
  <si>
    <t>Alfred Hitchcock</t>
  </si>
  <si>
    <t>Janet Leigh</t>
  </si>
  <si>
    <t>PsychoÂ </t>
  </si>
  <si>
    <t>money|motel|rain|shower|theft</t>
  </si>
  <si>
    <t>Kristin Lehman</t>
  </si>
  <si>
    <t>The Way of the GunÂ </t>
  </si>
  <si>
    <t>criminal|drifter|gangster|money|surrogate mother</t>
  </si>
  <si>
    <t>Lawrence Kasdan</t>
  </si>
  <si>
    <t>DreamcatcherÂ </t>
  </si>
  <si>
    <t>alien|friend|maine|military|woods</t>
  </si>
  <si>
    <t>Good Night, and Good Luck.Â </t>
  </si>
  <si>
    <t>cbs|expose|fear|paranoia|reporter</t>
  </si>
  <si>
    <t>Dan Cutforth</t>
  </si>
  <si>
    <t>Lexie Contursi</t>
  </si>
  <si>
    <t>Katy Perry: Part of MeÂ </t>
  </si>
  <si>
    <t>female protagonist|reference to britney spears|singer|song|world tour</t>
  </si>
  <si>
    <t>Arie Posin</t>
  </si>
  <si>
    <t>Rory Culkin</t>
  </si>
  <si>
    <t>The ChumscrubberÂ </t>
  </si>
  <si>
    <t>chumscrubber|death|friend|pills|school</t>
  </si>
  <si>
    <t>Hironobu Sakaguchi</t>
  </si>
  <si>
    <t>Action|Adventure|Animation|Fantasy|Romance|Sci-Fi</t>
  </si>
  <si>
    <t>Final Fantasy: The Spirits WithinÂ </t>
  </si>
  <si>
    <t>general|military|scientist|soldier|year 2065</t>
  </si>
  <si>
    <t>Pete Travis</t>
  </si>
  <si>
    <t>Wood Harris</t>
  </si>
  <si>
    <t>DreddÂ </t>
  </si>
  <si>
    <t>brutality|dark humor|female antagonist|female warrior|post apocalypse</t>
  </si>
  <si>
    <t>Louis Leterrier</t>
  </si>
  <si>
    <t>Clash of the TitansÂ </t>
  </si>
  <si>
    <t>famous line|hand to hand combat|kraken|rape|zeus</t>
  </si>
  <si>
    <t>Greg Mottola</t>
  </si>
  <si>
    <t>Bobby Lee</t>
  </si>
  <si>
    <t>PaulÂ </t>
  </si>
  <si>
    <t>alien|geek|nerd|road trip|ufo</t>
  </si>
  <si>
    <t>A Madea ChristmasÂ </t>
  </si>
  <si>
    <t>christmas|holiday|madea series|rural setting|stubbornness</t>
  </si>
  <si>
    <t>CÃ©dric Klapisch</t>
  </si>
  <si>
    <t>L'auberge espagnoleÂ </t>
  </si>
  <si>
    <t>apartment|erasmus|language|student|trip</t>
  </si>
  <si>
    <t>Sunny Mabrey</t>
  </si>
  <si>
    <t>xXx: State of the UnionÂ </t>
  </si>
  <si>
    <t>coup d'etat|mutiny|president|u.s. navy|washington d.c.</t>
  </si>
  <si>
    <t>Rodrigo CortÃ©s</t>
  </si>
  <si>
    <t>BuriedÂ </t>
  </si>
  <si>
    <t>buried alive|coffin|iraq|one person|single set production</t>
  </si>
  <si>
    <t>The JudgeÂ </t>
  </si>
  <si>
    <t>courtroom|dysfunctional family|indiana|lawyer|trial</t>
  </si>
  <si>
    <t>Gil Junger</t>
  </si>
  <si>
    <t>10 Things I Hate About YouÂ </t>
  </si>
  <si>
    <t>dating|protective father|school|shrew|teen movie</t>
  </si>
  <si>
    <t>Kat Coiro</t>
  </si>
  <si>
    <t>Justin Kirk</t>
  </si>
  <si>
    <t>L!fe HappensÂ </t>
  </si>
  <si>
    <t>friendship|los angeles california|one night stand|roommate|single mother</t>
  </si>
  <si>
    <t>Joe Swanberg</t>
  </si>
  <si>
    <t>Anna Kendrick</t>
  </si>
  <si>
    <t>Happy ChristmasÂ </t>
  </si>
  <si>
    <t>chicago illinois|drink|drinking|filmmaker|writer</t>
  </si>
  <si>
    <t>Christopher Landon</t>
  </si>
  <si>
    <t>Richard Cabral</t>
  </si>
  <si>
    <t>Paranormal Activity: The Marked OnesÂ </t>
  </si>
  <si>
    <t>apartment|blood|demonic possession|neighbor|pentagram</t>
  </si>
  <si>
    <t>Matthew Diamond</t>
  </si>
  <si>
    <t>Adventure|Family|Fantasy|Musical</t>
  </si>
  <si>
    <t>The Oogieloves in the Big Balloon AdventureÂ </t>
  </si>
  <si>
    <t>balloon|birthday|box office flop|critically bashed</t>
  </si>
  <si>
    <t>Will Gluck</t>
  </si>
  <si>
    <t>Comedy|Drama|Family|Musical</t>
  </si>
  <si>
    <t>QuvenzhanÃ© Wallis</t>
  </si>
  <si>
    <t>AnnieÂ </t>
  </si>
  <si>
    <t>billionaire|business tycoon|mayoral candidate|penthouse|reference to star trek</t>
  </si>
  <si>
    <t>Tom Welling</t>
  </si>
  <si>
    <t>Cheaper by the DozenÂ </t>
  </si>
  <si>
    <t>9 year old|house|illinois|new job|vomiting</t>
  </si>
  <si>
    <t>Drama|History|Romance|War</t>
  </si>
  <si>
    <t>Vanessa Redgrave</t>
  </si>
  <si>
    <t>The White CountessÂ </t>
  </si>
  <si>
    <t>countess|diplomat|japanese|russian|shanghai</t>
  </si>
  <si>
    <t>Alan Taylor</t>
  </si>
  <si>
    <t>Terminator GenisysÂ </t>
  </si>
  <si>
    <t>alternate timeline|cyborg|future|robot|time machine</t>
  </si>
  <si>
    <t>Win a Date with Tad Hamilton!Â </t>
  </si>
  <si>
    <t>best friend|contest|date|small town|west virginia</t>
  </si>
  <si>
    <t>Alice in WonderlandÂ </t>
  </si>
  <si>
    <t>alice in wonderland|mistaking reality for dream|queen|shrinking|shrinking potion</t>
  </si>
  <si>
    <t>Anna Muylaert</t>
  </si>
  <si>
    <t>Alex Huszar</t>
  </si>
  <si>
    <t>The Second MotherÂ </t>
  </si>
  <si>
    <t>brazil|exam|housekeeper|northeast region of brazil|portuguese language</t>
  </si>
  <si>
    <t>Portuguese</t>
  </si>
  <si>
    <t>Brazil</t>
  </si>
  <si>
    <t>Monster-in-LawÂ </t>
  </si>
  <si>
    <t>breakdown|fight|mother in law|scheme|wedding</t>
  </si>
  <si>
    <t>Salim Akil</t>
  </si>
  <si>
    <t>SparkleÂ </t>
  </si>
  <si>
    <t>1960s|death|girl group|nightclub|sister</t>
  </si>
  <si>
    <t>Meg Foster</t>
  </si>
  <si>
    <t>They LiveÂ </t>
  </si>
  <si>
    <t>alien|brainwashing|construction worker|sunglasses|teleportation</t>
  </si>
  <si>
    <t>Comedy|Mystery|Sci-Fi|Thriller</t>
  </si>
  <si>
    <t>Southland TalesÂ </t>
  </si>
  <si>
    <t>amnesia|boxer|conspiracy|police|porn star</t>
  </si>
  <si>
    <t>Billy Bob Thornton</t>
  </si>
  <si>
    <t>Sling BladeÂ </t>
  </si>
  <si>
    <t>friend|mental institution|murder|repair shop|small town</t>
  </si>
  <si>
    <t>The Lives of OthersÂ </t>
  </si>
  <si>
    <t>east germany|police|secret police|stasi|writer</t>
  </si>
  <si>
    <t>Hunter Richards</t>
  </si>
  <si>
    <t>LondonÂ </t>
  </si>
  <si>
    <t>bar|coke|drugs|party|snorting</t>
  </si>
  <si>
    <t>Gary Ross</t>
  </si>
  <si>
    <t>The Hunger GamesÂ </t>
  </si>
  <si>
    <t>fight to the death|game|massacre|self survival|suicide attempt</t>
  </si>
  <si>
    <t>Janet Jackson</t>
  </si>
  <si>
    <t>Poetic JusticeÂ </t>
  </si>
  <si>
    <t>african american|mail carrier|poetry|postal worker|south central los angeles</t>
  </si>
  <si>
    <t>Judd Apatow</t>
  </si>
  <si>
    <t>Funny PeopleÂ </t>
  </si>
  <si>
    <t>breasts|comedian|craigslist|infidelity|stand up comedian</t>
  </si>
  <si>
    <t>Rachel Talalay</t>
  </si>
  <si>
    <t>Tank GirlÂ </t>
  </si>
  <si>
    <t>2030s|21st century|desert|jet|tank</t>
  </si>
  <si>
    <t>Bart Freundlich</t>
  </si>
  <si>
    <t>Catch That KidÂ </t>
  </si>
  <si>
    <t>caper|computer genius|dog|heist|security chief</t>
  </si>
  <si>
    <t>William Dear</t>
  </si>
  <si>
    <t>The Perfect GameÂ </t>
  </si>
  <si>
    <t>baseball movie|little league|little league baseball|mexico|three word title</t>
  </si>
  <si>
    <t>Joseph Kahn</t>
  </si>
  <si>
    <t>Dane Cook</t>
  </si>
  <si>
    <t>TorqueÂ </t>
  </si>
  <si>
    <t>murder|on the run|security camera|surveillance footage|timebomb</t>
  </si>
  <si>
    <t>SpeedÂ </t>
  </si>
  <si>
    <t>bomb|bus|elevator|explosive|rescue</t>
  </si>
  <si>
    <t>Nick Hurran</t>
  </si>
  <si>
    <t>Holly Hunter</t>
  </si>
  <si>
    <t>Little Black BookÂ </t>
  </si>
  <si>
    <t>electronic devices|gynecologist|little black book|plan|set up</t>
  </si>
  <si>
    <t>Benson Lee</t>
  </si>
  <si>
    <t>Battle of the YearÂ </t>
  </si>
  <si>
    <t>3 dimensional|box office flop|critically bashed|dancing</t>
  </si>
  <si>
    <t>Peter Landesman</t>
  </si>
  <si>
    <t>ConcussionÂ </t>
  </si>
  <si>
    <t>chronic traumatic encephalopathy|concussion|football|football player|pathologist</t>
  </si>
  <si>
    <t>Iain Softley</t>
  </si>
  <si>
    <t>Drama|Mystery|Sci-Fi</t>
  </si>
  <si>
    <t>K-PAXÂ </t>
  </si>
  <si>
    <t>extraterrestrial|hospital|patient|planet|science</t>
  </si>
  <si>
    <t>Bruce Hunt</t>
  </si>
  <si>
    <t>The CaveÂ </t>
  </si>
  <si>
    <t>cave|diver|diving|flare|parasite</t>
  </si>
  <si>
    <t>David Mamet</t>
  </si>
  <si>
    <t>Alice Braga</t>
  </si>
  <si>
    <t>RedbeltÂ </t>
  </si>
  <si>
    <t>bar|debt|fight|instructor|jujitsu</t>
  </si>
  <si>
    <t>Action|Adventure|Biography|Drama|History|Romance|War</t>
  </si>
  <si>
    <t>AlexanderÂ </t>
  </si>
  <si>
    <t>ancient greece|conquest|greek|greek myth|king</t>
  </si>
  <si>
    <t>Jeremy Shada</t>
  </si>
  <si>
    <t>Team America: World PoliceÂ </t>
  </si>
  <si>
    <t>actor|arab stereotype|broadway|terrorist|vomiting</t>
  </si>
  <si>
    <t>Kevin Rodney Sullivan</t>
  </si>
  <si>
    <t>Guess WhoÂ </t>
  </si>
  <si>
    <t>argument|engagement|family relationships|love|undressing</t>
  </si>
  <si>
    <t>Chris Columbus</t>
  </si>
  <si>
    <t>Home AloneÂ </t>
  </si>
  <si>
    <t>airport|child protagonist|child swearing|christmas|home alone</t>
  </si>
  <si>
    <t>Mary Lambert</t>
  </si>
  <si>
    <t>Miko Hughes</t>
  </si>
  <si>
    <t>Pet SemataryÂ </t>
  </si>
  <si>
    <t>cat|cemetery|maine|secret|woods</t>
  </si>
  <si>
    <t>Last Action HeroÂ </t>
  </si>
  <si>
    <t>action hero|hero|magic|ticket|video store</t>
  </si>
  <si>
    <t>John Eng</t>
  </si>
  <si>
    <t>Adventure|Animation|Comedy|Family|Fantasy|Musical</t>
  </si>
  <si>
    <t>Elizabeth Daily</t>
  </si>
  <si>
    <t>Rugrats Go WildÂ </t>
  </si>
  <si>
    <t>kid|oxygen|rugrats|trapped underwater|underwater</t>
  </si>
  <si>
    <t>Evil Dead IIÂ </t>
  </si>
  <si>
    <t>cabin|cabin in the woods|demon|evil dead|woods</t>
  </si>
  <si>
    <t>Jean-Marc VallÃ©e</t>
  </si>
  <si>
    <t>Dallas Buyers ClubÂ </t>
  </si>
  <si>
    <t>drugs|fda|gay community|hiv|homophobia</t>
  </si>
  <si>
    <t>Dean DeBlois</t>
  </si>
  <si>
    <t>Adventure|Animation|Comedy|Drama|Family|Fantasy|Sci-Fi</t>
  </si>
  <si>
    <t>Tia Carrere</t>
  </si>
  <si>
    <t>Lilo &amp; StitchÂ </t>
  </si>
  <si>
    <t>alien|escape|fugitive|hawaii|social worker</t>
  </si>
  <si>
    <t>Isabelle Huppert</t>
  </si>
  <si>
    <t>AmourÂ </t>
  </si>
  <si>
    <t>aging|daughter|old couple|old love|stroke</t>
  </si>
  <si>
    <t>Luis Valdez</t>
  </si>
  <si>
    <t>Esai Morales</t>
  </si>
  <si>
    <t>La BambaÂ </t>
  </si>
  <si>
    <t>crash|hispanic|interracial relationship|interracial romance|racism</t>
  </si>
  <si>
    <t>Anna Friel</t>
  </si>
  <si>
    <t>An Everlasting PieceÂ </t>
  </si>
  <si>
    <t>alopecia|belfast northern ireland|ireland|irish republican army|scalper</t>
  </si>
  <si>
    <t>All the Pretty HorsesÂ </t>
  </si>
  <si>
    <t>1940s|cowboy|mexico|railway station|texas</t>
  </si>
  <si>
    <t>Zooey Deschanel</t>
  </si>
  <si>
    <t>Big TroubleÂ </t>
  </si>
  <si>
    <t>airport|fbi agent|person in a car trunk|suitcase|suitcase bomb</t>
  </si>
  <si>
    <t>John Schultz</t>
  </si>
  <si>
    <t>Stephen Collins</t>
  </si>
  <si>
    <t>Drive Me CrazyÂ </t>
  </si>
  <si>
    <t>centennial|girl|next door neighbor|prom|school</t>
  </si>
  <si>
    <t>Bottle RocketÂ </t>
  </si>
  <si>
    <t>caper|escapade|motel|robbery|texas</t>
  </si>
  <si>
    <t>Patrick Stettner</t>
  </si>
  <si>
    <t>The Night ListenerÂ </t>
  </si>
  <si>
    <t>boy|radio show|social worker|telephone|wisconsin</t>
  </si>
  <si>
    <t>Byron Howard</t>
  </si>
  <si>
    <t>Adventure|Animation|Comedy|Drama|Family</t>
  </si>
  <si>
    <t>BoltÂ </t>
  </si>
  <si>
    <t>cat|dog|hamster|new york city|superpower</t>
  </si>
  <si>
    <t>Randall Miller</t>
  </si>
  <si>
    <t>Bottle ShockÂ </t>
  </si>
  <si>
    <t>airport|california|flat tire|overalls|wine</t>
  </si>
  <si>
    <t>Comedy|Mystery|Romance</t>
  </si>
  <si>
    <t>Monica Potter</t>
  </si>
  <si>
    <t>Head Over HeelsÂ </t>
  </si>
  <si>
    <t>apartment|fast motion scene|model|private investigation|suspected murder</t>
  </si>
  <si>
    <t>The CovenantÂ </t>
  </si>
  <si>
    <t>family secret|friendship between men|magic|supernatural power|teenager</t>
  </si>
  <si>
    <t>Vernon Dobtcheff</t>
  </si>
  <si>
    <t>Before SunsetÂ </t>
  </si>
  <si>
    <t>book|bookstore|love|simultaneity|train</t>
  </si>
  <si>
    <t>Little FockersÂ </t>
  </si>
  <si>
    <t>birthday|critically bashed|male nurse|nurse|suspicion</t>
  </si>
  <si>
    <t>Mickey Liddell</t>
  </si>
  <si>
    <t>Jessica Lowndes</t>
  </si>
  <si>
    <t>The Haunting of Molly HartleyÂ </t>
  </si>
  <si>
    <t>18th birthday|birthday|community center|resurrection|teenager</t>
  </si>
  <si>
    <t>Todd Phillips</t>
  </si>
  <si>
    <t>Jon Heder</t>
  </si>
  <si>
    <t>School for ScoundrelsÂ </t>
  </si>
  <si>
    <t>paintball|paintball gun|pepper spray|tennis|what happened to epilogue</t>
  </si>
  <si>
    <t>Pat O'Connor</t>
  </si>
  <si>
    <t>Sweet NovemberÂ </t>
  </si>
  <si>
    <t>advertising|cancer|dog|san francisco california|terminal illness</t>
  </si>
  <si>
    <t>Get on the BusÂ </t>
  </si>
  <si>
    <t>actor|bus|march|million man march|religion</t>
  </si>
  <si>
    <t>Kirk De Micco</t>
  </si>
  <si>
    <t>The CroodsÂ </t>
  </si>
  <si>
    <t>cave|caveman|journey|strict father|survival</t>
  </si>
  <si>
    <t>Donnie DarkoÂ </t>
  </si>
  <si>
    <t>1980s|death|insanity|parallel universe|time travel</t>
  </si>
  <si>
    <t>Adventure|Drama|Thriller</t>
  </si>
  <si>
    <t>Blood DiamondÂ </t>
  </si>
  <si>
    <t>diamond|elephant|fisherman|rebel|sierra leone</t>
  </si>
  <si>
    <t>Erika Christensen</t>
  </si>
  <si>
    <t>FlightplanÂ </t>
  </si>
  <si>
    <t>captain|flight|flight attendant|plane|search</t>
  </si>
  <si>
    <t>Old SchoolÂ </t>
  </si>
  <si>
    <t>college|fraternity|friend|house|party</t>
  </si>
  <si>
    <t>John R. Leonetti</t>
  </si>
  <si>
    <t>Brian Thompson</t>
  </si>
  <si>
    <t>Mortal Kombat: AnnihilationÂ </t>
  </si>
  <si>
    <t>alternate reality|battle|martial arts|mortal kombat|warrior</t>
  </si>
  <si>
    <t>Steve Trenbirth</t>
  </si>
  <si>
    <t>Adventure|Animation|Family|Musical</t>
  </si>
  <si>
    <t>The Jungle Book 2Â </t>
  </si>
  <si>
    <t>dog|jungle|shot gun|tiger|village</t>
  </si>
  <si>
    <t>Roy Scheider</t>
  </si>
  <si>
    <t>JawsÂ </t>
  </si>
  <si>
    <t>beach|blockbuster|fishing|great white shark|shark</t>
  </si>
  <si>
    <t>John Milius</t>
  </si>
  <si>
    <t>Adventure|Fantasy</t>
  </si>
  <si>
    <t>William Smith</t>
  </si>
  <si>
    <t>Conan the BarbarianÂ </t>
  </si>
  <si>
    <t>actual animal killed|cult|evil sorcerer|gladiator|warlord</t>
  </si>
  <si>
    <t>The Virgin SuicidesÂ </t>
  </si>
  <si>
    <t>catholic|five sisters|isolation|school|suicide</t>
  </si>
  <si>
    <t>Adventure|Comedy|Drama|Fantasy</t>
  </si>
  <si>
    <t>DogmaÂ </t>
  </si>
  <si>
    <t>abortion|abortion clinic|angel|church|clinic</t>
  </si>
  <si>
    <t>Victor Salva</t>
  </si>
  <si>
    <t>Nicki Aycox</t>
  </si>
  <si>
    <t>Jeepers Creepers IIÂ </t>
  </si>
  <si>
    <t>cheerleader|farmer|fear|high school basketball|nightmare</t>
  </si>
  <si>
    <t>Andrew Dominik</t>
  </si>
  <si>
    <t>Killing Them SoftlyÂ </t>
  </si>
  <si>
    <t>exploding car|hit by a car|poker game|punched in the face|shot to death</t>
  </si>
  <si>
    <t>27 DressesÂ </t>
  </si>
  <si>
    <t>boss|bridesmaid|friend|love|wedding</t>
  </si>
  <si>
    <t>Jean-Marie PoirÃ©</t>
  </si>
  <si>
    <t>Comedy|Fantasy|Sci-Fi</t>
  </si>
  <si>
    <t>Christian Clavier</t>
  </si>
  <si>
    <t>Les visiteursÂ </t>
  </si>
  <si>
    <t>distant past|future time travel|nobleman|squire|trapped in the past</t>
  </si>
  <si>
    <t>Alejandro Monteverde</t>
  </si>
  <si>
    <t>Little BoyÂ </t>
  </si>
  <si>
    <t>Biography|Comedy|Drama|History</t>
  </si>
  <si>
    <t>Charlie Wilson's WarÂ </t>
  </si>
  <si>
    <t>afghanistan|arms dealer|based on true story|cia|texas</t>
  </si>
  <si>
    <t>The ProposalÂ </t>
  </si>
  <si>
    <t>alaska|deportation|father son relationship|male objectification|sitka alaska</t>
  </si>
  <si>
    <t>Lupe Ontiveros</t>
  </si>
  <si>
    <t>As Good as It GetsÂ </t>
  </si>
  <si>
    <t>dog|friendship|neighbor|unlikely friendship|writer</t>
  </si>
  <si>
    <t>Rob Zombie</t>
  </si>
  <si>
    <t>Crime|Horror</t>
  </si>
  <si>
    <t>Sid Haig</t>
  </si>
  <si>
    <t>The Devil's RejectsÂ </t>
  </si>
  <si>
    <t>escape|police|road trip|sheriff|texas</t>
  </si>
  <si>
    <t>CapoteÂ </t>
  </si>
  <si>
    <t>book|holcomb kansas|kansas|killer|truman capote</t>
  </si>
  <si>
    <t>Biography|Comedy|Crime|Drama|Romance</t>
  </si>
  <si>
    <t>Dameon Clarke</t>
  </si>
  <si>
    <t>I Love You Phillip MorrisÂ </t>
  </si>
  <si>
    <t>character name in title|con artist|fraud|gay|prison break</t>
  </si>
  <si>
    <t>Michael Cimino</t>
  </si>
  <si>
    <t>Heaven's GateÂ </t>
  </si>
  <si>
    <t>1890s|hired gun|immigrant|johnson county war|sheriff</t>
  </si>
  <si>
    <t>Welcome Home, Roscoe JenkinsÂ </t>
  </si>
  <si>
    <t>african american protagonist|comma in title|four word title|name in title|talk show host</t>
  </si>
  <si>
    <t>Roger Kumble</t>
  </si>
  <si>
    <t>Judith Chapman</t>
  </si>
  <si>
    <t>The Sweetest ThingÂ </t>
  </si>
  <si>
    <t>female removes her clothes|roommate|voyeur|voyeurism|wedding</t>
  </si>
  <si>
    <t>Mission to MarsÂ </t>
  </si>
  <si>
    <t>astronaut|mars|mars the planet|outer space|zero gravity</t>
  </si>
  <si>
    <t>Steve Carr</t>
  </si>
  <si>
    <t>John Witherspoon</t>
  </si>
  <si>
    <t>Next FridayÂ </t>
  </si>
  <si>
    <t>african american|flashback|marijuana joint|porn magazine|suburb</t>
  </si>
  <si>
    <t>Francis Lawrence</t>
  </si>
  <si>
    <t>Water for ElephantsÂ </t>
  </si>
  <si>
    <t>circus|circus vargas|elephant|fear|train</t>
  </si>
  <si>
    <t>Miguel Ferrer</t>
  </si>
  <si>
    <t>The ManÂ </t>
  </si>
  <si>
    <t>buddy comedy|criminal|gun smuggling|mistaken identity|salesman</t>
  </si>
  <si>
    <t>Mr. DeedsÂ </t>
  </si>
  <si>
    <t>abbreviation in title|reporter|small town|sudden wealth|unknowing heir</t>
  </si>
  <si>
    <t>Jerome Robbins</t>
  </si>
  <si>
    <t>Crime|Drama|Musical|Romance|Thriller</t>
  </si>
  <si>
    <t>Rita Moreno</t>
  </si>
  <si>
    <t>West Side StoryÂ </t>
  </si>
  <si>
    <t>dance|gang|new york city|puerto rican|tragedy</t>
  </si>
  <si>
    <t>Steven Quale</t>
  </si>
  <si>
    <t>Matt Walsh</t>
  </si>
  <si>
    <t>Into the StormÂ </t>
  </si>
  <si>
    <t>danger|graduation|storm|teenage boy|tornado</t>
  </si>
  <si>
    <t>Curtis Hanson</t>
  </si>
  <si>
    <t>Mekhi Phifer</t>
  </si>
  <si>
    <t>8 MileÂ </t>
  </si>
  <si>
    <t>competition|contest|friend|self expression|white rapper</t>
  </si>
  <si>
    <t>The Girl with the Dragon TattooÂ </t>
  </si>
  <si>
    <t>computer hacker|hacker|investigation|journalist|punk</t>
  </si>
  <si>
    <t>Guy Ritchie</t>
  </si>
  <si>
    <t>Action|Adventure|Crime|Mystery|Thriller</t>
  </si>
  <si>
    <t>Sherlock HolmesÂ </t>
  </si>
  <si>
    <t>black magic|bridge construction|professor moriarty|scotland yard inspector|sherlock holmes</t>
  </si>
  <si>
    <t>Jason Reitman</t>
  </si>
  <si>
    <t>Charlize Theron</t>
  </si>
  <si>
    <t>Young AdultÂ </t>
  </si>
  <si>
    <t>car damage|computer printer|female band|fingernail polish|narcissism</t>
  </si>
  <si>
    <t>Mo' Better BluesÂ </t>
  </si>
  <si>
    <t>comeback|friend|jazz|stage|trumpet</t>
  </si>
  <si>
    <t>Adventure|Comedy|Crime|Family|Mystery</t>
  </si>
  <si>
    <t>Roger Rees</t>
  </si>
  <si>
    <t>The Pink PantherÂ </t>
  </si>
  <si>
    <t>diamond|france|investigation|pink panther|soccer</t>
  </si>
  <si>
    <t>James DeMonaco</t>
  </si>
  <si>
    <t>Rhys Wakefield</t>
  </si>
  <si>
    <t>The PurgeÂ </t>
  </si>
  <si>
    <t>class differences|killing spree|one night|suburb|violence</t>
  </si>
  <si>
    <t>Kenneth Branagh</t>
  </si>
  <si>
    <t>Much Ado About NothingÂ </t>
  </si>
  <si>
    <t>16th century|bachelor|dishonor|masquerade party|wedding</t>
  </si>
  <si>
    <t>Gary Sherman</t>
  </si>
  <si>
    <t>Tom Skerritt</t>
  </si>
  <si>
    <t>Poltergeist IIIÂ </t>
  </si>
  <si>
    <t>aunt niece relationship|brother sister relationship|building|father daughter relationship|mirror</t>
  </si>
  <si>
    <t>Michael Landon Jr.</t>
  </si>
  <si>
    <t>Henry Thomas</t>
  </si>
  <si>
    <t>The Last Sin EaterÂ </t>
  </si>
  <si>
    <t>1850s|christian film|dark secret|funeral|sin eater</t>
  </si>
  <si>
    <t>Preston A. Whitmore II</t>
  </si>
  <si>
    <t>This ChristmasÂ </t>
  </si>
  <si>
    <t>christmas|family home|musician|piano|secret</t>
  </si>
  <si>
    <t>The Other WomanÂ </t>
  </si>
  <si>
    <t>beach house|blonde bombshell|cheating husband|revenge|wife meets mistress</t>
  </si>
  <si>
    <t>Comedy|Crime|Drama|Thriller</t>
  </si>
  <si>
    <t>Death to SmoochyÂ </t>
  </si>
  <si>
    <t>children|children's tv show|money|revenge|scandal</t>
  </si>
  <si>
    <t>John Frankenheimer</t>
  </si>
  <si>
    <t>The Island of Dr. MoreauÂ </t>
  </si>
  <si>
    <t>animal experimentation|chimera|island|jungle|mutant</t>
  </si>
  <si>
    <t>Pamela Reed</t>
  </si>
  <si>
    <t>Proof of LifeÂ </t>
  </si>
  <si>
    <t>jungle|pipeline|prisoner|ransom|south america</t>
  </si>
  <si>
    <t>Chuck Sheetz</t>
  </si>
  <si>
    <t>Animation|Comedy|Family|Mystery|Sci-Fi</t>
  </si>
  <si>
    <t>Diedrich Bader</t>
  </si>
  <si>
    <t>Recess: School's OutÂ </t>
  </si>
  <si>
    <t>friend|principal|summer|summer camp|summer vacation</t>
  </si>
  <si>
    <t>Dagur KÃ¡ri</t>
  </si>
  <si>
    <t>Alice Olivia Clarke</t>
  </si>
  <si>
    <t>The Good HeartÂ </t>
  </si>
  <si>
    <t>bar|bartender|death|heart attack|mentor protege relationship</t>
  </si>
  <si>
    <t>Iceland</t>
  </si>
  <si>
    <t>Adventure|Biography|Drama|Thriller</t>
  </si>
  <si>
    <t>The WalkÂ </t>
  </si>
  <si>
    <t>1970s|based on true story|new york city|skyscraper|tightrope walker</t>
  </si>
  <si>
    <t>Terence Young</t>
  </si>
  <si>
    <t>Robert Shaw</t>
  </si>
  <si>
    <t>From Russia with LoveÂ </t>
  </si>
  <si>
    <t>assassin|british agent|british secret service|decoder|russian</t>
  </si>
  <si>
    <t>Fina Torres</t>
  </si>
  <si>
    <t>Harold Perrineau</t>
  </si>
  <si>
    <t>Woman on TopÂ </t>
  </si>
  <si>
    <t>cross dresser|food|friend|motion sickness|restaurant</t>
  </si>
  <si>
    <t>Action|Comedy|Crime|Romance</t>
  </si>
  <si>
    <t>Candice Bergen</t>
  </si>
  <si>
    <t>Miss CongenialityÂ </t>
  </si>
  <si>
    <t>beauty pageant|fbi|female agent|pageant|undercover</t>
  </si>
  <si>
    <t>Anthony Hemingway</t>
  </si>
  <si>
    <t>David Oyelowo</t>
  </si>
  <si>
    <t>Red TailsÂ </t>
  </si>
  <si>
    <t>african american|battle|italy|tuskegee airmen|world war two</t>
  </si>
  <si>
    <t>Drama|Fantasy|Romance</t>
  </si>
  <si>
    <t>City of AngelsÂ </t>
  </si>
  <si>
    <t>angel|doctor|fall|heart surgeon|hospital</t>
  </si>
  <si>
    <t>Action|Drama|Romance</t>
  </si>
  <si>
    <t>Chen Chang</t>
  </si>
  <si>
    <t>Crouching Tiger, Hidden DragonÂ </t>
  </si>
  <si>
    <t>bare midriff|china|magical realism|martial arts|sword</t>
  </si>
  <si>
    <t>Mandarin</t>
  </si>
  <si>
    <t>Taiwan</t>
  </si>
  <si>
    <t>The 40-Year-Old VirginÂ </t>
  </si>
  <si>
    <t>40 year old|car accident|cheating on girlfriend|collection|porno movie</t>
  </si>
  <si>
    <t>Marius A. Markevicius</t>
  </si>
  <si>
    <t>Tommy Sheppard</t>
  </si>
  <si>
    <t>The Other Dream TeamÂ </t>
  </si>
  <si>
    <t>basketball|basketball team|grateful dead|lithuanian|olympics</t>
  </si>
  <si>
    <t>Daniel Kaluuya</t>
  </si>
  <si>
    <t>Johnny English RebornÂ </t>
  </si>
  <si>
    <t>assassin|chinese|conspiracy|gadget|premier</t>
  </si>
  <si>
    <t>Action|Adventure|History</t>
  </si>
  <si>
    <t>Tony Curran</t>
  </si>
  <si>
    <t>The 13th WarriorÂ </t>
  </si>
  <si>
    <t>arab|battle|combat|viking|warrior</t>
  </si>
  <si>
    <t>Theodore Melfi</t>
  </si>
  <si>
    <t>St. VincentÂ </t>
  </si>
  <si>
    <t>bullying|grumpy old man|school presentation|stroke|stroke recovery</t>
  </si>
  <si>
    <t>Action|Adventure|Drama|Thriller|Western</t>
  </si>
  <si>
    <t>Texas RangersÂ </t>
  </si>
  <si>
    <t>army|mexican|orphan|texas|texas ranger</t>
  </si>
  <si>
    <t>ScreamÂ </t>
  </si>
  <si>
    <t>mask|mystery killer|slasher|teenage girl|telephone</t>
  </si>
  <si>
    <t>Peter Lord</t>
  </si>
  <si>
    <t>Imelda Staunton</t>
  </si>
  <si>
    <t>Chicken RunÂ </t>
  </si>
  <si>
    <t>chicken|escape|farm|freedom|rooster</t>
  </si>
  <si>
    <t>Rob Letterman</t>
  </si>
  <si>
    <t>Adventure|Comedy|Family|Fantasy|Horror</t>
  </si>
  <si>
    <t>Odeya Rush</t>
  </si>
  <si>
    <t>GoosebumpsÂ </t>
  </si>
  <si>
    <t>based on book|blob|ferris wheel|manuscript|monster</t>
  </si>
  <si>
    <t>Tate Taylor</t>
  </si>
  <si>
    <t>Tika Sumpter</t>
  </si>
  <si>
    <t>Get on UpÂ </t>
  </si>
  <si>
    <t>1970s|1980s|african american|breaking the fourth wall|mother son relationship</t>
  </si>
  <si>
    <t>Khalid Mohamed</t>
  </si>
  <si>
    <t>Karisma Kapoor</t>
  </si>
  <si>
    <t>FizaÂ </t>
  </si>
  <si>
    <t>mumbai riots|politician|riot|suicide|tragic event</t>
  </si>
  <si>
    <t>Henry Joost</t>
  </si>
  <si>
    <t>Johanna Braddy</t>
  </si>
  <si>
    <t>Paranormal Activity 3Â </t>
  </si>
  <si>
    <t>animate object|imaginary friend|reference to macgyver|whispering|woman wearing only a man's shirt</t>
  </si>
  <si>
    <t>David Kellogg</t>
  </si>
  <si>
    <t>Action|Adventure|Comedy|Family|Sci-Fi</t>
  </si>
  <si>
    <t>Inspector GadgetÂ </t>
  </si>
  <si>
    <t>actor playing multiple roles|claw|gadget|inspector|police</t>
  </si>
  <si>
    <t>Tamra Davis</t>
  </si>
  <si>
    <t>Half BakedÂ </t>
  </si>
  <si>
    <t>bail|diabetic|friend|jail|pharmaceutical lab</t>
  </si>
  <si>
    <t>Jimmy Hayward</t>
  </si>
  <si>
    <t>Free BirdsÂ </t>
  </si>
  <si>
    <t>chipmunk|hunting dog|sabotage|thanksgiving|turkey the bird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</si>
  <si>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</si>
  <si>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</si>
  <si>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</si>
  <si>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</si>
  <si>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Ted Danson</t>
  </si>
  <si>
    <t>Big MiracleÂ </t>
  </si>
  <si>
    <t>arctic circle|reporter|small town|volunteer|whale</t>
  </si>
  <si>
    <t>Michael Schultz</t>
  </si>
  <si>
    <t>Action|Comedy|Drama|Music</t>
  </si>
  <si>
    <t>Mike Starr</t>
  </si>
  <si>
    <t>The Last DragonÂ </t>
  </si>
  <si>
    <t>cult film|kung fu|kung fu classic|martial arts|title spoken by character</t>
  </si>
  <si>
    <t>Adventure|Biography|Crime|Drama|Western</t>
  </si>
  <si>
    <t>Wyatt EarpÂ </t>
  </si>
  <si>
    <t>historically inaccurate|name calling|penis slur|vomiting|wyatt earp</t>
  </si>
  <si>
    <t>Clerks IIÂ </t>
  </si>
  <si>
    <t>fast food|fast food restaurant|new jersey|quick stop|restaurant</t>
  </si>
  <si>
    <t>Kevin Jordan</t>
  </si>
  <si>
    <t>Derick Martini</t>
  </si>
  <si>
    <t>Smiling Fish &amp; Goat on FireÂ </t>
  </si>
  <si>
    <t>accountant|actor|animal in title|mail carrier|single parent</t>
  </si>
  <si>
    <t>Raymond J. Barry</t>
  </si>
  <si>
    <t>Interview with the AssassinÂ </t>
  </si>
  <si>
    <t>conspiracy theory|kennedy assassination|mock documentary|paranoia</t>
  </si>
  <si>
    <t>Crime|Drama|Mystery|Thriller|Western</t>
  </si>
  <si>
    <t>Craig Stark</t>
  </si>
  <si>
    <t>The Hateful EightÂ </t>
  </si>
  <si>
    <t>blizzard|blood vomiting|bounty hunter|murder|shot in the crotch</t>
  </si>
  <si>
    <t>Crime|Drama|History</t>
  </si>
  <si>
    <t>The ConspiratorÂ </t>
  </si>
  <si>
    <t>john wilkes booth|lawyer|lincoln assassination|trial|truth</t>
  </si>
  <si>
    <t>OutbreakÂ </t>
  </si>
  <si>
    <t>disease|epidemic|monkey|quarantine|virus</t>
  </si>
  <si>
    <t>Brian Bosworth</t>
  </si>
  <si>
    <t>Stone ColdÂ </t>
  </si>
  <si>
    <t>biker|biker gang|fbi|mississippi|undercover</t>
  </si>
  <si>
    <t>Action|Adventure|Animation|Comedy|Crime|Family|Fantasy</t>
  </si>
  <si>
    <t>Osmosis JonesÂ </t>
  </si>
  <si>
    <t>blood|body|egg|virus|white blood cell</t>
  </si>
  <si>
    <t>Vic Armstrong</t>
  </si>
  <si>
    <t>Action|Drama|Fantasy|Mystery|Thriller</t>
  </si>
  <si>
    <t>Left BehindÂ </t>
  </si>
  <si>
    <t>bible quote|chaos|faith|riot|shrine</t>
  </si>
  <si>
    <t>The Bounty HunterÂ </t>
  </si>
  <si>
    <t>bounty hunter|death|murder|police officer|reporter</t>
  </si>
  <si>
    <t>Action|Adventure|Fantasy|Horror|Sci-Fi</t>
  </si>
  <si>
    <t>Seth MacFarlane</t>
  </si>
  <si>
    <t>Hellboy II: The Golden ArmyÂ </t>
  </si>
  <si>
    <t>creature|elf|prince|rebellion|superhero</t>
  </si>
  <si>
    <t>Alfre Woodard</t>
  </si>
  <si>
    <t>CrooklynÂ </t>
  </si>
  <si>
    <t>argument|birthday|bully|coming of age|semi autobiographical</t>
  </si>
  <si>
    <t>Michael McCullers</t>
  </si>
  <si>
    <t>Tina Fey</t>
  </si>
  <si>
    <t>Baby MamaÂ </t>
  </si>
  <si>
    <t>baby|book|cartoon on tv|female protagonist|male anorexia</t>
  </si>
  <si>
    <t>The HurricaneÂ </t>
  </si>
  <si>
    <t>african american|book|boxer|boxing|murder</t>
  </si>
  <si>
    <t>Jim Goddard</t>
  </si>
  <si>
    <t>Adventure|Crime|Drama|Romance</t>
  </si>
  <si>
    <t>Victor Wong</t>
  </si>
  <si>
    <t>Shanghai SurpriseÂ </t>
  </si>
  <si>
    <t>china|missionary|opium|villain|year 1937</t>
  </si>
  <si>
    <t>Independence DayÂ </t>
  </si>
  <si>
    <t>alien|area 51|military|spacecraft|spaceship</t>
  </si>
  <si>
    <t>Michael Mayer</t>
  </si>
  <si>
    <t>FlickaÂ </t>
  </si>
  <si>
    <t>father son relationship|horse|horse ranch|ranch|wild mustang</t>
  </si>
  <si>
    <t>Frank Nissen</t>
  </si>
  <si>
    <t>Animation|Family|Fantasy|Mystery</t>
  </si>
  <si>
    <t>Pooh's Heffalump MovieÂ </t>
  </si>
  <si>
    <t>creature|forest|mother son relationship|rabbit|winnie the pooh</t>
  </si>
  <si>
    <t>Andrew Niccol</t>
  </si>
  <si>
    <t>Lord of WarÂ </t>
  </si>
  <si>
    <t>1980s|arms dealer|immorality|ukrainian|warlord</t>
  </si>
  <si>
    <t>Mike Nawrocki</t>
  </si>
  <si>
    <t>Adventure|Animation|Comedy|Drama|Family|Musical</t>
  </si>
  <si>
    <t>Phil Vischer</t>
  </si>
  <si>
    <t>Jonah: A VeggieTales MovieÂ </t>
  </si>
  <si>
    <t>anthropomorphism|pirate|pirate ship|tomato|whale</t>
  </si>
  <si>
    <t>Top GunÂ </t>
  </si>
  <si>
    <t>flying|gay subtext|machismo|male objectification|pilot</t>
  </si>
  <si>
    <t>UnknownÂ </t>
  </si>
  <si>
    <t>agriculture|airport|amnesia|nurse|scientist</t>
  </si>
  <si>
    <t>Comedy|Sport</t>
  </si>
  <si>
    <t>Happy GilmoreÂ </t>
  </si>
  <si>
    <t>golf|golf ball|golfer|grandmother's house|tournament</t>
  </si>
  <si>
    <t>Crime|Horror|Mystery|Thriller</t>
  </si>
  <si>
    <t>MindhuntersÂ </t>
  </si>
  <si>
    <t>fbi|group|island|serial killer|training</t>
  </si>
  <si>
    <t>Neil Jordan</t>
  </si>
  <si>
    <t>Michael CollinsÂ </t>
  </si>
  <si>
    <t>ireland|irish|irish civil war|irish free state|sinn fein</t>
  </si>
  <si>
    <t>Ol Parker</t>
  </si>
  <si>
    <t>Celia Imrie</t>
  </si>
  <si>
    <t>Imagine Me &amp; YouÂ </t>
  </si>
  <si>
    <t>florist|friend|friendship|lesbian|love</t>
  </si>
  <si>
    <t>Kevin Lima</t>
  </si>
  <si>
    <t>102 DalmatiansÂ </t>
  </si>
  <si>
    <t>dog|parole|parole officer|prison|puppy</t>
  </si>
  <si>
    <t>Colin Trevorrow</t>
  </si>
  <si>
    <t>Jurassic WorldÂ </t>
  </si>
  <si>
    <t>dinosaur|disaster film|experiment gone wrong|jurassic park|velociraptor</t>
  </si>
  <si>
    <t>Drama|Mystery|Romance</t>
  </si>
  <si>
    <t>Random HeartsÂ </t>
  </si>
  <si>
    <t>death|plane crash|police|police sergeant|politician</t>
  </si>
  <si>
    <t>Carl Franklin</t>
  </si>
  <si>
    <t>One True ThingÂ </t>
  </si>
  <si>
    <t>cancer|job|love|new york|professor</t>
  </si>
  <si>
    <t>Boris Kodjoe</t>
  </si>
  <si>
    <t>Madea's Family ReunionÂ </t>
  </si>
  <si>
    <t>cross dressing|family reunion|madea series|reflective|sister sister relationship</t>
  </si>
  <si>
    <t>William Wyler</t>
  </si>
  <si>
    <t>Drama|Romance|War</t>
  </si>
  <si>
    <t>Myrna Loy</t>
  </si>
  <si>
    <t>The Best Years of Our LivesÂ </t>
  </si>
  <si>
    <t>love|pity|readjusting to civilian life|veteran|world war two veteran</t>
  </si>
  <si>
    <t>Law Abiding CitizenÂ </t>
  </si>
  <si>
    <t>attorney|deal|district attorney|investigation|justice</t>
  </si>
  <si>
    <t>Mike Bigelow</t>
  </si>
  <si>
    <t>Carlos Ponce</t>
  </si>
  <si>
    <t>Deuce Bigalow: European GigoloÂ </t>
  </si>
  <si>
    <t>dolphin|gigolo|pimp|serial killer|villain arrested</t>
  </si>
  <si>
    <t>Joe Roth</t>
  </si>
  <si>
    <t>America's SweetheartsÂ </t>
  </si>
  <si>
    <t>actor|love|movie star|press|publicist</t>
  </si>
  <si>
    <t>Jacques Perrin</t>
  </si>
  <si>
    <t>Documentary|Drama</t>
  </si>
  <si>
    <t>Pedro ArmendÃ¡riz Jr.</t>
  </si>
  <si>
    <t>OceansÂ </t>
  </si>
  <si>
    <t>damselfish|ocean habitat|ocean life|razorfish|spider crab</t>
  </si>
  <si>
    <t>John Herzfeld</t>
  </si>
  <si>
    <t>15 MinutesÂ </t>
  </si>
  <si>
    <t>criminal|detective|fire|homicide|media</t>
  </si>
  <si>
    <t>Action|Adventure|Family|Sci-Fi</t>
  </si>
  <si>
    <t>Kevin Zegers</t>
  </si>
  <si>
    <t>ZoomÂ </t>
  </si>
  <si>
    <t>bruise|female hero|super strength|superhero|teenage superhero</t>
  </si>
  <si>
    <t>Ted 2Â </t>
  </si>
  <si>
    <t>baby|f word|fight|lawyer|marriage</t>
  </si>
  <si>
    <t>Adventure|Crime|Drama|Western</t>
  </si>
  <si>
    <t>3:10 to YumaÂ </t>
  </si>
  <si>
    <t>outlaw|rancher|small western town|stagecoach|train</t>
  </si>
  <si>
    <t>Sean Penn</t>
  </si>
  <si>
    <t>Costas Mandylor</t>
  </si>
  <si>
    <t>The PledgeÂ </t>
  </si>
  <si>
    <t>nevada|pledge|police|porcupine|search</t>
  </si>
  <si>
    <t>Brad Furman</t>
  </si>
  <si>
    <t>Runner RunnerÂ </t>
  </si>
  <si>
    <t>costa rica|fbi agent|gambling|money|online gambling</t>
  </si>
  <si>
    <t>Joshua Michael Stern</t>
  </si>
  <si>
    <t>Swing VoteÂ </t>
  </si>
  <si>
    <t>ballot|election|new mexico|vote|voting</t>
  </si>
  <si>
    <t>Lasse HallstrÃ¶m</t>
  </si>
  <si>
    <t>Dear JohnÂ </t>
  </si>
  <si>
    <t>army|coin collector|love|surfboard|u.s. army</t>
  </si>
  <si>
    <t>Action|Crime|Drama|Western</t>
  </si>
  <si>
    <t>SilveradoÂ </t>
  </si>
  <si>
    <t>1880s|kiss|small town|table broken in fight|wild west</t>
  </si>
  <si>
    <t>Christopher Lambert</t>
  </si>
  <si>
    <t>Mortal KombatÂ </t>
  </si>
  <si>
    <t>based on video game|island|mortal kombat|tournament|warrior</t>
  </si>
  <si>
    <t>Dennis Iliadis</t>
  </si>
  <si>
    <t>Crime|Horror|Thriller</t>
  </si>
  <si>
    <t>The Last House on the LeftÂ </t>
  </si>
  <si>
    <t>kidnapping|lake|microwave oven|psychopath|woods</t>
  </si>
  <si>
    <t>Stewart Hendler</t>
  </si>
  <si>
    <t>Julian Morris</t>
  </si>
  <si>
    <t>Sorority RowÂ </t>
  </si>
  <si>
    <t>prank gone wrong|scantily clad female|shotgun|sorority house|stabbed in the neck</t>
  </si>
  <si>
    <t>Shari Springer Berman</t>
  </si>
  <si>
    <t>Lynn Cohen</t>
  </si>
  <si>
    <t>The Extra ManÂ </t>
  </si>
  <si>
    <t>co worker|escort|magazine|teacher|writer</t>
  </si>
  <si>
    <t>Takashi Shimizu</t>
  </si>
  <si>
    <t>Sarah Michelle Gellar</t>
  </si>
  <si>
    <t>The GrudgeÂ </t>
  </si>
  <si>
    <t>american|curse|japan|nurse|rage</t>
  </si>
  <si>
    <t>Scout Taylor-Compton</t>
  </si>
  <si>
    <t>Halloween IIÂ </t>
  </si>
  <si>
    <t>halloween|hospital|michael myers|rampage|vomiting</t>
  </si>
  <si>
    <t>Jon Avnet</t>
  </si>
  <si>
    <t>88 MinutesÂ </t>
  </si>
  <si>
    <t>death|fbi|forensics|murder|serial killer</t>
  </si>
  <si>
    <t>Takeshi Kitano</t>
  </si>
  <si>
    <t>Omar Epps</t>
  </si>
  <si>
    <t>BrotherÂ </t>
  </si>
  <si>
    <t>gang|gangster|subjective camera|written and directed by cast member|yakuza</t>
  </si>
  <si>
    <t>Maurice Joyce</t>
  </si>
  <si>
    <t>Animation|Comedy|Family</t>
  </si>
  <si>
    <t>Frank Welker</t>
  </si>
  <si>
    <t>Doug's 1st MovieÂ </t>
  </si>
  <si>
    <t>dance|friend|monster|reference to batman|valentine</t>
  </si>
  <si>
    <t>EnvyÂ </t>
  </si>
  <si>
    <t>best friend|dog|envy|jealousy|neighbor</t>
  </si>
  <si>
    <t>FranÃ§ois Ozon</t>
  </si>
  <si>
    <t>Comedy|Crime|Musical|Romance</t>
  </si>
  <si>
    <t>8 WomenÂ </t>
  </si>
  <si>
    <t>cook|industrialist|secret|snowstorm|suspect</t>
  </si>
  <si>
    <t>Percy Jackson &amp; the Olympians: The Lightning ThiefÂ </t>
  </si>
  <si>
    <t>greek|lightning|lightning bolt|poseidon|teenager</t>
  </si>
  <si>
    <t>Chris Elliott</t>
  </si>
  <si>
    <t>Snow DayÂ </t>
  </si>
  <si>
    <t>meteorologist|snow|snowed in|snowplow|weather</t>
  </si>
  <si>
    <t>GladiatorÂ </t>
  </si>
  <si>
    <t>battlefield|blood|combat|gladiator|roman empire</t>
  </si>
  <si>
    <t>Flight of the PhoenixÂ </t>
  </si>
  <si>
    <t>captain|desert|rescue|stranded|survivor</t>
  </si>
  <si>
    <t>Peter Hyams</t>
  </si>
  <si>
    <t>Action|Adventure|Horror|Sci-Fi|Thriller</t>
  </si>
  <si>
    <t>A Sound of ThunderÂ </t>
  </si>
  <si>
    <t>butterfly|hunter|time|time travel|wave</t>
  </si>
  <si>
    <t>Sean Pertwee</t>
  </si>
  <si>
    <t>Event HorizonÂ </t>
  </si>
  <si>
    <t>solar system|space|spaceship|starship|year 2047</t>
  </si>
  <si>
    <t>Mark Rosman</t>
  </si>
  <si>
    <t>Ben Feldman</t>
  </si>
  <si>
    <t>The Perfect ManÂ </t>
  </si>
  <si>
    <t>e mail|moving|perfect man|secret admirer|suitor</t>
  </si>
  <si>
    <t>Crimson TideÂ </t>
  </si>
  <si>
    <t>alabama|mutiny|order|radio|submarine</t>
  </si>
  <si>
    <t>Sergey Bodrov</t>
  </si>
  <si>
    <t>Seventh SonÂ </t>
  </si>
  <si>
    <t>apprentice|demon|exorcism|master apprentice relationship|witch</t>
  </si>
  <si>
    <t>Anand Tucker</t>
  </si>
  <si>
    <t>When Did You Last See Your Father?Â </t>
  </si>
  <si>
    <t>cancer|children|death|terminal cancer|time</t>
  </si>
  <si>
    <t>Steve Pink</t>
  </si>
  <si>
    <t>Comedy|Sci-Fi</t>
  </si>
  <si>
    <t>Hot Tub Time Machine 2Â </t>
  </si>
  <si>
    <t>acid trip|gameshow|hot tub|time lord|time machine</t>
  </si>
  <si>
    <t>Action|Adventure|Fantasy|Romance</t>
  </si>
  <si>
    <t>Spider-ManÂ </t>
  </si>
  <si>
    <t>evil|goblin|spider|spider man|superhero</t>
  </si>
  <si>
    <t>Vondie Curtis-Hall</t>
  </si>
  <si>
    <t>Mariah Carey</t>
  </si>
  <si>
    <t>GlitterÂ </t>
  </si>
  <si>
    <t>cult film|disc jockey|female protagonist|music business|one word title</t>
  </si>
  <si>
    <t>John Saxon</t>
  </si>
  <si>
    <t>A Nightmare on Elm Street 3: Dream WarriorsÂ </t>
  </si>
  <si>
    <t>dream|freddy krueger|killer|nightmare|springwood ohio</t>
  </si>
  <si>
    <t>Bruce Greenwood</t>
  </si>
  <si>
    <t>Swept AwayÂ </t>
  </si>
  <si>
    <t>island|sailor|storm|stranded|vacation</t>
  </si>
  <si>
    <t>MarmadukeÂ </t>
  </si>
  <si>
    <t>dog|great dane|rivalry|talking animal|talking cat</t>
  </si>
  <si>
    <t>Sam Weisman</t>
  </si>
  <si>
    <t>Kevin Grevioux</t>
  </si>
  <si>
    <t>Dickie Roberts: Former Child StarÂ </t>
  </si>
  <si>
    <t>dental braces|dental headgear|former child star|panties|white panties</t>
  </si>
  <si>
    <t>Adventure|Mystery|Thriller</t>
  </si>
  <si>
    <t>A Perfect GetawayÂ </t>
  </si>
  <si>
    <t>cliff|hawaii|island|newlywed|waterfall</t>
  </si>
  <si>
    <t>Mike Mills</t>
  </si>
  <si>
    <t>ThumbsuckerÂ </t>
  </si>
  <si>
    <t>attention deficit disorder|debate|drugs|psychologist|school</t>
  </si>
  <si>
    <t>Larry Clark</t>
  </si>
  <si>
    <t>Rosario Dawson</t>
  </si>
  <si>
    <t>KidsÂ </t>
  </si>
  <si>
    <t>coming of age|marijuana|rape|virgin|weed</t>
  </si>
  <si>
    <t>Adventure|Comedy|Sci-Fi|Western</t>
  </si>
  <si>
    <t>Lea Thompson</t>
  </si>
  <si>
    <t>Back to the Future Part IIIÂ </t>
  </si>
  <si>
    <t>band|dog|letter|time machine|tombstone</t>
  </si>
  <si>
    <t>Indiana Jones and the Kingdom of the Crystal SkullÂ </t>
  </si>
  <si>
    <t>cult figure|femme fatale|indiana jones|unsubtitled foreign language|year 1957</t>
  </si>
  <si>
    <t>The Manchurian CandidateÂ </t>
  </si>
  <si>
    <t>brainwashed assassin|conspiracy|critically acclaimed|mother son relationship|soldier</t>
  </si>
  <si>
    <t>Jake Schreier</t>
  </si>
  <si>
    <t>Comedy|Crime|Drama|Sci-Fi</t>
  </si>
  <si>
    <t>Robot &amp; FrankÂ </t>
  </si>
  <si>
    <t>burglary|dementia|near future|robot|thief</t>
  </si>
  <si>
    <t>Chris Noonan</t>
  </si>
  <si>
    <t>Miriam Margolyes</t>
  </si>
  <si>
    <t>BabeÂ </t>
  </si>
  <si>
    <t>dog|farmer|pig|sheep|sheepdog</t>
  </si>
  <si>
    <t>Gary Hardwick</t>
  </si>
  <si>
    <t>Julie Benz</t>
  </si>
  <si>
    <t>The BrothersÂ </t>
  </si>
  <si>
    <t>african american|commitment|friend|friendship|playboy</t>
  </si>
  <si>
    <t>Last VegasÂ </t>
  </si>
  <si>
    <t>bachelor party|bloody mary the drink|bouncer|brooklyn new york city|vegas</t>
  </si>
  <si>
    <t>Susanna White</t>
  </si>
  <si>
    <t>Daniel Mays</t>
  </si>
  <si>
    <t>Nanny McPhee ReturnsÂ </t>
  </si>
  <si>
    <t>farm|magic|mother daughter relationship|overalls|title directed by female</t>
  </si>
  <si>
    <t>Jeremy Degruson</t>
  </si>
  <si>
    <t>Kyle Hebert</t>
  </si>
  <si>
    <t>Thunder and the House of MagicÂ </t>
  </si>
  <si>
    <t>Alan Rudolph</t>
  </si>
  <si>
    <t>Breakfast of ChampionsÂ </t>
  </si>
  <si>
    <t>breakfast|manitoba|science fiction writer|suicide|writer</t>
  </si>
  <si>
    <t>Biography|Drama|History|War</t>
  </si>
  <si>
    <t>Eddie Redmayne</t>
  </si>
  <si>
    <t>Elizabeth: The Golden AgeÂ </t>
  </si>
  <si>
    <t>court|intrigue|queen|spain|virgin</t>
  </si>
  <si>
    <t>Lajos Koltai</t>
  </si>
  <si>
    <t>Marcell Nagy</t>
  </si>
  <si>
    <t>FatelessÂ </t>
  </si>
  <si>
    <t>bus|death|gay slur|hatred|jewish</t>
  </si>
  <si>
    <t>Hungarian</t>
  </si>
  <si>
    <t>Hungary</t>
  </si>
  <si>
    <t>Cast AwayÂ </t>
  </si>
  <si>
    <t>christmas|island|love|survival|talking to inanimate object</t>
  </si>
  <si>
    <t>Vantage PointÂ </t>
  </si>
  <si>
    <t>explosion|multiple perspectives|president|secret service|shooting</t>
  </si>
  <si>
    <t>Planet of the ApesÂ </t>
  </si>
  <si>
    <t>astronaut|cage|planet|wilhelm scream|year 2029</t>
  </si>
  <si>
    <t>Dario Argento</t>
  </si>
  <si>
    <t>Two Evil EyesÂ </t>
  </si>
  <si>
    <t>black cat|cat|evil|photographer|undead</t>
  </si>
  <si>
    <t>Martin Short</t>
  </si>
  <si>
    <t>The Spiderwick ChroniclesÂ </t>
  </si>
  <si>
    <t>actor playing multiple roles|brownie the creature|closing credits sequence|family relationships|magical creature</t>
  </si>
  <si>
    <t>Frank Darabont</t>
  </si>
  <si>
    <t>Martin Landau</t>
  </si>
  <si>
    <t>The MajesticÂ </t>
  </si>
  <si>
    <t>amnesia|california|communist|small town|writer</t>
  </si>
  <si>
    <t>Jean-Jacques Annaud</t>
  </si>
  <si>
    <t>Enemy at the GatesÂ </t>
  </si>
  <si>
    <t>battle|german|russian|sniper|stalingrad</t>
  </si>
  <si>
    <t>Jonas Elmer</t>
  </si>
  <si>
    <t>New in TownÂ </t>
  </si>
  <si>
    <t>love|manufacturing|minnesota|plant|small town</t>
  </si>
  <si>
    <t>Mike Disa</t>
  </si>
  <si>
    <t>Hoodwinked Too! Hood vs. EvilÂ </t>
  </si>
  <si>
    <t>3 dimensional|box office flop|critically bashed|red riding hood|wolf</t>
  </si>
  <si>
    <t>American GangsterÂ </t>
  </si>
  <si>
    <t>death|heroin|popcorn|smuggling|vietnam</t>
  </si>
  <si>
    <t>Action|Drama|Fantasy|Thriller|Western</t>
  </si>
  <si>
    <t>Jonah HexÂ </t>
  </si>
  <si>
    <t>confederate|death|independence day|military|terrorist</t>
  </si>
  <si>
    <t>Heather O'Rourke</t>
  </si>
  <si>
    <t>PoltergeistÂ </t>
  </si>
  <si>
    <t>ghost|haunted|haunting|house|paranormal investigator</t>
  </si>
  <si>
    <t>CrashÂ </t>
  </si>
  <si>
    <t>race relations|racism|racist|social problem|stereotype</t>
  </si>
  <si>
    <t>Comedy|Drama|Horror</t>
  </si>
  <si>
    <t>TuskÂ </t>
  </si>
  <si>
    <t>canada|human becoming an animal|mad scientist|part of trilogy|walrus</t>
  </si>
  <si>
    <t>Uwe Boll</t>
  </si>
  <si>
    <t>Action|Adventure|Fantasy|Thriller</t>
  </si>
  <si>
    <t>In the Name of the King: A Dungeon Siege TaleÂ </t>
  </si>
  <si>
    <t>farmer|king|krug|rescue|wizard</t>
  </si>
  <si>
    <t>Scream 2Â </t>
  </si>
  <si>
    <t>college|ghostface|killer|killing spree|murder</t>
  </si>
  <si>
    <t>Small SoldiersÂ </t>
  </si>
  <si>
    <t>action figure|battle|computer|military|toy</t>
  </si>
  <si>
    <t>The Monuments MenÂ </t>
  </si>
  <si>
    <t>art|art expert|nazi stolen art|soldier|world war two</t>
  </si>
  <si>
    <t>Richard IIIÂ </t>
  </si>
  <si>
    <t>1930s|abuse of power|england|king|murder</t>
  </si>
  <si>
    <t>Niki Caro</t>
  </si>
  <si>
    <t>Morgan Saylor</t>
  </si>
  <si>
    <t>McFarland, USAÂ </t>
  </si>
  <si>
    <t>coach|high school|place name in title|school|student</t>
  </si>
  <si>
    <t>Fernando Meirelles</t>
  </si>
  <si>
    <t>Don McKellar</t>
  </si>
  <si>
    <t>BlindnessÂ </t>
  </si>
  <si>
    <t>blindness|epidemic|hospital|pubic hair|quarantine</t>
  </si>
  <si>
    <t>Kathleen Turner</t>
  </si>
  <si>
    <t>Serial MomÂ </t>
  </si>
  <si>
    <t>dentist|housewife|howie scream|murder|perfection</t>
  </si>
  <si>
    <t>Michael Tiddes</t>
  </si>
  <si>
    <t>Essence Atkins</t>
  </si>
  <si>
    <t>A Haunted HouseÂ </t>
  </si>
  <si>
    <t>hamburger|parody|priest|psychic|woman in a bikini</t>
  </si>
  <si>
    <t>Action|Adventure|Romance|Sci-Fi</t>
  </si>
  <si>
    <t>Margot Kidder</t>
  </si>
  <si>
    <t>Superman IIÂ </t>
  </si>
  <si>
    <t>alien invasion|based on comic book|flying superhero|phantom zone|revenge</t>
  </si>
  <si>
    <t>Benedikt Erlingsson</t>
  </si>
  <si>
    <t>Ingvar Eggert SigurÃ°sson</t>
  </si>
  <si>
    <t>Of Horses and MenÂ </t>
  </si>
  <si>
    <t>barbed wire|barbed wire fence|horse|nature|snowstorm</t>
  </si>
  <si>
    <t>Icelandic</t>
  </si>
  <si>
    <t>Ben Falcone</t>
  </si>
  <si>
    <t>Gary Cole</t>
  </si>
  <si>
    <t>TammyÂ </t>
  </si>
  <si>
    <t>alcoholic|grandmother|highway travel|niagara falls|on the road</t>
  </si>
  <si>
    <t>Mark Dindal</t>
  </si>
  <si>
    <t>Eartha Kitt</t>
  </si>
  <si>
    <t>The Emperor's New GrooveÂ </t>
  </si>
  <si>
    <t>antidote|disney|emperor|first part|llama</t>
  </si>
  <si>
    <t>KnowingÂ </t>
  </si>
  <si>
    <t>disaster|end of the world|number|student|time capsule</t>
  </si>
  <si>
    <t>Jerry MaguireÂ </t>
  </si>
  <si>
    <t>agent|career|client|fiance|sports agent</t>
  </si>
  <si>
    <t>Jake Paltrow</t>
  </si>
  <si>
    <t>Comedy|Drama|Fantasy|Music|Romance</t>
  </si>
  <si>
    <t>Stephen Graham</t>
  </si>
  <si>
    <t>The Good NightÂ </t>
  </si>
  <si>
    <t>commercial|dream|dreaming|girl|new york city</t>
  </si>
  <si>
    <t>Damien Chazelle</t>
  </si>
  <si>
    <t>WhiplashÂ </t>
  </si>
  <si>
    <t>conservatory|drummer|emotional abuse|music school|obsession</t>
  </si>
  <si>
    <t>Eli Roth</t>
  </si>
  <si>
    <t>Jay Hernandez</t>
  </si>
  <si>
    <t>Hostel: Part IIÂ </t>
  </si>
  <si>
    <t>american|hostel|slovakia|torture|train</t>
  </si>
  <si>
    <t>Martin Brest</t>
  </si>
  <si>
    <t>Meet Joe BlackÂ </t>
  </si>
  <si>
    <t>birthday|death|death personified|fear of death|wealth</t>
  </si>
  <si>
    <t>InsurgentÂ </t>
  </si>
  <si>
    <t>action heroine|falling from height|mind control|trainhopping|truth serum</t>
  </si>
  <si>
    <t>Miguel Arteta</t>
  </si>
  <si>
    <t>Alexander and the Terrible, Horrible, No Good, Very Bad DayÂ </t>
  </si>
  <si>
    <t>bad day|based on book|birthday|job interview|long title</t>
  </si>
  <si>
    <t>Francesca Gregorini</t>
  </si>
  <si>
    <t>Tom Everett Scott</t>
  </si>
  <si>
    <t>Tanner HallÂ </t>
  </si>
  <si>
    <t>boarding school|coming of age|female friendship|lesbian|new england</t>
  </si>
  <si>
    <t>Carroll Ballard</t>
  </si>
  <si>
    <t>Eamonn Walker</t>
  </si>
  <si>
    <t>DumaÂ </t>
  </si>
  <si>
    <t>africa|bed|boy|cheetah|south africa</t>
  </si>
  <si>
    <t>Andrew Douglas</t>
  </si>
  <si>
    <t>The Amityville HorrorÂ </t>
  </si>
  <si>
    <t>ghost|haunted house|murder|nightmare|priest</t>
  </si>
  <si>
    <t>Kevin Donovan</t>
  </si>
  <si>
    <t>Romany Malco</t>
  </si>
  <si>
    <t>The TuxedoÂ </t>
  </si>
  <si>
    <t>chauffeur|hospital|secret agent|spying|tuxedo</t>
  </si>
  <si>
    <t>Toy StoryÂ </t>
  </si>
  <si>
    <t>claw crane|cowboy|jealousy|rivalry|toy</t>
  </si>
  <si>
    <t>Damian Nieman</t>
  </si>
  <si>
    <t>Glenn Plummer</t>
  </si>
  <si>
    <t>ShadeÂ </t>
  </si>
  <si>
    <t>bar|strip club|stripper|texas hold 'em|thong</t>
  </si>
  <si>
    <t>Sam Mendes</t>
  </si>
  <si>
    <t>Albert Finney</t>
  </si>
  <si>
    <t>SkyfallÂ </t>
  </si>
  <si>
    <t>brawl|childhood home|computer cracker|intelligence agency|terrorist cell</t>
  </si>
  <si>
    <t>Kill Bill: Vol. 2Â </t>
  </si>
  <si>
    <t>assassin|assassination|bride|death|vengeance</t>
  </si>
  <si>
    <t>Anurag Basu</t>
  </si>
  <si>
    <t>Action|Drama|Romance|Thriller</t>
  </si>
  <si>
    <t>BÃ¡rbara Mori</t>
  </si>
  <si>
    <t>KitesÂ </t>
  </si>
  <si>
    <t>casino|desert|love|suicide|tragic event</t>
  </si>
  <si>
    <t>Billy Wilder</t>
  </si>
  <si>
    <t>Nehemiah Persoff</t>
  </si>
  <si>
    <t>Some Like It HotÂ </t>
  </si>
  <si>
    <t>all girl band|band|cross dressing|musician|yacht</t>
  </si>
  <si>
    <t>Still AliceÂ </t>
  </si>
  <si>
    <t>alzheimer's disease|bechdel test passed|linguistics professor|new york city|reference to angels in america the play</t>
  </si>
  <si>
    <t>Mean GirlsÂ </t>
  </si>
  <si>
    <t>bully|clique|high school|high school girl|secret</t>
  </si>
  <si>
    <t>Robert Butler</t>
  </si>
  <si>
    <t>TurbulenceÂ </t>
  </si>
  <si>
    <t>airplane|christmas|marshal|pilot|u.s. marshal</t>
  </si>
  <si>
    <t>John Stockwell</t>
  </si>
  <si>
    <t>Crazy/BeautifulÂ </t>
  </si>
  <si>
    <t>congressman|high school|latino|pacific palisades|school</t>
  </si>
  <si>
    <t>Drama|Western</t>
  </si>
  <si>
    <t>Django UnchainedÂ </t>
  </si>
  <si>
    <t>dynamite|historically inaccurate|ku klux klan|n word|slavery</t>
  </si>
  <si>
    <t>Peter Hedges</t>
  </si>
  <si>
    <t>Pieces of AprilÂ </t>
  </si>
  <si>
    <t>apartment|oven|stove|thanksgiving|thanksgiving dinner</t>
  </si>
  <si>
    <t>Brendan Malloy</t>
  </si>
  <si>
    <t>Lee Majors</t>
  </si>
  <si>
    <t>Out ColdÂ </t>
  </si>
  <si>
    <t>alaska|mountain|ski resort|snowboard|snowboarding</t>
  </si>
  <si>
    <t>ChocolatÂ </t>
  </si>
  <si>
    <t>chocolate|chocolate shop|food|france|village</t>
  </si>
  <si>
    <t>Drama|Fantasy|Mystery|Romance|Thriller</t>
  </si>
  <si>
    <t>Joe Morton</t>
  </si>
  <si>
    <t>DragonflyÂ </t>
  </si>
  <si>
    <t>death|doctor|grave|patient|venezuela</t>
  </si>
  <si>
    <t>Comedy|Documentary</t>
  </si>
  <si>
    <t>Eddie Griffin</t>
  </si>
  <si>
    <t>DysFunktional FamilyÂ </t>
  </si>
  <si>
    <t>african american|family relationships|stand up comedian|stand up comedy</t>
  </si>
  <si>
    <t>The Exorcism of Emily RoseÂ </t>
  </si>
  <si>
    <t>death|demonic possession|exorcism|lawyer|priest</t>
  </si>
  <si>
    <t>The Weather ManÂ </t>
  </si>
  <si>
    <t>corndog|failure|funeral in the rain|new york city|weatherman</t>
  </si>
  <si>
    <t>Seth Gordon</t>
  </si>
  <si>
    <t>Horrible BossesÂ </t>
  </si>
  <si>
    <t>black comedy|boss|chemical company|dental assistant|murder</t>
  </si>
  <si>
    <t>Nnegest LikkÃ©</t>
  </si>
  <si>
    <t>Phat GirlzÂ </t>
  </si>
  <si>
    <t>female protagonist|size positive|thin|title directed by female|wet dream</t>
  </si>
  <si>
    <t>Ruggero Deodato</t>
  </si>
  <si>
    <t>Michael Berryman</t>
  </si>
  <si>
    <t>The BarbariansÂ </t>
  </si>
  <si>
    <t>bare breasts|comic relief|dragon|gladiator|harem</t>
  </si>
  <si>
    <t>Biography|Crime|Drama|Romance</t>
  </si>
  <si>
    <t>Christoph Waltz</t>
  </si>
  <si>
    <t>Big EyesÂ </t>
  </si>
  <si>
    <t>1950s|abusive husband|artist|painting|secret</t>
  </si>
  <si>
    <t>Danny Boyle</t>
  </si>
  <si>
    <t>Noah Huntley</t>
  </si>
  <si>
    <t>28 Days Later...Â </t>
  </si>
  <si>
    <t>laboratory|london england|military|virus|zombie apocalypse</t>
  </si>
  <si>
    <t>Ronny Yu</t>
  </si>
  <si>
    <t>Marley Shelton</t>
  </si>
  <si>
    <t>Warriors of VirtueÂ </t>
  </si>
  <si>
    <t>anthropomorphic animal|football|kangaroo|sword and sorcery|water boy</t>
  </si>
  <si>
    <t>Howard Deutch</t>
  </si>
  <si>
    <t>The Whole Ten YardsÂ </t>
  </si>
  <si>
    <t>dentist|face slap|flashback|hitman|killing an animal</t>
  </si>
  <si>
    <t>Shallow HalÂ </t>
  </si>
  <si>
    <t>dying|friend|inner beauty|love|self help guru</t>
  </si>
  <si>
    <t>Jeff Nichols</t>
  </si>
  <si>
    <t>Katy Mixon</t>
  </si>
  <si>
    <t>Take ShelterÂ </t>
  </si>
  <si>
    <t>ambiguous ending|firefly|mysterious event|schizophrenia|storm</t>
  </si>
  <si>
    <t>Baz Luhrmann</t>
  </si>
  <si>
    <t>Moulin Rouge!Â </t>
  </si>
  <si>
    <t>death of main character|eiffel tower paris|jealousy|tragedy|two suitors</t>
  </si>
  <si>
    <t>Matthew Settle</t>
  </si>
  <si>
    <t>The In CrowdÂ </t>
  </si>
  <si>
    <t>clique|country club|female protagonist|lip gloss|title directed by female</t>
  </si>
  <si>
    <t>Alan J. Pakula</t>
  </si>
  <si>
    <t>The Pelican BriefÂ </t>
  </si>
  <si>
    <t>college professor|fbi|president|professor|supreme court</t>
  </si>
  <si>
    <t>Michael Wincott</t>
  </si>
  <si>
    <t>The DoorsÂ </t>
  </si>
  <si>
    <t>death|paris france|rock band|singer|the doors</t>
  </si>
  <si>
    <t>Doug Liman</t>
  </si>
  <si>
    <t>Fair GameÂ </t>
  </si>
  <si>
    <t>bush administration|cia|interview|iraq|new york times</t>
  </si>
  <si>
    <t>Freddy's Dead: The Final NightmareÂ </t>
  </si>
  <si>
    <t>dark comedy|dream|freddy krueger|nightmare|serial murder</t>
  </si>
  <si>
    <t>Ã“scar Jaenada</t>
  </si>
  <si>
    <t>The ShallowsÂ </t>
  </si>
  <si>
    <t>beach|island|mexico|prey|trapped</t>
  </si>
  <si>
    <t>DJ Pooh</t>
  </si>
  <si>
    <t>3 StrikesÂ </t>
  </si>
  <si>
    <t>adult diaper|diaper|digit in title|dream|sawed off shotgun</t>
  </si>
  <si>
    <t>Nicholas Stoller</t>
  </si>
  <si>
    <t>Neighbors 2: Sorority RisingÂ </t>
  </si>
  <si>
    <t>bare chested male|gay|gay best friend|gay man|gay marriage proposal</t>
  </si>
  <si>
    <t>Mission: Impossible IIÂ </t>
  </si>
  <si>
    <t>cure|mission|terrorist|thief|virus</t>
  </si>
  <si>
    <t>James David Pasternak</t>
  </si>
  <si>
    <t>Certifiably JonathanÂ </t>
  </si>
  <si>
    <t>las vegas nevada|museum|reference to mr. rogers|reference to vincent van gogh|talking about suicide</t>
  </si>
  <si>
    <t>Road TripÂ </t>
  </si>
  <si>
    <t>blonde|college|friend|highway travel|road trip</t>
  </si>
  <si>
    <t>Jessica Barden</t>
  </si>
  <si>
    <t>HannaÂ </t>
  </si>
  <si>
    <t>assassin|female warrior|martial arts|playground|training</t>
  </si>
  <si>
    <t>Comedy|Family|Musical|Romance|Short</t>
  </si>
  <si>
    <t>William Hurt</t>
  </si>
  <si>
    <t>Marilyn Hotchkiss' Ballroom Dancing and Charm SchoolÂ </t>
  </si>
  <si>
    <t>student film|wonder years</t>
  </si>
  <si>
    <t>Action|Adventure|Drama</t>
  </si>
  <si>
    <t>Exodus: Gods and KingsÂ </t>
  </si>
  <si>
    <t>egypt|exodus|moses|pharaoh|plague</t>
  </si>
  <si>
    <t>Action|Western</t>
  </si>
  <si>
    <t>Gregory Smith</t>
  </si>
  <si>
    <t>American OutlawsÂ </t>
  </si>
  <si>
    <t>legend|old west|outlaw|railroad|stealing from the rich</t>
  </si>
  <si>
    <t>Lady in the WaterÂ </t>
  </si>
  <si>
    <t>apartment|bedtime story|eagle|stuttering|swimming pool</t>
  </si>
  <si>
    <t>Alan Cohn</t>
  </si>
  <si>
    <t>Alyson Hannigan</t>
  </si>
  <si>
    <t>Dead Man on CampusÂ </t>
  </si>
  <si>
    <t>college|college roommate|party|roommate|student</t>
  </si>
  <si>
    <t>Laurie Collyer</t>
  </si>
  <si>
    <t>Brad William Henke</t>
  </si>
  <si>
    <t>SherrybabyÂ </t>
  </si>
  <si>
    <t>ex convict|halfway house|nipples visible through clothing|orgasm|parole officer</t>
  </si>
  <si>
    <t>As Above, So BelowÂ </t>
  </si>
  <si>
    <t>archeologist|catacomb|found footage|paris france|philosopher's stone</t>
  </si>
  <si>
    <t>Ornella Muti</t>
  </si>
  <si>
    <t>To Rome with LoveÂ </t>
  </si>
  <si>
    <t>architect|celebrity|prostitute|shower|tourist</t>
  </si>
  <si>
    <t>Jason Zada</t>
  </si>
  <si>
    <t>Eoin Macken</t>
  </si>
  <si>
    <t>The ForestÂ </t>
  </si>
  <si>
    <t>forest|japan|suicide|suicide forest|supernatural</t>
  </si>
  <si>
    <t>Steven R. Monroe</t>
  </si>
  <si>
    <t>Sarah Butler</t>
  </si>
  <si>
    <t>I Spit on Your GraveÂ </t>
  </si>
  <si>
    <t>horror movie remake|rape|rape and revenge|rape victim|revenge</t>
  </si>
  <si>
    <t>Josh Charles</t>
  </si>
  <si>
    <t>Four BrothersÂ </t>
  </si>
  <si>
    <t>bare butt|corrupt police|four brothers|funeral|murder</t>
  </si>
  <si>
    <t>Alice Krige</t>
  </si>
  <si>
    <t>Chariots of FireÂ </t>
  </si>
  <si>
    <t>athlete|jew|missionary|olympic games|race</t>
  </si>
  <si>
    <t>Burr Steers</t>
  </si>
  <si>
    <t>Kieran Culkin</t>
  </si>
  <si>
    <t>Igby Goes DownÂ </t>
  </si>
  <si>
    <t>boy|mistress|money|schizophrenic|school</t>
  </si>
  <si>
    <t>21 GramsÂ </t>
  </si>
  <si>
    <t>accident|faith|love|mathematician|nonlinear timeline</t>
  </si>
  <si>
    <t>Colm Feore</t>
  </si>
  <si>
    <t>Jack Ryan: Shadow RecruitÂ </t>
  </si>
  <si>
    <t>covert analyst|marine|russian|spy|stock market</t>
  </si>
  <si>
    <t>Tod Williams</t>
  </si>
  <si>
    <t>Sprague Grayden</t>
  </si>
  <si>
    <t>Paranormal Activity 2Â </t>
  </si>
  <si>
    <t>california|carlsbad california|house|nanny|security camera</t>
  </si>
  <si>
    <t>Richard LaGravenese</t>
  </si>
  <si>
    <t>Freedom WritersÂ </t>
  </si>
  <si>
    <t>gang violence|high school|journal|marriage|teacher</t>
  </si>
  <si>
    <t>We're No AngelsÂ </t>
  </si>
  <si>
    <t>con|convict|escape|police|priest</t>
  </si>
  <si>
    <t>Blades of GloryÂ </t>
  </si>
  <si>
    <t>competition|fight|ice|jock strap|nintendo game boy advance</t>
  </si>
  <si>
    <t>Brad Bird</t>
  </si>
  <si>
    <t>Mission: Impossible - Ghost ProtocolÂ </t>
  </si>
  <si>
    <t>dubai|kremlin|race against time|russian|terrorist</t>
  </si>
  <si>
    <t>Oscar and LucindaÂ </t>
  </si>
  <si>
    <t>australia|church|glass|inheritance|wager</t>
  </si>
  <si>
    <t>Demian Lichtenstein</t>
  </si>
  <si>
    <t>3000 Miles to GracelandÂ </t>
  </si>
  <si>
    <t>casino|elvis impersonator|gun|heist|rascal</t>
  </si>
  <si>
    <t>Chris Wedge</t>
  </si>
  <si>
    <t>Ice AgeÂ </t>
  </si>
  <si>
    <t>baby|ice|ice age|sleeping|sloth</t>
  </si>
  <si>
    <t>Anthony Minghella</t>
  </si>
  <si>
    <t>The English PatientÂ </t>
  </si>
  <si>
    <t>church|english|flashback|nurse|patient</t>
  </si>
  <si>
    <t>Lucrecia Martel</t>
  </si>
  <si>
    <t>The Holy GirlÂ </t>
  </si>
  <si>
    <t>16 year old|doctor|hotel|tinnitus|title directed by female</t>
  </si>
  <si>
    <t>Thor: The Dark WorldÂ </t>
  </si>
  <si>
    <t>arrest|portal|thor|warrior|weapon</t>
  </si>
  <si>
    <t>Comedy|Family|Romance|Sport</t>
  </si>
  <si>
    <t>Kicking &amp; ScreamingÂ </t>
  </si>
  <si>
    <t>book|child|slapstick comedy|soccer|suburb</t>
  </si>
  <si>
    <t>Kiss the GirlsÂ </t>
  </si>
  <si>
    <t>detective|kidnapping|punching a heavy bag|serial killer|tied to a tree</t>
  </si>
  <si>
    <t>Chris Buck</t>
  </si>
  <si>
    <t>Josh Gad</t>
  </si>
  <si>
    <t>FrozenÂ </t>
  </si>
  <si>
    <t>magic|sister love|sister sister relationship|snow|snowman</t>
  </si>
  <si>
    <t>Tom McLoughlin</t>
  </si>
  <si>
    <t>Jason Lives: Friday the 13th Part VIÂ </t>
  </si>
  <si>
    <t>actual animal killed|death|jason voorhees|slasher flick|teen horror</t>
  </si>
  <si>
    <t>Christopher Spencer</t>
  </si>
  <si>
    <t>Roma Downey</t>
  </si>
  <si>
    <t>Son of GodÂ </t>
  </si>
  <si>
    <t>bare chested male bondage|crucifixion|loincloth|reference to god|resurrection</t>
  </si>
  <si>
    <t>Nomad: The WarriorÂ </t>
  </si>
  <si>
    <t>1800s|kazakhstan|nomad</t>
  </si>
  <si>
    <t>Kazakh</t>
  </si>
  <si>
    <t>Crime|Drama|Music|Romance</t>
  </si>
  <si>
    <t>Step UpÂ </t>
  </si>
  <si>
    <t>dance|dancer|school|showcase|student</t>
  </si>
  <si>
    <t>Kar-Wai Wong</t>
  </si>
  <si>
    <t>Drama|Romance|Sci-Fi</t>
  </si>
  <si>
    <t>Li Gong</t>
  </si>
  <si>
    <t>2046Â </t>
  </si>
  <si>
    <t>number in title|train|woman slaps a man|woman slaps man|written by director</t>
  </si>
  <si>
    <t>Claude Miller</t>
  </si>
  <si>
    <t>Comedy|Crime|Drama|Romance|Thriller</t>
  </si>
  <si>
    <t>Sandrine Kiberlain</t>
  </si>
  <si>
    <t>Alias BettyÂ </t>
  </si>
  <si>
    <t>child|criminal|death|depression|novelist</t>
  </si>
  <si>
    <t>Uli Edel</t>
  </si>
  <si>
    <t>Richard E. Grant</t>
  </si>
  <si>
    <t>The Little VampireÂ </t>
  </si>
  <si>
    <t>boy|pushed off a cliff|rat|secret passage|vampire</t>
  </si>
  <si>
    <t>The Day the Earth Stood StillÂ </t>
  </si>
  <si>
    <t>alien|earth|giant robot|military|scientist</t>
  </si>
  <si>
    <t>Mark Illsley</t>
  </si>
  <si>
    <t>Ally Walker</t>
  </si>
  <si>
    <t>Happy, TexasÂ </t>
  </si>
  <si>
    <t>banker|beauty pageant|escaped convict|gay|pageant</t>
  </si>
  <si>
    <t>David Lean</t>
  </si>
  <si>
    <t>Claude Rains</t>
  </si>
  <si>
    <t>Lawrence of ArabiaÂ </t>
  </si>
  <si>
    <t>arab|british military|desert|ottoman empire|t.e. lawrence</t>
  </si>
  <si>
    <t>Jeff Franklin</t>
  </si>
  <si>
    <t>Ivana Milicevic</t>
  </si>
  <si>
    <t>Love StinksÂ </t>
  </si>
  <si>
    <t>black comedy|marriage|marriage proposal|not taking no for an answer|obsessive woman</t>
  </si>
  <si>
    <t>Alessandro Nivola</t>
  </si>
  <si>
    <t>Coco Before ChanelÂ </t>
  </si>
  <si>
    <t>baron|fashion|hat|nickname|orphanage</t>
  </si>
  <si>
    <t>Rob Reiner</t>
  </si>
  <si>
    <t>Adventure|Family|Fantasy|Romance</t>
  </si>
  <si>
    <t>The Princess BrideÂ </t>
  </si>
  <si>
    <t>fairy tale|giant|pirate|princess|true love</t>
  </si>
  <si>
    <t>Jeremy Saulnier</t>
  </si>
  <si>
    <t>Devin Ratray</t>
  </si>
  <si>
    <t>Blue RuinÂ </t>
  </si>
  <si>
    <t>blood splatter|car|neo noir|vengeance|vomiting</t>
  </si>
  <si>
    <t>HalloweenÂ </t>
  </si>
  <si>
    <t>halloween|masked killer|michael myers|slasher|trick or treat</t>
  </si>
  <si>
    <t>Zack Ward</t>
  </si>
  <si>
    <t>TransformersÂ </t>
  </si>
  <si>
    <t>alien contact|autobot|decepticon|robot vs. robot|teenage hero</t>
  </si>
  <si>
    <t>Ruba Nadda</t>
  </si>
  <si>
    <t>Saad Siddiqui</t>
  </si>
  <si>
    <t>InescapableÂ </t>
  </si>
  <si>
    <t>Garry Marshall</t>
  </si>
  <si>
    <t>The Princess DiariesÂ </t>
  </si>
  <si>
    <t>cinderella story|fish out of water|makeover|manners|princess</t>
  </si>
  <si>
    <t>The Guilt TripÂ </t>
  </si>
  <si>
    <t>cross country|love|mother son relationship|on the road|trip</t>
  </si>
  <si>
    <t>Clark Gregg</t>
  </si>
  <si>
    <t>ChokeÂ </t>
  </si>
  <si>
    <t>choking|friend|hospital|restaurant|scam</t>
  </si>
  <si>
    <t>Robert Harmon</t>
  </si>
  <si>
    <t>Alexander Gould</t>
  </si>
  <si>
    <t>TheyÂ </t>
  </si>
  <si>
    <t>darkness|friend|kiss|nightmare|suicide</t>
  </si>
  <si>
    <t>Bille August</t>
  </si>
  <si>
    <t>Smilla's Sense of SnowÂ </t>
  </si>
  <si>
    <t>boy|greenland|neighbor|roof|snow</t>
  </si>
  <si>
    <t>Denmark</t>
  </si>
  <si>
    <t>Legal EaglesÂ </t>
  </si>
  <si>
    <t>judicial|judiciary|lawyer|murder|painting</t>
  </si>
  <si>
    <t>Alex Pettyfer</t>
  </si>
  <si>
    <t>Lee Daniels' The ButlerÂ </t>
  </si>
  <si>
    <t>butler|civil rights|hotel|president|white house</t>
  </si>
  <si>
    <t>Tim Hill</t>
  </si>
  <si>
    <t>Comedy|Crime|Family</t>
  </si>
  <si>
    <t>Max Keeble's Big MoveÂ </t>
  </si>
  <si>
    <t>bully|moving|principal|revenge|school</t>
  </si>
  <si>
    <t>Daniel Barnz</t>
  </si>
  <si>
    <t>BeastlyÂ </t>
  </si>
  <si>
    <t>love|maid|newscaster|student|tutor</t>
  </si>
  <si>
    <t>Michael D. Sellers</t>
  </si>
  <si>
    <t>Katharine Ross</t>
  </si>
  <si>
    <t>Eye of the DolphinÂ </t>
  </si>
  <si>
    <t>dolphin|island|research|tourist|town</t>
  </si>
  <si>
    <t>Bob Dolman</t>
  </si>
  <si>
    <t>The Banger SistersÂ </t>
  </si>
  <si>
    <t>bartender|groupie|lawyer|road trip|writer</t>
  </si>
  <si>
    <t>Rich Christiano</t>
  </si>
  <si>
    <t>Drama|Fantasy|Sci-Fi</t>
  </si>
  <si>
    <t>Gavin MacLeod</t>
  </si>
  <si>
    <t>Time ChangerÂ </t>
  </si>
  <si>
    <t>bible|christian propaganda|christianity|time machine|zealot</t>
  </si>
  <si>
    <t>Catherine Hardwicke</t>
  </si>
  <si>
    <t>TwilightÂ </t>
  </si>
  <si>
    <t>blood|high school|love|school|vampire</t>
  </si>
  <si>
    <t>Sunshine StateÂ </t>
  </si>
  <si>
    <t>african american|business|coastline|florida|real estate</t>
  </si>
  <si>
    <t>Steve Oedekerk</t>
  </si>
  <si>
    <t>Bruce Spence</t>
  </si>
  <si>
    <t>Ace Ventura: When Nature CallsÂ </t>
  </si>
  <si>
    <t>africa|bat|hawaiian shirt|pregnancy|pregnant</t>
  </si>
  <si>
    <t>Alfonso CuarÃ³n</t>
  </si>
  <si>
    <t>Children of MenÂ </t>
  </si>
  <si>
    <t>chaos|england|long take|survival|violence</t>
  </si>
  <si>
    <t>Steven Bauer</t>
  </si>
  <si>
    <t>Raising CainÂ </t>
  </si>
  <si>
    <t>hitchcockian|long tracking shot|psychologist|psychology|wig</t>
  </si>
  <si>
    <t>Rip Torn</t>
  </si>
  <si>
    <t>Welcome to MooseportÂ </t>
  </si>
  <si>
    <t>mayor|pink panties|upskirt|white panties|yellow panties</t>
  </si>
  <si>
    <t>Sam Peckinpah</t>
  </si>
  <si>
    <t>Adventure|War|Western</t>
  </si>
  <si>
    <t>James Coburn</t>
  </si>
  <si>
    <t>Major DundeeÂ </t>
  </si>
  <si>
    <t>apache|apache indian|confederate|mexico|scout</t>
  </si>
  <si>
    <t>Edward Burns</t>
  </si>
  <si>
    <t>Kerry BishÃ©</t>
  </si>
  <si>
    <t>NewlywedsÂ </t>
  </si>
  <si>
    <t>written and directed by cast member</t>
  </si>
  <si>
    <t>Mel Gibson</t>
  </si>
  <si>
    <t>Mhairi Calvey</t>
  </si>
  <si>
    <t>BraveheartÂ </t>
  </si>
  <si>
    <t>14th century|legend|revolt|scotland|tyranny</t>
  </si>
  <si>
    <t>The Godfather: Part IIIÂ </t>
  </si>
  <si>
    <t>1970s|family relationships|mob hit|opera|repeating history</t>
  </si>
  <si>
    <t>Krista Allen</t>
  </si>
  <si>
    <t>The Final DestinationÂ </t>
  </si>
  <si>
    <t>attempted suicide|car crash|collapsing scaffold|overflowing bathtub|tooth knocked out</t>
  </si>
  <si>
    <t>Vincent Paronnaud</t>
  </si>
  <si>
    <t>Animation|Biography|Drama|War</t>
  </si>
  <si>
    <t>PersepolisÂ </t>
  </si>
  <si>
    <t>dream|girl|iran|islamic revolution|revolution</t>
  </si>
  <si>
    <t>Steve Rash</t>
  </si>
  <si>
    <t>Barry Corbin</t>
  </si>
  <si>
    <t>Held UpÂ </t>
  </si>
  <si>
    <t>hold up|hostage|stockholm syndrome|swat team|vegetarian</t>
  </si>
  <si>
    <t>Douglas Aarniokoski</t>
  </si>
  <si>
    <t>Highlander: EndgameÂ </t>
  </si>
  <si>
    <t>battle|explosion|immortal|revenge|sequel to cult film</t>
  </si>
  <si>
    <t>Melina Kanakaredes</t>
  </si>
  <si>
    <t>The Long Kiss GoodnightÂ </t>
  </si>
  <si>
    <t>amnesia|chase|foot chase|strong female character|vomiting</t>
  </si>
  <si>
    <t>GoodfellasÂ </t>
  </si>
  <si>
    <t>betrayal|gangster|mafia|organized crime|robbery</t>
  </si>
  <si>
    <t>Marcos Siega</t>
  </si>
  <si>
    <t>UnderclassmanÂ </t>
  </si>
  <si>
    <t>police|private school|shootout|undercover|wigger</t>
  </si>
  <si>
    <t>Emma-Kate Croghan</t>
  </si>
  <si>
    <t>Radha Mitchell</t>
  </si>
  <si>
    <t>Love and Other CatastrophesÂ </t>
  </si>
  <si>
    <t>film school|love|medical student|student|university</t>
  </si>
  <si>
    <t>John Polson</t>
  </si>
  <si>
    <t>Hide and SeekÂ </t>
  </si>
  <si>
    <t>bathtub|psychologist|pushed out a window|smothered with a pillow|telescope</t>
  </si>
  <si>
    <t>Madea's Witness ProtectionÂ </t>
  </si>
  <si>
    <t>critically bashed|culture shock|interracial relationship|madea series|ponzi scheme</t>
  </si>
  <si>
    <t>Dominic Sena</t>
  </si>
  <si>
    <t>SwordfishÂ </t>
  </si>
  <si>
    <t>computer|secret agent|terrorism|told in flashback|wearing a sound wire</t>
  </si>
  <si>
    <t>90 Minutes in HeavenÂ </t>
  </si>
  <si>
    <t>heaven|hospital|praying|pronounced dead|recovery</t>
  </si>
  <si>
    <t>Dark ShadowsÂ </t>
  </si>
  <si>
    <t>camera shot of feet|cartoon on tv|female stockinged feet|female stockinged soles|foot closeup</t>
  </si>
  <si>
    <t>Gary Shore</t>
  </si>
  <si>
    <t>Action|Drama|Fantasy|Horror|War</t>
  </si>
  <si>
    <t>Dracula UntoldÂ </t>
  </si>
  <si>
    <t>death of wife|dracula|tarantula|turk|vampire</t>
  </si>
  <si>
    <t>Biography|Crime|Drama|History|Western</t>
  </si>
  <si>
    <t>The Assassination of Jesse James by the Coward Robert FordÂ </t>
  </si>
  <si>
    <t>long title|outlaw|robbery|train|train robbery</t>
  </si>
  <si>
    <t>Lars von Trier</t>
  </si>
  <si>
    <t>Crime|Drama|Musical</t>
  </si>
  <si>
    <t>Dancer in the DarkÂ </t>
  </si>
  <si>
    <t>ends with quotation|execution|factory|women's prison|year 1964</t>
  </si>
  <si>
    <t>Robin Budd</t>
  </si>
  <si>
    <t>Return to Never LandÂ </t>
  </si>
  <si>
    <t>1940s|gang that lives together|outlaw gang|rescue|sequel</t>
  </si>
  <si>
    <t>Daniel Espinosa</t>
  </si>
  <si>
    <t>Safe HouseÂ </t>
  </si>
  <si>
    <t>cia|cia agent|consulate|on the run|safe house</t>
  </si>
  <si>
    <t>RoninÂ </t>
  </si>
  <si>
    <t>case|ex kgb|ronin|russian|suitcase</t>
  </si>
  <si>
    <t>Romeo + JulietÂ </t>
  </si>
  <si>
    <t>hawaiian shirt|love|shakespeare adaptation|shakespeare play|star crossed lovers</t>
  </si>
  <si>
    <t>Sara Sugarman</t>
  </si>
  <si>
    <t>Comedy|Family|Music|Romance</t>
  </si>
  <si>
    <t>Adam Garcia</t>
  </si>
  <si>
    <t>Confessions of a Teenage Drama QueenÂ </t>
  </si>
  <si>
    <t>band|friend|new york city|suburb|teenager</t>
  </si>
  <si>
    <t>Michael Meredith</t>
  </si>
  <si>
    <t>The Open RoadÂ </t>
  </si>
  <si>
    <t>american south|baseball|farmland|motel|road trip</t>
  </si>
  <si>
    <t>Darren Stein</t>
  </si>
  <si>
    <t>JawbreakerÂ </t>
  </si>
  <si>
    <t>best friend|bitch|friend|popular girl|prom</t>
  </si>
  <si>
    <t>The Princess Diaries 2: Royal EngagementÂ </t>
  </si>
  <si>
    <t>coronation|horse|princess|queen|side saddle</t>
  </si>
  <si>
    <t>Aki KaurismÃ¤ki</t>
  </si>
  <si>
    <t>Jean-Pierre LÃ©aud</t>
  </si>
  <si>
    <t>Le HavreÂ </t>
  </si>
  <si>
    <t>bar|container|illegal immigrant|neighbor|shoe shiner</t>
  </si>
  <si>
    <t>Finland</t>
  </si>
  <si>
    <t>Frank Coraci</t>
  </si>
  <si>
    <t>ClickÂ </t>
  </si>
  <si>
    <t>architect|frozen time|obese man|remote control|stopped time</t>
  </si>
  <si>
    <t>Joe Johnston</t>
  </si>
  <si>
    <t>Action|Adventure|Western</t>
  </si>
  <si>
    <t>HidalgoÂ </t>
  </si>
  <si>
    <t>arab|cowboy|horse|race|sheik</t>
  </si>
  <si>
    <t>Alex Rivera</t>
  </si>
  <si>
    <t>Drama|Romance|Sci-Fi|Thriller</t>
  </si>
  <si>
    <t>Leonor Varela</t>
  </si>
  <si>
    <t>Sleep DealerÂ </t>
  </si>
  <si>
    <t>computer|future|mexican immigrant|network|wilhelm scream</t>
  </si>
  <si>
    <t>SphereÂ </t>
  </si>
  <si>
    <t>manifestation|ocean|spacecraft|spaceship|sphere</t>
  </si>
  <si>
    <t>The SpecialsÂ </t>
  </si>
  <si>
    <t>action figure|press conference|superhero|superhero team|toy</t>
  </si>
  <si>
    <t>David Moreau</t>
  </si>
  <si>
    <t>The EyeÂ </t>
  </si>
  <si>
    <t>cellular memory|eye|eye transplant|seeing dead people|violinist</t>
  </si>
  <si>
    <t>Mark Osborne</t>
  </si>
  <si>
    <t>Adventure|Animation|Drama|Family|Fantasy</t>
  </si>
  <si>
    <t>The Little PrinceÂ </t>
  </si>
  <si>
    <t>aviator|based on book|girl|little girl|the little prince</t>
  </si>
  <si>
    <t>Ted Demme</t>
  </si>
  <si>
    <t>BlowÂ </t>
  </si>
  <si>
    <t>1960s|1970s|california|cocaine|wealth</t>
  </si>
  <si>
    <t>LucyÂ </t>
  </si>
  <si>
    <t>brain capacity|drugs|fictional drug|one woman army|tough girl</t>
  </si>
  <si>
    <t>Jay Russell</t>
  </si>
  <si>
    <t>Clint Howard</t>
  </si>
  <si>
    <t>My Dog SkipÂ </t>
  </si>
  <si>
    <t>1940s|dog|mississippi|puppy|veteran</t>
  </si>
  <si>
    <t>Kung Fu PandaÂ </t>
  </si>
  <si>
    <t>kung fu|kung fu master|master|panda|snow leopard</t>
  </si>
  <si>
    <t>Joe Carnahan</t>
  </si>
  <si>
    <t>The GreyÂ </t>
  </si>
  <si>
    <t>alaska|leadership|snow|survival|wilderness</t>
  </si>
  <si>
    <t>Stephen Hopkins</t>
  </si>
  <si>
    <t>Stephen Rea</t>
  </si>
  <si>
    <t>The ReapingÂ </t>
  </si>
  <si>
    <t>biblical plague|louisiana|missionary|plague|small town</t>
  </si>
  <si>
    <t>Mel Smith</t>
  </si>
  <si>
    <t>Action|Comedy|Drama</t>
  </si>
  <si>
    <t>High Heels and Low LifesÂ </t>
  </si>
  <si>
    <t>attempted murder|blackmail|diver's watch|nurse|satire</t>
  </si>
  <si>
    <t>Andrew Davis</t>
  </si>
  <si>
    <t>Action|Adventure|Crime|Drama|Mystery|Thriller</t>
  </si>
  <si>
    <t>The FugitiveÂ </t>
  </si>
  <si>
    <t>hospital|on the run|one armed man|surgeon|u.s. marshal</t>
  </si>
  <si>
    <t>Mel Brooks</t>
  </si>
  <si>
    <t>Madeline Kahn</t>
  </si>
  <si>
    <t>Young FrankensteinÂ </t>
  </si>
  <si>
    <t>assistant|castle|experiment|frankenstein's monster|scientist</t>
  </si>
  <si>
    <t>Premium RushÂ </t>
  </si>
  <si>
    <t>chase|courier|delivery|envelope|police</t>
  </si>
  <si>
    <t>Glenn Morshower</t>
  </si>
  <si>
    <t>Transformers: Revenge of the FallenÂ </t>
  </si>
  <si>
    <t>autobot|decepticon|machine|sun|symbol</t>
  </si>
  <si>
    <t>Kevin Greutert</t>
  </si>
  <si>
    <t>Saw 3D: The Final ChapterÂ </t>
  </si>
  <si>
    <t>blood splatter|self help guru|sequel|support group|survivor</t>
  </si>
  <si>
    <t>Drama|Horror|Romance|Thriller</t>
  </si>
  <si>
    <t>Mary ReillyÂ </t>
  </si>
  <si>
    <t>19th century|butler|housemaid|laboratory|servant</t>
  </si>
  <si>
    <t>Hugh Johnson</t>
  </si>
  <si>
    <t>Action|Adventure|Comedy|Drama|Thriller</t>
  </si>
  <si>
    <t>David Paymer</t>
  </si>
  <si>
    <t>Chill FactorÂ </t>
  </si>
  <si>
    <t>colonel|ice|ice cream truck|military|u.s. army</t>
  </si>
  <si>
    <t>An Unfinished LifeÂ </t>
  </si>
  <si>
    <t>abusive boyfriend|bear|car accident|ranch|wyoming</t>
  </si>
  <si>
    <t>Bruce Paltrow</t>
  </si>
  <si>
    <t>Lochlyn Munro</t>
  </si>
  <si>
    <t>DuetsÂ </t>
  </si>
  <si>
    <t>convict|karaoke|middle america|salesman|singer</t>
  </si>
  <si>
    <t>Gurinder Chadha</t>
  </si>
  <si>
    <t>Indira Varma</t>
  </si>
  <si>
    <t>Bride &amp; PrejudiceÂ </t>
  </si>
  <si>
    <t>bollywood|india|jane austen|london england|travel</t>
  </si>
  <si>
    <t>Vicente Amorim</t>
  </si>
  <si>
    <t>GoodÂ </t>
  </si>
  <si>
    <t>censorship|children|corpse|heil hitler|suffering</t>
  </si>
  <si>
    <t>Match PointÂ </t>
  </si>
  <si>
    <t>extramarital affair|infidelity|irony of fate|surprise ending|tennis</t>
  </si>
  <si>
    <t>James Algar</t>
  </si>
  <si>
    <t>Animation|Family|Fantasy|Music</t>
  </si>
  <si>
    <t>Quincy Jones</t>
  </si>
  <si>
    <t>Fantasia 2000Â </t>
  </si>
  <si>
    <t>abstract|ark|disney|fairy tale|piano</t>
  </si>
  <si>
    <t>Iron ManÂ </t>
  </si>
  <si>
    <t>afghanistan|billionaire|inventor|playboy|u.s. air force</t>
  </si>
  <si>
    <t>Seychelle Gabriel</t>
  </si>
  <si>
    <t>The Last AirbenderÂ </t>
  </si>
  <si>
    <t>avatar|fire|kingdom|tribe|water</t>
  </si>
  <si>
    <t>Lynne Ramsay</t>
  </si>
  <si>
    <t>We Need to Talk About KevinÂ </t>
  </si>
  <si>
    <t>archery|defiance|mental illness|psychopath|toilet training</t>
  </si>
  <si>
    <t>Thomas Vinterberg</t>
  </si>
  <si>
    <t>Ulrich Thomsen</t>
  </si>
  <si>
    <t>The CelebrationÂ </t>
  </si>
  <si>
    <t>dogme 95|family secret|haunted by the past|secret|speech</t>
  </si>
  <si>
    <t>Danish</t>
  </si>
  <si>
    <t>Peter Berg</t>
  </si>
  <si>
    <t>The KingdomÂ </t>
  </si>
  <si>
    <t>al qaeda|bomb making|fbi|saudi arabia|stabbed in the crotch</t>
  </si>
  <si>
    <t>Michael Apted</t>
  </si>
  <si>
    <t>Chasing MavericksÂ </t>
  </si>
  <si>
    <t>box office flop|no opening credits|surfing|two word title|year 1987</t>
  </si>
  <si>
    <t>Ulrich Tukur</t>
  </si>
  <si>
    <t>The White RibbonÂ </t>
  </si>
  <si>
    <t>children|doctor|mysterious event|pastor|small village</t>
  </si>
  <si>
    <t>Jason Eisener</t>
  </si>
  <si>
    <t>Action|Comedy|Thriller</t>
  </si>
  <si>
    <t>Hobo with a ShotgunÂ </t>
  </si>
  <si>
    <t>hobo|pedophile|rampage|shotgun|vigilante</t>
  </si>
  <si>
    <t>Action|Adventure|Drama|Mystery</t>
  </si>
  <si>
    <t>Peter Firth</t>
  </si>
  <si>
    <t>RisenÂ </t>
  </si>
  <si>
    <t>biblical|crucifixion|judea|resurrection|roman soldier</t>
  </si>
  <si>
    <t>Roger Allam</t>
  </si>
  <si>
    <t>The QueenÂ </t>
  </si>
  <si>
    <t>monarchy|prime minister|princess diana|queen|speech</t>
  </si>
  <si>
    <t>Peyton Reed</t>
  </si>
  <si>
    <t>Ant-ManÂ </t>
  </si>
  <si>
    <t>ant|chinatown san francisco|heist|sabotage|vault</t>
  </si>
  <si>
    <t>Dan Byrd</t>
  </si>
  <si>
    <t>A Cinderella StoryÂ </t>
  </si>
  <si>
    <t>cinderella story|correspondence|evil step mother|female protagonist|teenage girl</t>
  </si>
  <si>
    <t>HaywireÂ </t>
  </si>
  <si>
    <t>die hard scenario|one woman army|rescue|soldier|super soldier</t>
  </si>
  <si>
    <t>Bicentennial ManÂ </t>
  </si>
  <si>
    <t>23rd century|android|artificial intelligence|dual role|robot</t>
  </si>
  <si>
    <t>MumfordÂ </t>
  </si>
  <si>
    <t>college|drugs|patient|psychologist|secret</t>
  </si>
  <si>
    <t>Jay Duplass</t>
  </si>
  <si>
    <t>CyrusÂ </t>
  </si>
  <si>
    <t>21 year old|forename as title|musician|party|rearview mirror</t>
  </si>
  <si>
    <t>The RainmakerÂ </t>
  </si>
  <si>
    <t>courtroom|domestic violence|insurance company|lawyer|underdog</t>
  </si>
  <si>
    <t>Jill Sprecher</t>
  </si>
  <si>
    <t>Thirteen Conversations About One ThingÂ </t>
  </si>
  <si>
    <t>attorney|happiness|house cleaner|physics|professor</t>
  </si>
  <si>
    <t>Daniel Sackheim</t>
  </si>
  <si>
    <t>Chris Noth</t>
  </si>
  <si>
    <t>The Glass HouseÂ </t>
  </si>
  <si>
    <t>car|car accident|death|friend|glass</t>
  </si>
  <si>
    <t>Jennifer Ehle</t>
  </si>
  <si>
    <t>Black or WhiteÂ </t>
  </si>
  <si>
    <t>color in title</t>
  </si>
  <si>
    <t>Robert Iscove</t>
  </si>
  <si>
    <t>She's All ThatÂ </t>
  </si>
  <si>
    <t>bet|friend|high school|prom|prom queen</t>
  </si>
  <si>
    <t>Martin Lawrence</t>
  </si>
  <si>
    <t>Faizon Love</t>
  </si>
  <si>
    <t>A Thin Line Between Love and HateÂ </t>
  </si>
  <si>
    <t>african american|dating|independent film|irreverence|revenge</t>
  </si>
  <si>
    <t>Scott Cooper</t>
  </si>
  <si>
    <t>Crazy HeartÂ </t>
  </si>
  <si>
    <t>country music|country western singer|journalist|musician|singer</t>
  </si>
  <si>
    <t>Red Riding HoodÂ </t>
  </si>
  <si>
    <t>death|forest|love|werewolf|werewolf bite</t>
  </si>
  <si>
    <t>Ray Griggs</t>
  </si>
  <si>
    <t>Bill Farmer</t>
  </si>
  <si>
    <t>I Want Your MoneyÂ </t>
  </si>
  <si>
    <t>Verne Troyer</t>
  </si>
  <si>
    <t>Austin Powers in GoldmemberÂ </t>
  </si>
  <si>
    <t>fem bot|prison|seductive fembot|spy|time travel</t>
  </si>
  <si>
    <t>Ralph Ziman</t>
  </si>
  <si>
    <t>Rapulana Seiphemo</t>
  </si>
  <si>
    <t>Gangster's Paradise: JerusalemaÂ </t>
  </si>
  <si>
    <t>carjacking|drug lord|johannesburg south africa|police|post apartheid</t>
  </si>
  <si>
    <t>South Africa</t>
  </si>
  <si>
    <t>Daniel Barber</t>
  </si>
  <si>
    <t>Joseph Gilgun</t>
  </si>
  <si>
    <t>Harry BrownÂ </t>
  </si>
  <si>
    <t>bayonet|death|police|self defense|widower</t>
  </si>
  <si>
    <t>How to Lose a Guy in 10 DaysÂ </t>
  </si>
  <si>
    <t>advertising executive|diamond|magazine|party|wager</t>
  </si>
  <si>
    <t>John Lee Hancock</t>
  </si>
  <si>
    <t>Biography|Comedy|Drama|History|Music</t>
  </si>
  <si>
    <t>Saving Mr. BanksÂ </t>
  </si>
  <si>
    <t>author|disney|loss of father|reference to walt disney|suppression of emotion</t>
  </si>
  <si>
    <t>Jason Friedberg</t>
  </si>
  <si>
    <t>David Carradine</t>
  </si>
  <si>
    <t>Epic MovieÂ </t>
  </si>
  <si>
    <t>chocolate|chocolate factory|factory|orphan|student</t>
  </si>
  <si>
    <t>Transporter 2Â </t>
  </si>
  <si>
    <t>driver|french|kidnapping|police|sequel</t>
  </si>
  <si>
    <t>Geoffrey Sax</t>
  </si>
  <si>
    <t>Action|Adventure|Family|Thriller</t>
  </si>
  <si>
    <t>Alex Rider: Operation StormbreakerÂ </t>
  </si>
  <si>
    <t>14 year old|british|gadget|spy|training</t>
  </si>
  <si>
    <t>EpicÂ </t>
  </si>
  <si>
    <t>father daughter relationship|forest|miniature person|shrinking|sword and fantasy</t>
  </si>
  <si>
    <t>OndineÂ </t>
  </si>
  <si>
    <t>celtic mythology|cottage|fisherman|irish|selkie</t>
  </si>
  <si>
    <t>Essie Davis</t>
  </si>
  <si>
    <t>AustraliaÂ </t>
  </si>
  <si>
    <t>australia|cattle|darwin|drover|japanese</t>
  </si>
  <si>
    <t>Enemy of the StateÂ </t>
  </si>
  <si>
    <t>congressman|lawyer|nsa|on the run|surveillance</t>
  </si>
  <si>
    <t>Olivier Assayas</t>
  </si>
  <si>
    <t>Paris, je t'aimeÂ </t>
  </si>
  <si>
    <t>baby|divorce|oscar wilde|pigalle|tourist</t>
  </si>
  <si>
    <t>Bloody SundayÂ </t>
  </si>
  <si>
    <t>civil rights|irish|march|northern ireland|protest march</t>
  </si>
  <si>
    <t>Kirsten Sheridan</t>
  </si>
  <si>
    <t>August RushÂ </t>
  </si>
  <si>
    <t>baby|cellist|genius|prodigy|rhapsody</t>
  </si>
  <si>
    <t>Comedy|Documentary|War</t>
  </si>
  <si>
    <t>Bill Maher</t>
  </si>
  <si>
    <t>ReligulousÂ </t>
  </si>
  <si>
    <t>catholic|christian|jew|muslim|religion</t>
  </si>
  <si>
    <t>The ScoreÂ </t>
  </si>
  <si>
    <t>partner|running|scepter|surveillance|thief</t>
  </si>
  <si>
    <t>Heidi Ewing</t>
  </si>
  <si>
    <t>Greg Crowe</t>
  </si>
  <si>
    <t>FreakonomicsÂ </t>
  </si>
  <si>
    <t>cheating|economics|experiment|human nature|sumo wrestling</t>
  </si>
  <si>
    <t>Lesley Manville</t>
  </si>
  <si>
    <t>All or NothingÂ </t>
  </si>
  <si>
    <t>love|neighbor|single parent|supermarket|working class</t>
  </si>
  <si>
    <t>Jonathan Lynn</t>
  </si>
  <si>
    <t>Rupert Grint</t>
  </si>
  <si>
    <t>Wild TargetÂ </t>
  </si>
  <si>
    <t>apprentice|assassin|hitman|kleptomaniac|thief</t>
  </si>
  <si>
    <t>Bono</t>
  </si>
  <si>
    <t>BrÃ¼noÂ </t>
  </si>
  <si>
    <t>austrian|fame|fashion|gay lead character|mockumentary</t>
  </si>
  <si>
    <t>Christine Jeffs</t>
  </si>
  <si>
    <t>Sunshine CleaningÂ </t>
  </si>
  <si>
    <t>business|crime scene cleanup|private school|school|sister sister relationship</t>
  </si>
  <si>
    <t>Ole Bornedal</t>
  </si>
  <si>
    <t>Kyra Sedgwick</t>
  </si>
  <si>
    <t>The PossessionÂ </t>
  </si>
  <si>
    <t>basketball coach|box|jewish|rabbi|yard sale</t>
  </si>
  <si>
    <t>Jerry Jameson</t>
  </si>
  <si>
    <t>CaptiveÂ </t>
  </si>
  <si>
    <t>auto theft|based on true story|drug addict|kidnapping|violence</t>
  </si>
  <si>
    <t>Madagascar 3: Europe's Most WantedÂ </t>
  </si>
  <si>
    <t>animal|circus|island name in title|lemur|penguin</t>
  </si>
  <si>
    <t>Leslie Small</t>
  </si>
  <si>
    <t>David Jason Perez</t>
  </si>
  <si>
    <t>Kevin Hart: Let Me ExplainÂ </t>
  </si>
  <si>
    <t>lying|montreal|reference to twitter|reference to youtube|toronto</t>
  </si>
  <si>
    <t>Pierre Morel</t>
  </si>
  <si>
    <t>The GunmanÂ </t>
  </si>
  <si>
    <t>assassination|blood vomiting|death|hit squad|mercenary</t>
  </si>
  <si>
    <t>Heather Locklear</t>
  </si>
  <si>
    <t>Money TalksÂ </t>
  </si>
  <si>
    <t>blood splatter|fistfight|murder|police|prison bus</t>
  </si>
  <si>
    <t>Eagle EyeÂ </t>
  </si>
  <si>
    <t>audio surveillance|death|pentagon|technology|twin brother</t>
  </si>
  <si>
    <t>Daniel Lee</t>
  </si>
  <si>
    <t>Action|Adventure|Drama|History</t>
  </si>
  <si>
    <t>Si Won Choi</t>
  </si>
  <si>
    <t>Dragon BladeÂ </t>
  </si>
  <si>
    <t>child fugitive|final battle|martial art|silk road|sword</t>
  </si>
  <si>
    <t>V for VendettaÂ </t>
  </si>
  <si>
    <t>dystopia|freedom|government|revolution|terrorist</t>
  </si>
  <si>
    <t>David Silverman</t>
  </si>
  <si>
    <t>Adventure|Animation|Comedy</t>
  </si>
  <si>
    <t>Albert Brooks</t>
  </si>
  <si>
    <t>The Simpsons MovieÂ </t>
  </si>
  <si>
    <t>alaska|dome|lake|pig|the simpsons</t>
  </si>
  <si>
    <t>Akira Kurosawa</t>
  </si>
  <si>
    <t>Takashi Shimura</t>
  </si>
  <si>
    <t>Seven SamuraiÂ </t>
  </si>
  <si>
    <t>16th century|battle|japan|practice|samurai</t>
  </si>
  <si>
    <t>Chris Klein</t>
  </si>
  <si>
    <t>Street Fighter: The Legend of Chun-LiÂ </t>
  </si>
  <si>
    <t>chun li|crime fighter|gangster|mobster|rescue</t>
  </si>
  <si>
    <t>The Matrix RevolutionsÂ </t>
  </si>
  <si>
    <t>battle|epic|fight|future|machine</t>
  </si>
  <si>
    <t>Zoe Kazan</t>
  </si>
  <si>
    <t>Me and Orson WellesÂ </t>
  </si>
  <si>
    <t>high school|mercury theatre|opening night|school|theatre</t>
  </si>
  <si>
    <t>Star Wars: Episode III - Revenge of the SithÂ </t>
  </si>
  <si>
    <t>elongated cry of no|friends become enemies|kicked in the butt|robotic midwife|vision</t>
  </si>
  <si>
    <t>Spy GameÂ </t>
  </si>
  <si>
    <t>china|cia|cold war|friendship|retirement</t>
  </si>
  <si>
    <t>Charles Martin Smith</t>
  </si>
  <si>
    <t>Dolphin Tale 2Â </t>
  </si>
  <si>
    <t>dolphin|latex gloves|medical scrubs|purple gloves|turtle</t>
  </si>
  <si>
    <t>Michael Corrente</t>
  </si>
  <si>
    <t>Jerry Ferrara</t>
  </si>
  <si>
    <t>Brooklyn RulesÂ </t>
  </si>
  <si>
    <t>1980s|friend|friendship|loyalty|mafia</t>
  </si>
  <si>
    <t>Wall Street: Money Never SleepsÂ </t>
  </si>
  <si>
    <t>corporate greed|crisis|economy|greed|mentor</t>
  </si>
  <si>
    <t>Vicky Jenson</t>
  </si>
  <si>
    <t>Post GradÂ </t>
  </si>
  <si>
    <t>graduation|graduation speech|title directed by female|tv studio|unemployment</t>
  </si>
  <si>
    <t>Austin Pendleton</t>
  </si>
  <si>
    <t>Sgt. BilkoÂ </t>
  </si>
  <si>
    <t>greenland|military|revenge|soldier|u.s. soldier</t>
  </si>
  <si>
    <t>Paul Bolger</t>
  </si>
  <si>
    <t>Happily N'Ever AfterÂ </t>
  </si>
  <si>
    <t>apostrophe in title|cinderella|first of series|punctuation in title|three word title</t>
  </si>
  <si>
    <t>Tim Miller</t>
  </si>
  <si>
    <t>Action|Adventure|Comedy|Romance|Sci-Fi</t>
  </si>
  <si>
    <t>DeadpoolÂ </t>
  </si>
  <si>
    <t>based on comic book|breaking the fourth wall|mercenary|mutant|self healing</t>
  </si>
  <si>
    <t>Nancy Meyers</t>
  </si>
  <si>
    <t>Something's Gotta GiveÂ </t>
  </si>
  <si>
    <t>beach|dating|doctor|heart attack|weekend</t>
  </si>
  <si>
    <t>RockyÂ </t>
  </si>
  <si>
    <t>boxer|hometown hero|philadelphia pennsylvania|protective male|training</t>
  </si>
  <si>
    <t>PhilomenaÂ </t>
  </si>
  <si>
    <t>catholic|convent|gay love|gay relationship|irish adoption board</t>
  </si>
  <si>
    <t>Johnny Remo</t>
  </si>
  <si>
    <t>Matthew Ziff</t>
  </si>
  <si>
    <t>HardflipÂ </t>
  </si>
  <si>
    <t>family relationships|loss of mother|san diego california|single mother|suicide attempt</t>
  </si>
  <si>
    <t>Alexandre Aja</t>
  </si>
  <si>
    <t>The Hills Have EyesÂ </t>
  </si>
  <si>
    <t>desert|horror movie remake|murder of family|rape|slasher</t>
  </si>
  <si>
    <t>Elizabeth Berrington</t>
  </si>
  <si>
    <t>In BrugesÂ </t>
  </si>
  <si>
    <t>bruges|bullet|hope|irish|tourist</t>
  </si>
  <si>
    <t>Marley &amp; MeÂ </t>
  </si>
  <si>
    <t>box office hit|dog|dog movie|florida|pet name in title</t>
  </si>
  <si>
    <t>Noel Marshall</t>
  </si>
  <si>
    <t>Tippi Hedren</t>
  </si>
  <si>
    <t>RoarÂ </t>
  </si>
  <si>
    <t>chase|dead man|jungle|killing a lion|killing a tiger</t>
  </si>
  <si>
    <t>Claude Chabrol</t>
  </si>
  <si>
    <t>The SwindleÂ </t>
  </si>
  <si>
    <t>con|con artist|money|scam|sils maria</t>
  </si>
  <si>
    <t>Gary Winick</t>
  </si>
  <si>
    <t>13 Going on 30Â </t>
  </si>
  <si>
    <t>13 year old|13th birthday|30 year old|wish|year 1987</t>
  </si>
  <si>
    <t>Giuseppe Tornatore</t>
  </si>
  <si>
    <t>Crime|Drama|Mystery|Romance</t>
  </si>
  <si>
    <t>The Best OfferÂ </t>
  </si>
  <si>
    <t>antique|art|heiress|older man younger woman relationship|plot twist</t>
  </si>
  <si>
    <t>Kevin Tancharoen</t>
  </si>
  <si>
    <t>Kelsey Grammer</t>
  </si>
  <si>
    <t>FameÂ </t>
  </si>
  <si>
    <t>new york|performing arts|school|student|teacher</t>
  </si>
  <si>
    <t>MudÂ </t>
  </si>
  <si>
    <t>14 year old|boat|bounty hunter|boy|river</t>
  </si>
  <si>
    <t>Good Will HuntingÂ </t>
  </si>
  <si>
    <t>friend|genius|janitor|loss of wife|professor</t>
  </si>
  <si>
    <t>David Sington</t>
  </si>
  <si>
    <t>Documentary|History</t>
  </si>
  <si>
    <t>John F. Kennedy</t>
  </si>
  <si>
    <t>In the Shadow of the MoonÂ </t>
  </si>
  <si>
    <t>1960s|astronaut|moon|nasa|spacecraft accident</t>
  </si>
  <si>
    <t>Men of HonorÂ </t>
  </si>
  <si>
    <t>african american|amputee|navy|racial discrimination|racism</t>
  </si>
  <si>
    <t>Todd Giebenhain</t>
  </si>
  <si>
    <t>GigliÂ </t>
  </si>
  <si>
    <t>gangster|hospital|lesbian|mob|thug</t>
  </si>
  <si>
    <t>Kenny Ortega</t>
  </si>
  <si>
    <t>Misha Gabriel Hamilton</t>
  </si>
  <si>
    <t>This Is ItÂ </t>
  </si>
  <si>
    <t>2000s|box office hit|comeback|rehearsal|year 2009</t>
  </si>
  <si>
    <t>The History BoysÂ </t>
  </si>
  <si>
    <t>gay|headmaster|oxford|school|teacher</t>
  </si>
  <si>
    <t>Milos Forman</t>
  </si>
  <si>
    <t>Biography|Drama|History|Music</t>
  </si>
  <si>
    <t>Jeffrey Jones</t>
  </si>
  <si>
    <t>AmadeusÂ </t>
  </si>
  <si>
    <t>1800s|classical composer|composer|first person narration|opera</t>
  </si>
  <si>
    <t>Ryan Fleck</t>
  </si>
  <si>
    <t>Half NelsonÂ </t>
  </si>
  <si>
    <t>bathroom|classroom|dialectics|drugs|student</t>
  </si>
  <si>
    <t>George Miller</t>
  </si>
  <si>
    <t>Tina Turner</t>
  </si>
  <si>
    <t>Mad Max Beyond ThunderdomeÂ </t>
  </si>
  <si>
    <t>arena|desert|fight|mad max|post apocalypse</t>
  </si>
  <si>
    <t>Rainn Wilson</t>
  </si>
  <si>
    <t>My Super Ex-GirlfriendÂ </t>
  </si>
  <si>
    <t>architect|boyfriend girlfriend relationship|superhero|superhero spoof|supernatural power</t>
  </si>
  <si>
    <t>25th HourÂ </t>
  </si>
  <si>
    <t>bar|dream|drug dealing|nightclub|widower</t>
  </si>
  <si>
    <t>Lloyd Bacon</t>
  </si>
  <si>
    <t>42nd StreetÂ </t>
  </si>
  <si>
    <t>chorus girl|chorus line|director|gala premiere|song</t>
  </si>
  <si>
    <t>Action|Adventure|Horror|Sci-Fi</t>
  </si>
  <si>
    <t>DoomÂ </t>
  </si>
  <si>
    <t>commando unit|extra chromosome|first person shooter|special forces|teleportation</t>
  </si>
  <si>
    <t>Colin Salmon</t>
  </si>
  <si>
    <t>The World Is Not EnoughÂ </t>
  </si>
  <si>
    <t>british|oil|scientist|terrorist|tycoon</t>
  </si>
  <si>
    <t>Tears of the SunÂ </t>
  </si>
  <si>
    <t>dictator|doctor|jungle|rebel|refugee</t>
  </si>
  <si>
    <t>AssassinsÂ </t>
  </si>
  <si>
    <t>assassin|floppy disk|modem|rival|russian</t>
  </si>
  <si>
    <t>Live Free or Die HardÂ </t>
  </si>
  <si>
    <t>fbi|hacker|independence day|police|terrorist</t>
  </si>
  <si>
    <t>Action|Biography|Drama|Thriller|War</t>
  </si>
  <si>
    <t>Lone SurvivorÂ </t>
  </si>
  <si>
    <t>courage|navy seal|outnumbered|shot multiple times|survival</t>
  </si>
  <si>
    <t>Boaz Yakin</t>
  </si>
  <si>
    <t>Remember the TitansÂ </t>
  </si>
  <si>
    <t>american football|based on true story|head coach|high school|school</t>
  </si>
  <si>
    <t>Chris Nahon</t>
  </si>
  <si>
    <t>Kiss of the DragonÂ </t>
  </si>
  <si>
    <t>action hero|chinese|forced prostitution|one man army|title spoken by character</t>
  </si>
  <si>
    <t>Christian Carion</t>
  </si>
  <si>
    <t>Drama|History|Music|Romance|War</t>
  </si>
  <si>
    <t>Gary Lewis</t>
  </si>
  <si>
    <t>Joyeux NoelÂ </t>
  </si>
  <si>
    <t>christmas|no man's land|soldier|trench|world war one</t>
  </si>
  <si>
    <t>Action|Adventure|Comedy|Romance</t>
  </si>
  <si>
    <t>Six Days Seven NightsÂ </t>
  </si>
  <si>
    <t>airplane|island|pilot|storm|thunderstorm</t>
  </si>
  <si>
    <t>HerculesÂ </t>
  </si>
  <si>
    <t>army|greek mythology|hercules|king|mercenary</t>
  </si>
  <si>
    <t>Drama|Fantasy|Romance|Sci-Fi</t>
  </si>
  <si>
    <t>Eternal Sunshine of the Spotless MindÂ </t>
  </si>
  <si>
    <t>borderline personality disorder|loneliness|memory|playing against type|retrograde narrative</t>
  </si>
  <si>
    <t>Mike Epps</t>
  </si>
  <si>
    <t>All About the BenjaminsÂ </t>
  </si>
  <si>
    <t>black comedy|bounty hunter|diamond|machismo|money</t>
  </si>
  <si>
    <t>Todd Lincoln</t>
  </si>
  <si>
    <t>Julianna Guill</t>
  </si>
  <si>
    <t>The ApparitionÂ </t>
  </si>
  <si>
    <t>e mail|evil spirit|experiment|fear|supernatural</t>
  </si>
  <si>
    <t>Comedy|Crime|Musical</t>
  </si>
  <si>
    <t>ChicagoÂ </t>
  </si>
  <si>
    <t>fame|jail|jazz age|murder|vaudeville</t>
  </si>
  <si>
    <t>Busy Philipps</t>
  </si>
  <si>
    <t>White ChicksÂ </t>
  </si>
  <si>
    <t>african american|crossdresser|fbi|undercover|vomiting</t>
  </si>
  <si>
    <t>David Gordon Green</t>
  </si>
  <si>
    <t>JoeÂ </t>
  </si>
  <si>
    <t>alcoholic|cigarette smoking|father son relationship|teenage boy|woods</t>
  </si>
  <si>
    <t>Youssef Delara</t>
  </si>
  <si>
    <t>Noel Gugliemi</t>
  </si>
  <si>
    <t>Filly BrownÂ </t>
  </si>
  <si>
    <t>James Bridges</t>
  </si>
  <si>
    <t>Bright Lights, Big CityÂ </t>
  </si>
  <si>
    <t>estranged wife|fashion show|magazine|new york city|writer</t>
  </si>
  <si>
    <t>Charlie and the Chocolate FactoryÂ </t>
  </si>
  <si>
    <t>chocolate|diminution|miniaturization|physical flexability|ticket</t>
  </si>
  <si>
    <t>SafeÂ </t>
  </si>
  <si>
    <t>bodyguard|gang war|russian|russian mafia|triad</t>
  </si>
  <si>
    <t>The AvengersÂ </t>
  </si>
  <si>
    <t>alien invasion|assassin|battle|iron man|soldier</t>
  </si>
  <si>
    <t>The OneÂ </t>
  </si>
  <si>
    <t>fight|multiverse|police|police officer|prison</t>
  </si>
  <si>
    <t>Troy Nixey</t>
  </si>
  <si>
    <t>Bailee Madison</t>
  </si>
  <si>
    <t>Don't Be Afraid of the DarkÂ </t>
  </si>
  <si>
    <t>basement|creature|disappearance|interior designer|mansion</t>
  </si>
  <si>
    <t>Garth Jennings</t>
  </si>
  <si>
    <t>The Hitchhiker's Guide to the GalaxyÂ </t>
  </si>
  <si>
    <t>alien|friend|galaxy|hyperspace|spaceship</t>
  </si>
  <si>
    <t>Chris Carter</t>
  </si>
  <si>
    <t>Mitch Pileggi</t>
  </si>
  <si>
    <t>The X Files: I Want to BelieveÂ </t>
  </si>
  <si>
    <t>fbi|priest|psychic|psychic vision|staff physician</t>
  </si>
  <si>
    <t>Gregory Poirier</t>
  </si>
  <si>
    <t>Shannon Elizabeth</t>
  </si>
  <si>
    <t>TomcatsÂ </t>
  </si>
  <si>
    <t>box office flop|critically bashed|dominatrix|friend|money</t>
  </si>
  <si>
    <t>The Twilight Saga: New MoonÂ </t>
  </si>
  <si>
    <t>forks washington|protecting a woman|title same as book|vampire|werewolf</t>
  </si>
  <si>
    <t>Zack Snyder</t>
  </si>
  <si>
    <t>Man of SteelÂ </t>
  </si>
  <si>
    <t>based on comic book|british actor playing american character|final battle|origin of hero|reboot</t>
  </si>
  <si>
    <t>HomefrontÂ </t>
  </si>
  <si>
    <t>biker|biker gang|dea|dea agent|fight</t>
  </si>
  <si>
    <t>The Big ShortÂ </t>
  </si>
  <si>
    <t>bank|banking|finance|fraud|mortgage</t>
  </si>
  <si>
    <t>Eric Leighton</t>
  </si>
  <si>
    <t>Adventure|Animation|Family|Thriller</t>
  </si>
  <si>
    <t>DinosaurÂ </t>
  </si>
  <si>
    <t>egg|iguanodon|lemur|meteor|nesting grounds</t>
  </si>
  <si>
    <t>Shana Feste</t>
  </si>
  <si>
    <t>Endless LoveÂ </t>
  </si>
  <si>
    <t>brother sister relationship|high school graduation|love|sparkler|unfaithful husband</t>
  </si>
  <si>
    <t>Vincent Schiavelli</t>
  </si>
  <si>
    <t>Tomorrow Never DiesÂ </t>
  </si>
  <si>
    <t>ex boyfriend ex girlfriend relationship|media tycoon|megalomaniac|official james bond series|world war three</t>
  </si>
  <si>
    <t>Simon Wells</t>
  </si>
  <si>
    <t>Mark Addy</t>
  </si>
  <si>
    <t>The Time MachineÂ </t>
  </si>
  <si>
    <t>hunter|scientist|time machine|time travel|time travel romance</t>
  </si>
  <si>
    <t>MoonrakerÂ </t>
  </si>
  <si>
    <t>astronaut|dog|official james bond series|space shuttle|space shuttle transported on a 747</t>
  </si>
  <si>
    <t>Steve Taylor</t>
  </si>
  <si>
    <t>Jason Marsden</t>
  </si>
  <si>
    <t>Blue Like JazzÂ </t>
  </si>
  <si>
    <t>church|college|color in title|philosophy|texas</t>
  </si>
  <si>
    <t>2 Fast 2 FuriousÂ </t>
  </si>
  <si>
    <t>bust|racing|shotgun|street racing|undercover agent</t>
  </si>
  <si>
    <t>WindtalkersÂ </t>
  </si>
  <si>
    <t>code|duty|steel helmet|u.s. marine|u.s. soldier</t>
  </si>
  <si>
    <t>Stuart Beattie</t>
  </si>
  <si>
    <t>Action|Fantasy|Sci-Fi|Thriller</t>
  </si>
  <si>
    <t>Caitlin Stasey</t>
  </si>
  <si>
    <t>I, FrankensteinÂ </t>
  </si>
  <si>
    <t>army|creature|demon|frankenstein|gargoyle</t>
  </si>
  <si>
    <t>Stig Bergqvist</t>
  </si>
  <si>
    <t>Adventure|Animation|Comedy|Family|Romance</t>
  </si>
  <si>
    <t>Rugrats in Paris: The MovieÂ </t>
  </si>
  <si>
    <t>amusement park|baby|france|paris france|villain</t>
  </si>
  <si>
    <t>Ocean's ElevenÂ </t>
  </si>
  <si>
    <t>card dealer|casino|criminal mastermind|recruiting|ulcer</t>
  </si>
  <si>
    <t>Victor Rasuk</t>
  </si>
  <si>
    <t>Raising Victor VargasÂ </t>
  </si>
  <si>
    <t>based on short film|manhattan new york city|urination|vomiting|watching television</t>
  </si>
  <si>
    <t>Diane Keaton</t>
  </si>
  <si>
    <t>Adam Arkin</t>
  </si>
  <si>
    <t>Hanging UpÂ </t>
  </si>
  <si>
    <t>actress|clown costume|magazine|party planner|soap opera actress</t>
  </si>
  <si>
    <t>The Three MusketeersÂ </t>
  </si>
  <si>
    <t>box office flop|cardinal richelieu|critically bashed|duel|musketeer</t>
  </si>
  <si>
    <t>Letters to JulietÂ </t>
  </si>
  <si>
    <t>chick flick|female protagonist|italian stereotype|man in a swimsuit|verona italy</t>
  </si>
  <si>
    <t>Revolutionary RoadÂ </t>
  </si>
  <si>
    <t>based on novel|children|connecticut|suburb|work</t>
  </si>
  <si>
    <t>Randall Wallace</t>
  </si>
  <si>
    <t>Jacob Vargas</t>
  </si>
  <si>
    <t>Heaven Is for RealÂ </t>
  </si>
  <si>
    <t>based on true story|christ|christian|near death experience|pastor</t>
  </si>
  <si>
    <t>Paul Thomas Anderson</t>
  </si>
  <si>
    <t>Mike Howard</t>
  </si>
  <si>
    <t>The MasterÂ </t>
  </si>
  <si>
    <t>drifter|past life regression|psychological testing|right hand man|scientology</t>
  </si>
  <si>
    <t>The Fisher KingÂ </t>
  </si>
  <si>
    <t>friendship|holy grail|massacre|redemption|video store</t>
  </si>
  <si>
    <t>The TerminatorÂ </t>
  </si>
  <si>
    <t>cyborg|future war|robot|shootout in a police station|urban setting</t>
  </si>
  <si>
    <t>Drama|Family|Musical|Romance</t>
  </si>
  <si>
    <t>Topol</t>
  </si>
  <si>
    <t>Fiddler on the RoofÂ </t>
  </si>
  <si>
    <t>immigration|jewish|pogrom|tradition|tradition versus modernity</t>
  </si>
  <si>
    <t>Gene Quintano</t>
  </si>
  <si>
    <t>Loaded Weapon 1Â </t>
  </si>
  <si>
    <t>cookie|detective|microfilm|parody|sergeant</t>
  </si>
  <si>
    <t>Denys Arcand</t>
  </si>
  <si>
    <t>Comedy|Crime|Drama|Mystery|Romance</t>
  </si>
  <si>
    <t>Marie-JosÃ©e Croze</t>
  </si>
  <si>
    <t>The Barbarian InvasionsÂ </t>
  </si>
  <si>
    <t>cancer|dying|friend|money|socialist</t>
  </si>
  <si>
    <t>Mira Nair</t>
  </si>
  <si>
    <t>Crime|Drama|History|Romance</t>
  </si>
  <si>
    <t>Kama Sutra: A Tale of LoveÂ </t>
  </si>
  <si>
    <t>courtesan|friend|kama sutra|seduction|wedding</t>
  </si>
  <si>
    <t>X-Men Origins: WolverineÂ </t>
  </si>
  <si>
    <t>army|civil war|claw fight|commando|wolverine the character</t>
  </si>
  <si>
    <t>Richard Attenborough</t>
  </si>
  <si>
    <t>ShadowlandsÂ </t>
  </si>
  <si>
    <t>author|book|england|friend|oxford</t>
  </si>
  <si>
    <t>Aasif Mandvi</t>
  </si>
  <si>
    <t>Ghost TownÂ </t>
  </si>
  <si>
    <t>bouquet of roses|bright light|cardiopulmonary resuscitation|ghost|white rose</t>
  </si>
  <si>
    <t>Peter Ho-Sun Chan</t>
  </si>
  <si>
    <t>The WarlordsÂ </t>
  </si>
  <si>
    <t>assassination|blood brother|dynasty|general|stabbing a woman</t>
  </si>
  <si>
    <t>Matt Reeves</t>
  </si>
  <si>
    <t>CloverfieldÂ </t>
  </si>
  <si>
    <t>brooklyn new york city|found footage|night vision|statue of liberty new york city|subway tunnel</t>
  </si>
  <si>
    <t>End of WatchÂ </t>
  </si>
  <si>
    <t>lapd|police|police officer|south central los angeles|street gang</t>
  </si>
  <si>
    <t>CiarÃ¡n Foy</t>
  </si>
  <si>
    <t>Laila Haley</t>
  </si>
  <si>
    <t>Sinister 2Â </t>
  </si>
  <si>
    <t>deputy|farmhouse|nightmare|private investigator|rural</t>
  </si>
  <si>
    <t>Karey Kirkpatrick</t>
  </si>
  <si>
    <t>Imagine ThatÂ </t>
  </si>
  <si>
    <t>blanket|competition|family relationships|feather|sleepover</t>
  </si>
  <si>
    <t>J.C. Chandor</t>
  </si>
  <si>
    <t>All Is LostÂ </t>
  </si>
  <si>
    <t>boat|container|sea|shipping container|storm</t>
  </si>
  <si>
    <t>Adam Carolla</t>
  </si>
  <si>
    <t>Jay Mohr</t>
  </si>
  <si>
    <t>Road HardÂ </t>
  </si>
  <si>
    <t>girl in panties|panties|red panties|stand up comedy</t>
  </si>
  <si>
    <t>Harry Potter and the Order of the PhoenixÂ </t>
  </si>
  <si>
    <t>battle|magic|school|teacher|wizard</t>
  </si>
  <si>
    <t>Mary Lynn Rajskub</t>
  </si>
  <si>
    <t>Legally Blonde 2: Red, White &amp; BlondeÂ </t>
  </si>
  <si>
    <t>animal rights|congresswoman|doorman|transvestism|washington d.c.</t>
  </si>
  <si>
    <t>Tommy O'Haver</t>
  </si>
  <si>
    <t>Comedy|Family|Fantasy|Romance</t>
  </si>
  <si>
    <t>Ella EnchantedÂ </t>
  </si>
  <si>
    <t>curse|fairy|obedience|prince|strong female character</t>
  </si>
  <si>
    <t>SouthpawÂ </t>
  </si>
  <si>
    <t>boxer|boxing training|death of wife|male in shower|rage</t>
  </si>
  <si>
    <t>Brian Henson</t>
  </si>
  <si>
    <t>Comedy|Drama|Family|Fantasy|Musical</t>
  </si>
  <si>
    <t>Steven Mackintosh</t>
  </si>
  <si>
    <t>The Muppet Christmas CarolÂ </t>
  </si>
  <si>
    <t>christmas|christmas eve|miser|muppet|scrooge</t>
  </si>
  <si>
    <t>Mike Mitchell</t>
  </si>
  <si>
    <t>Adventure|Comedy|Family|Sci-Fi</t>
  </si>
  <si>
    <t>Michael Angarano</t>
  </si>
  <si>
    <t>Sky HighÂ </t>
  </si>
  <si>
    <t>coming of age|friend|high school|sidekick|superpower</t>
  </si>
  <si>
    <t>Frank Grillo</t>
  </si>
  <si>
    <t>The Purge: Election YearÂ </t>
  </si>
  <si>
    <t>cathedral|minister|presidential election|reference to george washington|ritual sacrifice</t>
  </si>
  <si>
    <t>Man on FireÂ </t>
  </si>
  <si>
    <t>bodyguard|journalist|kidnapping|mexico|police corruption</t>
  </si>
  <si>
    <t>Shawna Waldron</t>
  </si>
  <si>
    <t>The American PresidentÂ </t>
  </si>
  <si>
    <t>lobbyist|president|senator|state dinner|widower</t>
  </si>
  <si>
    <t>Mila Kunis</t>
  </si>
  <si>
    <t>Get Over ItÂ </t>
  </si>
  <si>
    <t>basketball|dancer|high school|love triangle|shakespeare's a midsummer night's dream</t>
  </si>
  <si>
    <t>Rian Johnson</t>
  </si>
  <si>
    <t>Adventure|Comedy|Drama|Romance</t>
  </si>
  <si>
    <t>Zachary Gordon</t>
  </si>
  <si>
    <t>The Brothers BloomÂ </t>
  </si>
  <si>
    <t>con man|eccentric|heiress|love|revenge</t>
  </si>
  <si>
    <t>Christopher Guest</t>
  </si>
  <si>
    <t>For Your ConsiderationÂ </t>
  </si>
  <si>
    <t>actor|internet|make up|publicist|purim</t>
  </si>
  <si>
    <t>Sngmoo Lee</t>
  </si>
  <si>
    <t>Action|Fantasy|Western</t>
  </si>
  <si>
    <t>Tony Cox</t>
  </si>
  <si>
    <t>The Warrior's WayÂ </t>
  </si>
  <si>
    <t>bullet time|explosion|knife throwing|throwing a knife|violence</t>
  </si>
  <si>
    <t>Aaron Seltzer</t>
  </si>
  <si>
    <t>Date MovieÂ </t>
  </si>
  <si>
    <t>female protagonist|greek|overweight|spoof|wedding planner</t>
  </si>
  <si>
    <t>Big Trouble in Little ChinaÂ </t>
  </si>
  <si>
    <t>1980s|airport|cb radio|truck|truck driver</t>
  </si>
  <si>
    <t>Anil Kapoor</t>
  </si>
  <si>
    <t>Slumdog MillionaireÂ </t>
  </si>
  <si>
    <t>cheating|falling from height|murder|non professional cast|slum</t>
  </si>
  <si>
    <t>Richard Eyre</t>
  </si>
  <si>
    <t>Phil Davis</t>
  </si>
  <si>
    <t>Notes on a ScandalÂ </t>
  </si>
  <si>
    <t>age difference|school|student|teacher|writing</t>
  </si>
  <si>
    <t>Shane Black</t>
  </si>
  <si>
    <t>Iron Man 3Â </t>
  </si>
  <si>
    <t>armor|explosion|human bomb|missile attack|terrorist</t>
  </si>
  <si>
    <t>Biography|Drama|Family|History|Sport</t>
  </si>
  <si>
    <t>SecretariatÂ </t>
  </si>
  <si>
    <t>eccentric|horse racing|newspaper clipping|stallion|triple crown</t>
  </si>
  <si>
    <t>Ryan Coogler</t>
  </si>
  <si>
    <t>Ahna O'Reilly</t>
  </si>
  <si>
    <t>Fruitvale StationÂ </t>
  </si>
  <si>
    <t>22 year old|b.a.r.t.|bay area|birthday|police</t>
  </si>
  <si>
    <t>Alejandro Agresti</t>
  </si>
  <si>
    <t>The Lake HouseÂ </t>
  </si>
  <si>
    <t>house|lake|letter|love across time|parallel time</t>
  </si>
  <si>
    <t>Albert Hughes</t>
  </si>
  <si>
    <t>The Book of EliÂ </t>
  </si>
  <si>
    <t>blind|book|long take|post apocalypse|water</t>
  </si>
  <si>
    <t>Dangerous LiaisonsÂ </t>
  </si>
  <si>
    <t>catholic|corruption|emotional abuse|france|seduction</t>
  </si>
  <si>
    <t>The Forbidden KingdomÂ </t>
  </si>
  <si>
    <t>monkey king|staff|teenager|urination|warrior</t>
  </si>
  <si>
    <t>Jamie RenÃ©e Smith</t>
  </si>
  <si>
    <t>Dante's PeakÂ </t>
  </si>
  <si>
    <t>ash|escape|lava|mayor|volcano</t>
  </si>
  <si>
    <t>Once Upon a Time in MexicoÂ </t>
  </si>
  <si>
    <t>agent|cia|mariachi|mexican|president</t>
  </si>
  <si>
    <t>Dan Trachtenberg</t>
  </si>
  <si>
    <t>Drama|Horror|Mystery|Sci-Fi|Thriller</t>
  </si>
  <si>
    <t>10 Cloverfield LaneÂ </t>
  </si>
  <si>
    <t>alien|bunker|car crash|kidnapping|minimal cast</t>
  </si>
  <si>
    <t>Nat Wolff</t>
  </si>
  <si>
    <t>Paper TownsÂ </t>
  </si>
  <si>
    <t>based on novel|female neighbor|friendship|travel|trip</t>
  </si>
  <si>
    <t>Comedy|Sci-Fi|Thriller</t>
  </si>
  <si>
    <t>The Stepford WivesÂ </t>
  </si>
  <si>
    <t>community|connecticut|fem bot|tv producer|writer</t>
  </si>
  <si>
    <t>Jean-Paul Rappeneau</t>
  </si>
  <si>
    <t>Comedy|Drama|Mystery|Romance|Thriller|War</t>
  </si>
  <si>
    <t>Isabelle Adjani</t>
  </si>
  <si>
    <t>Bon voyageÂ </t>
  </si>
  <si>
    <t>actress|bordeaux|german|heavy water|nazi</t>
  </si>
  <si>
    <t>Tony Kaye</t>
  </si>
  <si>
    <t>American History XÂ </t>
  </si>
  <si>
    <t>curb stomping|neo nazi|prison|son dislikes mother's boyfriend|white supremacist</t>
  </si>
  <si>
    <t>Richard Burgi</t>
  </si>
  <si>
    <t>CellularÂ </t>
  </si>
  <si>
    <t>cell phone|distress signal|family in danger|police|stealing a car</t>
  </si>
  <si>
    <t>Kevin Munroe</t>
  </si>
  <si>
    <t>Action|Comedy|Crime|Fantasy|Horror|Mystery|Sci-Fi|Thriller</t>
  </si>
  <si>
    <t>Marco St. John</t>
  </si>
  <si>
    <t>Dylan Dog: Dead of NightÂ </t>
  </si>
  <si>
    <t>close up of eyes|monster|quirkiness|supernatural|vomiting</t>
  </si>
  <si>
    <t>AnonymousÂ </t>
  </si>
  <si>
    <t>earl of oxford|play|queen|rebellion|shakespeare play</t>
  </si>
  <si>
    <t>Talk RadioÂ </t>
  </si>
  <si>
    <t>listener|neo nazi|radio|radio station|radio talk show</t>
  </si>
  <si>
    <t>Kasi Lemmons</t>
  </si>
  <si>
    <t>Drama|Family|Music|Musical</t>
  </si>
  <si>
    <t>Jennifer Hudson</t>
  </si>
  <si>
    <t>Black NativityÂ </t>
  </si>
  <si>
    <t>based on stage musical|based on the bible|christmas|color in title|nativity</t>
  </si>
  <si>
    <t>Joan Rivers</t>
  </si>
  <si>
    <t>SpaceballsÂ </t>
  </si>
  <si>
    <t>parody|planet enclosed within shield|sci fi spoof|self referential|winnebago</t>
  </si>
  <si>
    <t>Christopher Scott Cherot</t>
  </si>
  <si>
    <t>Hill Harper</t>
  </si>
  <si>
    <t>Hav PlentyÂ </t>
  </si>
  <si>
    <t>friend|new year's eve|screwball|self discovery|social differences</t>
  </si>
  <si>
    <t>Salma Hayek</t>
  </si>
  <si>
    <t>Four RoomsÂ </t>
  </si>
  <si>
    <t>bellhop|coven|gangster|hotel|new year's eve</t>
  </si>
  <si>
    <t>21 Jump StreetÂ </t>
  </si>
  <si>
    <t>narcotics|parody|police|remake|undercover cop</t>
  </si>
  <si>
    <t>Get SmartÂ </t>
  </si>
  <si>
    <t>airplane|misunderstanding|obese woman|overweight woman|spy</t>
  </si>
  <si>
    <t>Dewey Nicks</t>
  </si>
  <si>
    <t>Jaime King</t>
  </si>
  <si>
    <t>SlackersÂ </t>
  </si>
  <si>
    <t>blackmail|fall|love|nerd|scam</t>
  </si>
  <si>
    <t>Midnight SpecialÂ </t>
  </si>
  <si>
    <t>cult|father son relationship|gas station|on the run|supernatural ability</t>
  </si>
  <si>
    <t>Greece</t>
  </si>
  <si>
    <t>Anywhere But HereÂ </t>
  </si>
  <si>
    <t>family relationships|female protagonist|nubile woman|policeman|teenager</t>
  </si>
  <si>
    <t>John Gray</t>
  </si>
  <si>
    <t>The Glimmer ManÂ </t>
  </si>
  <si>
    <t>detective|heavy rain|murder|partner|serial killer</t>
  </si>
  <si>
    <t>David E. Talbert</t>
  </si>
  <si>
    <t>Baggage ClaimÂ </t>
  </si>
  <si>
    <t>woman wearing only a man's shirt</t>
  </si>
  <si>
    <t>Action|Comedy|Family</t>
  </si>
  <si>
    <t>The Spy Next DoorÂ </t>
  </si>
  <si>
    <t>chinese|cia|single mother|spy|terrorist</t>
  </si>
  <si>
    <t>CrankÂ </t>
  </si>
  <si>
    <t>assassin|cult film|doctor|heart|poison</t>
  </si>
  <si>
    <t>Sheldon Lettich</t>
  </si>
  <si>
    <t>Antoni Corone</t>
  </si>
  <si>
    <t>Only the StrongÂ </t>
  </si>
  <si>
    <t>capoeira|fight|fighting|martial arts|violence</t>
  </si>
  <si>
    <t>Drama|Horror|Sci-Fi</t>
  </si>
  <si>
    <t>I Am LegendÂ </t>
  </si>
  <si>
    <t>new york city|pandemic|post apocalypse|survivalist|virus</t>
  </si>
  <si>
    <t>Hayao Miyazaki</t>
  </si>
  <si>
    <t>Bunta Sugawara</t>
  </si>
  <si>
    <t>Spirited AwayÂ </t>
  </si>
  <si>
    <t>anime|bathhouse|pig|spirit|work</t>
  </si>
  <si>
    <t>Nanny McPheeÂ </t>
  </si>
  <si>
    <t>father|governess|magic|nanny|widower</t>
  </si>
  <si>
    <t>Memoirs of a GeishaÂ </t>
  </si>
  <si>
    <t>coming of age|geisha|japan|jealousy|love</t>
  </si>
  <si>
    <t>Action|Adventure|Romance|Sci-Fi|Thriller</t>
  </si>
  <si>
    <t>The IslandÂ </t>
  </si>
  <si>
    <t>clone|environment|escape|island|lottery</t>
  </si>
  <si>
    <t>Over the HedgeÂ </t>
  </si>
  <si>
    <t>bear|food|forest|raccoon|turtle</t>
  </si>
  <si>
    <t>Beyond the SeaÂ </t>
  </si>
  <si>
    <t>bobby darin|career|love|marriage|sandra dee</t>
  </si>
  <si>
    <t>Comedy|Crime|Mystery|Romance</t>
  </si>
  <si>
    <t>The Curse of the Jade ScorpionÂ </t>
  </si>
  <si>
    <t>efficiency expert|insurance investigator|magician|scorpion|thief</t>
  </si>
  <si>
    <t>Tower HeistÂ </t>
  </si>
  <si>
    <t>apartment|fbi|fraud|heist|manager</t>
  </si>
  <si>
    <t>Matty Rich</t>
  </si>
  <si>
    <t>Lawrence Gilliard Jr.</t>
  </si>
  <si>
    <t>Straight Out of BrooklynÂ </t>
  </si>
  <si>
    <t>domestic violence|housing project|new york city|poverty|racism</t>
  </si>
  <si>
    <t>Bojana Novakovic</t>
  </si>
  <si>
    <t>DevilÂ </t>
  </si>
  <si>
    <t>devil|elevator|hit and run|throat slitting|trapped in an elevator</t>
  </si>
  <si>
    <t>Lena Dunham</t>
  </si>
  <si>
    <t>Tiny FurnitureÂ </t>
  </si>
  <si>
    <t>adult returns home|girl with glasses|hipster|shower|title directed by female</t>
  </si>
  <si>
    <t>Henry Bean</t>
  </si>
  <si>
    <t>The BelieverÂ </t>
  </si>
  <si>
    <t>jew|jewish nazi|nazism|racism|skinhead</t>
  </si>
  <si>
    <t>I Am Number FourÂ </t>
  </si>
  <si>
    <t>based on young adult novel|good versus evil|guardian|human alien|ohio</t>
  </si>
  <si>
    <t>Ed Harris</t>
  </si>
  <si>
    <t>John Heard</t>
  </si>
  <si>
    <t>PollockÂ </t>
  </si>
  <si>
    <t>1940s|artist|drinking|life magazine|painter</t>
  </si>
  <si>
    <t>Kung Pow: Enter the FistÂ </t>
  </si>
  <si>
    <t>chosen one|comic violence|intentionally bad|kung fu|stylized violence</t>
  </si>
  <si>
    <t>High CrimesÂ </t>
  </si>
  <si>
    <t>defense lawyer|lawyer|marine|murder|villager</t>
  </si>
  <si>
    <t>Luke Greenfield</t>
  </si>
  <si>
    <t>Let's Be CopsÂ </t>
  </si>
  <si>
    <t>friendship between men|impersonating a police officer|mobster|party|police officer</t>
  </si>
  <si>
    <t>Jeepers CreepersÂ </t>
  </si>
  <si>
    <t>demon|gore|record player|tattoo|wings</t>
  </si>
  <si>
    <t>The HelpÂ </t>
  </si>
  <si>
    <t>black servant|chocolate pie|jackson mississippi|maid|writing a novel</t>
  </si>
  <si>
    <t>Dustin Hoffman</t>
  </si>
  <si>
    <t>Luke Newberry</t>
  </si>
  <si>
    <t>QuartetÂ </t>
  </si>
  <si>
    <t>divorced couple|opera|reference to giuseppe verdi|retirement|senility</t>
  </si>
  <si>
    <t>Mitch Davis</t>
  </si>
  <si>
    <t>Adventure|Biography|Drama</t>
  </si>
  <si>
    <t>The Other Side of HeavenÂ </t>
  </si>
  <si>
    <t>1950s|idaho|love|missionary|mormon</t>
  </si>
  <si>
    <t>The FlintstonesÂ </t>
  </si>
  <si>
    <t>1000000 b.c.|box office hit|lawn mowing|product placement|stone age</t>
  </si>
  <si>
    <t>Moonrise KingdomÂ </t>
  </si>
  <si>
    <t>1960s|boy scouts|boy scouts camp|coming of age|young love</t>
  </si>
  <si>
    <t>City HallÂ </t>
  </si>
  <si>
    <t>drug dealer|mayor|new york city|probation|scandal</t>
  </si>
  <si>
    <t>James Marsh</t>
  </si>
  <si>
    <t>Biography|Crime|Documentary|History|Thriller</t>
  </si>
  <si>
    <t>Paul McGill</t>
  </si>
  <si>
    <t>Man on WireÂ </t>
  </si>
  <si>
    <t>new york city|passion|reenactment|rooftop|tower</t>
  </si>
  <si>
    <t>Kiyoshi Kurosawa</t>
  </si>
  <si>
    <t>KÃ´ji Yakusho</t>
  </si>
  <si>
    <t>The CureÂ </t>
  </si>
  <si>
    <t>breasts|interrogation|investigation|murder|watching television</t>
  </si>
  <si>
    <t>Luke Bracey</t>
  </si>
  <si>
    <t>The Best of MeÂ </t>
  </si>
  <si>
    <t>adultery|based on novel|heart transplant|infidelity|protective male</t>
  </si>
  <si>
    <t>Francesca Capaldi</t>
  </si>
  <si>
    <t>The Peanuts MovieÂ </t>
  </si>
  <si>
    <t>dog|girl|imagination|peanuts|red hair</t>
  </si>
  <si>
    <t>The FogÂ </t>
  </si>
  <si>
    <t>california|fog|leper|lighthouse|ship</t>
  </si>
  <si>
    <t>John Patrick Shanley</t>
  </si>
  <si>
    <t>DoubtÂ </t>
  </si>
  <si>
    <t>boy|catholic|nun|priest|student</t>
  </si>
  <si>
    <t>Crime|Drama|Romance</t>
  </si>
  <si>
    <t>Edie Falco</t>
  </si>
  <si>
    <t>Hurricane StreetsÂ </t>
  </si>
  <si>
    <t>gang|new mexico|prison|smuggling|theft</t>
  </si>
  <si>
    <t>Comedy|Drama|Romance|Sci-Fi</t>
  </si>
  <si>
    <t>Blast from the PastÂ </t>
  </si>
  <si>
    <t>1960s|bomb shelter|cuban missile crisis|food|naive man</t>
  </si>
  <si>
    <t>Justin Lin</t>
  </si>
  <si>
    <t>Fast FiveÂ </t>
  </si>
  <si>
    <t>drug lord|drugs|federal agent|heist|police</t>
  </si>
  <si>
    <t>Penny Marshall</t>
  </si>
  <si>
    <t>Renaissance ManÂ </t>
  </si>
  <si>
    <t>army|basic training|reference to shakespeare's hamlet|teacher|u.s. army</t>
  </si>
  <si>
    <t>Ãlex de la Iglesia</t>
  </si>
  <si>
    <t>Jim Carter</t>
  </si>
  <si>
    <t>The Oxford MurdersÂ </t>
  </si>
  <si>
    <t>landlady|lecture|murder|oxford university|symbol</t>
  </si>
  <si>
    <t>Alan Ruck</t>
  </si>
  <si>
    <t>I Love You, Beth CooperÂ </t>
  </si>
  <si>
    <t>cheerleader|party|popular girl|speech|valedictorian</t>
  </si>
  <si>
    <t>The World's Fastest IndianÂ </t>
  </si>
  <si>
    <t>mortgage|motorcycle|speed|trailer|utah</t>
  </si>
  <si>
    <t>Paul Abascal</t>
  </si>
  <si>
    <t>Cole Hauser</t>
  </si>
  <si>
    <t>PaparazziÂ </t>
  </si>
  <si>
    <t>actor|coma|movie star|paparazzi|revenge</t>
  </si>
  <si>
    <t>The Bourne IdentityÂ </t>
  </si>
  <si>
    <t>amnesia|assassin|money|political thriller|three word title</t>
  </si>
  <si>
    <t>FridayÂ </t>
  </si>
  <si>
    <t>bully|drug dealer|first part|neighbor|neighborhood</t>
  </si>
  <si>
    <t>Transformers: Age of ExtinctionÂ </t>
  </si>
  <si>
    <t>blockbuster|bumblebee the character|semi truck and trailer|texas|truck</t>
  </si>
  <si>
    <t>RyÃ»hei Kitamura</t>
  </si>
  <si>
    <t>Fantasy|Horror|Mystery</t>
  </si>
  <si>
    <t>The Midnight Meat TrainÂ </t>
  </si>
  <si>
    <t>butcher|girlfriend|mute character|photographer|subway</t>
  </si>
  <si>
    <t>Joel Coen</t>
  </si>
  <si>
    <t>Jennifer Jason Leigh</t>
  </si>
  <si>
    <t>The Hudsucker ProxyÂ </t>
  </si>
  <si>
    <t>art deco|board of directors|industry|mail|stock</t>
  </si>
  <si>
    <t>Adventure|Comedy|Family|Mystery|Sci-Fi</t>
  </si>
  <si>
    <t>Men in BlackÂ </t>
  </si>
  <si>
    <t>alien|box office hit|flying saucer|laser gun|wisecrack humor</t>
  </si>
  <si>
    <t>Dan Mazer</t>
  </si>
  <si>
    <t>Dirty GrandpaÂ </t>
  </si>
  <si>
    <t>female removes her clothes|fondling|voyeur|voyeurism|white panties</t>
  </si>
  <si>
    <t>Maggie Cheung</t>
  </si>
  <si>
    <t>CleanÂ </t>
  </si>
  <si>
    <t>jail|junkie|money|motel|singer</t>
  </si>
  <si>
    <t>MÃ¥ns MÃ¥rlind</t>
  </si>
  <si>
    <t>Theo James</t>
  </si>
  <si>
    <t>Underworld: AwakeningÂ </t>
  </si>
  <si>
    <t>battle|cryogenics|detective|scientist|vampire</t>
  </si>
  <si>
    <t>Klaus Menzel</t>
  </si>
  <si>
    <t>Mystery|Romance|Thriller</t>
  </si>
  <si>
    <t>FascinationÂ </t>
  </si>
  <si>
    <t>death|love|marriage|secret|suspicion</t>
  </si>
  <si>
    <t>Hotel Transylvania 2Â </t>
  </si>
  <si>
    <t>california|dracula|hotel|transylvania|vampire</t>
  </si>
  <si>
    <t>Betsy Palmer</t>
  </si>
  <si>
    <t>Friday the 13th Part 2Â </t>
  </si>
  <si>
    <t>ice pick|jason voorhees|lake|pitchfork|shack</t>
  </si>
  <si>
    <t>EnoughÂ </t>
  </si>
  <si>
    <t>abusive husband|escape|intimate partner homicide|marriage|woman wearing only a man's shirt</t>
  </si>
  <si>
    <t>Action|Adventure|Fantasy|Horror|Sci-Fi|Thriller</t>
  </si>
  <si>
    <t>Blade: TrinityÂ </t>
  </si>
  <si>
    <t>blade|blood|dracula|vampire hunter|vampire slayer</t>
  </si>
  <si>
    <t>Evan Goldberg</t>
  </si>
  <si>
    <t>This Is the EndÂ </t>
  </si>
  <si>
    <t>apocalypse|celebrity|ensemble cast|party|rapture</t>
  </si>
  <si>
    <t>Adventure|Comedy|Crime|Drama|Family</t>
  </si>
  <si>
    <t>Baby's Day OutÂ </t>
  </si>
  <si>
    <t>baby|baby boy|kidnapping|kidnapping a child|taxi</t>
  </si>
  <si>
    <t>Dream HouseÂ </t>
  </si>
  <si>
    <t>closet|father daughter relationship|psychiatric hospital|real life sisters playing sisters|train</t>
  </si>
  <si>
    <t>Stephen Kay</t>
  </si>
  <si>
    <t>Get CarterÂ </t>
  </si>
  <si>
    <t>affair|car crash|enforcer|funeral|murder</t>
  </si>
  <si>
    <t>Roger Allers</t>
  </si>
  <si>
    <t>Adventure|Animation|Drama|Family|Musical</t>
  </si>
  <si>
    <t>The Lion KingÂ </t>
  </si>
  <si>
    <t>king|prince|scar|uncle|unnecessary guilt</t>
  </si>
  <si>
    <t>Code 46Â </t>
  </si>
  <si>
    <t>genetics|i.d.|love|sphinx|totalitarian</t>
  </si>
  <si>
    <t>Wrath of the TitansÂ </t>
  </si>
  <si>
    <t>ares|hades|titan|underworld|zeus</t>
  </si>
  <si>
    <t>Mark L. Lester</t>
  </si>
  <si>
    <t>FirestarterÂ </t>
  </si>
  <si>
    <t>captain|experiment|fire|psychic|secret government agency</t>
  </si>
  <si>
    <t>The HauntingÂ </t>
  </si>
  <si>
    <t>greenhouse|haunted house|horror movie remake|mansion|old house</t>
  </si>
  <si>
    <t>Bridgette Wilson-Sampras</t>
  </si>
  <si>
    <t>Just VisitingÂ </t>
  </si>
  <si>
    <t>alternate history|alternate timeline|flatulence|future time travel|time travel comedy</t>
  </si>
  <si>
    <t>Action|Adventure|Animation|Family|Sci-Fi|Thriller</t>
  </si>
  <si>
    <t>William Hootkins</t>
  </si>
  <si>
    <t>SteamboyÂ </t>
  </si>
  <si>
    <t>19th century|ball|boy|inventor|steam</t>
  </si>
  <si>
    <t>Action|Crime|Drama|Sci-Fi|Thriller</t>
  </si>
  <si>
    <t>LooperÂ </t>
  </si>
  <si>
    <t>chase|future|surprise ending|time loop|time travel</t>
  </si>
  <si>
    <t>Sidney Lumet</t>
  </si>
  <si>
    <t>Adventure|Family|Fantasy|Music|Musical</t>
  </si>
  <si>
    <t>Lena Horne</t>
  </si>
  <si>
    <t>The WizÂ </t>
  </si>
  <si>
    <t>melancholy|new york city|sadness|teacher|wizard</t>
  </si>
  <si>
    <t>Tommy Lee Wallace</t>
  </si>
  <si>
    <t>Tom Atkins</t>
  </si>
  <si>
    <t>Halloween III: Season of the WitchÂ </t>
  </si>
  <si>
    <t>doctor|factory|halloween|holiday horror|stonehenge</t>
  </si>
  <si>
    <t>James Mather</t>
  </si>
  <si>
    <t>LockoutÂ </t>
  </si>
  <si>
    <t>bodyguard|maximum security prison|outer space|president|prison</t>
  </si>
  <si>
    <t>Charles Robert Carner</t>
  </si>
  <si>
    <t>Witless ProtectionÂ </t>
  </si>
  <si>
    <t>fbi|polo|possum|sheriff|shotgun</t>
  </si>
  <si>
    <t>James Wan</t>
  </si>
  <si>
    <t>Mackenzie Foy</t>
  </si>
  <si>
    <t>The ConjuringÂ </t>
  </si>
  <si>
    <t>based on true story|farmhouse|paranormal investigator|rhode island|supernatural power</t>
  </si>
  <si>
    <t>Patricia Rozema</t>
  </si>
  <si>
    <t>Julia Ormond</t>
  </si>
  <si>
    <t>Kit Kittredge: An American GirlÂ </t>
  </si>
  <si>
    <t>boarding house|girl|great depression|house|ohio</t>
  </si>
  <si>
    <t>Piyush Dinker Pandya</t>
  </si>
  <si>
    <t>Purva Bedi</t>
  </si>
  <si>
    <t>American DesiÂ </t>
  </si>
  <si>
    <t>college|desi|heritage|india|indian american</t>
  </si>
  <si>
    <t>How to Train Your DragonÂ </t>
  </si>
  <si>
    <t>dragon|island|training|viking|village</t>
  </si>
  <si>
    <t>Jonathan Glazer</t>
  </si>
  <si>
    <t>Cameron Bright</t>
  </si>
  <si>
    <t>BirthÂ </t>
  </si>
  <si>
    <t>birthday|boy|dead husband|death|widow</t>
  </si>
  <si>
    <t>Max Joseph</t>
  </si>
  <si>
    <t>Vanessa Lengies</t>
  </si>
  <si>
    <t>We Are Your FriendsÂ </t>
  </si>
  <si>
    <t>box office flop|critically bashed|male objectification|narcissism|wannabe dj</t>
  </si>
  <si>
    <t>Drama|Fantasy|Horror</t>
  </si>
  <si>
    <t>Interview with the Vampire: The Vampire ChroniclesÂ </t>
  </si>
  <si>
    <t>betrayal|dangerous friend|gothic|monster as victim|vampire</t>
  </si>
  <si>
    <t>Jim Hanon</t>
  </si>
  <si>
    <t>Chase Ellison</t>
  </si>
  <si>
    <t>End of the SpearÂ </t>
  </si>
  <si>
    <t>death|missionary|spear|speared to death|tribe</t>
  </si>
  <si>
    <t>Derek Cianfrance</t>
  </si>
  <si>
    <t>The Place Beyond the PinesÂ </t>
  </si>
  <si>
    <t>bank|carnival|motorcycle|police|rookie cop</t>
  </si>
  <si>
    <t>Action|Sport</t>
  </si>
  <si>
    <t>Wesley Jonathan</t>
  </si>
  <si>
    <t>CrossoverÂ </t>
  </si>
  <si>
    <t>african american|basketball|basketball movie|critically bashed|tv commercial</t>
  </si>
  <si>
    <t>Adventure|Fantasy|Mystery</t>
  </si>
  <si>
    <t>Andrew Garfield</t>
  </si>
  <si>
    <t>The Imaginarium of Doctor ParnassusÂ </t>
  </si>
  <si>
    <t>birthday|bridge|midget|rescue|sideshow</t>
  </si>
  <si>
    <t>Xavier Beauvois</t>
  </si>
  <si>
    <t>Lambert Wilson</t>
  </si>
  <si>
    <t>Of Gods and MenÂ </t>
  </si>
  <si>
    <t>catholic church|community|monastery|monk|terrorist</t>
  </si>
  <si>
    <t>Resident EvilÂ </t>
  </si>
  <si>
    <t>amnesia|quarantine|special forces|virus|zombie</t>
  </si>
  <si>
    <t>Angus T. Jones</t>
  </si>
  <si>
    <t>Bringing Down the HouseÂ </t>
  </si>
  <si>
    <t>divorce|lawyer|spanking|villain arrested|wrongful conviction</t>
  </si>
  <si>
    <t>Clark Johnson</t>
  </si>
  <si>
    <t>Blair Brown</t>
  </si>
  <si>
    <t>The SentinelÂ </t>
  </si>
  <si>
    <t>first lady|framed|investigation|president|secret service</t>
  </si>
  <si>
    <t>The Devil Wears PradaÂ </t>
  </si>
  <si>
    <t>fashion|fashion industry|magazine|new york city|publishing</t>
  </si>
  <si>
    <t>AndrÃ© Ã˜vredal</t>
  </si>
  <si>
    <t>Comedy|Drama|Fantasy|Horror</t>
  </si>
  <si>
    <t>Otto Jespersen</t>
  </si>
  <si>
    <t>TrollhunterÂ </t>
  </si>
  <si>
    <t>bear|cameraman|hunter|secret government agency|troll</t>
  </si>
  <si>
    <t>Norwegian</t>
  </si>
  <si>
    <t>Norway</t>
  </si>
  <si>
    <t>Jack and JillÂ </t>
  </si>
  <si>
    <t>advertising|advertising executive|commercial|protective male|twins</t>
  </si>
  <si>
    <t>Cory Edwards</t>
  </si>
  <si>
    <t>Action|Animation|Comedy|Crime|Family</t>
  </si>
  <si>
    <t>Hoodwinked!Â </t>
  </si>
  <si>
    <t>animal|axe|red riding hood|wolf|woodsman</t>
  </si>
  <si>
    <t>David Lyons</t>
  </si>
  <si>
    <t>Safe HavenÂ </t>
  </si>
  <si>
    <t>abusive husband|chick flick|north carolina|secret|widower</t>
  </si>
  <si>
    <t>Guillaume Canet</t>
  </si>
  <si>
    <t>Blood TiesÂ </t>
  </si>
  <si>
    <t>1970s|flashback|love|money|murder</t>
  </si>
  <si>
    <t>Bobbie Phillips</t>
  </si>
  <si>
    <t>ShowgirlsÂ </t>
  </si>
  <si>
    <t>cult film|lap dance|lap dancing|stripper|striptease</t>
  </si>
  <si>
    <t>Roland JoffÃ©</t>
  </si>
  <si>
    <t>The Scarlet LetterÂ </t>
  </si>
  <si>
    <t>17th century|adultery|letter|pubic hair|swimming</t>
  </si>
  <si>
    <t>Catherine O'Hara</t>
  </si>
  <si>
    <t>Away We GoÂ </t>
  </si>
  <si>
    <t>baby|children|friend|love|road trip</t>
  </si>
  <si>
    <t>Ghosts of MississippiÂ </t>
  </si>
  <si>
    <t>activist|assassin|civil rights|trial|widow</t>
  </si>
  <si>
    <t>Charlotte Rampling</t>
  </si>
  <si>
    <t>The StatementÂ </t>
  </si>
  <si>
    <t>eiffel tower|nazi|police|ritual|stew</t>
  </si>
  <si>
    <t>Christian Alvart</t>
  </si>
  <si>
    <t>Action|Horror|Mystery|Sci-Fi|Thriller</t>
  </si>
  <si>
    <t>PandorumÂ </t>
  </si>
  <si>
    <t>future|mission|space|spaceship|survival</t>
  </si>
  <si>
    <t>Crime|Romance|Thriller</t>
  </si>
  <si>
    <t>Mark Margolis</t>
  </si>
  <si>
    <t>The Thomas Crown AffairÂ </t>
  </si>
  <si>
    <t>art|insurance investigator|martinique|painting|trust</t>
  </si>
  <si>
    <t>Best in ShowÂ </t>
  </si>
  <si>
    <t>dog show|gay|gay character|gay couple|gay interest</t>
  </si>
  <si>
    <t>AdmissionÂ </t>
  </si>
  <si>
    <t>adoption|female protagonist|princeton university|wedding|working women</t>
  </si>
  <si>
    <t>Comedy|Family|Fantasy|Music|Romance</t>
  </si>
  <si>
    <t>Freaky FridayÂ </t>
  </si>
  <si>
    <t>body swap|camera shot of feet|foot closeup|reference to keith richards|reference to the rolling stones</t>
  </si>
  <si>
    <t>Comedy|Fantasy|Horror|Romance</t>
  </si>
  <si>
    <t>Alexis Arquette</t>
  </si>
  <si>
    <t>Bride of ChuckyÂ </t>
  </si>
  <si>
    <t>blood|doll|gore|murder|serial killer</t>
  </si>
  <si>
    <t>Adventure|Comedy|Drama</t>
  </si>
  <si>
    <t>Fear and Loathing in Las VegasÂ </t>
  </si>
  <si>
    <t>american dream|convertible|drugs|journalist|lawyer</t>
  </si>
  <si>
    <t>Comedy|Family|Fantasy|Sci-Fi</t>
  </si>
  <si>
    <t>Les couloirs du temps: Les visiteurs IIÂ </t>
  </si>
  <si>
    <t>jewel|knight|magical potion|sequel|time travel comedy</t>
  </si>
  <si>
    <t>James Watkins</t>
  </si>
  <si>
    <t>The Woman in BlackÂ </t>
  </si>
  <si>
    <t>afterlife|baby boy|bird in a cage|ghost|reunited family</t>
  </si>
  <si>
    <t>Action|Family|Sport</t>
  </si>
  <si>
    <t>Scott Porter</t>
  </si>
  <si>
    <t>Speed RacerÂ </t>
  </si>
  <si>
    <t>based on anime|based on cartoon|gadget car|racer|speed</t>
  </si>
  <si>
    <t>Carol Reed</t>
  </si>
  <si>
    <t>Drama|Family|Musical</t>
  </si>
  <si>
    <t>Oliver Reed</t>
  </si>
  <si>
    <t>Oliver!Â </t>
  </si>
  <si>
    <t>abuse|child|orphan|orphanage|pickpocket</t>
  </si>
  <si>
    <t>The InsiderÂ </t>
  </si>
  <si>
    <t>cbs|cbs news|research|tobacco|whistleblower</t>
  </si>
  <si>
    <t>Leslye Headland</t>
  </si>
  <si>
    <t>BacheloretteÂ </t>
  </si>
  <si>
    <t>bachelorette party|drug use|high school|overdose|wedding dress</t>
  </si>
  <si>
    <t>FlightÂ </t>
  </si>
  <si>
    <t>airline|flight|flight attendant|lawyer|pilot</t>
  </si>
  <si>
    <t>Zathura: A Space AdventureÂ </t>
  </si>
  <si>
    <t>2000s|coke|meeting future self|reference to spongebob squarepants|sony</t>
  </si>
  <si>
    <t>John Hillcoat</t>
  </si>
  <si>
    <t>Crime|Drama|Western</t>
  </si>
  <si>
    <t>The PropositionÂ </t>
  </si>
  <si>
    <t>aborigine|foreboding|gang|hideout|outlaw</t>
  </si>
  <si>
    <t>Elaine May</t>
  </si>
  <si>
    <t>Action|Adventure|Comedy|Music|Thriller</t>
  </si>
  <si>
    <t>Carol Kane</t>
  </si>
  <si>
    <t>IshtarÂ </t>
  </si>
  <si>
    <t>cia|emir|hotel|map|morocco</t>
  </si>
  <si>
    <t>Tony Richardson</t>
  </si>
  <si>
    <t>Joely Richardson</t>
  </si>
  <si>
    <t>The Hotel New HampshireÂ </t>
  </si>
  <si>
    <t>football|hotel|teenage girl|terrorist|wien</t>
  </si>
  <si>
    <t>The MusketeerÂ </t>
  </si>
  <si>
    <t>guard|king|murder|musketeer|swordsman</t>
  </si>
  <si>
    <t>You Will Meet a Tall Dark StrangerÂ </t>
  </si>
  <si>
    <t>call girl|charlatan|fortune teller|manuscript|writer</t>
  </si>
  <si>
    <t>Meet the SpartansÂ </t>
  </si>
  <si>
    <t>king|persian|spartan|training|xerxes</t>
  </si>
  <si>
    <t>Lock, Stock and Two Smoking BarrelsÂ </t>
  </si>
  <si>
    <t>antique|cockney accent|hatchet|money|shotgun</t>
  </si>
  <si>
    <t>Chatrichalerm Yukol</t>
  </si>
  <si>
    <t>Sarunyu Wongkrachang</t>
  </si>
  <si>
    <t>The Legend of SuriyothaiÂ </t>
  </si>
  <si>
    <t>16th century|burmese|invasion|queen|thailand</t>
  </si>
  <si>
    <t>Thai</t>
  </si>
  <si>
    <t>Thailand</t>
  </si>
  <si>
    <t>JunoÂ </t>
  </si>
  <si>
    <t>adoption|baby|friend|pregnancy|school</t>
  </si>
  <si>
    <t>Toy Story 2Â </t>
  </si>
  <si>
    <t>collector|dog|friend|rescue|toy</t>
  </si>
  <si>
    <t>The SoloistÂ </t>
  </si>
  <si>
    <t>columnist|journalist|los angeles times|musician|wearing a traffic cone as a hat</t>
  </si>
  <si>
    <t>Charles Stone III</t>
  </si>
  <si>
    <t>Mr 3000Â </t>
  </si>
  <si>
    <t>baseball|baseball movie|cartoon on tv|dodge viper|retirement</t>
  </si>
  <si>
    <t>The ContenderÂ </t>
  </si>
  <si>
    <t>bridge|governor|political thriller|president|vice president</t>
  </si>
  <si>
    <t>Neill Blomkamp</t>
  </si>
  <si>
    <t>ChappieÂ </t>
  </si>
  <si>
    <t>artificial intelligence|consciousness|future|mind uploading|robot</t>
  </si>
  <si>
    <t>Adventure|Comedy|Fantasy|Sci-Fi</t>
  </si>
  <si>
    <t>Shelley Duvall</t>
  </si>
  <si>
    <t>Time BanditsÂ </t>
  </si>
  <si>
    <t>cult director|dwarf|robin hood|satire|treasure</t>
  </si>
  <si>
    <t>Javier Botet</t>
  </si>
  <si>
    <t>The Conjuring 2Â </t>
  </si>
  <si>
    <t>based on supposedly true story|house|paranormal investigating|psychic|second part</t>
  </si>
  <si>
    <t>Action|Crime|Mystery|Romance|Thriller</t>
  </si>
  <si>
    <t>Conspiracy TheoryÂ </t>
  </si>
  <si>
    <t>conspiracy|fbi|mk ultra|newsletter|taxi</t>
  </si>
  <si>
    <t>Jake Kasdan</t>
  </si>
  <si>
    <t>Bad TeacherÂ </t>
  </si>
  <si>
    <t>boob job|breast enlargement|breast surgery|cheating on a test|ejaculation</t>
  </si>
  <si>
    <t>S.W.A.T.Â </t>
  </si>
  <si>
    <t>hostage|police|prison|swat team|training</t>
  </si>
  <si>
    <t>Action|Comedy|Sport</t>
  </si>
  <si>
    <t>Here Comes the BoomÂ </t>
  </si>
  <si>
    <t>claim in title|high school|mixed martial arts|ultimate fighting championship|underdog</t>
  </si>
  <si>
    <t>Stranger Than FictionÂ </t>
  </si>
  <si>
    <t>author|fate|novelist|professor|writer</t>
  </si>
  <si>
    <t>The Taking of Pelham 1 2 3Â </t>
  </si>
  <si>
    <t>hijack|hostage|ransom|subway|train</t>
  </si>
  <si>
    <t>Parry Shen</t>
  </si>
  <si>
    <t>Better Luck TomorrowÂ </t>
  </si>
  <si>
    <t>asian american|high school|overachiever|pubic hair|vomiting</t>
  </si>
  <si>
    <t>Bronwen Hughes</t>
  </si>
  <si>
    <t>Harriet the SpyÂ </t>
  </si>
  <si>
    <t>binoculars|child spy|notebook|secret|spy</t>
  </si>
  <si>
    <t>Brandon Trost</t>
  </si>
  <si>
    <t>The FPÂ </t>
  </si>
  <si>
    <t>abbreviation in title|based on short film|competition dancing|dystopia|location in title</t>
  </si>
  <si>
    <t>Bob Clark</t>
  </si>
  <si>
    <t>Comedy|Family|Sci-Fi</t>
  </si>
  <si>
    <t>Scott Baio</t>
  </si>
  <si>
    <t>Superbabies: Baby Geniuses 2Â </t>
  </si>
  <si>
    <t>computer|good versus evil|mind control|science experiment|sequel</t>
  </si>
  <si>
    <t>The Devil's AdvocateÂ </t>
  </si>
  <si>
    <t>deal with the devil|lawyer|money|reality|supernatural power</t>
  </si>
  <si>
    <t>Kevin Macdonald</t>
  </si>
  <si>
    <t>Biography|Drama|History|Thriller</t>
  </si>
  <si>
    <t>The Last King of ScotlandÂ </t>
  </si>
  <si>
    <t>1970s|assassination|doctor|scottish|ugandan</t>
  </si>
  <si>
    <t>Emma Bell</t>
  </si>
  <si>
    <t>Final Destination 5Â </t>
  </si>
  <si>
    <t>blood splatter|death|eyeball run over by car|latex gloves|suspension bridge</t>
  </si>
  <si>
    <t>John Maybury</t>
  </si>
  <si>
    <t>The JacketÂ </t>
  </si>
  <si>
    <t>gulf war veteran|morgue|shot in the head|vermont|veteran</t>
  </si>
  <si>
    <t>Black MassÂ </t>
  </si>
  <si>
    <t>based on true story|boston massachusetts|fbi agent|gangster|true crime</t>
  </si>
  <si>
    <t>Marcus Dunstan</t>
  </si>
  <si>
    <t>Daniel Sharman</t>
  </si>
  <si>
    <t>The CollectionÂ </t>
  </si>
  <si>
    <t>booby trap|brainwashing|mercenary|serial killer|trap</t>
  </si>
  <si>
    <t>Rumi Hiiragi</t>
  </si>
  <si>
    <t>PonyoÂ </t>
  </si>
  <si>
    <t>children adventure|magical realism|sea goddess|small town|tsunami</t>
  </si>
  <si>
    <t>Ben Gazzara</t>
  </si>
  <si>
    <t>The Spanish PrisonerÂ </t>
  </si>
  <si>
    <t>brother sister relationship|extradition|fbi|japanese tourist|secret</t>
  </si>
  <si>
    <t>Nicolas Winding Refn</t>
  </si>
  <si>
    <t>Only God ForgivesÂ </t>
  </si>
  <si>
    <t>brutal cop|drug dealer|punishment|thai boxing|vengeance</t>
  </si>
  <si>
    <t>Down to EarthÂ </t>
  </si>
  <si>
    <t>angel|butler|heaven|manhattan new york city|reincarnation</t>
  </si>
  <si>
    <t>WarriorÂ </t>
  </si>
  <si>
    <t>alcoholic|mixed martial arts|return home|tournament|underdog</t>
  </si>
  <si>
    <t>Michiel Huisman</t>
  </si>
  <si>
    <t>WildÂ </t>
  </si>
  <si>
    <t>female protagonist|grief|hiking|loss of mother|mother daughter relationship</t>
  </si>
  <si>
    <t>Adam Baldwin</t>
  </si>
  <si>
    <t>Ordinary PeopleÂ </t>
  </si>
  <si>
    <t>choir|death|friend|suicide|therapy</t>
  </si>
  <si>
    <t>Jonathan Hensleigh</t>
  </si>
  <si>
    <t>Laura Harring</t>
  </si>
  <si>
    <t>The PunisherÂ </t>
  </si>
  <si>
    <t>death|family reunion|fbi|fbi agent|vigilante</t>
  </si>
  <si>
    <t>George Armitage</t>
  </si>
  <si>
    <t>Grosse Pointe BlankÂ </t>
  </si>
  <si>
    <t>assassin|high school|high school reunion|reunion|suburb</t>
  </si>
  <si>
    <t>Menace II SocietyÂ </t>
  </si>
  <si>
    <t>1990s|escape|graduation|hustler|street</t>
  </si>
  <si>
    <t>Danny Pang</t>
  </si>
  <si>
    <t>Bangkok DangerousÂ </t>
  </si>
  <si>
    <t>deaf|hitman|nightclub|pickpocket|rules of profession</t>
  </si>
  <si>
    <t>FabiÃ¡n Bielinsky</t>
  </si>
  <si>
    <t>Nine QueensÂ </t>
  </si>
  <si>
    <t>con artist|hotel|partner|scam|stamp</t>
  </si>
  <si>
    <t>American Pie 2Â </t>
  </si>
  <si>
    <t>beach|beach house|college|party|student</t>
  </si>
  <si>
    <t>Alejandro AmenÃ¡bar</t>
  </si>
  <si>
    <t>Adventure|Drama|History|Romance</t>
  </si>
  <si>
    <t>Max Minghella</t>
  </si>
  <si>
    <t>AgoraÂ </t>
  </si>
  <si>
    <t>christian|love|philosophy|prefect|slave</t>
  </si>
  <si>
    <t>Chriss Anglin</t>
  </si>
  <si>
    <t>An American CarolÂ </t>
  </si>
  <si>
    <t>arab stereotype|box office flop|documentary filmmaker|filmmaker|terrorist</t>
  </si>
  <si>
    <t>Jack Sholder</t>
  </si>
  <si>
    <t>Clu Gulager</t>
  </si>
  <si>
    <t>A Nightmare on Elm Street 2: Freddy's RevengeÂ </t>
  </si>
  <si>
    <t>freddy krueger|gay|gay subtext|homoeroticism|jock strap</t>
  </si>
  <si>
    <t>Spike Jonze</t>
  </si>
  <si>
    <t>Willie Garson</t>
  </si>
  <si>
    <t>Being John MalkovichÂ </t>
  </si>
  <si>
    <t>body swap|magical realism|portal|puppeteer|surrealism</t>
  </si>
  <si>
    <t>Steve James</t>
  </si>
  <si>
    <t>Biography|Drama|Romance|Sport</t>
  </si>
  <si>
    <t>Kurtwood Smith</t>
  </si>
  <si>
    <t>PrefontaineÂ </t>
  </si>
  <si>
    <t>long distance runner|olympics|oregon|runner|watching television</t>
  </si>
  <si>
    <t>The InternshipÂ </t>
  </si>
  <si>
    <t>actor's picture shown in credits|animated credits|google|internship|still images in end credits</t>
  </si>
  <si>
    <t>Action|Adventure|Comedy|Family|Mystery</t>
  </si>
  <si>
    <t>National TreasureÂ </t>
  </si>
  <si>
    <t>declaration of independence|secret society|treasure|treasure hunt|treasure hunter</t>
  </si>
  <si>
    <t>Eric Blakeney</t>
  </si>
  <si>
    <t>Gun ShyÂ </t>
  </si>
  <si>
    <t>colombian|enema|group therapy|murder|nurse</t>
  </si>
  <si>
    <t>Harley Cokeliss</t>
  </si>
  <si>
    <t>Cliff Robertson</t>
  </si>
  <si>
    <t>MaloneÂ </t>
  </si>
  <si>
    <t>assassin|box office flop|cia|farmer|power</t>
  </si>
  <si>
    <t>Gregory Nava</t>
  </si>
  <si>
    <t>Jon Seda</t>
  </si>
  <si>
    <t>SelenaÂ </t>
  </si>
  <si>
    <t>latin music|marriage|on tour|singer|tejano</t>
  </si>
  <si>
    <t>Oliver Hudson</t>
  </si>
  <si>
    <t>The Out-of-TownersÂ </t>
  </si>
  <si>
    <t>job interview|manhattan new york city|new york city|remake|sausage</t>
  </si>
  <si>
    <t>Ben Affleck</t>
  </si>
  <si>
    <t>Clea DuVall</t>
  </si>
  <si>
    <t>ArgoÂ </t>
  </si>
  <si>
    <t>1970s|cia|f word|u.s. embassy|year 1979</t>
  </si>
  <si>
    <t>Richard Dutcher</t>
  </si>
  <si>
    <t>Brigham CityÂ </t>
  </si>
  <si>
    <t>fbi agent|mormon|prayer|sheriff|utah</t>
  </si>
  <si>
    <t>Kevin Corrigan</t>
  </si>
  <si>
    <t>Lonesome JimÂ </t>
  </si>
  <si>
    <t>bail|coma|dart board|indiana|ladder factory</t>
  </si>
  <si>
    <t>Olympus Has FallenÂ </t>
  </si>
  <si>
    <t>political thriller|politics|president|speaker of the house|u.s. president</t>
  </si>
  <si>
    <t>Ron Maxwell</t>
  </si>
  <si>
    <t>Billy Campbell</t>
  </si>
  <si>
    <t>Gods and GeneralsÂ </t>
  </si>
  <si>
    <t>confederacy|hero|prequel|stonewall jackson|war hero</t>
  </si>
  <si>
    <t>Fantasy|Mystery|Romance|Sci-Fi|Thriller</t>
  </si>
  <si>
    <t>Vanilla SkyÂ </t>
  </si>
  <si>
    <t>death|dream|love|lynchian|reality</t>
  </si>
  <si>
    <t>Action|Drama|Sport</t>
  </si>
  <si>
    <t>Days of ThunderÂ </t>
  </si>
  <si>
    <t>driver|hot shot|racing|stock car driver|team</t>
  </si>
  <si>
    <t>Patricia Cardoso</t>
  </si>
  <si>
    <t>America Ferrera</t>
  </si>
  <si>
    <t>Real Women Have CurvesÂ </t>
  </si>
  <si>
    <t>education|factory|high school|mexican american|religious icon</t>
  </si>
  <si>
    <t>The Scorch TrialsÂ </t>
  </si>
  <si>
    <t>desert|disease|escape|resistance|virus</t>
  </si>
  <si>
    <t>Action|Adventure|Animation|Comedy|Family|Fantasy</t>
  </si>
  <si>
    <t>Puss in BootsÂ </t>
  </si>
  <si>
    <t>betrayal|egg|friend|goose|hero</t>
  </si>
  <si>
    <t>Raiders of the Lost ArkÂ </t>
  </si>
  <si>
    <t>archeological dig|archeologist|ark of the covenant|egypt|nazi</t>
  </si>
  <si>
    <t>MoonÂ </t>
  </si>
  <si>
    <t>computer|contract|earth|moon|solitude</t>
  </si>
  <si>
    <t>Triple 9Â </t>
  </si>
  <si>
    <t>betrayal|corrupt cop|heist|murder of a police officer|police detective</t>
  </si>
  <si>
    <t>Rise of the Planet of the ApesÂ </t>
  </si>
  <si>
    <t>alzheimer's disease|ape|chimpanzee|fire|when animals attack</t>
  </si>
  <si>
    <t>Violante Placido</t>
  </si>
  <si>
    <t>The AmericanÂ </t>
  </si>
  <si>
    <t>ambush|assassin|priest|prostitute|sweden</t>
  </si>
  <si>
    <t>Rosanna Arquette</t>
  </si>
  <si>
    <t>Flight of the IntruderÂ </t>
  </si>
  <si>
    <t>bombardier|pilot|u.s. navy|vietnam|vietnam war</t>
  </si>
  <si>
    <t>HookÂ </t>
  </si>
  <si>
    <t>1990s|caught in a net|children|duel|hero</t>
  </si>
  <si>
    <t>Patton Oswalt</t>
  </si>
  <si>
    <t>MagnoliaÂ </t>
  </si>
  <si>
    <t>abusive father|coincidence|fictional game show|fictional quiz show|multiple storyline</t>
  </si>
  <si>
    <t>Ariel Vromen</t>
  </si>
  <si>
    <t>Action|Crime|Drama|Mystery|Sci-Fi|Thriller</t>
  </si>
  <si>
    <t>CriminalÂ </t>
  </si>
  <si>
    <t>cia|husband wife relationship|memory|tied up while barefoot|violence</t>
  </si>
  <si>
    <t>Adventure|Animation|Comedy|Drama|Family|Fantasy</t>
  </si>
  <si>
    <t>Inside OutÂ </t>
  </si>
  <si>
    <t>anger|joy|memory|running away|sadness</t>
  </si>
  <si>
    <t>Alison Maclean</t>
  </si>
  <si>
    <t>Billy Crudup</t>
  </si>
  <si>
    <t>Jesus' SonÂ </t>
  </si>
  <si>
    <t>hospital|love|mennonite|shower|song</t>
  </si>
  <si>
    <t>Things to Do in Denver When You're DeadÂ </t>
  </si>
  <si>
    <t>death|finger gun|video message|what happened to epilogue|wheelchair</t>
  </si>
  <si>
    <t>Promised LandÂ </t>
  </si>
  <si>
    <t>corporate greed|corporation|natural gas|salesman|small town</t>
  </si>
  <si>
    <t>The Last StandÂ </t>
  </si>
  <si>
    <t>deputy|escape|fbi|modern western|sheriff</t>
  </si>
  <si>
    <t>Eddie Marsan</t>
  </si>
  <si>
    <t>Jack the Giant SlayerÂ </t>
  </si>
  <si>
    <t>bean|giant|king|no opening credits|princess</t>
  </si>
  <si>
    <t>The LosersÂ </t>
  </si>
  <si>
    <t>hacking|hijacking|martial arts|revenge|special forces</t>
  </si>
  <si>
    <t>Roger Nygard</t>
  </si>
  <si>
    <t>Walter Koenig</t>
  </si>
  <si>
    <t>TrekkiesÂ </t>
  </si>
  <si>
    <t>autograph|dentist|outer space|star trek|telephone call</t>
  </si>
  <si>
    <t>Smokin' AcesÂ </t>
  </si>
  <si>
    <t>casino|fbi|mafia|mob hit|sniper</t>
  </si>
  <si>
    <t>Kathryn Bigelow</t>
  </si>
  <si>
    <t>Drama|History|Thriller|War</t>
  </si>
  <si>
    <t>K-19: The WidowmakerÂ </t>
  </si>
  <si>
    <t>courage|radiation sickness|radioactive contamination|sea|test launch</t>
  </si>
  <si>
    <t>Bokeem Woodbine</t>
  </si>
  <si>
    <t>RayÂ </t>
  </si>
  <si>
    <t>1950s|1960s|racism|rhythm and blues|singer</t>
  </si>
  <si>
    <t>Space CowboysÂ </t>
  </si>
  <si>
    <t>nasa|old age|satellite|space|space shuttle</t>
  </si>
  <si>
    <t>Disaster MovieÂ </t>
  </si>
  <si>
    <t>disaster|glass|mousetrap|natural disaster|scatological humor</t>
  </si>
  <si>
    <t>The CoreÂ </t>
  </si>
  <si>
    <t>core|earth|natural disaster|pacemaker|scientist</t>
  </si>
  <si>
    <t>David Hackl</t>
  </si>
  <si>
    <t>Saw VÂ </t>
  </si>
  <si>
    <t>blood splatter|jigsaw|nazi|serial killer|swastika tattoo</t>
  </si>
  <si>
    <t>Lara Croft: Tomb RaiderÂ </t>
  </si>
  <si>
    <t>illuminati|planetary alignment|time|tomb|tomb raider</t>
  </si>
  <si>
    <t>Blood In, Blood OutÂ </t>
  </si>
  <si>
    <t>1970s|1980s|barrio|gang war|mexican</t>
  </si>
  <si>
    <t>The Naked Gun 2Â½: The Smell of FearÂ </t>
  </si>
  <si>
    <t>american president|evil industrialist|ex girlfriend|political leader|president</t>
  </si>
  <si>
    <t>Action|Crime|Drama|Thriller|Western</t>
  </si>
  <si>
    <t>Harley Davidson and the Marlboro ManÂ </t>
  </si>
  <si>
    <t>bar|biker|cowboy|drugs|marlboro</t>
  </si>
  <si>
    <t>Craig Zobel</t>
  </si>
  <si>
    <t>Biography|Crime|Drama|Thriller</t>
  </si>
  <si>
    <t>Dreama Walker</t>
  </si>
  <si>
    <t>ComplianceÂ </t>
  </si>
  <si>
    <t>authority|boss subordinate relationship|fast food restaurant|gullibility|telephone call</t>
  </si>
  <si>
    <t>Carlos Gallardo</t>
  </si>
  <si>
    <t>El MariachiÂ </t>
  </si>
  <si>
    <t>assassin|death|guitar|gun|mariachi</t>
  </si>
  <si>
    <t>Ender's GameÂ </t>
  </si>
  <si>
    <t>alien|future|manipulation|simulation|training</t>
  </si>
  <si>
    <t>Ellar Coltrane</t>
  </si>
  <si>
    <t>BoyhoodÂ </t>
  </si>
  <si>
    <t>12 year time span|coming of age|domestic abuse|growing up|separated parents</t>
  </si>
  <si>
    <t>Marie AntoinetteÂ </t>
  </si>
  <si>
    <t>austria|cake|france|queen|versailles</t>
  </si>
  <si>
    <t>The Wedding PlannerÂ </t>
  </si>
  <si>
    <t>chick flick|doctor|horseback riding|wedding|wedding planner</t>
  </si>
  <si>
    <t>Shane Acker</t>
  </si>
  <si>
    <t>Action|Adventure|Animation|Drama|Mystery|Sci-Fi|Thriller</t>
  </si>
  <si>
    <t>9Â </t>
  </si>
  <si>
    <t>hope|key|machine|number|rag doll</t>
  </si>
  <si>
    <t>Matthew Robbins</t>
  </si>
  <si>
    <t>Ian McDiarmid</t>
  </si>
  <si>
    <t>DragonslayerÂ </t>
  </si>
  <si>
    <t>apprentice|dragon|king|kingdom|wizard</t>
  </si>
  <si>
    <t>Flushed AwayÂ </t>
  </si>
  <si>
    <t>boat|frog|rat|sewer|toad</t>
  </si>
  <si>
    <t>Rosie Perez</t>
  </si>
  <si>
    <t>Riding in Cars with BoysÂ </t>
  </si>
  <si>
    <t>boy|college|heroin|working class|writer</t>
  </si>
  <si>
    <t>Die HardÂ </t>
  </si>
  <si>
    <t>christmas|christmas eve|christmas party|held at gunpoint|hostage</t>
  </si>
  <si>
    <t>Deon Taylor</t>
  </si>
  <si>
    <t>Matt Cohen</t>
  </si>
  <si>
    <t>Chain LetterÂ </t>
  </si>
  <si>
    <t>blood splatter|chain|murder|mysterious killer|warning</t>
  </si>
  <si>
    <t>Eric Schaeffer</t>
  </si>
  <si>
    <t>Never AgainÂ </t>
  </si>
  <si>
    <t>bar|gay bar|love|mother son relationship|new york</t>
  </si>
  <si>
    <t>RED 2Â </t>
  </si>
  <si>
    <t>cia|cia agent|rescue|russian|team</t>
  </si>
  <si>
    <t>Action|Adventure|Drama|Romance|War</t>
  </si>
  <si>
    <t>Wes Studi</t>
  </si>
  <si>
    <t>The Last of the MohicansÂ </t>
  </si>
  <si>
    <t>18th century|based on novel|colonel|french and indian war|revenge</t>
  </si>
  <si>
    <t>Joseph Dorman</t>
  </si>
  <si>
    <t>Rachel Dratch</t>
  </si>
  <si>
    <t>Sholem Aleichem: Laughing in the DarknessÂ </t>
  </si>
  <si>
    <t>jewish identity</t>
  </si>
  <si>
    <t>Thomas Carter</t>
  </si>
  <si>
    <t>Coach CarterÂ </t>
  </si>
  <si>
    <t>basketball|basketball coach|coach|contract|high school</t>
  </si>
  <si>
    <t>Harald Zwart</t>
  </si>
  <si>
    <t>Action|Adventure|Comedy|Crime|Family|Romance|Thriller</t>
  </si>
  <si>
    <t>Agent Cody BanksÂ </t>
  </si>
  <si>
    <t>cia|nanobot|prep school|scientist|teenager</t>
  </si>
  <si>
    <t>Diane English</t>
  </si>
  <si>
    <t>The WomenÂ </t>
  </si>
  <si>
    <t>beauty salon|divorce|fashion|new york|perfume</t>
  </si>
  <si>
    <t>Mia Sara</t>
  </si>
  <si>
    <t>TimecopÂ </t>
  </si>
  <si>
    <t>cop|corrupt politician|future|senator|time travel</t>
  </si>
  <si>
    <t>The GodfatherÂ </t>
  </si>
  <si>
    <t>crime family|mafia|organized crime|patriarch|rise to power</t>
  </si>
  <si>
    <t>Mystery|Sci-Fi|Thriller</t>
  </si>
  <si>
    <t>Joel Courtney</t>
  </si>
  <si>
    <t>Super 8Â </t>
  </si>
  <si>
    <t>deputy|group of friends|time|train|train crash</t>
  </si>
  <si>
    <t>The NotebookÂ </t>
  </si>
  <si>
    <t>class differences|letter|nursing home|second chance|summer love</t>
  </si>
  <si>
    <t>ShaftÂ </t>
  </si>
  <si>
    <t>blaxploitation|detective|drugs|shaft|trial</t>
  </si>
  <si>
    <t>Richard Marquand</t>
  </si>
  <si>
    <t>Star Wars: Episode VI - Return of the JediÂ </t>
  </si>
  <si>
    <t>death star|emperor|empire|princess|rebel</t>
  </si>
  <si>
    <t>Kenneth Lonergan</t>
  </si>
  <si>
    <t>MargaretÂ </t>
  </si>
  <si>
    <t>accident|bus|loss of virginity|new york city|virginity</t>
  </si>
  <si>
    <t>Nick Tomnay</t>
  </si>
  <si>
    <t>David Hyde Pierce</t>
  </si>
  <si>
    <t>The Perfect HostÂ </t>
  </si>
  <si>
    <t>arm tattoo|bank robbery|cauterizing a wound|dancing on a table|dinner party</t>
  </si>
  <si>
    <t>SerenityÂ </t>
  </si>
  <si>
    <t>alliance|cannibalism|future|operative|planet</t>
  </si>
  <si>
    <t>Ron Clements</t>
  </si>
  <si>
    <t>Animation|Family|Fantasy|Musical|Romance</t>
  </si>
  <si>
    <t>The Princess and the FrogÂ </t>
  </si>
  <si>
    <t>amphibian|dream|frog|frog prince|waitress</t>
  </si>
  <si>
    <t>Yimou Zhang</t>
  </si>
  <si>
    <t>Takeshi Kaneshiro</t>
  </si>
  <si>
    <t>House of Flying DaggersÂ </t>
  </si>
  <si>
    <t>flying|flying dagger|government|police|secret</t>
  </si>
  <si>
    <t>Jeff Wadlow</t>
  </si>
  <si>
    <t>Kick-Ass 2Â </t>
  </si>
  <si>
    <t>hit in the crotch|kicked in the crotch|punched in the crotch|sparring|superhero</t>
  </si>
  <si>
    <t>Ringo Lam</t>
  </si>
  <si>
    <t>Natasha Henstridge</t>
  </si>
  <si>
    <t>Maximum RiskÂ </t>
  </si>
  <si>
    <t>fbi|fbi agent|mafia|russian mafia|twin</t>
  </si>
  <si>
    <t>Adventure|Drama|History|Romance|War</t>
  </si>
  <si>
    <t>Cold MountainÂ </t>
  </si>
  <si>
    <t>civil war|mountain|soldier|well|wounded soldier</t>
  </si>
  <si>
    <t>The HolidayÂ </t>
  </si>
  <si>
    <t>book|composer|house|love|self esteem</t>
  </si>
  <si>
    <t>Winged MigrationÂ </t>
  </si>
  <si>
    <t>arctic|bad weather|flight|migration|ocean</t>
  </si>
  <si>
    <t>Joe Cornish</t>
  </si>
  <si>
    <t>John Boyega</t>
  </si>
  <si>
    <t>Attack the BlockÂ </t>
  </si>
  <si>
    <t>alien|alien invasion|apartment|creature|gang</t>
  </si>
  <si>
    <t>The Chronicles of Narnia: The Voyage of the Dawn TreaderÂ </t>
  </si>
  <si>
    <t>dragon|king|mouse|quest|warrior</t>
  </si>
  <si>
    <t>The Good ThiefÂ </t>
  </si>
  <si>
    <t>casino|french riviera|gambler|heist|partner</t>
  </si>
  <si>
    <t>Runaway BrideÂ </t>
  </si>
  <si>
    <t>bride|columnist|journalist|maryland|wedding</t>
  </si>
  <si>
    <t>The BeachÂ </t>
  </si>
  <si>
    <t>love|map|paradise|thailand|travel</t>
  </si>
  <si>
    <t>Glee: The 3D Concert MovieÂ </t>
  </si>
  <si>
    <t>concert|live in concert recording|live performance</t>
  </si>
  <si>
    <t>Boys and GirlsÂ </t>
  </si>
  <si>
    <t>best friend|break up|friendship|graduation|male in underwear</t>
  </si>
  <si>
    <t>Paul Mazursky</t>
  </si>
  <si>
    <t>FaithfulÂ </t>
  </si>
  <si>
    <t>bathroom|bathtub|female protagonist|flashback|kitchen</t>
  </si>
  <si>
    <t>Ursula Andress</t>
  </si>
  <si>
    <t>Dr. NoÂ </t>
  </si>
  <si>
    <t>british secret service|hand to hand combat|murder|official james bond series|terrorist plot</t>
  </si>
  <si>
    <t>Mikael HÃ¥fstrÃ¶m</t>
  </si>
  <si>
    <t>The RiteÂ </t>
  </si>
  <si>
    <t>demon|exorcism|exorcist|faith|seminary</t>
  </si>
  <si>
    <t>Gary Rogers</t>
  </si>
  <si>
    <t>Adventure</t>
  </si>
  <si>
    <t>Noah Danby</t>
  </si>
  <si>
    <t>The Book of Mormon Movie, Volume 1: The JourneyÂ </t>
  </si>
  <si>
    <t>jerusalem|journey|promised land|ship|wilderness</t>
  </si>
  <si>
    <t>Adrienne Shelly</t>
  </si>
  <si>
    <t>Lew Temple</t>
  </si>
  <si>
    <t>WaitressÂ </t>
  </si>
  <si>
    <t>domestic violence|pregnancy|unhappy marriage|unwanted pregnancy|waitress</t>
  </si>
  <si>
    <t>Ernie Barbarash</t>
  </si>
  <si>
    <t>Falcon RisingÂ </t>
  </si>
  <si>
    <t>Andy Fickman</t>
  </si>
  <si>
    <t>She's the ManÂ </t>
  </si>
  <si>
    <t>disguise|roommate|school|soccer|twin</t>
  </si>
  <si>
    <t>Steve Bendelack</t>
  </si>
  <si>
    <t>Lily Atkinson</t>
  </si>
  <si>
    <t>Mr. Bean's HolidayÂ </t>
  </si>
  <si>
    <t>camcorder|cannes|director|lost passport|train</t>
  </si>
  <si>
    <t>Howl's Moving CastleÂ </t>
  </si>
  <si>
    <t>anime|castle|demon|steampunk|witch</t>
  </si>
  <si>
    <t>The InfiltratorÂ </t>
  </si>
  <si>
    <t>Sidney J. Furie</t>
  </si>
  <si>
    <t>Superman IV: The Quest for PeaceÂ </t>
  </si>
  <si>
    <t>box office flop|dc comics|hair|nuclear disarmament|superman</t>
  </si>
  <si>
    <t>S.S. Rajamouli</t>
  </si>
  <si>
    <t>Action|Adventure|Drama|Fantasy|War</t>
  </si>
  <si>
    <t>Tamannaah Bhatia</t>
  </si>
  <si>
    <t>Baahubali: The BeginningÂ </t>
  </si>
  <si>
    <t>ancient india|dual role|good versus evil|hindu|kingdom</t>
  </si>
  <si>
    <t>Telugu</t>
  </si>
  <si>
    <t>Peggy Sue Got MarriedÂ </t>
  </si>
  <si>
    <t>alternate history|alternate timeline|divorce|high school|reunion</t>
  </si>
  <si>
    <t>Bo Welch</t>
  </si>
  <si>
    <t>Sean Hayes</t>
  </si>
  <si>
    <t>The Cat in the HatÂ </t>
  </si>
  <si>
    <t>based on cult comic book|cat|home alone|imagination|talking cat</t>
  </si>
  <si>
    <t>Antonio Banderas</t>
  </si>
  <si>
    <t>Meat Loaf</t>
  </si>
  <si>
    <t>Crazy in AlabamaÂ </t>
  </si>
  <si>
    <t>abusive husband|alabama|boy|dream|sheriff</t>
  </si>
  <si>
    <t>Labor DayÂ </t>
  </si>
  <si>
    <t>baseball|baseball practice|escaped convict|neighbor|tied to a chair</t>
  </si>
  <si>
    <t>Darren Lynn Bousman</t>
  </si>
  <si>
    <t>Emmanuelle Vaugier</t>
  </si>
  <si>
    <t>Saw IIÂ </t>
  </si>
  <si>
    <t>death|detective|nerve gas|serial killer|trap</t>
  </si>
  <si>
    <t>Jensen Ackles</t>
  </si>
  <si>
    <t>My Bloody ValentineÂ </t>
  </si>
  <si>
    <t>coma|death|miner|valentine|valentine's day</t>
  </si>
  <si>
    <t>To Die ForÂ </t>
  </si>
  <si>
    <t>career|fame|murder|new hampshire|television</t>
  </si>
  <si>
    <t>Alexander Witt</t>
  </si>
  <si>
    <t>Resident Evil: ApocalypseÂ </t>
  </si>
  <si>
    <t>cover up|monster|strong female character|strong female lead|zombie apocalypse</t>
  </si>
  <si>
    <t>Justin Zackham</t>
  </si>
  <si>
    <t>The Big WeddingÂ </t>
  </si>
  <si>
    <t>adoption|divorce|family relationships|farce|wedding</t>
  </si>
  <si>
    <t>Patricia Tallman</t>
  </si>
  <si>
    <t>Army of DarknessÂ </t>
  </si>
  <si>
    <t>army of the dead|battle|necronomicon|reluctant hero|skeleton soldier</t>
  </si>
  <si>
    <t>What's Eating Gilbert GrapeÂ </t>
  </si>
  <si>
    <t>apostrophe in title|face slap|four word title|grocery store|police</t>
  </si>
  <si>
    <t>Brittany Daniel</t>
  </si>
  <si>
    <t>Joe DirtÂ </t>
  </si>
  <si>
    <t>first part|grand canyon|highway travel|indian|janitor</t>
  </si>
  <si>
    <t>Alan Shapiro</t>
  </si>
  <si>
    <t>Adventure|Family</t>
  </si>
  <si>
    <t>Paul Hogan</t>
  </si>
  <si>
    <t>FlipperÂ </t>
  </si>
  <si>
    <t>dolphin|florida|florida keys|summer|vomiting</t>
  </si>
  <si>
    <t>Action|War</t>
  </si>
  <si>
    <t>U-571Â </t>
  </si>
  <si>
    <t>battle|historically inaccurate|submarine movie|u boat|world war two</t>
  </si>
  <si>
    <t>John Luessenhop</t>
  </si>
  <si>
    <t>Gunnar Hansen</t>
  </si>
  <si>
    <t>Texas Chainsaw 3DÂ </t>
  </si>
  <si>
    <t>chainsaw|halloween|mansion|massacre|texas</t>
  </si>
  <si>
    <t>Zero Dark ThirtyÂ </t>
  </si>
  <si>
    <t>al qaeda|cia|interrogation|lie|navy seal</t>
  </si>
  <si>
    <t>A Knight's TaleÂ </t>
  </si>
  <si>
    <t>chaucer|jousting|knight|medieval times|tournament</t>
  </si>
  <si>
    <t>Shrek Forever AfterÂ </t>
  </si>
  <si>
    <t>alternate world|fairy tale parody|female warrior|ogre|true love</t>
  </si>
  <si>
    <t>Armando Riesco</t>
  </si>
  <si>
    <t>Garden StateÂ </t>
  </si>
  <si>
    <t>actor|doctor|drugs|home|pain</t>
  </si>
  <si>
    <t>Olivia Munn</t>
  </si>
  <si>
    <t>Deliver Us from EvilÂ </t>
  </si>
  <si>
    <t>confession|demonic possession|exorcism|flickering light|priest</t>
  </si>
  <si>
    <t>Jerry Zucker</t>
  </si>
  <si>
    <t>Corinna Harney</t>
  </si>
  <si>
    <t>Rat RaceÂ </t>
  </si>
  <si>
    <t>casino|locker|money|museum|race</t>
  </si>
  <si>
    <t>Tom Gormican</t>
  </si>
  <si>
    <t>Mackenzie Davis</t>
  </si>
  <si>
    <t>That Awkward MomentÂ </t>
  </si>
  <si>
    <t>dating|divorce|father daughter relationship|mother daughter relationship|party</t>
  </si>
  <si>
    <t>Action|Crime|Drama|History|Western</t>
  </si>
  <si>
    <t>The Newton BoysÂ </t>
  </si>
  <si>
    <t>bank robber|brother brother relationship|crime spree|explosive|train</t>
  </si>
  <si>
    <t>Damon Santostefano</t>
  </si>
  <si>
    <t>Matthew Perry</t>
  </si>
  <si>
    <t>Three to TangoÂ </t>
  </si>
  <si>
    <t>architect|award|farce|love|misunderstanding</t>
  </si>
  <si>
    <t>Steve Beck</t>
  </si>
  <si>
    <t>Isaiah Washington</t>
  </si>
  <si>
    <t>Ghost ShipÂ </t>
  </si>
  <si>
    <t>decapitation|ghost ship|passenger|severed head|torso cut in half</t>
  </si>
  <si>
    <t>Romeo Must DieÂ </t>
  </si>
  <si>
    <t>death|hong kong|kung fu|prison|waterfront</t>
  </si>
  <si>
    <t>Pete Jones</t>
  </si>
  <si>
    <t>Stolen SummerÂ </t>
  </si>
  <si>
    <t>catholic|catholicism|rabbi|school|summer</t>
  </si>
  <si>
    <t>Joseph Ruben</t>
  </si>
  <si>
    <t>Vincent Pastore</t>
  </si>
  <si>
    <t>Money TrainÂ </t>
  </si>
  <si>
    <t>bare breasts|breast|loan shark|subway|train</t>
  </si>
  <si>
    <t>The Color of MoneyÂ </t>
  </si>
  <si>
    <t>hustler|losing|pool|pool player|tournament</t>
  </si>
  <si>
    <t>Yes ManÂ </t>
  </si>
  <si>
    <t>best friend|dvd|girlfriend|loan|self help</t>
  </si>
  <si>
    <t>Our Family WeddingÂ </t>
  </si>
  <si>
    <t>california|love|marriage|wedding|wedding dress</t>
  </si>
  <si>
    <t>Matt Price</t>
  </si>
  <si>
    <t>Man on the MoonÂ </t>
  </si>
  <si>
    <t>andy kaufman|comedian|eccentric|wrestler|wrestling</t>
  </si>
  <si>
    <t>Clay Kaytis</t>
  </si>
  <si>
    <t>Action|Animation|Comedy|Family</t>
  </si>
  <si>
    <t>The Angry Birds MovieÂ </t>
  </si>
  <si>
    <t>butt|downward duck|fish|kingfisher|pig</t>
  </si>
  <si>
    <t>Grant Heslov</t>
  </si>
  <si>
    <t>Comedy|War</t>
  </si>
  <si>
    <t>The Men Who Stare at GoatsÂ </t>
  </si>
  <si>
    <t>first person narration|general|hampster|reference to loch ness monster|reporter</t>
  </si>
  <si>
    <t>Beyond BordersÂ </t>
  </si>
  <si>
    <t>africa|american|border|doctor|well</t>
  </si>
  <si>
    <t>Anthony Hickox</t>
  </si>
  <si>
    <t>Warlock: The ArmageddonÂ </t>
  </si>
  <si>
    <t>druid|eclipse|rune|scalping|warlock</t>
  </si>
  <si>
    <t>Nathalie Fay</t>
  </si>
  <si>
    <t>SomewhereÂ </t>
  </si>
  <si>
    <t>actor|boredom|luxury hotel|party|trip</t>
  </si>
  <si>
    <t>Philip Kaufman</t>
  </si>
  <si>
    <t>Adventure|Drama|History</t>
  </si>
  <si>
    <t>The Right StuffÂ </t>
  </si>
  <si>
    <t>astronaut|sound barrier|space program|u.s. air force|u.s. space program</t>
  </si>
  <si>
    <t>Spy KidsÂ </t>
  </si>
  <si>
    <t>brother sister relationship|espionage|rescue|secret agent|spy</t>
  </si>
  <si>
    <t>ShortsÂ </t>
  </si>
  <si>
    <t>boy|family relationships|rock|twin|two headed person</t>
  </si>
  <si>
    <t>Danny Steinmann</t>
  </si>
  <si>
    <t>Tiffany Helm</t>
  </si>
  <si>
    <t>Friday the 13th: A New BeginningÂ </t>
  </si>
  <si>
    <t>jason voorhees|murder|new jersey|nightmare|teenager</t>
  </si>
  <si>
    <t>Richard Brooker</t>
  </si>
  <si>
    <t>Friday the 13th Part IIIÂ </t>
  </si>
  <si>
    <t>defecation|hockey mask|jason voorhees|lake|serial killer</t>
  </si>
  <si>
    <t>3 Days to KillÂ </t>
  </si>
  <si>
    <t>cancer|estranged wife|leather dress|spy|terrorist</t>
  </si>
  <si>
    <t>Karan Johar</t>
  </si>
  <si>
    <t>Kabhi Alvida Naa KehnaÂ </t>
  </si>
  <si>
    <t>extramarital affair|fashion magazine editor|marriage|new york|teacher</t>
  </si>
  <si>
    <t>Formula 51Â </t>
  </si>
  <si>
    <t>american in the uk|drug lord|drugs|gangster|organized crime</t>
  </si>
  <si>
    <t>David Boyd</t>
  </si>
  <si>
    <t>Home RunÂ </t>
  </si>
  <si>
    <t>addiction|alcoholic|baseball|car accident|reference to god</t>
  </si>
  <si>
    <t>X-Men: ApocalypseÂ </t>
  </si>
  <si>
    <t>mutant|superhero|superhero team|x men|year 1983</t>
  </si>
  <si>
    <t>Warren Beatty</t>
  </si>
  <si>
    <t>Action|Comedy|Crime|Music|Romance|Thriller</t>
  </si>
  <si>
    <t>Charlie Korsmo</t>
  </si>
  <si>
    <t>Dick TracyÂ </t>
  </si>
  <si>
    <t>crime boss|detective|dick tracy|gangster|orphan</t>
  </si>
  <si>
    <t>Action|Adventure|Family|Mystery|Sci-Fi</t>
  </si>
  <si>
    <t>TomorrowlandÂ </t>
  </si>
  <si>
    <t>boy genius|futuristic city|inventor|teenage girl|time travel</t>
  </si>
  <si>
    <t>Mark A.Z. DippÃ©</t>
  </si>
  <si>
    <t>Action|Horror</t>
  </si>
  <si>
    <t>SpawnÂ </t>
  </si>
  <si>
    <t>based on comic|based on comic book|dark hero|image comics|superhero</t>
  </si>
  <si>
    <t>Richard Curtis</t>
  </si>
  <si>
    <t>Tom Hughes</t>
  </si>
  <si>
    <t>About TimeÂ </t>
  </si>
  <si>
    <t>boyfriend girlfriend relationship|lingerie slip|time travel|time travel romance|wedding</t>
  </si>
  <si>
    <t>Simon Curtis</t>
  </si>
  <si>
    <t>Woman in GoldÂ </t>
  </si>
  <si>
    <t>art|jewish|justice|nazi|theft</t>
  </si>
  <si>
    <t>Troy Miller</t>
  </si>
  <si>
    <t>Elden Henson</t>
  </si>
  <si>
    <t>Dumb and Dumberer: When Harry Met LloydÂ </t>
  </si>
  <si>
    <t>1980s|buddy|high school|prequel to cult favorite|teenager</t>
  </si>
  <si>
    <t>Robin HoodÂ </t>
  </si>
  <si>
    <t>1190s|archer|england|king of england|robin hood</t>
  </si>
  <si>
    <t>Steven Seagal</t>
  </si>
  <si>
    <t>On Deadly GroundÂ </t>
  </si>
  <si>
    <t>environmental|murder|oil|oil spill|tribe</t>
  </si>
  <si>
    <t>RZA</t>
  </si>
  <si>
    <t>Rick Yune</t>
  </si>
  <si>
    <t>The Man with the Iron FistsÂ </t>
  </si>
  <si>
    <t>blacksmith|box office flop|chop socky|critically bashed|village</t>
  </si>
  <si>
    <t>BulworthÂ </t>
  </si>
  <si>
    <t>hip hop|liberal|politics|senator|truth</t>
  </si>
  <si>
    <t>ThunderbirdsÂ </t>
  </si>
  <si>
    <t>astronaut|island|lady penelope|rescue|the hood</t>
  </si>
  <si>
    <t>Comedy|Family|Fantasy|Sport</t>
  </si>
  <si>
    <t>Brenda Song</t>
  </si>
  <si>
    <t>Like MikeÂ </t>
  </si>
  <si>
    <t>basketball|lightning|nba|orphanage|shoe</t>
  </si>
  <si>
    <t>Russ Meyer</t>
  </si>
  <si>
    <t>Charles Napier</t>
  </si>
  <si>
    <t>Beyond the Valley of the DollsÂ </t>
  </si>
  <si>
    <t>band|drugs|friendship|hollywood|satire</t>
  </si>
  <si>
    <t>Davis Guggenheim</t>
  </si>
  <si>
    <t>GracieÂ </t>
  </si>
  <si>
    <t>boy|girl|soccer|south orange new jersey|teenager</t>
  </si>
  <si>
    <t>Family|Sci-Fi</t>
  </si>
  <si>
    <t>E.T. the Extra-TerrestrialÂ </t>
  </si>
  <si>
    <t>bicyclist|boy|doll|star wars reference|voice impersonation</t>
  </si>
  <si>
    <t>Megiddo: The Omega Code 2Â </t>
  </si>
  <si>
    <t>armageddon|battle|end times|reference to satan|sequel</t>
  </si>
  <si>
    <t>Cop OutÂ </t>
  </si>
  <si>
    <t>baseball card|detective|partner|thief|wedding</t>
  </si>
  <si>
    <t>Dan Harris</t>
  </si>
  <si>
    <t>Kip Pardue</t>
  </si>
  <si>
    <t>Imaginary HeroesÂ </t>
  </si>
  <si>
    <t>cat|christmas song|lawn mowing|leave of absence|medication</t>
  </si>
  <si>
    <t>The Great GatsbyÂ </t>
  </si>
  <si>
    <t>ingratitude|mansion|party|title appears in writing|tragedy</t>
  </si>
  <si>
    <t>Peter R. Hunt</t>
  </si>
  <si>
    <t>Telly Savalas</t>
  </si>
  <si>
    <t>On Her Majesty's Secret ServiceÂ </t>
  </si>
  <si>
    <t>bond girl|british|mission|portugal|switzerland</t>
  </si>
  <si>
    <t>John Landis</t>
  </si>
  <si>
    <t>Beverly Hills Cop IIIÂ </t>
  </si>
  <si>
    <t>california|counterfeit|counterfeit money|money|theme park</t>
  </si>
  <si>
    <t>Terrence Malick</t>
  </si>
  <si>
    <t>The Thin Red LineÂ </t>
  </si>
  <si>
    <t>battle|hill|jungle|multiple perspectives|tropical island</t>
  </si>
  <si>
    <t>Lilli Lavine</t>
  </si>
  <si>
    <t>SerendipityÂ </t>
  </si>
  <si>
    <t>christmas|destiny|fate|love|serendipity</t>
  </si>
  <si>
    <t>Stay AliveÂ </t>
  </si>
  <si>
    <t>countess|game reality crossover|ghost|group of friends|tower</t>
  </si>
  <si>
    <t>The Bone CollectorÂ </t>
  </si>
  <si>
    <t>new york city|police|quadriplegic|serial killer|suicide</t>
  </si>
  <si>
    <t>Brian Baugh</t>
  </si>
  <si>
    <t>Randy Wayne</t>
  </si>
  <si>
    <t>To Save a LifeÂ </t>
  </si>
  <si>
    <t>basketball|beer pong|childhood friend|christian|suicide</t>
  </si>
  <si>
    <t>Kimberly J. Brown</t>
  </si>
  <si>
    <t>TumbleweedsÂ </t>
  </si>
  <si>
    <t>boss|fight|reference to william shakespeare|white trash|written and directed by cast member</t>
  </si>
  <si>
    <t>Action|Adventure|Family|Fantasy|Sci-Fi|Thriller</t>
  </si>
  <si>
    <t>Race to Witch MountainÂ </t>
  </si>
  <si>
    <t>alien|military|mountain|spacecraft|ufo</t>
  </si>
  <si>
    <t>Taylor Lautner</t>
  </si>
  <si>
    <t>The Adventures of Sharkboy and Lavagirl 3-DÂ </t>
  </si>
  <si>
    <t>boy|bully|dream|dream sequence|planet</t>
  </si>
  <si>
    <t>Alex CrossÂ </t>
  </si>
  <si>
    <t>assassin|detective|partner|police|serial killer</t>
  </si>
  <si>
    <t>Hal Haberman</t>
  </si>
  <si>
    <t>SpecialÂ </t>
  </si>
  <si>
    <t>dream sequence|locked in a room|looking at self in mirror|medication|superhero</t>
  </si>
  <si>
    <t>Richard Wilson</t>
  </si>
  <si>
    <t>A Passage to IndiaÂ </t>
  </si>
  <si>
    <t>doctor|english|india|magistrate|mosque</t>
  </si>
  <si>
    <t>Drew Barrymore</t>
  </si>
  <si>
    <t>Daniel Stern</t>
  </si>
  <si>
    <t>Whip ItÂ </t>
  </si>
  <si>
    <t>beauty pageant|friend|pageant|roller derby|texas</t>
  </si>
  <si>
    <t>Nicole Holofcener</t>
  </si>
  <si>
    <t>Walking and TalkingÂ </t>
  </si>
  <si>
    <t>briefs|cancer|cat|cult film|friend</t>
  </si>
  <si>
    <t>The Lord of the Rings: The Return of the KingÂ </t>
  </si>
  <si>
    <t>battle|epic|king|orc|ring</t>
  </si>
  <si>
    <t>Grown UpsÂ </t>
  </si>
  <si>
    <t>basketball|coach|daughter|high school|high school basketball</t>
  </si>
  <si>
    <t>Angela Robinson</t>
  </si>
  <si>
    <t>D.E.B.S.Â </t>
  </si>
  <si>
    <t>1959 cadillac|diamonds|female villain|force field|voyeurism</t>
  </si>
  <si>
    <t>Dean Stockwell</t>
  </si>
  <si>
    <t>Beverly Hills Cop IIÂ </t>
  </si>
  <si>
    <t>detective|police|police chief|robbery|tall woman</t>
  </si>
  <si>
    <t>Batman v Superman: Dawn of JusticeÂ </t>
  </si>
  <si>
    <t>based on comic book|batman|sequel to a reboot|superhero|superman</t>
  </si>
  <si>
    <t>C. Jay Cox</t>
  </si>
  <si>
    <t>Tori Spelling</t>
  </si>
  <si>
    <t>Kiss the BrideÂ </t>
  </si>
  <si>
    <t>best friend|high school|love|secret|wedding</t>
  </si>
  <si>
    <t>Alison Brie</t>
  </si>
  <si>
    <t>Scream 4Â </t>
  </si>
  <si>
    <t>author|book|deputy|murder|sheriff</t>
  </si>
  <si>
    <t>Adventure|Comedy|Music|Sci-Fi</t>
  </si>
  <si>
    <t>Bill &amp; Ted's Excellent AdventureÂ </t>
  </si>
  <si>
    <t>failing student|high school|payphone|teenager|telephone booth</t>
  </si>
  <si>
    <t>Knocked UpÂ </t>
  </si>
  <si>
    <t>one night stand|pregnancy|slacker|unplanned pregnancy|website</t>
  </si>
  <si>
    <t>Luenell</t>
  </si>
  <si>
    <t>Borat: Cultural Learnings of America for Make Benefit Glorious Nation of KazakhstanÂ </t>
  </si>
  <si>
    <t>california|city|kazakhstan|travel|tv reporter</t>
  </si>
  <si>
    <t>The ReaderÂ </t>
  </si>
  <si>
    <t>love|reading|teaching oneself to read|trial|war crime</t>
  </si>
  <si>
    <t>Shari Albert</t>
  </si>
  <si>
    <t>The Brothers McMullenÂ </t>
  </si>
  <si>
    <t>abusive father|critically acclaimed|loss of father|love|true love</t>
  </si>
  <si>
    <t>Mrs. DoubtfireÂ </t>
  </si>
  <si>
    <t>actor|based on novel|fancy restaurant|male actor playing a female character|party</t>
  </si>
  <si>
    <t>Oren Peli</t>
  </si>
  <si>
    <t>Micah Sloat</t>
  </si>
  <si>
    <t>Paranormal ActivityÂ </t>
  </si>
  <si>
    <t>dark force|entity|evil force|found footage|paranormal phenomenon</t>
  </si>
  <si>
    <t>Daniel Stamm</t>
  </si>
  <si>
    <t>Caleb Landry Jones</t>
  </si>
  <si>
    <t>The Last ExorcismÂ </t>
  </si>
  <si>
    <t>cult film|documentary crew|exorcism|found footage|satanic ritual</t>
  </si>
  <si>
    <t>Adventure|Comedy|Family|Romance</t>
  </si>
  <si>
    <t>Are We There Yet?Â </t>
  </si>
  <si>
    <t>car fire|children|cockroach|independent film|new year</t>
  </si>
  <si>
    <t>Joseph L. Mankiewicz</t>
  </si>
  <si>
    <t>CleopatraÂ </t>
  </si>
  <si>
    <t>cleopatra|egypt|epic|queen|roman empire</t>
  </si>
  <si>
    <t>John Wells</t>
  </si>
  <si>
    <t>August: Osage CountyÂ </t>
  </si>
  <si>
    <t>based on play|incestuous relationship|pedophilia|secret|teenage daughter</t>
  </si>
  <si>
    <t>Joseph Kosinski</t>
  </si>
  <si>
    <t>TRON: LegacyÂ </t>
  </si>
  <si>
    <t>arcade|bridge|disappearance|escape|warrior</t>
  </si>
  <si>
    <t>TitanicÂ </t>
  </si>
  <si>
    <t>artist|love|ship|titanic|wet</t>
  </si>
  <si>
    <t>AndrÃ©s Muschietti</t>
  </si>
  <si>
    <t>MamaÂ </t>
  </si>
  <si>
    <t>aunt|children|death of sister|forest|hiding in a closet</t>
  </si>
  <si>
    <t>Henry Koster</t>
  </si>
  <si>
    <t>Richard Burton</t>
  </si>
  <si>
    <t>The RobeÂ </t>
  </si>
  <si>
    <t>box office hit|crucifixion|nightmare|palestine|robe</t>
  </si>
  <si>
    <t>Animation|Comedy|Family|Horror|Sci-Fi</t>
  </si>
  <si>
    <t>FrankenweenieÂ </t>
  </si>
  <si>
    <t>dog|life|remake by original director|science|stop motion animation</t>
  </si>
  <si>
    <t>Ritesh Batra</t>
  </si>
  <si>
    <t>Nawazuddin Siddiqui</t>
  </si>
  <si>
    <t>The LunchboxÂ </t>
  </si>
  <si>
    <t>delivery|delivery to wrong address|lunchbox|open ended|unconventional romance</t>
  </si>
  <si>
    <t>Mark Tarlov</t>
  </si>
  <si>
    <t>Simply IrresistibleÂ </t>
  </si>
  <si>
    <t>chef|female chef|love|magic|restaurant</t>
  </si>
  <si>
    <t>Stockard Channing</t>
  </si>
  <si>
    <t>The First Wives ClubÂ </t>
  </si>
  <si>
    <t>cult film|female therapist|revenge|revenge motive|therapy session</t>
  </si>
  <si>
    <t>Mark Pellington</t>
  </si>
  <si>
    <t>Arlington RoadÂ </t>
  </si>
  <si>
    <t>death|fbi|fbi agent|neighbor|professor</t>
  </si>
  <si>
    <t>Floyd Mutrux</t>
  </si>
  <si>
    <t>Ricky Schroder</t>
  </si>
  <si>
    <t>There Goes My BabyÂ </t>
  </si>
  <si>
    <t>high school|love|police|showdown|surfer</t>
  </si>
  <si>
    <t>SuperbadÂ </t>
  </si>
  <si>
    <t>black comedy|bromance|party|school|teen comedy</t>
  </si>
  <si>
    <t>William Malone</t>
  </si>
  <si>
    <t>Jeffrey Combs</t>
  </si>
  <si>
    <t>House on Haunted HillÂ </t>
  </si>
  <si>
    <t>billionaire|corpse|eccentric|haunted hospital|haunted house</t>
  </si>
  <si>
    <t>Mike Judge</t>
  </si>
  <si>
    <t>Adventure|Animation|Comedy|Crime</t>
  </si>
  <si>
    <t>Beavis and Butt-Head Do AmericaÂ </t>
  </si>
  <si>
    <t>beavis and butt head|fbi|score|television|television set</t>
  </si>
  <si>
    <t>Damon Wayans</t>
  </si>
  <si>
    <t>Marci XÂ </t>
  </si>
  <si>
    <t>female protagonist|hip hop|jewish american princess|rapper|record label</t>
  </si>
  <si>
    <t>Horrible Bosses 2Â </t>
  </si>
  <si>
    <t>kidnapping|reference to franz beckenbauer|scene during end credits|second part|singing in a car</t>
  </si>
  <si>
    <t>Amy Heckerling</t>
  </si>
  <si>
    <t>Andy Dick</t>
  </si>
  <si>
    <t>LoserÂ </t>
  </si>
  <si>
    <t>college|loser|love|new york city|overdose</t>
  </si>
  <si>
    <t>Bedtime StoriesÂ </t>
  </si>
  <si>
    <t>2000s|bedtime story|elephant|handyman|tween girl</t>
  </si>
  <si>
    <t>Joey Lauren Adams</t>
  </si>
  <si>
    <t>Come Early MorningÂ </t>
  </si>
  <si>
    <t>church|drink|knocking on a door|love|three word title</t>
  </si>
  <si>
    <t>Pushing TinÂ </t>
  </si>
  <si>
    <t>air traffic control|air traffic controller|female bodybuilder|job|marriage</t>
  </si>
  <si>
    <t>Kenneth Johnson</t>
  </si>
  <si>
    <t>Action|Crime|Sci-Fi</t>
  </si>
  <si>
    <t>SteelÂ </t>
  </si>
  <si>
    <t>fight|gang|junkyard|military|soldier</t>
  </si>
  <si>
    <t>StÃ©phane Aubier</t>
  </si>
  <si>
    <t>Animation|Comedy|Crime|Drama|Family</t>
  </si>
  <si>
    <t>Ernest &amp; CelestineÂ </t>
  </si>
  <si>
    <t>bear|dentist|friendship|mouse|prejudice</t>
  </si>
  <si>
    <t>Patty Jenkins</t>
  </si>
  <si>
    <t>MonsterÂ </t>
  </si>
  <si>
    <t>beach|female criminal|hooker|lesbian|prostitute</t>
  </si>
  <si>
    <t>Adventure|Animation|Comedy|Family|Musical</t>
  </si>
  <si>
    <t>Rio 2Â </t>
  </si>
  <si>
    <t>amazon|bird|father in law|jungle|no opening credits</t>
  </si>
  <si>
    <t>Robert Stevenson</t>
  </si>
  <si>
    <t>Comedy|Family|Fantasy|Musical</t>
  </si>
  <si>
    <t>Ed Wynn</t>
  </si>
  <si>
    <t>Mary PoppinsÂ </t>
  </si>
  <si>
    <t>banker|female protagonist|live action and animation|magic|nanny</t>
  </si>
  <si>
    <t>Adam Rapp</t>
  </si>
  <si>
    <t>Winter PassingÂ </t>
  </si>
  <si>
    <t>love|michigan|musician|novelist|student</t>
  </si>
  <si>
    <t>Xander Berkeley</t>
  </si>
  <si>
    <t>Shanghai NoonÂ </t>
  </si>
  <si>
    <t>19th century|chinese|princess|rescue|travel</t>
  </si>
  <si>
    <t>Final DestinationÂ </t>
  </si>
  <si>
    <t>dead teenager|death|explosion|premonition|teenager</t>
  </si>
  <si>
    <t>500 Days of SummerÂ </t>
  </si>
  <si>
    <t>friend|greeting card|office|summer|true love</t>
  </si>
  <si>
    <t>P.S. I Love YouÂ </t>
  </si>
  <si>
    <t>birthday|friendship|hairy chest|letter|widow</t>
  </si>
  <si>
    <t>Jacob Tremblay</t>
  </si>
  <si>
    <t>The Smurfs 2Â </t>
  </si>
  <si>
    <t>based on cartoon|box office hit|no opening credits|sequel|smurf</t>
  </si>
  <si>
    <t>Pirates of the Caribbean: At World's End</t>
  </si>
  <si>
    <t>goddess|marriage ceremony|marriage proposal|pirate|singapore</t>
  </si>
  <si>
    <t>The Tree of LifeÂ </t>
  </si>
  <si>
    <t>1950s|children|ice cube|texas|waco texas</t>
  </si>
  <si>
    <t>Charles Shyer</t>
  </si>
  <si>
    <t>AlfieÂ </t>
  </si>
  <si>
    <t>best friend|commitment|friend|limousine driver|one night stand</t>
  </si>
  <si>
    <t>Action|Comedy|Crime|Drama</t>
  </si>
  <si>
    <t>After the SunsetÂ </t>
  </si>
  <si>
    <t>diamond|fbi|fbi agent|island|thief</t>
  </si>
  <si>
    <t>Next Stop WonderlandÂ </t>
  </si>
  <si>
    <t>love|marine biologist|nurse|personal ad|plumber</t>
  </si>
  <si>
    <t>Chris Paine</t>
  </si>
  <si>
    <t>Who Killed the Electric Car?Â </t>
  </si>
  <si>
    <t>california|car|reference to ralph nader|technology|u.s. president</t>
  </si>
  <si>
    <t>Into the BlueÂ </t>
  </si>
  <si>
    <t>bahamas|blood splatter|cocaine|hairy chest|shark</t>
  </si>
  <si>
    <t>Abel Ferrara</t>
  </si>
  <si>
    <t>Isabella Rossellini</t>
  </si>
  <si>
    <t>The FuneralÂ </t>
  </si>
  <si>
    <t>1930s|madness|murder|new york city|violence</t>
  </si>
  <si>
    <t>IrisÂ </t>
  </si>
  <si>
    <t>alzheimer's disease|book|love|novelist|writer</t>
  </si>
  <si>
    <t>Franklin J. Schaffner</t>
  </si>
  <si>
    <t>SphinxÂ </t>
  </si>
  <si>
    <t>bat|curse|egyptologist|mummy|murder</t>
  </si>
  <si>
    <t>Rusty Cundieff</t>
  </si>
  <si>
    <t>Corbin Bernsen</t>
  </si>
  <si>
    <t>Tales from the HoodÂ </t>
  </si>
  <si>
    <t>child abuse|death|drugs|ku klux klan|police brutality</t>
  </si>
  <si>
    <t>Night at the Museum: Battle of the SmithsonianÂ </t>
  </si>
  <si>
    <t>hdtv|motorcycle|museum|security guard|tyrannosaurus rex</t>
  </si>
  <si>
    <t>Malibu's Most WantedÂ </t>
  </si>
  <si>
    <t>los angeles california|person in car trunk|racial impersonation|south asian|street gang</t>
  </si>
  <si>
    <t>Comedy|Drama|Musical</t>
  </si>
  <si>
    <t>Tisha Campbell-Martin</t>
  </si>
  <si>
    <t>School DazeÂ </t>
  </si>
  <si>
    <t>beauty salon|black college|college|fraternity|sorority</t>
  </si>
  <si>
    <t>Life as a HouseÂ </t>
  </si>
  <si>
    <t>cancer|construction|house|house construction|neighbor</t>
  </si>
  <si>
    <t>The GiverÂ </t>
  </si>
  <si>
    <t>black and white segues into color|color|community|dystopia|infanticide</t>
  </si>
  <si>
    <t>Jim Field Smith</t>
  </si>
  <si>
    <t>She's Out of My LeagueÂ </t>
  </si>
  <si>
    <t>airport|airport security|confidence|iphone|love</t>
  </si>
  <si>
    <t>Life or Something Like ItÂ </t>
  </si>
  <si>
    <t>football|homeless man|interview|psychic|reporter</t>
  </si>
  <si>
    <t>Yarrow Cheney</t>
  </si>
  <si>
    <t>The Secret Life of PetsÂ </t>
  </si>
  <si>
    <t>animal control|lost animal|mongrel|pet|terrier</t>
  </si>
  <si>
    <t>Gina Prince-Bythewood</t>
  </si>
  <si>
    <t>Drama|Romance|Sport</t>
  </si>
  <si>
    <t>Love &amp; BasketballÂ </t>
  </si>
  <si>
    <t>basketball movie|female basketball player|high school|nba|title directed by female</t>
  </si>
  <si>
    <t>Comedy|Crime|Romance|Thriller</t>
  </si>
  <si>
    <t>Date NightÂ </t>
  </si>
  <si>
    <t>city|new york city|night|reservation|restaurant</t>
  </si>
  <si>
    <t>Stephen Amell</t>
  </si>
  <si>
    <t>Teenage Mutant Ninja Turtles: Out of the ShadowsÂ </t>
  </si>
  <si>
    <t>based on comic book|brother brother relationship|rat|sequel|turtle</t>
  </si>
  <si>
    <t>Mark Christopher</t>
  </si>
  <si>
    <t>54Â </t>
  </si>
  <si>
    <t>angel dust the drug|disco|new york city|quaalude|reference to princess grace of monaco</t>
  </si>
  <si>
    <t>Daddy Day CareÂ </t>
  </si>
  <si>
    <t>bloopers during credits|breakfast cereal|department store ride|face painting|sponge bob square pants slippers</t>
  </si>
  <si>
    <t>Peter Ramsey</t>
  </si>
  <si>
    <t>Rise of the GuardiansÂ </t>
  </si>
  <si>
    <t>belief|box office hit|children|new york city|tooth</t>
  </si>
  <si>
    <t>Jean-Jacques Mantello</t>
  </si>
  <si>
    <t>Adventure|Documentary|Short</t>
  </si>
  <si>
    <t>Dolphins and Whales 3D: Tribes of the OceanÂ </t>
  </si>
  <si>
    <t>3d in title|animal in title|digit in title|dolphin|manatee</t>
  </si>
  <si>
    <t>Thomas Bezucha</t>
  </si>
  <si>
    <t>Craig T. Nelson</t>
  </si>
  <si>
    <t>The Family StoneÂ </t>
  </si>
  <si>
    <t>christmas|cruelty|ring|secret|tension</t>
  </si>
  <si>
    <t>HighlanderÂ </t>
  </si>
  <si>
    <t>combat|head cut off|immortal|scotland|swordsman</t>
  </si>
  <si>
    <t>Vanity FairÂ </t>
  </si>
  <si>
    <t>aristocrat|english|painter|painting|singer</t>
  </si>
  <si>
    <t>Lucky YouÂ </t>
  </si>
  <si>
    <t>losing|poker|poker player|reference to frederic chopin|reference to johannes brahms</t>
  </si>
  <si>
    <t>Donnie BrascoÂ </t>
  </si>
  <si>
    <t>fbi|mafia|money|racial slur|singer</t>
  </si>
  <si>
    <t>Scott Speer</t>
  </si>
  <si>
    <t>Ryan Guzman</t>
  </si>
  <si>
    <t>Step Up RevolutionÂ </t>
  </si>
  <si>
    <t>3 dimensional|dance|dancer|dancing|flash mob</t>
  </si>
  <si>
    <t>EquilibriumÂ </t>
  </si>
  <si>
    <t>cleric|dystopia|fascist|law|neo noir</t>
  </si>
  <si>
    <t>Reginald Hudlin</t>
  </si>
  <si>
    <t>The Ladies ManÂ </t>
  </si>
  <si>
    <t>black pantyhose|female stockinged legs|pantyhose|radio|tattoo</t>
  </si>
  <si>
    <t>Deuce Bigalow: Male GigoloÂ </t>
  </si>
  <si>
    <t>aquarium|fish|fish tank|gigolo|norwegian</t>
  </si>
  <si>
    <t>Prachya Pinkaew</t>
  </si>
  <si>
    <t>Jon Foo</t>
  </si>
  <si>
    <t>The ProtectorÂ </t>
  </si>
  <si>
    <t>die hard scenario|elephant|long take|police|sydney australia</t>
  </si>
  <si>
    <t>The FighterÂ </t>
  </si>
  <si>
    <t>boxer|boxing|boxing match|crack cocaine|lowell massachusetts</t>
  </si>
  <si>
    <t>Graham Annable</t>
  </si>
  <si>
    <t>Isaac Hempstead Wright</t>
  </si>
  <si>
    <t>The BoxtrollsÂ </t>
  </si>
  <si>
    <t>chase|puppet animation|red hat|stop motion animation|troll</t>
  </si>
  <si>
    <t>Comedy|Family|Fantasy|Horror|Mystery</t>
  </si>
  <si>
    <t>Marsha Thomason</t>
  </si>
  <si>
    <t>The Haunted MansionÂ </t>
  </si>
  <si>
    <t>arachnophobia|crystal ball|ghost|haunted house|thunderstorm</t>
  </si>
  <si>
    <t>We Were SoldiersÂ </t>
  </si>
  <si>
    <t>air cavalry|battle|major|soldier|vietnamese</t>
  </si>
  <si>
    <t>Private BenjaminÂ </t>
  </si>
  <si>
    <t>camera shot of feet|female stockinged feet|loss of husband|pantyhose|suntan pantyhose</t>
  </si>
  <si>
    <t>FranÃ§ois Truffaut</t>
  </si>
  <si>
    <t>Mississippi MermaidÂ </t>
  </si>
  <si>
    <t>antibes|hotel|island|reunion|reunion island</t>
  </si>
  <si>
    <t>Musical|Romance</t>
  </si>
  <si>
    <t>Olivia Newton-John</t>
  </si>
  <si>
    <t>GreaseÂ </t>
  </si>
  <si>
    <t>automobile racing|boyfriend girlfriend relationship|high school|wrestling|year 1959</t>
  </si>
  <si>
    <t>Jon Lucas</t>
  </si>
  <si>
    <t>Bad MomsÂ </t>
  </si>
  <si>
    <t>lesbian kiss|mom|pta|reference to mad max|scene during end credits</t>
  </si>
  <si>
    <t>Byron Mann</t>
  </si>
  <si>
    <t>The CorruptorÂ </t>
  </si>
  <si>
    <t>chinatown|illegal immigrant|new york|police|triad</t>
  </si>
  <si>
    <t>Jared Hess</t>
  </si>
  <si>
    <t>Napoleon DynamiteÂ </t>
  </si>
  <si>
    <t>class president|family relationships|friend|high school|jock</t>
  </si>
  <si>
    <t>ThorÂ </t>
  </si>
  <si>
    <t>battle|marvel cinematic universe|scientist|thor|throne</t>
  </si>
  <si>
    <t>Biography|Drama|Music|Romance</t>
  </si>
  <si>
    <t>Sandra Ellis Lafferty</t>
  </si>
  <si>
    <t>Walk the LineÂ </t>
  </si>
  <si>
    <t>1960s|accident|concert|guitar|prison</t>
  </si>
  <si>
    <t>David Zayas</t>
  </si>
  <si>
    <t>SkylineÂ </t>
  </si>
  <si>
    <t>apartment|blue light|drawing|group of friends|light</t>
  </si>
  <si>
    <t>Sally Hawkins</t>
  </si>
  <si>
    <t>Blue JasmineÂ </t>
  </si>
  <si>
    <t>congenital liar|mental breakdown|self deception|snob|talking to oneself</t>
  </si>
  <si>
    <t>Harry Lennix</t>
  </si>
  <si>
    <t>Barbershop 2: Back in BusinessÂ </t>
  </si>
  <si>
    <t>barbecue|barbershop|blaxploitation|marriage|politics</t>
  </si>
  <si>
    <t>David Gant</t>
  </si>
  <si>
    <t>Two BrothersÂ </t>
  </si>
  <si>
    <t>circus|death of protagonist|jungle|killing an animal|tiger</t>
  </si>
  <si>
    <t>Lexi Alexander</t>
  </si>
  <si>
    <t>Punisher: War ZoneÂ </t>
  </si>
  <si>
    <t>gun fu|plastic surgery|psychopath|undercover|vigilante</t>
  </si>
  <si>
    <t>LincolnÂ </t>
  </si>
  <si>
    <t>cultural conflict|politics|president|slavery|u.s. president</t>
  </si>
  <si>
    <t>Larry CrowneÂ </t>
  </si>
  <si>
    <t>bus stop|college|community college|scooter|speech class</t>
  </si>
  <si>
    <t>What's the Worst That Could Happen?Â </t>
  </si>
  <si>
    <t>businessman|ring|thief|vulgarity|washington d.c.</t>
  </si>
  <si>
    <t>Taran Killam</t>
  </si>
  <si>
    <t>Just MarriedÂ </t>
  </si>
  <si>
    <t>fall|honeymoon|love|marriage|newlywed</t>
  </si>
  <si>
    <t>Wagner Moura</t>
  </si>
  <si>
    <t>Elite SquadÂ </t>
  </si>
  <si>
    <t>brazil|military police|police|rio de janeiro brazil|slum</t>
  </si>
  <si>
    <t>Drama|Romance|War|Western</t>
  </si>
  <si>
    <t>Jeremy W. Auman</t>
  </si>
  <si>
    <t>Ride with the DevilÂ </t>
  </si>
  <si>
    <t>bushwhacker|friend|honor|kansas|raid</t>
  </si>
  <si>
    <t>Animation|Family|Fantasy</t>
  </si>
  <si>
    <t>Jennifer Saunders</t>
  </si>
  <si>
    <t>CoralineÂ </t>
  </si>
  <si>
    <t>dream|new home|parallel worlds|scissors|secret door</t>
  </si>
  <si>
    <t>Kelly Preston</t>
  </si>
  <si>
    <t>Nothing to LoseÂ </t>
  </si>
  <si>
    <t>boss|ghetto|money|robber|robbery</t>
  </si>
  <si>
    <t>What Planet Are You From?Â </t>
  </si>
  <si>
    <t>alien|baby|banker|pregnancy|question in title</t>
  </si>
  <si>
    <t>Tenzin Thuthob Tsarong</t>
  </si>
  <si>
    <t>KundunÂ </t>
  </si>
  <si>
    <t>chinese|dalai lama|lama|tibet|tibetan</t>
  </si>
  <si>
    <t>Action|Thriller|Western</t>
  </si>
  <si>
    <t>The Quick and the DeadÂ </t>
  </si>
  <si>
    <t>authority figure as villian|gun duel|saved from hanging|showdown|street shootout</t>
  </si>
  <si>
    <t>Russell Holt</t>
  </si>
  <si>
    <t>Eric Johnson</t>
  </si>
  <si>
    <t>The Work and the GloryÂ </t>
  </si>
  <si>
    <t>1830s|baptism|intolerance|mormon church|sibling rivalry</t>
  </si>
  <si>
    <t>How to Train Your Dragon 2Â </t>
  </si>
  <si>
    <t>dragon|father son relationship|husband wife relationship|mother son relationship|viking</t>
  </si>
  <si>
    <t>Bruce McCulloch</t>
  </si>
  <si>
    <t>SuperstarÂ </t>
  </si>
  <si>
    <t>dancing|orphan|school|special education|student</t>
  </si>
  <si>
    <t>Angell Conwell</t>
  </si>
  <si>
    <t>The WashÂ </t>
  </si>
  <si>
    <t>african american stereotype|car wash|rent|roommate|threatening telephone call</t>
  </si>
  <si>
    <t>Mimi Leder</t>
  </si>
  <si>
    <t>Pay It ForwardÂ </t>
  </si>
  <si>
    <t>alcoholism|boy|good deed|protective male|teacher</t>
  </si>
  <si>
    <t>Nicholas Jarecki</t>
  </si>
  <si>
    <t>Nate Parker</t>
  </si>
  <si>
    <t>ArbitrageÂ </t>
  </si>
  <si>
    <t>accidental death|dead woman|dead woman with eyes open|death of mistress|manager</t>
  </si>
  <si>
    <t>Holy ManÂ </t>
  </si>
  <si>
    <t>1990s|evangelist|professional rivalry|swimming pool|televangelist</t>
  </si>
  <si>
    <t>The DilemmaÂ </t>
  </si>
  <si>
    <t>best friend|friend|investigation|secret|two word title</t>
  </si>
  <si>
    <t>The Expendables 2Â </t>
  </si>
  <si>
    <t>church|hostage|mine|plutonium|revenge</t>
  </si>
  <si>
    <t>Jeff Kanew</t>
  </si>
  <si>
    <t>Troop Beverly HillsÂ </t>
  </si>
  <si>
    <t>beverly hills hotel|divorce|girl|troop|wilderness</t>
  </si>
  <si>
    <t>Moonlight MileÂ </t>
  </si>
  <si>
    <t>1970s|death|district attorney|fiancee|watching television</t>
  </si>
  <si>
    <t>ContagionÂ </t>
  </si>
  <si>
    <t>contagion|cure|infection|panic|virus</t>
  </si>
  <si>
    <t>Floria Sigismondi</t>
  </si>
  <si>
    <t>The RunawaysÂ </t>
  </si>
  <si>
    <t>band|box office flop|critically bashed|historically inaccurate|revisionist history</t>
  </si>
  <si>
    <t>Jay and Silent Bob Strike BackÂ </t>
  </si>
  <si>
    <t>internet|jay and silent bob|new jersey|orangutan|police</t>
  </si>
  <si>
    <t>Black KnightÂ </t>
  </si>
  <si>
    <t>14th century|king|knight|sword duel|time travel</t>
  </si>
  <si>
    <t>Yuri Lowenthal</t>
  </si>
  <si>
    <t>The Pirates Who Don't Do Anything: A VeggieTales MovieÂ </t>
  </si>
  <si>
    <t>17th century|king|pirate|vegetable|waiter</t>
  </si>
  <si>
    <t>The Lucky OnesÂ </t>
  </si>
  <si>
    <t>college tuition|guitar|road trip|soldier|stranded</t>
  </si>
  <si>
    <t>Mike Bruce</t>
  </si>
  <si>
    <t>Western</t>
  </si>
  <si>
    <t>Joseph Campanella</t>
  </si>
  <si>
    <t>The Legend of God's GunÂ </t>
  </si>
  <si>
    <t>Vivek Agnihotri</t>
  </si>
  <si>
    <t>Thriller</t>
  </si>
  <si>
    <t>Emraan Hashmi</t>
  </si>
  <si>
    <t>Chocolate: Deep Dark SecretsÂ </t>
  </si>
  <si>
    <t>chocolate|christmas|christmas eve|death|suspect</t>
  </si>
  <si>
    <t>Bruce Dellis</t>
  </si>
  <si>
    <t>Tatyana Ali</t>
  </si>
  <si>
    <t>Locker 13Â </t>
  </si>
  <si>
    <t>digit in title|latino|life or death|philosophy|supernatural</t>
  </si>
  <si>
    <t>Sci-Fi|Thriller</t>
  </si>
  <si>
    <t>The HappeningÂ </t>
  </si>
  <si>
    <t>bee|nature|park|school|teacher</t>
  </si>
  <si>
    <t>Romesh Sharma</t>
  </si>
  <si>
    <t>Romance</t>
  </si>
  <si>
    <t>Annabelle Wallis</t>
  </si>
  <si>
    <t>Dil Jo Bhi Kahey...Â </t>
  </si>
  <si>
    <t>Olatunde Osunsanmi</t>
  </si>
  <si>
    <t>The Fourth KindÂ </t>
  </si>
  <si>
    <t>abduction|alaska|alien|owl|patient</t>
  </si>
  <si>
    <t>Oliver Hirschbiegel</t>
  </si>
  <si>
    <t>The InvasionÂ </t>
  </si>
  <si>
    <t>alien|epidemic|psychiatrist|space shuttle|virus</t>
  </si>
  <si>
    <t>Panos Cosmatos</t>
  </si>
  <si>
    <t>Chris Gauthier</t>
  </si>
  <si>
    <t>Beyond the Black RainbowÂ </t>
  </si>
  <si>
    <t>exploitation|four word title|hallucinogen|lynchian|telepathy</t>
  </si>
  <si>
    <t>Daryl Wein</t>
  </si>
  <si>
    <t>Zoe Lister-Jones</t>
  </si>
  <si>
    <t>Breaking UpwardsÂ </t>
  </si>
  <si>
    <t>Hilary Brougher</t>
  </si>
  <si>
    <t>Sci-Fi</t>
  </si>
  <si>
    <t>James Urbaniak</t>
  </si>
  <si>
    <t>The Sticky Fingers of TimeÂ </t>
  </si>
  <si>
    <t>future|nonlinear timeline|time travel|title directed by female|writer</t>
  </si>
  <si>
    <t>Neill Dela Llana</t>
  </si>
  <si>
    <t>Ian Gamazon</t>
  </si>
  <si>
    <t>CaviteÂ </t>
  </si>
  <si>
    <t>jihad|mindanao|philippines|security guard|squatter</t>
  </si>
  <si>
    <t>Philippines</t>
  </si>
  <si>
    <t>Dean Israelite</t>
  </si>
  <si>
    <t>Gary Weeks</t>
  </si>
  <si>
    <t>Project AlmanacÂ </t>
  </si>
  <si>
    <t>found footage|teenager|time machine|time travel|video footage</t>
  </si>
  <si>
    <t>Mystery|Thriller</t>
  </si>
  <si>
    <t>8MMÂ </t>
  </si>
  <si>
    <t>investigation|obsession|private eye|private investigator|snuff film</t>
  </si>
  <si>
    <t>Robert Pine</t>
  </si>
  <si>
    <t>Red EyeÂ </t>
  </si>
  <si>
    <t>airport|flight|hotel|hotel manager|plane</t>
  </si>
  <si>
    <t>Secret WindowÂ </t>
  </si>
  <si>
    <t>adultery|extramarital affair|infidelity|unfaithfulness|writer</t>
  </si>
  <si>
    <t>The Da Vinci CodeÂ </t>
  </si>
  <si>
    <t>based on supposedly true story|holy grail|mary magdalene|opus dei|secret</t>
  </si>
  <si>
    <t>Angels &amp; DemonsÂ </t>
  </si>
  <si>
    <t>conclave|illuminati|murder|reference to bernini|reference to raphael</t>
  </si>
  <si>
    <t>Josef Rusnak</t>
  </si>
  <si>
    <t>The Thirteenth FloorÂ </t>
  </si>
  <si>
    <t>amnesia|barricade|letter|time|virtual reality</t>
  </si>
  <si>
    <t>Joel Edgerton</t>
  </si>
  <si>
    <t>The GiftÂ </t>
  </si>
  <si>
    <t>compulsive liar|fired from a job|gift|rape|substance abuse</t>
  </si>
  <si>
    <t>George Nolfi</t>
  </si>
  <si>
    <t>Romance|Sci-Fi|Thriller</t>
  </si>
  <si>
    <t>The Adjustment BureauÂ </t>
  </si>
  <si>
    <t>love at first sight|obscene finger gesture|rain|teleportation|three word title</t>
  </si>
  <si>
    <t>John Badham</t>
  </si>
  <si>
    <t>WarGamesÂ </t>
  </si>
  <si>
    <t>computer|game|high school|norad|teenager</t>
  </si>
  <si>
    <t>Roman Polanski</t>
  </si>
  <si>
    <t>Jim Belushi</t>
  </si>
  <si>
    <t>The Ghost WriterÂ </t>
  </si>
  <si>
    <t>british prime minister|death|island|memoir|writer</t>
  </si>
  <si>
    <t>IdentityÂ </t>
  </si>
  <si>
    <t>dissociative identity disorder|motel room key|murder|storm|stranded</t>
  </si>
  <si>
    <t>Pale RiderÂ </t>
  </si>
  <si>
    <t>gold|miner|preacher|prospector|sheriff</t>
  </si>
  <si>
    <t>Eric Bress</t>
  </si>
  <si>
    <t>The Butterfly EffectÂ </t>
  </si>
  <si>
    <t>blackout|child pornography|memory|surprise ending|time travel</t>
  </si>
  <si>
    <t>The Good, the Bad and the UglyÂ </t>
  </si>
  <si>
    <t>civil war|hitman|outlaw|shootout|spaghetti western</t>
  </si>
  <si>
    <t>Callum Rennie</t>
  </si>
  <si>
    <t>MementoÂ </t>
  </si>
  <si>
    <t>flashback|memory|murder|short term memory|telephone</t>
  </si>
  <si>
    <t>Blade RunnerÂ </t>
  </si>
  <si>
    <t>artificial intelligence|human android relationship|megacorporation|police detective|tech noir</t>
  </si>
  <si>
    <t>Shutter IslandÂ </t>
  </si>
  <si>
    <t>female prisoner|plot twist|self delusion|surprise ending|year 1954</t>
  </si>
  <si>
    <t>In TimeÂ </t>
  </si>
  <si>
    <t>currency|future|murder|on the run|time</t>
  </si>
  <si>
    <t>Pitch BlackÂ </t>
  </si>
  <si>
    <t>captain|darkness|eclipse|space|survival</t>
  </si>
  <si>
    <t>Gareth Evans</t>
  </si>
  <si>
    <t>Iko Uwais</t>
  </si>
  <si>
    <t>The Raid: RedemptionÂ </t>
  </si>
  <si>
    <t>apartment|drug lord|gangster|police|swat team</t>
  </si>
  <si>
    <t>Indonesian</t>
  </si>
  <si>
    <t>Indonesia</t>
  </si>
  <si>
    <t>Robert Marcarelli</t>
  </si>
  <si>
    <t>George Coe</t>
  </si>
  <si>
    <t>The Omega CodeÂ </t>
  </si>
  <si>
    <t>code|evil|false accusation|megalomaniac|torah</t>
  </si>
  <si>
    <t>Gregor Jordan</t>
  </si>
  <si>
    <t>Comedy|Crime|Drama|Thriller|War</t>
  </si>
  <si>
    <t>Buffalo SoldiersÂ </t>
  </si>
  <si>
    <t>berlin wall|germany|murder|soldier|specialist</t>
  </si>
  <si>
    <t>Hotel for DogsÂ </t>
  </si>
  <si>
    <t>abandoned hotel|dog|foster home|overalls|playing with a dog</t>
  </si>
  <si>
    <t>Charlie McDermott</t>
  </si>
  <si>
    <t>Hot Tub Time MachineÂ </t>
  </si>
  <si>
    <t>cheating wife|drug reference|maintenance man|male vomiting|promiscuous woman</t>
  </si>
  <si>
    <t>Fred Dekker</t>
  </si>
  <si>
    <t>CCH Pounder</t>
  </si>
  <si>
    <t>RoboCop 3Â </t>
  </si>
  <si>
    <t>android|corporation|ninja|police|robocop</t>
  </si>
  <si>
    <t>Tiago Riani</t>
  </si>
  <si>
    <t>The Longest RideÂ </t>
  </si>
  <si>
    <t>1940s|art collector|bull riding|north carolina|student</t>
  </si>
  <si>
    <t>George Hickenlooper</t>
  </si>
  <si>
    <t>Biography|Comedy|Crime|Drama</t>
  </si>
  <si>
    <t>Casino JackÂ </t>
  </si>
  <si>
    <t>corruption|lobbyist|murder|washington d.c.|washington d.c. lobbyist</t>
  </si>
  <si>
    <t>Brian Robbins</t>
  </si>
  <si>
    <t>A Thousand WordsÂ </t>
  </si>
  <si>
    <t>box office flop|buddhist|liar|literary agent|magical tree</t>
  </si>
  <si>
    <t>The Upside of AngerÂ </t>
  </si>
  <si>
    <t>anger|baseball|drinking|radio|secretary</t>
  </si>
  <si>
    <t>BanditsÂ </t>
  </si>
  <si>
    <t>bank manager|hypochondriac|love triangle|prison|television</t>
  </si>
  <si>
    <t>The Great DebatersÂ </t>
  </si>
  <si>
    <t>college|debate|student|texas|wiley college</t>
  </si>
  <si>
    <t>Talulah Riley</t>
  </si>
  <si>
    <t>Pride &amp; PrejudiceÂ </t>
  </si>
  <si>
    <t>bachelor|england|gentleman|georgian|love</t>
  </si>
  <si>
    <t>The Dark KnightÂ </t>
  </si>
  <si>
    <t>based on comic book|dc comics|psychopath|star died before release|urban setting</t>
  </si>
  <si>
    <t>Debra Messing</t>
  </si>
  <si>
    <t>The Mothman PropheciesÂ </t>
  </si>
  <si>
    <t>car accident|death of wife|mothman|point pleasant west virginia|urban legend</t>
  </si>
  <si>
    <t>Marc Forby</t>
  </si>
  <si>
    <t>Q'orianka Kilcher</t>
  </si>
  <si>
    <t>Princess KaiulaniÂ </t>
  </si>
  <si>
    <t>hawaii|hawaiian|historically inaccurate|princess|tearing up a letter</t>
  </si>
  <si>
    <t>PhenomenonÂ </t>
  </si>
  <si>
    <t>brain tumor|genius|psionic power|telekinesis|terminal illness</t>
  </si>
  <si>
    <t>FeardotcomÂ </t>
  </si>
  <si>
    <t>bondage gear|bound and gagged|hung by one's wrists|tied to a chair|tied to a table</t>
  </si>
  <si>
    <t>For Love of the GameÂ </t>
  </si>
  <si>
    <t>baseball|baseball movie|detroit tigers|perfect game|pitcher</t>
  </si>
  <si>
    <t>Charles S. Dutton</t>
  </si>
  <si>
    <t>Against the RopesÂ </t>
  </si>
  <si>
    <t>boxer|boxing|boxing arena|boxing manager|directed by co star</t>
  </si>
  <si>
    <t>Catherine Lough Haggquist</t>
  </si>
  <si>
    <t>Alone in the DarkÂ </t>
  </si>
  <si>
    <t>artifact|creature|darkness|demon|museum</t>
  </si>
  <si>
    <t>BjÃ¸rn Sundquist</t>
  </si>
  <si>
    <t>Dead SnowÂ </t>
  </si>
  <si>
    <t>medical student|nazi|snow|snowmobile|zombie</t>
  </si>
  <si>
    <t>Toby Stephens</t>
  </si>
  <si>
    <t>13 HoursÂ </t>
  </si>
  <si>
    <t>based on true story|cia agent|libya|mercenary|u.s. ambassador</t>
  </si>
  <si>
    <t>Cathy Malkasian</t>
  </si>
  <si>
    <t>The Wild Thornberrys MovieÂ </t>
  </si>
  <si>
    <t>africa|chimpanzee|elephant|safari|shaman</t>
  </si>
  <si>
    <t>Timothy BjÃ¶rklund</t>
  </si>
  <si>
    <t>Animation|Comedy|Family|Fantasy|Musical</t>
  </si>
  <si>
    <t>Nathan Lane</t>
  </si>
  <si>
    <t>Teacher's PetÂ </t>
  </si>
  <si>
    <t>dog|florida|mad scientist|school|teacher</t>
  </si>
  <si>
    <t>When a Stranger CallsÂ </t>
  </si>
  <si>
    <t>babysitting|cell phone|high school|nightmare|teenager</t>
  </si>
  <si>
    <t>Adventure|Biography|Drama|History</t>
  </si>
  <si>
    <t>Roy Billing</t>
  </si>
  <si>
    <t>Rabbit-Proof FenceÂ </t>
  </si>
  <si>
    <t>aborigine|based on true story|colonialism|fence|half caste</t>
  </si>
  <si>
    <t>Richard Raymond</t>
  </si>
  <si>
    <t>Tom Cullen</t>
  </si>
  <si>
    <t>Desert DancerÂ </t>
  </si>
  <si>
    <t>dance|dancer|dancing|desert|iran</t>
  </si>
  <si>
    <t>Gary Trousdale</t>
  </si>
  <si>
    <t>Action|Adventure|Animation|Family|Fantasy|Sci-Fi</t>
  </si>
  <si>
    <t>Leonard Nimoy</t>
  </si>
  <si>
    <t>Atlantis: The Lost EmpireÂ </t>
  </si>
  <si>
    <t>atlantis|crew|expedition|journal|museum</t>
  </si>
  <si>
    <t>New Year's EveÂ </t>
  </si>
  <si>
    <t>expecting|kiss|new year|new year's eve|singer</t>
  </si>
  <si>
    <t>Joon-ho Bong</t>
  </si>
  <si>
    <t>SnowpiercerÂ </t>
  </si>
  <si>
    <t>closed ecological system|perpetual winter|population control|revolt|train</t>
  </si>
  <si>
    <t>Bob Spiers</t>
  </si>
  <si>
    <t>Comedy|Family|Music</t>
  </si>
  <si>
    <t>Jason Flemyng</t>
  </si>
  <si>
    <t>Spice WorldÂ </t>
  </si>
  <si>
    <t>bus|concert|live concert|pop group|spice girl</t>
  </si>
  <si>
    <t>Bill Condon</t>
  </si>
  <si>
    <t>The Fifth EstateÂ </t>
  </si>
  <si>
    <t>computer hacker|internet|news leak|whistleblowing|wikileaks</t>
  </si>
  <si>
    <t>Phaldut Sharma</t>
  </si>
  <si>
    <t>GravityÂ </t>
  </si>
  <si>
    <t>box office hit|long take|sole survivor|space|space station</t>
  </si>
  <si>
    <t>William Shatner</t>
  </si>
  <si>
    <t>Star Trek V: The Final FrontierÂ </t>
  </si>
  <si>
    <t>captain|half brother|klingon|planet|vulcan</t>
  </si>
  <si>
    <t>Kate &amp; LeopoldÂ </t>
  </si>
  <si>
    <t>bridge|brooklyn bridge|falling down an elevator shaft|time travel|time travel romance</t>
  </si>
  <si>
    <t>New York StoriesÂ </t>
  </si>
  <si>
    <t>12 year old|artist|hotel|three word title|written and directed by cast member</t>
  </si>
  <si>
    <t>Black SwanÂ </t>
  </si>
  <si>
    <t>ballerina|ballet|fear|female protagonist|madness</t>
  </si>
  <si>
    <t>Aidan Turner</t>
  </si>
  <si>
    <t>The Hobbit: An Unexpected JourneyÂ </t>
  </si>
  <si>
    <t>dragon|dwarf|hobbit|orc|wizard</t>
  </si>
  <si>
    <t>True GritÂ </t>
  </si>
  <si>
    <t>arkansas|murder|sheriff|texas ranger|u.s. marshal</t>
  </si>
  <si>
    <t>BandslamÂ </t>
  </si>
  <si>
    <t>battle of the bands|high school|rock 'n' roll|school|teenager</t>
  </si>
  <si>
    <t>Tom Putnam</t>
  </si>
  <si>
    <t>Brendan Doogie Milewski</t>
  </si>
  <si>
    <t>BurnÂ </t>
  </si>
  <si>
    <t>abandoned building|detroit michigan|firefighter|michigan|urban setting</t>
  </si>
  <si>
    <t>Reign of FireÂ </t>
  </si>
  <si>
    <t>castle|dragon|fire breathing dragon|militia|survival</t>
  </si>
  <si>
    <t>Jon Kasdan</t>
  </si>
  <si>
    <t>In the Land of WomenÂ </t>
  </si>
  <si>
    <t>actress|love|michigan|neighbor|writer</t>
  </si>
  <si>
    <t>Schindler's ListÂ </t>
  </si>
  <si>
    <t>german|german soldier|jew|jewish|nazi</t>
  </si>
  <si>
    <t>Ice Cube</t>
  </si>
  <si>
    <t>The Players ClubÂ </t>
  </si>
  <si>
    <t>catfight|dominatrix|rape|spanking|stripper</t>
  </si>
  <si>
    <t>William H. Macy</t>
  </si>
  <si>
    <t>RudderlessÂ </t>
  </si>
  <si>
    <t>demo tape|directed by cast member|grieving father|guitar|guitar player</t>
  </si>
  <si>
    <t>Action|Drama|Fantasy|War</t>
  </si>
  <si>
    <t>300Â </t>
  </si>
  <si>
    <t>battle|epic|greece|spartan|warrior</t>
  </si>
  <si>
    <t>Saw IVÂ </t>
  </si>
  <si>
    <t>detective|fbi|rape|rapist|serial rapist</t>
  </si>
  <si>
    <t>Action|Adventure|Comedy|Family|Romance</t>
  </si>
  <si>
    <t>George of the JungleÂ </t>
  </si>
  <si>
    <t>animal companion|heiress|hero|jungle|male objectification</t>
  </si>
  <si>
    <t>Katt Shea</t>
  </si>
  <si>
    <t>Jason London</t>
  </si>
  <si>
    <t>The Rage: Carrie 2Â </t>
  </si>
  <si>
    <t>high school|party|prom|suicide|teenage girl</t>
  </si>
  <si>
    <t>Andrey Konchalovskiy</t>
  </si>
  <si>
    <t>Action|Family|Fantasy|Musical</t>
  </si>
  <si>
    <t>Shirley Henderson</t>
  </si>
  <si>
    <t>The Nutcracker in 3DÂ </t>
  </si>
  <si>
    <t>box office flop|christmas|christmas eve|critically bashed|toy comes to life</t>
  </si>
  <si>
    <t>Benh Zeitlin</t>
  </si>
  <si>
    <t>Beasts of the Southern WildÂ </t>
  </si>
  <si>
    <t>auroch|community|hospital|illness|six year old</t>
  </si>
  <si>
    <t>Takao Okawara</t>
  </si>
  <si>
    <t>Action|Adventure|Drama|Sci-Fi|Thriller</t>
  </si>
  <si>
    <t>Hiroshi Abe</t>
  </si>
  <si>
    <t>Godzilla 2000Â </t>
  </si>
  <si>
    <t>godzilla|kaiju|monster|orga|ufo</t>
  </si>
  <si>
    <t>Drama|Family|Fantasy|Romance</t>
  </si>
  <si>
    <t>Tuck EverlastingÂ </t>
  </si>
  <si>
    <t>fountain of youth|immortality|secret|woods|young man</t>
  </si>
  <si>
    <t>Transformers: Dark of the MoonÂ </t>
  </si>
  <si>
    <t>autobot|decepticon|job interview|moon|spacecraft</t>
  </si>
  <si>
    <t>Comedy|Crime|Music</t>
  </si>
  <si>
    <t>Be CoolÂ </t>
  </si>
  <si>
    <t>concert|mobster|russian|sequel|widow</t>
  </si>
  <si>
    <t>Drama|Music|Musical</t>
  </si>
  <si>
    <t>DreamgirlsÂ </t>
  </si>
  <si>
    <t>1960s|fire|pop chart|singer|trio</t>
  </si>
  <si>
    <t>Bring It OnÂ </t>
  </si>
  <si>
    <t>championship|cheerleading|high school|teen comedy|teenage romance</t>
  </si>
  <si>
    <t>Levan Gabriadze</t>
  </si>
  <si>
    <t>Shelley Hennig</t>
  </si>
  <si>
    <t>UnfriendedÂ </t>
  </si>
  <si>
    <t>blender|computer screen|secret|skype|webcam</t>
  </si>
  <si>
    <t>Martin Koolhoven</t>
  </si>
  <si>
    <t>Yorick van Wageningen</t>
  </si>
  <si>
    <t>Winter in WartimeÂ </t>
  </si>
  <si>
    <t>horse|nazi|occupation|resistance movement|uncle nephew relationship</t>
  </si>
  <si>
    <t>Dutch</t>
  </si>
  <si>
    <t>Netherlands</t>
  </si>
  <si>
    <t>Chris Zylka</t>
  </si>
  <si>
    <t>Shark Night 3DÂ </t>
  </si>
  <si>
    <t>lake|louisiana|redneck|shark|vacation</t>
  </si>
  <si>
    <t>Oren Moverman</t>
  </si>
  <si>
    <t>The MessengerÂ </t>
  </si>
  <si>
    <t>captain|casualty notification|casualty notification team|sergeant|staff sergeant</t>
  </si>
  <si>
    <t>Home FriesÂ </t>
  </si>
  <si>
    <t>baby|infidelity|pilot|pregnant|waitress</t>
  </si>
  <si>
    <t>HappinessÂ </t>
  </si>
  <si>
    <t>ensemble cast|episodic structure|satire|social satire|suburb</t>
  </si>
  <si>
    <t>Dexter Fletcher</t>
  </si>
  <si>
    <t>Biography|Comedy|Drama|Sport</t>
  </si>
  <si>
    <t>Eddie the EagleÂ </t>
  </si>
  <si>
    <t>1988 winter olympics|coach|ski jumper|winter|winter olympics</t>
  </si>
  <si>
    <t>NebraskaÂ </t>
  </si>
  <si>
    <t>aging|billings montana|lincoln nebraska|nebraska|pickup truck</t>
  </si>
  <si>
    <t>MaxÂ </t>
  </si>
  <si>
    <t>afghanistan|death of marine|dog|dog adoption|man dog relationship</t>
  </si>
  <si>
    <t>Dumb and Dumber ToÂ </t>
  </si>
  <si>
    <t>adoption|highway travel|road trip|sequel|stupidity</t>
  </si>
  <si>
    <t>The Greatest Movie Ever SoldÂ </t>
  </si>
  <si>
    <t>advertising|movie in title|product placement</t>
  </si>
  <si>
    <t>Christo Jivkov</t>
  </si>
  <si>
    <t>The Passion of the ChristÂ </t>
  </si>
  <si>
    <t>anti semitism|cult film|grindhouse|suffering|torture</t>
  </si>
  <si>
    <t>Aramaic</t>
  </si>
  <si>
    <t>Jim Gillespie</t>
  </si>
  <si>
    <t>I Know What You Did Last SummerÂ </t>
  </si>
  <si>
    <t>beach|corpse|fourth of july|overalls|revenge</t>
  </si>
  <si>
    <t>The Man from U.N.C.L.E.Â </t>
  </si>
  <si>
    <t>box office flop|cia agent|criminal organization|kgb agent|nuclear bomb</t>
  </si>
  <si>
    <t>Wally Pfister</t>
  </si>
  <si>
    <t>Drama|Mystery|Romance|Sci-Fi|Thriller</t>
  </si>
  <si>
    <t>TranscendenceÂ </t>
  </si>
  <si>
    <t>artificial intelligence|consciousness|power outage|scientist|technology</t>
  </si>
  <si>
    <t>Khyentse Norbu</t>
  </si>
  <si>
    <t>Tshewang Dendup</t>
  </si>
  <si>
    <t>Travelers and MagiciansÂ </t>
  </si>
  <si>
    <t>bhutan|buddhist|monk|storytelling|weaver</t>
  </si>
  <si>
    <t>Dzongkha</t>
  </si>
  <si>
    <t>Charles Chaplin</t>
  </si>
  <si>
    <t>Paulette Goddard</t>
  </si>
  <si>
    <t>Modern TimesÂ </t>
  </si>
  <si>
    <t>actor director writer|invention|machine|music score composed by director|tramp</t>
  </si>
  <si>
    <t>Risa Bramon Garcia</t>
  </si>
  <si>
    <t>200 CigarettesÂ </t>
  </si>
  <si>
    <t>bartender|friend|new year's eve|party|punk</t>
  </si>
  <si>
    <t>Katharine Isabelle</t>
  </si>
  <si>
    <t>Freddy vs. JasonÂ </t>
  </si>
  <si>
    <t>elm street|freddy krueger|jason voorhees|serial killer|slasher</t>
  </si>
  <si>
    <t>Action|Adventure|Drama|Family</t>
  </si>
  <si>
    <t>The Young and Prodigious T.S. SpivetÂ </t>
  </si>
  <si>
    <t>3 dimensional|cartographer|punctuation in title|smithsonian|train</t>
  </si>
  <si>
    <t>Training DayÂ </t>
  </si>
  <si>
    <t>lapd|narc|narcotics|title spoken by character|training</t>
  </si>
  <si>
    <t>Extraordinary MeasuresÂ </t>
  </si>
  <si>
    <t>cure|disease|imagination|race against time|venture capital</t>
  </si>
  <si>
    <t>Denis Villeneuve</t>
  </si>
  <si>
    <t>Drama|Mystery|War</t>
  </si>
  <si>
    <t>Lubna Azabal</t>
  </si>
  <si>
    <t>IncendiesÂ </t>
  </si>
  <si>
    <t>brother sister relationship|family relationships|middle east|mother son relationship|twin brother and sister</t>
  </si>
  <si>
    <t>Pacific RimÂ </t>
  </si>
  <si>
    <t>giant monster|kaiju|pilot|portal|robot</t>
  </si>
  <si>
    <t>The Shawshank RedemptionÂ </t>
  </si>
  <si>
    <t>escape from prison|first person narration|prison|prison cell search|wrongful imprisonment</t>
  </si>
  <si>
    <t>Chris Gorak</t>
  </si>
  <si>
    <t>The Darkest HourÂ </t>
  </si>
  <si>
    <t>alien|aurora borealis|critically bashed|killing an animal|nightclub</t>
  </si>
  <si>
    <t>Jonathan Brandis</t>
  </si>
  <si>
    <t>Outside ProvidenceÂ </t>
  </si>
  <si>
    <t>class|cornwall connecticut|dog|friend|pawtucket rhode island</t>
  </si>
  <si>
    <t>Adventure|Comedy|Family|Sport</t>
  </si>
  <si>
    <t>Doug E. Doug</t>
  </si>
  <si>
    <t>Cool RunningsÂ </t>
  </si>
  <si>
    <t>bobsled|coach|jamaica|olympic games|olympics</t>
  </si>
  <si>
    <t>The MachinistÂ </t>
  </si>
  <si>
    <t>alienation|conscience|insomnia|paranoia|urban gothic</t>
  </si>
  <si>
    <t>Action|Drama|Mystery|Thriller|War</t>
  </si>
  <si>
    <t>Courage Under FireÂ </t>
  </si>
  <si>
    <t>bravery|honor|medal of honor|military life|unreliable flashback</t>
  </si>
  <si>
    <t>Michael Patrick King</t>
  </si>
  <si>
    <t>Sex and the City 2Â </t>
  </si>
  <si>
    <t>abu dhabi|box office hit|muslim|nanny|united arab emirates</t>
  </si>
  <si>
    <t>Bradley Parker</t>
  </si>
  <si>
    <t>Jesse McCartney</t>
  </si>
  <si>
    <t>Chernobyl DiariesÂ </t>
  </si>
  <si>
    <t>abandoned building|chernobyl disaster|exploration|tour guide|van</t>
  </si>
  <si>
    <t>127 HoursÂ </t>
  </si>
  <si>
    <t>alone|aron ralston|based on autobiography|canyon|survival</t>
  </si>
  <si>
    <t>The WolverineÂ </t>
  </si>
  <si>
    <t>healing power|marvel comics|mecha|regeneration|self healing</t>
  </si>
  <si>
    <t>GettysburgÂ </t>
  </si>
  <si>
    <t>american civil war|battle|blood splatter|civil war|irish american</t>
  </si>
  <si>
    <t>Gary McKendry</t>
  </si>
  <si>
    <t>Killer EliteÂ </t>
  </si>
  <si>
    <t>australia|death|mentor|revenge|secret society</t>
  </si>
  <si>
    <t>The Full MontyÂ </t>
  </si>
  <si>
    <t>dole|male stripper|northern england|steel worker|unemployment</t>
  </si>
  <si>
    <t>Naseeruddin Shah</t>
  </si>
  <si>
    <t>Monsoon WeddingÂ </t>
  </si>
  <si>
    <t>arranged marriage|bride|celebration|marriage|wedding</t>
  </si>
  <si>
    <t>Love ActuallyÂ </t>
  </si>
  <si>
    <t>aging rocker|christmas|love at first sight|minister|prime minister</t>
  </si>
  <si>
    <t>The Lego MovieÂ </t>
  </si>
  <si>
    <t>based on toy|dual personality|evil businessman|good cop bad cop|lego</t>
  </si>
  <si>
    <t>Bill Johnson</t>
  </si>
  <si>
    <t>The Texas Chainsaw Massacre 2Â </t>
  </si>
  <si>
    <t>chainsaw|chainsaw murder|human monster|music score composed by director|obscene finger gesture</t>
  </si>
  <si>
    <t>Biography|Crime|Drama|Western</t>
  </si>
  <si>
    <t>Butch Cassidy and the Sundance KidÂ </t>
  </si>
  <si>
    <t>bolivia|gang|outlaw|posse|train</t>
  </si>
  <si>
    <t>Adventure|Comedy|Horror|Sci-Fi</t>
  </si>
  <si>
    <t>ZombielandÂ </t>
  </si>
  <si>
    <t>amusement park|on the road|zombie|zombie apocalypse|zombie spoof</t>
  </si>
  <si>
    <t>Christopher Cain</t>
  </si>
  <si>
    <t>Jack Palance</t>
  </si>
  <si>
    <t>Young GunsÂ </t>
  </si>
  <si>
    <t>army|cattle|deputy|new mexico|rancher</t>
  </si>
  <si>
    <t>Kelly Makin</t>
  </si>
  <si>
    <t>Mickey Blue EyesÂ </t>
  </si>
  <si>
    <t>auctioneer|fbi|mafia|mobster|painting</t>
  </si>
  <si>
    <t>Frank Sebastiano</t>
  </si>
  <si>
    <t>Beer LeagueÂ </t>
  </si>
  <si>
    <t>baseball|baseball movie|beer|slacker|softball</t>
  </si>
  <si>
    <t>Where the Wild Things AreÂ </t>
  </si>
  <si>
    <t>based on children's book|creature|igloo|imagination|king</t>
  </si>
  <si>
    <t>Drama|Family|Western</t>
  </si>
  <si>
    <t>William Morgan Sheppard</t>
  </si>
  <si>
    <t>Love's Abiding JoyÂ </t>
  </si>
  <si>
    <t>19th century|faith|mayor|ranch|sheriff</t>
  </si>
  <si>
    <t>WhiteoutÂ </t>
  </si>
  <si>
    <t>antarctica|geologist|investigation|u.s. marshal|winter</t>
  </si>
  <si>
    <t>Jennifer Wynne Farmer</t>
  </si>
  <si>
    <t>Irene Bedard</t>
  </si>
  <si>
    <t>Naturally NativeÂ </t>
  </si>
  <si>
    <t>cosmetics|female protagonist|native american|native american protagonist|sister sister relationship</t>
  </si>
  <si>
    <t>The Adventures of Pluto NashÂ </t>
  </si>
  <si>
    <t>casino|future|laser gun|moon|nightclub</t>
  </si>
  <si>
    <t>M. Emmet Walsh</t>
  </si>
  <si>
    <t>Raise the TitanicÂ </t>
  </si>
  <si>
    <t>military|mineral|ocean|ship|titanic</t>
  </si>
  <si>
    <t>Aunjanue Ellis</t>
  </si>
  <si>
    <t>Lovely &amp; AmazingÂ </t>
  </si>
  <si>
    <t>african american|dog|homecoming queen|insecurity|surgery</t>
  </si>
  <si>
    <t>TMNTÂ </t>
  </si>
  <si>
    <t>martial arts master|monster|new york city|turtle|warrior</t>
  </si>
  <si>
    <t>Kill Bill: Vol. 1Â </t>
  </si>
  <si>
    <t>bride|coma|japan|revenge|sword</t>
  </si>
  <si>
    <t>Victor Fleming</t>
  </si>
  <si>
    <t>Margaret Hamilton</t>
  </si>
  <si>
    <t>The Wizard of OzÂ </t>
  </si>
  <si>
    <t>evil witch|tornado|witch|wizard|wizard of oz</t>
  </si>
  <si>
    <t>Kief Davidson</t>
  </si>
  <si>
    <t>G.W. Krauss</t>
  </si>
  <si>
    <t>A Lego BrickumentaryÂ </t>
  </si>
  <si>
    <t>artist|denmark|lego|toy|toy company</t>
  </si>
  <si>
    <t>Alicia Goranson</t>
  </si>
  <si>
    <t>Boys Don't CryÂ </t>
  </si>
  <si>
    <t>drinking|female dressed as male|love|nebraska|transgender</t>
  </si>
  <si>
    <t>Piranha 3DÂ </t>
  </si>
  <si>
    <t>bloody water|boat|party|piranha|spring break</t>
  </si>
  <si>
    <t>R. Balki</t>
  </si>
  <si>
    <t>Vidya Balan</t>
  </si>
  <si>
    <t>PaaÂ </t>
  </si>
  <si>
    <t>adult actor playing minor|politician|progeria|reference to spiderman|school</t>
  </si>
  <si>
    <t>Ever After: A Cinderella StoryÂ </t>
  </si>
  <si>
    <t>based on fairy tale|bechdel test passed|cinderella|fairy tale|leonardo da vinci</t>
  </si>
  <si>
    <t>Cape FearÂ </t>
  </si>
  <si>
    <t>lawyer|neo noir|prison|rapist|southern gothic</t>
  </si>
  <si>
    <t>Bride WarsÂ </t>
  </si>
  <si>
    <t>best friend|dyed hair|fake tan|rivalry|wedding</t>
  </si>
  <si>
    <t>Mike Flanagan</t>
  </si>
  <si>
    <t>James Lafferty</t>
  </si>
  <si>
    <t>OculusÂ </t>
  </si>
  <si>
    <t>home office|mirror|released from a mental hospital|trauma|video camera</t>
  </si>
  <si>
    <t>The Neon DemonÂ </t>
  </si>
  <si>
    <t>beauty|cannibalism|fashion|lesbian|model</t>
  </si>
  <si>
    <t>My Own Private IdahoÂ </t>
  </si>
  <si>
    <t>friend|hustler|italy|narcolepsy|traveling</t>
  </si>
  <si>
    <t>Vinessa Shaw</t>
  </si>
  <si>
    <t>Hocus PocusÂ </t>
  </si>
  <si>
    <t>candle|cat|halloween|spell|virgin</t>
  </si>
  <si>
    <t>Fred Willard</t>
  </si>
  <si>
    <t>Fifty Shades of BlackÂ </t>
  </si>
  <si>
    <t>color in title|parody|reference to cuba gooding jr|reference to netflix|written by star</t>
  </si>
  <si>
    <t>Adventure|Comedy|Crime|Drama</t>
  </si>
  <si>
    <t>The Grand Budapest HotelÂ </t>
  </si>
  <si>
    <t>first person narration|hotel|lobby boy|mentor protege relationship|painting</t>
  </si>
  <si>
    <t>Harry Potter and the Prisoner of AzkabanÂ </t>
  </si>
  <si>
    <t>magic|muggle|serial killer|traitor|wizard</t>
  </si>
  <si>
    <t>Alister Grierson</t>
  </si>
  <si>
    <t>SanctumÂ </t>
  </si>
  <si>
    <t>cave|expedition|panic|rebreather|underwater</t>
  </si>
  <si>
    <t>Layer CakeÂ </t>
  </si>
  <si>
    <t>cake|cocaine|drugs|pills|serbian</t>
  </si>
  <si>
    <t>TroyÂ </t>
  </si>
  <si>
    <t>greek|mythology|prince|trojan|troy</t>
  </si>
  <si>
    <t>Max FÃ¤rberbÃ¶ck</t>
  </si>
  <si>
    <t>Heike Makatsch</t>
  </si>
  <si>
    <t>Aimee &amp; JaguarÂ </t>
  </si>
  <si>
    <t>lesbian mother|lesbian parent|lesbian relationship|lesbian romance|lesbianism</t>
  </si>
  <si>
    <t>Allen Hughes</t>
  </si>
  <si>
    <t>Alona Tal</t>
  </si>
  <si>
    <t>Broken CityÂ </t>
  </si>
  <si>
    <t>election|father son relationship|fellatio|gay slur|title spoken by character</t>
  </si>
  <si>
    <t>The Age of InnocenceÂ </t>
  </si>
  <si>
    <t>19th century|countess|lawyer|love|new york</t>
  </si>
  <si>
    <t>Paul Guilfoyle</t>
  </si>
  <si>
    <t>Session 9Â </t>
  </si>
  <si>
    <t>abandoned asylum|abandoned hospital|asbestos|lobotomy|multiple personality</t>
  </si>
  <si>
    <t>Adventure|Comedy|Family|Fantasy|Music|Sci-Fi</t>
  </si>
  <si>
    <t>Muppets from SpaceÂ </t>
  </si>
  <si>
    <t>alien|breakfast|escape|rat|ufo</t>
  </si>
  <si>
    <t>Deb Hagan</t>
  </si>
  <si>
    <t>CollegeÂ </t>
  </si>
  <si>
    <t>college|face slap|high school|loss of virginity|pierced nipple</t>
  </si>
  <si>
    <t>ValentineÂ </t>
  </si>
  <si>
    <t>dance|nosebleed|revenge|valentine|valentine's day</t>
  </si>
  <si>
    <t>Blood WorkÂ </t>
  </si>
  <si>
    <t>boat|heart transplant|murder|serial killer|sister</t>
  </si>
  <si>
    <t>The Hurt LockerÂ </t>
  </si>
  <si>
    <t>army|bomb|dangerous job|death|iraq</t>
  </si>
  <si>
    <t>The NetÂ </t>
  </si>
  <si>
    <t>chat room|computer|computer hacker|identity|identity theft</t>
  </si>
  <si>
    <t>Mark Tonderai</t>
  </si>
  <si>
    <t>House at the End of the StreetÂ </t>
  </si>
  <si>
    <t>brother sister relationship|death of sister|female protagonist|mother daughter relationship|murder</t>
  </si>
  <si>
    <t>Warren P. Sonoda</t>
  </si>
  <si>
    <t>Action|Biography|Crime|Drama|Family|Fantasy</t>
  </si>
  <si>
    <t>Diahann Carroll</t>
  </si>
  <si>
    <t>The Masked SaintÂ </t>
  </si>
  <si>
    <t>EdtvÂ </t>
  </si>
  <si>
    <t>female removes her clothes|one word title|producer|television|video store</t>
  </si>
  <si>
    <t>Mr. TurnerÂ </t>
  </si>
  <si>
    <t>prism|rented room|scrofula|sketching|sunrise</t>
  </si>
  <si>
    <t>MadeÂ </t>
  </si>
  <si>
    <t>friendship|loudmouth|money laundering|new york city|stripper</t>
  </si>
  <si>
    <t>Monique Gabriela Curnen</t>
  </si>
  <si>
    <t>Finishing the Game: The Search for a New Bruce LeeÂ </t>
  </si>
  <si>
    <t>bruce lee|jeet kune do|karate|satire|spoof</t>
  </si>
  <si>
    <t>Keisha Castle-Hughes</t>
  </si>
  <si>
    <t>Whale RiderÂ </t>
  </si>
  <si>
    <t>girl|maori|new zealand|tradition|whale</t>
  </si>
  <si>
    <t>Ben Davies</t>
  </si>
  <si>
    <t>CourageousÂ </t>
  </si>
  <si>
    <t>faith|fatherhood|integrity|police|responsibility</t>
  </si>
  <si>
    <t>The Odd Life of Timothy GreenÂ </t>
  </si>
  <si>
    <t>dodgeball|portrait|soccer|soccer game|young love</t>
  </si>
  <si>
    <t>Mark Brown</t>
  </si>
  <si>
    <t>The SalonÂ </t>
  </si>
  <si>
    <t>Cameron Monaghan</t>
  </si>
  <si>
    <t>PromÂ </t>
  </si>
  <si>
    <t>decoration|father daughter relationship|high school|prom|teenager</t>
  </si>
  <si>
    <t>You've Got MailÂ </t>
  </si>
  <si>
    <t>bookstore|competing businesses|instant messaging|new york city|shop owner</t>
  </si>
  <si>
    <t>John Boorman</t>
  </si>
  <si>
    <t>The Tailor of PanamaÂ </t>
  </si>
  <si>
    <t>canal|panama|president|spy|tailor</t>
  </si>
  <si>
    <t>Robert Lee King</t>
  </si>
  <si>
    <t>Comedy|Horror|Mystery</t>
  </si>
  <si>
    <t>Lauren Ambrose</t>
  </si>
  <si>
    <t>Psycho Beach PartyÂ </t>
  </si>
  <si>
    <t>cliche|exchange student|slasher|spoof|surfing</t>
  </si>
  <si>
    <t>The Man in the Iron MaskÂ </t>
  </si>
  <si>
    <t>france|musketeer|three musketeers|twin|twin brother</t>
  </si>
  <si>
    <t>Jelena Jovanova</t>
  </si>
  <si>
    <t>In the Land of Blood and HoneyÂ </t>
  </si>
  <si>
    <t>bosnian war|church|emaciation|soldier|violence</t>
  </si>
  <si>
    <t>Bosnian</t>
  </si>
  <si>
    <t>Dania Ramirez</t>
  </si>
  <si>
    <t>Fat AlbertÂ </t>
  </si>
  <si>
    <t>animated sequence|junkyard|love|party|television</t>
  </si>
  <si>
    <t>Brad Peyton</t>
  </si>
  <si>
    <t>San AndreasÂ </t>
  </si>
  <si>
    <t>disaster movie|earthquake|journey|natural disaster|san andreas fault</t>
  </si>
  <si>
    <t>Action|Biography|Crime|Drama</t>
  </si>
  <si>
    <t>The Baader Meinhof ComplexÂ </t>
  </si>
  <si>
    <t>bonn germany|failed kidnapping|handcuffs|projectile|terrorist</t>
  </si>
  <si>
    <t>Action|Fantasy|Horror|Sci-Fi|Thriller</t>
  </si>
  <si>
    <t>Josh Wingate</t>
  </si>
  <si>
    <t>PriestÂ </t>
  </si>
  <si>
    <t>church|priest|sheriff|vampire|warrior</t>
  </si>
  <si>
    <t>Rob Pritts</t>
  </si>
  <si>
    <t>Corky RomanoÂ </t>
  </si>
  <si>
    <t>fbi|mafia|mobster|undercover|veterinarian</t>
  </si>
  <si>
    <t>Geoff Murphy</t>
  </si>
  <si>
    <t>Under Siege 2: Dark TerritoryÂ </t>
  </si>
  <si>
    <t>colorado|niece|satellite|terrorist|train</t>
  </si>
  <si>
    <t>Adventure|Animation|Family</t>
  </si>
  <si>
    <t>The Land Before TimeÂ </t>
  </si>
  <si>
    <t>brontosaurus|classical music|dinosaur|dinosaur feature|earthquake</t>
  </si>
  <si>
    <t>Brian Percival</t>
  </si>
  <si>
    <t>Emily Watson</t>
  </si>
  <si>
    <t>The Book ThiefÂ </t>
  </si>
  <si>
    <t>basement|book|girl|library|track</t>
  </si>
  <si>
    <t>Out of the FurnaceÂ </t>
  </si>
  <si>
    <t>ambiguous ending|brother brother relationship|drug dealer|fight club|revenge</t>
  </si>
  <si>
    <t>Rick Bieber</t>
  </si>
  <si>
    <t>Aidan Quinn</t>
  </si>
  <si>
    <t>The 5th QuarterÂ </t>
  </si>
  <si>
    <t>athletic training|football practice|funeral|gymnasium|man crying</t>
  </si>
  <si>
    <t>LeVar Burton</t>
  </si>
  <si>
    <t>Star Trek: First ContactÂ </t>
  </si>
  <si>
    <t>21st century|borg|borg sphere|captain|sphere</t>
  </si>
  <si>
    <t>Drew Powell</t>
  </si>
  <si>
    <t>1408Â </t>
  </si>
  <si>
    <t>book|debunking|evil|hotel|paranormal phenomena</t>
  </si>
  <si>
    <t>Tim Story</t>
  </si>
  <si>
    <t>Ride AlongÂ </t>
  </si>
  <si>
    <t>gunfight|outrunning explosion|police|security guard|street shootout</t>
  </si>
  <si>
    <t>Stephen J. Anderson</t>
  </si>
  <si>
    <t>Craig Ferguson</t>
  </si>
  <si>
    <t>Winnie the PoohÂ </t>
  </si>
  <si>
    <t>disney|owl|rabbit|sequel|tiger</t>
  </si>
  <si>
    <t>G.I. JaneÂ </t>
  </si>
  <si>
    <t>feminism|hit in the crotch|kicked in the crotch|kicked in the testicles|navy</t>
  </si>
  <si>
    <t>George Sidney</t>
  </si>
  <si>
    <t>Biography|Comedy|Musical|Romance|Western</t>
  </si>
  <si>
    <t>Keenan Wynn</t>
  </si>
  <si>
    <t>Annie Get Your GunÂ </t>
  </si>
  <si>
    <t>girl|gun|love|sharpshooter|the end</t>
  </si>
  <si>
    <t>Seven PoundsÂ </t>
  </si>
  <si>
    <t>boyfriend girlfriend relationship|heart|main character dies|organ donor|redemption</t>
  </si>
  <si>
    <t>J. EdgarÂ </t>
  </si>
  <si>
    <t>agent|fbi|federal bureau of investigation|gay relationship|secret</t>
  </si>
  <si>
    <t>Marco Schnabel</t>
  </si>
  <si>
    <t>The Love GuruÂ </t>
  </si>
  <si>
    <t>bloopers during credits|bucket of popcorn|chastity belt|guru|toronto maple leafs</t>
  </si>
  <si>
    <t>Pitof</t>
  </si>
  <si>
    <t>Action|Crime|Fantasy|Romance|Thriller</t>
  </si>
  <si>
    <t>CatwomanÂ </t>
  </si>
  <si>
    <t>based on cult comic book|bechdel test passed|cat|detective|radical transformation</t>
  </si>
  <si>
    <t>Larry Miller</t>
  </si>
  <si>
    <t>Nutty Professor II: The KlumpsÂ </t>
  </si>
  <si>
    <t>alter ego|marriage|professor|scientist|serum</t>
  </si>
  <si>
    <t>Michael Gornick</t>
  </si>
  <si>
    <t>Creepshow 2Â </t>
  </si>
  <si>
    <t>anthology|hit and run|hit by a car|living statue|melting woman</t>
  </si>
  <si>
    <t>Adventure|Animation|Fantasy</t>
  </si>
  <si>
    <t>Princess MononokeÂ </t>
  </si>
  <si>
    <t>anime|cult film|forest|princess|studio ghibli</t>
  </si>
  <si>
    <t>Toby Jones</t>
  </si>
  <si>
    <t>Frost/NixonÂ </t>
  </si>
  <si>
    <t>american president|political drama|scandal|u.s. president|washington post the newspaper</t>
  </si>
  <si>
    <t>HereafterÂ </t>
  </si>
  <si>
    <t>death|france|near death experience|tsunami|twin brother</t>
  </si>
  <si>
    <t>Chicken LittleÂ </t>
  </si>
  <si>
    <t>alien invasion|chicken|fish|friend|panic</t>
  </si>
  <si>
    <t>Biography|Drama|War</t>
  </si>
  <si>
    <t>Jordi MollÃ </t>
  </si>
  <si>
    <t>There Be DragonsÂ </t>
  </si>
  <si>
    <t>dying|forgiveness|saint|spanish civil war|starts with narration</t>
  </si>
  <si>
    <t>Robin Hood: Prince of ThievesÂ </t>
  </si>
  <si>
    <t>balladeer|crusades|england|king|modern minstrel</t>
  </si>
  <si>
    <t>Mad Max: Fury RoadÂ </t>
  </si>
  <si>
    <t>australia|desert|escape|on the run|post apocalypse</t>
  </si>
  <si>
    <t>Maggie Greenwald</t>
  </si>
  <si>
    <t>SongcatcherÂ </t>
  </si>
  <si>
    <t>doctor|mountain|musician|song|university</t>
  </si>
  <si>
    <t>Andrew Stanton</t>
  </si>
  <si>
    <t>Daryl Sabara</t>
  </si>
  <si>
    <t>John CarterÂ </t>
  </si>
  <si>
    <t>alien|american civil war|male nipple|mars|princess</t>
  </si>
  <si>
    <t>Callie Khouri</t>
  </si>
  <si>
    <t>Mad MoneyÂ </t>
  </si>
  <si>
    <t>bank|federal reserve bank|money|security guard|shredder</t>
  </si>
  <si>
    <t>Sam Fell</t>
  </si>
  <si>
    <t>Emma Watson</t>
  </si>
  <si>
    <t>The Tale of DespereauxÂ </t>
  </si>
  <si>
    <t>book|darkness|dungeon|princess|rat</t>
  </si>
  <si>
    <t>Sterling Jerins</t>
  </si>
  <si>
    <t>No EscapeÂ </t>
  </si>
  <si>
    <t>asia|fictional country|hotel|rebellion|revolution</t>
  </si>
  <si>
    <t>Crime|Horror|Music|Thriller</t>
  </si>
  <si>
    <t>Alia Shawkat</t>
  </si>
  <si>
    <t>Green RoomÂ </t>
  </si>
  <si>
    <t>murder|neo nazi|punk band|skinhead|suspense</t>
  </si>
  <si>
    <t>Thaddeus O'Sullivan</t>
  </si>
  <si>
    <t>Olivia Williams</t>
  </si>
  <si>
    <t>The Heart of MeÂ </t>
  </si>
  <si>
    <t>1930s|car accident|hospital|marital rape|painter</t>
  </si>
  <si>
    <t>Red CliffÂ </t>
  </si>
  <si>
    <t>alliance|battle|china|chinese|strategy</t>
  </si>
  <si>
    <t>Robby Henson</t>
  </si>
  <si>
    <t>Marc Blucas</t>
  </si>
  <si>
    <t>Thr3eÂ </t>
  </si>
  <si>
    <t>bound with duct tape|flash forward|number|riddle|stalking</t>
  </si>
  <si>
    <t>Poland</t>
  </si>
  <si>
    <t>The Damned UnitedÂ </t>
  </si>
  <si>
    <t>cup|derby county|flashback|football|leeds united</t>
  </si>
  <si>
    <t>UnleashedÂ </t>
  </si>
  <si>
    <t>collar|dog|fight|fighting|piano</t>
  </si>
  <si>
    <t>The Hobbit: The Desolation of SmaugÂ </t>
  </si>
  <si>
    <t>dwarf|elf|lake town|mountain|sword and sorcery</t>
  </si>
  <si>
    <t>MallratsÂ </t>
  </si>
  <si>
    <t>comic|ex girlfriend|jay and silent bob|mall|teenager</t>
  </si>
  <si>
    <t>Barry Skolnick</t>
  </si>
  <si>
    <t>Comedy|Drama|Sport</t>
  </si>
  <si>
    <t>Mean MachineÂ </t>
  </si>
  <si>
    <t>inmate|prison|prison guard|soccer|soccer star</t>
  </si>
  <si>
    <t>Anika Noni Rose</t>
  </si>
  <si>
    <t>From Justin to KellyÂ </t>
  </si>
  <si>
    <t>bar|florida|love|spring break|waitress</t>
  </si>
  <si>
    <t>James Toback</t>
  </si>
  <si>
    <t>Two Girls and a GuyÂ </t>
  </si>
  <si>
    <t>actor|anilingus|double cross|funeral home|two timing</t>
  </si>
  <si>
    <t>Ayelet Zurer</t>
  </si>
  <si>
    <t>MunichÂ </t>
  </si>
  <si>
    <t>arab|black september|israel|jew|munich olympics</t>
  </si>
  <si>
    <t>Udayan Prasad</t>
  </si>
  <si>
    <t>The Yellow HandkerchiefÂ </t>
  </si>
  <si>
    <t>louisiana|overalls|road trip|southern u.s.|teenage boy</t>
  </si>
  <si>
    <t>Green LanternÂ </t>
  </si>
  <si>
    <t>autopsy|lantern|planet|ring|test pilot</t>
  </si>
  <si>
    <t>RoundersÂ </t>
  </si>
  <si>
    <t>breasts|cult film|loan shark|poker|reference to christy turlington</t>
  </si>
  <si>
    <t>Crime|Drama|History|Mystery|Thriller</t>
  </si>
  <si>
    <t>ZodiacÂ </t>
  </si>
  <si>
    <t>cartoonist|reporter|serial killer|zodiac|zodiac killer</t>
  </si>
  <si>
    <t>The Perez FamilyÂ </t>
  </si>
  <si>
    <t>immigration|love|political prisoner|reference to john wayne|title directed by female</t>
  </si>
  <si>
    <t>FuryÂ </t>
  </si>
  <si>
    <t>battle|battlefield|brutality|combat|tank</t>
  </si>
  <si>
    <t>Chris Roberts</t>
  </si>
  <si>
    <t>Saffron Burrows</t>
  </si>
  <si>
    <t>Wing CommanderÂ </t>
  </si>
  <si>
    <t>27th century|fighter pilot|orchestral music score|outer space|space opera</t>
  </si>
  <si>
    <t>MirrorsÂ </t>
  </si>
  <si>
    <t>estranged wife|evil|fire|medication|mirror</t>
  </si>
  <si>
    <t>Femme FataleÂ </t>
  </si>
  <si>
    <t>ambassador|cannes|identity|suicide|thief</t>
  </si>
  <si>
    <t>L.A. ConfidentialÂ </t>
  </si>
  <si>
    <t>1950s|call girl|corruption|murder|police detective</t>
  </si>
  <si>
    <t>Gulliver's TravelsÂ </t>
  </si>
  <si>
    <t>bermuda triangle|box office hit|shipwrecked|travel|travel writer</t>
  </si>
  <si>
    <t>Nima Nourizadeh</t>
  </si>
  <si>
    <t>Dax Flame</t>
  </si>
  <si>
    <t>Project XÂ </t>
  </si>
  <si>
    <t>birthday party|high school|high school senior|millennial generation|party</t>
  </si>
  <si>
    <t>The BorrowersÂ </t>
  </si>
  <si>
    <t>child's point of view|house|lawyer|real estate|washing machine</t>
  </si>
  <si>
    <t>Die Hard with a VengeanceÂ </t>
  </si>
  <si>
    <t>bomb|detective|new york city|police|terrorist</t>
  </si>
  <si>
    <t>William A. Graham</t>
  </si>
  <si>
    <t>Return to the Blue LagoonÂ </t>
  </si>
  <si>
    <t>baby|desert island|island|sequel|teenage girl</t>
  </si>
  <si>
    <t>FranÃ§ois Cluzet</t>
  </si>
  <si>
    <t>Little White LiesÂ </t>
  </si>
  <si>
    <t>friend|restaurant|secret|unrequited love|vacation</t>
  </si>
  <si>
    <t>Death at a FuneralÂ </t>
  </si>
  <si>
    <t>end credits roll call|four word title|funeral|secret|uncle</t>
  </si>
  <si>
    <t>eXistenZÂ </t>
  </si>
  <si>
    <t>assassin|game|game designer|pod|virtual reality</t>
  </si>
  <si>
    <t>The Incredible HulkÂ </t>
  </si>
  <si>
    <t>antidote|cure|hulk|marvel cinematic universe|opening action scene</t>
  </si>
  <si>
    <t>Furious 7Â </t>
  </si>
  <si>
    <t>car falling off a cliff|hospital|revenge|star died before release|terrorist</t>
  </si>
  <si>
    <t>Rupert Sanders</t>
  </si>
  <si>
    <t>Snow White and the HuntsmanÂ </t>
  </si>
  <si>
    <t>evil queen|fairy tale|magic|queen|snow white</t>
  </si>
  <si>
    <t>Dena Seidel</t>
  </si>
  <si>
    <t>Adventure|Documentary</t>
  </si>
  <si>
    <t>Naderev Sano</t>
  </si>
  <si>
    <t>Antarctic Edge: 70Â° SouthÂ </t>
  </si>
  <si>
    <t>The MatrixÂ </t>
  </si>
  <si>
    <t>artificial reality|computer|matrix|questioning reality|simulated reality</t>
  </si>
  <si>
    <t>Ruairi Robinson</t>
  </si>
  <si>
    <t>The Last Days on MarsÂ </t>
  </si>
  <si>
    <t>alien infection|astronaut|mars|mission|zombie</t>
  </si>
  <si>
    <t>Resurrecting the ChampÂ </t>
  </si>
  <si>
    <t>boxing|colosseum|homeless man|reporter|writer</t>
  </si>
  <si>
    <t>InsidiousÂ </t>
  </si>
  <si>
    <t>baby|boy|coma|demon|house</t>
  </si>
  <si>
    <t>Stuart Gordon</t>
  </si>
  <si>
    <t>FortressÂ </t>
  </si>
  <si>
    <t>escape|future|population control|prison|prisoner</t>
  </si>
  <si>
    <t>Beverly D'Angelo</t>
  </si>
  <si>
    <t>National Lampoon's VacationÂ </t>
  </si>
  <si>
    <t>amusement park|dog|family vacation|national lampoon series|vacation</t>
  </si>
  <si>
    <t>Alex &amp; EmmaÂ </t>
  </si>
  <si>
    <t>gambling|novel|stenographer|writer|writer's block</t>
  </si>
  <si>
    <t>Action|Adventure|Family|Fantasy|Sci-Fi</t>
  </si>
  <si>
    <t>Journey to the Center of the EarthÂ </t>
  </si>
  <si>
    <t>cave|lost world|missing brother|mountain|venus flytrap</t>
  </si>
  <si>
    <t>J.S. Cardone</t>
  </si>
  <si>
    <t>Brendan Fehr</t>
  </si>
  <si>
    <t>The ForsakenÂ </t>
  </si>
  <si>
    <t>flashing breasts|hitchhiker|vampire|vampire hunter|virus</t>
  </si>
  <si>
    <t>The Legend of TarzanÂ </t>
  </si>
  <si>
    <t>africa|capture|jungle|male objectification|tarzan</t>
  </si>
  <si>
    <t>Clare Kilner</t>
  </si>
  <si>
    <t>Jack Davenport</t>
  </si>
  <si>
    <t>The Wedding DateÂ </t>
  </si>
  <si>
    <t>chick flick|escort|male escort|wedding|wedding date</t>
  </si>
  <si>
    <t>Scott Waugh</t>
  </si>
  <si>
    <t>Rami Malek</t>
  </si>
  <si>
    <t>Need for SpeedÂ </t>
  </si>
  <si>
    <t>cross country|custom car|illegal street racing|police officer crushed|street racing</t>
  </si>
  <si>
    <t>SidewaysÂ </t>
  </si>
  <si>
    <t>actor|california|teacher|wine|writer</t>
  </si>
  <si>
    <t>Adventure|Biography|Drama|History|Sport|Thriller</t>
  </si>
  <si>
    <t>EverestÂ </t>
  </si>
  <si>
    <t>blizzard|mount everest|mountain|mountain climbing|snow</t>
  </si>
  <si>
    <t>Manish Dayal</t>
  </si>
  <si>
    <t>The Hundred-Foot JourneyÂ </t>
  </si>
  <si>
    <t>chef|haute cuisine|indian cuisine|michelin guide|restaurant</t>
  </si>
  <si>
    <t>Glen Morgan</t>
  </si>
  <si>
    <t>WillardÂ </t>
  </si>
  <si>
    <t>at work|rat|revenge|vermin|work</t>
  </si>
  <si>
    <t>Carter Smith</t>
  </si>
  <si>
    <t>The RuinsÂ </t>
  </si>
  <si>
    <t>bow and arrow|group of friends|horse|rifle|ruins</t>
  </si>
  <si>
    <t>Steven Zaillian</t>
  </si>
  <si>
    <t>A Civil ActionÂ </t>
  </si>
  <si>
    <t>1980s|law firm|lawsuit|lawyer|toxic waste</t>
  </si>
  <si>
    <t>CollateralÂ </t>
  </si>
  <si>
    <t>city by night|contract killer|driving at night|los angeles california|taxi</t>
  </si>
  <si>
    <t>American WeddingÂ </t>
  </si>
  <si>
    <t>bachelor party|blow job|breasts|friend|wedding</t>
  </si>
  <si>
    <t>Action|Drama|Music|Romance</t>
  </si>
  <si>
    <t>The BodyguardÂ </t>
  </si>
  <si>
    <t>bodyguard|manager|pop singer|secret service agent|singer</t>
  </si>
  <si>
    <t>Superman IIIÂ </t>
  </si>
  <si>
    <t>computer|high school|kryptonite|smallville|villain</t>
  </si>
  <si>
    <t>Adventure|Family|Fantasy|Sci-Fi</t>
  </si>
  <si>
    <t>City of EmberÂ </t>
  </si>
  <si>
    <t>box|food|mayor|pipeworks|scientist</t>
  </si>
  <si>
    <t>Aisha Tyler</t>
  </si>
  <si>
    <t>Death SentenceÂ </t>
  </si>
  <si>
    <t>blood|death|gang|murder|revenge</t>
  </si>
  <si>
    <t>The Lone RangerÂ </t>
  </si>
  <si>
    <t>horse|outlaw|texas|texas ranger|train</t>
  </si>
  <si>
    <t>Michael Anderson</t>
  </si>
  <si>
    <t>Farrah Fawcett</t>
  </si>
  <si>
    <t>Logan's RunÂ </t>
  </si>
  <si>
    <t>cat|computer|cult film|runner|sanctuary</t>
  </si>
  <si>
    <t>Bob Rafelson</t>
  </si>
  <si>
    <t>Blood and WineÂ </t>
  </si>
  <si>
    <t>diamond|necklace|safecracker|wine|wine dealer</t>
  </si>
  <si>
    <t>Myles Berkowitz</t>
  </si>
  <si>
    <t>Biography|Comedy|Romance</t>
  </si>
  <si>
    <t>20 DatesÂ </t>
  </si>
  <si>
    <t>fake documentary|hidden camera|mockumentary|narrative|reality show</t>
  </si>
  <si>
    <t>Pineapple ExpressÂ </t>
  </si>
  <si>
    <t>murder|paranoia|process server|roach|stoner</t>
  </si>
  <si>
    <t>Claudia Sainte-Luce</t>
  </si>
  <si>
    <t>Ximena Ayala</t>
  </si>
  <si>
    <t>The Amazing CatfishÂ </t>
  </si>
  <si>
    <t>actress shares first name with character|appendicitis|hospital|loss of mother|supermarket</t>
  </si>
  <si>
    <t>RiddickÂ </t>
  </si>
  <si>
    <t>alien|left for dead|mercenary|survival|vomiting</t>
  </si>
  <si>
    <t>You Don't Mess with the ZohanÂ </t>
  </si>
  <si>
    <t>hair stylist|jew|landlord|muslim|palestinian</t>
  </si>
  <si>
    <t>Ron Shelton</t>
  </si>
  <si>
    <t>Khandi Alexander</t>
  </si>
  <si>
    <t>Dark BlueÂ </t>
  </si>
  <si>
    <t>corrupt|criminal|investigation|lapd|police</t>
  </si>
  <si>
    <t>Jay Chandrasekhar</t>
  </si>
  <si>
    <t>Club DreadÂ </t>
  </si>
  <si>
    <t>beach|island|party|resort|serial killer</t>
  </si>
  <si>
    <t>Gordon Chan</t>
  </si>
  <si>
    <t>The MedallionÂ </t>
  </si>
  <si>
    <t>hong kong|interpol|medallion|ship|tough cop</t>
  </si>
  <si>
    <t>Find Me GuiltyÂ </t>
  </si>
  <si>
    <t>court|drugs|judge|mafia|mobster</t>
  </si>
  <si>
    <t>What to Expect When You're ExpectingÂ </t>
  </si>
  <si>
    <t>baby|expecting twins|hawaiian shirt|photographer|pregnancy</t>
  </si>
  <si>
    <t>Tarsem Singh</t>
  </si>
  <si>
    <t>Adventure|Comedy|Drama|Family|Fantasy</t>
  </si>
  <si>
    <t>Mirror MirrorÂ </t>
  </si>
  <si>
    <t>kingdom|prince|princess|queen|snow</t>
  </si>
  <si>
    <t>Paul McGuigan</t>
  </si>
  <si>
    <t>Lucky Number SlevinÂ </t>
  </si>
  <si>
    <t>coroner|death|gay son|love|mistaken identity</t>
  </si>
  <si>
    <t>Night at the Museum: Secret of the TombÂ </t>
  </si>
  <si>
    <t>museum|museum of natural history manhattan new york city|night watchman|star died before release|tablet</t>
  </si>
  <si>
    <t>James Manera</t>
  </si>
  <si>
    <t>Atlas Shrugged: Who Is John Galt?Â </t>
  </si>
  <si>
    <t>box office flop|critically bashed|economy|individual versus society|rescue</t>
  </si>
  <si>
    <t>Action|Drama|Fantasy</t>
  </si>
  <si>
    <t>The CrowÂ </t>
  </si>
  <si>
    <t>back from the dead|crime boss|crow|gothic|vigilante</t>
  </si>
  <si>
    <t>Kurt Hale</t>
  </si>
  <si>
    <t>Kirby Heyborne</t>
  </si>
  <si>
    <t>The Singles WardÂ </t>
  </si>
  <si>
    <t>church|love|marriage|mormon|single</t>
  </si>
  <si>
    <t>Biography|Comedy|Drama|War</t>
  </si>
  <si>
    <t>Good Morning, VietnamÂ </t>
  </si>
  <si>
    <t>disc jockey|friendship|radio|vietnam|vietnamese</t>
  </si>
  <si>
    <t>Kiss Kiss Bang BangÂ </t>
  </si>
  <si>
    <t>actor|detective sergeant|hotel|nightclub|thief</t>
  </si>
  <si>
    <t>Jeff Garlin</t>
  </si>
  <si>
    <t>Jessy Schram</t>
  </si>
  <si>
    <t>I Want Someone to Eat Cheese WithÂ </t>
  </si>
  <si>
    <t>cheese|city|ice cream|school|second city</t>
  </si>
  <si>
    <t>Hal Holbrook</t>
  </si>
  <si>
    <t>Wall StreetÂ </t>
  </si>
  <si>
    <t>1980s|argument|critique of capitalism|f word|fired from the job</t>
  </si>
  <si>
    <t>Robert Townsend</t>
  </si>
  <si>
    <t>Hollywood ShuffleÂ </t>
  </si>
  <si>
    <t>actor|african american|dream|two word title|written and directed by cast member</t>
  </si>
  <si>
    <t>Bam Margera</t>
  </si>
  <si>
    <t>Jackass: The MovieÂ </t>
  </si>
  <si>
    <t>alligator|golf|japan|panda|stunt</t>
  </si>
  <si>
    <t>Radio DaysÂ </t>
  </si>
  <si>
    <t>beach|cigarette girl|radio|woman holding a baby|working class</t>
  </si>
  <si>
    <t>Dan Fogelman</t>
  </si>
  <si>
    <t>Danny CollinsÂ </t>
  </si>
  <si>
    <t>entertainer|inspiration|lost opportunity|pregnant mother|rock star</t>
  </si>
  <si>
    <t>Michael Lembeck</t>
  </si>
  <si>
    <t>The Santa Clause 2Â </t>
  </si>
  <si>
    <t>christmas|magic|santa claus|son|toy</t>
  </si>
  <si>
    <t>Antonia Bird</t>
  </si>
  <si>
    <t>Jeremy Davies</t>
  </si>
  <si>
    <t>RavenousÂ </t>
  </si>
  <si>
    <t>based on true story|cannibalism|captain|mexican american war|u.s. frontier</t>
  </si>
  <si>
    <t>Czech Republic</t>
  </si>
  <si>
    <t>Drama|Fantasy|Romance|Thriller</t>
  </si>
  <si>
    <t>GhostÂ </t>
  </si>
  <si>
    <t>death|film blanc|invisibility|love|unrequited love</t>
  </si>
  <si>
    <t>Pam Ferris</t>
  </si>
  <si>
    <t>The RavenÂ </t>
  </si>
  <si>
    <t>mask|murder|newspaper|poem|serial killer</t>
  </si>
  <si>
    <t>The Life Aquatic with Steve ZissouÂ </t>
  </si>
  <si>
    <t>expedition|oceanographer|sea|shark|team</t>
  </si>
  <si>
    <t>Tatsuo Matsumura</t>
  </si>
  <si>
    <t>MadadayoÂ </t>
  </si>
  <si>
    <t>air raid|beer|birthday|japan|professor</t>
  </si>
  <si>
    <t>CinderellaÂ </t>
  </si>
  <si>
    <t>dress|duke|fairy godmother|fairy tale|pumpkin</t>
  </si>
  <si>
    <t>Resident Evil: ExtinctionÂ </t>
  </si>
  <si>
    <t>clone|convoy|crow|desert|satellite</t>
  </si>
  <si>
    <t>Phil Traill</t>
  </si>
  <si>
    <t>All About SteveÂ </t>
  </si>
  <si>
    <t>blind date|crossword puzzle|eccentric|fall|mine shaft</t>
  </si>
  <si>
    <t>Radio FlyerÂ </t>
  </si>
  <si>
    <t>father son relationship|physical abuse|radio flyer|stepfather|stepfather stepson relationship</t>
  </si>
  <si>
    <t>ZoolanderÂ </t>
  </si>
  <si>
    <t>fashion|malaysia|male model|reporter|rival</t>
  </si>
  <si>
    <t>Biography|Drama|History|Thriller|War</t>
  </si>
  <si>
    <t>A Mighty HeartÂ </t>
  </si>
  <si>
    <t>fbi|journalist|missing|pakistan|reporter</t>
  </si>
  <si>
    <t>Frank Miller</t>
  </si>
  <si>
    <t>Sin CityÂ </t>
  </si>
  <si>
    <t>anthology|corruption|hearing characters thoughts|neo noir|night</t>
  </si>
  <si>
    <t>A Simple PlanÂ </t>
  </si>
  <si>
    <t>bag of money|found money|minnesota|screenplay adapted by author|snow</t>
  </si>
  <si>
    <t>Get ShortyÂ </t>
  </si>
  <si>
    <t>debt|loan shark|mobster|movie business|producer</t>
  </si>
  <si>
    <t>Beverly Hills CopÂ </t>
  </si>
  <si>
    <t>drug dealer|drugs|murder|police brutality|police shootout</t>
  </si>
  <si>
    <t>The Royal TenenbaumsÂ </t>
  </si>
  <si>
    <t>brother brother relationship|family relationships|father daughter relationship|genius|thrown through a window</t>
  </si>
  <si>
    <t>Documentary|Drama|Sport</t>
  </si>
  <si>
    <t>William Gates</t>
  </si>
  <si>
    <t>Hoop DreamsÂ </t>
  </si>
  <si>
    <t>athlete|basketball|high school|high school student|school</t>
  </si>
  <si>
    <t>BeetlejuiceÂ </t>
  </si>
  <si>
    <t>attic|ghost|surrealism|teenage girl|yuppie</t>
  </si>
  <si>
    <t>Tommy Pallotta</t>
  </si>
  <si>
    <t>SlackerÂ </t>
  </si>
  <si>
    <t>austin texas|moon|pap smear|texas|twenty something</t>
  </si>
  <si>
    <t>You Can Count on MeÂ </t>
  </si>
  <si>
    <t>bank|car accident|cheating husband|new york|single mother</t>
  </si>
  <si>
    <t>Melanie Griffith</t>
  </si>
  <si>
    <t>CelebrityÂ </t>
  </si>
  <si>
    <t>celebrity|journalist|lesbian kiss|strong female character|tv producer</t>
  </si>
  <si>
    <t>My Week with MarilynÂ </t>
  </si>
  <si>
    <t>actress|assistant director|blonde bombshell|movie star|wardrobe</t>
  </si>
  <si>
    <t>Michael Emerson</t>
  </si>
  <si>
    <t>SawÂ </t>
  </si>
  <si>
    <t>chained|flashback|killer|serial killer|surprise ending</t>
  </si>
  <si>
    <t>Up Close &amp; PersonalÂ </t>
  </si>
  <si>
    <t>journalism|news anchor|newscast|newscaster|tv journalism</t>
  </si>
  <si>
    <t>Jamal Hill</t>
  </si>
  <si>
    <t>Logan Browning</t>
  </si>
  <si>
    <t>Brotherly LoveÂ </t>
  </si>
  <si>
    <t>basketball|burglary|police|robbery|teenage girl</t>
  </si>
  <si>
    <t>Star Wars: Episode II - Attack of the ClonesÂ </t>
  </si>
  <si>
    <t>martial arts|murdered before giving protagonist information|part computer animation|prequel|prequel to cult film</t>
  </si>
  <si>
    <t>Forrest GumpÂ </t>
  </si>
  <si>
    <t>amputee|love|vietnam|vietnam war|war hero</t>
  </si>
  <si>
    <t>Thank You for SmokingÂ </t>
  </si>
  <si>
    <t>cigarette smoking|lobbyist|political satire|reporter|tobacco industry</t>
  </si>
  <si>
    <t>Leon Ichaso</t>
  </si>
  <si>
    <t>Sugar HillÂ </t>
  </si>
  <si>
    <t>african american|harlem manhattan new york city|manhattan new york city|new york city|urination</t>
  </si>
  <si>
    <t>Star Wars: Episode I - The Phantom MenaceÂ </t>
  </si>
  <si>
    <t>alien|character says i have a bad feeling about this|hand to hand combat|seven word title|wilhelm scream</t>
  </si>
  <si>
    <t>Dominique Othenin-Girard</t>
  </si>
  <si>
    <t>Halloween 5Â </t>
  </si>
  <si>
    <t>cat|halloween|kitten|michael myers|psychotronic</t>
  </si>
  <si>
    <t>InkheartÂ </t>
  </si>
  <si>
    <t>book|escape|girl|overalls|villain</t>
  </si>
  <si>
    <t>Four ChristmasesÂ </t>
  </si>
  <si>
    <t>airport|christmas|news broadcast|tv broadcast|tv news</t>
  </si>
  <si>
    <t>The AviatorÂ </t>
  </si>
  <si>
    <t>1920s|aviation|fight|spruce goose|test flight</t>
  </si>
  <si>
    <t>The BossÂ </t>
  </si>
  <si>
    <t>business|girl scouts|orphanage|overweight woman|quitting a job</t>
  </si>
  <si>
    <t>Cedric Nicolas-Troyan</t>
  </si>
  <si>
    <t>The Huntsman: Winter's WarÂ </t>
  </si>
  <si>
    <t>based on fairy tale|dark fantasy|fairy tale|second part|sequel</t>
  </si>
  <si>
    <t>Bridge of SpiesÂ </t>
  </si>
  <si>
    <t>cia|cold war|lawyer|negotiation|spy</t>
  </si>
  <si>
    <t>Ed Gass-Donnelly</t>
  </si>
  <si>
    <t>The Last Exorcism Part IIÂ </t>
  </si>
  <si>
    <t>car fire|evil|hospital|hotel|prophecy</t>
  </si>
  <si>
    <t>Steven Anthony Lawrence</t>
  </si>
  <si>
    <t>My Favorite MartianÂ </t>
  </si>
  <si>
    <t>alien|hidden camera|martian|reporter|spaceship</t>
  </si>
  <si>
    <t>Road to PerditionÂ </t>
  </si>
  <si>
    <t>1930s|blood|gun|on the run|revenge</t>
  </si>
  <si>
    <t>Bryan Barber</t>
  </si>
  <si>
    <t>Crime|Drama|Musical|Romance</t>
  </si>
  <si>
    <t>IdlewildÂ </t>
  </si>
  <si>
    <t>gangster|playing piano|song and dance|speakeasy|written and directed by cast member</t>
  </si>
  <si>
    <t>Action|Adventure|Animation|Comedy|Drama|Family|Sci-Fi</t>
  </si>
  <si>
    <t>The Iron GiantÂ </t>
  </si>
  <si>
    <t>boy|friend|government agent|maine|robot</t>
  </si>
  <si>
    <t>Crime|Thriller|War</t>
  </si>
  <si>
    <t>Mike Figueroa</t>
  </si>
  <si>
    <t>RedactedÂ </t>
  </si>
  <si>
    <t>blood splatter|iraq|murder|rape|soldier</t>
  </si>
  <si>
    <t>The TownÂ </t>
  </si>
  <si>
    <t>bank manager|bank robbery|criminal gang|heist|prison</t>
  </si>
  <si>
    <t>Glengarry Glen RossÂ </t>
  </si>
  <si>
    <t>office|pressure|real estate|robbery|sales</t>
  </si>
  <si>
    <t>Miranda Cosgrove</t>
  </si>
  <si>
    <t>School of RockÂ </t>
  </si>
  <si>
    <t>battle of the bands|rock band|school teacher|substitute teacher|teacher</t>
  </si>
  <si>
    <t>Easy AÂ </t>
  </si>
  <si>
    <t>gay|gay interest|high school|school|student</t>
  </si>
  <si>
    <t>GothikaÂ </t>
  </si>
  <si>
    <t>memory|murder|patient|psychiatrist|the devil</t>
  </si>
  <si>
    <t>Cedric the Entertainer</t>
  </si>
  <si>
    <t>Intolerable CrueltyÂ </t>
  </si>
  <si>
    <t>attorney|divorce|marriage|real estate|screwball comedy</t>
  </si>
  <si>
    <t>LittlemanÂ </t>
  </si>
  <si>
    <t>diamond|infant|parody|spoof|sports violence</t>
  </si>
  <si>
    <t>James Ponsoldt</t>
  </si>
  <si>
    <t>Shailene Woodley</t>
  </si>
  <si>
    <t>The Spectacular NowÂ </t>
  </si>
  <si>
    <t>crying man|high school|high school senior|men's clothing store|party</t>
  </si>
  <si>
    <t>Julio DePietro</t>
  </si>
  <si>
    <t>Adrian Martinez</t>
  </si>
  <si>
    <t>The Good GuyÂ </t>
  </si>
  <si>
    <t>book club|cheating boyfriend|job promotion|manhattan new york city|new york city</t>
  </si>
  <si>
    <t>HancockÂ </t>
  </si>
  <si>
    <t>bully comeuppance|destruction|prison|superhero|tough girl</t>
  </si>
  <si>
    <t>Joe Charbanic</t>
  </si>
  <si>
    <t>The WatcherÂ </t>
  </si>
  <si>
    <t>fbi|murder|scene of the crime|serial killer|therapy</t>
  </si>
  <si>
    <t>OrgazmoÂ </t>
  </si>
  <si>
    <t>book of mormon|fight|mormon|ray gun|sidekick</t>
  </si>
  <si>
    <t>Adventure|Comedy|Family|Fantasy|Romance|Sport</t>
  </si>
  <si>
    <t>Herbie Fully LoadedÂ </t>
  </si>
  <si>
    <t>automobile racing|car|mechanic|nascar|street racing</t>
  </si>
  <si>
    <t>Blake Edwards</t>
  </si>
  <si>
    <t>Comedy|Drama|Musical|Romance|War</t>
  </si>
  <si>
    <t>Rock Hudson</t>
  </si>
  <si>
    <t>Darling LiliÂ </t>
  </si>
  <si>
    <t>crepe suzette|french|mata hari spoof|song|spy</t>
  </si>
  <si>
    <t>Out of TimeÂ </t>
  </si>
  <si>
    <t>cancer|florida|insurance|life insurance policy|small town</t>
  </si>
  <si>
    <t>Craig Bolotin</t>
  </si>
  <si>
    <t>Light It UpÂ </t>
  </si>
  <si>
    <t>black cop|die hard scenario|hostage negotiator|police|police brutality</t>
  </si>
  <si>
    <t>Non-StopÂ </t>
  </si>
  <si>
    <t>air marshal|death|passenger|terrorist|transatlantic flight</t>
  </si>
  <si>
    <t>William Cottrell</t>
  </si>
  <si>
    <t>Adriana Caselotti</t>
  </si>
  <si>
    <t>Snow White and the Seven DwarfsÂ </t>
  </si>
  <si>
    <t>dwarf|love|princess|queen|snow white</t>
  </si>
  <si>
    <t>Ronny Cox</t>
  </si>
  <si>
    <t>Total RecallÂ </t>
  </si>
  <si>
    <t>ambiguous ending|false memory|implanted memory|memory|space colony</t>
  </si>
  <si>
    <t>StolenÂ </t>
  </si>
  <si>
    <t>bank|money|presumed dead|rescue|thief</t>
  </si>
  <si>
    <t>Joshua Marston</t>
  </si>
  <si>
    <t>Catalina Sandino Moreno</t>
  </si>
  <si>
    <t>Maria Full of GraceÂ </t>
  </si>
  <si>
    <t>colombia|colombian|drug mule|money|stomach</t>
  </si>
  <si>
    <t>Colombia</t>
  </si>
  <si>
    <t>Julie Walters</t>
  </si>
  <si>
    <t>Billy ElliotÂ </t>
  </si>
  <si>
    <t>audition|ballet|boxing|miner|miners strike</t>
  </si>
  <si>
    <t>Cirque du Freak: The Vampire's AssistantÂ </t>
  </si>
  <si>
    <t>antidote|based on young adult novel|flyer|spider|vampire</t>
  </si>
  <si>
    <t>Ladder 49Â </t>
  </si>
  <si>
    <t>death of husband|fire|firefighter|funeral|main character dies</t>
  </si>
  <si>
    <t>Drama|Family|Fantasy</t>
  </si>
  <si>
    <t>The Nativity StoryÂ </t>
  </si>
  <si>
    <t>angel|bethlehem|journey|nazareth|virgin</t>
  </si>
  <si>
    <t>Wil Shriner</t>
  </si>
  <si>
    <t>HootÂ </t>
  </si>
  <si>
    <t>fight|florida|montana|owl|school</t>
  </si>
  <si>
    <t>RiÂ¢hie RiÂ¢hÂ </t>
  </si>
  <si>
    <t>attempted murder|based on comic book|escape from prison|lost at sea|wealth</t>
  </si>
  <si>
    <t>The HeatÂ </t>
  </si>
  <si>
    <t>drug lord|fbi|fbi agent|hospital|shot in the crotch</t>
  </si>
  <si>
    <t>Trust the ManÂ </t>
  </si>
  <si>
    <t>actress|lesbianism|manhattan new york city|urination|watching pornography</t>
  </si>
  <si>
    <t>Lone Scherfig</t>
  </si>
  <si>
    <t>One DayÂ </t>
  </si>
  <si>
    <t>23 year time span|accidental death|best friend|loss of loved one|male female friendship</t>
  </si>
  <si>
    <t>Crime|Fantasy|Horror</t>
  </si>
  <si>
    <t>From Dusk Till DawnÂ </t>
  </si>
  <si>
    <t>brother|human versus vampire|rapist|stripper|vampire</t>
  </si>
  <si>
    <t>Marc Levin</t>
  </si>
  <si>
    <t>Sonja Sohn</t>
  </si>
  <si>
    <t>SlamÂ </t>
  </si>
  <si>
    <t>gang|independent film|prison|racial slur|urban setting</t>
  </si>
  <si>
    <t>David Carson</t>
  </si>
  <si>
    <t>Star Trek: GenerationsÂ </t>
  </si>
  <si>
    <t>23rd century|bare chested male bondage|enterprise the starship|rescue|sacrifice</t>
  </si>
  <si>
    <t>Tina Desai</t>
  </si>
  <si>
    <t>The Second Best Exotic Marigold HotelÂ </t>
  </si>
  <si>
    <t>sequel</t>
  </si>
  <si>
    <t>The Bourne UltimatumÂ </t>
  </si>
  <si>
    <t>action hero|cia|dark past|flashback|memory</t>
  </si>
  <si>
    <t>William McNamara</t>
  </si>
  <si>
    <t>CopycatÂ </t>
  </si>
  <si>
    <t>agoraphobia|copycat murder|detective|psychologist|serial killer</t>
  </si>
  <si>
    <t>Paul Schneider</t>
  </si>
  <si>
    <t>George WashingtonÂ </t>
  </si>
  <si>
    <t>cover up|north carolina|redemption|small town|teenager</t>
  </si>
  <si>
    <t>Stephen Gaghan</t>
  </si>
  <si>
    <t>SyrianaÂ </t>
  </si>
  <si>
    <t>cia|hezbollah|lebanon|oil|prince</t>
  </si>
  <si>
    <t>Mars Attacks!Â </t>
  </si>
  <si>
    <t>alien|general|martian|president|weapon</t>
  </si>
  <si>
    <t>Leonard Roberts</t>
  </si>
  <si>
    <t>DrumlineÂ </t>
  </si>
  <si>
    <t>drumline|drummer|fish out of water|marching band|university</t>
  </si>
  <si>
    <t>Masayuki Ochiai</t>
  </si>
  <si>
    <t>James Kyson</t>
  </si>
  <si>
    <t>ShutterÂ </t>
  </si>
  <si>
    <t>car accident|japan|newlywed|photograph|photographer</t>
  </si>
  <si>
    <t>Bob Odenkirk</t>
  </si>
  <si>
    <t>The Brothers SolomonÂ </t>
  </si>
  <si>
    <t>antarctica|coma|neighbor|phd|pregnancy</t>
  </si>
  <si>
    <t>Kevin Rankin</t>
  </si>
  <si>
    <t>HulkÂ </t>
  </si>
  <si>
    <t>1980s|c 130 hercules|monster|panzer|san francisco california</t>
  </si>
  <si>
    <t>Cloud AtlasÂ </t>
  </si>
  <si>
    <t>composer|future|letter|nonlinear timeline|nursing home</t>
  </si>
  <si>
    <t>Troy Duffy</t>
  </si>
  <si>
    <t>The Boondock Saints II: All Saints DayÂ </t>
  </si>
  <si>
    <t>final showdown|ireland|justice|priest|sheep</t>
  </si>
  <si>
    <t>FlubberÂ </t>
  </si>
  <si>
    <t>college|flubber|flying rubber|professor|wedding</t>
  </si>
  <si>
    <t>George P. Cosmatos</t>
  </si>
  <si>
    <t>Action|Adventure|Thriller|War</t>
  </si>
  <si>
    <t>Rambo: First Blood Part IIÂ </t>
  </si>
  <si>
    <t>1980s|mission|prison|rambo|vietnam</t>
  </si>
  <si>
    <t>Leighton Meester</t>
  </si>
  <si>
    <t>Monte CarloÂ </t>
  </si>
  <si>
    <t>cell phone|hotel|misunderstanding|monte carlo|young woman</t>
  </si>
  <si>
    <t>TranceÂ </t>
  </si>
  <si>
    <t>amnesia|criminal|heist|hypnotherapy|lost painting</t>
  </si>
  <si>
    <t>Alun Armstrong</t>
  </si>
  <si>
    <t>The SaintÂ </t>
  </si>
  <si>
    <t>cold fusion|disguise|energy|fusion|the saint</t>
  </si>
  <si>
    <t>Alice Greczyn</t>
  </si>
  <si>
    <t>The Dukes of HazzardÂ </t>
  </si>
  <si>
    <t>1969 dodge charger|bikini|farm|misogynist|tow truck</t>
  </si>
  <si>
    <t>David Duchovny</t>
  </si>
  <si>
    <t>House of DÂ </t>
  </si>
  <si>
    <t>artist|butchery|catholic|catholic school|friend</t>
  </si>
  <si>
    <t>Peter Howitt</t>
  </si>
  <si>
    <t>Johnny EnglishÂ </t>
  </si>
  <si>
    <t>british|crown jewels|explosion|funeral|spy</t>
  </si>
  <si>
    <t>The Last SamuraiÂ </t>
  </si>
  <si>
    <t>captain|emperor|honor|japan|samurai</t>
  </si>
  <si>
    <t>James D'Arcy</t>
  </si>
  <si>
    <t>Exorcist: The BeginningÂ </t>
  </si>
  <si>
    <t>archeologist|church|excavation|faith|relic</t>
  </si>
  <si>
    <t>Adventure|Crime|Mystery|Sci-Fi|Thriller</t>
  </si>
  <si>
    <t>Samira Wiley</t>
  </si>
  <si>
    <t>NerveÂ </t>
  </si>
  <si>
    <t>dare|game|knocked out|motorcycle|online game</t>
  </si>
  <si>
    <t>Year OneÂ </t>
  </si>
  <si>
    <t>abraham|hunter|princess|sodom|tribe</t>
  </si>
  <si>
    <t>Tony Jaa</t>
  </si>
  <si>
    <t>Nirut Sirichanya</t>
  </si>
  <si>
    <t>Ong-bak 2Â </t>
  </si>
  <si>
    <t>cult film|elephant|jungle|martial arts|stylized violence</t>
  </si>
  <si>
    <t>Noah Baumbach</t>
  </si>
  <si>
    <t>William Baldwin</t>
  </si>
  <si>
    <t>The Squid and the WhaleÂ </t>
  </si>
  <si>
    <t>boy|divorce|tennis|tennis coach|writer</t>
  </si>
  <si>
    <t>Action|Adventure|Animation|Comedy|Family|Sci-Fi</t>
  </si>
  <si>
    <t>Jimmy Neutron: Boy GeniusÂ </t>
  </si>
  <si>
    <t>alien|boy genius|children|genius|rescue</t>
  </si>
  <si>
    <t>Adaptation.Â </t>
  </si>
  <si>
    <t>book|orchid|screenwriter|thief|twin</t>
  </si>
  <si>
    <t>Alan Metter</t>
  </si>
  <si>
    <t>Police Academy: Mission to MoscowÂ </t>
  </si>
  <si>
    <t>captain|commandant|mafia|russian mafia|security system</t>
  </si>
  <si>
    <t>Matt Shively</t>
  </si>
  <si>
    <t>Paranormal Activity 4Â </t>
  </si>
  <si>
    <t>boy in a bathtub|demon|laptop computer|pulled underwater|walking in the dark</t>
  </si>
  <si>
    <t>Andrew Bergman</t>
  </si>
  <si>
    <t>StripteaseÂ </t>
  </si>
  <si>
    <t>bouncer|breasts|congressman|private dancer|stripper</t>
  </si>
  <si>
    <t>Katherine Dieckmann</t>
  </si>
  <si>
    <t>Stephanie Szostak</t>
  </si>
  <si>
    <t>MotherhoodÂ </t>
  </si>
  <si>
    <t>birthday|birthday party|delivery man|mother|neighbor</t>
  </si>
  <si>
    <t>Siddiq Barmak</t>
  </si>
  <si>
    <t>Marina Golbahari</t>
  </si>
  <si>
    <t>OsamaÂ </t>
  </si>
  <si>
    <t>boy|girl|hair|school|taliban</t>
  </si>
  <si>
    <t>Dari</t>
  </si>
  <si>
    <t>Afghanistan</t>
  </si>
  <si>
    <t>Jon Hurwitz</t>
  </si>
  <si>
    <t>Danneel Ackles</t>
  </si>
  <si>
    <t>Harold &amp; Kumar Escape from Guantanamo BayÂ </t>
  </si>
  <si>
    <t>bong|escape|ex girlfriend|guantanamo bay|texas</t>
  </si>
  <si>
    <t>SnatchÂ </t>
  </si>
  <si>
    <t>boxer|boxing|diamond|fight|gypsy</t>
  </si>
  <si>
    <t>X-MenÂ </t>
  </si>
  <si>
    <t>first part|mutant|professor|superhero|superhero team</t>
  </si>
  <si>
    <t>BattleshipÂ </t>
  </si>
  <si>
    <t>box office flop|hawaii|naval|oahu hawaii|ship</t>
  </si>
  <si>
    <t>Marc SchÃ¶lermann</t>
  </si>
  <si>
    <t>PathologyÂ </t>
  </si>
  <si>
    <t>corpse|dark humor|medical school|murder|pathology</t>
  </si>
  <si>
    <t>Midnight in the Garden of Good and EvilÂ </t>
  </si>
  <si>
    <t>graveyard|murder|murder trial|reporter|trial</t>
  </si>
  <si>
    <t>PrometheusÂ </t>
  </si>
  <si>
    <t>cave painting|medical scanner|planet|pregnant with an alien fetus|suspended animation</t>
  </si>
  <si>
    <t>Dudley Do-RightÂ </t>
  </si>
  <si>
    <t>gold|gold rush|mirror|police officer|singer</t>
  </si>
  <si>
    <t>Adventure|Comedy|Drama|Family|Romance</t>
  </si>
  <si>
    <t>Beverly Hills ChihuahuaÂ </t>
  </si>
  <si>
    <t>chihuahua|german shepherd|mexico|potted plant|tijuana mexico</t>
  </si>
  <si>
    <t>Adventure|Comedy|Family|Romance|Sci-Fi</t>
  </si>
  <si>
    <t>Meet DaveÂ </t>
  </si>
  <si>
    <t>alien|mutiny|orb|planet|spaceship</t>
  </si>
  <si>
    <t>Hitoshi Matsumoto</t>
  </si>
  <si>
    <t>Lindsay Kay Hayward</t>
  </si>
  <si>
    <t>R100Â </t>
  </si>
  <si>
    <t>coma|one word title|spitting|sushi|swimming pool</t>
  </si>
  <si>
    <t>Jeff Lowell</t>
  </si>
  <si>
    <t>Over Her Dead BodyÂ </t>
  </si>
  <si>
    <t>accident|diary|ghost|psychic|veterinarian</t>
  </si>
  <si>
    <t>CursedÂ </t>
  </si>
  <si>
    <t>creature|death|party|rescue|werewolf</t>
  </si>
  <si>
    <t>Ethan Maniquis</t>
  </si>
  <si>
    <t>MacheteÂ </t>
  </si>
  <si>
    <t>machete|mexican|mexico|priest|texas</t>
  </si>
  <si>
    <t>Ice Age: The MeltdownÂ </t>
  </si>
  <si>
    <t>flood|mammoth|no opening credits|squirrel|valley</t>
  </si>
  <si>
    <t>Margin CallÂ </t>
  </si>
  <si>
    <t>capital management|financial crisis|financial disaster|investment fraud|management</t>
  </si>
  <si>
    <t>Seamus Davey-Fitzpatrick</t>
  </si>
  <si>
    <t>Before MidnightÂ </t>
  </si>
  <si>
    <t>friend|greece|greek|hotel room|twin</t>
  </si>
  <si>
    <t>BatmanÂ </t>
  </si>
  <si>
    <t>city|dc comics|gotham|pantyhose|police</t>
  </si>
  <si>
    <t>Up in the AirÂ </t>
  </si>
  <si>
    <t>airport|business trip|downsizing|on the road|travel</t>
  </si>
  <si>
    <t>Joshua Seftel</t>
  </si>
  <si>
    <t>Bashar Rahal</t>
  </si>
  <si>
    <t>War, Inc.Â </t>
  </si>
  <si>
    <t>assassin|corporation|pop star|reporter|satire</t>
  </si>
  <si>
    <t>Drew Goddard</t>
  </si>
  <si>
    <t>The Cabin in the WoodsÂ </t>
  </si>
  <si>
    <t>cabin in the woods|dark humor|hatchet|killed in an elevator|robot</t>
  </si>
  <si>
    <t>Suicide SquadÂ </t>
  </si>
  <si>
    <t>based on comic book|critically bashed|father daughter relationship|reference to superman|super villain</t>
  </si>
  <si>
    <t>Adventure|Drama|Sci-Fi</t>
  </si>
  <si>
    <t>A.I. Artificial IntelligenceÂ </t>
  </si>
  <si>
    <t>affection|boy|fairy|future|robot</t>
  </si>
  <si>
    <t>Action|Fantasy</t>
  </si>
  <si>
    <t>Sucker PunchÂ </t>
  </si>
  <si>
    <t>alternate reality|escape|girl gang|prostitution|samurai</t>
  </si>
  <si>
    <t>Adventure|Animation|Comedy|Family|Fantasy|Music</t>
  </si>
  <si>
    <t>Alvin and the Chipmunks: ChipwreckedÂ </t>
  </si>
  <si>
    <t>chipmunk|cruise ship|football ball|overboard|tennis ball</t>
  </si>
  <si>
    <t>ArmageddonÂ </t>
  </si>
  <si>
    <t>asteroid|astronaut|bomb|meteorite|outer space</t>
  </si>
  <si>
    <t>Bolo Yeung</t>
  </si>
  <si>
    <t>Double ImpactÂ </t>
  </si>
  <si>
    <t>boat|hong kong|murder|tunnel|twins</t>
  </si>
  <si>
    <t>The Pursuit of HappynessÂ </t>
  </si>
  <si>
    <t>bus|intern|internship|salesman|stockbroker</t>
  </si>
  <si>
    <t>Jumping the BroomÂ </t>
  </si>
  <si>
    <t>martha's vineyard|mother|older woman younger man relationship|wedding|weekend</t>
  </si>
  <si>
    <t>The TenÂ </t>
  </si>
  <si>
    <t>death|mexico|sabbath|surgeon|ten stories</t>
  </si>
  <si>
    <t>The CraziesÂ </t>
  </si>
  <si>
    <t>deputy|iowa|rural setting|sheriff|survival</t>
  </si>
  <si>
    <t>Cyrus Nowrasteh</t>
  </si>
  <si>
    <t>Clive Russell</t>
  </si>
  <si>
    <t>The Young MessiahÂ </t>
  </si>
  <si>
    <t>based on novel</t>
  </si>
  <si>
    <t>Clear and Present DangerÂ </t>
  </si>
  <si>
    <t>cia|colombia|colombian drug cartel|drugs|president</t>
  </si>
  <si>
    <t>Action|Biography|Drama|History|Thriller|War</t>
  </si>
  <si>
    <t>American SniperÂ </t>
  </si>
  <si>
    <t>assassin|death of child|iraq|sniper|sniper rifle</t>
  </si>
  <si>
    <t>Pierre Coffin</t>
  </si>
  <si>
    <t>Despicable MeÂ </t>
  </si>
  <si>
    <t>girl|minion|moon|pyramid|white picket fence</t>
  </si>
  <si>
    <t>ElysiumÂ </t>
  </si>
  <si>
    <t>christ figure|class differences|messiah|saviour|social commentary</t>
  </si>
  <si>
    <t>Stephen Milburn Anderson</t>
  </si>
  <si>
    <t>Ca$hÂ </t>
  </si>
  <si>
    <t>cash|financial problem|heist|land rover|mortgage</t>
  </si>
  <si>
    <t>The RoadÂ </t>
  </si>
  <si>
    <t>apocalypse|boy|food|pistol|survival</t>
  </si>
  <si>
    <t>Steve Hickner</t>
  </si>
  <si>
    <t>Bee MovieÂ </t>
  </si>
  <si>
    <t>bee|dream sequence|egg|scatological humor|squashed bug</t>
  </si>
  <si>
    <t>Adventure|Animation|Comedy|Family|Western</t>
  </si>
  <si>
    <t>RangoÂ </t>
  </si>
  <si>
    <t>chameleon|lizard|sheriff|water|western town</t>
  </si>
  <si>
    <t>Youth in RevoltÂ </t>
  </si>
  <si>
    <t>alter ego|boarding school|love|masturbation|teen movie</t>
  </si>
  <si>
    <t>CarrieÂ </t>
  </si>
  <si>
    <t>outcast|prom|self injury|telekinesis|tragic event</t>
  </si>
  <si>
    <t>Fatih Akin</t>
  </si>
  <si>
    <t>Udo Kier</t>
  </si>
  <si>
    <t>Soul KitchenÂ </t>
  </si>
  <si>
    <t>2000s|burglar|chef|cook|restaurant</t>
  </si>
  <si>
    <t>Action|Horror|Romance</t>
  </si>
  <si>
    <t>Matt Smith</t>
  </si>
  <si>
    <t>Pride and Prejudice and ZombiesÂ </t>
  </si>
  <si>
    <t>based on novel|damsel in distress|deception|england|zombie</t>
  </si>
  <si>
    <t>The Big LebowskiÂ </t>
  </si>
  <si>
    <t>death|drug|nihilism|rug|white russian</t>
  </si>
  <si>
    <t>Drama|Fantasy|War</t>
  </si>
  <si>
    <t>Ivana Baquero</t>
  </si>
  <si>
    <t>Pan's LabyrinthÂ </t>
  </si>
  <si>
    <t>fairy|fairy tale|faun|princess|spain</t>
  </si>
  <si>
    <t>Mike Cahill</t>
  </si>
  <si>
    <t>Robin Lord Taylor</t>
  </si>
  <si>
    <t>Another EarthÂ </t>
  </si>
  <si>
    <t>duplicate earth|janitor|planet|solar system|synchronicity</t>
  </si>
  <si>
    <t>PaycheckÂ </t>
  </si>
  <si>
    <t>anti hero|babe scientist|engineer|memory|money</t>
  </si>
  <si>
    <t>Louis Morneau</t>
  </si>
  <si>
    <t>Leon</t>
  </si>
  <si>
    <t>BatsÂ </t>
  </si>
  <si>
    <t>animal attack|bat|creature feature|experiment|mad scientist</t>
  </si>
  <si>
    <t>A Better LifeÂ </t>
  </si>
  <si>
    <t>gang|gardener|money|police|truck</t>
  </si>
  <si>
    <t>Don't Say a WordÂ </t>
  </si>
  <si>
    <t>mental institution|post traumatic stress|psychiatrist|vomiting|voyeur</t>
  </si>
  <si>
    <t>Draft DayÂ </t>
  </si>
  <si>
    <t>cleveland browns|head coach|linebacker|nfl|team owner</t>
  </si>
  <si>
    <t>Mary Elizabeth Mastrantonio</t>
  </si>
  <si>
    <t>LimboÂ </t>
  </si>
  <si>
    <t>alaska|island|motorboat|singer|wilderness</t>
  </si>
  <si>
    <t>Tony Gilroy</t>
  </si>
  <si>
    <t>The Bourne LegacyÂ </t>
  </si>
  <si>
    <t>assassin|cia|drone|pill|wolf</t>
  </si>
  <si>
    <t>Lords of DogtownÂ </t>
  </si>
  <si>
    <t>1970s|skateboarder|skateboarding|surf|swimming pool</t>
  </si>
  <si>
    <t>A Beautiful MindÂ </t>
  </si>
  <si>
    <t>conspiracy|cryptography|mathematician|mental illness|nobel prize</t>
  </si>
  <si>
    <t>Larry David</t>
  </si>
  <si>
    <t>Whatever WorksÂ </t>
  </si>
  <si>
    <t>atheist|limp|quantum mechanics|religion|runaway</t>
  </si>
  <si>
    <t>Henry Hobson</t>
  </si>
  <si>
    <t>MaggieÂ </t>
  </si>
  <si>
    <t>father daughter relationship|playing against type|post apocalypse|protective father|zombie apocalypse</t>
  </si>
  <si>
    <t>Kelly Macdonald</t>
  </si>
  <si>
    <t>TrainspottingÂ </t>
  </si>
  <si>
    <t>drug culture|drugs|filthy toilet|heroin addict|heroin withdrawal</t>
  </si>
  <si>
    <t>Comedy|Horror|Romance</t>
  </si>
  <si>
    <t>VampsÂ </t>
  </si>
  <si>
    <t>murder|new york city|one word title|vampire|vampire slayer</t>
  </si>
  <si>
    <t>Harold Cronk</t>
  </si>
  <si>
    <t>Benjamin A. Onyango</t>
  </si>
  <si>
    <t>God's Not Dead 2Â </t>
  </si>
  <si>
    <t>alternate universe|christian|christian film|christianity|manipulation</t>
  </si>
  <si>
    <t>Michael Cuesta</t>
  </si>
  <si>
    <t>Adam LeFevre</t>
  </si>
  <si>
    <t>L.I.E.Â </t>
  </si>
  <si>
    <t>ephebophile|pederasty|pedophilia|playing hooky|shaving</t>
  </si>
  <si>
    <t>Stuart Baird</t>
  </si>
  <si>
    <t>Star Trek: NemesisÂ </t>
  </si>
  <si>
    <t>earth|federation|romulan|slave|space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</si>
  <si>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</si>
  <si>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</si>
  <si>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</si>
  <si>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</si>
  <si>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</si>
  <si>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Cruel IntentionsÂ </t>
  </si>
  <si>
    <t>bet|revenge|seduction|virgin|wager</t>
  </si>
  <si>
    <t>YentlÂ </t>
  </si>
  <si>
    <t>love|study|talmud|wedding|yeshiva</t>
  </si>
  <si>
    <t>Tom Green</t>
  </si>
  <si>
    <t>Freddy Got FingeredÂ </t>
  </si>
  <si>
    <t>animator|bamboo cane|cartoonist|sausage|slacker</t>
  </si>
  <si>
    <t>Action|Biography|Drama</t>
  </si>
  <si>
    <t>Tony Chiu Wai Leung</t>
  </si>
  <si>
    <t>The GrandmasterÂ </t>
  </si>
  <si>
    <t>challenge|china|hong kong|martial arts|martial arts master</t>
  </si>
  <si>
    <t>This Is Where I Leave YouÂ </t>
  </si>
  <si>
    <t>brother sister relationship|childhood home|man child|sibling|vomiting</t>
  </si>
  <si>
    <t>Thomas Bo Larsen</t>
  </si>
  <si>
    <t>The HuntÂ </t>
  </si>
  <si>
    <t>deer|gun|gunshot|hunt|kindergarten teacher</t>
  </si>
  <si>
    <t>Mark Herman</t>
  </si>
  <si>
    <t>Richard Johnson</t>
  </si>
  <si>
    <t>The Boy in the Striped PajamasÂ </t>
  </si>
  <si>
    <t>boy|fence|jew|nazis|poison gas</t>
  </si>
  <si>
    <t>Due DateÂ </t>
  </si>
  <si>
    <t>actor|aspiring actor|birth|misadventure|suitcase</t>
  </si>
  <si>
    <t>Maggie Carey</t>
  </si>
  <si>
    <t>Donald Glover</t>
  </si>
  <si>
    <t>The To Do ListÂ </t>
  </si>
  <si>
    <t>feces in a swimming pool|female vomiting|high school|lifeguard|male objectification</t>
  </si>
  <si>
    <t>The CallÂ </t>
  </si>
  <si>
    <t>911 operator|calling 911|die hard scenario|head held underwater|white villain</t>
  </si>
  <si>
    <t>Scott Frank</t>
  </si>
  <si>
    <t>A Walk Among the TombstonesÂ </t>
  </si>
  <si>
    <t>drug dealer|ex cop|murder of wife|revenge|violence</t>
  </si>
  <si>
    <t>Kevin Hooks</t>
  </si>
  <si>
    <t>Action|Adventure|Crime|Drama|Romance</t>
  </si>
  <si>
    <t>FledÂ </t>
  </si>
  <si>
    <t>disk|floppy disk|mafia|prison|prisoner</t>
  </si>
  <si>
    <t>Avatar</t>
  </si>
  <si>
    <t>avatar|future|marine|native|paraplegic</t>
  </si>
  <si>
    <t>Sherlock Holmes: A Game of ShadowsÂ </t>
  </si>
  <si>
    <t>factory|gypsy|investigation|sherlock holmes|train</t>
  </si>
  <si>
    <t>Country StrongÂ </t>
  </si>
  <si>
    <t>country music|panties|pink panties|relapse|songwriter</t>
  </si>
  <si>
    <t>ThunderballÂ </t>
  </si>
  <si>
    <t>domino|fiery redhead|nassau|official james bond series|underwater battle</t>
  </si>
  <si>
    <t>Andy Garcia</t>
  </si>
  <si>
    <t>Danny Pino</t>
  </si>
  <si>
    <t>The Lost CityÂ </t>
  </si>
  <si>
    <t>1950s|cuba|cuban flag|fidel castro|havana cuba</t>
  </si>
  <si>
    <t>Mamoru Hosoda</t>
  </si>
  <si>
    <t>Action|Adventure|Animation|Family|Sci-Fi</t>
  </si>
  <si>
    <t>Lara Jill Miller</t>
  </si>
  <si>
    <t>Digimon: The MovieÂ </t>
  </si>
  <si>
    <t>based on video game|box office hit|computer|digimon|internet</t>
  </si>
  <si>
    <t>WimbledonÂ </t>
  </si>
  <si>
    <t>career|player|tennis|tennis player|wimbledon</t>
  </si>
  <si>
    <t>Se7enÂ </t>
  </si>
  <si>
    <t>detective|police partner|serial killer|serial murder|seven deadly sins</t>
  </si>
  <si>
    <t>The Object of My AffectionÂ </t>
  </si>
  <si>
    <t>baby|dancing|gay|name calling|penis slur</t>
  </si>
  <si>
    <t>What Just HappenedÂ </t>
  </si>
  <si>
    <t>actor|agent|beard|cannes|hollywood</t>
  </si>
  <si>
    <t>AddictedÂ </t>
  </si>
  <si>
    <t>adultery|attraction|lust|obsession|temptation</t>
  </si>
  <si>
    <t>InsomniaÂ </t>
  </si>
  <si>
    <t>detective|insomnia|murder|partner|police</t>
  </si>
  <si>
    <t>Michael Dinner</t>
  </si>
  <si>
    <t>The CrewÂ </t>
  </si>
  <si>
    <t>beach|drug lord|drugs|hotel|stripper</t>
  </si>
  <si>
    <t>The Scorpion KingÂ </t>
  </si>
  <si>
    <t>desert|king|showdown|sorceress|warrior</t>
  </si>
  <si>
    <t>Action|Adventure|Comedy|Fantasy|Mystery</t>
  </si>
  <si>
    <t>The Golden ChildÂ </t>
  </si>
  <si>
    <t>boy|child|chosen one|demon|detective</t>
  </si>
  <si>
    <t>Rufus Sewell</t>
  </si>
  <si>
    <t>Extreme OpsÂ </t>
  </si>
  <si>
    <t>commercial|extreme sports|mountain|serbian|terrorist</t>
  </si>
  <si>
    <t>Bibo Bergeron</t>
  </si>
  <si>
    <t>Shark TaleÂ </t>
  </si>
  <si>
    <t>anchor|fish|mobster|shark|vegetarian</t>
  </si>
  <si>
    <t>American HustleÂ </t>
  </si>
  <si>
    <t>based on true story|con artist|drunk wife|fbi investigation|scam</t>
  </si>
  <si>
    <t>Christopher Meloni</t>
  </si>
  <si>
    <t>BoundÂ </t>
  </si>
  <si>
    <t>gangster|lesbian|mafia|money|neo noir</t>
  </si>
  <si>
    <t>Sliding DoorsÂ </t>
  </si>
  <si>
    <t>alternative reality|multiple outcomes|parallel time|serendipity|twist of fate</t>
  </si>
  <si>
    <t>Sofia Boutella</t>
  </si>
  <si>
    <t>Star Trek BeyondÂ </t>
  </si>
  <si>
    <t>hatred|sequel|space opera|star trek|third part</t>
  </si>
  <si>
    <t>Elizabeth Allen Rosenbaum</t>
  </si>
  <si>
    <t>Tammin Sursok</t>
  </si>
  <si>
    <t>AquamarineÂ </t>
  </si>
  <si>
    <t>beach|love|mermaid|storm|swimming</t>
  </si>
  <si>
    <t>Star Trek Into DarknessÂ </t>
  </si>
  <si>
    <t>admiral|captain|manhunt|mission|space</t>
  </si>
  <si>
    <t>Lorraine Bracco</t>
  </si>
  <si>
    <t>Medicine ManÂ </t>
  </si>
  <si>
    <t>cancer|environment|gas chromatograph|jungle|nature</t>
  </si>
  <si>
    <t>Michael Dougherty</t>
  </si>
  <si>
    <t>KrampusÂ </t>
  </si>
  <si>
    <t>christmas|german|holiday|krampus|santa claus</t>
  </si>
  <si>
    <t>Wah-WahÂ </t>
  </si>
  <si>
    <t>alcoholic|alcoholic father|stepmother|swaziland|unfaithful wife</t>
  </si>
  <si>
    <t>David Belle</t>
  </si>
  <si>
    <t>District B13Â </t>
  </si>
  <si>
    <t>bomb|gang|police|sister|undercover cop</t>
  </si>
  <si>
    <t>The Pirates! Band of MisfitsÂ </t>
  </si>
  <si>
    <t>charles darwin|cutlass|pirate|queen victoria|scientist</t>
  </si>
  <si>
    <t>Mary McGuckian</t>
  </si>
  <si>
    <t>The Bridge of San Luis ReyÂ </t>
  </si>
  <si>
    <t>bridge|friar|inquisition|peru|rope bridge</t>
  </si>
  <si>
    <t>In DreamsÂ </t>
  </si>
  <si>
    <t>dream|mental institution|padded cell|serial killer|suicide attempt</t>
  </si>
  <si>
    <t>Andrew Morahan</t>
  </si>
  <si>
    <t>Action|Fantasy|Romance|Sci-Fi</t>
  </si>
  <si>
    <t>Highlander: The Final DimensionÂ </t>
  </si>
  <si>
    <t>cave|highlander|illusion|immortal|japan</t>
  </si>
  <si>
    <t>Iron Man 2Â </t>
  </si>
  <si>
    <t>hammer|military|monaco|revenge|tony stark</t>
  </si>
  <si>
    <t>Action|Biography|Drama|History|Romance|Western</t>
  </si>
  <si>
    <t>TombstoneÂ </t>
  </si>
  <si>
    <t>cigar smoking|cowboy|duel|outlaw|tombstone arizona</t>
  </si>
  <si>
    <t>Fred Gwynne</t>
  </si>
  <si>
    <t>My Cousin VinnyÂ </t>
  </si>
  <si>
    <t>alabama|jail|judicial system|lawyer|trial</t>
  </si>
  <si>
    <t>Emile Ardolino</t>
  </si>
  <si>
    <t>Family|Fantasy|Music</t>
  </si>
  <si>
    <t>Darci Kistler</t>
  </si>
  <si>
    <t>The NutcrackerÂ </t>
  </si>
  <si>
    <t>christmas|lifting female in air|lifting male in air|lifting someone into the air|little girl</t>
  </si>
  <si>
    <t>Gregory Jacobs</t>
  </si>
  <si>
    <t>Magic Mike XXLÂ </t>
  </si>
  <si>
    <t>male bonding|male friendship|male objectification|muscular|stripper</t>
  </si>
  <si>
    <t>George Ratliff</t>
  </si>
  <si>
    <t>Action|Comedy|Drama|Thriller</t>
  </si>
  <si>
    <t>Salvation BoulevardÂ </t>
  </si>
  <si>
    <t>cross|doused with gasoline|pastor|security guard|shower</t>
  </si>
  <si>
    <t>Jeremy Leven</t>
  </si>
  <si>
    <t>Don Juan DeMarcoÂ </t>
  </si>
  <si>
    <t>don juan|mental institution|patient|psychiatrist|retirement</t>
  </si>
  <si>
    <t>Resident Evil: AfterlifeÂ </t>
  </si>
  <si>
    <t>alaska|female gunfighter|mutation|ship|siege</t>
  </si>
  <si>
    <t>The New WorldÂ </t>
  </si>
  <si>
    <t>captain|fort|love|native american|trade</t>
  </si>
  <si>
    <t>NoahÂ </t>
  </si>
  <si>
    <t>ark|flood|noah's ark|water|wrath of god</t>
  </si>
  <si>
    <t>Rachel Perkins</t>
  </si>
  <si>
    <t>Deborah Mailman</t>
  </si>
  <si>
    <t>Bran Nue DaeÂ </t>
  </si>
  <si>
    <t>australia|journey|love|priest|traveling</t>
  </si>
  <si>
    <t>Any Given SundayÂ </t>
  </si>
  <si>
    <t>breasts|coach|football|in medias res|vomiting</t>
  </si>
  <si>
    <t>PrisonÂ </t>
  </si>
  <si>
    <t>electric chair|haunting|prison|prisoner|revenge</t>
  </si>
  <si>
    <t>While We're YoungÂ </t>
  </si>
  <si>
    <t>documentary filmmaker|documentary filmmaking|father in law|generation z|hipster</t>
  </si>
  <si>
    <t>Action|Biography|Drama|History|War</t>
  </si>
  <si>
    <t>Free State of JonesÂ </t>
  </si>
  <si>
    <t>american civil war|civil war|u.s. civil war</t>
  </si>
  <si>
    <t>Courtney Hunt</t>
  </si>
  <si>
    <t>Frozen RiverÂ </t>
  </si>
  <si>
    <t>border|mohawk|money|new york|river</t>
  </si>
  <si>
    <t>Jonathan D. Mellor</t>
  </si>
  <si>
    <t>[Rec] 2Â </t>
  </si>
  <si>
    <t>apartment|apartment building|blood sample|crucifix|zombie</t>
  </si>
  <si>
    <t>Rawson Marshall Thurber</t>
  </si>
  <si>
    <t>Dodgeball: A True Underdog StoryÂ </t>
  </si>
  <si>
    <t>dodgeball|gym|las vegas|pirate|ups</t>
  </si>
  <si>
    <t>The Best ManÂ </t>
  </si>
  <si>
    <t>african american|bachelor party|brooklyn bridge|family relationships|stripper</t>
  </si>
  <si>
    <t>Tate Donovan</t>
  </si>
  <si>
    <t>ShooterÂ </t>
  </si>
  <si>
    <t>colonel|ethiopia|marksman|on the run|rangefinder</t>
  </si>
  <si>
    <t>Catherine Gund</t>
  </si>
  <si>
    <t>Action|Biography|Documentary|Sport</t>
  </si>
  <si>
    <t>Elizabeth Streb</t>
  </si>
  <si>
    <t>Born to Fly: Elizabeth Streb vs. GravityÂ </t>
  </si>
  <si>
    <t>three word title</t>
  </si>
  <si>
    <t>Bonnie Hunt</t>
  </si>
  <si>
    <t>Return to MeÂ </t>
  </si>
  <si>
    <t>heart|italian restaurant|restaurant|transplant|waitress</t>
  </si>
  <si>
    <t>Arthur Hiller</t>
  </si>
  <si>
    <t>An Alan Smithee Film: Burn Hollywood BurnÂ </t>
  </si>
  <si>
    <t>box office flop|critically bashed|director|hollywood|mockumentary</t>
  </si>
  <si>
    <t>Action|Sci-Fi|Sport</t>
  </si>
  <si>
    <t>RollerballÂ </t>
  </si>
  <si>
    <t>ball|blood|skating|song|year 2005</t>
  </si>
  <si>
    <t>Honor Blackman</t>
  </si>
  <si>
    <t>GoldfingerÂ </t>
  </si>
  <si>
    <t>bikini|covered in melted gold|fort knox|gold|pilot</t>
  </si>
  <si>
    <t>Kris Isacsson</t>
  </si>
  <si>
    <t>Down to YouÂ </t>
  </si>
  <si>
    <t>artist|cake|college|new york city|student</t>
  </si>
  <si>
    <t>Julian Jarrold</t>
  </si>
  <si>
    <t>Becoming JaneÂ </t>
  </si>
  <si>
    <t>country estate|jane austen|lady|love|writing</t>
  </si>
  <si>
    <t>Robinson Devor</t>
  </si>
  <si>
    <t>Marilyn Rising</t>
  </si>
  <si>
    <t>The Woman ChaserÂ </t>
  </si>
  <si>
    <t>car salesman|filmmaking|pulp fiction|santa claus suit|truck driver</t>
  </si>
  <si>
    <t>Greg Germann</t>
  </si>
  <si>
    <t>Friends with MoneyÂ </t>
  </si>
  <si>
    <t>friend|friendship|marital problem|money problems|nervous breakdown</t>
  </si>
  <si>
    <t>The InternÂ </t>
  </si>
  <si>
    <t>reference to ben affleck|reference to brad pitt|reference to george clooney|reference to jack nicholson|website</t>
  </si>
  <si>
    <t>Open RangeÂ </t>
  </si>
  <si>
    <t>boss|cattle|cowboy|rancher|violence</t>
  </si>
  <si>
    <t>Tony Bill</t>
  </si>
  <si>
    <t>Action|Adventure|Drama|History|Romance|War</t>
  </si>
  <si>
    <t>FlyboysÂ </t>
  </si>
  <si>
    <t>american|france|military|pilot|training</t>
  </si>
  <si>
    <t>John Beasley</t>
  </si>
  <si>
    <t>The ApostleÂ </t>
  </si>
  <si>
    <t>church|louisiana|minister|preacher|texas</t>
  </si>
  <si>
    <t>Eugenio Derbez</t>
  </si>
  <si>
    <t>Instructions Not IncludedÂ </t>
  </si>
  <si>
    <t>father daughter relationship</t>
  </si>
  <si>
    <t>Serving SaraÂ </t>
  </si>
  <si>
    <t>divorce|divorce papers|new york|process server|texas</t>
  </si>
  <si>
    <t>Greg Coolidge</t>
  </si>
  <si>
    <t>Employee of the MonthÂ </t>
  </si>
  <si>
    <t>competition|date|employee|laser in eyes|slacker</t>
  </si>
  <si>
    <t>Je-kyu Kang</t>
  </si>
  <si>
    <t>Min-sik Choi</t>
  </si>
  <si>
    <t>Tae Guk Gi: The Brotherhood of WarÂ </t>
  </si>
  <si>
    <t>1950s|archeologist|korea|korean war|soldier</t>
  </si>
  <si>
    <t>Inside ManÂ </t>
  </si>
  <si>
    <t>bank|detective|negotiation|police|robber</t>
  </si>
  <si>
    <t>Ben Younger</t>
  </si>
  <si>
    <t>Boiler RoomÂ </t>
  </si>
  <si>
    <t>career|casino|judge|stock|stock broker</t>
  </si>
  <si>
    <t>Michael Caton-Jones</t>
  </si>
  <si>
    <t>The JackalÂ </t>
  </si>
  <si>
    <t>assassin|fbi|ira|jackal|russian</t>
  </si>
  <si>
    <t>Steven Shainberg</t>
  </si>
  <si>
    <t>SecretaryÂ </t>
  </si>
  <si>
    <t>bdsm|employer employee relationship|hospital|mental hospital|secretary</t>
  </si>
  <si>
    <t>Spencer Susser</t>
  </si>
  <si>
    <t>HesherÂ </t>
  </si>
  <si>
    <t>bully|car|car accident|fire|vomiting</t>
  </si>
  <si>
    <t>Sarah Smith</t>
  </si>
  <si>
    <t>Arthur ChristmasÂ </t>
  </si>
  <si>
    <t>christmas|christmas eve|elf|high tech|resentment</t>
  </si>
  <si>
    <t>CasinoÂ </t>
  </si>
  <si>
    <t>car bomb|card cheat|cash|casino|gambling syndicate</t>
  </si>
  <si>
    <t>Timur Bekmambetov</t>
  </si>
  <si>
    <t>Fantasy|Thriller</t>
  </si>
  <si>
    <t>Konstantin Khabenskiy</t>
  </si>
  <si>
    <t>Night WatchÂ </t>
  </si>
  <si>
    <t>battle|bridge|mother son relationship|supernatural power|vampire</t>
  </si>
  <si>
    <t>Russian</t>
  </si>
  <si>
    <t>Russia</t>
  </si>
  <si>
    <t>Out of AfricaÂ </t>
  </si>
  <si>
    <t>africa|hunter|love|marriage|plantation</t>
  </si>
  <si>
    <t>David Webb Peoples</t>
  </si>
  <si>
    <t>The Blood of HeroesÂ </t>
  </si>
  <si>
    <t>battle|blood splatter|combat|game|showdown</t>
  </si>
  <si>
    <t>Alan Parker</t>
  </si>
  <si>
    <t>Angela's AshesÂ </t>
  </si>
  <si>
    <t>drink|ira|irish|limerick|prejudice</t>
  </si>
  <si>
    <t>Michael Tollin</t>
  </si>
  <si>
    <t>RadioÂ </t>
  </si>
  <si>
    <t>coach|football|football coach|high school|radio</t>
  </si>
  <si>
    <t>Peter Serafinowicz</t>
  </si>
  <si>
    <t>Shaun of the DeadÂ </t>
  </si>
  <si>
    <t>british horror|pub|record collection|zombie|zombie apocalypse</t>
  </si>
  <si>
    <t>Jeffrey W. Byrd</t>
  </si>
  <si>
    <t>Donald Faison</t>
  </si>
  <si>
    <t>King's RansomÂ </t>
  </si>
  <si>
    <t>hit in the crotch|kidnapping|nail gun|police|release from prison</t>
  </si>
  <si>
    <t>Michael McGowan</t>
  </si>
  <si>
    <t>Saint RalphÂ </t>
  </si>
  <si>
    <t>boston marathon|coma|marathon|miracles|running</t>
  </si>
  <si>
    <t>Peter Kosminsky</t>
  </si>
  <si>
    <t>Patrick Fugit</t>
  </si>
  <si>
    <t>White OleanderÂ </t>
  </si>
  <si>
    <t>california|foster home|love|oleander|prison</t>
  </si>
  <si>
    <t>The Constant GardenerÂ </t>
  </si>
  <si>
    <t>death|diplomat|doctor|kenya|murder</t>
  </si>
  <si>
    <t>Rick Friedberg</t>
  </si>
  <si>
    <t>Hulk Hogan</t>
  </si>
  <si>
    <t>Spy HardÂ </t>
  </si>
  <si>
    <t>1990s|dentist|hit with a door|martial arts|museum</t>
  </si>
  <si>
    <t>Chan-wook Park</t>
  </si>
  <si>
    <t>Mia Wasikowska</t>
  </si>
  <si>
    <t>StokerÂ </t>
  </si>
  <si>
    <t>death|hitchcockian|psychopath|sociopath|vomiting</t>
  </si>
  <si>
    <t>Luis Llosa</t>
  </si>
  <si>
    <t>The SpecialistÂ </t>
  </si>
  <si>
    <t>bomb|cia|explosive|explosives expert|miami florida</t>
  </si>
  <si>
    <t>Peru</t>
  </si>
  <si>
    <t>The Good GermanÂ </t>
  </si>
  <si>
    <t>american|driver|journalist|russian|secret</t>
  </si>
  <si>
    <t>Thirteen DaysÂ </t>
  </si>
  <si>
    <t>blockade|crisis|cuba|missile|president</t>
  </si>
  <si>
    <t>The Godfather: Part IIÂ </t>
  </si>
  <si>
    <t>1950s|corrupt politician|lake tahoe nevada|melancholy|revenge</t>
  </si>
  <si>
    <t>Kay Pollak</t>
  </si>
  <si>
    <t>Michael Nyqvist</t>
  </si>
  <si>
    <t>As It Is in HeavenÂ </t>
  </si>
  <si>
    <t>amazing grace the hymn|choir|heart attack|hometown|skidding truck</t>
  </si>
  <si>
    <t>Swedish</t>
  </si>
  <si>
    <t>Sweden</t>
  </si>
  <si>
    <t>Summer of SamÂ </t>
  </si>
  <si>
    <t>distrust|fear|murder|neighborhood|new york city</t>
  </si>
  <si>
    <t>Bruce McDonald</t>
  </si>
  <si>
    <t>Stephen McHattie</t>
  </si>
  <si>
    <t>PontypoolÂ </t>
  </si>
  <si>
    <t>blood splatter|talk radio|virus|vomiting blood|zombie apocalypse</t>
  </si>
  <si>
    <t>Machete KillsÂ </t>
  </si>
  <si>
    <t>arms dealer|battle|bomb|machete|missile</t>
  </si>
  <si>
    <t>John Bonito</t>
  </si>
  <si>
    <t>Kelly Carlson</t>
  </si>
  <si>
    <t>The MarineÂ </t>
  </si>
  <si>
    <t>beating|marine|muscleman|tied up|tough guy</t>
  </si>
  <si>
    <t>Louis Jourdan</t>
  </si>
  <si>
    <t>OctopussyÂ </t>
  </si>
  <si>
    <t>agent|egg|faberge egg|general|russian</t>
  </si>
  <si>
    <t>Anthony Russo</t>
  </si>
  <si>
    <t>Captain America: The Winter SoldierÂ </t>
  </si>
  <si>
    <t>conspiracy|heroism|megalomaniac|super soldier|world domination</t>
  </si>
  <si>
    <t>Noah Buschel</t>
  </si>
  <si>
    <t>Merritt Wever</t>
  </si>
  <si>
    <t>The Missing PersonÂ </t>
  </si>
  <si>
    <t>cellphone|detective|missing person|private detective|train</t>
  </si>
  <si>
    <t>Larry Blamire</t>
  </si>
  <si>
    <t>Fay Masterson</t>
  </si>
  <si>
    <t>The Lost Skeleton of CadavraÂ </t>
  </si>
  <si>
    <t>alien|cave|husband wife relationship|monster|skeleton</t>
  </si>
  <si>
    <t>David McNally</t>
  </si>
  <si>
    <t>Estella Warren</t>
  </si>
  <si>
    <t>Kangaroo JackÂ </t>
  </si>
  <si>
    <t>australia|body paint|kangaroo|mob|money</t>
  </si>
  <si>
    <t>The WrestlerÂ </t>
  </si>
  <si>
    <t>heart attack|stripper|supermarket|wrestler|wrestling</t>
  </si>
  <si>
    <t>The Bucket ListÂ </t>
  </si>
  <si>
    <t>billionaire|friend|hospital|list|mechanic</t>
  </si>
  <si>
    <t>Chasing AmyÂ </t>
  </si>
  <si>
    <t>comic book|friendship|gay|lesbian|secret</t>
  </si>
  <si>
    <t>Vadim Perelman</t>
  </si>
  <si>
    <t>Frances Fisher</t>
  </si>
  <si>
    <t>House of Sand and FogÂ </t>
  </si>
  <si>
    <t>auction|home|house|iranian|marriage</t>
  </si>
  <si>
    <t>Action|Adventure|Drama|Sci-Fi</t>
  </si>
  <si>
    <t>Dawn of the Planet of the ApesÂ </t>
  </si>
  <si>
    <t>ape|dam|leader|post apocalypse|sequel</t>
  </si>
  <si>
    <t>Kaige Chen</t>
  </si>
  <si>
    <t>Dong-gun Jang</t>
  </si>
  <si>
    <t>The PromiseÂ </t>
  </si>
  <si>
    <t>armor|general|king|princess|slave</t>
  </si>
  <si>
    <t>Drama|History|Romance</t>
  </si>
  <si>
    <t>Bai Ling</t>
  </si>
  <si>
    <t>Anna and the KingÂ </t>
  </si>
  <si>
    <t>1860s|children|king|schoolteacher|siam</t>
  </si>
  <si>
    <t>Adventure|Drama|Family|Mystery</t>
  </si>
  <si>
    <t>HugoÂ </t>
  </si>
  <si>
    <t>automaton|mechanical|railway station|steampunk|train</t>
  </si>
  <si>
    <t>Taken 3Â </t>
  </si>
  <si>
    <t>betrayal|death|final showdown|murder|on the run</t>
  </si>
  <si>
    <t>BeginnersÂ </t>
  </si>
  <si>
    <t>actress|cancer|death|french|gay relationship</t>
  </si>
  <si>
    <t>Alden Ehrenreich</t>
  </si>
  <si>
    <t>Beautiful CreaturesÂ </t>
  </si>
  <si>
    <t>dream|escape|magic|magic spell|small town</t>
  </si>
  <si>
    <t>Matt Williams</t>
  </si>
  <si>
    <t>Where the Heart IsÂ </t>
  </si>
  <si>
    <t>birth|oklahoma|photographer|tennessee|wal mart</t>
  </si>
  <si>
    <t>Joby Harold</t>
  </si>
  <si>
    <t>AwakeÂ </t>
  </si>
  <si>
    <t>anesthetic|anesthetic awareness|heart|heart surgery|surgery</t>
  </si>
  <si>
    <t>Action|Comedy|Fantasy|Romance</t>
  </si>
  <si>
    <t>Scott Pilgrim vs. the WorldÂ </t>
  </si>
  <si>
    <t>band|dating|high school|hipster|rock band</t>
  </si>
  <si>
    <t>My Sister's KeeperÂ </t>
  </si>
  <si>
    <t>hospital|leukemia|oncology|sick child|terminal illness</t>
  </si>
  <si>
    <t>Comedy|Drama|Family|Music|Musical|Romance</t>
  </si>
  <si>
    <t>Jerry Stiller</t>
  </si>
  <si>
    <t>HairsprayÂ </t>
  </si>
  <si>
    <t>audition|best friend|dance|friend|tv dance show</t>
  </si>
  <si>
    <t>Richard Coyle</t>
  </si>
  <si>
    <t>5 Days of WarÂ </t>
  </si>
  <si>
    <t>cameraman|epic battle|journalist|south ossetia|street shootout</t>
  </si>
  <si>
    <t>Georgia</t>
  </si>
  <si>
    <t>The Shipping NewsÂ </t>
  </si>
  <si>
    <t>employee employer relationship|husband wife relationship|newspaper|ship|wake</t>
  </si>
  <si>
    <t>Illeana Douglas</t>
  </si>
  <si>
    <t>AliveÂ </t>
  </si>
  <si>
    <t>andes mountains|crash|death|starvation|stranded</t>
  </si>
  <si>
    <t>UnstoppableÂ </t>
  </si>
  <si>
    <t>freight train|race against time|runaway train|train|train engineer</t>
  </si>
  <si>
    <t>Tim Hunter</t>
  </si>
  <si>
    <t>River's EdgeÂ </t>
  </si>
  <si>
    <t>death|friend|high school|murder|police</t>
  </si>
  <si>
    <t>HitchÂ </t>
  </si>
  <si>
    <t>advice|friendship|gossip|newspaper|quitting a job</t>
  </si>
  <si>
    <t>The RookieÂ </t>
  </si>
  <si>
    <t>baseball|coach|high school|pitching|texas</t>
  </si>
  <si>
    <t>Greg Harrison</t>
  </si>
  <si>
    <t>Rachel True</t>
  </si>
  <si>
    <t>GrooveÂ </t>
  </si>
  <si>
    <t>dj|ecstasy the drug|rave|raver|warehouse</t>
  </si>
  <si>
    <t>Amir Talai</t>
  </si>
  <si>
    <t>NovemberÂ </t>
  </si>
  <si>
    <t>female protagonist|murder|photographer|robbery|shot to death</t>
  </si>
  <si>
    <t>Majid Majidi</t>
  </si>
  <si>
    <t>Bahare Seddiqi</t>
  </si>
  <si>
    <t>Children of HeavenÂ </t>
  </si>
  <si>
    <t>class|gardening|race|school|shoe</t>
  </si>
  <si>
    <t>Mark Piznarski</t>
  </si>
  <si>
    <t>Here on EarthÂ </t>
  </si>
  <si>
    <t>diner|love|private school|school|small town</t>
  </si>
  <si>
    <t>Action|Drama|Sport|Thriller</t>
  </si>
  <si>
    <t>The FanÂ </t>
  </si>
  <si>
    <t>baseball|fan|obsession|salesman|san francisco giants</t>
  </si>
  <si>
    <t>Tim Heidecker</t>
  </si>
  <si>
    <t>Michael Gross</t>
  </si>
  <si>
    <t>Tim and Eric's Billion Dollar MovieÂ </t>
  </si>
  <si>
    <t>film in film|man with glasses|reference to steven spielberg|self referential|shopping mall</t>
  </si>
  <si>
    <t>Russell Crowe</t>
  </si>
  <si>
    <t>Cem Yilmaz</t>
  </si>
  <si>
    <t>The Water DivinerÂ </t>
  </si>
  <si>
    <t>australian|battle|battle of gallipoli|gallipoli|world war one</t>
  </si>
  <si>
    <t>David Anspaugh</t>
  </si>
  <si>
    <t>Drama|History|Sport</t>
  </si>
  <si>
    <t>The Game of Their LivesÂ </t>
  </si>
  <si>
    <t>1950s|brazil|soccer|soccer movie|world cup</t>
  </si>
  <si>
    <t>Action|Adventure|Romance|Thriller</t>
  </si>
  <si>
    <t>First KnightÂ </t>
  </si>
  <si>
    <t>battle|king|king arthur|knight|marriage</t>
  </si>
  <si>
    <t>Maurizio Benazzo</t>
  </si>
  <si>
    <t>The Dalai Lama</t>
  </si>
  <si>
    <t>Short Cut to Nirvana: Kumbh MelaÂ </t>
  </si>
  <si>
    <t>Tom Burke</t>
  </si>
  <si>
    <t>ChÃ©riÂ </t>
  </si>
  <si>
    <t>age difference|courtesan|mansion|marriage|prostitute</t>
  </si>
  <si>
    <t>Adventure|Comedy|Drama|Family|Mystery</t>
  </si>
  <si>
    <t>HolesÂ </t>
  </si>
  <si>
    <t>bad luck|camp|curse|digging|hole</t>
  </si>
  <si>
    <t>RentÂ </t>
  </si>
  <si>
    <t>aids|hiv positive|lawyer|new york city|roommate</t>
  </si>
  <si>
    <t>CliffhangerÂ </t>
  </si>
  <si>
    <t>money|mountain|rocky mountains|snow|suitcase</t>
  </si>
  <si>
    <t>Chris Butler</t>
  </si>
  <si>
    <t>ParaNormanÂ </t>
  </si>
  <si>
    <t>curse|ghost|outcast|witch|zombie</t>
  </si>
  <si>
    <t>Wonder BoysÂ </t>
  </si>
  <si>
    <t>based on novel|college girl|midlife crisis|pittsburgh pennsylvania|professor</t>
  </si>
  <si>
    <t>UnforgivenÂ </t>
  </si>
  <si>
    <t>englishman|leaving flowers on a grave|one last job|reputation|visiting wife's grave</t>
  </si>
  <si>
    <t>John Cornell</t>
  </si>
  <si>
    <t>Crocodile Dundee IIÂ </t>
  </si>
  <si>
    <t>australia|australian|crime boss|crocodile|gangster</t>
  </si>
  <si>
    <t>The DebtÂ </t>
  </si>
  <si>
    <t>east berlin|kiev ukraine|mossad|nazi|nazi war criminal</t>
  </si>
  <si>
    <t>Fred Schepisi</t>
  </si>
  <si>
    <t>Last OrdersÂ </t>
  </si>
  <si>
    <t>ashes|butcher|friend|friendship|memory</t>
  </si>
  <si>
    <t>The Other Boleyn GirlÂ </t>
  </si>
  <si>
    <t>children|court|king|king henry viii|love</t>
  </si>
  <si>
    <t>D.B. Woodside</t>
  </si>
  <si>
    <t>Paul Blart: Mall Cop 2Â </t>
  </si>
  <si>
    <t>character name in title|no opening credits|sequel|wilhelm scream</t>
  </si>
  <si>
    <t>Joe SomebodyÂ </t>
  </si>
  <si>
    <t>bully|co worker|divorce|fight|karate</t>
  </si>
  <si>
    <t>Red DragonÂ </t>
  </si>
  <si>
    <t>criminal profile|fbi agent|madman|tabloid reporter|tragic villain</t>
  </si>
  <si>
    <t>Blue CrushÂ </t>
  </si>
  <si>
    <t>bikini|female surfer|sister sister relationship|surfing contest|swimsuit</t>
  </si>
  <si>
    <t>BernieÂ </t>
  </si>
  <si>
    <t>funeral|stockbroker|texas|vacation|widow</t>
  </si>
  <si>
    <t>Biography|Comedy|Documentary</t>
  </si>
  <si>
    <t>Nancy O'Dell</t>
  </si>
  <si>
    <t>Martin Lawrence Live: RunteldatÂ </t>
  </si>
  <si>
    <t>actor name in title|colon in title|four word title|live performance|satire</t>
  </si>
  <si>
    <t>The MartianÂ </t>
  </si>
  <si>
    <t>astronaut|international cooperation|left for dead|nasa|space habitat</t>
  </si>
  <si>
    <t>Eric Bross</t>
  </si>
  <si>
    <t>On the LineÂ </t>
  </si>
  <si>
    <t>based on short film|chicago illinois|el train|love|train</t>
  </si>
  <si>
    <t>Guy Maddin</t>
  </si>
  <si>
    <t>Comedy|Horror|Musical</t>
  </si>
  <si>
    <t>Sarah Murphy-Dyson</t>
  </si>
  <si>
    <t>Dracula: Pages from a Virgin's DiaryÂ </t>
  </si>
  <si>
    <t>ballet|cult film|dance|dracula|gothic</t>
  </si>
  <si>
    <t>Bill Paxton</t>
  </si>
  <si>
    <t>FrailtyÂ </t>
  </si>
  <si>
    <t>demon|fbi|fbi agent|murder|religious fanatic</t>
  </si>
  <si>
    <t>Pirates of the Caribbean: On Stranger TidesÂ </t>
  </si>
  <si>
    <t>blackbeard|captain|pirate|revenge|soldier</t>
  </si>
  <si>
    <t>Insidious: Chapter 2Â </t>
  </si>
  <si>
    <t>barricading a door|injection in leg|police detective|supernatural|taser</t>
  </si>
  <si>
    <t>Natasha Lyonne</t>
  </si>
  <si>
    <t>Everyone Says I Love YouÂ </t>
  </si>
  <si>
    <t>engagement|grandfather|liberal|maid|song</t>
  </si>
  <si>
    <t>Scott Hicks</t>
  </si>
  <si>
    <t>Noah Taylor</t>
  </si>
  <si>
    <t>ShineÂ </t>
  </si>
  <si>
    <t>abuse|australia|concert|pianist|piano</t>
  </si>
  <si>
    <t>The Hunger Games: Catching FireÂ </t>
  </si>
  <si>
    <t>president|snow|television|tour|uprising</t>
  </si>
  <si>
    <t>Nicholas Meyer</t>
  </si>
  <si>
    <t>Star Trek VI: The Undiscovered CountryÂ </t>
  </si>
  <si>
    <t>captain|explosion|klingon|moon|peace</t>
  </si>
  <si>
    <t>EugÃ¨ne LouriÃ©</t>
  </si>
  <si>
    <t>Adventure|Horror|Sci-Fi</t>
  </si>
  <si>
    <t>Kenneth Tobey</t>
  </si>
  <si>
    <t>The Beast from 20,000 FathomsÂ </t>
  </si>
  <si>
    <t>arctic|beast|dinosaur|monster|rhedosaurus</t>
  </si>
  <si>
    <t>Drama|Music|Mystery|Romance|Thriller</t>
  </si>
  <si>
    <t>AbandonÂ </t>
  </si>
  <si>
    <t>college|detective|disappearance|police detective|thesis</t>
  </si>
  <si>
    <t>Martin Dew</t>
  </si>
  <si>
    <t>Inherent ViceÂ </t>
  </si>
  <si>
    <t>1960s|based on novel|ex boyfriend ex girlfriend relationship|southern california|voice over narration</t>
  </si>
  <si>
    <t>Harry Potter and the Chamber of SecretsÂ </t>
  </si>
  <si>
    <t>bildungsroman|flying broom|invisibility cloak|monster|wizardry</t>
  </si>
  <si>
    <t>Stephen Norrington</t>
  </si>
  <si>
    <t>The League of Extraordinary GentlemenÂ </t>
  </si>
  <si>
    <t>box office flop|captain nemo|dorian gray|invisible man|steampunk</t>
  </si>
  <si>
    <t>Angie Dickinson</t>
  </si>
  <si>
    <t>Dressed to KillÂ </t>
  </si>
  <si>
    <t>apartment|elevator|murder|psychiatrist|sunglasses</t>
  </si>
  <si>
    <t>Britt Allcroft</t>
  </si>
  <si>
    <t>Thomas and the Magic RailroadÂ </t>
  </si>
  <si>
    <t>locomotive|magic|mountain|railroad|steam locomotive</t>
  </si>
  <si>
    <t>Comedy|Western</t>
  </si>
  <si>
    <t>A Million Ways to Die in the WestÂ </t>
  </si>
  <si>
    <t>dancing sheep|fetish|musical scene|racial humor|snake poison</t>
  </si>
  <si>
    <t>Rachel Griffiths</t>
  </si>
  <si>
    <t>Among GiantsÂ </t>
  </si>
  <si>
    <t>australian|female armpit hair|friend|sheffield|yorkshire</t>
  </si>
  <si>
    <t>Cry FreedomÂ </t>
  </si>
  <si>
    <t>activist|editor|journalist|newspaper|south africa</t>
  </si>
  <si>
    <t>David G. Evans</t>
  </si>
  <si>
    <t>Michael Joiner</t>
  </si>
  <si>
    <t>The Grace CardÂ </t>
  </si>
  <si>
    <t>christian film|forgiveness|hospital|pastor|police</t>
  </si>
  <si>
    <t>William A. Fraker</t>
  </si>
  <si>
    <t>Jason Robards</t>
  </si>
  <si>
    <t>The Legend of the Lone RangerÂ </t>
  </si>
  <si>
    <t>ambush|hero|masked hero|outlaw|texas ranger</t>
  </si>
  <si>
    <t>Scary Movie 2Â </t>
  </si>
  <si>
    <t>blow job|demon|exorcism|priest|professor</t>
  </si>
  <si>
    <t>I, RobotÂ </t>
  </si>
  <si>
    <t>humanoid robot|man versus machine|prosthetic limb|robot as pathos|robot vs. robot</t>
  </si>
  <si>
    <t>Laws of AttractionÂ </t>
  </si>
  <si>
    <t>date|divorce|divorce lawyer|drinking|lawyer</t>
  </si>
  <si>
    <t>BellaÂ </t>
  </si>
  <si>
    <t>inter cultural|latino|restaurant|soccer|train</t>
  </si>
  <si>
    <t>Fantasy|Horror|Romance|Thriller</t>
  </si>
  <si>
    <t>Lisa Wilcox</t>
  </si>
  <si>
    <t>A Nightmare on Elm Street 5: The Dream ChildÂ </t>
  </si>
  <si>
    <t>child|comic book|dream|murderer|nightmare</t>
  </si>
  <si>
    <t>Action|Adventure|Animation|Family|Fantasy</t>
  </si>
  <si>
    <t>Legend of the Guardians: The Owls of Ga'HooleÂ </t>
  </si>
  <si>
    <t>barn owl|escape|owl|ruler|soldier</t>
  </si>
  <si>
    <t>Claudia Llosa</t>
  </si>
  <si>
    <t>Ian Tracey</t>
  </si>
  <si>
    <t>AloftÂ </t>
  </si>
  <si>
    <t>Harry Elfont</t>
  </si>
  <si>
    <t>Josie and the PussycatsÂ </t>
  </si>
  <si>
    <t>based on tv series|fictional band|girl band|music industry|pop band</t>
  </si>
  <si>
    <t>Diary of a Wimpy Kid: Rodrick RulesÂ </t>
  </si>
  <si>
    <t>brother|middle school|no opening credits|photograph|school</t>
  </si>
  <si>
    <t>The LadykillersÂ </t>
  </si>
  <si>
    <t>casino|irony of fate|landlady|professor|remake</t>
  </si>
  <si>
    <t>I Am SamÂ </t>
  </si>
  <si>
    <t>child custody|custody battle|disability|mentally impaired man|single father</t>
  </si>
  <si>
    <t>Peter MacDonald</t>
  </si>
  <si>
    <t>Rambo IIIÂ </t>
  </si>
  <si>
    <t>afghanistan|colonel|rambo|rescue|soviet</t>
  </si>
  <si>
    <t>Omar Sy</t>
  </si>
  <si>
    <t>MicmacsÂ </t>
  </si>
  <si>
    <t>bullet|contortionist|gag humor|human cannonball|revenge</t>
  </si>
  <si>
    <t>John Curran</t>
  </si>
  <si>
    <t>StoneÂ </t>
  </si>
  <si>
    <t>arsonist|blood splatter on face|deception|parole|parole officer</t>
  </si>
  <si>
    <t>Lee Toland Krieger</t>
  </si>
  <si>
    <t>The Age of AdalineÂ </t>
  </si>
  <si>
    <t>hit by a pickup truck|immortality|paramedic|resuscitation|san francisco california</t>
  </si>
  <si>
    <t>Babe: Pig in the CityÂ </t>
  </si>
  <si>
    <t>animal|farm|farmer|hotel|pig</t>
  </si>
  <si>
    <t>Dolphin TaleÂ </t>
  </si>
  <si>
    <t>boy|dolphin|prosthetics|tail|trap</t>
  </si>
  <si>
    <t>Not Easily BrokenÂ </t>
  </si>
  <si>
    <t>african american protagonist|based on novel|title spoken by character</t>
  </si>
  <si>
    <t>Barry W. Blaustein</t>
  </si>
  <si>
    <t>Biography|Documentary|Sport</t>
  </si>
  <si>
    <t>Terry Funk</t>
  </si>
  <si>
    <t>Beyond the MatÂ </t>
  </si>
  <si>
    <t>championship|drugs|three word title|wrestler|wrestling</t>
  </si>
  <si>
    <t>The SiegeÂ </t>
  </si>
  <si>
    <t>abduction|martial law|military|new york city|terrorist</t>
  </si>
  <si>
    <t>All the Real GirlsÂ </t>
  </si>
  <si>
    <t>best friend|lake|love|small town|womanizer</t>
  </si>
  <si>
    <t>InvictusÂ </t>
  </si>
  <si>
    <t>apartheid|nation|nelson mandela|president|rugby</t>
  </si>
  <si>
    <t>Adventure|Horror</t>
  </si>
  <si>
    <t>The Green InfernoÂ </t>
  </si>
  <si>
    <t>activist|amazon|color in title|rain|rain forest</t>
  </si>
  <si>
    <t>Tommy Lee Jones</t>
  </si>
  <si>
    <t>The HomesmanÂ </t>
  </si>
  <si>
    <t>abusive marriage|pastor|prison wagon|roast pig|suicide by hanging</t>
  </si>
  <si>
    <t>Crime|Drama|Fantasy|Mystery</t>
  </si>
  <si>
    <t>The Green MileÂ </t>
  </si>
  <si>
    <t>1930s|death row inmate|healing|prison guard|southern u.s.</t>
  </si>
  <si>
    <t>Sherman Alexie</t>
  </si>
  <si>
    <t>William Joseph Elk III</t>
  </si>
  <si>
    <t>The Business of FancydancingÂ </t>
  </si>
  <si>
    <t>funeral|gay|native american protagonist|poet|reservation</t>
  </si>
  <si>
    <t>The Children of Huang ShiÂ </t>
  </si>
  <si>
    <t>british|communist|journalist|nurse|orphan</t>
  </si>
  <si>
    <t>DuplicityÂ </t>
  </si>
  <si>
    <t>ceo|dubai|product|rivalry|spy</t>
  </si>
  <si>
    <t>Bianca Kajlich</t>
  </si>
  <si>
    <t>30 Minutes or LessÂ </t>
  </si>
  <si>
    <t>bank heist|bank robbery|heist gone wrong|pizza delivery boy|unlikely criminal</t>
  </si>
  <si>
    <t>Reed Cowan</t>
  </si>
  <si>
    <t>Dustin Lance Black</t>
  </si>
  <si>
    <t>8: The Mormon PropositionÂ </t>
  </si>
  <si>
    <t>church|marriage|mormon|mormon church|proposition</t>
  </si>
  <si>
    <t>The Informant!Â </t>
  </si>
  <si>
    <t>compulsive liar|fbi|informant|investigation|spy</t>
  </si>
  <si>
    <t>Animation|Drama|Family|Fantasy</t>
  </si>
  <si>
    <t>A Christmas CarolÂ </t>
  </si>
  <si>
    <t>charles dickens|christmas|christmas eve|ghost|scrooge</t>
  </si>
  <si>
    <t>Street KingsÂ </t>
  </si>
  <si>
    <t>captain|lapd|murder|undercover cop|violence</t>
  </si>
  <si>
    <t>David Nutter</t>
  </si>
  <si>
    <t>Disturbing BehaviorÂ </t>
  </si>
  <si>
    <t>blue ribbon|high school|jacket|jock|yogurt</t>
  </si>
  <si>
    <t>Tadanobu Asano</t>
  </si>
  <si>
    <t>Mongol: The Rise of Genghis KhanÂ </t>
  </si>
  <si>
    <t>epic|genghis khan|one word title|slave|starving</t>
  </si>
  <si>
    <t>Mongolian</t>
  </si>
  <si>
    <t>Action|Adventure|Family|Mystery</t>
  </si>
  <si>
    <t>The Adventures of TintinÂ </t>
  </si>
  <si>
    <t>captain|morocco|ship|tintin|treasure</t>
  </si>
  <si>
    <t>BlendedÂ </t>
  </si>
  <si>
    <t>blind date|children|date|daughter|son</t>
  </si>
  <si>
    <t>Adventure|Animation|Family|Sci-Fi</t>
  </si>
  <si>
    <t>WALLÂ·EÂ </t>
  </si>
  <si>
    <t>earth|obesity|plant|robot|soil</t>
  </si>
  <si>
    <t>Carmen Marron</t>
  </si>
  <si>
    <t>Jossara Jinaro</t>
  </si>
  <si>
    <t>Go for It!Â </t>
  </si>
  <si>
    <t>exclamation point in title|imperative in title|punctuation in title|three word title</t>
  </si>
  <si>
    <t>House of 1000 CorpsesÂ </t>
  </si>
  <si>
    <t>actor playing multiple roles|axe|dark comedy|masked man|sadism</t>
  </si>
  <si>
    <t>Drama|History|War|Western</t>
  </si>
  <si>
    <t>The AlamoÂ </t>
  </si>
  <si>
    <t>army|dictator|general|texan|texas</t>
  </si>
  <si>
    <t>Gary Chapman</t>
  </si>
  <si>
    <t>Adventure|Animation|Comedy|Family|War</t>
  </si>
  <si>
    <t>ValiantÂ </t>
  </si>
  <si>
    <t>dove|falcon|nursing|pigeon|psychological torture</t>
  </si>
  <si>
    <t>BabelÂ </t>
  </si>
  <si>
    <t>american|destiny|mexican border|multiple perspectives|muslim</t>
  </si>
  <si>
    <t>Stefen Fangmeier</t>
  </si>
  <si>
    <t>EragonÂ </t>
  </si>
  <si>
    <t>dragon|dragon rider|fictional war|sword and fantasy|teenage hero</t>
  </si>
  <si>
    <t>Emilio Estevez</t>
  </si>
  <si>
    <t>BobbyÂ </t>
  </si>
  <si>
    <t>campaign|chess|friend|hotel|senator</t>
  </si>
  <si>
    <t>Joshua Tickell</t>
  </si>
  <si>
    <t>FuelÂ </t>
  </si>
  <si>
    <t>alternative energy|energy|fuel|green|oil</t>
  </si>
  <si>
    <t>Diary of a Wimpy Kid: Dog DaysÂ </t>
  </si>
  <si>
    <t>best friend|camping|country club|no opening credits|summer vacation</t>
  </si>
  <si>
    <t>Stefan Schwartz</t>
  </si>
  <si>
    <t>Peter McNamara</t>
  </si>
  <si>
    <t>Shooting FishÂ </t>
  </si>
  <si>
    <t>con artist|money|orphan|scam|secretary</t>
  </si>
  <si>
    <t>Quentin Dupieux</t>
  </si>
  <si>
    <t>Haley Ramm</t>
  </si>
  <si>
    <t>RubberÂ </t>
  </si>
  <si>
    <t>desert|dump|show|spectator|tire</t>
  </si>
  <si>
    <t>Mako</t>
  </si>
  <si>
    <t>Under the RainbowÂ </t>
  </si>
  <si>
    <t>assassin|hotel|japanese tourist|secret service|wizard of oz</t>
  </si>
  <si>
    <t>Crime|Documentary|Drama</t>
  </si>
  <si>
    <t>Bowling for ColumbineÂ </t>
  </si>
  <si>
    <t>bank|columbine|columbine high school killings|firearm|school shooting</t>
  </si>
  <si>
    <t>TakenÂ </t>
  </si>
  <si>
    <t>agent|cia|france|rescue|teenage abduction</t>
  </si>
  <si>
    <t>Fred Walton</t>
  </si>
  <si>
    <t>April Fool's DayÂ </t>
  </si>
  <si>
    <t>april fool's day|island|mansion|psycho|secret</t>
  </si>
  <si>
    <t>Open SeasonÂ </t>
  </si>
  <si>
    <t>bear|deer|forest|grizzly bear|hunter</t>
  </si>
  <si>
    <t>Action|Adventure|Crime|Drama|Family|Fantasy|Romance|Thriller</t>
  </si>
  <si>
    <t>Reindeer GamesÂ </t>
  </si>
  <si>
    <t>casino|christmas|christmas season|girlfriend|release from prison</t>
  </si>
  <si>
    <t>Animation|Comedy|Family|Music|Romance</t>
  </si>
  <si>
    <t>Happy FeetÂ </t>
  </si>
  <si>
    <t>dance|emperor penguin|friend|penguin|song</t>
  </si>
  <si>
    <t>Luc Jacquet</t>
  </si>
  <si>
    <t>March of the PenguinsÂ </t>
  </si>
  <si>
    <t>chick|emperor penguin|journey|ocean|penguin</t>
  </si>
  <si>
    <t>Bend It Like BeckhamÂ </t>
  </si>
  <si>
    <t>hinduism|marriage engagement|soccer|team|tradition</t>
  </si>
  <si>
    <t>Action|Adventure|Comedy|Crime|Thriller</t>
  </si>
  <si>
    <t>Charlie's AngelsÂ </t>
  </si>
  <si>
    <t>booty shake|box office hit|duct tape over mouth|first part|martial arts</t>
  </si>
  <si>
    <t>ElfÂ </t>
  </si>
  <si>
    <t>baby|christmas spirit|elf|new york city|north pole</t>
  </si>
  <si>
    <t>RioÂ </t>
  </si>
  <si>
    <t>bird|brazilian|cockatoo|macaw|minnesota</t>
  </si>
  <si>
    <t>Barry Watson</t>
  </si>
  <si>
    <t>BoogeymanÂ </t>
  </si>
  <si>
    <t>boogeyman|childhood|fear|hometown|uncle</t>
  </si>
  <si>
    <t>Action|Biography|Drama|History|Romance|War</t>
  </si>
  <si>
    <t>Brian Blessed</t>
  </si>
  <si>
    <t>Henry VÂ </t>
  </si>
  <si>
    <t>battle|battle of agincourt|king|shakespeare play|sword and shield</t>
  </si>
  <si>
    <t>No Country for Old MenÂ </t>
  </si>
  <si>
    <t>coin toss|desert|sheriff|texas|tracking device</t>
  </si>
  <si>
    <t>AlienÂ </t>
  </si>
  <si>
    <t>alien|creature|future|outer space|spaceship</t>
  </si>
  <si>
    <t>Richard Shepard</t>
  </si>
  <si>
    <t>The MatadorÂ </t>
  </si>
  <si>
    <t>bar|hitman|luck|mexico|mexico city</t>
  </si>
  <si>
    <t>The DescendantsÂ </t>
  </si>
  <si>
    <t>boating accident|daughters|father daughter relationship|hospital|marriage</t>
  </si>
  <si>
    <t>Marco TreviÃ±o</t>
  </si>
  <si>
    <t>The 33Â </t>
  </si>
  <si>
    <t>disaster movie|mine|minister|president|trapped in a mine</t>
  </si>
  <si>
    <t>Chile</t>
  </si>
  <si>
    <t>Black RainÂ </t>
  </si>
  <si>
    <t>counterfeit|detective|japan|police chase|yakuza</t>
  </si>
  <si>
    <t>Master and Commander: The Far Side of the WorldÂ </t>
  </si>
  <si>
    <t>1800s|napoleonic wars|pursuit|royal navy|ship</t>
  </si>
  <si>
    <t>Last HolidayÂ </t>
  </si>
  <si>
    <t>chef|congressman|cook|hotel|senator</t>
  </si>
  <si>
    <t>Fede Alvarez</t>
  </si>
  <si>
    <t>Lou Taylor Pucci</t>
  </si>
  <si>
    <t>Evil DeadÂ </t>
  </si>
  <si>
    <t>book of the dead|demon|h.p. lovecraft|lesbian kiss|promise</t>
  </si>
  <si>
    <t>Jorge RamÃ­rez SuÃ¡rez</t>
  </si>
  <si>
    <t>Hector Kotsifakis</t>
  </si>
  <si>
    <t>Buen DÃ­a, RamÃ³nÂ </t>
  </si>
  <si>
    <t>Adventure|Fantasy|Mystery|Thriller</t>
  </si>
  <si>
    <t>Nicholas Rowe</t>
  </si>
  <si>
    <t>Young Sherlock HolmesÂ </t>
  </si>
  <si>
    <t>cult|death|delusion|girl|sherlock holmes</t>
  </si>
  <si>
    <t>UntraceableÂ </t>
  </si>
  <si>
    <t>cat|fbi agent|murder|serial killer|website</t>
  </si>
  <si>
    <t>John August</t>
  </si>
  <si>
    <t>My Date with DrewÂ </t>
  </si>
  <si>
    <t>actress name in title|crush|date|four word title|video camera</t>
  </si>
  <si>
    <t>BasicÂ </t>
  </si>
  <si>
    <t>2000s|army|military crime|necklace yanked off|panama</t>
  </si>
  <si>
    <t>Richard Lawson</t>
  </si>
  <si>
    <t>How Stella Got Her Groove BackÂ </t>
  </si>
  <si>
    <t>female protagonist|jamaica|six word title|tragic event|vacation</t>
  </si>
  <si>
    <t>Action|Adventure|Family|Fantasy|Thriller</t>
  </si>
  <si>
    <t>Mighty Joe YoungÂ </t>
  </si>
  <si>
    <t>animal|california|gorilla|hunter|poacher</t>
  </si>
  <si>
    <t>Giancarlo Giannini</t>
  </si>
  <si>
    <t>Quantum of SolaceÂ </t>
  </si>
  <si>
    <t>action hero|attempted rape|bond girl|official james bond series|revenge</t>
  </si>
  <si>
    <t>Adventure|Drama|War</t>
  </si>
  <si>
    <t>William Holden</t>
  </si>
  <si>
    <t>The Bridge on the River KwaiÂ </t>
  </si>
  <si>
    <t>allies|bridge|construction|jungle|sabotage</t>
  </si>
  <si>
    <t>The Chronicles of Narnia: The Lion, the Witch and the WardrobeÂ </t>
  </si>
  <si>
    <t>hide and seek|lion|magic|professor|snow</t>
  </si>
  <si>
    <t>True LiesÂ </t>
  </si>
  <si>
    <t>espionage|secret agent|secret mission|spy|spy film</t>
  </si>
  <si>
    <t>Peter Billingsley</t>
  </si>
  <si>
    <t>Couples RetreatÂ </t>
  </si>
  <si>
    <t>couple|island|marriage|tropical|voyeurism</t>
  </si>
  <si>
    <t>The MechanicÂ </t>
  </si>
  <si>
    <t>apprentice|disobeying orders|gas station|hitman|nightclub</t>
  </si>
  <si>
    <t>HeroÂ </t>
  </si>
  <si>
    <t>china|flying|king|palace|sword</t>
  </si>
  <si>
    <t>A Time to KillÂ </t>
  </si>
  <si>
    <t>african american|court|law|mississippi|trial</t>
  </si>
  <si>
    <t>Nat Faxon</t>
  </si>
  <si>
    <t>The Way Way BackÂ </t>
  </si>
  <si>
    <t>awkward boy|shy kid|summer|vacation|water park</t>
  </si>
  <si>
    <t>Stanley Tong</t>
  </si>
  <si>
    <t>FranÃ§oise Yip</t>
  </si>
  <si>
    <t>Rumble in the BronxÂ </t>
  </si>
  <si>
    <t>fight|gang|greed|street gang|wedding</t>
  </si>
  <si>
    <t>Michael Rymer</t>
  </si>
  <si>
    <t>Aaliyah</t>
  </si>
  <si>
    <t>Queen of the DamnedÂ </t>
  </si>
  <si>
    <t>fatal attraction|interspecies romance|queen|supernatural power|vampire</t>
  </si>
  <si>
    <t>Drama|Family|Music|Romance</t>
  </si>
  <si>
    <t>The Last SongÂ </t>
  </si>
  <si>
    <t>beach|fire|love|pianist|summer</t>
  </si>
  <si>
    <t>Finding NemoÂ </t>
  </si>
  <si>
    <t>great barrier reef|protective father|separation from family|shark|short term memory loss</t>
  </si>
  <si>
    <t>John Belushi</t>
  </si>
  <si>
    <t>Animal HouseÂ </t>
  </si>
  <si>
    <t>academic probation|camera shot of feet|fraternity|school expulsion|smashing a guitar</t>
  </si>
  <si>
    <t>Adam Rifkin</t>
  </si>
  <si>
    <t>Detroit Rock CityÂ </t>
  </si>
  <si>
    <t>band|concert|high school|kiss|teenager</t>
  </si>
  <si>
    <t>Tyler Labine</t>
  </si>
  <si>
    <t>AntitrustÂ </t>
  </si>
  <si>
    <t>boss|communications|computer|genius|job</t>
  </si>
  <si>
    <t>Animation|Comedy|Family|Music|Western</t>
  </si>
  <si>
    <t>Home on the RangeÂ </t>
  </si>
  <si>
    <t>cattle|cow|dairy farm|farm|rustler</t>
  </si>
  <si>
    <t>Christmas with the KranksÂ </t>
  </si>
  <si>
    <t>act of kindness|christmas|christmas eve|neighbor|vacation</t>
  </si>
  <si>
    <t>A Prairie Home CompanionÂ </t>
  </si>
  <si>
    <t>backstage|country music|cowboy|radio|singing</t>
  </si>
  <si>
    <t>Joseph Zito</t>
  </si>
  <si>
    <t>Judie Aronson</t>
  </si>
  <si>
    <t>Friday the 13th: The Final ChapterÂ </t>
  </si>
  <si>
    <t>friday the thirteenth|hockey mask|jason voorhees|morgue|slasher</t>
  </si>
  <si>
    <t>Small Time CrooksÂ </t>
  </si>
  <si>
    <t>apartment building|crook|new york city|three word title|written and directed by cast member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</si>
  <si>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</si>
  <si>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</si>
  <si>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</si>
  <si>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</si>
  <si>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Julian Schnabel</t>
  </si>
  <si>
    <t>BasquiatÂ </t>
  </si>
  <si>
    <t>andy warhol|art|artist|friendship|street artist</t>
  </si>
  <si>
    <t>The Good GirlÂ </t>
  </si>
  <si>
    <t>dysfunctional marriage|marijuana|small town|store|trying to conceive</t>
  </si>
  <si>
    <t>Adventure|Comedy|Drama|Fantasy|Musical</t>
  </si>
  <si>
    <t>Into the WoodsÂ </t>
  </si>
  <si>
    <t>based on stage musical|cinderella|little red riding hood|singing|witch</t>
  </si>
  <si>
    <t>StepmomÂ </t>
  </si>
  <si>
    <t>attorney|cancer|custody|fashion photographer|photographer</t>
  </si>
  <si>
    <t>The AnimalÂ </t>
  </si>
  <si>
    <t>camera focus on a female butt|cartoon on tv|forest|hairy buttocks|seal the animal</t>
  </si>
  <si>
    <t>Colin Higgins</t>
  </si>
  <si>
    <t>The Best Little Whorehouse in TexasÂ </t>
  </si>
  <si>
    <t>chicken|governor|locker room|sheriff|texas</t>
  </si>
  <si>
    <t>Phone BoothÂ </t>
  </si>
  <si>
    <t>phone booth|publicist|single set production|sniper|sniper rifle</t>
  </si>
  <si>
    <t>Someone Like You...Â </t>
  </si>
  <si>
    <t>apartment|girl in panties|roommate|thong panties|upskirt</t>
  </si>
  <si>
    <t>Jeff, Who Lives at HomeÂ </t>
  </si>
  <si>
    <t>basement|errand|secret admirer|slacker|wrong number</t>
  </si>
  <si>
    <t>Drama|Fantasy|Sport</t>
  </si>
  <si>
    <t>The Legend of Bagger VanceÂ </t>
  </si>
  <si>
    <t>caddy|game|golf|golf course|golfer</t>
  </si>
  <si>
    <t>Miss PotterÂ </t>
  </si>
  <si>
    <t>book|children|friend|illustrator|letter</t>
  </si>
  <si>
    <t>Comedy|Horror|Musical|Sci-Fi</t>
  </si>
  <si>
    <t>Little Shop of HorrorsÂ </t>
  </si>
  <si>
    <t>eclipse|florist|nerd|plant|shop</t>
  </si>
  <si>
    <t>Action|Drama|Mystery|Thriller</t>
  </si>
  <si>
    <t>EraserÂ </t>
  </si>
  <si>
    <t>assassination attempt|corporate crime|rogue agent|witness|witness protection program</t>
  </si>
  <si>
    <t>Out of SightÂ </t>
  </si>
  <si>
    <t>heist|neo noir|one last job|opposites attract|u.s. marshal</t>
  </si>
  <si>
    <t>Wilson Yip</t>
  </si>
  <si>
    <t>Action|Biography|Drama|History</t>
  </si>
  <si>
    <t>Mike Tyson</t>
  </si>
  <si>
    <t>Ip Man 3Â </t>
  </si>
  <si>
    <t>1950s|cancer|hong kong|martial arts school|wing chun</t>
  </si>
  <si>
    <t>Bad BoysÂ </t>
  </si>
  <si>
    <t>drugs|heroin|murder|police|witness</t>
  </si>
  <si>
    <t>The Killer Inside MeÂ </t>
  </si>
  <si>
    <t>deputy|murder|revenge|sheriff|texas</t>
  </si>
  <si>
    <t>Christian Clemenson</t>
  </si>
  <si>
    <t>United 93Â </t>
  </si>
  <si>
    <t>flight|passenger|plane|september 11 2001|terrorist</t>
  </si>
  <si>
    <t>Michael ClaytonÂ </t>
  </si>
  <si>
    <t>attorney|debt|fixer|law|law firm</t>
  </si>
  <si>
    <t>Efram Potelle</t>
  </si>
  <si>
    <t>Shiri Appleby</t>
  </si>
  <si>
    <t>The Battle of Shaker HeightsÂ </t>
  </si>
  <si>
    <t>bully comeuppance|high school|painter|reference to led zeppelin|wetting pants</t>
  </si>
  <si>
    <t>Action|Comedy|Crime|Sci-Fi|Thriller</t>
  </si>
  <si>
    <t>The Green HornetÂ </t>
  </si>
  <si>
    <t>heir|kung fu|party|playboy|superhero</t>
  </si>
  <si>
    <t>DrivenÂ </t>
  </si>
  <si>
    <t>car race|german|race car|race car driver|rookie</t>
  </si>
  <si>
    <t>Bullet to the HeadÂ </t>
  </si>
  <si>
    <t>bar|bullet|corruption|detective|lawyer</t>
  </si>
  <si>
    <t>WitnessÂ </t>
  </si>
  <si>
    <t>amish|love|murder|police|train</t>
  </si>
  <si>
    <t>My Blueberry NightsÂ </t>
  </si>
  <si>
    <t>blueberry pie|diner|nevada|new york city|pie</t>
  </si>
  <si>
    <t>Conan the DestroyerÂ </t>
  </si>
  <si>
    <t>gods|princess|queen|rescue|wizard</t>
  </si>
  <si>
    <t>Michael Jeter</t>
  </si>
  <si>
    <t>Jurassic Park IIIÂ </t>
  </si>
  <si>
    <t>dinosaur|island|jurassic park|paleontologist|search</t>
  </si>
  <si>
    <t>Gena Rowlands</t>
  </si>
  <si>
    <t>The Skeleton KeyÂ </t>
  </si>
  <si>
    <t>attic|bound and gagged|hoodoo|secret|southern gothic</t>
  </si>
  <si>
    <t>Boogie NightsÂ </t>
  </si>
  <si>
    <t>1970s|adult entertainment industry|nightclub|porn industry|san fernando valley california</t>
  </si>
  <si>
    <t>Adventure|Comedy|Romance</t>
  </si>
  <si>
    <t>Katrina Bowden</t>
  </si>
  <si>
    <t>Sex DriveÂ </t>
  </si>
  <si>
    <t>amish|friend|friendship|high school|virgin</t>
  </si>
  <si>
    <t>Salvador Carrasco</t>
  </si>
  <si>
    <t>Elpidia Carrillo</t>
  </si>
  <si>
    <t>La otra conquistaÂ </t>
  </si>
  <si>
    <t>1520s|aztec|indian|spanish colonization|spanish conquest</t>
  </si>
  <si>
    <t>Chris Kentis</t>
  </si>
  <si>
    <t>Eric Sheffer Stevens</t>
  </si>
  <si>
    <t>Silent HouseÂ </t>
  </si>
  <si>
    <t>bound and gagged|girl|haunted house|hearing noises|uninterrupted shot</t>
  </si>
  <si>
    <t>Shane Carruth</t>
  </si>
  <si>
    <t>PrimerÂ </t>
  </si>
  <si>
    <t>changing the future|independent film|invention|nonlinear timeline|time travel</t>
  </si>
  <si>
    <t>Eye for an EyeÂ </t>
  </si>
  <si>
    <t>justice|rape|self defense|support group|vigilante</t>
  </si>
  <si>
    <t>DownfallÂ </t>
  </si>
  <si>
    <t>bunker|hitler|nazi|no exit|war ruins</t>
  </si>
  <si>
    <t>Georgia RuleÂ </t>
  </si>
  <si>
    <t>alcoholic|rules|secret|summer|teenager</t>
  </si>
  <si>
    <t>Percy Jackson: Sea of MonstersÂ </t>
  </si>
  <si>
    <t>golden fleece|half brother|magical tree|sea|tree</t>
  </si>
  <si>
    <t>Akiva Goldsman</t>
  </si>
  <si>
    <t>Drama|Fantasy|Mystery|Romance</t>
  </si>
  <si>
    <t>Winter's TaleÂ </t>
  </si>
  <si>
    <t>black and white photograph|drawing with blood|falling through ice|playing piano|red haired woman</t>
  </si>
  <si>
    <t>Marshall Bell</t>
  </si>
  <si>
    <t>Stand by MeÂ </t>
  </si>
  <si>
    <t>friendship|summertime|treehouse|walking on train tracks|woods</t>
  </si>
  <si>
    <t>Luca Guadagnino</t>
  </si>
  <si>
    <t>Flavio Parenti</t>
  </si>
  <si>
    <t>I Am LoveÂ </t>
  </si>
  <si>
    <t>chef|friend|italy|restaurant|russian</t>
  </si>
  <si>
    <t>Steve Carver</t>
  </si>
  <si>
    <t>Lone Wolf McQuadeÂ </t>
  </si>
  <si>
    <t>drugs|martial arts|texas|texas ranger|weapon</t>
  </si>
  <si>
    <t>David S. Ward</t>
  </si>
  <si>
    <t>Major LeagueÂ </t>
  </si>
  <si>
    <t>cleveland indians|league|manager|owner|team</t>
  </si>
  <si>
    <t>Ed Decter</t>
  </si>
  <si>
    <t>The New GuyÂ </t>
  </si>
  <si>
    <t>cheerleader|geek|high school|prison|reference to janet jackson</t>
  </si>
  <si>
    <t>Christophe Barratier</t>
  </si>
  <si>
    <t>Jean-Baptiste Maunier</t>
  </si>
  <si>
    <t>The ChorusÂ </t>
  </si>
  <si>
    <t>boarding school|boy|choir|school|teacher</t>
  </si>
  <si>
    <t>Fred Savage</t>
  </si>
  <si>
    <t>Daddy Day CampÂ </t>
  </si>
  <si>
    <t>competition|estranged father|skunk|summer camp|wall</t>
  </si>
  <si>
    <t>Mike Figgis</t>
  </si>
  <si>
    <t>The Loss of Sexual InnocenceÂ </t>
  </si>
  <si>
    <t>1950s|italian|murder|tunisia|vomiting</t>
  </si>
  <si>
    <t>Jackie BrownÂ </t>
  </si>
  <si>
    <t>arms dealer|atf|bail|money|multiple perspectives</t>
  </si>
  <si>
    <t>Sanaa Lathan</t>
  </si>
  <si>
    <t>BladeÂ </t>
  </si>
  <si>
    <t>1990s|blade|blood|vampire|vampire hunter</t>
  </si>
  <si>
    <t>The Break-UpÂ </t>
  </si>
  <si>
    <t>art|break up|football video game|kitchen|talking to one's self in a mirror</t>
  </si>
  <si>
    <t>Mark Duplass</t>
  </si>
  <si>
    <t>The Puffy ChairÂ </t>
  </si>
  <si>
    <t>birthday|gift|motel|new york city|upholsterer</t>
  </si>
  <si>
    <t>Ti West</t>
  </si>
  <si>
    <t>The House of the DevilÂ </t>
  </si>
  <si>
    <t>cult film|eclipse|haunted house|lunar eclipse|secret</t>
  </si>
  <si>
    <t>Del Zamora</t>
  </si>
  <si>
    <t>Town &amp; CountryÂ </t>
  </si>
  <si>
    <t>anniversary|architect|cellist|friend|hardware store</t>
  </si>
  <si>
    <t>The Ugly TruthÂ </t>
  </si>
  <si>
    <t>call in|chick flick|date|hot air balloon|show producer</t>
  </si>
  <si>
    <t>The MuseÂ </t>
  </si>
  <si>
    <t>directed by star|muse|satire|screenwriter|tiffany's</t>
  </si>
  <si>
    <t>Joe Pytka</t>
  </si>
  <si>
    <t>Adventure|Animation|Comedy|Family|Fantasy|Sci-Fi|Sport</t>
  </si>
  <si>
    <t>Space JamÂ </t>
  </si>
  <si>
    <t>alien|basketball|basketball game|cult film|monstars</t>
  </si>
  <si>
    <t>David Soren</t>
  </si>
  <si>
    <t>TurboÂ </t>
  </si>
  <si>
    <t>accident|freak accident|race|snail|underdog</t>
  </si>
  <si>
    <t>ScoopÂ </t>
  </si>
  <si>
    <t>english garden|fake drowning|fake parent|musical instrument|poker the card game</t>
  </si>
  <si>
    <t>Goal! The Dream BeginsÂ </t>
  </si>
  <si>
    <t>barrio|border|newcastle united|party|soccer</t>
  </si>
  <si>
    <t>Tony Maylam</t>
  </si>
  <si>
    <t>Action|Crime|Horror|Sci-Fi|Thriller</t>
  </si>
  <si>
    <t>Michael J. Pollard</t>
  </si>
  <si>
    <t>Split SecondÂ </t>
  </si>
  <si>
    <t>appearing from water|breasts|creature|partner|water</t>
  </si>
  <si>
    <t>Nowhere to RunÂ </t>
  </si>
  <si>
    <t>business|escaped convict|farm|motorcycle|widow</t>
  </si>
  <si>
    <t>The HoaxÂ </t>
  </si>
  <si>
    <t>book|fabrication|fake|hoax|manuscript</t>
  </si>
  <si>
    <t>George Cukor</t>
  </si>
  <si>
    <t>Jeremy Brett</t>
  </si>
  <si>
    <t>My Fair LadyÂ </t>
  </si>
  <si>
    <t>colonel|flower girl|professor|street|wager</t>
  </si>
  <si>
    <t>Mark Mylod</t>
  </si>
  <si>
    <t>What's Your Number?Â </t>
  </si>
  <si>
    <t>ex boyfriend|morning after|prince charming|quarrel|womanizer</t>
  </si>
  <si>
    <t>Damien Dante Wayans</t>
  </si>
  <si>
    <t>Action|Comedy|Music</t>
  </si>
  <si>
    <t>Damon Wayans Jr.</t>
  </si>
  <si>
    <t>Dance FlickÂ </t>
  </si>
  <si>
    <t>african american|dance|overalls|parody|rap</t>
  </si>
  <si>
    <t>Legally BlondeÂ </t>
  </si>
  <si>
    <t>blonde|harvard|law|law school|sorority</t>
  </si>
  <si>
    <t>Jim Mickle</t>
  </si>
  <si>
    <t>Connor Paolo</t>
  </si>
  <si>
    <t>Stake LandÂ </t>
  </si>
  <si>
    <t>canada|post apocalypse|road movie|vampire|vampire hunter</t>
  </si>
  <si>
    <t>Lucas Grabeel</t>
  </si>
  <si>
    <t>High School Musical 3: Senior YearÂ </t>
  </si>
  <si>
    <t>basketball|curtain call|graduation|high school|high school senior</t>
  </si>
  <si>
    <t>Carl Rinsch</t>
  </si>
  <si>
    <t>47 RoninÂ </t>
  </si>
  <si>
    <t>box office flop|ronin|samurai|shogun|tournament</t>
  </si>
  <si>
    <t>The Curious Case of Benjamin ButtonÂ </t>
  </si>
  <si>
    <t>deformed baby|diary|lingerie slip|older man younger woman relationship|premature aging</t>
  </si>
  <si>
    <t>Sue Corcoran</t>
  </si>
  <si>
    <t>Comedy|Fantasy|Horror|Musical</t>
  </si>
  <si>
    <t>Tony Doupe</t>
  </si>
  <si>
    <t>Gory Gory HallelujahÂ </t>
  </si>
  <si>
    <t>conspiracy|feminist|hippie|motorcycle|slapstick comedy</t>
  </si>
  <si>
    <t>Stuart Gillard</t>
  </si>
  <si>
    <t>Paige Turco</t>
  </si>
  <si>
    <t>Teenage Mutant Ninja Turtles IIIÂ </t>
  </si>
  <si>
    <t>battle|japan|magic|samurai|turtle</t>
  </si>
  <si>
    <t>The Lords of SalemÂ </t>
  </si>
  <si>
    <t>blood|flashback|radio dj|radio station|vinyl</t>
  </si>
  <si>
    <t>NixonÂ </t>
  </si>
  <si>
    <t>courtship|election|paranoia|president|quaker</t>
  </si>
  <si>
    <t>Stacy Edwards</t>
  </si>
  <si>
    <t>In the Company of MenÂ </t>
  </si>
  <si>
    <t>business trip|love|misogynist|office|secretary</t>
  </si>
  <si>
    <t>Captain America: The First AvengerÂ </t>
  </si>
  <si>
    <t>arctic|captain america|scientist|tesseract|war bond</t>
  </si>
  <si>
    <t>Sylvain Chomet</t>
  </si>
  <si>
    <t>Animation|Comedy|Drama</t>
  </si>
  <si>
    <t>Michel Robin</t>
  </si>
  <si>
    <t>The Triplets of BellevilleÂ </t>
  </si>
  <si>
    <t>belleville|dog|mafia|tour de france|very little dialogue</t>
  </si>
  <si>
    <t>Nathan Greno</t>
  </si>
  <si>
    <t>Adventure|Animation|Comedy|Family|Fantasy|Musical|Romance</t>
  </si>
  <si>
    <t>Brad Garrett</t>
  </si>
  <si>
    <t>TangledÂ </t>
  </si>
  <si>
    <t>17th century|based on fairy tale|disney|flower|tower</t>
  </si>
  <si>
    <t>Birdman or (The Unexpected Virtue of Ignorance)Â </t>
  </si>
  <si>
    <t>actor|artist|broadway play|replacement|stage</t>
  </si>
  <si>
    <t>Tuesday Knight</t>
  </si>
  <si>
    <t>A Nightmare on Elm Street 4: The Dream MasterÂ </t>
  </si>
  <si>
    <t>demon|dream|elm street|freddy krueger|nightmare</t>
  </si>
  <si>
    <t>The Secret Life of BeesÂ </t>
  </si>
  <si>
    <t>beekeeping|insect in title|racism|sister|south carolina</t>
  </si>
  <si>
    <t>A Home at the End of the WorldÂ </t>
  </si>
  <si>
    <t>hand job|hugging|long hair|new york city|two men one woman</t>
  </si>
  <si>
    <t>Dear WendyÂ </t>
  </si>
  <si>
    <t>gang|gun|loner|love|outcast</t>
  </si>
  <si>
    <t>Christopher Nicholas Smith</t>
  </si>
  <si>
    <t>Enough SaidÂ </t>
  </si>
  <si>
    <t>dating|divorcee|ex husband|ex wife|party</t>
  </si>
  <si>
    <t>Pretty WomanÂ </t>
  </si>
  <si>
    <t>businessman|falling in love with a prostitute|hotel|prostitute|rich man poor woman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</si>
  <si>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</si>
  <si>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</si>
  <si>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</si>
  <si>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</si>
  <si>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The Astronaut FarmerÂ </t>
  </si>
  <si>
    <t>bank|fbi|fuel|rocket|space travel</t>
  </si>
  <si>
    <t>Cats &amp; Dogs: The Revenge of Kitty GaloreÂ </t>
  </si>
  <si>
    <t>cartoon on tv|cat|dog|kitty|special agent</t>
  </si>
  <si>
    <t>Justin Kerrigan</t>
  </si>
  <si>
    <t>Danny Dyer</t>
  </si>
  <si>
    <t>Human TrafficÂ </t>
  </si>
  <si>
    <t>friday|friend|hip hop|techno rave|weekend</t>
  </si>
  <si>
    <t>Nelson McCormick</t>
  </si>
  <si>
    <t>Prom NightÂ </t>
  </si>
  <si>
    <t>friend|hotel|killer|murder|prom</t>
  </si>
  <si>
    <t>Ricki Stern</t>
  </si>
  <si>
    <t>Crime|Documentary</t>
  </si>
  <si>
    <t>Darryl Hunt</t>
  </si>
  <si>
    <t>The Trials of Darryl HuntÂ </t>
  </si>
  <si>
    <t>false accusation|murder|north carolina|trial|wrongful conviction</t>
  </si>
  <si>
    <t>Kyle Balda</t>
  </si>
  <si>
    <t>MinionsÂ </t>
  </si>
  <si>
    <t>antarctica|minion|queen|super villain|villain</t>
  </si>
  <si>
    <t>Parental GuidanceÂ </t>
  </si>
  <si>
    <t>chores|father figure|helicopter parents|in laws|punishment</t>
  </si>
  <si>
    <t>WantedÂ </t>
  </si>
  <si>
    <t>assassin|bobble head doll|femme fatale|rejuvenation|strong female lead</t>
  </si>
  <si>
    <t>Josh Boone</t>
  </si>
  <si>
    <t>The Fault in Our StarsÂ </t>
  </si>
  <si>
    <t>cancer|falling in love|friendship|novel|teenager</t>
  </si>
  <si>
    <t>Taylor Cole</t>
  </si>
  <si>
    <t>12 RoundsÂ </t>
  </si>
  <si>
    <t>2000s|detective|sadist|terrorism|terrorist</t>
  </si>
  <si>
    <t>Born on the Fourth of JulyÂ </t>
  </si>
  <si>
    <t>desert|drunkenness|religious mother|strict mother|vietnam war</t>
  </si>
  <si>
    <t>Mia Farrow</t>
  </si>
  <si>
    <t>Arthur and the InvisiblesÂ </t>
  </si>
  <si>
    <t>boy|debt|garden|princess|treasure</t>
  </si>
  <si>
    <t>Zal Batmanglij</t>
  </si>
  <si>
    <t>Alexander SkarsgÃ¥rd</t>
  </si>
  <si>
    <t>The EastÂ </t>
  </si>
  <si>
    <t>anarchist|corporation|greedy institution|vomiting|watching television</t>
  </si>
  <si>
    <t>Gran TorinoÂ </t>
  </si>
  <si>
    <t>gang|gang rape|hmong|teenager|widower</t>
  </si>
  <si>
    <t>Legends of the FallÂ </t>
  </si>
  <si>
    <t>epic|heart|killing an animal|passion|usa</t>
  </si>
  <si>
    <t>What Lies BeneathÂ </t>
  </si>
  <si>
    <t>ghost|haunted house|research|secret|vermont</t>
  </si>
  <si>
    <t>Catherine Dyer</t>
  </si>
  <si>
    <t>The Blind SideÂ </t>
  </si>
  <si>
    <t>american football|based on true story|football star|high school football|left tackle</t>
  </si>
  <si>
    <t>Did You Hear About the Morgans?Â </t>
  </si>
  <si>
    <t>fbi|murder|witness|witness protection|wyoming</t>
  </si>
  <si>
    <t>Captain America: Civil WarÂ </t>
  </si>
  <si>
    <t>based on comic book|knife|marvel cinematic universe|returning character killed off|superhero</t>
  </si>
  <si>
    <t>Adventure|Comedy|Family|Fantasy|Horror|Mystery</t>
  </si>
  <si>
    <t>Scooby-Doo 2: Monsters UnleashedÂ </t>
  </si>
  <si>
    <t>ghost|masked villain|monster|museum|tv</t>
  </si>
  <si>
    <t>Sharon Small</t>
  </si>
  <si>
    <t>About a BoyÂ </t>
  </si>
  <si>
    <t>boy|friend|imaginary son|single father|single mother</t>
  </si>
  <si>
    <t>Sara Newens</t>
  </si>
  <si>
    <t>Ariel Hsing</t>
  </si>
  <si>
    <t>Top SpinÂ </t>
  </si>
  <si>
    <t>Jerry Zaks</t>
  </si>
  <si>
    <t>Marvin's RoomÂ </t>
  </si>
  <si>
    <t>house|leukemia|mental institution|nursing home|transplant</t>
  </si>
  <si>
    <t>I SpyÂ </t>
  </si>
  <si>
    <t>boxer|espionage|spy|stealth|top secret</t>
  </si>
  <si>
    <t>Journey 2: The Mysterious IslandÂ </t>
  </si>
  <si>
    <t>gold|hurricane|island|mountain|mysterious island</t>
  </si>
  <si>
    <t>A League of Their OwnÂ </t>
  </si>
  <si>
    <t>baseball|friend|oregon|rivalry|softball</t>
  </si>
  <si>
    <t>Scott Ziehl</t>
  </si>
  <si>
    <t>Broken VesselsÂ </t>
  </si>
  <si>
    <t>independent film|katana sword|los angeles storm drain</t>
  </si>
  <si>
    <t>Raymond Cruz</t>
  </si>
  <si>
    <t>Collateral DamageÂ </t>
  </si>
  <si>
    <t>bare chested boy|car explosion|colombia|explosion|terrorism</t>
  </si>
  <si>
    <t>Gary David Goldberg</t>
  </si>
  <si>
    <t>Must Love DogsÂ </t>
  </si>
  <si>
    <t>date|dating|dog|love|teacher</t>
  </si>
  <si>
    <t>Action|Crime|Mystery|Sci-Fi|Thriller</t>
  </si>
  <si>
    <t>Escape PlanÂ </t>
  </si>
  <si>
    <t>cia agent|escape|muslim|prison|ship</t>
  </si>
  <si>
    <t>Sean Patrick Thomas</t>
  </si>
  <si>
    <t>Save the Last DanceÂ </t>
  </si>
  <si>
    <t>dance|dancing|ghetto|hip hop|imperative in title</t>
  </si>
  <si>
    <t>Leigh Whannell</t>
  </si>
  <si>
    <t>Insidious: Chapter 3Â </t>
  </si>
  <si>
    <t>demon|possession|psychic|supernatural|teenager</t>
  </si>
  <si>
    <t>Zoolander 2Â </t>
  </si>
  <si>
    <t>chosen one|fashion|fashion model|model|retired</t>
  </si>
  <si>
    <t>Peter Faiman</t>
  </si>
  <si>
    <t>Crocodile DundeeÂ </t>
  </si>
  <si>
    <t>australian outback|crocodile|female reporter|journalist|new york city</t>
  </si>
  <si>
    <t>TsotsiÂ </t>
  </si>
  <si>
    <t>baby|bathing a baby|criminal|slum|vomiting</t>
  </si>
  <si>
    <t>Zulu</t>
  </si>
  <si>
    <t>James Isaac</t>
  </si>
  <si>
    <t>Peter Mensah</t>
  </si>
  <si>
    <t>Jason XÂ </t>
  </si>
  <si>
    <t>jason voorhees|lake|machete|scientist|slasher</t>
  </si>
  <si>
    <t>Kate Connor</t>
  </si>
  <si>
    <t>Johnny Pacar</t>
  </si>
  <si>
    <t>Fort McCoyÂ </t>
  </si>
  <si>
    <t>J.D. Evermore</t>
  </si>
  <si>
    <t>The HostÂ </t>
  </si>
  <si>
    <t>alien|alien creature|body snatching|desert|parasite</t>
  </si>
  <si>
    <t>Jingle All the WayÂ </t>
  </si>
  <si>
    <t>action figure|christmas|hero|karate|toy</t>
  </si>
  <si>
    <t>Tango &amp; CashÂ </t>
  </si>
  <si>
    <t>1980s|80s action|escape|plea bargain|prison</t>
  </si>
  <si>
    <t>Morgan Neville</t>
  </si>
  <si>
    <t>Sheryl Crow</t>
  </si>
  <si>
    <t>20 Feet from StardomÂ </t>
  </si>
  <si>
    <t>backup singer|band|bechdel test passed|concert footage|singer</t>
  </si>
  <si>
    <t>Documentary|Drama|War</t>
  </si>
  <si>
    <t>Osama bin Laden</t>
  </si>
  <si>
    <t>Fahrenheit 9/11Â </t>
  </si>
  <si>
    <t>anti war|interview|iraq|paranoia|war on terrorism</t>
  </si>
  <si>
    <t>Analyze ThisÂ </t>
  </si>
  <si>
    <t>analyst|mafia|patient|psychiatrist|wedding</t>
  </si>
  <si>
    <t>Ghost Rider: Spirit of VengeanceÂ </t>
  </si>
  <si>
    <t>deal with the devil|devil|eastern europe|ghost rider|monk</t>
  </si>
  <si>
    <t>The ReplacementsÂ </t>
  </si>
  <si>
    <t>coach|football player|misfits|strike|sumo wrestler</t>
  </si>
  <si>
    <t>American PieÂ </t>
  </si>
  <si>
    <t>1990s|first love|milf|prom|virginity</t>
  </si>
  <si>
    <t>The InternationalÂ </t>
  </si>
  <si>
    <t>bank|chase|district attorney|interpol|murder</t>
  </si>
  <si>
    <t>Dinesh D'Souza</t>
  </si>
  <si>
    <t>Barack Obama</t>
  </si>
  <si>
    <t>2016: Obama's AmericaÂ </t>
  </si>
  <si>
    <t>critically bashed|partisan commentary|political propoganda|punctuation in title|reenactment</t>
  </si>
  <si>
    <t>Horror|Musical|Sci-Fi</t>
  </si>
  <si>
    <t>Repo! The Genetic OperaÂ </t>
  </si>
  <si>
    <t>future|murder|opera|repossession|surgery</t>
  </si>
  <si>
    <t>BowfingerÂ </t>
  </si>
  <si>
    <t>film within a film|filmmaking|guerrilla filmmaking|making of a movie|scientology parody</t>
  </si>
  <si>
    <t>The WaterboyÂ </t>
  </si>
  <si>
    <t>coach|college|college football|domineering mother|football</t>
  </si>
  <si>
    <t>James Gray</t>
  </si>
  <si>
    <t>Two LoversÂ </t>
  </si>
  <si>
    <t>jewish|love|married man|neighbor|photograph</t>
  </si>
  <si>
    <t>Jodie Foster</t>
  </si>
  <si>
    <t>Money MonsterÂ </t>
  </si>
  <si>
    <t>death|hostage|money|shot in the chest|shot in the heart</t>
  </si>
  <si>
    <t>Action|Adventure|Drama|Romance|Thriller</t>
  </si>
  <si>
    <t>The Count of Monte CristoÂ </t>
  </si>
  <si>
    <t>count|escape|island|revenge|sailor</t>
  </si>
  <si>
    <t>PredatorÂ </t>
  </si>
  <si>
    <t>box office hit|commando|death of friend|jungle|severed arm</t>
  </si>
  <si>
    <t>Girl, InterruptedÂ </t>
  </si>
  <si>
    <t>1960s|father daughter incest|mental hospital|suicide|suicide attempt</t>
  </si>
  <si>
    <t>BarbershopÂ </t>
  </si>
  <si>
    <t>barber|barbershop|blaxploitation|loan shark|theft</t>
  </si>
  <si>
    <t>Niels Arden Oplev</t>
  </si>
  <si>
    <t>Dead Man DownÂ </t>
  </si>
  <si>
    <t>crime lord|dead body|dead body in a freezer|new york city|truck explosion</t>
  </si>
  <si>
    <t>Alyson Stoner</t>
  </si>
  <si>
    <t>Step Up 3DÂ </t>
  </si>
  <si>
    <t>dance|dance crew|dancer|mortgage|new york city</t>
  </si>
  <si>
    <t>Kathleen Freeman</t>
  </si>
  <si>
    <t>ShrekÂ </t>
  </si>
  <si>
    <t>donkey|fairy tale|ogre|princess|swamp</t>
  </si>
  <si>
    <t>X-Men 2Â </t>
  </si>
  <si>
    <t>mutant|prison|professor|school|x men</t>
  </si>
  <si>
    <t>Rebecca Miller</t>
  </si>
  <si>
    <t>Beau Bridges</t>
  </si>
  <si>
    <t>The Ballad of Jack and RoseÂ </t>
  </si>
  <si>
    <t>commune|defecation|environmentalism|fellatio|island</t>
  </si>
  <si>
    <t>The TransporterÂ </t>
  </si>
  <si>
    <t>bar|gunfight|human trafficking|mixed martial arts|tire iron</t>
  </si>
  <si>
    <t>Hyung-rae Shim</t>
  </si>
  <si>
    <t>Action|Drama|Fantasy|Horror|Thriller</t>
  </si>
  <si>
    <t>Dragon Wars: D-WarÂ </t>
  </si>
  <si>
    <t>antique shop|asian dragon|dragon|korean|reporter</t>
  </si>
  <si>
    <t>Darren Grant</t>
  </si>
  <si>
    <t>Diary of a Mad Black WomanÂ </t>
  </si>
  <si>
    <t>comic relief|diary|kiss|madea series|state flag</t>
  </si>
  <si>
    <t>Steve Boyum</t>
  </si>
  <si>
    <t>Meet the DeedlesÂ </t>
  </si>
  <si>
    <t>accidental kiss|eating a worm|park|worm|yellowstone national park</t>
  </si>
  <si>
    <t>Flirting with DisasterÂ </t>
  </si>
  <si>
    <t>adoption|armpit fetish|mistaken identity|new mexico|overalls</t>
  </si>
  <si>
    <t>FlatlinersÂ </t>
  </si>
  <si>
    <t>childhood trauma|death|medical student|memory|near death experience</t>
  </si>
  <si>
    <t>Comedy|Drama|Family|Fantasy|Romance</t>
  </si>
  <si>
    <t>17 AgainÂ </t>
  </si>
  <si>
    <t>adult as child|father son relationship|high school student|janitor|school</t>
  </si>
  <si>
    <t>An Ideal HusbandÂ </t>
  </si>
  <si>
    <t>bachelor|blackmail|character says i love you|flirting|social satire</t>
  </si>
  <si>
    <t>Agnieszka Wojtowicz-Vosloo</t>
  </si>
  <si>
    <t>After.LifeÂ </t>
  </si>
  <si>
    <t>breath on mirror|buried alive|engagement ring|looking at one's self in a mirror|serial killer</t>
  </si>
  <si>
    <t>Comedy|Crime|Drama|Mystery|Thriller</t>
  </si>
  <si>
    <t>Kim Dickens</t>
  </si>
  <si>
    <t>Zero EffectÂ </t>
  </si>
  <si>
    <t>blackmail|client|private detective|private investigator|tycoon</t>
  </si>
  <si>
    <t>Lance Mungia</t>
  </si>
  <si>
    <t>Action|Adventure|Comedy|Drama|Music|Sci-Fi</t>
  </si>
  <si>
    <t>Jeffrey Falcon</t>
  </si>
  <si>
    <t>Six-String SamuraiÂ </t>
  </si>
  <si>
    <t>boy|guitar|orphan|rock 'n' roll|sword</t>
  </si>
  <si>
    <t>Black ChristmasÂ </t>
  </si>
  <si>
    <t>attic|christmas|house|incest|sorority</t>
  </si>
  <si>
    <t>The Hobbit: The Battle of the Five ArmiesÂ </t>
  </si>
  <si>
    <t>army|elf|hobbit|middle earth|orc</t>
  </si>
  <si>
    <t>Philip G. Atwell</t>
  </si>
  <si>
    <t>WarÂ </t>
  </si>
  <si>
    <t>assassin|betrayal|fbi|fbi agent|yakuza</t>
  </si>
  <si>
    <t>Jon Hess</t>
  </si>
  <si>
    <t>Burt Young</t>
  </si>
  <si>
    <t>Excessive ForceÂ </t>
  </si>
  <si>
    <t>exercise bicycle|face in food|police|police brutality|policeman</t>
  </si>
  <si>
    <t>Rocky BalboaÂ </t>
  </si>
  <si>
    <t>boxing|fight|heavyweight champion|restaurant|retired boxer</t>
  </si>
  <si>
    <t>Jamie Babbit</t>
  </si>
  <si>
    <t>The QuietÂ </t>
  </si>
  <si>
    <t>deaf|death|dysfunctional family|godparent|secret</t>
  </si>
  <si>
    <t>Sea of LoveÂ </t>
  </si>
  <si>
    <t>detective|love|single|suspect|title from song</t>
  </si>
  <si>
    <t>Drama|Musical|Romance|Thriller</t>
  </si>
  <si>
    <t>The Phantom of the OperaÂ </t>
  </si>
  <si>
    <t>based on stage musical based on novel|disfigurement|mask|opera|singer</t>
  </si>
  <si>
    <t>Sissy Spacek</t>
  </si>
  <si>
    <t>An American HauntingÂ </t>
  </si>
  <si>
    <t>flashback|lifting someone into the air|paranormal phenomena|voice over letter|year 1818</t>
  </si>
  <si>
    <t>Cheryl Hines</t>
  </si>
  <si>
    <t>Space ChimpsÂ </t>
  </si>
  <si>
    <t>astronaut|attacked by a plant|planet|senator|space travel</t>
  </si>
  <si>
    <t>3 Men and a BabyÂ </t>
  </si>
  <si>
    <t>1980s|baby|heroin|package|questioned by police</t>
  </si>
  <si>
    <t>Animation|Drama|Family|Musical|Romance</t>
  </si>
  <si>
    <t>The Hunchback of Notre DameÂ </t>
  </si>
  <si>
    <t>15th century|cathedral|gypsy|paris|victor hugo</t>
  </si>
  <si>
    <t>TakersÂ </t>
  </si>
  <si>
    <t>armored car|bank|falling out among thieves|heist|planning</t>
  </si>
  <si>
    <t>Justin Dillon</t>
  </si>
  <si>
    <t>Matisyahu</t>
  </si>
  <si>
    <t>Call + ResponseÂ </t>
  </si>
  <si>
    <t>fair trade|human trafficking|non profit|rockumentary|slavery</t>
  </si>
  <si>
    <t>AliÂ </t>
  </si>
  <si>
    <t>african american protagonist|african americans|boxing gym|gym|rumble in the jungle</t>
  </si>
  <si>
    <t>Darcy Donavan</t>
  </si>
  <si>
    <t>Anchorman: The Legend of Ron BurgundyÂ </t>
  </si>
  <si>
    <t>1970s|anchorman|news anchor|newsroom|tv station</t>
  </si>
  <si>
    <t>Anthony Powell</t>
  </si>
  <si>
    <t>Adventure|Biography|Documentary|Drama</t>
  </si>
  <si>
    <t>Josh Swanson</t>
  </si>
  <si>
    <t>Antarctica: A Year on IceÂ </t>
  </si>
  <si>
    <t>antarctica</t>
  </si>
  <si>
    <t>Kevin Brodie</t>
  </si>
  <si>
    <t>A Dog of FlandersÂ </t>
  </si>
  <si>
    <t>artist|box office flop|dog|drawing|flanders</t>
  </si>
  <si>
    <t>Biography|Drama|History|Musical</t>
  </si>
  <si>
    <t>Andrea Corr</t>
  </si>
  <si>
    <t>EvitaÂ </t>
  </si>
  <si>
    <t>actress|argentina|military|politics|singer</t>
  </si>
  <si>
    <t>Star Trek II: The Wrath of KhanÂ </t>
  </si>
  <si>
    <t>jamming communications|planet|space station|taunt|trap</t>
  </si>
  <si>
    <t>Augustus Prew</t>
  </si>
  <si>
    <t>Charlie St. CloudÂ </t>
  </si>
  <si>
    <t>brother brother relationship|death of brother|ghost|seeing dead people|talking with the dead</t>
  </si>
  <si>
    <t>The Lincoln LawyerÂ </t>
  </si>
  <si>
    <t>defense attorney|defense lawyer|lawyer|plot twist|prostitute</t>
  </si>
  <si>
    <t>Deconstructing HarryÂ </t>
  </si>
  <si>
    <t>marriage|novelist|panties pulled down|writer's block|writing</t>
  </si>
  <si>
    <t>Kasia Smutniak</t>
  </si>
  <si>
    <t>From Paris with LoveÂ </t>
  </si>
  <si>
    <t>ambassador|cia|dinner|spy|terrorist</t>
  </si>
  <si>
    <t>Goran Dukic</t>
  </si>
  <si>
    <t>Wristcutters: A Love StoryÂ </t>
  </si>
  <si>
    <t>afterlife|camping|death|hitchhiker|suicide</t>
  </si>
  <si>
    <t>The Social NetworkÂ </t>
  </si>
  <si>
    <t>competitiveness|creator|entrepreneur|facebook|intellectual property</t>
  </si>
  <si>
    <t>Summer CatchÂ </t>
  </si>
  <si>
    <t>baseball|baseball player|night|rivalry|summer</t>
  </si>
  <si>
    <t>Danny Leiner</t>
  </si>
  <si>
    <t>Harold &amp; Kumar Go to White CastleÂ </t>
  </si>
  <si>
    <t>marijuana|police|road trip|stoner|white castle</t>
  </si>
  <si>
    <t>Annabel Jankel</t>
  </si>
  <si>
    <t>Adventure|Comedy|Family|Fantasy|Sci-Fi</t>
  </si>
  <si>
    <t>Super Mario Bros.Â </t>
  </si>
  <si>
    <t>based on video game|dinosaur|king|mario|plumber</t>
  </si>
  <si>
    <t>The Lost World: Jurassic ParkÂ </t>
  </si>
  <si>
    <t>capture|dinosaur|island|jurassic|jurassic park</t>
  </si>
  <si>
    <t>Chris Rock</t>
  </si>
  <si>
    <t>Head of StateÂ </t>
  </si>
  <si>
    <t>alderman|party|president|presidential candidate|washington d.c.</t>
  </si>
  <si>
    <t>Karen Allen</t>
  </si>
  <si>
    <t>The Perfect StormÂ </t>
  </si>
  <si>
    <t>death|fish|fishing|sea|storm</t>
  </si>
  <si>
    <t>Animation|Comedy|Family|Sci-Fi</t>
  </si>
  <si>
    <t>Cloudy with a Chance of MeatballsÂ </t>
  </si>
  <si>
    <t>food|giant food|mayor|sardine|weather</t>
  </si>
  <si>
    <t>Valentine's DayÂ </t>
  </si>
  <si>
    <t>flower|indian restaurant|tv station|valentine|valentine's day</t>
  </si>
  <si>
    <t>Vincenzo Natali</t>
  </si>
  <si>
    <t>David Hewlett</t>
  </si>
  <si>
    <t>CubeÂ </t>
  </si>
  <si>
    <t>escape|labyrinth|maze|red light|trap</t>
  </si>
  <si>
    <t>Righteous KillÂ </t>
  </si>
  <si>
    <t>blood splatter|execution|new york city|nypd|serial killer</t>
  </si>
  <si>
    <t>Sean McNamara</t>
  </si>
  <si>
    <t>Biography|Drama|Family|Sport</t>
  </si>
  <si>
    <t>Soul SurferÂ </t>
  </si>
  <si>
    <t>christian|christian film|shark|surfer|surfing</t>
  </si>
  <si>
    <t>I'm Not There.Â </t>
  </si>
  <si>
    <t>1960s|actor|horseback riding|reporter|riding the rails</t>
  </si>
  <si>
    <t>Soul FoodÂ </t>
  </si>
  <si>
    <t>1990s|family relationships|food in title|sister|unity</t>
  </si>
  <si>
    <t>David Gelb</t>
  </si>
  <si>
    <t>The Lazarus EffectÂ </t>
  </si>
  <si>
    <t>electrocuted|experiment|hell|serum|university</t>
  </si>
  <si>
    <t>Fann Wong</t>
  </si>
  <si>
    <t>Shanghai KnightsÂ </t>
  </si>
  <si>
    <t>1880s|arrow|imperial seal|murder|revenge</t>
  </si>
  <si>
    <t>HopÂ </t>
  </si>
  <si>
    <t>drummer|easter|easter bunny|piaggio vespa gtv 250|slacker</t>
  </si>
  <si>
    <t>The InnkeepersÂ </t>
  </si>
  <si>
    <t>bathtub|dead body in a bathtub|dead body in bathtub|hotel|inn</t>
  </si>
  <si>
    <t>Mennan Yapo</t>
  </si>
  <si>
    <t>PremonitionÂ </t>
  </si>
  <si>
    <t>car|car accident|housewife|sheriff|suburb</t>
  </si>
  <si>
    <t>Ash Brannon</t>
  </si>
  <si>
    <t>Animation|Comedy|Family|Sport</t>
  </si>
  <si>
    <t>Surf's UpÂ </t>
  </si>
  <si>
    <t>chicken|competition|island|penguin|surfing</t>
  </si>
  <si>
    <t>You Only Live TwiceÂ </t>
  </si>
  <si>
    <t>faked death|japan|japanese|poison|secret headquarters</t>
  </si>
  <si>
    <t>The River WildÂ </t>
  </si>
  <si>
    <t>criminal|rafting|river|robber|white water rafting</t>
  </si>
  <si>
    <t>Tim Meadows</t>
  </si>
  <si>
    <t>Walk Hard: The Dewey Cox StoryÂ </t>
  </si>
  <si>
    <t>drugs|elvis|musician|singer|the beatles</t>
  </si>
  <si>
    <t>Cheaper by the Dozen 2Â </t>
  </si>
  <si>
    <t>children|competition|rival|second part|vacation</t>
  </si>
  <si>
    <t>Igor Kovalyov</t>
  </si>
  <si>
    <t>The Rugrats MovieÂ </t>
  </si>
  <si>
    <t>baby|home|hospital|lost|newborn baby</t>
  </si>
  <si>
    <t>BurntÂ </t>
  </si>
  <si>
    <t>chef|gay kiss|michelin star|restaurant|violent behavior</t>
  </si>
  <si>
    <t>Izabella Scorupco</t>
  </si>
  <si>
    <t>GoldenEyeÂ </t>
  </si>
  <si>
    <t>agent|cossack|official james bond series|russia|russian</t>
  </si>
  <si>
    <t>Mark Romanek</t>
  </si>
  <si>
    <t>One Hour PhotoÂ </t>
  </si>
  <si>
    <t>insanity|photo lab|photo shop|photography|voyeur</t>
  </si>
  <si>
    <t>Mercury RisingÂ </t>
  </si>
  <si>
    <t>autistic child|boy|child in danger|fbi|nsa</t>
  </si>
  <si>
    <t>Safety Not GuaranteedÂ </t>
  </si>
  <si>
    <t>classified ad|intern|magazine|time machine|time travel</t>
  </si>
  <si>
    <t>Amber Valletta</t>
  </si>
  <si>
    <t>Raising HelenÂ </t>
  </si>
  <si>
    <t>fashion show|female protagonist|love|pastor|queens new york city</t>
  </si>
  <si>
    <t>Alien 3Â </t>
  </si>
  <si>
    <t>alien|crash|planet|prison|survivor</t>
  </si>
  <si>
    <t>Mona Lisa SmileÂ </t>
  </si>
  <si>
    <t>art|college|school|student|wellesley college</t>
  </si>
  <si>
    <t>Ian McNeice</t>
  </si>
  <si>
    <t>Oliver TwistÂ </t>
  </si>
  <si>
    <t>boy|character name in title|orphan|pickpocket|workhouse</t>
  </si>
  <si>
    <t>WolfÂ </t>
  </si>
  <si>
    <t>blood|publisher|publishing house|werewolf|wolf</t>
  </si>
  <si>
    <t>Luis Mandoki</t>
  </si>
  <si>
    <t>Sonia Braga</t>
  </si>
  <si>
    <t>Angel EyesÂ </t>
  </si>
  <si>
    <t>apartment|fate|gun|love|mysterious man</t>
  </si>
  <si>
    <t>Boris Rodriguez</t>
  </si>
  <si>
    <t>Eddie: The Sleepwalking CannibalÂ </t>
  </si>
  <si>
    <t>art teacher|cannibal|inspiration|painter|sleepwalking</t>
  </si>
  <si>
    <t>Nick Hamm</t>
  </si>
  <si>
    <t>GodsendÂ </t>
  </si>
  <si>
    <t>birthday|boy|clone|cloning|doctor</t>
  </si>
  <si>
    <t>Paul Bunnell</t>
  </si>
  <si>
    <t>Comedy|Fantasy|Musical|Sci-Fi</t>
  </si>
  <si>
    <t>Kate Maberly</t>
  </si>
  <si>
    <t>The Ghastly Love of Johnny XÂ </t>
  </si>
  <si>
    <t>1950s|independent film|outlaw|trial</t>
  </si>
  <si>
    <t>Lisa Ann Walter</t>
  </si>
  <si>
    <t>Shall We DanceÂ </t>
  </si>
  <si>
    <t>dance|dance competition|dance lesson|love|teacher</t>
  </si>
  <si>
    <t>The ThingÂ </t>
  </si>
  <si>
    <t>alien creature|alien life form|antarctica|isolation|paranoia</t>
  </si>
  <si>
    <t>Adventure|Drama|Horror|Thriller</t>
  </si>
  <si>
    <t>The Ghost and the DarknessÂ </t>
  </si>
  <si>
    <t>bridge|engineer|hunter|lion|railway</t>
  </si>
  <si>
    <t>Adventure|Comedy|Crime|Music</t>
  </si>
  <si>
    <t>O Brother, Where Art Thou?Â </t>
  </si>
  <si>
    <t>baby|bank|blind prophet|convict|sirens</t>
  </si>
  <si>
    <t>Ronan Chapalain</t>
  </si>
  <si>
    <t>Norbert Ferrer</t>
  </si>
  <si>
    <t>Sea Rex 3D: Journey to a Prehistoric WorldÂ </t>
  </si>
  <si>
    <t>3d|imax|plesiosaur|sea|water</t>
  </si>
  <si>
    <t>Paul Weiland</t>
  </si>
  <si>
    <t>Made of HonorÂ </t>
  </si>
  <si>
    <t>friend|love|maid|maid of honor|marriage</t>
  </si>
  <si>
    <t>FlippedÂ </t>
  </si>
  <si>
    <t>apology|falling in love|multiple perspectives|narrated by a girl|younger version of character</t>
  </si>
  <si>
    <t>The Italian JobÂ </t>
  </si>
  <si>
    <t>gold|heist|revenge|traffic jam|venice italy</t>
  </si>
  <si>
    <t>Molly Bernstein</t>
  </si>
  <si>
    <t>Deceptive Practice: The Mysteries and Mentors of Ricky JayÂ </t>
  </si>
  <si>
    <t>stage magician</t>
  </si>
  <si>
    <t>Animation|Comedy|Family|Musical</t>
  </si>
  <si>
    <t>Happy Feet 2Â </t>
  </si>
  <si>
    <t>3d|antarctica|krill|penguin|sequel</t>
  </si>
  <si>
    <t>Gone in Sixty SecondsÂ </t>
  </si>
  <si>
    <t>auto theft|brother|car|theft|thief</t>
  </si>
  <si>
    <t>Joel McHale</t>
  </si>
  <si>
    <t>The Big YearÂ </t>
  </si>
  <si>
    <t>alaska|birding|competition|migration|storm</t>
  </si>
  <si>
    <t>John Kapelos</t>
  </si>
  <si>
    <t>The RelicÂ </t>
  </si>
  <si>
    <t>fire|helicopter|museum|police sergeant|relic</t>
  </si>
  <si>
    <t>TwinsÂ </t>
  </si>
  <si>
    <t>bare chested male|brother|catholic orphanage|long lost siblings|twins</t>
  </si>
  <si>
    <t>Drillbit TaylorÂ </t>
  </si>
  <si>
    <t>bodyguard|bully|generation y|high school|nerd</t>
  </si>
  <si>
    <t>John 'Bud' Cardos</t>
  </si>
  <si>
    <t>Woody Strode</t>
  </si>
  <si>
    <t>Kingdom of the SpidersÂ </t>
  </si>
  <si>
    <t>death|farm|hotel|spider|tarantula</t>
  </si>
  <si>
    <t>Victor Nunez</t>
  </si>
  <si>
    <t>Ulee's GoldÂ </t>
  </si>
  <si>
    <t>beekeeper|bound and gagged|dysfunctional family|man with glasses|tied to a chair</t>
  </si>
  <si>
    <t>CloserÂ </t>
  </si>
  <si>
    <t>cheating wife|film camera|hasselblad camera|leica camera|medium format camera</t>
  </si>
  <si>
    <t>Steve Box</t>
  </si>
  <si>
    <t>The Curse of the Were-RabbitÂ </t>
  </si>
  <si>
    <t>competition|giant vegetable|pest control|stop motion animation|vegetable</t>
  </si>
  <si>
    <t>Gone GirlÂ </t>
  </si>
  <si>
    <t>based on novel|disappearance|missing person|missing wife|murder suspect</t>
  </si>
  <si>
    <t>Robert Baker</t>
  </si>
  <si>
    <t>LeatherheadsÂ </t>
  </si>
  <si>
    <t>college football|fight|football|hero|surrender</t>
  </si>
  <si>
    <t>Walter Salles</t>
  </si>
  <si>
    <t>Fernanda Montenegro</t>
  </si>
  <si>
    <t>Central StationÂ </t>
  </si>
  <si>
    <t>brazil|letter|rio de janeiro brazil|sertao|teacher</t>
  </si>
  <si>
    <t>Jon Poll</t>
  </si>
  <si>
    <t>Charlie BartlettÂ </t>
  </si>
  <si>
    <t>drugs|high school|prescription drugs|private school|student</t>
  </si>
  <si>
    <t>Eva Amurri Martino</t>
  </si>
  <si>
    <t>The Life Before Her EyesÂ </t>
  </si>
  <si>
    <t>best friend|nonlinear timeline|school shooting|self sacrifice|shooting</t>
  </si>
  <si>
    <t>Blair Underwood</t>
  </si>
  <si>
    <t>GattacaÂ </t>
  </si>
  <si>
    <t>accident|future|genetics|mission|police</t>
  </si>
  <si>
    <t>Jupiter AscendingÂ </t>
  </si>
  <si>
    <t>box office flop|critically bashed|planet earth|space opera|woman in bra and panties</t>
  </si>
  <si>
    <t>Leap YearÂ </t>
  </si>
  <si>
    <t>ireland|irish|journey|tradition|travel</t>
  </si>
  <si>
    <t>Ocean's TwelveÂ </t>
  </si>
  <si>
    <t>father daughter relationship|heist|pretending to be pregnant|sequel|thief</t>
  </si>
  <si>
    <t>Treasure PlanetÂ </t>
  </si>
  <si>
    <t>alien|cyborg|pirate|planet|treasure</t>
  </si>
  <si>
    <t>Action|Drama|Fantasy|Romance</t>
  </si>
  <si>
    <t>ImmortalsÂ </t>
  </si>
  <si>
    <t>burned alive|castration|olympus|torture|torture device</t>
  </si>
  <si>
    <t>16 BlocksÂ </t>
  </si>
  <si>
    <t>alcoholic|courthouse|detective|jail|witness</t>
  </si>
  <si>
    <t>Drama|Thriller|War</t>
  </si>
  <si>
    <t>Lions for LambsÂ </t>
  </si>
  <si>
    <t>afghanistan|professor|reporter|student|university</t>
  </si>
  <si>
    <t>Sylvio Tabet</t>
  </si>
  <si>
    <t>Beastmaster 2: Through the Portal of TimeÂ </t>
  </si>
  <si>
    <t>beast|beastmaster|psychotronic|sword and sorcery|warrior</t>
  </si>
  <si>
    <t>Regina Hall</t>
  </si>
  <si>
    <t>Scary Movie 3Â </t>
  </si>
  <si>
    <t>crop circle|farm|orchestral music score|reference to michael jackson|videotape</t>
  </si>
  <si>
    <t>AlohaÂ </t>
  </si>
  <si>
    <t>box office flop|critically bashed|hawaii|one word title|written by director</t>
  </si>
  <si>
    <t>Michael McKean</t>
  </si>
  <si>
    <t>The GuruÂ </t>
  </si>
  <si>
    <t>bollywood|illegal immigrant|live television|restaurant|waiter</t>
  </si>
  <si>
    <t>Bebe Neuwirth</t>
  </si>
  <si>
    <t>TadpoleÂ </t>
  </si>
  <si>
    <t>best friend|boy|french|friend|love</t>
  </si>
  <si>
    <t>Newt Arnold</t>
  </si>
  <si>
    <t>Action|Biography|Drama|Sport</t>
  </si>
  <si>
    <t>BloodsportÂ </t>
  </si>
  <si>
    <t>hand to hand combat|hong kong|kumite|martial arts|tournament</t>
  </si>
  <si>
    <t>Roger Christian</t>
  </si>
  <si>
    <t>Battlefield EarthÂ </t>
  </si>
  <si>
    <t>alien|bad acting|pulp fiction|resistance fighter|voyager golden record</t>
  </si>
  <si>
    <t>X-Men: First ClassÂ </t>
  </si>
  <si>
    <t>cia|cia agent|mutant|nuclear war|professor</t>
  </si>
  <si>
    <t>The TerminalÂ </t>
  </si>
  <si>
    <t>airport|construction site|fish out of water|flight attendant|man without a country</t>
  </si>
  <si>
    <t>Deborah Kara Unger</t>
  </si>
  <si>
    <t>The GameÂ </t>
  </si>
  <si>
    <t>birthday|falling through a glass roof|game|hitchcockian|suicide</t>
  </si>
  <si>
    <t>Orson Welles</t>
  </si>
  <si>
    <t>Crime|Drama|Film-Noir|Mystery|Thriller</t>
  </si>
  <si>
    <t>Rita Hayworth</t>
  </si>
  <si>
    <t>The Lady from ShanghaiÂ </t>
  </si>
  <si>
    <t>law partner|murder|partner|seaman|yacht</t>
  </si>
  <si>
    <t>Inglourious BasterdsÂ </t>
  </si>
  <si>
    <t>france|german|nazis|revenge|scalping</t>
  </si>
  <si>
    <t>Star Trek IV: The Voyage HomeÂ </t>
  </si>
  <si>
    <t>alien probe|humpback whales|probe|time travel|whale</t>
  </si>
  <si>
    <t>Cats Don't DanceÂ </t>
  </si>
  <si>
    <t>animal|cat|child star|hollywood|star</t>
  </si>
  <si>
    <t>Underworld: EvolutionÂ </t>
  </si>
  <si>
    <t>death|feud|forbidden love|vampire|werewolf</t>
  </si>
  <si>
    <t>Joan Chen</t>
  </si>
  <si>
    <t>Autumn in New YorkÂ </t>
  </si>
  <si>
    <t>may december romance|new york|new york city|rockefeller center|title directed by female</t>
  </si>
  <si>
    <t>AmistadÂ </t>
  </si>
  <si>
    <t>courtroom|mutiny|ship|slave ship|slave trade</t>
  </si>
  <si>
    <t>This Means WarÂ </t>
  </si>
  <si>
    <t>best friend|cia|cia agent|dating|undercover</t>
  </si>
  <si>
    <t>Michael Clancy</t>
  </si>
  <si>
    <t>EulogyÂ </t>
  </si>
  <si>
    <t>dysfunctional family|family relationships|family reunion|funeral|twin</t>
  </si>
  <si>
    <t>X-Men: Days of Future PastÂ </t>
  </si>
  <si>
    <t>dystopia|super strength|supernatural power|time paradox|time travel</t>
  </si>
  <si>
    <t>IstvÃ¡n SzabÃ³</t>
  </si>
  <si>
    <t>Being JuliaÂ </t>
  </si>
  <si>
    <t>diva|marriage|open marriage|revenge|social climber</t>
  </si>
  <si>
    <t>Gabor Csupo</t>
  </si>
  <si>
    <t>Bridge to TerabithiaÂ </t>
  </si>
  <si>
    <t>bully|friend|imagination|reality|troll</t>
  </si>
  <si>
    <t>Bradley Whitford</t>
  </si>
  <si>
    <t>The ClientÂ </t>
  </si>
  <si>
    <t>boy|brother|lawyer|mafia|senator</t>
  </si>
  <si>
    <t>The IllusionistÂ </t>
  </si>
  <si>
    <t>duchess|illusionist|magician|prince|supernatural power</t>
  </si>
  <si>
    <t>My Life in RuinsÂ </t>
  </si>
  <si>
    <t>greece|greek|tour bus|tour guide|tourist</t>
  </si>
  <si>
    <t>Jon Shear</t>
  </si>
  <si>
    <t>Dan Futterman</t>
  </si>
  <si>
    <t>UrbaniaÂ </t>
  </si>
  <si>
    <t>hot dog bun|needle|new york|rat|tourist</t>
  </si>
  <si>
    <t>Action|Animation|Comedy|Sci-Fi</t>
  </si>
  <si>
    <t>PixelsÂ </t>
  </si>
  <si>
    <t>alien|arcade game|chase|driving in reverse|video gamer</t>
  </si>
  <si>
    <t>The Vatican TapesÂ </t>
  </si>
  <si>
    <t>evil|injury|possession|priest|vatican</t>
  </si>
  <si>
    <t>You AgainÂ </t>
  </si>
  <si>
    <t>dancing|dog|flight|hostility|travel</t>
  </si>
  <si>
    <t>The BountyÂ </t>
  </si>
  <si>
    <t>lieutenant|lifeboat|mutiny|sailing ship|ship</t>
  </si>
  <si>
    <t>Cassie Ventura</t>
  </si>
  <si>
    <t>Step Up 2: The StreetsÂ </t>
  </si>
  <si>
    <t>audition|dance|kissing in the rain|student|subway</t>
  </si>
  <si>
    <t>Animation|Drama|Mystery|Sci-Fi|Thriller</t>
  </si>
  <si>
    <t>A Scanner DarklyÂ </t>
  </si>
  <si>
    <t>detective|drugs|substance d|undercover|undercover cop</t>
  </si>
  <si>
    <t>The Indian in the CupboardÂ </t>
  </si>
  <si>
    <t>best friend|birthday|boy|friend|magic</t>
  </si>
  <si>
    <t>Patrick Gilmore</t>
  </si>
  <si>
    <t>Adventure|Animation|Comedy|Drama|Family|Fantasy|Romance</t>
  </si>
  <si>
    <t>Sinbad: Legend of the Seven SeasÂ </t>
  </si>
  <si>
    <t>book|framed|goddess|prince|sinbad</t>
  </si>
  <si>
    <t>Kurt Voss</t>
  </si>
  <si>
    <t>Lemmy</t>
  </si>
  <si>
    <t>Down and Out with the DollsÂ </t>
  </si>
  <si>
    <t>female bassist|female drummer|female guitarist|female singer|portland oregon</t>
  </si>
  <si>
    <t>License to WedÂ </t>
  </si>
  <si>
    <t>box office flop|church|kissing|usa|wedding</t>
  </si>
  <si>
    <t>Black BookÂ </t>
  </si>
  <si>
    <t>boat|escape|hiding|nazi|resistance</t>
  </si>
  <si>
    <t>Deep Blue SeaÂ </t>
  </si>
  <si>
    <t>alzheimer's disease|experiment|human versus shark|research|underwater headquarters</t>
  </si>
  <si>
    <t>Victor FrankensteinÂ </t>
  </si>
  <si>
    <t>assistant|experiment|frankenstein|medical student|scientist</t>
  </si>
  <si>
    <t>The Theory of EverythingÂ </t>
  </si>
  <si>
    <t>based on memoir|cambridge university|husband wife relationship|lou gehrig's disease|physicist</t>
  </si>
  <si>
    <t>Dean Wright</t>
  </si>
  <si>
    <t>Santiago Cabrera</t>
  </si>
  <si>
    <t>For Greater Glory: The True Story of CristiadaÂ </t>
  </si>
  <si>
    <t>catholic|hanging|mexico|rebellion|soldier</t>
  </si>
  <si>
    <t>Rafa Lara</t>
  </si>
  <si>
    <t>Jorge Luis Moreno</t>
  </si>
  <si>
    <t>Cinco de Mayo, La BatallaÂ </t>
  </si>
  <si>
    <t>The Hunger Games: Mockingjay - Part 1Â </t>
  </si>
  <si>
    <t>based on young adult novel|manipulation|rebellion|symbol|uprising</t>
  </si>
  <si>
    <t>John Putch</t>
  </si>
  <si>
    <t>Robert Picardo</t>
  </si>
  <si>
    <t>Atlas Shrugged II: The StrikeÂ </t>
  </si>
  <si>
    <t>box office flop|critically bashed|government|industrialist|railroad</t>
  </si>
  <si>
    <t>Predator 2Â </t>
  </si>
  <si>
    <t>alien|drug lord|gang|hunter|predator</t>
  </si>
  <si>
    <t>Babak Najafi</t>
  </si>
  <si>
    <t>London Has FallenÂ </t>
  </si>
  <si>
    <t>british|funeral|good versus evil|mole|sequel</t>
  </si>
  <si>
    <t>The Painted VeilÂ </t>
  </si>
  <si>
    <t>china|cholera|epidemic|love|marriage</t>
  </si>
  <si>
    <t>Mark Andrews</t>
  </si>
  <si>
    <t>BraveÂ </t>
  </si>
  <si>
    <t>archery|coming of age|female warrior|princess|rebellious daughter</t>
  </si>
  <si>
    <t>Suspect ZeroÂ </t>
  </si>
  <si>
    <t>fbi|fbi agent|murder|salesman|serial killer</t>
  </si>
  <si>
    <t>Edward Norton</t>
  </si>
  <si>
    <t>Lisa Edelstein</t>
  </si>
  <si>
    <t>Keeping the FaithÂ </t>
  </si>
  <si>
    <t>celibacy|jewish|priest|rabbi|synagogue</t>
  </si>
  <si>
    <t>Seven Years in TibetÂ </t>
  </si>
  <si>
    <t>austria|dalai lama|himalaya|mountain|tibet</t>
  </si>
  <si>
    <t>Mike Gabriel</t>
  </si>
  <si>
    <t>Adventure|Animation|Drama|Family|History|Musical|Romance</t>
  </si>
  <si>
    <t>PocahontasÂ </t>
  </si>
  <si>
    <t>actor playing multiple roles|love|one word title|unsubtitled foreign language|virginia</t>
  </si>
  <si>
    <t>On the RoadÂ </t>
  </si>
  <si>
    <t>benzedrine|cactus|drugs|poem|year 1949</t>
  </si>
  <si>
    <t>BedazzledÂ </t>
  </si>
  <si>
    <t>contract|devil|dream|soul|wish</t>
  </si>
  <si>
    <t>Lorene Scafaria</t>
  </si>
  <si>
    <t>Adventure|Comedy|Drama|Romance|Sci-Fi</t>
  </si>
  <si>
    <t>Seeking a Friend for the End of the WorldÂ </t>
  </si>
  <si>
    <t>candle|end of the world|letter|record|road trip</t>
  </si>
  <si>
    <t>Irvin Kershner</t>
  </si>
  <si>
    <t>Star Wars: Episode V - The Empire Strikes BackÂ </t>
  </si>
  <si>
    <t>duel|famous twist|rebel|rescue|snowy landscape</t>
  </si>
  <si>
    <t>Kelly Rutherford</t>
  </si>
  <si>
    <t>Scream 3Â </t>
  </si>
  <si>
    <t>death|ghostface|murder|scream|survivor</t>
  </si>
  <si>
    <t>How the Grinch Stole ChristmasÂ </t>
  </si>
  <si>
    <t>box office hit|christmas|materialism|public humiliation|snowflake</t>
  </si>
  <si>
    <t>Sally Potter</t>
  </si>
  <si>
    <t>YesÂ </t>
  </si>
  <si>
    <t>beach|lebanese|loss|muslim|restaurant</t>
  </si>
  <si>
    <t>Tuck Tucker</t>
  </si>
  <si>
    <t>Hey Arnold! The MovieÂ </t>
  </si>
  <si>
    <t>castle thunder|document|neighborhood|punctuation in title|villain arrested</t>
  </si>
  <si>
    <t>The Original Kings of ComedyÂ </t>
  </si>
  <si>
    <t>backstage|comedian|concert film|emcee|stand up comedian</t>
  </si>
  <si>
    <t>Dominic Flores</t>
  </si>
  <si>
    <t>Our Brand Is CrisisÂ </t>
  </si>
  <si>
    <t>bolivia|box office flop|inspired by documentary|presidential campaign|year 2002</t>
  </si>
  <si>
    <t>NarcÂ </t>
  </si>
  <si>
    <t>blood splatter|cover up|murder|police shootout|undercover</t>
  </si>
  <si>
    <t>Don Hall</t>
  </si>
  <si>
    <t>Big Hero 6Â </t>
  </si>
  <si>
    <t>high tech|martial arts|masked man|robot|superhero</t>
  </si>
  <si>
    <t>Wayne Kramer</t>
  </si>
  <si>
    <t>Running ScaredÂ </t>
  </si>
  <si>
    <t>adult child friendship|corrupt cop|fistfight|gangster|thug</t>
  </si>
  <si>
    <t>Mars Callahan</t>
  </si>
  <si>
    <t>Poolhall JunkiesÂ </t>
  </si>
  <si>
    <t>beating|hustler|jail|money|revenge</t>
  </si>
  <si>
    <t>The WacknessÂ </t>
  </si>
  <si>
    <t>ice cream|marijuana|new york city|summer|therapy</t>
  </si>
  <si>
    <t>New NightmareÂ </t>
  </si>
  <si>
    <t>earthquake|elm street|freddy krueger|nightmare|sleep</t>
  </si>
  <si>
    <t>Hearts in AtlantisÂ </t>
  </si>
  <si>
    <t>based on multiple works|bully|kiss|memory|mysterious stranger</t>
  </si>
  <si>
    <t>Mike van Diem</t>
  </si>
  <si>
    <t>Jan Decleir</t>
  </si>
  <si>
    <t>CharacterÂ </t>
  </si>
  <si>
    <t>bailiff|lawyer|office|police|school</t>
  </si>
  <si>
    <t>AllegiantÂ </t>
  </si>
  <si>
    <t>based on young adult novel|dystopia|genetic experimentation|strong female character|strong female lead</t>
  </si>
  <si>
    <t>Edge of DarknessÂ </t>
  </si>
  <si>
    <t>activist|detective|father daughter relationship|investigation|vigilantism</t>
  </si>
  <si>
    <t>The Iron LadyÂ </t>
  </si>
  <si>
    <t>british prime minister|female prime minister|politics|prime minister|told in flashback</t>
  </si>
  <si>
    <t>Grace Phipps</t>
  </si>
  <si>
    <t>Fright NightÂ </t>
  </si>
  <si>
    <t>neighbor|remake|suburb|teenager|vampire</t>
  </si>
  <si>
    <t>ZookeeperÂ </t>
  </si>
  <si>
    <t>champagne bottle|coca cola|jewelry box|red bull|zoo</t>
  </si>
  <si>
    <t>Spy Kids: All the Time in the World in 4DÂ </t>
  </si>
  <si>
    <t>2010s|3 dimensional|breath holding contest|child spy|spy</t>
  </si>
  <si>
    <t>Greg Berlanti</t>
  </si>
  <si>
    <t>The Broken Hearts Club: A Romantic ComedyÂ </t>
  </si>
  <si>
    <t>friend|gay|lesbian|photographer|restaurant</t>
  </si>
  <si>
    <t>Yuki Matsuzaki</t>
  </si>
  <si>
    <t>Letters from Iwo JimaÂ </t>
  </si>
  <si>
    <t>blood splatter|general|island|japan|world war two</t>
  </si>
  <si>
    <t>HardballÂ </t>
  </si>
  <si>
    <t>coach|gambling|housing project|little league|little league baseball</t>
  </si>
  <si>
    <t>Action|Comedy|War</t>
  </si>
  <si>
    <t>StripesÂ </t>
  </si>
  <si>
    <t>army|boot camp|breasts|graduation|rescue</t>
  </si>
  <si>
    <t>Edge of TomorrowÂ </t>
  </si>
  <si>
    <t>alien|combat|dying repeatedly|end of the world|time loop</t>
  </si>
  <si>
    <t>My Name Is KhanÂ </t>
  </si>
  <si>
    <t>airport|asperger's syndrome|autism|muslim|racial profiling</t>
  </si>
  <si>
    <t>Terence Davies</t>
  </si>
  <si>
    <t>The House of MirthÂ </t>
  </si>
  <si>
    <t>high society|love|money|reputation|wealth</t>
  </si>
  <si>
    <t>Karyn Kusama</t>
  </si>
  <si>
    <t>Ã†on FluxÂ </t>
  </si>
  <si>
    <t>based on cult favorite|disease|female hero|female protagonist|future</t>
  </si>
  <si>
    <t>The Shaggy DogÂ </t>
  </si>
  <si>
    <t>animal as human|dog movie|elevator|human becoming an animal|sheepdog</t>
  </si>
  <si>
    <t>Adventure|Comedy|Sport</t>
  </si>
  <si>
    <t>Alanna Ubach</t>
  </si>
  <si>
    <t>AirborneÂ </t>
  </si>
  <si>
    <t>cincinnati ohio|high school|hockey|jock strap|zoologist</t>
  </si>
  <si>
    <t>Identity ThiefÂ </t>
  </si>
  <si>
    <t>bounty hunter|credit card|cross country|identity|police</t>
  </si>
  <si>
    <t>The Man with the Golden GunÂ </t>
  </si>
  <si>
    <t>assassin|bikini|girl in a bikini|mission|secret agent</t>
  </si>
  <si>
    <t>Alan Poul</t>
  </si>
  <si>
    <t>The Back-up PlanÂ </t>
  </si>
  <si>
    <t>artificial insemination|baby|cheese|chick flick|pet shop</t>
  </si>
  <si>
    <t>Peter Stebbings</t>
  </si>
  <si>
    <t>DefendorÂ </t>
  </si>
  <si>
    <t>gun running|organized crime|pimp|superhero|vigilante</t>
  </si>
  <si>
    <t>Comedy|Crime|Family|Sci-Fi</t>
  </si>
  <si>
    <t>Baby GeniusesÂ </t>
  </si>
  <si>
    <t>baby|boy|science|scientist|toddler</t>
  </si>
  <si>
    <t>Michael O. Sajbel</t>
  </si>
  <si>
    <t>James Callis</t>
  </si>
  <si>
    <t>One Night with the KingÂ </t>
  </si>
  <si>
    <t>biblical|book of esther|esther|persia|treachery</t>
  </si>
  <si>
    <t>Steven E. de Souza</t>
  </si>
  <si>
    <t>Street FighterÂ </t>
  </si>
  <si>
    <t>guile|hostage|ransom|soldier|united nations</t>
  </si>
  <si>
    <t>Peter Care</t>
  </si>
  <si>
    <t>The Dangerous Lives of Altar BoysÂ </t>
  </si>
  <si>
    <t>book|boy|catholic|comic book|friend</t>
  </si>
  <si>
    <t>From HellÂ </t>
  </si>
  <si>
    <t>freemason|jack the ripper|opium|prostitute|victorian era</t>
  </si>
  <si>
    <t>Adventure|Comedy|Crime|Family|Musical</t>
  </si>
  <si>
    <t>Muppets Most WantedÂ </t>
  </si>
  <si>
    <t>europe|frog|gulag|prison break|puppet</t>
  </si>
  <si>
    <t>Asger Leth</t>
  </si>
  <si>
    <t>Robert Clohessy</t>
  </si>
  <si>
    <t>Man on a LedgeÂ </t>
  </si>
  <si>
    <t>detective|diamond|hotel|police|rooftop</t>
  </si>
  <si>
    <t>Armin Mueller-Stahl</t>
  </si>
  <si>
    <t>The PeacemakerÂ </t>
  </si>
  <si>
    <t>nuclear explosion|nuclear weapon|russia|train|train crash</t>
  </si>
  <si>
    <t>Waiting for GuffmanÂ </t>
  </si>
  <si>
    <t>amateur theater|dentist|missouri|small town|travel agent</t>
  </si>
  <si>
    <t>The CampaignÂ </t>
  </si>
  <si>
    <t>campaigning|congressman|north carolina|title at the end|u.s. congressman</t>
  </si>
  <si>
    <t>Peter Hastings</t>
  </si>
  <si>
    <t>Comedy|Family|Music|Musical</t>
  </si>
  <si>
    <t>The Country BearsÂ </t>
  </si>
  <si>
    <t>animal in title|bear|box office flop|disney|satire</t>
  </si>
  <si>
    <t>Shane Dawson</t>
  </si>
  <si>
    <t>Not CoolÂ </t>
  </si>
  <si>
    <t>Pride and GloryÂ </t>
  </si>
  <si>
    <t>brother in law|corruption|drug dealer|drugs|police</t>
  </si>
  <si>
    <t>Spider-Man 2Â </t>
  </si>
  <si>
    <t>death|doctor|scientist|super villain|tentacle</t>
  </si>
  <si>
    <t>RatatouilleÂ </t>
  </si>
  <si>
    <t>chef|food|french|rat|restaurant</t>
  </si>
  <si>
    <t>Abraham Lincoln: Vampire HunterÂ </t>
  </si>
  <si>
    <t>chopping down a tree|hanging upside down|shopkeeper|vampire|vampire hunter</t>
  </si>
  <si>
    <t>Fred Durst</t>
  </si>
  <si>
    <t>Biography|Comedy|Drama|Family|Sport</t>
  </si>
  <si>
    <t>Tasha Smith</t>
  </si>
  <si>
    <t>The LongshotsÂ </t>
  </si>
  <si>
    <t>absent father|american football|based on true story|middle school</t>
  </si>
  <si>
    <t>The Mummy ReturnsÂ </t>
  </si>
  <si>
    <t>ancient egypt|bracelet|king|scorpion|son</t>
  </si>
  <si>
    <t>Derek Luke</t>
  </si>
  <si>
    <t>Catch a FireÂ </t>
  </si>
  <si>
    <t>attack|coach|colonel|jail|oil refinery</t>
  </si>
  <si>
    <t>Talladega Nights: The Ballad of Ricky BobbyÂ </t>
  </si>
  <si>
    <t>car racing|french|friend|nascar|racing</t>
  </si>
  <si>
    <t>BelÃ©n Rueda</t>
  </si>
  <si>
    <t>The Sea InsideÂ </t>
  </si>
  <si>
    <t>dignity|euthanasia|freedom|lawyer|sailor</t>
  </si>
  <si>
    <t>Burn After ReadingÂ </t>
  </si>
  <si>
    <t>cia|divorce|embassy|gym|memoir</t>
  </si>
  <si>
    <t>Raven-SymonÃ©</t>
  </si>
  <si>
    <t>Dr. Dolittle 2Â </t>
  </si>
  <si>
    <t>bear|doctor|false accusation|man with glasses|second part</t>
  </si>
  <si>
    <t>Fantastic 4: Rise of the Silver SurferÂ </t>
  </si>
  <si>
    <t>fantastic four|space|strong female character|strong female lead|superheroine</t>
  </si>
  <si>
    <t>Back to the Future Part IIÂ </t>
  </si>
  <si>
    <t>alternate timeline|same actor playing two characters simultaneously on screen|second part|year 2015|younger version of character</t>
  </si>
  <si>
    <t>Drag Me to HellÂ </t>
  </si>
  <si>
    <t>evil|fight|hell|psychic|psychologist</t>
  </si>
  <si>
    <t>Jay Levey</t>
  </si>
  <si>
    <t>Fran Drescher</t>
  </si>
  <si>
    <t>UHFÂ </t>
  </si>
  <si>
    <t>gambling|imagination|television|television station|tv show</t>
  </si>
  <si>
    <t>ThirteenÂ </t>
  </si>
  <si>
    <t>13 year olds|adolescence|friend|peer pressure|teacher</t>
  </si>
  <si>
    <t>Pitch Perfect 2Â </t>
  </si>
  <si>
    <t>2010s|a cappella|box office hit|second part|sequel</t>
  </si>
  <si>
    <t>Britney Spears</t>
  </si>
  <si>
    <t>CrossroadsÂ </t>
  </si>
  <si>
    <t>audition|friendship|graduation|high school graduation|love</t>
  </si>
  <si>
    <t>The Straight StoryÂ </t>
  </si>
  <si>
    <t>cane|iowa|lawn mower|tractor|wisconsin</t>
  </si>
  <si>
    <t>Adrian Lyne</t>
  </si>
  <si>
    <t>Michael Nouri</t>
  </si>
  <si>
    <t>FlashdanceÂ </t>
  </si>
  <si>
    <t>ballet school|dance|dancer|overalls|steel worker</t>
  </si>
  <si>
    <t>Lois Smith</t>
  </si>
  <si>
    <t>Dead Man WalkingÂ </t>
  </si>
  <si>
    <t>death|execution|nun|solitary confinement|visit</t>
  </si>
  <si>
    <t>Rob Paulsen</t>
  </si>
  <si>
    <t>BarnyardÂ </t>
  </si>
  <si>
    <t>cow|farmer|howl|howling at the moon|vegetarian</t>
  </si>
  <si>
    <t>InfamousÂ </t>
  </si>
  <si>
    <t>blood|book|cold calculation|murder|writer</t>
  </si>
  <si>
    <t>Hsiao-Hsien Hou</t>
  </si>
  <si>
    <t>Qi Shu</t>
  </si>
  <si>
    <t>The AssassinÂ </t>
  </si>
  <si>
    <t>black magic|china|love|refusal to kill|wuxia</t>
  </si>
  <si>
    <t>Barry Cook</t>
  </si>
  <si>
    <t>Charlie Rowe</t>
  </si>
  <si>
    <t>Walking with Dinosaurs 3DÂ </t>
  </si>
  <si>
    <t>brother|dinosaur|head butt|hero|orphan</t>
  </si>
  <si>
    <t>Can't Hardly WaitÂ </t>
  </si>
  <si>
    <t>graduation|high school|letter|nerd|party</t>
  </si>
  <si>
    <t>Brick MansionsÂ </t>
  </si>
  <si>
    <t>bare chested male bondage|crime lord|die hard scenario|two word title|undercover</t>
  </si>
  <si>
    <t>Adventure|Comedy|Mystery</t>
  </si>
  <si>
    <t>Antony Starr</t>
  </si>
  <si>
    <t>Without a PaddleÂ </t>
  </si>
  <si>
    <t>death|friend|hijacker|river|tree house</t>
  </si>
  <si>
    <t>The Texas Chain Saw MassacreÂ </t>
  </si>
  <si>
    <t>cannibal|chainsaw|hitchhiker|independent film|leatherface</t>
  </si>
  <si>
    <t>JarheadÂ </t>
  </si>
  <si>
    <t>american abroad|gulf war|u.s. military|u.s. soldier|usmc</t>
  </si>
  <si>
    <t>Jason Mewes</t>
  </si>
  <si>
    <t>ClerksÂ </t>
  </si>
  <si>
    <t>clerk|friend|hockey|video|video store</t>
  </si>
  <si>
    <t>John Crowley</t>
  </si>
  <si>
    <t>BrooklynÂ </t>
  </si>
  <si>
    <t>1950s|immigrant|irish|irish accent|torn between two worlds</t>
  </si>
  <si>
    <t>Fantasy|Horror|Sci-Fi</t>
  </si>
  <si>
    <t>Twilight Zone: The MovieÂ </t>
  </si>
  <si>
    <t>1940s|1960s|bar|kick the can|remake</t>
  </si>
  <si>
    <t>CluelessÂ </t>
  </si>
  <si>
    <t>female protagonist|high school|makeover|matchmaker|popularity</t>
  </si>
  <si>
    <t>Adventure|Crime|Drama|Mystery|Western</t>
  </si>
  <si>
    <t>Levon Helm</t>
  </si>
  <si>
    <t>Three BurialsÂ </t>
  </si>
  <si>
    <t>cemetery|friend|journey|mexico|promise</t>
  </si>
  <si>
    <t>Michael Sucsy</t>
  </si>
  <si>
    <t>The VowÂ </t>
  </si>
  <si>
    <t>car accident|life support|memory loss|trauma|voice recording</t>
  </si>
  <si>
    <t>The GreatestÂ </t>
  </si>
  <si>
    <t>car crash|loss|self help group|teenage mother|title directed by female</t>
  </si>
  <si>
    <t>Spy Kids 2: Island of Lost DreamsÂ </t>
  </si>
  <si>
    <t>island|mad scientist|scientist|sequel|spy</t>
  </si>
  <si>
    <t>Sterling Van Wagenen</t>
  </si>
  <si>
    <t>Emily Podleski</t>
  </si>
  <si>
    <t>The Work and the Glory II: American ZionÂ </t>
  </si>
  <si>
    <t>estrangement|missouri|mormon|mormon church|mormon temple</t>
  </si>
  <si>
    <t>SwingersÂ </t>
  </si>
  <si>
    <t>actor|black panties|cult film|friend|upskirt</t>
  </si>
  <si>
    <t>Brian Klugman</t>
  </si>
  <si>
    <t>The WordsÂ </t>
  </si>
  <si>
    <t>american in paris|book|love|novel|writer</t>
  </si>
  <si>
    <t>Caroline Link</t>
  </si>
  <si>
    <t>Merab Ninidze</t>
  </si>
  <si>
    <t>Nowhere in AfricaÂ </t>
  </si>
  <si>
    <t>breasts|farm|jew|kenya|tween girl</t>
  </si>
  <si>
    <t>Fatal AttractionÂ </t>
  </si>
  <si>
    <t>borderline personality disorder|killing a pet|madame butterfly|new york|new york city</t>
  </si>
  <si>
    <t>Rob Schmidt</t>
  </si>
  <si>
    <t>Wrong TurnÂ </t>
  </si>
  <si>
    <t>forest|mountain|road|stupid victim|west virginia</t>
  </si>
  <si>
    <t>The Last GodfatherÂ </t>
  </si>
  <si>
    <t>mafia|mafia boss|mafiosi|mafioso|three word title</t>
  </si>
  <si>
    <t>Max PayneÂ </t>
  </si>
  <si>
    <t>corporation|death|ex partner|hallucination|police detective</t>
  </si>
  <si>
    <t>It's ComplicatedÂ </t>
  </si>
  <si>
    <t>affair|divorce|graduation|vomiting|watching television</t>
  </si>
  <si>
    <t>Waking Ned DevineÂ </t>
  </si>
  <si>
    <t>dead body|death|lottery|small town|village</t>
  </si>
  <si>
    <t>The Legend of ZorroÂ </t>
  </si>
  <si>
    <t>california|fight|hero|mask|zorro</t>
  </si>
  <si>
    <t>Christian E. Christiansen</t>
  </si>
  <si>
    <t>The RoommateÂ </t>
  </si>
  <si>
    <t>animal abuse(non graphic)|cat killer|college|dead cat|death of cat</t>
  </si>
  <si>
    <t>The Family ManÂ </t>
  </si>
  <si>
    <t>bowling|christmas|parallel universe|salesman|unfaithfulness</t>
  </si>
  <si>
    <t>Hans Petter Moland</t>
  </si>
  <si>
    <t>AberdeenÂ </t>
  </si>
  <si>
    <t>death|ferry|lawyer|norway|vomiting</t>
  </si>
  <si>
    <t>Annie HallÂ </t>
  </si>
  <si>
    <t>breaking the fourth wall|comedian|jewish|neurosis|singer</t>
  </si>
  <si>
    <t>Deep RisingÂ </t>
  </si>
  <si>
    <t>creature feature|hijacker|ocean|ship|shot in the leg</t>
  </si>
  <si>
    <t>Animation|Drama|Family|Fantasy|Musical|Romance</t>
  </si>
  <si>
    <t>Corpse BrideÂ </t>
  </si>
  <si>
    <t>arranged marriage|bride|corpse|groom|woods</t>
  </si>
  <si>
    <t>KingpinÂ </t>
  </si>
  <si>
    <t>amish|bowling|on the road|rubber hand|tournament</t>
  </si>
  <si>
    <t>John Cameron Mitchell</t>
  </si>
  <si>
    <t>Rabbit HoleÂ </t>
  </si>
  <si>
    <t>car|comic book|comic book artist|iphone|memory</t>
  </si>
  <si>
    <t>Action|Comedy|Crime|Family</t>
  </si>
  <si>
    <t>See Spot RunÂ </t>
  </si>
  <si>
    <t>boy|fbi|mailman|van|witness protection</t>
  </si>
  <si>
    <t>Lili Taylor</t>
  </si>
  <si>
    <t>RansomÂ </t>
  </si>
  <si>
    <t>bounty|fbi|millionaire|money|ransom</t>
  </si>
  <si>
    <t>Timothy Hines</t>
  </si>
  <si>
    <t>10 Days in a MadhouseÂ </t>
  </si>
  <si>
    <t>OÂ </t>
  </si>
  <si>
    <t>basketball|basketball player|boarding school|love|shakespeare's othello</t>
  </si>
  <si>
    <t>Robert Towne</t>
  </si>
  <si>
    <t>Without LimitsÂ </t>
  </si>
  <si>
    <t>car crash|coach|death|oregon|university of oregon</t>
  </si>
  <si>
    <t>Superman ReturnsÂ </t>
  </si>
  <si>
    <t>crystal|epic|lex luthor|lois lane|return to earth</t>
  </si>
  <si>
    <t>Bernardo Bertolucci</t>
  </si>
  <si>
    <t>The Last EmperorÂ </t>
  </si>
  <si>
    <t>abdication|china|emperor|forbidden city|republic</t>
  </si>
  <si>
    <t>Gilles Paquet-Brenner</t>
  </si>
  <si>
    <t>Sarah's KeyÂ </t>
  </si>
  <si>
    <t>apartment|escape|jewish family|journalist|key</t>
  </si>
  <si>
    <t>Walt Becker</t>
  </si>
  <si>
    <t>Alvin and the Chipmunks: The Road ChipÂ </t>
  </si>
  <si>
    <t>chipmunk|highway travel|on the road|plane|road movie</t>
  </si>
  <si>
    <t>John Cothran</t>
  </si>
  <si>
    <t>Boyz n the HoodÂ </t>
  </si>
  <si>
    <t>drugs|escape|football|friend|violence</t>
  </si>
  <si>
    <t>Bruce AlmightyÂ </t>
  </si>
  <si>
    <t>answer to prayer|breast expansion|pleading with god|supernatural power|walking on water</t>
  </si>
  <si>
    <t>MilkÂ </t>
  </si>
  <si>
    <t>california|gay|gay activist|gay pickup|gay rights</t>
  </si>
  <si>
    <t>Adventure|Drama|Thriller|War</t>
  </si>
  <si>
    <t>JÃ¼rgen Prochnow</t>
  </si>
  <si>
    <t>Das BootÂ </t>
  </si>
  <si>
    <t>duty|submarine|submarine movie|tension|u boat</t>
  </si>
  <si>
    <t>West Germany</t>
  </si>
  <si>
    <t>Ryan O'Neal</t>
  </si>
  <si>
    <t>A Bridge Too FarÂ </t>
  </si>
  <si>
    <t>airborne troops|allies|operation market garden|panzer|paratrooper</t>
  </si>
  <si>
    <t>Paul Hunter</t>
  </si>
  <si>
    <t>Bulletproof MonkÂ </t>
  </si>
  <si>
    <t>monastery|monk|scroll|tibetan|tibetan monk</t>
  </si>
  <si>
    <t>The ExpressÂ </t>
  </si>
  <si>
    <t>african american|coach|football movie|nonlinear timeline|syracuse university</t>
  </si>
  <si>
    <t>Kevin Alejandro</t>
  </si>
  <si>
    <t>Strange WildernessÂ </t>
  </si>
  <si>
    <t>bigfoot|critically bashed|ecuador|friend|tv show</t>
  </si>
  <si>
    <t>Think Like a Man TooÂ </t>
  </si>
  <si>
    <t>african american|imperative in title|las vegas nevada|nevada|wedding</t>
  </si>
  <si>
    <t>Nacho Vigalondo</t>
  </si>
  <si>
    <t>Karra Elejalde</t>
  </si>
  <si>
    <t>TimecrimesÂ </t>
  </si>
  <si>
    <t>binoculars|hitchcockian|scissors|time machine|woods</t>
  </si>
  <si>
    <t>RobotsÂ </t>
  </si>
  <si>
    <t>actor voicing multiple characters|box office hit|coffee|plate|robot</t>
  </si>
  <si>
    <t>Dwight H. Little</t>
  </si>
  <si>
    <t>Halloween 4: The Return of Michael MyersÂ </t>
  </si>
  <si>
    <t>halloween|michael myers|murder|niece|october</t>
  </si>
  <si>
    <t>Meiert Avis</t>
  </si>
  <si>
    <t>UndiscoveredÂ </t>
  </si>
  <si>
    <t>bare chested male|box office flop|diner|german shepherd|one word title</t>
  </si>
  <si>
    <t>Around the World in 80 DaysÂ </t>
  </si>
  <si>
    <t>19th century|around the world|inventor|martial arts|train</t>
  </si>
  <si>
    <t>Jody Hill</t>
  </si>
  <si>
    <t>Collette Wolfe</t>
  </si>
  <si>
    <t>Observe and ReportÂ </t>
  </si>
  <si>
    <t>male pubic hair|mall|police detective|pubic hair|security guard</t>
  </si>
  <si>
    <t>Charles T. Kanganis</t>
  </si>
  <si>
    <t>3 Ninjas Kick BackÂ </t>
  </si>
  <si>
    <t>1990s|dagger|japan|mousetrap|stick fight</t>
  </si>
  <si>
    <t>Biography|Crime|Drama|Romance|Thriller</t>
  </si>
  <si>
    <t>Heavenly CreaturesÂ </t>
  </si>
  <si>
    <t>fantasy life|friend|friendship|love|teenage crush</t>
  </si>
  <si>
    <t>Scott Cohen</t>
  </si>
  <si>
    <t>Kissing Jessica SteinÂ </t>
  </si>
  <si>
    <t>friend|friendship|journalist|new york city|personal ad</t>
  </si>
  <si>
    <t>Chain ReactionÂ </t>
  </si>
  <si>
    <t>cold fusion|die hard scenario|man with glasses|on the run|outrunning explosion</t>
  </si>
  <si>
    <t>Mission: ImpossibleÂ </t>
  </si>
  <si>
    <t>disguise|mission|spy|stealing|traitor</t>
  </si>
  <si>
    <t>Christopher Masterson</t>
  </si>
  <si>
    <t>Cutthroat IslandÂ </t>
  </si>
  <si>
    <t>latin|pirate|pirate ship|treasure|treasure map</t>
  </si>
  <si>
    <t>Action|Adventure|Horror|Thriller</t>
  </si>
  <si>
    <t>AnacondaÂ </t>
  </si>
  <si>
    <t>amazon|anaconda|boat|jungle|snake</t>
  </si>
  <si>
    <t>Eric Valette</t>
  </si>
  <si>
    <t>Johnny Lewis</t>
  </si>
  <si>
    <t>One Missed CallÂ </t>
  </si>
  <si>
    <t>death|lifting someone into the air|telephone|telephone call|voice mail</t>
  </si>
  <si>
    <t>Zak Penn</t>
  </si>
  <si>
    <t>Adventure|Comedy|Horror</t>
  </si>
  <si>
    <t>Incident at Loch NessÂ </t>
  </si>
  <si>
    <t>boat|director|loch ness|loch ness monster|monster</t>
  </si>
  <si>
    <t>DickÂ </t>
  </si>
  <si>
    <t>political cover up|political satire|teenage girl|white house|witness</t>
  </si>
  <si>
    <t>Drama|History|Horror</t>
  </si>
  <si>
    <t>BelovedÂ </t>
  </si>
  <si>
    <t>farm|freedom|ohio|slavery|spirit</t>
  </si>
  <si>
    <t>Miguel Sapochnik</t>
  </si>
  <si>
    <t>Repo MenÂ </t>
  </si>
  <si>
    <t>artificial organ|best friend|enforcer|future|near future</t>
  </si>
  <si>
    <t>Peter Webber</t>
  </si>
  <si>
    <t>Hannibal RisingÂ </t>
  </si>
  <si>
    <t>aunt|cannibalism|faked death|medical student|revenge</t>
  </si>
  <si>
    <t>Tin CupÂ </t>
  </si>
  <si>
    <t>driving range|golf|golfer|tournament|winnebago</t>
  </si>
  <si>
    <t>Action|Adventure|Mystery|Sci-Fi</t>
  </si>
  <si>
    <t>Dylan Walsh</t>
  </si>
  <si>
    <t>CongoÂ </t>
  </si>
  <si>
    <t>captain|congo|expedition|laser|lost city</t>
  </si>
  <si>
    <t>Animation|Comedy|Family|Fantasy|Musical|Romance</t>
  </si>
  <si>
    <t>Jeff Bennett</t>
  </si>
  <si>
    <t>EnchantedÂ </t>
  </si>
  <si>
    <t>fairy tale|lawyer|love|new york|prince</t>
  </si>
  <si>
    <t>A Most Violent YearÂ </t>
  </si>
  <si>
    <t>american dream|immigrant|new york city|oil|violence</t>
  </si>
  <si>
    <t>Fever PitchÂ </t>
  </si>
  <si>
    <t>baltimore orioles|boston red sox|promotion|ups|world series</t>
  </si>
  <si>
    <t>Siddharth Anand</t>
  </si>
  <si>
    <t>Saif Ali Khan</t>
  </si>
  <si>
    <t>Ta Ra Rum PumÂ </t>
  </si>
  <si>
    <t>comeback|family relationships|marriage|new york|racer</t>
  </si>
  <si>
    <t>Tony Nappo</t>
  </si>
  <si>
    <t>Land of the DeadÂ </t>
  </si>
  <si>
    <t>apocalypse|mercenary|skyscraper|urban setting|zombie apocalypse</t>
  </si>
  <si>
    <t>Gabriel Millman</t>
  </si>
  <si>
    <t>The Emperor's ClubÂ </t>
  </si>
  <si>
    <t>classroom|fund raising|headmaster|reunion|roman</t>
  </si>
  <si>
    <t>X-Men: The Last StandÂ </t>
  </si>
  <si>
    <t>battle|mutant|outrage|walking through a wall|x men</t>
  </si>
  <si>
    <t>The Devil's OwnÂ </t>
  </si>
  <si>
    <t>friendship|murder|northern ireland|police officer|terrorist</t>
  </si>
  <si>
    <t>Just Like HeavenÂ </t>
  </si>
  <si>
    <t>apartment|architect|coma|doctor|spirit</t>
  </si>
  <si>
    <t>Just Go with ItÂ </t>
  </si>
  <si>
    <t>chick flick|hawaii|love|plastic surgeon|woman wearing a string bikini</t>
  </si>
  <si>
    <t>Office SpaceÂ </t>
  </si>
  <si>
    <t>boss|computer|downsizing|neighbor|office</t>
  </si>
  <si>
    <t>Craig Brewer</t>
  </si>
  <si>
    <t>Crime|Drama|Music</t>
  </si>
  <si>
    <t>Isaac Hayes</t>
  </si>
  <si>
    <t>Hustle &amp; FlowÂ </t>
  </si>
  <si>
    <t>baby|friend|hip hop|pimp|stripper</t>
  </si>
  <si>
    <t>Steve Gomer</t>
  </si>
  <si>
    <t>Trevor Morgan</t>
  </si>
  <si>
    <t>Barney's Great AdventureÂ </t>
  </si>
  <si>
    <t>apostrophe in title|critically bashed|hit on the head with a ball|punctuation in title|tyrannosaurus rex</t>
  </si>
  <si>
    <t>Mikael Salomon</t>
  </si>
  <si>
    <t>Hard RainÂ </t>
  </si>
  <si>
    <t>dam|flood|money|police|sheriff</t>
  </si>
  <si>
    <t>Pain &amp; GainÂ </t>
  </si>
  <si>
    <t>american dream|bodybuilder|money|punch into the camera|reference to julia roberts</t>
  </si>
  <si>
    <t>What a Girl WantsÂ </t>
  </si>
  <si>
    <t>american|daughter|england|father|politician</t>
  </si>
  <si>
    <t>Todd Field</t>
  </si>
  <si>
    <t>In the BedroomÂ </t>
  </si>
  <si>
    <t>doctor|maine|only son|school choir|summer</t>
  </si>
  <si>
    <t>Thir13en GhostsÂ </t>
  </si>
  <si>
    <t>collector|ghost|ghost hunter|glass house|machine</t>
  </si>
  <si>
    <t>Rudy Youngblood</t>
  </si>
  <si>
    <t>ApocalyptoÂ </t>
  </si>
  <si>
    <t>jaguar|mayan|solar eclipse|tribe|village</t>
  </si>
  <si>
    <t>Maya</t>
  </si>
  <si>
    <t>Dylan Baker</t>
  </si>
  <si>
    <t>How to DealÂ </t>
  </si>
  <si>
    <t>best friend|high school|mother|sister|wedding</t>
  </si>
  <si>
    <t>Li Zhang</t>
  </si>
  <si>
    <t>1911Â </t>
  </si>
  <si>
    <t>china|disarming someone|qing dynasty|stabbed with a bayonet|war violence</t>
  </si>
  <si>
    <t>Peter M. Cohen</t>
  </si>
  <si>
    <t>Callie Thorne</t>
  </si>
  <si>
    <t>WhippedÂ </t>
  </si>
  <si>
    <t>dating|diner|masturbation|urination|washington square manhattan new york city</t>
  </si>
  <si>
    <t>Kirk Wong</t>
  </si>
  <si>
    <t>The Big HitÂ </t>
  </si>
  <si>
    <t>hitman|kidnapping|kosher|vhs|video store</t>
  </si>
  <si>
    <t>Ricky Gervais</t>
  </si>
  <si>
    <t>The Invention of LyingÂ </t>
  </si>
  <si>
    <t>genetics|heaven|lie|screenwriter|truth</t>
  </si>
  <si>
    <t>Ari Graynor</t>
  </si>
  <si>
    <t>Nick and Norah's Infinite PlaylistÂ </t>
  </si>
  <si>
    <t>band|gay|gay friend|love|night</t>
  </si>
  <si>
    <t>SwimfanÂ </t>
  </si>
  <si>
    <t>high school|hospital|new jersey|stanford university|swimming</t>
  </si>
  <si>
    <t>Fantasy|Horror|Mystery|Romance</t>
  </si>
  <si>
    <t>The Mortal Instruments: City of BonesÂ </t>
  </si>
  <si>
    <t>battle|demon|magic|secret|warrior</t>
  </si>
  <si>
    <t>Chris Moss</t>
  </si>
  <si>
    <t>BeerfestÂ </t>
  </si>
  <si>
    <t>beer|competition|germany|oktoberfest|prostitute</t>
  </si>
  <si>
    <t>Ruby Dee</t>
  </si>
  <si>
    <t>Do the Right ThingÂ </t>
  </si>
  <si>
    <t>black militant|frustration|pizza|pizza parlor|pizzeria</t>
  </si>
  <si>
    <t>Yaphet Kotto</t>
  </si>
  <si>
    <t>Live and Let DieÂ </t>
  </si>
  <si>
    <t>british|cards|heroin|murder|tarot card</t>
  </si>
  <si>
    <t>Leopold Stokowski</t>
  </si>
  <si>
    <t>FantasiaÂ </t>
  </si>
  <si>
    <t>apprentice|classical music|disney|mouse|orchestra</t>
  </si>
  <si>
    <t>Fernando LeÃ³n de Aranoa</t>
  </si>
  <si>
    <t>Luis Tosar</t>
  </si>
  <si>
    <t>Mondays in the SunÂ </t>
  </si>
  <si>
    <t>australia|bar|shipyard|siamese twins|tuna</t>
  </si>
  <si>
    <t>Chris Eyre</t>
  </si>
  <si>
    <t>Michael Greyeyes</t>
  </si>
  <si>
    <t>Smoke SignalsÂ </t>
  </si>
  <si>
    <t>family abandonment|fire|loss of father|native american protagonist|native american reservation</t>
  </si>
  <si>
    <t>An EducationÂ </t>
  </si>
  <si>
    <t>1960s|age difference|france|loss of virginity|oxford</t>
  </si>
  <si>
    <t>OldboyÂ </t>
  </si>
  <si>
    <t>brother sister relationship|hypnosis|imprisonment|love|revenge</t>
  </si>
  <si>
    <t>ExtractÂ </t>
  </si>
  <si>
    <t>freak accident|gigolo|hit in the crotch|nosy neighbor|on the job injury</t>
  </si>
  <si>
    <t>PiÂ </t>
  </si>
  <si>
    <t>mathematician|nature|numbers|pattern|using a metal detector on a beach</t>
  </si>
  <si>
    <t>Mustafa Haidari</t>
  </si>
  <si>
    <t>The Kite RunnerÂ </t>
  </si>
  <si>
    <t>afghanistan|based on novel|boy|friend|kite</t>
  </si>
  <si>
    <t>Star Trek III: The Search for SpockÂ </t>
  </si>
  <si>
    <t>dying planet|planet|regaining one's memory|sacrifice|stabbed to death</t>
  </si>
  <si>
    <t>Your HighnessÂ </t>
  </si>
  <si>
    <t>knight|prince|quest|rescue|thong bikini</t>
  </si>
  <si>
    <t>Jonathan Newman</t>
  </si>
  <si>
    <t>The Adventurer: The Curse of the Midas BoxÂ </t>
  </si>
  <si>
    <t>based on novel|drowning|hanging from a flagpole|hanging from a rope|magic</t>
  </si>
  <si>
    <t>Wag the DogÂ </t>
  </si>
  <si>
    <t>death|election|hollywood|president|scandal</t>
  </si>
  <si>
    <t>SeabiscuitÂ </t>
  </si>
  <si>
    <t>horse|horse racing|jockey|limp|seabiscuit</t>
  </si>
  <si>
    <t>Star Trek: The Motion PictureÂ </t>
  </si>
  <si>
    <t>alien|space|space station|spacecraft|warp speed</t>
  </si>
  <si>
    <t>Jason Moore</t>
  </si>
  <si>
    <t>Pitch PerfectÂ </t>
  </si>
  <si>
    <t>a cappella|competition|dj|female protagonist|lesbian</t>
  </si>
  <si>
    <t>Rob Hedden</t>
  </si>
  <si>
    <t>Friday the 13th Part VIII: Jason Takes ManhattanÂ </t>
  </si>
  <si>
    <t>cult film|friday the thirteenth|hockey mask|jason voorhees|murder spree</t>
  </si>
  <si>
    <t>James Fargo</t>
  </si>
  <si>
    <t>CaravansÂ </t>
  </si>
  <si>
    <t>afghanistan|caravan|rebel|russian|tribe</t>
  </si>
  <si>
    <t>Blue ValentineÂ </t>
  </si>
  <si>
    <t>dog hit by a car|dysfunctional family|falling in love|female in shower|unhappily married woman</t>
  </si>
  <si>
    <t>Action|Comedy|Crime|Music</t>
  </si>
  <si>
    <t>The Blues BrothersÂ </t>
  </si>
  <si>
    <t>band|catholic|money|parolee|prison</t>
  </si>
  <si>
    <t>Self/lessÂ </t>
  </si>
  <si>
    <t>cancer|elderly man|funeral|medical|transhumanism</t>
  </si>
  <si>
    <t>Jeb Stuart</t>
  </si>
  <si>
    <t>Gregory Scott Cummins</t>
  </si>
  <si>
    <t>SwitchbackÂ </t>
  </si>
  <si>
    <t>deputy|fbi agent|knife held to throat|serial killer|sheriff</t>
  </si>
  <si>
    <t>Stuart Little 2Â </t>
  </si>
  <si>
    <t>anthropomorphic mouse|falcon|marshmallow|second part|soccer</t>
  </si>
  <si>
    <t>DriveÂ </t>
  </si>
  <si>
    <t>kissing in an elevator|mythical hero|neo noir|protective male|silent protagonist</t>
  </si>
  <si>
    <t>JirÃ­ Menzel</t>
  </si>
  <si>
    <t>Comedy|Drama|Romance|War</t>
  </si>
  <si>
    <t>Julia Jentsch</t>
  </si>
  <si>
    <t>I Served the King of EnglandÂ </t>
  </si>
  <si>
    <t>hotel|legs|lingerie|waiter|wealth</t>
  </si>
  <si>
    <t>Czech</t>
  </si>
  <si>
    <t>Brenda Fricker</t>
  </si>
  <si>
    <t>Veronica GuerinÂ </t>
  </si>
  <si>
    <t>criminal|drug lord|gunshot|irish|journalist</t>
  </si>
  <si>
    <t>AladdinÂ </t>
  </si>
  <si>
    <t>arab|genie|magic|princess|reference to a thousand and one nights</t>
  </si>
  <si>
    <t>ArmoredÂ </t>
  </si>
  <si>
    <t>armored truck|blood splatter|die hard scenario|guard|heist</t>
  </si>
  <si>
    <t>GÃ©rard Krawczyk</t>
  </si>
  <si>
    <t>Carole Bouquet</t>
  </si>
  <si>
    <t>WasabiÂ </t>
  </si>
  <si>
    <t>french|inheritance|japan|letter|police detective hero</t>
  </si>
  <si>
    <t>Fantasy|Romance</t>
  </si>
  <si>
    <t>Edward ScissorhandsÂ </t>
  </si>
  <si>
    <t>creation|inventor|magical realism|scissors|suburb</t>
  </si>
  <si>
    <t>The PostmanÂ </t>
  </si>
  <si>
    <t>drifter|escape|hope|postman|usa</t>
  </si>
  <si>
    <t>Blair Hayes</t>
  </si>
  <si>
    <t>Adventure|Comedy|Romance|Sci-Fi</t>
  </si>
  <si>
    <t>Bubble BoyÂ </t>
  </si>
  <si>
    <t>cigarette smoking|hand on butt|niagara falls|plastic bubble|wedding</t>
  </si>
  <si>
    <t>Mr. &amp; Mrs. SmithÂ </t>
  </si>
  <si>
    <t>assassin|marriage|secret agent|suburb|target</t>
  </si>
  <si>
    <t>Michael Spierig</t>
  </si>
  <si>
    <t>Jay Laga'aia</t>
  </si>
  <si>
    <t>DaybreakersÂ </t>
  </si>
  <si>
    <t>blood|rationing|vampire|vampire society|year 2019</t>
  </si>
  <si>
    <t>Fritz Lang</t>
  </si>
  <si>
    <t>Brigitte Helm</t>
  </si>
  <si>
    <t>MetropolisÂ </t>
  </si>
  <si>
    <t>art deco|bible quote|dance|silent film|worker</t>
  </si>
  <si>
    <t>J.A. Bayona</t>
  </si>
  <si>
    <t>Geraldine Chaplin</t>
  </si>
  <si>
    <t>The OrphanageÂ </t>
  </si>
  <si>
    <t>dead children|ghost|missing child|orphan|orphanage</t>
  </si>
  <si>
    <t>The Day After TomorrowÂ </t>
  </si>
  <si>
    <t>climate|end of the world|global warming|natural disaster|weather</t>
  </si>
  <si>
    <t>R.J. Cutler</t>
  </si>
  <si>
    <t>Drama|Fantasy|Music|Romance</t>
  </si>
  <si>
    <t>If I StayÂ </t>
  </si>
  <si>
    <t>car accident|coma|out of body experience|reference to the exploited|teenage girl</t>
  </si>
  <si>
    <t>Stephen Chow</t>
  </si>
  <si>
    <t>Wei Zhao</t>
  </si>
  <si>
    <t>Shaolin SoccerÂ </t>
  </si>
  <si>
    <t>cult film|kung fu|martial arts|shaolin|soccer</t>
  </si>
  <si>
    <t>G.I. Joe: The Rise of CobraÂ </t>
  </si>
  <si>
    <t>cobra|gi joe|snake|train|warhead</t>
  </si>
  <si>
    <t>Danny Strong</t>
  </si>
  <si>
    <t>Sydney WhiteÂ </t>
  </si>
  <si>
    <t>college|college girl|female protagonist|sorority|sorority house</t>
  </si>
  <si>
    <t>The Last Time I Committed SuicideÂ </t>
  </si>
  <si>
    <t>1940s|female bare foot|picket fence|tire|vomiting</t>
  </si>
  <si>
    <t>Asghar Farhadi</t>
  </si>
  <si>
    <t>Shahab Hosseini</t>
  </si>
  <si>
    <t>A SeparationÂ </t>
  </si>
  <si>
    <t>alzheimer's disease|caregiver|divorce|iran|iranian</t>
  </si>
  <si>
    <t>Vampires SuckÂ </t>
  </si>
  <si>
    <t>cat|friend|love|sheriff|teenager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</si>
  <si>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</si>
  <si>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</si>
  <si>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</si>
  <si>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</si>
  <si>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Monsters vs. AliensÂ </t>
  </si>
  <si>
    <t>alien|alien invasion|alien space craft|giant|giantess</t>
  </si>
  <si>
    <t>Debbie Reynolds</t>
  </si>
  <si>
    <t>Connie and CarlaÂ </t>
  </si>
  <si>
    <t>box office flop|drag queen|gender disguise|mafia|witness</t>
  </si>
  <si>
    <t>Sullivan Stapleton</t>
  </si>
  <si>
    <t>Darkness FallsÂ </t>
  </si>
  <si>
    <t>boy|darkness|light|tooth|tooth fairy</t>
  </si>
  <si>
    <t>Paul Gross</t>
  </si>
  <si>
    <t>Molly Parker</t>
  </si>
  <si>
    <t>Men with BroomsÂ </t>
  </si>
  <si>
    <t>championship|coach|curling|marriage|rural setting</t>
  </si>
  <si>
    <t>Never Let Me GoÂ </t>
  </si>
  <si>
    <t>boarding school|childhood|love|love triangle|organ donation</t>
  </si>
  <si>
    <t>AVP: Alien vs. PredatorÂ </t>
  </si>
  <si>
    <t>alien|antarctica|predator|pyramid|satellite</t>
  </si>
  <si>
    <t>Jane Campion</t>
  </si>
  <si>
    <t>Bright StarÂ </t>
  </si>
  <si>
    <t>19th century|friend|john keats|passion|poet</t>
  </si>
  <si>
    <t>28 DaysÂ </t>
  </si>
  <si>
    <t>12 step program|box office hit|car accident|vomiting|wedding</t>
  </si>
  <si>
    <t>Jennifer's BodyÂ </t>
  </si>
  <si>
    <t>cannibalism|cheerleader|condom|hook for hand|satanic ritual</t>
  </si>
  <si>
    <t>Scooby-DooÂ </t>
  </si>
  <si>
    <t>amusement park|island|motorcycle|scooby doo|tough girl</t>
  </si>
  <si>
    <t>Peter Lepeniotis</t>
  </si>
  <si>
    <t>The Nut JobÂ </t>
  </si>
  <si>
    <t>bank robbery|heist|raccoon|rat|squirrel</t>
  </si>
  <si>
    <t>Doona Bae</t>
  </si>
  <si>
    <t>daughter|han river|monster|river|seoul</t>
  </si>
  <si>
    <t>The WolfmanÂ </t>
  </si>
  <si>
    <t>asylum|death|full moon|transformation|werewolf</t>
  </si>
  <si>
    <t>CarsÂ </t>
  </si>
  <si>
    <t>car|desert|route 66|tow truck|truck</t>
  </si>
  <si>
    <t>Blade IIÂ </t>
  </si>
  <si>
    <t>blade the character|cult film|mutation|vampire|warrior</t>
  </si>
  <si>
    <t>Don Siegel</t>
  </si>
  <si>
    <t>Escape from AlcatrazÂ </t>
  </si>
  <si>
    <t>alcatraz|escape|inmate|island|prison</t>
  </si>
  <si>
    <t>Tom McGrath</t>
  </si>
  <si>
    <t>MegamindÂ </t>
  </si>
  <si>
    <t>battle|city|planet|prison|superhero</t>
  </si>
  <si>
    <t>Travis Cluff</t>
  </si>
  <si>
    <t>Pfeifer Brown</t>
  </si>
  <si>
    <t>The GallowsÂ </t>
  </si>
  <si>
    <t>breaking and entering|gallows|hanging|high school|stage</t>
  </si>
  <si>
    <t>Jennifer Flackett</t>
  </si>
  <si>
    <t>Nim's IslandÂ </t>
  </si>
  <si>
    <t>author|girl|island|reading|scientist</t>
  </si>
  <si>
    <t>Hanno PÃ¶schl</t>
  </si>
  <si>
    <t>Before SunriseÂ </t>
  </si>
  <si>
    <t>american|conversations|kiss|love|train</t>
  </si>
  <si>
    <t>Biography|Comedy|Drama|Romance</t>
  </si>
  <si>
    <t>Patch AdamsÂ </t>
  </si>
  <si>
    <t>doctor|hospital|mental institution|nurse|student</t>
  </si>
  <si>
    <t>Matt Piedmont</t>
  </si>
  <si>
    <t>Casa de mi PadreÂ </t>
  </si>
  <si>
    <t>absurd humor|drug lord|mexico|ranch|spaghetti western</t>
  </si>
  <si>
    <t>ExoticaÂ </t>
  </si>
  <si>
    <t>bird|cult film|egg|nightclub|toronto</t>
  </si>
  <si>
    <t>Geoffrey Arend</t>
  </si>
  <si>
    <t>Super TroopersÂ </t>
  </si>
  <si>
    <t>drugs|highway|police|state trooper|vermont</t>
  </si>
  <si>
    <t>You Kill MeÂ </t>
  </si>
  <si>
    <t>alcoholic|buffalo new york|claim in title|embalming|mortuary</t>
  </si>
  <si>
    <t>Nicholas Gonzalez</t>
  </si>
  <si>
    <t>Anacondas: The Hunt for the Blood OrchidÂ </t>
  </si>
  <si>
    <t>anaconda|blood|borneo|flower|orchid</t>
  </si>
  <si>
    <t>Titan A.E.Â </t>
  </si>
  <si>
    <t>alien|captain|escape|pilot|scientist</t>
  </si>
  <si>
    <t>The Best Man HolidayÂ </t>
  </si>
  <si>
    <t>childbirth|christmas|gay slur|infidelity|punched in the nose</t>
  </si>
  <si>
    <t>King Vidor</t>
  </si>
  <si>
    <t>Duel in the SunÂ </t>
  </si>
  <si>
    <t>box office hit|half breed|infidelity|shooting|texas</t>
  </si>
  <si>
    <t>Sharon Maguire</t>
  </si>
  <si>
    <t>Bridget Jones's DiaryÂ </t>
  </si>
  <si>
    <t>american actress playing british character|book publishing|calorie counting|employer employee relationship|rabbit costume</t>
  </si>
  <si>
    <t>Back to the FutureÂ </t>
  </si>
  <si>
    <t>clock tower|delorean|future|time travel|time travel comedy</t>
  </si>
  <si>
    <t>Nicholas Fackler</t>
  </si>
  <si>
    <t>Lovely, StillÂ </t>
  </si>
  <si>
    <t>christmas|fable|old man</t>
  </si>
  <si>
    <t>Paul Tibbitt</t>
  </si>
  <si>
    <t>Tim Conway</t>
  </si>
  <si>
    <t>The SpongeBob Movie: Sponge Out of WaterÂ </t>
  </si>
  <si>
    <t>book|magic|pirate|plankton|time machine</t>
  </si>
  <si>
    <t>Don Mancini</t>
  </si>
  <si>
    <t>Seed of ChuckyÂ </t>
  </si>
  <si>
    <t>actress|killer doll|murder|vixen|vomiting</t>
  </si>
  <si>
    <t>Romania</t>
  </si>
  <si>
    <t>Showdown in Little TokyoÂ </t>
  </si>
  <si>
    <t>bare chested male|detective|electric torture|japanese american|yakuza</t>
  </si>
  <si>
    <t>Star Trek: InsurrectionÂ </t>
  </si>
  <si>
    <t>alien|captain|commander|conspiracy|planet</t>
  </si>
  <si>
    <t>Denis O'Hare</t>
  </si>
  <si>
    <t>DerailedÂ </t>
  </si>
  <si>
    <t>drink|hotel|police|staged rape|thief</t>
  </si>
  <si>
    <t>John Lafia</t>
  </si>
  <si>
    <t>Jenny Agutter</t>
  </si>
  <si>
    <t>Child's Play 2Â </t>
  </si>
  <si>
    <t>boy|doll|foster home|killer doll|serial killer</t>
  </si>
  <si>
    <t>The PrestigeÂ </t>
  </si>
  <si>
    <t>illusion|magician|obsession|rivalry|secret</t>
  </si>
  <si>
    <t>The RundownÂ </t>
  </si>
  <si>
    <t>amazon|bounty hunter|fight|hunter|jungle</t>
  </si>
  <si>
    <t>Susan Seidelman</t>
  </si>
  <si>
    <t>Dyan Cannon</t>
  </si>
  <si>
    <t>Boynton Beach ClubÂ </t>
  </si>
  <si>
    <t>title spoken by character</t>
  </si>
  <si>
    <t>Machine Gun PreacherÂ </t>
  </si>
  <si>
    <t>africa|biker|church|orphanage|preacher</t>
  </si>
  <si>
    <t>Comedy|Family|Sport</t>
  </si>
  <si>
    <t>The Game PlanÂ </t>
  </si>
  <si>
    <t>family relationships|football movie|publicist|sports team|tween girl</t>
  </si>
  <si>
    <t>xXxÂ </t>
  </si>
  <si>
    <t>agent|nsa|nsa agent|prague|russian</t>
  </si>
  <si>
    <t>Juan Carlos Fresnadillo</t>
  </si>
  <si>
    <t>28 Weeks LaterÂ </t>
  </si>
  <si>
    <t>paris france|rage|sniper|u.s. army|zombie apocalypse</t>
  </si>
  <si>
    <t>Scott Mechlowicz</t>
  </si>
  <si>
    <t>Peaceful WarriorÂ </t>
  </si>
  <si>
    <t>college|college athlete|comeback|gymnast|olympics</t>
  </si>
  <si>
    <t>David Schwimmer</t>
  </si>
  <si>
    <t>Noah Emmerich</t>
  </si>
  <si>
    <t>TrustÂ </t>
  </si>
  <si>
    <t>counselor|fbi|revenge motive|school|teenage girl</t>
  </si>
  <si>
    <t>Cop LandÂ </t>
  </si>
  <si>
    <t>corruption|faked death|falling off a roof|internal affairs|nypd</t>
  </si>
  <si>
    <t>Tropic ThunderÂ </t>
  </si>
  <si>
    <t>film director|parody|spoof|vietnam|written and directed by cast member</t>
  </si>
  <si>
    <t>Home Alone 2: Lost in New YorkÂ </t>
  </si>
  <si>
    <t>airport|christmas|florida|new york city|toy store</t>
  </si>
  <si>
    <t>Blazing SaddlesÂ </t>
  </si>
  <si>
    <t>railroad|reference to douglas fairbanks|reference to jesse owens|reference to randolph scott|year 1874</t>
  </si>
  <si>
    <t>Action|Adventure|Comedy|Family|Fantasy|Mystery|Sci-Fi</t>
  </si>
  <si>
    <t>Men in Black IIÂ </t>
  </si>
  <si>
    <t>alien|lingerie|lingerie model|m.i.b.|pug</t>
  </si>
  <si>
    <t>Message in a BottleÂ </t>
  </si>
  <si>
    <t>beach|bottle|jogging|letter|love</t>
  </si>
  <si>
    <t>David Palmer</t>
  </si>
  <si>
    <t>Hit and RunÂ </t>
  </si>
  <si>
    <t>gay cop|getaway driver|masturbation|penis|witness protection</t>
  </si>
  <si>
    <t>SunshineÂ </t>
  </si>
  <si>
    <t>astronaut|earth|future|icarus|sun</t>
  </si>
  <si>
    <t>Saw VIÂ </t>
  </si>
  <si>
    <t>deception|flash photography|game of death|jigsaw|pig mask</t>
  </si>
  <si>
    <t>Antony Hoffman</t>
  </si>
  <si>
    <t>Bob Neill</t>
  </si>
  <si>
    <t>Red PlanetÂ </t>
  </si>
  <si>
    <t>astronaut|mars|robot|robot as menace|survival</t>
  </si>
  <si>
    <t>Tzi Ma</t>
  </si>
  <si>
    <t>Rush Hour 3Â </t>
  </si>
  <si>
    <t>ambassador|assassination|chinese|french|triad</t>
  </si>
  <si>
    <t>Ride Along 2Â </t>
  </si>
  <si>
    <t>computer hacker|crime boss|detective|drugs|wedding</t>
  </si>
  <si>
    <t>Action|Adventure|Animation|Family</t>
  </si>
  <si>
    <t>The IncrediblesÂ </t>
  </si>
  <si>
    <t>hero|island|lawsuit|secret|superhero</t>
  </si>
  <si>
    <t>Maribel VerdÃº</t>
  </si>
  <si>
    <t>Y Tu MamÃ¡ TambiÃ©nÂ </t>
  </si>
  <si>
    <t>beach|cleaning a swimming pool|male male kiss|mexico|on the road</t>
  </si>
  <si>
    <t>After EarthÂ </t>
  </si>
  <si>
    <t>box office flop|father son team|fear|race against time|real life father and son playing father and son</t>
  </si>
  <si>
    <t>Harvey Fierstein</t>
  </si>
  <si>
    <t>Safe MenÂ </t>
  </si>
  <si>
    <t>gangster|organized crime|robbery|rosh hashanah|safecracking</t>
  </si>
  <si>
    <t>Adventure|Sci-Fi</t>
  </si>
  <si>
    <t>The Hunger Games: Mockingjay - Part 2Â </t>
  </si>
  <si>
    <t>death of sister|dystopia|execution|rebellion|revolution</t>
  </si>
  <si>
    <t>Divine Secrets of the Ya-Ya SisterhoodÂ </t>
  </si>
  <si>
    <t>flashback|interview|louisiana|playwright|secret society</t>
  </si>
  <si>
    <t>Michael Stuhlbarg</t>
  </si>
  <si>
    <t>A Serious ManÂ </t>
  </si>
  <si>
    <t>bar mitzvah|jewish|marital breakup|nose job|rabbi</t>
  </si>
  <si>
    <t>Family|Music|Romance</t>
  </si>
  <si>
    <t>Oliver James</t>
  </si>
  <si>
    <t>Raise Your VoiceÂ </t>
  </si>
  <si>
    <t>music school|scholarship|small town|stage fright|three word title</t>
  </si>
  <si>
    <t>Menno Meyjes</t>
  </si>
  <si>
    <t>Martian ChildÂ </t>
  </si>
  <si>
    <t>adopted son|adoption|boy|mars the planet|widower</t>
  </si>
  <si>
    <t>AnnabelleÂ </t>
  </si>
  <si>
    <t>horror movie prequel|murder|paranormal activity|self sacrifice|suicide</t>
  </si>
  <si>
    <t>Julie Christie</t>
  </si>
  <si>
    <t>HamletÂ </t>
  </si>
  <si>
    <t>classic literature|denmark|funeral|madness|prince</t>
  </si>
  <si>
    <t>Yaya DaCosta</t>
  </si>
  <si>
    <t>And So It GoesÂ </t>
  </si>
  <si>
    <t>four word title|grandparent grandchild relationship|reference to facebook|reference to the internet|singer</t>
  </si>
  <si>
    <t>Changing LanesÂ </t>
  </si>
  <si>
    <t>car accident|feud|lawyer|revenge|road rage</t>
  </si>
  <si>
    <t>Anthony Bell</t>
  </si>
  <si>
    <t>Kevin Sussman</t>
  </si>
  <si>
    <t>Alpha and OmegaÂ </t>
  </si>
  <si>
    <t>arranged marriage|geese|idaho|national park|park</t>
  </si>
  <si>
    <t>Christopher Leitch</t>
  </si>
  <si>
    <t>John Astin</t>
  </si>
  <si>
    <t>Teen Wolf TooÂ </t>
  </si>
  <si>
    <t>falling in love|glowing eyes|insult|teenager|three word title</t>
  </si>
  <si>
    <t>Ira Sachs</t>
  </si>
  <si>
    <t>David Richmond-Peck</t>
  </si>
  <si>
    <t>Married LifeÂ </t>
  </si>
  <si>
    <t>bachelor|best friend|divorce|poison|widow</t>
  </si>
  <si>
    <t>Lenny Abrahamson</t>
  </si>
  <si>
    <t>RoomÂ </t>
  </si>
  <si>
    <t>based on novel|escape|imprisonment|kidnapping|mother son relationship</t>
  </si>
  <si>
    <t>QuillsÂ </t>
  </si>
  <si>
    <t>asylum|lust|male pubic hair|penis|pubic hair</t>
  </si>
  <si>
    <t>Drake Doremus</t>
  </si>
  <si>
    <t>Like CrazyÂ </t>
  </si>
  <si>
    <t>girlfriend|immigration|long distance relationship|parents|student visa</t>
  </si>
  <si>
    <t>Jorge Blanco</t>
  </si>
  <si>
    <t>Planet 51Â </t>
  </si>
  <si>
    <t>alien|alien planet|astronaut|planet|teenager</t>
  </si>
  <si>
    <t>The Last Temptation of ChristÂ </t>
  </si>
  <si>
    <t>carpenter|exorcism|faith|reference to jesus christ|temptation</t>
  </si>
  <si>
    <t>The IcemanÂ </t>
  </si>
  <si>
    <t>based on true story|contract killer|crime family|murder of a girl|serial murderer</t>
  </si>
  <si>
    <t>Escape from L.A.Â </t>
  </si>
  <si>
    <t>escape|island|los angeles california|machismo|president's daughter</t>
  </si>
  <si>
    <t>Samaire Armstrong</t>
  </si>
  <si>
    <t>Just My LuckÂ </t>
  </si>
  <si>
    <t>bad luck|band|kiss|luck|masquerade</t>
  </si>
  <si>
    <t>Brian Lee Franklin</t>
  </si>
  <si>
    <t>AmigoÂ </t>
  </si>
  <si>
    <t>american|filipino|friendship|guerrilla army|village</t>
  </si>
  <si>
    <t>Isn't She GreatÂ </t>
  </si>
  <si>
    <t>autistic son|cancer|female protagonist|new york city|son</t>
  </si>
  <si>
    <t>Penelope Spheeris</t>
  </si>
  <si>
    <t>Wayne's WorldÂ </t>
  </si>
  <si>
    <t>basement|lead actor's first film|long hair|public access|title directed by female</t>
  </si>
  <si>
    <t>Drama|Fantasy|Horror|Mystery</t>
  </si>
  <si>
    <t>Let Me InÂ </t>
  </si>
  <si>
    <t>blood|boy|night|school|vampire</t>
  </si>
  <si>
    <t>The R.M.Â </t>
  </si>
  <si>
    <t>latter day saints|missionary|pickup truck|police|video camera</t>
  </si>
  <si>
    <t>Todd Strauss-Schulson</t>
  </si>
  <si>
    <t>A Very Harold &amp; Kumar 3D ChristmasÂ </t>
  </si>
  <si>
    <t>christmas|christmas tree|fire|new york city|stoner</t>
  </si>
  <si>
    <t>Sarah Carter</t>
  </si>
  <si>
    <t>Final Destination 2Â </t>
  </si>
  <si>
    <t>car accident|death|freak accident|hospital|premonition</t>
  </si>
  <si>
    <t>Cecil B. DeMille</t>
  </si>
  <si>
    <t>Gloria Grahame</t>
  </si>
  <si>
    <t>The Greatest Show on EarthÂ </t>
  </si>
  <si>
    <t>circus|clown|elephant trainer|trapeze|trapeze artist</t>
  </si>
  <si>
    <t>American GraffitiÂ </t>
  </si>
  <si>
    <t>california|car|drag racing|high school|rock 'n' roll</t>
  </si>
  <si>
    <t>Source CodeÂ </t>
  </si>
  <si>
    <t>bomber|time|time loop|train|trapped in a time loop</t>
  </si>
  <si>
    <t>Bullets Over BroadwayÂ </t>
  </si>
  <si>
    <t>actress|bodyguard|new york city|play|playwright</t>
  </si>
  <si>
    <t>Paul King</t>
  </si>
  <si>
    <t>PaddingtonÂ </t>
  </si>
  <si>
    <t>bear|ear wax cleaning|fake newsreel|paddington station london|taxidermist</t>
  </si>
  <si>
    <t>Ole Christian Madsen</t>
  </si>
  <si>
    <t>Lars Mikkelsen</t>
  </si>
  <si>
    <t>Flame and CitronÂ </t>
  </si>
  <si>
    <t>danish|double agent|nazi|nazi occupation|resistance</t>
  </si>
  <si>
    <t>Sierra McCormick</t>
  </si>
  <si>
    <t>Ramona and BeezusÂ </t>
  </si>
  <si>
    <t>aunt|cat|death of pet|girl|no opening credits</t>
  </si>
  <si>
    <t>Bad Boys IIÂ </t>
  </si>
  <si>
    <t>cuba|dea|drugs|money|undercover</t>
  </si>
  <si>
    <t>Doctor ZhivagoÂ </t>
  </si>
  <si>
    <t>bolshevik|poet|poetry|russia|russian revolution</t>
  </si>
  <si>
    <t>Comedy|Drama|Music|War</t>
  </si>
  <si>
    <t>Mrs Henderson PresentsÂ </t>
  </si>
  <si>
    <t>anti semitism|breasts|chamberlain|friend|theatre</t>
  </si>
  <si>
    <t>Teddy Chan</t>
  </si>
  <si>
    <t>Siu-Wong Fan</t>
  </si>
  <si>
    <t>Kung Fu KillerÂ </t>
  </si>
  <si>
    <t>fight|kung fu|martial arts|police|wire fu</t>
  </si>
  <si>
    <t>Very Bad ThingsÂ </t>
  </si>
  <si>
    <t>bachelor party|breasts|friend|prostitute|wedding</t>
  </si>
  <si>
    <t>White NoiseÂ </t>
  </si>
  <si>
    <t>architect|grave|obsession|river|voice</t>
  </si>
  <si>
    <t>Action|Crime|Drama|Thriller|War</t>
  </si>
  <si>
    <t>Miracle at St. AnnaÂ </t>
  </si>
  <si>
    <t>boy|german soldier|partisan|trapped|village</t>
  </si>
  <si>
    <t>Miss Congeniality 2: Armed and FabulousÂ </t>
  </si>
  <si>
    <t>bodyguard|fbi|fbi agent|female protagonist|undercover</t>
  </si>
  <si>
    <t>The Grudge 2Â </t>
  </si>
  <si>
    <t>curse|ghost|haunted house|high school|schoolgirl</t>
  </si>
  <si>
    <t>AntzÂ </t>
  </si>
  <si>
    <t>ant|friend|princess|soldier|worker</t>
  </si>
  <si>
    <t>Harry Beaumont</t>
  </si>
  <si>
    <t>Anita Page</t>
  </si>
  <si>
    <t>The Broadway MelodyÂ </t>
  </si>
  <si>
    <t>sibling rivalry|singer|sister act|whistling|wisecrack humor</t>
  </si>
  <si>
    <t>ValkyrieÂ </t>
  </si>
  <si>
    <t>american actor playing foreigner|assassination|conspiracy|military|nazis</t>
  </si>
  <si>
    <t>Tamara Jenkins</t>
  </si>
  <si>
    <t>Slums of Beverly HillsÂ </t>
  </si>
  <si>
    <t>flatulence|menstrual blood|nomad|nursing school|title directed by female</t>
  </si>
  <si>
    <t>Big Momma's House 2Â </t>
  </si>
  <si>
    <t>cheerleading|fbi|fbi agent|nanny|undercover</t>
  </si>
  <si>
    <t>The Life of David GaleÂ </t>
  </si>
  <si>
    <t>activist|death|death row|murder|texas</t>
  </si>
  <si>
    <t>Suraj Sharma</t>
  </si>
  <si>
    <t>Life of PiÂ </t>
  </si>
  <si>
    <t>animal|faith|india|journey|tiger</t>
  </si>
  <si>
    <t>Ryan Murphy</t>
  </si>
  <si>
    <t>Eat Pray LoveÂ </t>
  </si>
  <si>
    <t>divorce|emotional balance|female protagonist|indonesia|inner peace</t>
  </si>
  <si>
    <t>The CellÂ </t>
  </si>
  <si>
    <t>coma|fbi|race against time|serial killer|strong female lead</t>
  </si>
  <si>
    <t>Monsters, Inc.Â </t>
  </si>
  <si>
    <t>friend|little girl|monster|rival|scream</t>
  </si>
  <si>
    <t>Who's Your Caddy?Â </t>
  </si>
  <si>
    <t>2000s|golf caddy|golf course|golfer|question mark in title</t>
  </si>
  <si>
    <t>Sophie Okonedo</t>
  </si>
  <si>
    <t>Dirty Pretty ThingsÂ </t>
  </si>
  <si>
    <t>hotel|immigrant|nigerian|surgery|underwear</t>
  </si>
  <si>
    <t>Never Back DownÂ </t>
  </si>
  <si>
    <t>club|fight|fighting|high school|mixed martial arts</t>
  </si>
  <si>
    <t>The Bridges of Madison CountyÂ </t>
  </si>
  <si>
    <t>1960s|bridge|housewife|love|photographer</t>
  </si>
  <si>
    <t>Daniel Myrick</t>
  </si>
  <si>
    <t>Heather Donahue</t>
  </si>
  <si>
    <t>The Blair Witch ProjectÂ </t>
  </si>
  <si>
    <t>found footage|looking at the camera|lost in the woods|maryland|screaming in horror</t>
  </si>
  <si>
    <t>Lara Croft Tomb Raider: The Cradle of LifeÂ </t>
  </si>
  <si>
    <t>duology|female hero|female lead|orb|pandora's box</t>
  </si>
  <si>
    <t>Action|Adventure|Family|Sci-Fi|Thriller</t>
  </si>
  <si>
    <t>Lost in SpaceÂ </t>
  </si>
  <si>
    <t>based on tv series|remake|robot|scientist|spaceship</t>
  </si>
  <si>
    <t>Wayne Beach</t>
  </si>
  <si>
    <t>Slow BurnÂ </t>
  </si>
  <si>
    <t>district attorney|interview|murder|prosecutor|reporter</t>
  </si>
  <si>
    <t>Despicable Me 2Â </t>
  </si>
  <si>
    <t>dating|minion|overprotective father|undercover spy|woman agent</t>
  </si>
  <si>
    <t>A Good Day to Die HardÂ </t>
  </si>
  <si>
    <t>bomb|cia|courthouse|escape|russian</t>
  </si>
  <si>
    <t>Die Another DayÂ </t>
  </si>
  <si>
    <t>catfight|clinic|colonel|diamond|patricide</t>
  </si>
  <si>
    <t>Snoop Dogg</t>
  </si>
  <si>
    <t>Starsky &amp; HutchÂ </t>
  </si>
  <si>
    <t>cocaine|cop|criminal|partner|police</t>
  </si>
  <si>
    <t>Action|Comedy|Drama|War</t>
  </si>
  <si>
    <t>All the Queen's MenÂ </t>
  </si>
  <si>
    <t>apostrophe in title|behind enemy lines|box office flop|gay interest|punctuation in title</t>
  </si>
  <si>
    <t>Emilia Fox</t>
  </si>
  <si>
    <t>The PianistÂ </t>
  </si>
  <si>
    <t>ghetto|holocaust|jewish|piano|warsaw ghetto</t>
  </si>
  <si>
    <t>Dave McKean</t>
  </si>
  <si>
    <t>Stephanie Leonidas</t>
  </si>
  <si>
    <t>MirrormaskÂ </t>
  </si>
  <si>
    <t>circus|dark fantasy|dream|dream world|fantasy world</t>
  </si>
  <si>
    <t>Matt Dillon</t>
  </si>
  <si>
    <t>Kirk Fox</t>
  </si>
  <si>
    <t>City of GhostsÂ </t>
  </si>
  <si>
    <t>bag over head|buddhist temple|loss of friend|male bonding|nightclub</t>
  </si>
  <si>
    <t>The Addams FamilyÂ </t>
  </si>
  <si>
    <t>accountant|loan shark|macabre|uncle|uncle fester</t>
  </si>
  <si>
    <t>Kinka Usher</t>
  </si>
  <si>
    <t>Mystery MenÂ </t>
  </si>
  <si>
    <t>bowling|rajah|sphinx|spleen|superhero</t>
  </si>
  <si>
    <t>Michael O'Neill</t>
  </si>
  <si>
    <t>TrafficÂ </t>
  </si>
  <si>
    <t>cocaine|drug smuggling|interlinked stories|judge|mexico</t>
  </si>
  <si>
    <t>Jennifer Yuh Nelson</t>
  </si>
  <si>
    <t>Kung Fu Panda 2Â </t>
  </si>
  <si>
    <t>china|kung fu|panda|peacock|tigress</t>
  </si>
  <si>
    <t>Allison Dean</t>
  </si>
  <si>
    <t>Ruby in ParadiseÂ </t>
  </si>
  <si>
    <t>desire|florida|identity|resort town|sales</t>
  </si>
  <si>
    <t>Big FishÂ </t>
  </si>
  <si>
    <t>dog saved from a fire|flashback|growing up|multiple narrators|traveling salesman</t>
  </si>
  <si>
    <t>I Don't Know How She Does ItÂ </t>
  </si>
  <si>
    <t>black comedy|delivery boy|dinner|gym|punishment</t>
  </si>
  <si>
    <t>Jill Clayburgh</t>
  </si>
  <si>
    <t>Running with ScissorsÂ </t>
  </si>
  <si>
    <t>alcoholic|fame|therapist|writer|writing</t>
  </si>
  <si>
    <t>Alessandro Carloni</t>
  </si>
  <si>
    <t>Kung Fu Panda 3Â </t>
  </si>
  <si>
    <t>china|kung fu|panda|pig|village</t>
  </si>
  <si>
    <t>Furry VengeanceÂ </t>
  </si>
  <si>
    <t>animal|bear|land developer|real estate|real estate developer</t>
  </si>
  <si>
    <t>BlackhatÂ </t>
  </si>
  <si>
    <t>chinese|computer|cybercrime|hacker|one word title</t>
  </si>
  <si>
    <t>The InterviewÂ </t>
  </si>
  <si>
    <t>assassination attempt|communist dictatorship|dictator|exploding helicopter|finger bitten off</t>
  </si>
  <si>
    <t>Vera DrakeÂ </t>
  </si>
  <si>
    <t>1950s|miscarriage|neighbor|pregnancy|tailor</t>
  </si>
  <si>
    <t>SurrogatesÂ </t>
  </si>
  <si>
    <t>android|fbi agent|future|murder|robot</t>
  </si>
  <si>
    <t>Kelly Asbury</t>
  </si>
  <si>
    <t>Adventure|Animation|Family|Western</t>
  </si>
  <si>
    <t>Spirit: Stallion of the CimarronÂ </t>
  </si>
  <si>
    <t>cavalry|escape|herd|stallion|wild stallion</t>
  </si>
  <si>
    <t>Harry Styles</t>
  </si>
  <si>
    <t>One Direction: This Is UsÂ </t>
  </si>
  <si>
    <t>3 dimensional|concert footage|englishman abroad|reference to keith richards|reference to the doors</t>
  </si>
  <si>
    <t>Megan Park</t>
  </si>
  <si>
    <t>Diary of the DeadÂ </t>
  </si>
  <si>
    <t>barn|film student|hospital|mummy|video camera</t>
  </si>
  <si>
    <t>Rain ManÂ </t>
  </si>
  <si>
    <t>buick|convertible|last will and testament|savant|travel</t>
  </si>
  <si>
    <t>Action|Adventure|Comedy|Crime|Music|Mystery</t>
  </si>
  <si>
    <t>The Adventures of Ford FairlaneÂ </t>
  </si>
  <si>
    <t>detective|groupie|murder|music industry|rock n roll</t>
  </si>
  <si>
    <t>Elia Kazan</t>
  </si>
  <si>
    <t>On the WaterfrontÂ </t>
  </si>
  <si>
    <t>death|dock|longshoreman|murder|union</t>
  </si>
  <si>
    <t>The Man Who Knew Too LittleÂ </t>
  </si>
  <si>
    <t>assassin|bomb|dominatrix|mistaken identity|spy</t>
  </si>
  <si>
    <t>Jorge R. GutiÃ©rrez</t>
  </si>
  <si>
    <t>The Book of LifeÂ </t>
  </si>
  <si>
    <t>afterlife|bullfight|bullfighting|love triangle|mexico</t>
  </si>
  <si>
    <t>Kelly Reichardt</t>
  </si>
  <si>
    <t>John Robinson</t>
  </si>
  <si>
    <t>Wendy and LucyÂ </t>
  </si>
  <si>
    <t>car|dog|flip phone|rape threat|vulnerable</t>
  </si>
  <si>
    <t>Spectre </t>
  </si>
  <si>
    <t>bomb|espionage|sequel|spy|terrorist</t>
  </si>
  <si>
    <t>Mean StreetsÂ </t>
  </si>
  <si>
    <t>bar|catholic guilt|epilepsy|italian american|money</t>
  </si>
  <si>
    <t>Once Upon a Time in AmericaÂ </t>
  </si>
  <si>
    <t>1920s|ambiguity|childhood friend|new york|speakeasy</t>
  </si>
  <si>
    <t>The Purge: AnarchyÂ </t>
  </si>
  <si>
    <t>held at gunpoint|machete|masked man|sequel|violence</t>
  </si>
  <si>
    <t>Christophe Gans</t>
  </si>
  <si>
    <t>Adventure|Horror|Mystery</t>
  </si>
  <si>
    <t>Silent HillÂ </t>
  </si>
  <si>
    <t>gothic|police|police officer|silent hill|sleepwalking</t>
  </si>
  <si>
    <t>Lee Unkrich</t>
  </si>
  <si>
    <t>Toy Story 3Â </t>
  </si>
  <si>
    <t>college|day care|escape|teddy bear|toy</t>
  </si>
  <si>
    <t>No ReservationsÂ </t>
  </si>
  <si>
    <t>chef|cooking|guardian|kitchen|restaurant</t>
  </si>
  <si>
    <t>Jeannot Szwarc</t>
  </si>
  <si>
    <t>Jaws 2Â </t>
  </si>
  <si>
    <t>great white shark|island|mayor|police chief|shark</t>
  </si>
  <si>
    <t>Action|Adventure|Fantasy|Horror</t>
  </si>
  <si>
    <t>BloodRayneÂ </t>
  </si>
  <si>
    <t>escape|half human|king|vampire|vampire hunter</t>
  </si>
  <si>
    <t>Jim Fall</t>
  </si>
  <si>
    <t>Adventure|Comedy|Family|Music|Romance</t>
  </si>
  <si>
    <t>Clayton Snyder</t>
  </si>
  <si>
    <t>The Lizzie McGuire MovieÂ </t>
  </si>
  <si>
    <t>best friend|roma|singer|spaghetti|teenager</t>
  </si>
  <si>
    <t>Now You See MeÂ </t>
  </si>
  <si>
    <t>bank|fbi|heist|interpol|magician</t>
  </si>
  <si>
    <t>42Â </t>
  </si>
  <si>
    <t>baseball|baseball player|brooklyn dodgers|major league baseball|racism</t>
  </si>
  <si>
    <t>Sam Waterston</t>
  </si>
  <si>
    <t>Shadow ConspiracyÂ </t>
  </si>
  <si>
    <t>american president|assassin|conspiracy|president|white house</t>
  </si>
  <si>
    <t>Charlie Kaufman</t>
  </si>
  <si>
    <t>Synecdoche, New YorkÂ </t>
  </si>
  <si>
    <t>actress|director|play|theatre director|warehouse</t>
  </si>
  <si>
    <t>Thea Sharrock</t>
  </si>
  <si>
    <t>Sam Claflin</t>
  </si>
  <si>
    <t>Me Before YouÂ </t>
  </si>
  <si>
    <t>accident|caretaker|economic hardship|quadriplegic|wheelchair</t>
  </si>
  <si>
    <t>Ana de la Reguera</t>
  </si>
  <si>
    <t>Nacho LibreÂ </t>
  </si>
  <si>
    <t>lucha libre|monastery|nun|orphan|wrestling</t>
  </si>
  <si>
    <t>Resident Evil: RetributionÂ </t>
  </si>
  <si>
    <t>corporation|fight|rescue|umbrella|zombie</t>
  </si>
  <si>
    <t>Terminator SalvationÂ </t>
  </si>
  <si>
    <t>death row|future|machine|rescue|skynet</t>
  </si>
  <si>
    <t>The Young VictoriaÂ </t>
  </si>
  <si>
    <t>19th century|courtship|female protagonist|princess|queen of england</t>
  </si>
  <si>
    <t>Paul Schrader</t>
  </si>
  <si>
    <t>Dana Delany</t>
  </si>
  <si>
    <t>Light SleeperÂ </t>
  </si>
  <si>
    <t>bare breasts|drugs|existentialism|new york city|redemption</t>
  </si>
  <si>
    <t>UnbreakableÂ </t>
  </si>
  <si>
    <t>child with gun|comic book|invulnerability|superhero|train crash</t>
  </si>
  <si>
    <t>Do You Believe?Â </t>
  </si>
  <si>
    <t>belief|faith|pastor|question in title|three word title</t>
  </si>
  <si>
    <t>James Mottern</t>
  </si>
  <si>
    <t>TruckerÂ </t>
  </si>
  <si>
    <t>cancer|cigarette smoking|hospital|one night stand|trucker</t>
  </si>
  <si>
    <t>Air BudÂ </t>
  </si>
  <si>
    <t>basketball|boy|dog|dog movie|golden retriever</t>
  </si>
  <si>
    <t>Silver Linings PlaybookÂ </t>
  </si>
  <si>
    <t>adulterous wife|bipolar disorder|obsessive compulsive personality disorder|unhappy marriage|widow</t>
  </si>
  <si>
    <t>Paul Michael Glaser</t>
  </si>
  <si>
    <t>The Running ManÂ </t>
  </si>
  <si>
    <t>game of death|government conspiracy|latina|oppression|police</t>
  </si>
  <si>
    <t>Action|Crime|Drama|Sport</t>
  </si>
  <si>
    <t>UndisputedÂ </t>
  </si>
  <si>
    <t>boxing|fight|heavyweight champion|iceman|prison</t>
  </si>
  <si>
    <t>Kirk Cameron</t>
  </si>
  <si>
    <t>FireproofÂ </t>
  </si>
  <si>
    <t>christian film|dare|firefighter|internet pornography|marriage</t>
  </si>
  <si>
    <t>The Sweet HereafterÂ </t>
  </si>
  <si>
    <t>anger|bus|child|lawyer|school</t>
  </si>
  <si>
    <t>CÃ©cile De France</t>
  </si>
  <si>
    <t>High TensionÂ </t>
  </si>
  <si>
    <t>car chase|plot twist|police van|rear ending a car|slasher</t>
  </si>
  <si>
    <t>Ham Tran</t>
  </si>
  <si>
    <t>Long Nguyen</t>
  </si>
  <si>
    <t>Journey from the FallÂ </t>
  </si>
  <si>
    <t>1970s|1980s|nonlinear timeline|rescue|vietnam war</t>
  </si>
  <si>
    <t>Vietnamese</t>
  </si>
  <si>
    <t>Alvin and the ChipmunksÂ </t>
  </si>
  <si>
    <t>based on cartoon|chipmunk|concert|fart joke|talking animal</t>
  </si>
  <si>
    <t>The ExpendablesÂ </t>
  </si>
  <si>
    <t>action hero|assassination attempt|explosion|machine gun|rescue mission</t>
  </si>
  <si>
    <t>The HuntedÂ </t>
  </si>
  <si>
    <t>capture|combat|fbi|hunter|special forces</t>
  </si>
  <si>
    <t>The NegotiatorÂ </t>
  </si>
  <si>
    <t>hostage|innocence|murder|negotiator|police</t>
  </si>
  <si>
    <t>Jim Meskimen</t>
  </si>
  <si>
    <t>There Will Be BloodÂ </t>
  </si>
  <si>
    <t>alcoholic|alcoholism|money|oil|turn of the century</t>
  </si>
  <si>
    <t>Varsity BluesÂ </t>
  </si>
  <si>
    <t>coach|coyote|popularity|quarterback|texas</t>
  </si>
  <si>
    <t>FocusÂ </t>
  </si>
  <si>
    <t>con artist|con man|deception|rivalry|seduction</t>
  </si>
  <si>
    <t>Cory Hardrict</t>
  </si>
  <si>
    <t>Warm BodiesÂ </t>
  </si>
  <si>
    <t>fight|memory|teenager|undead|zombie</t>
  </si>
  <si>
    <t>Jim Abrahams</t>
  </si>
  <si>
    <t>Peter Graves</t>
  </si>
  <si>
    <t>Airplane!Â </t>
  </si>
  <si>
    <t>air traffic controller|airplane|airport|pilot|spoof</t>
  </si>
  <si>
    <t>TwisterÂ </t>
  </si>
  <si>
    <t>device|disaster|divorce|storm|tornado</t>
  </si>
  <si>
    <t>Chelan Simmons</t>
  </si>
  <si>
    <t>Final Destination 3Â </t>
  </si>
  <si>
    <t>amusement park|death|fate|premonition|roller coaster</t>
  </si>
  <si>
    <t>Jorma Taccone</t>
  </si>
  <si>
    <t>Jasper Cole</t>
  </si>
  <si>
    <t>MacGruberÂ </t>
  </si>
  <si>
    <t>colonel|lieutenant|nuclear warhead|team|washington d.c.</t>
  </si>
  <si>
    <t>Apollo 13Â </t>
  </si>
  <si>
    <t>cape kennedy|news footage|reference to christopher columbus|rocket|trapped in space</t>
  </si>
  <si>
    <t>A Few Good MenÂ </t>
  </si>
  <si>
    <t>cuba|guantanamo|lance corporal|lawyer|murder</t>
  </si>
  <si>
    <t>Nigel Cole</t>
  </si>
  <si>
    <t>Aimee Garcia</t>
  </si>
  <si>
    <t>A Lot Like LoveÂ </t>
  </si>
  <si>
    <t>flight|hasselblad camera|los angeles california|love|medium format camera</t>
  </si>
  <si>
    <t>Unaccompanied MinorsÂ </t>
  </si>
  <si>
    <t>airport|black comedy|blizzard|christmas|pennsylvania</t>
  </si>
  <si>
    <t>SaltÂ </t>
  </si>
  <si>
    <t>cia|on the run|russian|russian spy|strong female lead</t>
  </si>
  <si>
    <t>Curse of the Golden FlowerÂ </t>
  </si>
  <si>
    <t>china|chrysanthemum|emperor|empress|prince</t>
  </si>
  <si>
    <t>SignsÂ </t>
  </si>
  <si>
    <t>crop circle|faith|farm|glass of water|loss of faith</t>
  </si>
  <si>
    <t>Old DogsÂ </t>
  </si>
  <si>
    <t>best friend|business deal|impulse|public relations|twin</t>
  </si>
  <si>
    <t>ChangelingÂ </t>
  </si>
  <si>
    <t>execution by hanging|los angeles police department|miscarriage of justice|missing child|wrongful conviction</t>
  </si>
  <si>
    <t>Reservoir DogsÂ </t>
  </si>
  <si>
    <t>gang|heist|heist gone wrong|nonlinear timeline|robbery</t>
  </si>
  <si>
    <t>The MistÂ </t>
  </si>
  <si>
    <t>desperation|fog|giant insect|survival|survival horror</t>
  </si>
  <si>
    <t>TootsieÂ </t>
  </si>
  <si>
    <t>actor|actress|friend|love|reputation</t>
  </si>
  <si>
    <t>Jeff Burr</t>
  </si>
  <si>
    <t>Action|Drama|Horror|Thriller</t>
  </si>
  <si>
    <t>Terry Kiser</t>
  </si>
  <si>
    <t>From a Whisper to a ScreamÂ </t>
  </si>
  <si>
    <t>bathtub|cult film|neck breaking|tennessee|wraparound story</t>
  </si>
  <si>
    <t>Snow Falling on CedarsÂ </t>
  </si>
  <si>
    <t>fisherman|japanese|love|trial|washington state</t>
  </si>
  <si>
    <t>The Silence of the LambsÂ </t>
  </si>
  <si>
    <t>case file|fbi agent|psycho thriller|psychopath|serial killer</t>
  </si>
  <si>
    <t>Amber Stevens West</t>
  </si>
  <si>
    <t>The Fast and the Furious: Tokyo DriftÂ </t>
  </si>
  <si>
    <t>car|challenge|drift racing|drifting|tokyo japan</t>
  </si>
  <si>
    <t>Million Dollar BabyÂ </t>
  </si>
  <si>
    <t>boxing|boxing trainer|death|suicide attempt|women boxing</t>
  </si>
  <si>
    <t>The Best Exotic Marigold HotelÂ </t>
  </si>
  <si>
    <t>hotel|india|marigold|retiree|retirement</t>
  </si>
  <si>
    <t>Van Wilder: Party LiaisonÂ </t>
  </si>
  <si>
    <t>college|love|party|reporter|tuition</t>
  </si>
  <si>
    <t>Harvard ManÂ </t>
  </si>
  <si>
    <t>basketball|cheerleader|college|harvard|philosophy</t>
  </si>
  <si>
    <t>Meet the ParentsÂ </t>
  </si>
  <si>
    <t>cat|cia|jewish|male nurse|nurse</t>
  </si>
  <si>
    <t>Action|Drama|Romance|Sci-Fi|Thriller</t>
  </si>
  <si>
    <t>Deep ImpactÂ </t>
  </si>
  <si>
    <t>astronomer|comet|mission|president|secretary</t>
  </si>
  <si>
    <t>Vampire in BrooklynÂ </t>
  </si>
  <si>
    <t>blood|destiny|nightmare|partner|vampire</t>
  </si>
  <si>
    <t>Mike Marvin</t>
  </si>
  <si>
    <t>Action|Horror|Romance|Sci-Fi|Thriller</t>
  </si>
  <si>
    <t>The WraithÂ </t>
  </si>
  <si>
    <t>arizona|death|gang|police|sheriff</t>
  </si>
  <si>
    <t>Hollywood EndingÂ </t>
  </si>
  <si>
    <t>blind|director|psychosomatic blindness|self deprecating|studio</t>
  </si>
  <si>
    <t>City by the SeaÂ </t>
  </si>
  <si>
    <t>beach|grandson|murder|new york city|police</t>
  </si>
  <si>
    <t>Face/OffÂ </t>
  </si>
  <si>
    <t>death of child|face|face transplant|prison|terrorist</t>
  </si>
  <si>
    <t>Steve JobsÂ </t>
  </si>
  <si>
    <t>apple computer|box office flop|computer|dialogue driven|father daughter relationship</t>
  </si>
  <si>
    <t>Comedy|Romance|Sci-Fi|Thriller</t>
  </si>
  <si>
    <t>Richard Epcar</t>
  </si>
  <si>
    <t>Memoirs of an Invisible ManÂ </t>
  </si>
  <si>
    <t>accident|bar|chase|cia|laboratory</t>
  </si>
  <si>
    <t>Critical CareÂ </t>
  </si>
  <si>
    <t>half sister|hospital|latex gloves|medicine|nun</t>
  </si>
  <si>
    <t>Executive DecisionÂ </t>
  </si>
  <si>
    <t>bomb|hostage|military|plane|terrorist</t>
  </si>
  <si>
    <t>Biography|Crime|Drama|Mystery|Thriller</t>
  </si>
  <si>
    <t>Kill the MessengerÂ </t>
  </si>
  <si>
    <t>based on true story|cia|cocaine|journalist|smear campaign</t>
  </si>
  <si>
    <t>Mrs. WinterbourneÂ </t>
  </si>
  <si>
    <t>love|train|train wreck|twin brother|two word title</t>
  </si>
  <si>
    <t>Batman BeginsÂ </t>
  </si>
  <si>
    <t>armored car|gangster|gotham|mixed martial arts|social decay</t>
  </si>
  <si>
    <t>GarfieldÂ </t>
  </si>
  <si>
    <t>cat|dog|first part|lasagna|veterinarian</t>
  </si>
  <si>
    <t>Stir of EchoesÂ </t>
  </si>
  <si>
    <t>disappearance|hearing voices|hypnosis|post hypnotic suggestion|seeing a ghost</t>
  </si>
  <si>
    <t>We Own the NightÂ </t>
  </si>
  <si>
    <t>arrest|drugs|loyalty|raid|violence</t>
  </si>
  <si>
    <t>Mark Rylance</t>
  </si>
  <si>
    <t>The BFGÂ </t>
  </si>
  <si>
    <t>cannibal|evil brother|giant|london england|queen</t>
  </si>
  <si>
    <t>Steve McQueen</t>
  </si>
  <si>
    <t>12 Years a SlaveÂ </t>
  </si>
  <si>
    <t>racism|separation from family|social injustice|torture|whipping</t>
  </si>
  <si>
    <t>Neema Barnette</t>
  </si>
  <si>
    <t>Monica Calhoun</t>
  </si>
  <si>
    <t>Civil BrandÂ </t>
  </si>
  <si>
    <t>abuse of power|friendship|prison|prison guard|title directed by female</t>
  </si>
  <si>
    <t>Christian Ditter</t>
  </si>
  <si>
    <t>How to Be SingleÂ </t>
  </si>
  <si>
    <t>motor scooter|new york city|newborn baby|scooter|single</t>
  </si>
  <si>
    <t>Olivier Martinez</t>
  </si>
  <si>
    <t>UnfaithfulÂ </t>
  </si>
  <si>
    <t>erotic thriller|infidelity|marital infidelity|unfaithfulness|wife's lover murdered by husband</t>
  </si>
  <si>
    <t>Rowdy Herrington</t>
  </si>
  <si>
    <t>Road HouseÂ </t>
  </si>
  <si>
    <t>bikini|cult film|fired from the job|martial arts|violence</t>
  </si>
  <si>
    <t>JoyÂ </t>
  </si>
  <si>
    <t>based on real person|female inventor|mop|sales pitch|woman holding a shotgun</t>
  </si>
  <si>
    <t>Peter Capaldi</t>
  </si>
  <si>
    <t>World War ZÂ </t>
  </si>
  <si>
    <t>chaos|disease|infection|pandemic|zombie</t>
  </si>
  <si>
    <t>Danny Huston</t>
  </si>
  <si>
    <t>30 Days of NightÂ </t>
  </si>
  <si>
    <t>alaska|small town|snow|vampire|winter</t>
  </si>
  <si>
    <t>Spy Kids 3-D: Game OverÂ </t>
  </si>
  <si>
    <t>mission|spy|surfing|trapped|virtual reality</t>
  </si>
  <si>
    <t>Marcela Mar</t>
  </si>
  <si>
    <t>Love in the Time of CholeraÂ </t>
  </si>
  <si>
    <t>19th century|colombia|love|marriage|widow</t>
  </si>
  <si>
    <t>SickoÂ </t>
  </si>
  <si>
    <t>canada|cuba|france|guantanamo|hmo</t>
  </si>
  <si>
    <t>James Dodson</t>
  </si>
  <si>
    <t>The Other End of the LineÂ </t>
  </si>
  <si>
    <t>birthday|call center|fiance|hotel|indian</t>
  </si>
  <si>
    <t>Carmen Perez</t>
  </si>
  <si>
    <t>He's Just Not That Into YouÂ </t>
  </si>
  <si>
    <t>advertising|bar|dating|lingerie slip|six word title</t>
  </si>
  <si>
    <t>Jessica ParÃ©</t>
  </si>
  <si>
    <t>Wicker ParkÂ </t>
  </si>
  <si>
    <t>flashback|flashback within a flashback|multiple perspectives|obsession|split screen</t>
  </si>
  <si>
    <t>Marisa Saks</t>
  </si>
  <si>
    <t>Scary Movie 5Â </t>
  </si>
  <si>
    <t>2010s|ape|ballet|psychic|supernatural</t>
  </si>
  <si>
    <t>Blythe Danner</t>
  </si>
  <si>
    <t>The Lucky OneÂ </t>
  </si>
  <si>
    <t>arrogance|child in peril|disarming someone|kennel|post traumatic stress disorder</t>
  </si>
  <si>
    <t>ElectionÂ </t>
  </si>
  <si>
    <t>female protagonist|high school|self destructiveness|student council president|student government</t>
  </si>
  <si>
    <t>The ImmigrantÂ </t>
  </si>
  <si>
    <t>immigrant|immigration|magician|money|prostitution</t>
  </si>
  <si>
    <t>Snow DogsÂ </t>
  </si>
  <si>
    <t>dentist|dog|inheritance|race|sled dog</t>
  </si>
  <si>
    <t>Scott Marshall</t>
  </si>
  <si>
    <t>Drew Fuller</t>
  </si>
  <si>
    <t>Blonde AmbitionÂ </t>
  </si>
  <si>
    <t>boss|business|career|confidence|female protagonist</t>
  </si>
  <si>
    <t>JumperÂ </t>
  </si>
  <si>
    <t>bank|based on novel|ice|teleportation|vault</t>
  </si>
  <si>
    <t>Les MisÃ©rablesÂ </t>
  </si>
  <si>
    <t>barricade|innkeeper|parole|rebellion|student</t>
  </si>
  <si>
    <t>EdmondÂ </t>
  </si>
  <si>
    <t>bipolar disorder|sodomy|stabbing|street life|violence</t>
  </si>
  <si>
    <t>Edgar Arreola</t>
  </si>
  <si>
    <t>SicarioÂ </t>
  </si>
  <si>
    <t>critically acclaimed|drug cartel|juarez mexico|u.s. mexico border|war on drugs</t>
  </si>
  <si>
    <t>Shane Meadows</t>
  </si>
  <si>
    <t>This Is EnglandÂ </t>
  </si>
  <si>
    <t>england|racism|racist|skinhead|violence</t>
  </si>
  <si>
    <t>Sam Riley</t>
  </si>
  <si>
    <t>ControlÂ </t>
  </si>
  <si>
    <t>band|employment agency|singer|stage fright|suicide</t>
  </si>
  <si>
    <t>Lloyd Kaufman</t>
  </si>
  <si>
    <t>John Karyus</t>
  </si>
  <si>
    <t>Poultrygeist: Night of the Chicken DeadÂ </t>
  </si>
  <si>
    <t>castration|chicken|fast food|indian burial ground|protest</t>
  </si>
  <si>
    <t>Action|Sci-Fi|War</t>
  </si>
  <si>
    <t>Jake Busey</t>
  </si>
  <si>
    <t>Starship TroopersÂ </t>
  </si>
  <si>
    <t>alien|federation|future|military|planet</t>
  </si>
  <si>
    <t>Wych Kaosayananda</t>
  </si>
  <si>
    <t>Talisa Soto</t>
  </si>
  <si>
    <t>Ballistic: Ecks vs. SeverÂ </t>
  </si>
  <si>
    <t>blood splatter|camera shot from inside human body|combat|die hard scenario|fbi</t>
  </si>
  <si>
    <t>Michael Herz</t>
  </si>
  <si>
    <t>Action|Comedy|Horror|Sci-Fi</t>
  </si>
  <si>
    <t>Phoebe Legere</t>
  </si>
  <si>
    <t>The Toxic Avenger Part IIÂ </t>
  </si>
  <si>
    <t>bare breasts|japan|tokyo japan|toxic avenger|troma</t>
  </si>
  <si>
    <t>Harry Potter and the Sorcerer's StoneÂ </t>
  </si>
  <si>
    <t>based on novel|birthday|evil wizard|quidditch|wizard</t>
  </si>
  <si>
    <t>Nicholas Lea</t>
  </si>
  <si>
    <t>Vertical LimitÂ </t>
  </si>
  <si>
    <t>death|die hard scenario|k2|rescue|urination</t>
  </si>
  <si>
    <t>Ghosts of MarsÂ </t>
  </si>
  <si>
    <t>head on a stake|machine gun|martian|nuclear reactor|outer space</t>
  </si>
  <si>
    <t>Hark Tsui</t>
  </si>
  <si>
    <t>Knock OffÂ </t>
  </si>
  <si>
    <t>cia|hong kong|market|undercover|van</t>
  </si>
  <si>
    <t>Aruba</t>
  </si>
  <si>
    <t>Antwone FisherÂ </t>
  </si>
  <si>
    <t>black american|extortion|navy|psychiatrist|sailor</t>
  </si>
  <si>
    <t>Case 39Â </t>
  </si>
  <si>
    <t>death|fear|hairy chest|social worker|spinning in chair</t>
  </si>
  <si>
    <t>Malese Jow</t>
  </si>
  <si>
    <t>Aliens in the AtticÂ </t>
  </si>
  <si>
    <t>alien|attic|boyfriend|mind control|nintendo ds</t>
  </si>
  <si>
    <t>No Strings AttachedÂ </t>
  </si>
  <si>
    <t>ex girlfriend|funeral|hospital|male objectification|summer camp</t>
  </si>
  <si>
    <t>Todd Stashwick</t>
  </si>
  <si>
    <t>You, Me and DupreeÂ </t>
  </si>
  <si>
    <t>best friend|foot fetish|houseguest|newlywed|wedding</t>
  </si>
  <si>
    <t>Michael Patrick Jann</t>
  </si>
  <si>
    <t>Comedy|Romance|Thriller</t>
  </si>
  <si>
    <t>Drop Dead GorgeousÂ </t>
  </si>
  <si>
    <t>beauty pageant|blonde|cheerleader uniform|small town|upskirt</t>
  </si>
  <si>
    <t>Midnight RunÂ </t>
  </si>
  <si>
    <t>accountant|bounty hunter|fbi|mafia|mob</t>
  </si>
  <si>
    <t>The HowlingÂ </t>
  </si>
  <si>
    <t>1980s|forest|lycanthrope|shapeshifting|werewolf transformation</t>
  </si>
  <si>
    <t>MyAnna Buring</t>
  </si>
  <si>
    <t>The DescentÂ </t>
  </si>
  <si>
    <t>cave|expedition|friendship between women|group of friends|survival horror</t>
  </si>
  <si>
    <t>The Last Witch HunterÂ </t>
  </si>
  <si>
    <t>box office flop|burned to death|magic|witch|witch hunter</t>
  </si>
  <si>
    <t>Scott Alexander</t>
  </si>
  <si>
    <t>ScrewedÂ </t>
  </si>
  <si>
    <t>chauffeur|disorganized crime|dog|ransom|slapstick</t>
  </si>
  <si>
    <t>Another YearÂ </t>
  </si>
  <si>
    <t>autumn|four seasons|friend|looking at one's self in a mirror|unhappiness</t>
  </si>
  <si>
    <t>The Perfect MatchÂ </t>
  </si>
  <si>
    <t>BigÂ </t>
  </si>
  <si>
    <t>friend|job|new york city|toy|wish</t>
  </si>
  <si>
    <t>Mahadeo Shivraj</t>
  </si>
  <si>
    <t>The SmurfsÂ </t>
  </si>
  <si>
    <t>blue|new york|new york city|no opening credits|smurf</t>
  </si>
  <si>
    <t>The Jimmy ShowÂ </t>
  </si>
  <si>
    <t>based on play|character name in title</t>
  </si>
  <si>
    <t>Peter Medak</t>
  </si>
  <si>
    <t>Romeo Is BleedingÂ </t>
  </si>
  <si>
    <t>detective|police|protection|russian|sergeant</t>
  </si>
  <si>
    <t>Vernon Wells</t>
  </si>
  <si>
    <t>Mad Max 2: The Road WarriorÂ </t>
  </si>
  <si>
    <t>australian|gasoline|post apocalypse|refinery|warrior</t>
  </si>
  <si>
    <t>Liar LiarÂ </t>
  </si>
  <si>
    <t>birthday|birthday wish|father disappoints child|lie|workaholic</t>
  </si>
  <si>
    <t>The Twilight Saga: Breaking Dawn - Part 2Â </t>
  </si>
  <si>
    <t>battle|friend|super strength|vampire|vision</t>
  </si>
  <si>
    <t>Michel Orion Scott</t>
  </si>
  <si>
    <t>Temple Grandin</t>
  </si>
  <si>
    <t>The Horse BoyÂ </t>
  </si>
  <si>
    <t>horse|journey|mongolia|shaman|travel</t>
  </si>
  <si>
    <t>The BeaverÂ </t>
  </si>
  <si>
    <t>beaver puppet|depression|dysfunctional family|puppet|speech</t>
  </si>
  <si>
    <t>Drama|Music|Romance|War</t>
  </si>
  <si>
    <t>Captain Corelli's MandolinÂ </t>
  </si>
  <si>
    <t>captain|greek|island|italian|love</t>
  </si>
  <si>
    <t>Prince of Persia: The Sands of TimeÂ </t>
  </si>
  <si>
    <t>alamut|dagger|king|persia|princess</t>
  </si>
  <si>
    <t>InterstellarÂ </t>
  </si>
  <si>
    <t>black hole|father daughter relationship|saving the world|space travel|wormhole</t>
  </si>
  <si>
    <t>Why Did I Get Married?Â </t>
  </si>
  <si>
    <t>marriage|overweight|psychologist|secret|work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</si>
  <si>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</si>
  <si>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</si>
  <si>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</si>
  <si>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</si>
  <si>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</si>
  <si>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The VerdictÂ </t>
  </si>
  <si>
    <t>archdiocese|court|hospital|lawyer|malpractice</t>
  </si>
  <si>
    <t>Kevin Tenney</t>
  </si>
  <si>
    <t>Kathleen Wilhoite</t>
  </si>
  <si>
    <t>WitchboardÂ </t>
  </si>
  <si>
    <t>evil spirit|hatchet|ouija|ouija board|psychopathic killer</t>
  </si>
  <si>
    <t>Why Did I Get Married Too?Â </t>
  </si>
  <si>
    <t>question mark in title|returning character killed off|sequel|six word title|writer director</t>
  </si>
  <si>
    <t>The Bourne SupremacyÂ </t>
  </si>
  <si>
    <t>assassin|car chase|cia|hidden truth|one against many</t>
  </si>
  <si>
    <t>HostelÂ </t>
  </si>
  <si>
    <t>bratislava|hostel|sadistic horror|torture|travel</t>
  </si>
  <si>
    <t>CreedÂ </t>
  </si>
  <si>
    <t>boxing|boxing match|fight|montage|philadelphia</t>
  </si>
  <si>
    <t>Benjamin Dickinson</t>
  </si>
  <si>
    <t>Nora Zehetner</t>
  </si>
  <si>
    <t>Creative ControlÂ </t>
  </si>
  <si>
    <t>art exhibition|augmented reality|cocaine|nervous breakdown|speculative fiction</t>
  </si>
  <si>
    <t>The SkullsÂ </t>
  </si>
  <si>
    <t>college|friend|ivy league|secret society|suicide</t>
  </si>
  <si>
    <t>Adventure|Biography|Drama|War</t>
  </si>
  <si>
    <t>Rescue DawnÂ </t>
  </si>
  <si>
    <t>bombing|guard|jungle|laos|prisoner</t>
  </si>
  <si>
    <t>Comedy|Crime|Family|Mystery|Romance|Thriller</t>
  </si>
  <si>
    <t>Kay Panabaker</t>
  </si>
  <si>
    <t>Nancy DrewÂ </t>
  </si>
  <si>
    <t>chase|clue|detective|movie star|murder</t>
  </si>
  <si>
    <t>Aaron Schneider</t>
  </si>
  <si>
    <t>Get LowÂ </t>
  </si>
  <si>
    <t>funeral|funeral home|hermit|party|secret</t>
  </si>
  <si>
    <t>Vincent Ward</t>
  </si>
  <si>
    <t>What Dreams May ComeÂ </t>
  </si>
  <si>
    <t>heaven|hell|soul|soul mate|suicide</t>
  </si>
  <si>
    <t>Julian Glover</t>
  </si>
  <si>
    <t>For Your Eyes OnlyÂ </t>
  </si>
  <si>
    <t>agent|british|ice skater|ship|spy</t>
  </si>
  <si>
    <t>The X FilesÂ </t>
  </si>
  <si>
    <t>agent|alien|bomb|fbi|government</t>
  </si>
  <si>
    <t>Sharlto Copley</t>
  </si>
  <si>
    <t>District 9Â </t>
  </si>
  <si>
    <t>alien|ghetto|prawn|refugee|refugee camp</t>
  </si>
  <si>
    <t>Gillian White</t>
  </si>
  <si>
    <t>BamboozledÂ </t>
  </si>
  <si>
    <t>actor|minstrel show|protest|success|writer</t>
  </si>
  <si>
    <t>Notting HillÂ </t>
  </si>
  <si>
    <t>actress|bookstore|friend|kiss|love</t>
  </si>
  <si>
    <t>Fionnula Flanagan</t>
  </si>
  <si>
    <t>The OthersÂ </t>
  </si>
  <si>
    <t>curtain|haunting|mansion|mute|xeroderma pigmentosum</t>
  </si>
  <si>
    <t>Susan Stroman</t>
  </si>
  <si>
    <t>The ProducersÂ </t>
  </si>
  <si>
    <t>accountant|money|opening night|scheme|swedish</t>
  </si>
  <si>
    <t>Action|Drama|Fantasy|Mystery|Sci-Fi|Thriller</t>
  </si>
  <si>
    <t>Dark CityÂ </t>
  </si>
  <si>
    <t>memory|murder|neo noir|retrofuturism|tech noir</t>
  </si>
  <si>
    <t>Grudge MatchÂ </t>
  </si>
  <si>
    <t>broke|promoter|retirement|trainer|training</t>
  </si>
  <si>
    <t>Analyze ThatÂ </t>
  </si>
  <si>
    <t>blonde|mafia|mental illness|prison|second part</t>
  </si>
  <si>
    <t>The ExorcistÂ </t>
  </si>
  <si>
    <t>demonic possession|exorcism|exorcist|loss of innocence|priest</t>
  </si>
  <si>
    <t>Action|Comedy|Sci-Fi|Western</t>
  </si>
  <si>
    <t>Wild Wild WestÂ </t>
  </si>
  <si>
    <t>buddy movie|general|inventor|steampunk|utah</t>
  </si>
  <si>
    <t>Cry_WolfÂ </t>
  </si>
  <si>
    <t>e mail|game|school|serial killer|student</t>
  </si>
  <si>
    <t>W.Â </t>
  </si>
  <si>
    <t>bible|cabinet meeting|dog|drinking|family relationships</t>
  </si>
  <si>
    <t>Harry Potter and the Goblet of FireÂ </t>
  </si>
  <si>
    <t>fire|goblet|magic|tournament|wizard</t>
  </si>
  <si>
    <t>Steve Barron</t>
  </si>
  <si>
    <t>The Adventures of PinocchioÂ </t>
  </si>
  <si>
    <t>based on novel|human becoming an animal|slow motion|transformation|young boy</t>
  </si>
  <si>
    <t>MadagascarÂ </t>
  </si>
  <si>
    <t>escape|jungle|lemur|madagascar|zoo</t>
  </si>
  <si>
    <t>Joshua Oppenheimer</t>
  </si>
  <si>
    <t>Biography|Crime|Documentary|History</t>
  </si>
  <si>
    <t>Anwar Congo</t>
  </si>
  <si>
    <t>The Act of KillingÂ </t>
  </si>
  <si>
    <t>death squad|mass killing|musical number|reference to guantanamo bay|surrealism</t>
  </si>
  <si>
    <t>Saul Dibb</t>
  </si>
  <si>
    <t>The DuchessÂ </t>
  </si>
  <si>
    <t>duchess|duke|heir|infidelity|marriage</t>
  </si>
  <si>
    <t>Gary Halvorson</t>
  </si>
  <si>
    <t>Adventure|Comedy|Family|Fantasy|Musical</t>
  </si>
  <si>
    <t>The Adventures of Elmo in GrouchlandÂ </t>
  </si>
  <si>
    <t>based on tv series|blanket|box office flop|rescue|sesame street</t>
  </si>
  <si>
    <t>ContactÂ </t>
  </si>
  <si>
    <t>message from outer space|religion|religion versus science|scientist|universe</t>
  </si>
  <si>
    <t>Marcus Raboy</t>
  </si>
  <si>
    <t>Friday After NextÂ </t>
  </si>
  <si>
    <t>apartment|christmas|christmas present|rent|security guard</t>
  </si>
  <si>
    <t>Rodrigo GarcÃ­a</t>
  </si>
  <si>
    <t>Albert NobbsÂ </t>
  </si>
  <si>
    <t>19th century|hotel|painter|waiter|woman pretending to be a man</t>
  </si>
  <si>
    <t>Patriot GamesÂ </t>
  </si>
  <si>
    <t>analyst|cia|ira|terrorist|terrorist attack</t>
  </si>
  <si>
    <t>Phil Alden Robinson</t>
  </si>
  <si>
    <t>The Sum of All FearsÂ </t>
  </si>
  <si>
    <t>analyst|cia|nuclear bomb|nuclear weapons|russia</t>
  </si>
  <si>
    <t>Jessie T. Usher</t>
  </si>
  <si>
    <t>When the Game Stands TallÂ </t>
  </si>
  <si>
    <t>coach|high school football</t>
  </si>
  <si>
    <t>Code Name: The CleanerÂ </t>
  </si>
  <si>
    <t>comic violence|hand to hand combat|kung fu|talking to self in mirror|violence</t>
  </si>
  <si>
    <t>Drama|History|Romance|Western</t>
  </si>
  <si>
    <t>Jon Gries</t>
  </si>
  <si>
    <t>September DawnÂ </t>
  </si>
  <si>
    <t>massacre|mormon|settler|utah|wagon train</t>
  </si>
  <si>
    <t>All the King's MenÂ </t>
  </si>
  <si>
    <t>governor|journalist|louisiana|mistress|politician</t>
  </si>
  <si>
    <t>Julie &amp; JuliaÂ </t>
  </si>
  <si>
    <t>american|blog|book|cook|cooking</t>
  </si>
  <si>
    <t>Jurnee Smollett-Bell</t>
  </si>
  <si>
    <t>Eve's BayouÂ </t>
  </si>
  <si>
    <t>doctor|louisiana|secret|title directed by female|witchcraft</t>
  </si>
  <si>
    <t>Ari Folman</t>
  </si>
  <si>
    <t>Animation|Biography|Documentary|Drama|History|War</t>
  </si>
  <si>
    <t>Waltz with BashirÂ </t>
  </si>
  <si>
    <t>bar|dog|interview|lebanon|nightmare</t>
  </si>
  <si>
    <t>Hebrew</t>
  </si>
  <si>
    <t>Israel</t>
  </si>
  <si>
    <t>Body of LiesÂ </t>
  </si>
  <si>
    <t>cia|jordan|middle east|spy|terrorist</t>
  </si>
  <si>
    <t>Adventure|Comedy|Drama|Romance|Thriller|War</t>
  </si>
  <si>
    <t>James Brolin</t>
  </si>
  <si>
    <t>The Hunting PartyÂ </t>
  </si>
  <si>
    <t>bosnia|cia|fox|hunt|war criminal</t>
  </si>
  <si>
    <t>Dougray Scott</t>
  </si>
  <si>
    <t>Dark WaterÂ </t>
  </si>
  <si>
    <t>apartment|hello kitty|school|teacher|water</t>
  </si>
  <si>
    <t>SelmaÂ </t>
  </si>
  <si>
    <t>civil rights|courage|protest|selma alabama|u.s. politics</t>
  </si>
  <si>
    <t>Liz Friedlander</t>
  </si>
  <si>
    <t>Take the LeadÂ </t>
  </si>
  <si>
    <t>ballroom|dance|dance teacher|student|teacher</t>
  </si>
  <si>
    <t>Michael Pressman</t>
  </si>
  <si>
    <t>Kevin Nash</t>
  </si>
  <si>
    <t>Teenage Mutant Ninja Turtles II: The Secret of the OozeÂ </t>
  </si>
  <si>
    <t>chop socky|mutant|ninja|shredder|turtle</t>
  </si>
  <si>
    <t>VirtuosityÂ </t>
  </si>
  <si>
    <t>android|ex cop|serial killer|virtual character come to life|virtual reality</t>
  </si>
  <si>
    <t>George Stevens</t>
  </si>
  <si>
    <t>The Greatest Story Ever ToldÂ </t>
  </si>
  <si>
    <t>70mm film|biblical epic|faith|jewish|king herod</t>
  </si>
  <si>
    <t>Action|Adventure|Drama|Romance|Western</t>
  </si>
  <si>
    <t>Quigley Down UnderÂ </t>
  </si>
  <si>
    <t>aborigine|australian|australian aborigine|australian outback|rancher</t>
  </si>
  <si>
    <t>Chuan Lu</t>
  </si>
  <si>
    <t>Ye Liu</t>
  </si>
  <si>
    <t>City of Life and DeathÂ </t>
  </si>
  <si>
    <t>atrocity|battle|chinese|horseback riding|martial arts</t>
  </si>
  <si>
    <t>Jacob Aaron Estes</t>
  </si>
  <si>
    <t>Mean CreekÂ </t>
  </si>
  <si>
    <t>boat|bully|dare|friend|river</t>
  </si>
  <si>
    <t>The BenchwarmersÂ </t>
  </si>
  <si>
    <t>baseball|baseball team|bully|millionaire|team</t>
  </si>
  <si>
    <t>My Soul to TakeÂ </t>
  </si>
  <si>
    <t>evil|killer|murder|psychopath|serial killer</t>
  </si>
  <si>
    <t>Robert Eggers</t>
  </si>
  <si>
    <t>The WitchÂ </t>
  </si>
  <si>
    <t>black magic|goat|isolation|naked woman|witch</t>
  </si>
  <si>
    <t>Shengyi Huang</t>
  </si>
  <si>
    <t>Kung Fu HustleÂ </t>
  </si>
  <si>
    <t>1940s|axe|china|gang|sign language</t>
  </si>
  <si>
    <t>Kent Alterman</t>
  </si>
  <si>
    <t>Semi-ProÂ </t>
  </si>
  <si>
    <t>flint michigan|merger|michigan|nba|team</t>
  </si>
  <si>
    <t>Green ZoneÂ </t>
  </si>
  <si>
    <t>cia|iraq|iraqi|political military conspiracy|weapon of mass destruction</t>
  </si>
  <si>
    <t>Michael Roemer</t>
  </si>
  <si>
    <t>Nothing But a ManÂ </t>
  </si>
  <si>
    <t>1960s|father|railroad|town|worker</t>
  </si>
  <si>
    <t>Mor Loushy</t>
  </si>
  <si>
    <t>Amos Oz</t>
  </si>
  <si>
    <t>Censored VoicesÂ </t>
  </si>
  <si>
    <t>Bless the ChildÂ </t>
  </si>
  <si>
    <t>easter|fbi|luminol|nurse|omen</t>
  </si>
  <si>
    <t>Central IntelligenceÂ </t>
  </si>
  <si>
    <t>accountant|blooper|espionage|facebook|high school reunion</t>
  </si>
  <si>
    <t>21 &amp; OverÂ </t>
  </si>
  <si>
    <t>21st birthday|college student|drunken man|pubic hair|standing up to father</t>
  </si>
  <si>
    <t>Brown SugarÂ </t>
  </si>
  <si>
    <t>basketball|hip hop|rap music|record company|writer</t>
  </si>
  <si>
    <t>Alex Garland</t>
  </si>
  <si>
    <t>Elina Alminas</t>
  </si>
  <si>
    <t>Ex MachinaÂ </t>
  </si>
  <si>
    <t>artificial intelligence|robot|robot human relationship|turing test|video surveillance</t>
  </si>
  <si>
    <t>StardustÂ </t>
  </si>
  <si>
    <t>king|magic|one word title|pirate|village</t>
  </si>
  <si>
    <t>The ImpossibleÂ </t>
  </si>
  <si>
    <t>christmas|resort|thailand|tourist|tsunami</t>
  </si>
  <si>
    <t>The Amazing Spider-Man 2Â </t>
  </si>
  <si>
    <t>costumed hero|death of girlfriend|masked vigilante|returning character killed off|teenager</t>
  </si>
  <si>
    <t>Karen Moncrieff</t>
  </si>
  <si>
    <t>Blue CarÂ </t>
  </si>
  <si>
    <t>contest|poetry|refusing to eat|starving oneself|teenage girl</t>
  </si>
  <si>
    <t>The FirmÂ </t>
  </si>
  <si>
    <t>bar|fbi|law|law firm|lawyer</t>
  </si>
  <si>
    <t>Erick Avari</t>
  </si>
  <si>
    <t>Paul Blart: Mall CopÂ </t>
  </si>
  <si>
    <t>cell phone|hostage|mall|security guard|text messaging</t>
  </si>
  <si>
    <t>Willard Huyck</t>
  </si>
  <si>
    <t>Howard the DuckÂ </t>
  </si>
  <si>
    <t>alien|duck|laser|planet|singer</t>
  </si>
  <si>
    <t>Currency symbol</t>
  </si>
  <si>
    <t>Country</t>
  </si>
  <si>
    <t>Currency</t>
  </si>
  <si>
    <t>USD</t>
  </si>
  <si>
    <t>EUR</t>
  </si>
  <si>
    <t>GBP</t>
  </si>
  <si>
    <t>AUD</t>
  </si>
  <si>
    <t>HKD</t>
  </si>
  <si>
    <t>CNY</t>
  </si>
  <si>
    <t>CAD</t>
  </si>
  <si>
    <t>INR</t>
  </si>
  <si>
    <t>NZD</t>
  </si>
  <si>
    <t>MXN</t>
  </si>
  <si>
    <t>KRW</t>
  </si>
  <si>
    <t>JPY</t>
  </si>
  <si>
    <t>ARS</t>
  </si>
  <si>
    <t>IRR</t>
  </si>
  <si>
    <t>BRL</t>
  </si>
  <si>
    <t>ISK</t>
  </si>
  <si>
    <t>TWD</t>
  </si>
  <si>
    <t>HUF</t>
  </si>
  <si>
    <t>DKK</t>
  </si>
  <si>
    <t>ZAR</t>
  </si>
  <si>
    <t>NOK</t>
  </si>
  <si>
    <t>THB</t>
  </si>
  <si>
    <t>PHP</t>
  </si>
  <si>
    <t>IDR</t>
  </si>
  <si>
    <t>PLN</t>
  </si>
  <si>
    <t>CZK</t>
  </si>
  <si>
    <t>COP</t>
  </si>
  <si>
    <t>AFN</t>
  </si>
  <si>
    <t>RUB</t>
  </si>
  <si>
    <t>PEN</t>
  </si>
  <si>
    <t>SEK</t>
  </si>
  <si>
    <t>GEL</t>
  </si>
  <si>
    <t>CLP</t>
  </si>
  <si>
    <t>RON</t>
  </si>
  <si>
    <t>AWG</t>
  </si>
  <si>
    <t>ILS</t>
  </si>
  <si>
    <t>Sum of budget_us_dollar</t>
  </si>
  <si>
    <t>Sum of gross_us_dollar</t>
  </si>
  <si>
    <t>Sum of profit _us_dollar</t>
  </si>
  <si>
    <t>A Nightmare on Elm Street</t>
  </si>
  <si>
    <t>Avat</t>
  </si>
  <si>
    <t>Casino Royale</t>
  </si>
  <si>
    <t>E.T. the Extra-Terrestrial</t>
  </si>
  <si>
    <t>Eddie the Eagle</t>
  </si>
  <si>
    <t>Glory</t>
  </si>
  <si>
    <t>Halloween</t>
  </si>
  <si>
    <t>Home</t>
  </si>
  <si>
    <t>Juno</t>
  </si>
  <si>
    <t>Jurassic World</t>
  </si>
  <si>
    <t>King Kong</t>
  </si>
  <si>
    <t>Lucky Number Slevin</t>
  </si>
  <si>
    <t>Skyfall</t>
  </si>
  <si>
    <t>Star Wars: Episode I - The Phantom Menace</t>
  </si>
  <si>
    <t>Star Wars: Episode IV - A New Hope</t>
  </si>
  <si>
    <t>The Avengers</t>
  </si>
  <si>
    <t>The Dark Knight</t>
  </si>
  <si>
    <t>The Jungle Book</t>
  </si>
  <si>
    <t>The Lion King</t>
  </si>
  <si>
    <t>The Texas Chain Saw Massacre</t>
  </si>
  <si>
    <t>Titanic</t>
  </si>
  <si>
    <t>Grand Total</t>
  </si>
  <si>
    <t>Row Labels</t>
  </si>
  <si>
    <t>Sum of imdb_score</t>
  </si>
  <si>
    <t>genres1</t>
  </si>
  <si>
    <t>Crime</t>
  </si>
  <si>
    <t>Biography</t>
  </si>
  <si>
    <t>Sum of budget</t>
  </si>
  <si>
    <t>Family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</si>
</sst>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EGP-C01]#,##0.00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</font>
    <font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168423"/>
        <bgColor rgb="FF168423"/>
      </patternFill>
    </fill>
    <fill>
      <patternFill patternType="solid">
        <fgColor rgb="FFFFFFFF"/>
        <bgColor rgb="FFFFFFFF"/>
      </patternFill>
    </fill>
    <fill>
      <patternFill patternType="solid">
        <fgColor rgb="FFF8F9FA"/>
        <bgColor rgb="FFF8F9FA"/>
      </patternFill>
    </fill>
    <fill>
      <patternFill patternType="solid">
        <fgColor theme="4" tint="-0.249977111117893"/>
        <bgColor indexed="64"/>
      </patternFill>
    </fill>
  </fills>
  <borders count="30">
    <border>
      <left/>
      <right/>
      <top/>
      <bottom/>
      <diagonal/>
    </border>
    <border>
      <left style="thin">
        <color rgb="FF284E3F"/>
      </left>
      <right/>
      <top style="thin">
        <color rgb="FF284E3F"/>
      </top>
      <bottom/>
      <diagonal/>
    </border>
    <border>
      <left style="thin">
        <color rgb="FF356854"/>
      </left>
      <right/>
      <top style="thin">
        <color rgb="FF284E3F"/>
      </top>
      <bottom/>
      <diagonal/>
    </border>
    <border>
      <left style="thin">
        <color rgb="FF284E3F"/>
      </left>
      <right/>
      <top/>
      <bottom/>
      <diagonal/>
    </border>
    <border>
      <left style="thin">
        <color rgb="FF356854"/>
      </left>
      <right/>
      <top/>
      <bottom/>
      <diagonal/>
    </border>
    <border>
      <left/>
      <right/>
      <top/>
      <bottom/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  <diagonal/>
    </border>
    <border>
      <left style="thin">
        <color rgb="FF284E3F"/>
      </left>
      <right style="thin">
        <color rgb="FFF8F9FA"/>
      </right>
      <top style="thin">
        <color rgb="FFF8F9FA"/>
      </top>
      <bottom style="thin">
        <color rgb="FFF8F9FA"/>
      </bottom>
      <diagonal/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  <diagonal/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  <diagonal/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/>
      <right style="thin">
        <color rgb="FFABABAB"/>
      </right>
      <top style="thin">
        <color indexed="65"/>
      </top>
      <bottom/>
      <diagonal/>
    </border>
    <border>
      <left/>
      <right/>
      <top style="thin">
        <color indexed="65"/>
      </top>
      <bottom/>
      <diagonal/>
    </border>
  </borders>
  <cellStyleXfs count="1">
    <xf numFmtId="0" fontId="0" fillId="0" borderId="0"/>
  </cellStyleXfs>
  <cellXfs count="60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2" fillId="2" borderId="4" xfId="0" applyFont="1" applyFill="1" applyBorder="1"/>
    <xf numFmtId="0" fontId="3" fillId="3" borderId="5" xfId="0" applyFont="1" applyFill="1" applyBorder="1" applyAlignment="1">
      <alignment vertical="center"/>
    </xf>
    <xf numFmtId="0" fontId="3" fillId="3" borderId="5" xfId="0" applyFont="1" applyFill="1" applyBorder="1"/>
    <xf numFmtId="0" fontId="3" fillId="4" borderId="5" xfId="0" applyFont="1" applyFill="1" applyBorder="1" applyAlignment="1">
      <alignment vertical="center"/>
    </xf>
    <xf numFmtId="0" fontId="3" fillId="4" borderId="5" xfId="0" applyFont="1" applyFill="1" applyBorder="1"/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4" fillId="0" borderId="8" xfId="0" applyFont="1" applyBorder="1" applyAlignment="1">
      <alignment horizontal="left" vertical="center"/>
    </xf>
    <xf numFmtId="0" fontId="4" fillId="0" borderId="9" xfId="0" applyFont="1" applyBorder="1" applyAlignment="1">
      <alignment vertical="center"/>
    </xf>
    <xf numFmtId="0" fontId="4" fillId="0" borderId="10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4" fillId="0" borderId="12" xfId="0" applyFont="1" applyBorder="1" applyAlignment="1">
      <alignment vertical="center"/>
    </xf>
    <xf numFmtId="0" fontId="4" fillId="0" borderId="13" xfId="0" applyFont="1" applyBorder="1" applyAlignment="1">
      <alignment vertical="center"/>
    </xf>
    <xf numFmtId="0" fontId="4" fillId="0" borderId="14" xfId="0" applyFont="1" applyBorder="1" applyAlignment="1">
      <alignment vertical="center"/>
    </xf>
    <xf numFmtId="0" fontId="4" fillId="0" borderId="15" xfId="0" applyFont="1" applyBorder="1" applyAlignment="1">
      <alignment vertical="center"/>
    </xf>
    <xf numFmtId="0" fontId="4" fillId="0" borderId="16" xfId="0" applyFont="1" applyBorder="1" applyAlignment="1">
      <alignment vertical="center"/>
    </xf>
    <xf numFmtId="0" fontId="4" fillId="0" borderId="17" xfId="0" applyFont="1" applyBorder="1" applyAlignment="1">
      <alignment vertical="center"/>
    </xf>
    <xf numFmtId="0" fontId="2" fillId="2" borderId="6" xfId="0" applyFont="1" applyFill="1" applyBorder="1" applyAlignment="1">
      <alignment horizontal="left" vertical="center"/>
    </xf>
    <xf numFmtId="0" fontId="2" fillId="2" borderId="8" xfId="0" applyFont="1" applyFill="1" applyBorder="1" applyAlignment="1">
      <alignment horizontal="left" vertical="center"/>
    </xf>
    <xf numFmtId="0" fontId="3" fillId="0" borderId="9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0" borderId="14" xfId="0" applyFont="1" applyBorder="1" applyAlignment="1">
      <alignment vertical="center"/>
    </xf>
    <xf numFmtId="164" fontId="3" fillId="0" borderId="0" xfId="0" applyNumberFormat="1" applyFont="1"/>
    <xf numFmtId="0" fontId="3" fillId="0" borderId="15" xfId="0" applyFont="1" applyBorder="1" applyAlignment="1">
      <alignment vertical="center"/>
    </xf>
    <xf numFmtId="0" fontId="3" fillId="0" borderId="17" xfId="0" applyFont="1" applyBorder="1" applyAlignment="1">
      <alignment vertical="center"/>
    </xf>
    <xf numFmtId="0" fontId="0" fillId="0" borderId="18" xfId="0" pivotButton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5" xfId="0" applyBorder="1"/>
    <xf numFmtId="0" fontId="0" fillId="0" borderId="18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21" xfId="0" applyBorder="1" applyAlignment="1">
      <alignment horizontal="left" indent="1"/>
    </xf>
    <xf numFmtId="0" fontId="0" fillId="0" borderId="21" xfId="0" applyBorder="1" applyAlignment="1">
      <alignment horizontal="left" indent="2"/>
    </xf>
    <xf numFmtId="10" fontId="0" fillId="0" borderId="25" xfId="0" applyNumberFormat="1" applyBorder="1"/>
    <xf numFmtId="10" fontId="0" fillId="0" borderId="27" xfId="0" applyNumberFormat="1" applyBorder="1"/>
    <xf numFmtId="10" fontId="0" fillId="0" borderId="26" xfId="0" applyNumberFormat="1" applyBorder="1"/>
    <xf numFmtId="0" fontId="1" fillId="0" borderId="0" xfId="0" applyFont="1"/>
    <xf numFmtId="0" fontId="5" fillId="3" borderId="0" xfId="0" applyFont="1" applyFill="1" applyAlignment="1">
      <alignment vertical="center"/>
    </xf>
    <xf numFmtId="0" fontId="6" fillId="2" borderId="0" xfId="0" applyFont="1" applyFill="1" applyAlignment="1">
      <alignment horizontal="left" vertical="center"/>
    </xf>
    <xf numFmtId="0" fontId="0" fillId="5" borderId="0" xfId="0" applyFill="1"/>
    <xf numFmtId="0" fontId="0" fillId="0" borderId="27" xfId="0" applyBorder="1"/>
    <xf numFmtId="0" fontId="0" fillId="0" borderId="26" xfId="0" applyBorder="1"/>
    <xf numFmtId="0" fontId="0" fillId="0" borderId="18" xfId="0" applyNumberFormat="1" applyBorder="1"/>
    <xf numFmtId="0" fontId="0" fillId="0" borderId="19" xfId="0" applyNumberFormat="1" applyBorder="1"/>
    <xf numFmtId="0" fontId="0" fillId="0" borderId="20" xfId="0" applyNumberFormat="1" applyBorder="1"/>
    <xf numFmtId="0" fontId="0" fillId="0" borderId="21" xfId="0" applyNumberFormat="1" applyBorder="1"/>
    <xf numFmtId="0" fontId="0" fillId="0" borderId="29" xfId="0" applyNumberFormat="1" applyBorder="1"/>
    <xf numFmtId="0" fontId="0" fillId="0" borderId="28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6" fillId="2" borderId="3" xfId="0" applyFont="1" applyFill="1" applyBorder="1" applyAlignment="1">
      <alignment horizontal="left"/>
    </xf>
    <xf numFmtId="0" fontId="6" fillId="2" borderId="2" xfId="0" applyFont="1" applyFill="1" applyBorder="1" applyAlignment="1">
      <alignment horizontal="left" vertical="center"/>
    </xf>
    <xf numFmtId="0" fontId="5" fillId="4" borderId="5" xfId="0" applyFont="1" applyFill="1" applyBorder="1" applyAlignment="1">
      <alignment vertical="center"/>
    </xf>
  </cellXfs>
  <cellStyles count="1">
    <cellStyle name="Normal" xfId="0" builtinId="0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FFFFF"/>
          <bgColor rgb="FFFFFFFF"/>
        </patternFill>
      </fill>
      <alignment horizontal="general" vertical="center" textRotation="0" wrapText="0" indent="0" justifyLastLine="0" shrinkToFit="0" readingOrder="0"/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2">
    <tableStyle name="Cost_in_dollars-style" pivot="0" count="3" xr9:uid="{00000000-0011-0000-FFFF-FFFF00000000}">
      <tableStyleElement type="headerRow" dxfId="25"/>
      <tableStyleElement type="firstRowStripe" dxfId="24"/>
      <tableStyleElement type="secondRowStripe" dxfId="23"/>
    </tableStyle>
    <tableStyle name="Currency-style" pivot="0" count="3" xr9:uid="{00000000-0011-0000-FFFF-FFFF01000000}">
      <tableStyleElement type="headerRow" dxfId="22"/>
      <tableStyleElement type="firstRowStripe" dxfId="21"/>
      <tableStyleElement type="secondRowStripe" dxfId="20"/>
    </tableStyle>
  </tableStyles>
  <colors>
    <mruColors>
      <color rgb="FF99CCFF"/>
      <color rgb="FF0066FF"/>
      <color rgb="FF00FF00"/>
      <color rgb="FF00CCFF"/>
      <color rgb="FFFFFF99"/>
      <color rgb="FF0099FF"/>
      <color rgb="FF21E6EB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ANALYSIS.xlsx]Charts!PivotTable7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Charts!$S$1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Charts!$R$2:$R$38</c:f>
              <c:multiLvlStrCache>
                <c:ptCount val="12"/>
                <c:lvl>
                  <c:pt idx="0">
                    <c:v>Horror</c:v>
                  </c:pt>
                  <c:pt idx="1">
                    <c:v>Action</c:v>
                  </c:pt>
                  <c:pt idx="2">
                    <c:v>Biography</c:v>
                  </c:pt>
                  <c:pt idx="3">
                    <c:v>Drama</c:v>
                  </c:pt>
                  <c:pt idx="4">
                    <c:v>Horror</c:v>
                  </c:pt>
                  <c:pt idx="5">
                    <c:v>Adventure</c:v>
                  </c:pt>
                  <c:pt idx="6">
                    <c:v>Comedy</c:v>
                  </c:pt>
                  <c:pt idx="7">
                    <c:v>Action</c:v>
                  </c:pt>
                  <c:pt idx="8">
                    <c:v>Crime</c:v>
                  </c:pt>
                  <c:pt idx="9">
                    <c:v>Action</c:v>
                  </c:pt>
                  <c:pt idx="10">
                    <c:v>Adventure</c:v>
                  </c:pt>
                  <c:pt idx="11">
                    <c:v>Horror</c:v>
                  </c:pt>
                </c:lvl>
                <c:lvl>
                  <c:pt idx="0">
                    <c:v>English</c:v>
                  </c:pt>
                  <c:pt idx="1">
                    <c:v>English</c:v>
                  </c:pt>
                  <c:pt idx="2">
                    <c:v>English</c:v>
                  </c:pt>
                  <c:pt idx="3">
                    <c:v>English</c:v>
                  </c:pt>
                  <c:pt idx="4">
                    <c:v>English</c:v>
                  </c:pt>
                  <c:pt idx="5">
                    <c:v>English</c:v>
                  </c:pt>
                  <c:pt idx="6">
                    <c:v>English</c:v>
                  </c:pt>
                  <c:pt idx="7">
                    <c:v>English</c:v>
                  </c:pt>
                  <c:pt idx="8">
                    <c:v>English</c:v>
                  </c:pt>
                  <c:pt idx="9">
                    <c:v>English</c:v>
                  </c:pt>
                  <c:pt idx="10">
                    <c:v>English</c:v>
                  </c:pt>
                  <c:pt idx="11">
                    <c:v>English</c:v>
                  </c:pt>
                </c:lvl>
                <c:lvl>
                  <c:pt idx="0">
                    <c:v>A Nightmare on Elm Street</c:v>
                  </c:pt>
                  <c:pt idx="1">
                    <c:v>Casino Royale</c:v>
                  </c:pt>
                  <c:pt idx="2">
                    <c:v>Eddie the Eagle</c:v>
                  </c:pt>
                  <c:pt idx="3">
                    <c:v>Glory</c:v>
                  </c:pt>
                  <c:pt idx="4">
                    <c:v>Halloween</c:v>
                  </c:pt>
                  <c:pt idx="5">
                    <c:v>Home</c:v>
                  </c:pt>
                  <c:pt idx="6">
                    <c:v>Juno</c:v>
                  </c:pt>
                  <c:pt idx="7">
                    <c:v>King Kong</c:v>
                  </c:pt>
                  <c:pt idx="8">
                    <c:v>Lucky Number Slevin</c:v>
                  </c:pt>
                  <c:pt idx="9">
                    <c:v>Skyfall</c:v>
                  </c:pt>
                  <c:pt idx="10">
                    <c:v>The Jungle Book</c:v>
                  </c:pt>
                  <c:pt idx="11">
                    <c:v>The Texas Chain Saw Massacre</c:v>
                  </c:pt>
                </c:lvl>
              </c:multiLvlStrCache>
            </c:multiLvlStrRef>
          </c:cat>
          <c:val>
            <c:numRef>
              <c:f>Charts!$S$2:$S$38</c:f>
              <c:numCache>
                <c:formatCode>General</c:formatCode>
                <c:ptCount val="12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15.8</c:v>
                </c:pt>
                <c:pt idx="4">
                  <c:v>15.8</c:v>
                </c:pt>
                <c:pt idx="5">
                  <c:v>20.100000000000001</c:v>
                </c:pt>
                <c:pt idx="6">
                  <c:v>15</c:v>
                </c:pt>
                <c:pt idx="7">
                  <c:v>21.6</c:v>
                </c:pt>
                <c:pt idx="8">
                  <c:v>15.6</c:v>
                </c:pt>
                <c:pt idx="9">
                  <c:v>15.6</c:v>
                </c:pt>
                <c:pt idx="10">
                  <c:v>15.6</c:v>
                </c:pt>
                <c:pt idx="1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C-4BCB-B588-1BA60E8C0D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11109056"/>
        <c:axId val="511109536"/>
      </c:barChart>
      <c:catAx>
        <c:axId val="51110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09536"/>
        <c:crosses val="autoZero"/>
        <c:auto val="1"/>
        <c:lblAlgn val="ctr"/>
        <c:lblOffset val="100"/>
        <c:noMultiLvlLbl val="0"/>
      </c:catAx>
      <c:valAx>
        <c:axId val="51110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0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ANALYSIS.xlsx]Charts!PivotTable8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Charts!$AI$1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Charts!$AH$2:$AH$12</c:f>
              <c:strCache>
                <c:ptCount val="10"/>
                <c:pt idx="0">
                  <c:v>Clint Eastwood</c:v>
                </c:pt>
                <c:pt idx="1">
                  <c:v>Martin Scorsese</c:v>
                </c:pt>
                <c:pt idx="2">
                  <c:v>Michael Bay</c:v>
                </c:pt>
                <c:pt idx="3">
                  <c:v>Peter Jackson</c:v>
                </c:pt>
                <c:pt idx="4">
                  <c:v>Ridley Scott</c:v>
                </c:pt>
                <c:pt idx="5">
                  <c:v>Robert Zemeckis</c:v>
                </c:pt>
                <c:pt idx="6">
                  <c:v>Steven Soderbergh</c:v>
                </c:pt>
                <c:pt idx="7">
                  <c:v>Steven Spielberg</c:v>
                </c:pt>
                <c:pt idx="8">
                  <c:v>Tim Burton</c:v>
                </c:pt>
                <c:pt idx="9">
                  <c:v>Woody Allen</c:v>
                </c:pt>
              </c:strCache>
            </c:strRef>
          </c:cat>
          <c:val>
            <c:numRef>
              <c:f>Charts!$AI$2:$AI$12</c:f>
              <c:numCache>
                <c:formatCode>General</c:formatCode>
                <c:ptCount val="10"/>
                <c:pt idx="0">
                  <c:v>128.9</c:v>
                </c:pt>
                <c:pt idx="1">
                  <c:v>114.60000000000001</c:v>
                </c:pt>
                <c:pt idx="2">
                  <c:v>86.3</c:v>
                </c:pt>
                <c:pt idx="3">
                  <c:v>92.100000000000009</c:v>
                </c:pt>
                <c:pt idx="4">
                  <c:v>120.19999999999997</c:v>
                </c:pt>
                <c:pt idx="5">
                  <c:v>94.999999999999986</c:v>
                </c:pt>
                <c:pt idx="6">
                  <c:v>89.299999999999983</c:v>
                </c:pt>
                <c:pt idx="7">
                  <c:v>188.60000000000002</c:v>
                </c:pt>
                <c:pt idx="8">
                  <c:v>110.9</c:v>
                </c:pt>
                <c:pt idx="9">
                  <c:v>119.39999999999999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2-44E7-84AD-B1DC1A0CE6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66894608"/>
        <c:axId val="466881168"/>
      </c:barChart>
      <c:catAx>
        <c:axId val="46689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881168"/>
        <c:crosses val="autoZero"/>
        <c:auto val="1"/>
        <c:lblAlgn val="ctr"/>
        <c:lblOffset val="100"/>
        <c:noMultiLvlLbl val="0"/>
      </c:catAx>
      <c:valAx>
        <c:axId val="46688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89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ANALYSIS.xlsx]Charts!PivotTable1</c:name>
    <c:fmtId val="0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9CC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1250826094120679"/>
              <c:y val="-0.137826603027554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3350980298356541"/>
              <c:y val="-7.34850257023398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21E6EB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7551288706828266"/>
              <c:y val="-4.91091846706165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20251486969417232"/>
              <c:y val="-8.55901825406488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66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8601365808946208"/>
              <c:y val="-0.3358882913792168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99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1506718898848177E-2"/>
              <c:y val="-0.147675024658103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6503414522365463E-2"/>
              <c:y val="-0.141883847220531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217515971153"/>
              <c:y val="-0.133197081064172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6201189575533784"/>
              <c:y val="-0.1534662020956766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1003804019468357E-2"/>
              <c:y val="-0.13609255578340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740568352755034E-2"/>
                  <c:h val="4.0494922231782977E-2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Charts!$BC$1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A94B-4FB0-B948-07BA8E646C8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A94B-4FB0-B948-07BA8E646C84}"/>
              </c:ext>
            </c:extLst>
          </c:dPt>
          <c:dPt>
            <c:idx val="2"/>
            <c:bubble3D val="0"/>
            <c:spPr>
              <a:solidFill>
                <a:srgbClr val="0099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A94B-4FB0-B948-07BA8E646C8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A94B-4FB0-B948-07BA8E646C84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A94B-4FB0-B948-07BA8E646C84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94B-4FB0-B948-07BA8E646C84}"/>
              </c:ext>
            </c:extLst>
          </c:dPt>
          <c:dPt>
            <c:idx val="6"/>
            <c:bubble3D val="0"/>
            <c:spPr>
              <a:solidFill>
                <a:srgbClr val="21E6EB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A94B-4FB0-B948-07BA8E646C84}"/>
              </c:ext>
            </c:extLst>
          </c:dPt>
          <c:dPt>
            <c:idx val="7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94B-4FB0-B948-07BA8E646C84}"/>
              </c:ext>
            </c:extLst>
          </c:dPt>
          <c:dPt>
            <c:idx val="8"/>
            <c:bubble3D val="0"/>
            <c:spPr>
              <a:solidFill>
                <a:srgbClr val="99CC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A94B-4FB0-B948-07BA8E646C84}"/>
              </c:ext>
            </c:extLst>
          </c:dPt>
          <c:dPt>
            <c:idx val="9"/>
            <c:bubble3D val="0"/>
            <c:spPr>
              <a:solidFill>
                <a:srgbClr val="0066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A94B-4FB0-B948-07BA8E646C84}"/>
              </c:ext>
            </c:extLst>
          </c:dPt>
          <c:dLbls>
            <c:dLbl>
              <c:idx val="0"/>
              <c:layout>
                <c:manualLayout>
                  <c:x val="-5.1003804019468357E-2"/>
                  <c:y val="-0.1360925557834026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740568352755034E-2"/>
                      <c:h val="4.04949222317829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A94B-4FB0-B948-07BA8E646C84}"/>
                </c:ext>
              </c:extLst>
            </c:dLbl>
            <c:dLbl>
              <c:idx val="1"/>
              <c:layout>
                <c:manualLayout>
                  <c:x val="4.6503414522365463E-2"/>
                  <c:y val="-0.141883847220531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94B-4FB0-B948-07BA8E646C84}"/>
                </c:ext>
              </c:extLst>
            </c:dLbl>
            <c:dLbl>
              <c:idx val="2"/>
              <c:layout>
                <c:manualLayout>
                  <c:x val="9.1506718898848177E-2"/>
                  <c:y val="-0.1476750246581039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94B-4FB0-B948-07BA8E646C84}"/>
                </c:ext>
              </c:extLst>
            </c:dLbl>
            <c:dLbl>
              <c:idx val="3"/>
              <c:layout>
                <c:manualLayout>
                  <c:x val="0.16201189575533784"/>
                  <c:y val="-0.1534662020956766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94B-4FB0-B948-07BA8E646C84}"/>
                </c:ext>
              </c:extLst>
            </c:dLbl>
            <c:dLbl>
              <c:idx val="4"/>
              <c:layout>
                <c:manualLayout>
                  <c:x val="0.217515971153"/>
                  <c:y val="-0.133197081064172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94B-4FB0-B948-07BA8E646C84}"/>
                </c:ext>
              </c:extLst>
            </c:dLbl>
            <c:dLbl>
              <c:idx val="5"/>
              <c:layout>
                <c:manualLayout>
                  <c:x val="0.20251486969417232"/>
                  <c:y val="-8.559018254064881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94B-4FB0-B948-07BA8E646C84}"/>
                </c:ext>
              </c:extLst>
            </c:dLbl>
            <c:dLbl>
              <c:idx val="6"/>
              <c:layout>
                <c:manualLayout>
                  <c:x val="0.17551288706828266"/>
                  <c:y val="-4.9109184670616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94B-4FB0-B948-07BA8E646C84}"/>
                </c:ext>
              </c:extLst>
            </c:dLbl>
            <c:dLbl>
              <c:idx val="7"/>
              <c:layout>
                <c:manualLayout>
                  <c:x val="0.13350980298356541"/>
                  <c:y val="-7.34850257023398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94B-4FB0-B948-07BA8E646C84}"/>
                </c:ext>
              </c:extLst>
            </c:dLbl>
            <c:dLbl>
              <c:idx val="8"/>
              <c:layout>
                <c:manualLayout>
                  <c:x val="0.11250826094120679"/>
                  <c:y val="-0.1378266030275546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4B-4FB0-B948-07BA8E646C84}"/>
                </c:ext>
              </c:extLst>
            </c:dLbl>
            <c:dLbl>
              <c:idx val="9"/>
              <c:layout>
                <c:manualLayout>
                  <c:x val="-0.18601365808946208"/>
                  <c:y val="-0.3358882913792168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94B-4FB0-B948-07BA8E646C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Charts!$BB$2:$BB$12</c:f>
              <c:strCache>
                <c:ptCount val="10"/>
                <c:pt idx="0">
                  <c:v>Australia</c:v>
                </c:pt>
                <c:pt idx="1">
                  <c:v>Canada</c:v>
                </c:pt>
                <c:pt idx="2">
                  <c:v>France</c:v>
                </c:pt>
                <c:pt idx="3">
                  <c:v>Germany</c:v>
                </c:pt>
                <c:pt idx="4">
                  <c:v>Hungary</c:v>
                </c:pt>
                <c:pt idx="5">
                  <c:v>India</c:v>
                </c:pt>
                <c:pt idx="6">
                  <c:v>Japan</c:v>
                </c:pt>
                <c:pt idx="7">
                  <c:v>South Korea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Charts!$BC$2:$BC$12</c:f>
              <c:numCache>
                <c:formatCode>0.00%</c:formatCode>
                <c:ptCount val="10"/>
                <c:pt idx="0">
                  <c:v>8.8681441180427107E-3</c:v>
                </c:pt>
                <c:pt idx="1">
                  <c:v>7.999835330565858E-3</c:v>
                </c:pt>
                <c:pt idx="2">
                  <c:v>2.1123278340282808E-2</c:v>
                </c:pt>
                <c:pt idx="3">
                  <c:v>1.8274673288812243E-2</c:v>
                </c:pt>
                <c:pt idx="4">
                  <c:v>1.588882717630653E-2</c:v>
                </c:pt>
                <c:pt idx="5">
                  <c:v>9.9289012932306363E-3</c:v>
                </c:pt>
                <c:pt idx="6">
                  <c:v>4.3624413692869214E-2</c:v>
                </c:pt>
                <c:pt idx="7">
                  <c:v>7.781439617973436E-2</c:v>
                </c:pt>
                <c:pt idx="8">
                  <c:v>6.0526524567949311E-2</c:v>
                </c:pt>
                <c:pt idx="9">
                  <c:v>0.73595100601220631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4B-4FB0-B948-07BA8E646C8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ANALYSIS.xlsx]Charts!PivotTable4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Charts!$B$1</c:f>
              <c:strCache>
                <c:ptCount val="1"/>
                <c:pt idx="0">
                  <c:v>Sum of budget_us_dollar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Charts!$A$2:$A$32</c:f>
              <c:multiLvlStrCache>
                <c:ptCount val="10"/>
                <c:lvl>
                  <c:pt idx="0">
                    <c:v>Action</c:v>
                  </c:pt>
                  <c:pt idx="1">
                    <c:v>Family</c:v>
                  </c:pt>
                  <c:pt idx="2">
                    <c:v>Action</c:v>
                  </c:pt>
                  <c:pt idx="3">
                    <c:v>Action</c:v>
                  </c:pt>
                  <c:pt idx="4">
                    <c:v>Action</c:v>
                  </c:pt>
                  <c:pt idx="5">
                    <c:v>Action</c:v>
                  </c:pt>
                  <c:pt idx="6">
                    <c:v>Action</c:v>
                  </c:pt>
                  <c:pt idx="7">
                    <c:v>Adventure</c:v>
                  </c:pt>
                  <c:pt idx="8">
                    <c:v>Adventure</c:v>
                  </c:pt>
                  <c:pt idx="9">
                    <c:v>Drama</c:v>
                  </c:pt>
                </c:lvl>
                <c:lvl>
                  <c:pt idx="0">
                    <c:v>2009</c:v>
                  </c:pt>
                  <c:pt idx="1">
                    <c:v>1982</c:v>
                  </c:pt>
                  <c:pt idx="2">
                    <c:v>2015</c:v>
                  </c:pt>
                  <c:pt idx="3">
                    <c:v>1999</c:v>
                  </c:pt>
                  <c:pt idx="4">
                    <c:v>1977</c:v>
                  </c:pt>
                  <c:pt idx="5">
                    <c:v>2012</c:v>
                  </c:pt>
                  <c:pt idx="6">
                    <c:v>2008</c:v>
                  </c:pt>
                  <c:pt idx="7">
                    <c:v>2016</c:v>
                  </c:pt>
                  <c:pt idx="8">
                    <c:v>1994</c:v>
                  </c:pt>
                  <c:pt idx="9">
                    <c:v>1997</c:v>
                  </c:pt>
                </c:lvl>
                <c:lvl>
                  <c:pt idx="0">
                    <c:v>Avat</c:v>
                  </c:pt>
                  <c:pt idx="1">
                    <c:v>E.T. the Extra-Terrestrial</c:v>
                  </c:pt>
                  <c:pt idx="2">
                    <c:v>Jurassic World</c:v>
                  </c:pt>
                  <c:pt idx="3">
                    <c:v>Star Wars: Episode I - The Phantom Menace</c:v>
                  </c:pt>
                  <c:pt idx="4">
                    <c:v>Star Wars: Episode IV - A New Hope</c:v>
                  </c:pt>
                  <c:pt idx="5">
                    <c:v>The Avengers</c:v>
                  </c:pt>
                  <c:pt idx="6">
                    <c:v>The Dark Knight</c:v>
                  </c:pt>
                  <c:pt idx="7">
                    <c:v>The Jungle Book</c:v>
                  </c:pt>
                  <c:pt idx="8">
                    <c:v>The Lion King</c:v>
                  </c:pt>
                  <c:pt idx="9">
                    <c:v>Titanic</c:v>
                  </c:pt>
                </c:lvl>
              </c:multiLvlStrCache>
            </c:multiLvlStrRef>
          </c:cat>
          <c:val>
            <c:numRef>
              <c:f>Charts!$B$2:$B$32</c:f>
              <c:numCache>
                <c:formatCode>General</c:formatCode>
                <c:ptCount val="10"/>
                <c:pt idx="0">
                  <c:v>237000000</c:v>
                </c:pt>
                <c:pt idx="1">
                  <c:v>10500000</c:v>
                </c:pt>
                <c:pt idx="2">
                  <c:v>150000000</c:v>
                </c:pt>
                <c:pt idx="3">
                  <c:v>115000000</c:v>
                </c:pt>
                <c:pt idx="4">
                  <c:v>11000000</c:v>
                </c:pt>
                <c:pt idx="5">
                  <c:v>220000000</c:v>
                </c:pt>
                <c:pt idx="6">
                  <c:v>185000000</c:v>
                </c:pt>
                <c:pt idx="7">
                  <c:v>449889999.99999797</c:v>
                </c:pt>
                <c:pt idx="8">
                  <c:v>45000000</c:v>
                </c:pt>
                <c:pt idx="9">
                  <c:v>200000000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AB-43F4-8A9E-22EC6D508955}"/>
            </c:ext>
          </c:extLst>
        </c:ser>
        <c:ser>
          <c:idx val="1"/>
          <c:order val="1"/>
          <c:tx>
            <c:strRef>
              <c:f>Charts!$C$1</c:f>
              <c:strCache>
                <c:ptCount val="1"/>
                <c:pt idx="0">
                  <c:v>Sum of profit _us_dollar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Charts!$A$2:$A$32</c:f>
              <c:multiLvlStrCache>
                <c:ptCount val="10"/>
                <c:lvl>
                  <c:pt idx="0">
                    <c:v>Action</c:v>
                  </c:pt>
                  <c:pt idx="1">
                    <c:v>Family</c:v>
                  </c:pt>
                  <c:pt idx="2">
                    <c:v>Action</c:v>
                  </c:pt>
                  <c:pt idx="3">
                    <c:v>Action</c:v>
                  </c:pt>
                  <c:pt idx="4">
                    <c:v>Action</c:v>
                  </c:pt>
                  <c:pt idx="5">
                    <c:v>Action</c:v>
                  </c:pt>
                  <c:pt idx="6">
                    <c:v>Action</c:v>
                  </c:pt>
                  <c:pt idx="7">
                    <c:v>Adventure</c:v>
                  </c:pt>
                  <c:pt idx="8">
                    <c:v>Adventure</c:v>
                  </c:pt>
                  <c:pt idx="9">
                    <c:v>Drama</c:v>
                  </c:pt>
                </c:lvl>
                <c:lvl>
                  <c:pt idx="0">
                    <c:v>2009</c:v>
                  </c:pt>
                  <c:pt idx="1">
                    <c:v>1982</c:v>
                  </c:pt>
                  <c:pt idx="2">
                    <c:v>2015</c:v>
                  </c:pt>
                  <c:pt idx="3">
                    <c:v>1999</c:v>
                  </c:pt>
                  <c:pt idx="4">
                    <c:v>1977</c:v>
                  </c:pt>
                  <c:pt idx="5">
                    <c:v>2012</c:v>
                  </c:pt>
                  <c:pt idx="6">
                    <c:v>2008</c:v>
                  </c:pt>
                  <c:pt idx="7">
                    <c:v>2016</c:v>
                  </c:pt>
                  <c:pt idx="8">
                    <c:v>1994</c:v>
                  </c:pt>
                  <c:pt idx="9">
                    <c:v>1997</c:v>
                  </c:pt>
                </c:lvl>
                <c:lvl>
                  <c:pt idx="0">
                    <c:v>Avat</c:v>
                  </c:pt>
                  <c:pt idx="1">
                    <c:v>E.T. the Extra-Terrestrial</c:v>
                  </c:pt>
                  <c:pt idx="2">
                    <c:v>Jurassic World</c:v>
                  </c:pt>
                  <c:pt idx="3">
                    <c:v>Star Wars: Episode I - The Phantom Menace</c:v>
                  </c:pt>
                  <c:pt idx="4">
                    <c:v>Star Wars: Episode IV - A New Hope</c:v>
                  </c:pt>
                  <c:pt idx="5">
                    <c:v>The Avengers</c:v>
                  </c:pt>
                  <c:pt idx="6">
                    <c:v>The Dark Knight</c:v>
                  </c:pt>
                  <c:pt idx="7">
                    <c:v>The Jungle Book</c:v>
                  </c:pt>
                  <c:pt idx="8">
                    <c:v>The Lion King</c:v>
                  </c:pt>
                  <c:pt idx="9">
                    <c:v>Titanic</c:v>
                  </c:pt>
                </c:lvl>
              </c:multiLvlStrCache>
            </c:multiLvlStrRef>
          </c:cat>
          <c:val>
            <c:numRef>
              <c:f>Charts!$C$2:$C$32</c:f>
              <c:numCache>
                <c:formatCode>General</c:formatCode>
                <c:ptCount val="10"/>
                <c:pt idx="0">
                  <c:v>523505847</c:v>
                </c:pt>
                <c:pt idx="1">
                  <c:v>424449459</c:v>
                </c:pt>
                <c:pt idx="2">
                  <c:v>502177271</c:v>
                </c:pt>
                <c:pt idx="3">
                  <c:v>359544677</c:v>
                </c:pt>
                <c:pt idx="4">
                  <c:v>449935665</c:v>
                </c:pt>
                <c:pt idx="5">
                  <c:v>403279547</c:v>
                </c:pt>
                <c:pt idx="6">
                  <c:v>348316061</c:v>
                </c:pt>
                <c:pt idx="7">
                  <c:v>482398128.48280001</c:v>
                </c:pt>
                <c:pt idx="8">
                  <c:v>377783777</c:v>
                </c:pt>
                <c:pt idx="9">
                  <c:v>458672302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AB-43F4-8A9E-22EC6D508955}"/>
            </c:ext>
          </c:extLst>
        </c:ser>
        <c:ser>
          <c:idx val="2"/>
          <c:order val="2"/>
          <c:tx>
            <c:strRef>
              <c:f>Charts!$D$1</c:f>
              <c:strCache>
                <c:ptCount val="1"/>
                <c:pt idx="0">
                  <c:v>Sum of gross_us_dollar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Charts!$A$2:$A$32</c:f>
              <c:multiLvlStrCache>
                <c:ptCount val="10"/>
                <c:lvl>
                  <c:pt idx="0">
                    <c:v>Action</c:v>
                  </c:pt>
                  <c:pt idx="1">
                    <c:v>Family</c:v>
                  </c:pt>
                  <c:pt idx="2">
                    <c:v>Action</c:v>
                  </c:pt>
                  <c:pt idx="3">
                    <c:v>Action</c:v>
                  </c:pt>
                  <c:pt idx="4">
                    <c:v>Action</c:v>
                  </c:pt>
                  <c:pt idx="5">
                    <c:v>Action</c:v>
                  </c:pt>
                  <c:pt idx="6">
                    <c:v>Action</c:v>
                  </c:pt>
                  <c:pt idx="7">
                    <c:v>Adventure</c:v>
                  </c:pt>
                  <c:pt idx="8">
                    <c:v>Adventure</c:v>
                  </c:pt>
                  <c:pt idx="9">
                    <c:v>Drama</c:v>
                  </c:pt>
                </c:lvl>
                <c:lvl>
                  <c:pt idx="0">
                    <c:v>2009</c:v>
                  </c:pt>
                  <c:pt idx="1">
                    <c:v>1982</c:v>
                  </c:pt>
                  <c:pt idx="2">
                    <c:v>2015</c:v>
                  </c:pt>
                  <c:pt idx="3">
                    <c:v>1999</c:v>
                  </c:pt>
                  <c:pt idx="4">
                    <c:v>1977</c:v>
                  </c:pt>
                  <c:pt idx="5">
                    <c:v>2012</c:v>
                  </c:pt>
                  <c:pt idx="6">
                    <c:v>2008</c:v>
                  </c:pt>
                  <c:pt idx="7">
                    <c:v>2016</c:v>
                  </c:pt>
                  <c:pt idx="8">
                    <c:v>1994</c:v>
                  </c:pt>
                  <c:pt idx="9">
                    <c:v>1997</c:v>
                  </c:pt>
                </c:lvl>
                <c:lvl>
                  <c:pt idx="0">
                    <c:v>Avat</c:v>
                  </c:pt>
                  <c:pt idx="1">
                    <c:v>E.T. the Extra-Terrestrial</c:v>
                  </c:pt>
                  <c:pt idx="2">
                    <c:v>Jurassic World</c:v>
                  </c:pt>
                  <c:pt idx="3">
                    <c:v>Star Wars: Episode I - The Phantom Menace</c:v>
                  </c:pt>
                  <c:pt idx="4">
                    <c:v>Star Wars: Episode IV - A New Hope</c:v>
                  </c:pt>
                  <c:pt idx="5">
                    <c:v>The Avengers</c:v>
                  </c:pt>
                  <c:pt idx="6">
                    <c:v>The Dark Knight</c:v>
                  </c:pt>
                  <c:pt idx="7">
                    <c:v>The Jungle Book</c:v>
                  </c:pt>
                  <c:pt idx="8">
                    <c:v>The Lion King</c:v>
                  </c:pt>
                  <c:pt idx="9">
                    <c:v>Titanic</c:v>
                  </c:pt>
                </c:lvl>
              </c:multiLvlStrCache>
            </c:multiLvlStrRef>
          </c:cat>
          <c:val>
            <c:numRef>
              <c:f>Charts!$D$2:$D$32</c:f>
              <c:numCache>
                <c:formatCode>General</c:formatCode>
                <c:ptCount val="10"/>
                <c:pt idx="0">
                  <c:v>760505847</c:v>
                </c:pt>
                <c:pt idx="1">
                  <c:v>434949459</c:v>
                </c:pt>
                <c:pt idx="2">
                  <c:v>652177271</c:v>
                </c:pt>
                <c:pt idx="3">
                  <c:v>474544677</c:v>
                </c:pt>
                <c:pt idx="4">
                  <c:v>460935665</c:v>
                </c:pt>
                <c:pt idx="5">
                  <c:v>623279547</c:v>
                </c:pt>
                <c:pt idx="6">
                  <c:v>533316061</c:v>
                </c:pt>
                <c:pt idx="7">
                  <c:v>932288128.48279798</c:v>
                </c:pt>
                <c:pt idx="8">
                  <c:v>422783777</c:v>
                </c:pt>
                <c:pt idx="9">
                  <c:v>658672302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AB-43F4-8A9E-22EC6D508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25596544"/>
        <c:axId val="1125596064"/>
      </c:barChart>
      <c:catAx>
        <c:axId val="112559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596064"/>
        <c:crosses val="autoZero"/>
        <c:auto val="1"/>
        <c:lblAlgn val="ctr"/>
        <c:lblOffset val="100"/>
        <c:noMultiLvlLbl val="0"/>
      </c:catAx>
      <c:valAx>
        <c:axId val="112559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59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ANALYSIS.xlsx]Charts!PivotTable7</c:name>
    <c:fmtId val="8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Charts!$S$1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Charts!$R$2:$R$38</c:f>
              <c:multiLvlStrCache>
                <c:ptCount val="12"/>
                <c:lvl>
                  <c:pt idx="0">
                    <c:v>Horror</c:v>
                  </c:pt>
                  <c:pt idx="1">
                    <c:v>Action</c:v>
                  </c:pt>
                  <c:pt idx="2">
                    <c:v>Biography</c:v>
                  </c:pt>
                  <c:pt idx="3">
                    <c:v>Drama</c:v>
                  </c:pt>
                  <c:pt idx="4">
                    <c:v>Horror</c:v>
                  </c:pt>
                  <c:pt idx="5">
                    <c:v>Adventure</c:v>
                  </c:pt>
                  <c:pt idx="6">
                    <c:v>Comedy</c:v>
                  </c:pt>
                  <c:pt idx="7">
                    <c:v>Action</c:v>
                  </c:pt>
                  <c:pt idx="8">
                    <c:v>Crime</c:v>
                  </c:pt>
                  <c:pt idx="9">
                    <c:v>Action</c:v>
                  </c:pt>
                  <c:pt idx="10">
                    <c:v>Adventure</c:v>
                  </c:pt>
                  <c:pt idx="11">
                    <c:v>Horror</c:v>
                  </c:pt>
                </c:lvl>
                <c:lvl>
                  <c:pt idx="0">
                    <c:v>English</c:v>
                  </c:pt>
                  <c:pt idx="1">
                    <c:v>English</c:v>
                  </c:pt>
                  <c:pt idx="2">
                    <c:v>English</c:v>
                  </c:pt>
                  <c:pt idx="3">
                    <c:v>English</c:v>
                  </c:pt>
                  <c:pt idx="4">
                    <c:v>English</c:v>
                  </c:pt>
                  <c:pt idx="5">
                    <c:v>English</c:v>
                  </c:pt>
                  <c:pt idx="6">
                    <c:v>English</c:v>
                  </c:pt>
                  <c:pt idx="7">
                    <c:v>English</c:v>
                  </c:pt>
                  <c:pt idx="8">
                    <c:v>English</c:v>
                  </c:pt>
                  <c:pt idx="9">
                    <c:v>English</c:v>
                  </c:pt>
                  <c:pt idx="10">
                    <c:v>English</c:v>
                  </c:pt>
                  <c:pt idx="11">
                    <c:v>English</c:v>
                  </c:pt>
                </c:lvl>
                <c:lvl>
                  <c:pt idx="0">
                    <c:v>A Nightmare on Elm Street</c:v>
                  </c:pt>
                  <c:pt idx="1">
                    <c:v>Casino Royale</c:v>
                  </c:pt>
                  <c:pt idx="2">
                    <c:v>Eddie the Eagle</c:v>
                  </c:pt>
                  <c:pt idx="3">
                    <c:v>Glory</c:v>
                  </c:pt>
                  <c:pt idx="4">
                    <c:v>Halloween</c:v>
                  </c:pt>
                  <c:pt idx="5">
                    <c:v>Home</c:v>
                  </c:pt>
                  <c:pt idx="6">
                    <c:v>Juno</c:v>
                  </c:pt>
                  <c:pt idx="7">
                    <c:v>King Kong</c:v>
                  </c:pt>
                  <c:pt idx="8">
                    <c:v>Lucky Number Slevin</c:v>
                  </c:pt>
                  <c:pt idx="9">
                    <c:v>Skyfall</c:v>
                  </c:pt>
                  <c:pt idx="10">
                    <c:v>The Jungle Book</c:v>
                  </c:pt>
                  <c:pt idx="11">
                    <c:v>The Texas Chain Saw Massacre</c:v>
                  </c:pt>
                </c:lvl>
              </c:multiLvlStrCache>
            </c:multiLvlStrRef>
          </c:cat>
          <c:val>
            <c:numRef>
              <c:f>Charts!$S$2:$S$38</c:f>
              <c:numCache>
                <c:formatCode>General</c:formatCode>
                <c:ptCount val="12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15.8</c:v>
                </c:pt>
                <c:pt idx="4">
                  <c:v>15.8</c:v>
                </c:pt>
                <c:pt idx="5">
                  <c:v>20.100000000000001</c:v>
                </c:pt>
                <c:pt idx="6">
                  <c:v>15</c:v>
                </c:pt>
                <c:pt idx="7">
                  <c:v>21.6</c:v>
                </c:pt>
                <c:pt idx="8">
                  <c:v>15.6</c:v>
                </c:pt>
                <c:pt idx="9">
                  <c:v>15.6</c:v>
                </c:pt>
                <c:pt idx="10">
                  <c:v>15.6</c:v>
                </c:pt>
                <c:pt idx="1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2C-4C3D-9A22-FCB49822E3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11109056"/>
        <c:axId val="511109536"/>
      </c:barChart>
      <c:catAx>
        <c:axId val="51110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09536"/>
        <c:crosses val="autoZero"/>
        <c:auto val="1"/>
        <c:lblAlgn val="ctr"/>
        <c:lblOffset val="100"/>
        <c:noMultiLvlLbl val="0"/>
      </c:catAx>
      <c:valAx>
        <c:axId val="51110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0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ANALYSIS.xlsx]Charts!PivotTable8</c:name>
    <c:fmtId val="11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Charts!$AI$1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Charts!$AH$2:$AH$12</c:f>
              <c:strCache>
                <c:ptCount val="10"/>
                <c:pt idx="0">
                  <c:v>Clint Eastwood</c:v>
                </c:pt>
                <c:pt idx="1">
                  <c:v>Martin Scorsese</c:v>
                </c:pt>
                <c:pt idx="2">
                  <c:v>Michael Bay</c:v>
                </c:pt>
                <c:pt idx="3">
                  <c:v>Peter Jackson</c:v>
                </c:pt>
                <c:pt idx="4">
                  <c:v>Ridley Scott</c:v>
                </c:pt>
                <c:pt idx="5">
                  <c:v>Robert Zemeckis</c:v>
                </c:pt>
                <c:pt idx="6">
                  <c:v>Steven Soderbergh</c:v>
                </c:pt>
                <c:pt idx="7">
                  <c:v>Steven Spielberg</c:v>
                </c:pt>
                <c:pt idx="8">
                  <c:v>Tim Burton</c:v>
                </c:pt>
                <c:pt idx="9">
                  <c:v>Woody Allen</c:v>
                </c:pt>
              </c:strCache>
            </c:strRef>
          </c:cat>
          <c:val>
            <c:numRef>
              <c:f>Charts!$AI$2:$AI$12</c:f>
              <c:numCache>
                <c:formatCode>General</c:formatCode>
                <c:ptCount val="10"/>
                <c:pt idx="0">
                  <c:v>128.9</c:v>
                </c:pt>
                <c:pt idx="1">
                  <c:v>114.60000000000001</c:v>
                </c:pt>
                <c:pt idx="2">
                  <c:v>86.3</c:v>
                </c:pt>
                <c:pt idx="3">
                  <c:v>92.100000000000009</c:v>
                </c:pt>
                <c:pt idx="4">
                  <c:v>120.19999999999997</c:v>
                </c:pt>
                <c:pt idx="5">
                  <c:v>94.999999999999986</c:v>
                </c:pt>
                <c:pt idx="6">
                  <c:v>89.299999999999983</c:v>
                </c:pt>
                <c:pt idx="7">
                  <c:v>188.60000000000002</c:v>
                </c:pt>
                <c:pt idx="8">
                  <c:v>110.9</c:v>
                </c:pt>
                <c:pt idx="9">
                  <c:v>119.39999999999999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0A-4C5A-84DD-BF131E8B38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66894608"/>
        <c:axId val="466881168"/>
      </c:barChart>
      <c:catAx>
        <c:axId val="46689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881168"/>
        <c:crosses val="autoZero"/>
        <c:auto val="1"/>
        <c:lblAlgn val="ctr"/>
        <c:lblOffset val="100"/>
        <c:noMultiLvlLbl val="0"/>
      </c:catAx>
      <c:valAx>
        <c:axId val="46688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89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ANALYSIS.xlsx]Charts!PivotTable1</c:name>
    <c:fmtId val="8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9CC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1250826094120679"/>
              <c:y val="-0.137826603027554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3350980298356541"/>
              <c:y val="-7.34850257023398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21E6EB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7551288706828266"/>
              <c:y val="-4.91091846706165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20251486969417232"/>
              <c:y val="-8.55901825406488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66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8601365808946208"/>
              <c:y val="-0.3358882913792168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99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1506718898848177E-2"/>
              <c:y val="-0.147675024658103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6503414522365463E-2"/>
              <c:y val="-0.141883847220531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217515971153"/>
              <c:y val="-0.133197081064172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6201189575533784"/>
              <c:y val="-0.1534662020956766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1003804019468357E-2"/>
              <c:y val="-0.13609255578340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740568352755034E-2"/>
                  <c:h val="4.0494922231782977E-2"/>
                </c:manualLayout>
              </c15:layout>
            </c:ext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1003804019468357E-2"/>
              <c:y val="-0.1360925557834026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740568352755034E-2"/>
                  <c:h val="4.0494922231782977E-2"/>
                </c:manualLayout>
              </c15:layout>
            </c:ext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6503414522365463E-2"/>
              <c:y val="-0.141883847220531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99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1506718898848177E-2"/>
              <c:y val="-0.1476750246581039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6201189575533784"/>
              <c:y val="-0.1534662020956766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217515971153"/>
              <c:y val="-0.133197081064172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20251486969417232"/>
              <c:y val="-8.55901825406488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21E6EB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7551288706828266"/>
              <c:y val="-4.91091846706165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3350980298356541"/>
              <c:y val="-7.34850257023398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99CC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1250826094120679"/>
              <c:y val="-0.137826603027554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66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8601365808946208"/>
              <c:y val="-0.3358882913792168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1003767964601342E-2"/>
              <c:y val="-9.90527186454650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740568352755034E-2"/>
                  <c:h val="4.0494922231782977E-2"/>
                </c:manualLayout>
              </c15:layout>
            </c:ext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3447687610229754E-2"/>
              <c:y val="-9.50487330793277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99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8.6923045458591974E-2"/>
              <c:y val="-9.59570100487940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4214947222028396"/>
              <c:y val="-0.1092346802001345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20376507727214763"/>
              <c:y val="-0.1110689068342801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20251486969417232"/>
              <c:y val="-8.55901825406488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21E6EB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7551288706828266"/>
              <c:y val="-4.91091846706165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3350980298356541"/>
              <c:y val="-7.348502570233986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99CC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11250826094120679"/>
              <c:y val="-0.137826603027554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66F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0.18601365808946208"/>
              <c:y val="-0.3358882913792168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Charts!$BC$1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137-4815-B666-B8FBFF56FF8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137-4815-B666-B8FBFF56FF85}"/>
              </c:ext>
            </c:extLst>
          </c:dPt>
          <c:dPt>
            <c:idx val="2"/>
            <c:bubble3D val="0"/>
            <c:spPr>
              <a:solidFill>
                <a:srgbClr val="0099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137-4815-B666-B8FBFF56FF8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137-4815-B666-B8FBFF56FF8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137-4815-B666-B8FBFF56FF8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C137-4815-B666-B8FBFF56FF85}"/>
              </c:ext>
            </c:extLst>
          </c:dPt>
          <c:dPt>
            <c:idx val="6"/>
            <c:bubble3D val="0"/>
            <c:spPr>
              <a:solidFill>
                <a:srgbClr val="21E6EB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C137-4815-B666-B8FBFF56FF85}"/>
              </c:ext>
            </c:extLst>
          </c:dPt>
          <c:dPt>
            <c:idx val="7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C137-4815-B666-B8FBFF56FF85}"/>
              </c:ext>
            </c:extLst>
          </c:dPt>
          <c:dPt>
            <c:idx val="8"/>
            <c:bubble3D val="0"/>
            <c:spPr>
              <a:solidFill>
                <a:srgbClr val="99CC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C137-4815-B666-B8FBFF56FF85}"/>
              </c:ext>
            </c:extLst>
          </c:dPt>
          <c:dPt>
            <c:idx val="9"/>
            <c:bubble3D val="0"/>
            <c:spPr>
              <a:solidFill>
                <a:srgbClr val="0066FF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C137-4815-B666-B8FBFF56FF85}"/>
              </c:ext>
            </c:extLst>
          </c:dPt>
          <c:dLbls>
            <c:dLbl>
              <c:idx val="0"/>
              <c:layout>
                <c:manualLayout>
                  <c:x val="-5.1003767964601342E-2"/>
                  <c:y val="-9.905271864546506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740568352755034E-2"/>
                      <c:h val="4.04949222317829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137-4815-B666-B8FBFF56FF85}"/>
                </c:ext>
              </c:extLst>
            </c:dLbl>
            <c:dLbl>
              <c:idx val="1"/>
              <c:layout>
                <c:manualLayout>
                  <c:x val="4.3447687610229754E-2"/>
                  <c:y val="-9.50487330793277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37-4815-B666-B8FBFF56FF85}"/>
                </c:ext>
              </c:extLst>
            </c:dLbl>
            <c:dLbl>
              <c:idx val="2"/>
              <c:layout>
                <c:manualLayout>
                  <c:x val="8.6923045458591974E-2"/>
                  <c:y val="-9.59570100487940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37-4815-B666-B8FBFF56FF85}"/>
                </c:ext>
              </c:extLst>
            </c:dLbl>
            <c:dLbl>
              <c:idx val="3"/>
              <c:layout>
                <c:manualLayout>
                  <c:x val="0.14214947222028396"/>
                  <c:y val="-0.1092346802001345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137-4815-B666-B8FBFF56FF85}"/>
                </c:ext>
              </c:extLst>
            </c:dLbl>
            <c:dLbl>
              <c:idx val="4"/>
              <c:layout>
                <c:manualLayout>
                  <c:x val="0.20376507727214763"/>
                  <c:y val="-0.1110689068342801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137-4815-B666-B8FBFF56FF85}"/>
                </c:ext>
              </c:extLst>
            </c:dLbl>
            <c:dLbl>
              <c:idx val="5"/>
              <c:layout>
                <c:manualLayout>
                  <c:x val="0.20251486969417232"/>
                  <c:y val="-8.559018254064881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137-4815-B666-B8FBFF56FF85}"/>
                </c:ext>
              </c:extLst>
            </c:dLbl>
            <c:dLbl>
              <c:idx val="6"/>
              <c:layout>
                <c:manualLayout>
                  <c:x val="0.17551288706828266"/>
                  <c:y val="-4.91091846706165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137-4815-B666-B8FBFF56FF85}"/>
                </c:ext>
              </c:extLst>
            </c:dLbl>
            <c:dLbl>
              <c:idx val="7"/>
              <c:layout>
                <c:manualLayout>
                  <c:x val="0.13350980298356541"/>
                  <c:y val="-7.34850257023398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137-4815-B666-B8FBFF56FF85}"/>
                </c:ext>
              </c:extLst>
            </c:dLbl>
            <c:dLbl>
              <c:idx val="8"/>
              <c:layout>
                <c:manualLayout>
                  <c:x val="0.11250826094120679"/>
                  <c:y val="-0.1378266030275546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137-4815-B666-B8FBFF56FF85}"/>
                </c:ext>
              </c:extLst>
            </c:dLbl>
            <c:dLbl>
              <c:idx val="9"/>
              <c:layout>
                <c:manualLayout>
                  <c:x val="-0.18601365808946208"/>
                  <c:y val="-0.3358882913792168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137-4815-B666-B8FBFF56FF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Charts!$BB$2:$BB$12</c:f>
              <c:strCache>
                <c:ptCount val="10"/>
                <c:pt idx="0">
                  <c:v>Australia</c:v>
                </c:pt>
                <c:pt idx="1">
                  <c:v>Canada</c:v>
                </c:pt>
                <c:pt idx="2">
                  <c:v>France</c:v>
                </c:pt>
                <c:pt idx="3">
                  <c:v>Germany</c:v>
                </c:pt>
                <c:pt idx="4">
                  <c:v>Hungary</c:v>
                </c:pt>
                <c:pt idx="5">
                  <c:v>India</c:v>
                </c:pt>
                <c:pt idx="6">
                  <c:v>Japan</c:v>
                </c:pt>
                <c:pt idx="7">
                  <c:v>South Korea</c:v>
                </c:pt>
                <c:pt idx="8">
                  <c:v>UK</c:v>
                </c:pt>
                <c:pt idx="9">
                  <c:v>USA</c:v>
                </c:pt>
              </c:strCache>
            </c:strRef>
          </c:cat>
          <c:val>
            <c:numRef>
              <c:f>Charts!$BC$2:$BC$12</c:f>
              <c:numCache>
                <c:formatCode>0.00%</c:formatCode>
                <c:ptCount val="10"/>
                <c:pt idx="0">
                  <c:v>8.8681441180427107E-3</c:v>
                </c:pt>
                <c:pt idx="1">
                  <c:v>7.999835330565858E-3</c:v>
                </c:pt>
                <c:pt idx="2">
                  <c:v>2.1123278340282808E-2</c:v>
                </c:pt>
                <c:pt idx="3">
                  <c:v>1.8274673288812243E-2</c:v>
                </c:pt>
                <c:pt idx="4">
                  <c:v>1.588882717630653E-2</c:v>
                </c:pt>
                <c:pt idx="5">
                  <c:v>9.9289012932306363E-3</c:v>
                </c:pt>
                <c:pt idx="6">
                  <c:v>4.3624413692869214E-2</c:v>
                </c:pt>
                <c:pt idx="7">
                  <c:v>7.781439617973436E-2</c:v>
                </c:pt>
                <c:pt idx="8">
                  <c:v>6.0526524567949311E-2</c:v>
                </c:pt>
                <c:pt idx="9">
                  <c:v>0.73595100601220631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137-4815-B666-B8FBFF56FF8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ANALYSIS.xlsx]Charts!PivotTable4</c:name>
    <c:fmtId val="6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Charts!$B$1</c:f>
              <c:strCache>
                <c:ptCount val="1"/>
                <c:pt idx="0">
                  <c:v>Sum of budget_us_dollar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Charts!$A$2:$A$32</c:f>
              <c:multiLvlStrCache>
                <c:ptCount val="10"/>
                <c:lvl>
                  <c:pt idx="0">
                    <c:v>Action</c:v>
                  </c:pt>
                  <c:pt idx="1">
                    <c:v>Family</c:v>
                  </c:pt>
                  <c:pt idx="2">
                    <c:v>Action</c:v>
                  </c:pt>
                  <c:pt idx="3">
                    <c:v>Action</c:v>
                  </c:pt>
                  <c:pt idx="4">
                    <c:v>Action</c:v>
                  </c:pt>
                  <c:pt idx="5">
                    <c:v>Action</c:v>
                  </c:pt>
                  <c:pt idx="6">
                    <c:v>Action</c:v>
                  </c:pt>
                  <c:pt idx="7">
                    <c:v>Adventure</c:v>
                  </c:pt>
                  <c:pt idx="8">
                    <c:v>Adventure</c:v>
                  </c:pt>
                  <c:pt idx="9">
                    <c:v>Drama</c:v>
                  </c:pt>
                </c:lvl>
                <c:lvl>
                  <c:pt idx="0">
                    <c:v>2009</c:v>
                  </c:pt>
                  <c:pt idx="1">
                    <c:v>1982</c:v>
                  </c:pt>
                  <c:pt idx="2">
                    <c:v>2015</c:v>
                  </c:pt>
                  <c:pt idx="3">
                    <c:v>1999</c:v>
                  </c:pt>
                  <c:pt idx="4">
                    <c:v>1977</c:v>
                  </c:pt>
                  <c:pt idx="5">
                    <c:v>2012</c:v>
                  </c:pt>
                  <c:pt idx="6">
                    <c:v>2008</c:v>
                  </c:pt>
                  <c:pt idx="7">
                    <c:v>2016</c:v>
                  </c:pt>
                  <c:pt idx="8">
                    <c:v>1994</c:v>
                  </c:pt>
                  <c:pt idx="9">
                    <c:v>1997</c:v>
                  </c:pt>
                </c:lvl>
                <c:lvl>
                  <c:pt idx="0">
                    <c:v>Avat</c:v>
                  </c:pt>
                  <c:pt idx="1">
                    <c:v>E.T. the Extra-Terrestrial</c:v>
                  </c:pt>
                  <c:pt idx="2">
                    <c:v>Jurassic World</c:v>
                  </c:pt>
                  <c:pt idx="3">
                    <c:v>Star Wars: Episode I - The Phantom Menace</c:v>
                  </c:pt>
                  <c:pt idx="4">
                    <c:v>Star Wars: Episode IV - A New Hope</c:v>
                  </c:pt>
                  <c:pt idx="5">
                    <c:v>The Avengers</c:v>
                  </c:pt>
                  <c:pt idx="6">
                    <c:v>The Dark Knight</c:v>
                  </c:pt>
                  <c:pt idx="7">
                    <c:v>The Jungle Book</c:v>
                  </c:pt>
                  <c:pt idx="8">
                    <c:v>The Lion King</c:v>
                  </c:pt>
                  <c:pt idx="9">
                    <c:v>Titanic</c:v>
                  </c:pt>
                </c:lvl>
              </c:multiLvlStrCache>
            </c:multiLvlStrRef>
          </c:cat>
          <c:val>
            <c:numRef>
              <c:f>Charts!$B$2:$B$32</c:f>
              <c:numCache>
                <c:formatCode>General</c:formatCode>
                <c:ptCount val="10"/>
                <c:pt idx="0">
                  <c:v>237000000</c:v>
                </c:pt>
                <c:pt idx="1">
                  <c:v>10500000</c:v>
                </c:pt>
                <c:pt idx="2">
                  <c:v>150000000</c:v>
                </c:pt>
                <c:pt idx="3">
                  <c:v>115000000</c:v>
                </c:pt>
                <c:pt idx="4">
                  <c:v>11000000</c:v>
                </c:pt>
                <c:pt idx="5">
                  <c:v>220000000</c:v>
                </c:pt>
                <c:pt idx="6">
                  <c:v>185000000</c:v>
                </c:pt>
                <c:pt idx="7">
                  <c:v>449889999.99999797</c:v>
                </c:pt>
                <c:pt idx="8">
                  <c:v>45000000</c:v>
                </c:pt>
                <c:pt idx="9">
                  <c:v>200000000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85-4846-B704-6731884F2C4C}"/>
            </c:ext>
          </c:extLst>
        </c:ser>
        <c:ser>
          <c:idx val="1"/>
          <c:order val="1"/>
          <c:tx>
            <c:strRef>
              <c:f>Charts!$C$1</c:f>
              <c:strCache>
                <c:ptCount val="1"/>
                <c:pt idx="0">
                  <c:v>Sum of profit _us_dollar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Charts!$A$2:$A$32</c:f>
              <c:multiLvlStrCache>
                <c:ptCount val="10"/>
                <c:lvl>
                  <c:pt idx="0">
                    <c:v>Action</c:v>
                  </c:pt>
                  <c:pt idx="1">
                    <c:v>Family</c:v>
                  </c:pt>
                  <c:pt idx="2">
                    <c:v>Action</c:v>
                  </c:pt>
                  <c:pt idx="3">
                    <c:v>Action</c:v>
                  </c:pt>
                  <c:pt idx="4">
                    <c:v>Action</c:v>
                  </c:pt>
                  <c:pt idx="5">
                    <c:v>Action</c:v>
                  </c:pt>
                  <c:pt idx="6">
                    <c:v>Action</c:v>
                  </c:pt>
                  <c:pt idx="7">
                    <c:v>Adventure</c:v>
                  </c:pt>
                  <c:pt idx="8">
                    <c:v>Adventure</c:v>
                  </c:pt>
                  <c:pt idx="9">
                    <c:v>Drama</c:v>
                  </c:pt>
                </c:lvl>
                <c:lvl>
                  <c:pt idx="0">
                    <c:v>2009</c:v>
                  </c:pt>
                  <c:pt idx="1">
                    <c:v>1982</c:v>
                  </c:pt>
                  <c:pt idx="2">
                    <c:v>2015</c:v>
                  </c:pt>
                  <c:pt idx="3">
                    <c:v>1999</c:v>
                  </c:pt>
                  <c:pt idx="4">
                    <c:v>1977</c:v>
                  </c:pt>
                  <c:pt idx="5">
                    <c:v>2012</c:v>
                  </c:pt>
                  <c:pt idx="6">
                    <c:v>2008</c:v>
                  </c:pt>
                  <c:pt idx="7">
                    <c:v>2016</c:v>
                  </c:pt>
                  <c:pt idx="8">
                    <c:v>1994</c:v>
                  </c:pt>
                  <c:pt idx="9">
                    <c:v>1997</c:v>
                  </c:pt>
                </c:lvl>
                <c:lvl>
                  <c:pt idx="0">
                    <c:v>Avat</c:v>
                  </c:pt>
                  <c:pt idx="1">
                    <c:v>E.T. the Extra-Terrestrial</c:v>
                  </c:pt>
                  <c:pt idx="2">
                    <c:v>Jurassic World</c:v>
                  </c:pt>
                  <c:pt idx="3">
                    <c:v>Star Wars: Episode I - The Phantom Menace</c:v>
                  </c:pt>
                  <c:pt idx="4">
                    <c:v>Star Wars: Episode IV - A New Hope</c:v>
                  </c:pt>
                  <c:pt idx="5">
                    <c:v>The Avengers</c:v>
                  </c:pt>
                  <c:pt idx="6">
                    <c:v>The Dark Knight</c:v>
                  </c:pt>
                  <c:pt idx="7">
                    <c:v>The Jungle Book</c:v>
                  </c:pt>
                  <c:pt idx="8">
                    <c:v>The Lion King</c:v>
                  </c:pt>
                  <c:pt idx="9">
                    <c:v>Titanic</c:v>
                  </c:pt>
                </c:lvl>
              </c:multiLvlStrCache>
            </c:multiLvlStrRef>
          </c:cat>
          <c:val>
            <c:numRef>
              <c:f>Charts!$C$2:$C$32</c:f>
              <c:numCache>
                <c:formatCode>General</c:formatCode>
                <c:ptCount val="10"/>
                <c:pt idx="0">
                  <c:v>523505847</c:v>
                </c:pt>
                <c:pt idx="1">
                  <c:v>424449459</c:v>
                </c:pt>
                <c:pt idx="2">
                  <c:v>502177271</c:v>
                </c:pt>
                <c:pt idx="3">
                  <c:v>359544677</c:v>
                </c:pt>
                <c:pt idx="4">
                  <c:v>449935665</c:v>
                </c:pt>
                <c:pt idx="5">
                  <c:v>403279547</c:v>
                </c:pt>
                <c:pt idx="6">
                  <c:v>348316061</c:v>
                </c:pt>
                <c:pt idx="7">
                  <c:v>482398128.48280001</c:v>
                </c:pt>
                <c:pt idx="8">
                  <c:v>377783777</c:v>
                </c:pt>
                <c:pt idx="9">
                  <c:v>458672302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85-4846-B704-6731884F2C4C}"/>
            </c:ext>
          </c:extLst>
        </c:ser>
        <c:ser>
          <c:idx val="2"/>
          <c:order val="2"/>
          <c:tx>
            <c:strRef>
              <c:f>Charts!$D$1</c:f>
              <c:strCache>
                <c:ptCount val="1"/>
                <c:pt idx="0">
                  <c:v>Sum of gross_us_dollar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Charts!$A$2:$A$32</c:f>
              <c:multiLvlStrCache>
                <c:ptCount val="10"/>
                <c:lvl>
                  <c:pt idx="0">
                    <c:v>Action</c:v>
                  </c:pt>
                  <c:pt idx="1">
                    <c:v>Family</c:v>
                  </c:pt>
                  <c:pt idx="2">
                    <c:v>Action</c:v>
                  </c:pt>
                  <c:pt idx="3">
                    <c:v>Action</c:v>
                  </c:pt>
                  <c:pt idx="4">
                    <c:v>Action</c:v>
                  </c:pt>
                  <c:pt idx="5">
                    <c:v>Action</c:v>
                  </c:pt>
                  <c:pt idx="6">
                    <c:v>Action</c:v>
                  </c:pt>
                  <c:pt idx="7">
                    <c:v>Adventure</c:v>
                  </c:pt>
                  <c:pt idx="8">
                    <c:v>Adventure</c:v>
                  </c:pt>
                  <c:pt idx="9">
                    <c:v>Drama</c:v>
                  </c:pt>
                </c:lvl>
                <c:lvl>
                  <c:pt idx="0">
                    <c:v>2009</c:v>
                  </c:pt>
                  <c:pt idx="1">
                    <c:v>1982</c:v>
                  </c:pt>
                  <c:pt idx="2">
                    <c:v>2015</c:v>
                  </c:pt>
                  <c:pt idx="3">
                    <c:v>1999</c:v>
                  </c:pt>
                  <c:pt idx="4">
                    <c:v>1977</c:v>
                  </c:pt>
                  <c:pt idx="5">
                    <c:v>2012</c:v>
                  </c:pt>
                  <c:pt idx="6">
                    <c:v>2008</c:v>
                  </c:pt>
                  <c:pt idx="7">
                    <c:v>2016</c:v>
                  </c:pt>
                  <c:pt idx="8">
                    <c:v>1994</c:v>
                  </c:pt>
                  <c:pt idx="9">
                    <c:v>1997</c:v>
                  </c:pt>
                </c:lvl>
                <c:lvl>
                  <c:pt idx="0">
                    <c:v>Avat</c:v>
                  </c:pt>
                  <c:pt idx="1">
                    <c:v>E.T. the Extra-Terrestrial</c:v>
                  </c:pt>
                  <c:pt idx="2">
                    <c:v>Jurassic World</c:v>
                  </c:pt>
                  <c:pt idx="3">
                    <c:v>Star Wars: Episode I - The Phantom Menace</c:v>
                  </c:pt>
                  <c:pt idx="4">
                    <c:v>Star Wars: Episode IV - A New Hope</c:v>
                  </c:pt>
                  <c:pt idx="5">
                    <c:v>The Avengers</c:v>
                  </c:pt>
                  <c:pt idx="6">
                    <c:v>The Dark Knight</c:v>
                  </c:pt>
                  <c:pt idx="7">
                    <c:v>The Jungle Book</c:v>
                  </c:pt>
                  <c:pt idx="8">
                    <c:v>The Lion King</c:v>
                  </c:pt>
                  <c:pt idx="9">
                    <c:v>Titanic</c:v>
                  </c:pt>
                </c:lvl>
              </c:multiLvlStrCache>
            </c:multiLvlStrRef>
          </c:cat>
          <c:val>
            <c:numRef>
              <c:f>Charts!$D$2:$D$32</c:f>
              <c:numCache>
                <c:formatCode>General</c:formatCode>
                <c:ptCount val="10"/>
                <c:pt idx="0">
                  <c:v>760505847</c:v>
                </c:pt>
                <c:pt idx="1">
                  <c:v>434949459</c:v>
                </c:pt>
                <c:pt idx="2">
                  <c:v>652177271</c:v>
                </c:pt>
                <c:pt idx="3">
                  <c:v>474544677</c:v>
                </c:pt>
                <c:pt idx="4">
                  <c:v>460935665</c:v>
                </c:pt>
                <c:pt idx="5">
                  <c:v>623279547</c:v>
                </c:pt>
                <c:pt idx="6">
                  <c:v>533316061</c:v>
                </c:pt>
                <c:pt idx="7">
                  <c:v>932288128.48279798</c:v>
                </c:pt>
                <c:pt idx="8">
                  <c:v>422783777</c:v>
                </c:pt>
                <c:pt idx="9">
                  <c:v>658672302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85-4846-B704-6731884F2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25596544"/>
        <c:axId val="1125596064"/>
      </c:barChart>
      <c:catAx>
        <c:axId val="112559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596064"/>
        <c:crosses val="autoZero"/>
        <c:auto val="1"/>
        <c:lblAlgn val="ctr"/>
        <c:lblOffset val="100"/>
        <c:noMultiLvlLbl val="0"/>
      </c:catAx>
      <c:valAx>
        <c:axId val="112559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59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11206</xdr:colOff>
      <xdr:row>0</xdr:row>
      <xdr:rowOff>6722</xdr:rowOff>
    </xdr:from>
    <xdr:to>
      <xdr:col>31</xdr:col>
      <xdr:colOff>593912</xdr:colOff>
      <xdr:row>20</xdr:row>
      <xdr:rowOff>11205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BF7045C-22FD-0FDA-01DE-EBC886E166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11206</xdr:colOff>
      <xdr:row>0</xdr:row>
      <xdr:rowOff>0</xdr:rowOff>
    </xdr:from>
    <xdr:to>
      <xdr:col>52</xdr:col>
      <xdr:colOff>0</xdr:colOff>
      <xdr:row>20</xdr:row>
      <xdr:rowOff>11206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FCBAAD-A95B-B2A6-8C0A-AB6EA351D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55</xdr:col>
      <xdr:colOff>16809</xdr:colOff>
      <xdr:row>0</xdr:row>
      <xdr:rowOff>6724</xdr:rowOff>
    </xdr:from>
    <xdr:to>
      <xdr:col>69</xdr:col>
      <xdr:colOff>11207</xdr:colOff>
      <xdr:row>23</xdr:row>
      <xdr:rowOff>11206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8AAF88-AE40-951C-9922-12F7C74D9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12807</xdr:colOff>
      <xdr:row>0</xdr:row>
      <xdr:rowOff>27535</xdr:rowOff>
    </xdr:from>
    <xdr:to>
      <xdr:col>16</xdr:col>
      <xdr:colOff>585107</xdr:colOff>
      <xdr:row>19</xdr:row>
      <xdr:rowOff>176893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78F395-DCDF-361A-BB95-6C5996D58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104774</xdr:colOff>
      <xdr:row>3</xdr:row>
      <xdr:rowOff>71437</xdr:rowOff>
    </xdr:from>
    <xdr:to>
      <xdr:col>47</xdr:col>
      <xdr:colOff>0</xdr:colOff>
      <xdr:row>66</xdr:row>
      <xdr:rowOff>119061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C0BCB46-228B-48FE-AEFA-D70FC47AFEFA}"/>
            </a:ext>
          </a:extLst>
        </xdr:cNvPr>
        <xdr:cNvSpPr/>
      </xdr:nvSpPr>
      <xdr:spPr>
        <a:xfrm>
          <a:off x="1962149" y="642937"/>
          <a:ext cx="27136726" cy="12049124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166687</xdr:colOff>
      <xdr:row>43</xdr:row>
      <xdr:rowOff>76186</xdr:rowOff>
    </xdr:from>
    <xdr:to>
      <xdr:col>46</xdr:col>
      <xdr:colOff>119062</xdr:colOff>
      <xdr:row>63</xdr:row>
      <xdr:rowOff>80669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27FFCB2-3FFF-4FD8-B01C-03B473F69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319090</xdr:colOff>
      <xdr:row>43</xdr:row>
      <xdr:rowOff>114289</xdr:rowOff>
    </xdr:from>
    <xdr:to>
      <xdr:col>23</xdr:col>
      <xdr:colOff>310685</xdr:colOff>
      <xdr:row>63</xdr:row>
      <xdr:rowOff>125495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F1A3A24-398C-4DFB-9D9F-481D5DA6B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247649</xdr:colOff>
      <xdr:row>15</xdr:row>
      <xdr:rowOff>78236</xdr:rowOff>
    </xdr:from>
    <xdr:to>
      <xdr:col>46</xdr:col>
      <xdr:colOff>47625</xdr:colOff>
      <xdr:row>36</xdr:row>
      <xdr:rowOff>95233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96FEC0E-1012-480D-9FD3-B4C637C4FE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238128</xdr:colOff>
      <xdr:row>10</xdr:row>
      <xdr:rowOff>47623</xdr:rowOff>
    </xdr:from>
    <xdr:to>
      <xdr:col>22</xdr:col>
      <xdr:colOff>214315</xdr:colOff>
      <xdr:row>14</xdr:row>
      <xdr:rowOff>23810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DECE38E-CF6C-1A1C-D24C-648595DF6AD9}"/>
            </a:ext>
          </a:extLst>
        </xdr:cNvPr>
        <xdr:cNvSpPr txBox="1"/>
      </xdr:nvSpPr>
      <xdr:spPr>
        <a:xfrm>
          <a:off x="3333753" y="1952623"/>
          <a:ext cx="10501312" cy="73818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4800" b="1"/>
            <a:t>Most 10 movie profit</a:t>
          </a:r>
        </a:p>
      </xdr:txBody>
    </xdr:sp>
    <xdr:clientData/>
  </xdr:twoCellAnchor>
  <xdr:twoCellAnchor>
    <xdr:from>
      <xdr:col>5</xdr:col>
      <xdr:colOff>128589</xdr:colOff>
      <xdr:row>37</xdr:row>
      <xdr:rowOff>138109</xdr:rowOff>
    </xdr:from>
    <xdr:to>
      <xdr:col>22</xdr:col>
      <xdr:colOff>104776</xdr:colOff>
      <xdr:row>41</xdr:row>
      <xdr:rowOff>114296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EFAC00FF-B7F1-491F-86A3-6FCB04BDA3CC}"/>
            </a:ext>
          </a:extLst>
        </xdr:cNvPr>
        <xdr:cNvSpPr txBox="1"/>
      </xdr:nvSpPr>
      <xdr:spPr>
        <a:xfrm>
          <a:off x="3224214" y="7186609"/>
          <a:ext cx="10501312" cy="73818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4400" b="1"/>
            <a:t>Top 10 director by IMDb rating</a:t>
          </a:r>
        </a:p>
      </xdr:txBody>
    </xdr:sp>
    <xdr:clientData/>
  </xdr:twoCellAnchor>
  <xdr:twoCellAnchor>
    <xdr:from>
      <xdr:col>28</xdr:col>
      <xdr:colOff>90487</xdr:colOff>
      <xdr:row>38</xdr:row>
      <xdr:rowOff>4761</xdr:rowOff>
    </xdr:from>
    <xdr:to>
      <xdr:col>45</xdr:col>
      <xdr:colOff>66674</xdr:colOff>
      <xdr:row>41</xdr:row>
      <xdr:rowOff>171448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3AA9BDE-181B-4B94-8FD6-B12403746FD1}"/>
            </a:ext>
          </a:extLst>
        </xdr:cNvPr>
        <xdr:cNvSpPr txBox="1"/>
      </xdr:nvSpPr>
      <xdr:spPr>
        <a:xfrm>
          <a:off x="17425987" y="7243761"/>
          <a:ext cx="10501312" cy="73818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4400" b="1"/>
            <a:t>Top 10 movie by IMDb rating</a:t>
          </a:r>
        </a:p>
      </xdr:txBody>
    </xdr:sp>
    <xdr:clientData/>
  </xdr:twoCellAnchor>
  <xdr:twoCellAnchor>
    <xdr:from>
      <xdr:col>28</xdr:col>
      <xdr:colOff>123824</xdr:colOff>
      <xdr:row>10</xdr:row>
      <xdr:rowOff>38096</xdr:rowOff>
    </xdr:from>
    <xdr:to>
      <xdr:col>45</xdr:col>
      <xdr:colOff>100011</xdr:colOff>
      <xdr:row>14</xdr:row>
      <xdr:rowOff>14283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D2F4791-3CA1-42BF-B316-61F0220738A0}"/>
            </a:ext>
          </a:extLst>
        </xdr:cNvPr>
        <xdr:cNvSpPr txBox="1"/>
      </xdr:nvSpPr>
      <xdr:spPr>
        <a:xfrm>
          <a:off x="17459324" y="1943096"/>
          <a:ext cx="10501312" cy="738187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4400" b="1"/>
            <a:t>Most 10 countries spending on film making</a:t>
          </a:r>
        </a:p>
      </xdr:txBody>
    </xdr:sp>
    <xdr:clientData/>
  </xdr:twoCellAnchor>
  <xdr:twoCellAnchor>
    <xdr:from>
      <xdr:col>4</xdr:col>
      <xdr:colOff>285750</xdr:colOff>
      <xdr:row>15</xdr:row>
      <xdr:rowOff>71435</xdr:rowOff>
    </xdr:from>
    <xdr:to>
      <xdr:col>23</xdr:col>
      <xdr:colOff>428625</xdr:colOff>
      <xdr:row>35</xdr:row>
      <xdr:rowOff>190498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F538C7E-8A58-406F-9F79-14FF2150C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428625</xdr:colOff>
      <xdr:row>4</xdr:row>
      <xdr:rowOff>119062</xdr:rowOff>
    </xdr:from>
    <xdr:to>
      <xdr:col>35</xdr:col>
      <xdr:colOff>333374</xdr:colOff>
      <xdr:row>9</xdr:row>
      <xdr:rowOff>166687</xdr:rowOff>
    </xdr:to>
    <xdr:sp macro="" textlink="">
      <xdr:nvSpPr>
        <xdr:cNvPr id="2049" name="Text Box 1">
          <a:extLst>
            <a:ext uri="{FF2B5EF4-FFF2-40B4-BE49-F238E27FC236}">
              <a16:creationId xmlns:a16="http://schemas.microsoft.com/office/drawing/2014/main" id="{B1E73AAA-CF82-B983-1896-302C9E3A89B5}"/>
            </a:ext>
          </a:extLst>
        </xdr:cNvPr>
        <xdr:cNvSpPr txBox="1">
          <a:spLocks noChangeArrowheads="1"/>
        </xdr:cNvSpPr>
      </xdr:nvSpPr>
      <xdr:spPr bwMode="auto">
        <a:xfrm>
          <a:off x="9096375" y="881062"/>
          <a:ext cx="12906374" cy="1000125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>
          <a:noFill/>
          <a:miter lim="800000"/>
          <a:headEnd/>
          <a:tailEnd/>
        </a:ln>
      </xdr:spPr>
      <xdr:txBody>
        <a:bodyPr vertOverflow="clip" wrap="square" lIns="18288" tIns="18288" rIns="0" bIns="0" anchor="ctr" upright="1"/>
        <a:lstStyle/>
        <a:p>
          <a:pPr algn="ctr" rtl="1">
            <a:defRPr sz="1000"/>
          </a:pPr>
          <a:r>
            <a:rPr lang="en-US" sz="4400" b="1" i="0" u="none" strike="noStrike" baseline="0">
              <a:solidFill>
                <a:srgbClr val="000000"/>
              </a:solidFill>
              <a:latin typeface="Calibri"/>
              <a:cs typeface="Calibri"/>
            </a:rPr>
            <a:t>IMDB Movies Dashboard (</a:t>
          </a:r>
          <a:r>
            <a:rPr lang="en-US" sz="4400" b="1" i="0" baseline="0">
              <a:effectLst/>
              <a:latin typeface="+mn-lt"/>
              <a:ea typeface="+mn-ea"/>
              <a:cs typeface="+mn-cs"/>
            </a:rPr>
            <a:t>General analysis</a:t>
          </a:r>
          <a:r>
            <a:rPr lang="en-US" sz="4400" b="1" i="0" u="none" strike="noStrike" baseline="0">
              <a:solidFill>
                <a:srgbClr val="000000"/>
              </a:solidFill>
              <a:latin typeface="Calibri"/>
              <a:cs typeface="Calibri"/>
            </a:rPr>
            <a:t>)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ed Hany" refreshedDate="45499.211666319447" createdVersion="8" refreshedVersion="8" minRefreshableVersion="3" recordCount="3587" xr:uid="{E94DC67C-9354-4F54-B34A-A7FFE0C7827B}">
  <cacheSource type="worksheet">
    <worksheetSource name="Table6"/>
  </cacheSource>
  <cacheFields count="19">
    <cacheField name="director_name" numFmtId="0">
      <sharedItems count="1680">
        <s v="Cal Brunker"/>
        <s v="Ericson Core"/>
        <s v="Gavin O'Connor"/>
        <s v="Sergio Leone"/>
        <s v="Gregory Hoblit"/>
        <s v="Kevin Bray"/>
        <s v="Quentin Tarantino"/>
        <s v="Griffin Dunne"/>
        <s v="Kurt Wimmer"/>
        <s v="Spike Lee"/>
        <s v="Ridley Scott"/>
        <s v="John Sayles"/>
        <s v="Florian Henckel von Donnersmarck"/>
        <s v="JosÃ© Luis Valenzuela"/>
        <s v="John Ottman"/>
        <s v="Andy Cadiff"/>
        <s v="Michael Polish"/>
        <s v="Tim Boxell"/>
        <s v="Steve Miner"/>
        <s v="Nick Cassavetes"/>
        <s v="Vincente Minnelli"/>
        <s v="J.B. Rogers"/>
        <s v="Edgar Wright"/>
        <s v="Tim Chambers"/>
        <s v="Hugh Wilson"/>
        <s v="Simon Wincer"/>
        <s v="Wes Craven"/>
        <s v="Johnnie To"/>
        <s v="James L. Brooks"/>
        <s v="F. Gary Gray"/>
        <s v="Neil LaBute"/>
        <s v="Roland Emmerich"/>
        <s v="Tim Burton"/>
        <s v="James Cameron"/>
        <s v="Robert Luketic"/>
        <s v="Terry Zwigoff"/>
        <s v="Len Wiseman"/>
        <s v="Robert B. Weide"/>
        <s v="Sam Firstenberg"/>
        <s v="Wayne Wang"/>
        <s v="James Mangold"/>
        <s v="Alex Smith"/>
        <s v="Jaume BalaguerÃ³"/>
        <s v="Anne Fontaine"/>
        <s v="James Ivory"/>
        <s v="David Mirkin"/>
        <s v="Paul Feig"/>
        <s v="Rick de Oliveira"/>
        <s v="Eric Darnell"/>
        <s v="David Slade"/>
        <s v="Keenen Ivory Wayans"/>
        <s v="Lee Tamahori"/>
        <s v="John Gatins"/>
        <s v="Rob Cohen"/>
        <s v="Adam McKay"/>
        <s v="William Brent Bell"/>
        <s v="Joel Zwick"/>
        <s v="Michael Moore"/>
        <s v="Eric Styles"/>
        <s v="Chris Miller"/>
        <s v="M. Night Shyamalan"/>
        <s v="D.J. Caruso"/>
        <s v="Steven Soderbergh"/>
        <s v="Andrew Fleming"/>
        <s v="Keith Gordon"/>
        <s v="Steve Antin"/>
        <s v="George Clooney"/>
        <s v="David Lynch"/>
        <s v="Peter Chelsom"/>
        <s v="Andrew Adamson"/>
        <s v="Alex Kendrick"/>
        <s v="Antoine Fuqua"/>
        <s v="Marc Abraham"/>
        <s v="Alex Craig Mann"/>
        <s v="Jon Turteltaub"/>
        <s v="Robert Wise"/>
        <s v="Jessie Nelson"/>
        <s v="Brian De Palma"/>
        <s v="Colin Strause"/>
        <s v="Rick Rosenthal"/>
        <s v="John Hoffman"/>
        <s v="Robert Moresco"/>
        <s v="John Dahl"/>
        <s v="Roger Spottiswoode"/>
        <s v="Joe Dante"/>
        <s v="Kate Barker-Froyland"/>
        <s v="Brian Koppelman"/>
        <s v="Martin Campbell"/>
        <s v="David Cronenberg"/>
        <s v="Jay Roach"/>
        <s v="Michael Winterbottom"/>
        <s v="James Wong"/>
        <s v="Steve Buscemi"/>
        <s v="Werner Herzog"/>
        <s v="Tom Hanks"/>
        <s v="Richard Loncraine"/>
        <s v="Wes Anderson"/>
        <s v="John McTiernan"/>
        <s v="Tommy Wirkola"/>
        <s v="Kevin Spacey"/>
        <s v="Eddie O'Flaherty"/>
        <s v="Chuck Russell"/>
        <s v="Fred Wolf"/>
        <s v="Brian Helgeland"/>
        <s v="Jon Favreau"/>
        <s v="Todd Graff"/>
        <s v="Mark Waters"/>
        <s v="Tim Robbins"/>
        <s v="Phillip Noyce"/>
        <s v="Raymond De Felitta"/>
        <s v="Joel Schumacher"/>
        <s v="Donald Petrie"/>
        <s v="Robert Zemeckis"/>
        <s v="Doug Lefler"/>
        <s v="P.J. Hogan"/>
        <s v="Cameron Crowe"/>
        <s v="Morten Tyldum"/>
        <s v="Tom McCarthy"/>
        <s v="Scott Derrickson"/>
        <s v="Dick Richards"/>
        <s v="Barbet Schroeder"/>
        <s v="Hoyt Yeatman"/>
        <s v="Gus Van Sant"/>
        <s v="John Michael McDonagh"/>
        <s v="Phil Lord"/>
        <s v="Jason Bateman"/>
        <s v="Olivier Megaton"/>
        <s v="Jonathan Mostow"/>
        <s v="Steven Brill"/>
        <s v="Philip Saville"/>
        <s v="Edward Zwick"/>
        <s v="Richard Donner"/>
        <s v="Steven Spielberg"/>
        <s v="David O. Russell"/>
        <s v="Dean Parisot"/>
        <s v="John Schlesinger"/>
        <s v="Jean-Pierre Jeunet"/>
        <s v="John A. Davis"/>
        <s v="Ric Roman Waugh"/>
        <s v="Yash Chopra"/>
        <s v="Peter Weir"/>
        <s v="Stephen Herek"/>
        <s v="John Moore"/>
        <s v="Peter Segal"/>
        <s v="William Friedkin"/>
        <s v="Don Michael Paul"/>
        <s v="Tom Hooper"/>
        <s v="Christian Duguay"/>
        <s v="Jon M. Chu"/>
        <s v="Gil Kenan"/>
        <s v="Robert Rodriguez"/>
        <s v="FranÃ§ois Girard"/>
        <s v="Nicholas Hytner"/>
        <s v="Costa-Gavras"/>
        <s v="Lawrence Guterman"/>
        <s v="Michael Chapman"/>
        <s v="Mike Nichols"/>
        <s v="Adam Shankman"/>
        <s v="Martin Scorsese"/>
        <s v="Kimberly Peirce"/>
        <s v="Mike Binder"/>
        <s v="JosÃ© Padilha"/>
        <s v="Neil Burger"/>
        <s v="Mark Rydell"/>
        <s v="Adam Goldberg"/>
        <s v="George Gallo"/>
        <s v="Will Finn"/>
        <s v="Clint Eastwood"/>
        <s v="Rod Lurie"/>
        <s v="Andrea Di Stefano"/>
        <s v="Patrick Hughes"/>
        <s v="Frank LaLoggia"/>
        <s v="Jon Amiel"/>
        <s v="Gabriele Muccino"/>
        <s v="Nadine Labaki"/>
        <s v="John Glen"/>
        <s v="Robert Stromberg"/>
        <s v="Lana Wachowski"/>
        <s v="Robert Cary"/>
        <s v="Sean Anders"/>
        <s v="Michael Bay"/>
        <s v="John Woo"/>
        <s v="Michael Haneke"/>
        <s v="David Ayer"/>
        <s v="Terry Gilliam"/>
        <s v="Michael Hoffman"/>
        <s v="Randal Kleiser"/>
        <s v="Kevin Smith"/>
        <s v="Nick Gomez"/>
        <s v="James McTeigue"/>
        <s v="Michel Hazanavicius"/>
        <s v="Wallace Wolodarsky"/>
        <s v="Sylvain White"/>
        <s v="Wolfgang Petersen"/>
        <s v="Rob Marshall"/>
        <s v="Sofia Coppola"/>
        <s v="Betty Thomas"/>
        <s v="Jaume Collet-Serra"/>
        <s v="Forest Whitaker"/>
        <s v="Don Bluth"/>
        <s v="Adam Marcus"/>
        <s v="Oliver Stone"/>
        <s v="Glenn Ficarra"/>
        <s v="Shawn Levy"/>
        <s v="Jon Gunn"/>
        <s v="Joel Gallen"/>
        <s v="Simon West"/>
        <s v="Malcolm D. Lee"/>
        <s v="Sol Tryon"/>
        <s v="Peter Jackson"/>
        <s v="Morgan Spurlock"/>
        <s v="George Jackson"/>
        <s v="John Erick Dowdle"/>
        <s v="David Yates"/>
        <s v="Marco Kreuzpaintner"/>
        <s v="Tyler Perry"/>
        <s v="Anna Boden"/>
        <s v="Jez Butterworth"/>
        <s v="Alex Zamm"/>
        <s v="Jeff Tremaine"/>
        <s v="Ramaa Mosley"/>
        <s v="David Raynr"/>
        <s v="Irwin Winkler"/>
        <s v="Peter Sollett"/>
        <s v="Alex Gibney"/>
        <s v="Jim Sheridan"/>
        <s v="Brian Levant"/>
        <s v="Renny Harlin"/>
        <s v="Lance Hool"/>
        <s v="Jan de Bont"/>
        <s v="Christopher McQuarrie"/>
        <s v="Brad Silberling"/>
        <s v="Ron Howard"/>
        <s v="Chris Stokes"/>
        <s v="Martin Weisz"/>
        <s v="Todd Haynes"/>
        <s v="David Twohy"/>
        <s v="Michael Martin"/>
        <s v="Scott Stewart"/>
        <s v="Ken Scott"/>
        <s v="Tony Bancroft"/>
        <s v="Peter Hewitt"/>
        <s v="Christopher Erskin"/>
        <s v="Etan Cohen"/>
        <s v="Ang Lee"/>
        <s v="Norman Ferguson"/>
        <s v="Jonathan Dayton"/>
        <s v="Tim Johnson"/>
        <s v="Peter Farrelly"/>
        <s v="Breck Eisner"/>
        <s v="Josh Schwartz"/>
        <s v="Enrique Begne"/>
        <s v="Peter Atencio"/>
        <s v="James Foley"/>
        <s v="Norman Jewison"/>
        <s v="Rand Ravich"/>
        <s v="Tom Holland"/>
        <s v="Charles Herman-Wurmfeld"/>
        <s v="Paul Weitz"/>
        <s v="Chris Weitz"/>
        <s v="Rich Cowan"/>
        <s v="Craig R. Baxley"/>
        <s v="Dan Rush"/>
        <s v="Russell Mulcahy"/>
        <s v="Daniel Algrant"/>
        <s v="Cody Cameron"/>
        <s v="Guy Hamilton"/>
        <s v="George Lucas"/>
        <s v="John Whitesell"/>
        <s v="Susanne Bier"/>
        <s v="Julie Anne Robinson"/>
        <s v="Mabrouk El Mechri"/>
        <s v="Bille Woodruff"/>
        <s v="Bryan Singer"/>
        <s v="Tobe Hooper"/>
        <s v="Tomas Alfredson"/>
        <s v="Daisy von Scherler Mayer"/>
        <s v="Kirk Jones"/>
        <s v="Stanley Kramer"/>
        <s v="Richard Kwietniowski"/>
        <s v="Joe Nussbaum"/>
        <s v="Sam Raimi"/>
        <s v="Christopher Nolan"/>
        <s v="Jonathan Caouette"/>
        <s v="David F. Sandberg"/>
        <s v="Christian Volckman"/>
        <s v="J.J. Abrams"/>
        <s v="Jason Alexander"/>
        <s v="Wes Ball"/>
        <s v="Tom Vaughan"/>
        <s v="Charles Ferguson"/>
        <s v="Jonathan Liebesman"/>
        <s v="Kevin Reynolds"/>
        <s v="Trey Parker"/>
        <s v="Lewis Gilbert"/>
        <s v="Robert Altman"/>
        <s v="Marc Lawrence"/>
        <s v="David Fincher"/>
        <s v="Ron Underwood"/>
        <s v="Josh Gordon"/>
        <s v="Laurent Tirard"/>
        <s v="Tom Shadyac"/>
        <s v="Bobby Farrelly"/>
        <s v="Stefan Ruzowitzky"/>
        <s v="E. Elias Merhige"/>
        <s v="Danny Cannon"/>
        <s v="Guillermo del Toro"/>
        <s v="John H. Lee"/>
        <s v="Roger Donaldson"/>
        <s v="Mark Steven Johnson"/>
        <s v="John Madden"/>
        <s v="Debra Granik"/>
        <s v="Henry Selick"/>
        <s v="Rob Bowman"/>
        <s v="Nanette Burstein"/>
        <s v="Frederik Du Chau"/>
        <s v="Marc Forster"/>
        <s v="Bruce Campbell"/>
        <s v="Robert Fontaine"/>
        <s v="Paul Haggis"/>
        <s v="Gore Verbinski"/>
        <s v="Katsuhiro Ã”tomo"/>
        <s v="Josh Trank"/>
        <s v="Mick Jackson"/>
        <s v="Richard Glatzer"/>
        <s v="Andrzej Bartkowiak"/>
        <s v="McG"/>
        <s v="David S. Goyer"/>
        <s v="Tom Tykwer"/>
        <s v="Ethan Coen"/>
        <s v="Gillian Armstrong"/>
        <s v="Zach Braff"/>
        <s v="Frank Oz"/>
        <s v="Gary Fleder"/>
        <s v="Vincent Gallo"/>
        <s v="S.R. Bindler"/>
        <s v="Peter Cattaneo"/>
        <s v="Richard Williams"/>
        <s v="Allison Anders"/>
        <s v="Matt Bettinelli-Olpin"/>
        <s v="Joss Whedon"/>
        <s v="Jun Falkenstein"/>
        <s v="John Carl Buechler"/>
        <s v="Melvin Van Peebles"/>
        <s v="Brian Trenchard-Smith"/>
        <s v="John Carpenter"/>
        <s v="Francis Ford Coppola"/>
        <s v="Sam Miller"/>
        <s v="Scott Kalvert"/>
        <s v="George A. Romero"/>
        <s v="Damien O'Donnell"/>
        <s v="Frank Marshall"/>
        <s v="John Hamburg"/>
        <s v="Paul W.S. Anderson"/>
        <s v="Craig Gillespie"/>
        <s v="Alejandro G. IÃ±Ã¡rritu"/>
        <s v="Kerry Conran"/>
        <s v="Gavin Hood"/>
        <s v="Rob Minkoff"/>
        <s v="Stiles White"/>
        <s v="Roger Michell"/>
        <s v="Paul Crowder"/>
        <s v="John G. Avildsen"/>
        <s v="Andrew Erwin"/>
        <s v="Mark Neveldine"/>
        <s v="John Francis Daley"/>
        <s v="Woody Allen"/>
        <s v="Richard Benjamin"/>
        <s v="Douglas McGrath"/>
        <s v="Courtney Solomon"/>
        <s v="Jee-woon Kim"/>
        <s v="Barry Levinson"/>
        <s v="Lisa Cholodenko"/>
        <s v="Chia-Liang Liu"/>
        <s v="Mike McCoy"/>
        <s v="Andrew Currie"/>
        <s v="Harold Ramis"/>
        <s v="Mike Newell"/>
        <s v="Justin Chadwick"/>
        <s v="Steve Martino"/>
        <s v="Robert Redford"/>
        <s v="Atom Egoyan"/>
        <s v="Todd Solondz"/>
        <s v="Corey Yuen"/>
        <s v="Janusz Kaminski"/>
        <s v="Mike Leigh"/>
        <s v="David Wain"/>
        <s v="David Jacobson"/>
        <s v="Eric Brevig"/>
        <s v="Ellory Elkayem"/>
        <s v="Camille Delamarre"/>
        <s v="Brett Ratner"/>
        <s v="Michael Lehmann"/>
        <s v="Jamie Blanks"/>
        <s v="Carlos Carrera"/>
        <s v="Luc Besson"/>
        <s v="Tom Dey"/>
        <s v="Gonzalo LÃ³pez-Gallego"/>
        <s v="Perry Andelin Blake"/>
        <s v="Craig Mazin"/>
        <s v="Jonathan Kesselman"/>
        <s v="Mark Sandrich"/>
        <s v="Stephen Daldry"/>
        <s v="David Koepp"/>
        <s v="Phyllida Lloyd"/>
        <s v="David R. Ellis"/>
        <s v="Bob Saget"/>
        <s v="Michel Gondry"/>
        <s v="Jesse Dylan"/>
        <s v="Danny DeVito"/>
        <s v="Hugh Hudson"/>
        <s v="Jonathan Levine"/>
        <s v="David Zucker"/>
        <s v="Patrice Leconte"/>
        <s v="Rupert Wyatt"/>
        <s v="Anne Fletcher"/>
        <s v="Stephen Chbosky"/>
        <s v="Jon Stewart"/>
        <s v="Darren Aronofsky"/>
        <s v="John Waters"/>
        <s v="Martin McDonagh"/>
        <s v="Florent-Emilio Siri"/>
        <s v="Joseph Sargent"/>
        <s v="Andrew Wilson"/>
        <s v="Akiva Schaffer"/>
        <s v="John Fortenberry"/>
        <s v="George Roy Hill"/>
        <s v="Kevin Costner"/>
        <s v="John Pasquin"/>
        <s v="Marc Webb"/>
        <s v="Oliver Parker"/>
        <s v="James Bobin"/>
        <s v="Howard Zieff"/>
        <s v="Finn Taylor"/>
        <s v="Ken Kwapis"/>
        <s v="Dennis Dugan"/>
        <s v="James Gunn"/>
        <s v="Mic Rodgers"/>
        <s v="Franco Zeffirelli"/>
        <s v="Mathieu Kassovitz"/>
        <s v="Angelo Pizzo"/>
        <s v="Patrick Tatopoulos"/>
        <s v="Nora Ephron"/>
        <s v="Neil Marshall"/>
        <s v="Jonathan Kaplan"/>
        <s v="David Bowers"/>
        <s v="Richard Kelly"/>
        <s v="Whit Stillman"/>
        <s v="Raja Gosnell"/>
        <s v="Ben Stiller"/>
        <s v="Phil Joanou"/>
        <s v="Rupert Wainwright"/>
        <s v="Stephan Elliott"/>
        <s v="Matthew O'Callaghan"/>
        <s v="Juan JosÃ© Campanella"/>
        <s v="Agnieszka Holland"/>
        <s v="Harold Becker"/>
        <s v="Julie Taymor"/>
        <s v="Herbert Ross"/>
        <s v="Dave Borthwick"/>
        <s v="Andy Tennant"/>
        <s v="Ruben Fleischer"/>
        <s v="Thor Freudenthal"/>
        <s v="Derrick Borte"/>
        <s v="James Cox"/>
        <s v="John Lasseter"/>
        <s v="Lee Daniels"/>
        <s v="Dave Green"/>
        <s v="Ron Fricke"/>
        <s v="Larry Charles"/>
        <s v="Lucky McKee"/>
        <s v="George Tillman Jr."/>
        <s v="John Singleton"/>
        <s v="Michael Radford"/>
        <s v="Wolfgang Becker"/>
        <s v="Jim Sonzero"/>
        <s v="Chris Koch"/>
        <s v="Jonathan Frakes"/>
        <s v="Jean-FranÃ§ois Richet"/>
        <s v="Dito Montiel"/>
        <s v="Carlos Saldanha"/>
        <s v="Roger Avary"/>
        <s v="Robert Schwentke"/>
        <s v="Tom Brady"/>
        <s v="Stephen Sommers"/>
        <s v="Audrey Wells"/>
        <s v="Sydney Pollack"/>
        <s v="John Carney"/>
        <s v="Ulu Grosbard"/>
        <s v="Stephen Carpenter"/>
        <s v="Paul Greengrass"/>
        <s v="Stanley Kubrick"/>
        <s v="Joe Camp"/>
        <s v="Stephen Frears"/>
        <s v="Beeban Kidron"/>
        <s v="Ray Lawrence"/>
        <s v="Pete Docter"/>
        <s v="Ava DuVernay"/>
        <s v="Brad Anderson"/>
        <s v="Joe Berlinger"/>
        <s v="Gareth Edwards"/>
        <s v="Richard Lester"/>
        <s v="Dennie Gordon"/>
        <s v="Duncan Jones"/>
        <s v="Bruce Beresford"/>
        <s v="Tim McCanlies"/>
        <s v="Allen Coulter"/>
        <s v="David Frankel"/>
        <s v="Joe Wright"/>
        <s v="Tony Scott"/>
        <s v="Dan Gilroy"/>
        <s v="Gregory Widen"/>
        <s v="Billy Ray"/>
        <s v="Jafar Panahi"/>
        <s v="Ivan Reitman"/>
        <s v="NimrÃ³d Antal"/>
        <s v="Ari Sandel"/>
        <s v="Harry F. Millarde"/>
        <s v="Des McAnuff"/>
        <s v="Brandon Camp"/>
        <s v="Hal Needham"/>
        <s v="David Dobkin"/>
        <s v="J Blakeson"/>
        <s v="Tomm Moore"/>
        <s v="Terry George"/>
        <s v="Trent Cooper"/>
        <s v="Henry Alex Rubin"/>
        <s v="Don Scardino"/>
        <s v="Richard Linklater"/>
        <s v="Walter Hill"/>
        <s v="Barbra Streisand"/>
        <s v="Jonathan Demme"/>
        <s v="Alex Proyas"/>
        <s v="Shekhar Kapur"/>
        <s v="Stephen Hillenburg"/>
        <s v="Brian Dannelly"/>
        <s v="Patricia Riggen"/>
        <s v="Jonathan Teplitzky"/>
        <s v="Richard Fleischer"/>
        <s v="Les Mayfield"/>
        <s v="Tina Gordon Chism"/>
        <s v="Mort Nathan"/>
        <s v="David Nixon"/>
        <s v="Michael Mann"/>
        <s v="Lucio Fulci"/>
        <s v="Isabel Coixet"/>
        <s v="Taylor Hackford"/>
        <s v="Bennett Miller"/>
        <s v="Nick Love"/>
        <s v="Barry Sonnenfeld"/>
        <s v="Rich Moore"/>
        <s v="Patrick Read Johnson"/>
        <s v="Elizabeth Banks"/>
        <s v="Matthew Vaughn"/>
        <s v="Alexander Payne"/>
        <s v="Brett Leonard"/>
        <s v="Patrick Lussier"/>
        <s v="Marc F. Adler"/>
        <s v="Genndy Tartakovsky"/>
        <s v="Rick Famuyiwa"/>
        <s v="Carlos Saura"/>
        <s v="Tony Goldwyn"/>
        <s v="Ã‰mile Gaudreault"/>
        <s v="Peter Kassovitz"/>
        <s v="Baltasar KormÃ¡kur"/>
        <s v="Morgan J. Freeman"/>
        <s v="Dan Scanlon"/>
        <s v="Tom Sanchez"/>
        <s v="Anton Corbijn"/>
        <s v="Michael Wadleigh"/>
        <s v="Paul Verhoeven"/>
        <s v="Hart Bochner"/>
        <s v="Michael Ritchie"/>
        <s v="Alfred Hitchcock"/>
        <s v="Lawrence Kasdan"/>
        <s v="Dan Cutforth"/>
        <s v="Arie Posin"/>
        <s v="Hironobu Sakaguchi"/>
        <s v="Pete Travis"/>
        <s v="Louis Leterrier"/>
        <s v="Greg Mottola"/>
        <s v="CÃ©dric Klapisch"/>
        <s v="Rodrigo CortÃ©s"/>
        <s v="Gil Junger"/>
        <s v="Kat Coiro"/>
        <s v="Joe Swanberg"/>
        <s v="Christopher Landon"/>
        <s v="Matthew Diamond"/>
        <s v="Will Gluck"/>
        <s v="Alan Taylor"/>
        <s v="Anna Muylaert"/>
        <s v="Salim Akil"/>
        <s v="Billy Bob Thornton"/>
        <s v="Hunter Richards"/>
        <s v="Gary Ross"/>
        <s v="Judd Apatow"/>
        <s v="Rachel Talalay"/>
        <s v="Bart Freundlich"/>
        <s v="William Dear"/>
        <s v="Joseph Kahn"/>
        <s v="Nick Hurran"/>
        <s v="Benson Lee"/>
        <s v="Peter Landesman"/>
        <s v="Iain Softley"/>
        <s v="Bruce Hunt"/>
        <s v="David Mamet"/>
        <s v="Kevin Rodney Sullivan"/>
        <s v="Chris Columbus"/>
        <s v="Mary Lambert"/>
        <s v="John Eng"/>
        <s v="Jean-Marc VallÃ©e"/>
        <s v="Dean DeBlois"/>
        <s v="Luis Valdez"/>
        <s v="John Schultz"/>
        <s v="Patrick Stettner"/>
        <s v="Byron Howard"/>
        <s v="Randall Miller"/>
        <s v="Mickey Liddell"/>
        <s v="Todd Phillips"/>
        <s v="Pat O'Connor"/>
        <s v="Kirk De Micco"/>
        <s v="John R. Leonetti"/>
        <s v="Steve Trenbirth"/>
        <s v="John Milius"/>
        <s v="Victor Salva"/>
        <s v="Andrew Dominik"/>
        <s v="Jean-Marie PoirÃ©"/>
        <s v="Alejandro Monteverde"/>
        <s v="Rob Zombie"/>
        <s v="Michael Cimino"/>
        <s v="Roger Kumble"/>
        <s v="Steve Carr"/>
        <s v="Francis Lawrence"/>
        <s v="Jerome Robbins"/>
        <s v="Steven Quale"/>
        <s v="Curtis Hanson"/>
        <s v="Guy Ritchie"/>
        <s v="Jason Reitman"/>
        <s v="James DeMonaco"/>
        <s v="Kenneth Branagh"/>
        <s v="Gary Sherman"/>
        <s v="Michael Landon Jr."/>
        <s v="Preston A. Whitmore II"/>
        <s v="John Frankenheimer"/>
        <s v="Chuck Sheetz"/>
        <s v="Dagur KÃ¡ri"/>
        <s v="Terence Young"/>
        <s v="Fina Torres"/>
        <s v="Anthony Hemingway"/>
        <s v="Marius A. Markevicius"/>
        <s v="Theodore Melfi"/>
        <s v="Peter Lord"/>
        <s v="Rob Letterman"/>
        <s v="Tate Taylor"/>
        <s v="Khalid Mohamed"/>
        <s v="Henry Joost"/>
        <s v="David Kellogg"/>
        <s v="Tamra Davis"/>
        <s v="Jimmy Hayward"/>
        <s v="Miranda July"/>
        <s v="Michael Schultz"/>
        <s v="Kevin Jordan"/>
        <s v="Vic Armstrong"/>
        <s v="Michael McCullers"/>
        <s v="Jim Goddard"/>
        <s v="Michael Mayer"/>
        <s v="Frank Nissen"/>
        <s v="Andrew Niccol"/>
        <s v="Mike Nawrocki"/>
        <s v="Neil Jordan"/>
        <s v="Ol Parker"/>
        <s v="Kevin Lima"/>
        <s v="Colin Trevorrow"/>
        <s v="Carl Franklin"/>
        <s v="William Wyler"/>
        <s v="Mike Bigelow"/>
        <s v="Joe Roth"/>
        <s v="Jacques Perrin"/>
        <s v="John Herzfeld"/>
        <s v="Seth MacFarlane"/>
        <s v="Sean Penn"/>
        <s v="Brad Furman"/>
        <s v="Joshua Michael Stern"/>
        <s v="Lasse HallstrÃ¶m"/>
        <s v="Dennis Iliadis"/>
        <s v="Stewart Hendler"/>
        <s v="Shari Springer Berman"/>
        <s v="Takashi Shimizu"/>
        <s v="Jon Avnet"/>
        <s v="Takeshi Kitano"/>
        <s v="Maurice Joyce"/>
        <s v="FranÃ§ois Ozon"/>
        <s v="Peter Hyams"/>
        <s v="Mark Rosman"/>
        <s v="Sergey Bodrov"/>
        <s v="Anand Tucker"/>
        <s v="Steve Pink"/>
        <s v="Vondie Curtis-Hall"/>
        <s v="Sam Weisman"/>
        <s v="Mike Mills"/>
        <s v="Larry Clark"/>
        <s v="Jake Schreier"/>
        <s v="Chris Noonan"/>
        <s v="Gary Hardwick"/>
        <s v="Susanna White"/>
        <s v="Jeremy Degruson"/>
        <s v="Alan Rudolph"/>
        <s v="Lajos Koltai"/>
        <s v="Dario Argento"/>
        <s v="Frank Darabont"/>
        <s v="Jean-Jacques Annaud"/>
        <s v="Jonas Elmer"/>
        <s v="Mike Disa"/>
        <s v="Uwe Boll"/>
        <s v="Niki Caro"/>
        <s v="Fernando Meirelles"/>
        <s v="Michael Tiddes"/>
        <s v="Benedikt Erlingsson"/>
        <s v="Ben Falcone"/>
        <s v="Mark Dindal"/>
        <s v="Jake Paltrow"/>
        <s v="Damien Chazelle"/>
        <s v="Eli Roth"/>
        <s v="Martin Brest"/>
        <s v="Miguel Arteta"/>
        <s v="Francesca Gregorini"/>
        <s v="Carroll Ballard"/>
        <s v="Andrew Douglas"/>
        <s v="Kevin Donovan"/>
        <s v="Damian Nieman"/>
        <s v="Sam Mendes"/>
        <s v="Anurag Basu"/>
        <s v="Billy Wilder"/>
        <s v="Robert Butler"/>
        <s v="John Stockwell"/>
        <s v="Peter Hedges"/>
        <s v="Brendan Malloy"/>
        <s v="Seth Gordon"/>
        <s v="Nnegest LikkÃ©"/>
        <s v="Ruggero Deodato"/>
        <s v="Danny Boyle"/>
        <s v="Ronny Yu"/>
        <s v="Howard Deutch"/>
        <s v="Jeff Nichols"/>
        <s v="Baz Luhrmann"/>
        <s v="Alan J. Pakula"/>
        <s v="Doug Liman"/>
        <s v="DJ Pooh"/>
        <s v="Nicholas Stoller"/>
        <s v="James David Pasternak"/>
        <s v="Alan Cohn"/>
        <s v="Laurie Collyer"/>
        <s v="Jason Zada"/>
        <s v="Steven R. Monroe"/>
        <s v="Burr Steers"/>
        <s v="Tod Williams"/>
        <s v="Richard LaGravenese"/>
        <s v="Brad Bird"/>
        <s v="Demian Lichtenstein"/>
        <s v="Chris Wedge"/>
        <s v="Anthony Minghella"/>
        <s v="Lucrecia Martel"/>
        <s v="Chris Buck"/>
        <s v="Tom McLoughlin"/>
        <s v="Christopher Spencer"/>
        <s v="Kar-Wai Wong"/>
        <s v="Claude Miller"/>
        <s v="Uli Edel"/>
        <s v="Mark Illsley"/>
        <s v="David Lean"/>
        <s v="Jeff Franklin"/>
        <s v="Rob Reiner"/>
        <s v="Jeremy Saulnier"/>
        <s v="Ruba Nadda"/>
        <s v="Garry Marshall"/>
        <s v="Clark Gregg"/>
        <s v="Robert Harmon"/>
        <s v="Bille August"/>
        <s v="Tim Hill"/>
        <s v="Daniel Barnz"/>
        <s v="Michael D. Sellers"/>
        <s v="Bob Dolman"/>
        <s v="Rich Christiano"/>
        <s v="Catherine Hardwicke"/>
        <s v="Steve Oedekerk"/>
        <s v="Alfonso CuarÃ³n"/>
        <s v="Sam Peckinpah"/>
        <s v="Edward Burns"/>
        <s v="Mel Gibson"/>
        <s v="Vincent Paronnaud"/>
        <s v="Steve Rash"/>
        <s v="Douglas Aarniokoski"/>
        <s v="Marcos Siega"/>
        <s v="Emma-Kate Croghan"/>
        <s v="John Polson"/>
        <s v="Dominic Sena"/>
        <s v="Gary Shore"/>
        <s v="Lars von Trier"/>
        <s v="Robin Budd"/>
        <s v="Daniel Espinosa"/>
        <s v="Sara Sugarman"/>
        <s v="Michael Meredith"/>
        <s v="Darren Stein"/>
        <s v="Aki KaurismÃ¤ki"/>
        <s v="Frank Coraci"/>
        <s v="Joe Johnston"/>
        <s v="Alex Rivera"/>
        <s v="David Moreau"/>
        <s v="Mark Osborne"/>
        <s v="Ted Demme"/>
        <s v="Jay Russell"/>
        <s v="Joe Carnahan"/>
        <s v="Stephen Hopkins"/>
        <s v="Mel Smith"/>
        <s v="Andrew Davis"/>
        <s v="Mel Brooks"/>
        <s v="Kevin Greutert"/>
        <s v="Hugh Johnson"/>
        <s v="Bruce Paltrow"/>
        <s v="Gurinder Chadha"/>
        <s v="Vicente Amorim"/>
        <s v="James Algar"/>
        <s v="Lynne Ramsay"/>
        <s v="Thomas Vinterberg"/>
        <s v="Peter Berg"/>
        <s v="Michael Apted"/>
        <s v="Jason Eisener"/>
        <s v="Peyton Reed"/>
        <s v="Jay Duplass"/>
        <s v="Jill Sprecher"/>
        <s v="Daniel Sackheim"/>
        <s v="Robert Iscove"/>
        <s v="Martin Lawrence"/>
        <s v="Scott Cooper"/>
        <s v="Ray Griggs"/>
        <s v="Ralph Ziman"/>
        <s v="Daniel Barber"/>
        <s v="John Lee Hancock"/>
        <s v="Jason Friedberg"/>
        <s v="Geoffrey Sax"/>
        <s v="Olivier Assayas"/>
        <s v="Kirsten Sheridan"/>
        <s v="Heidi Ewing"/>
        <s v="Jonathan Lynn"/>
        <s v="Christine Jeffs"/>
        <s v="Ole Bornedal"/>
        <s v="Jerry Jameson"/>
        <s v="Leslie Small"/>
        <s v="Pierre Morel"/>
        <s v="Daniel Lee"/>
        <s v="David Silverman"/>
        <s v="Akira Kurosawa"/>
        <s v="Charles Martin Smith"/>
        <s v="Michael Corrente"/>
        <s v="Vicky Jenson"/>
        <s v="Paul Bolger"/>
        <s v="Tim Miller"/>
        <s v="Nancy Meyers"/>
        <s v="Johnny Remo"/>
        <s v="Alexandre Aja"/>
        <s v="Noel Marshall"/>
        <s v="Claude Chabrol"/>
        <s v="Gary Winick"/>
        <s v="Giuseppe Tornatore"/>
        <s v="Kevin Tancharoen"/>
        <s v="David Sington"/>
        <s v="Kenny Ortega"/>
        <s v="Milos Forman"/>
        <s v="Ryan Fleck"/>
        <s v="George Miller"/>
        <s v="Lloyd Bacon"/>
        <s v="Boaz Yakin"/>
        <s v="Chris Nahon"/>
        <s v="Christian Carion"/>
        <s v="Todd Lincoln"/>
        <s v="David Gordon Green"/>
        <s v="Youssef Delara"/>
        <s v="James Bridges"/>
        <s v="Troy Nixey"/>
        <s v="Garth Jennings"/>
        <s v="Chris Carter"/>
        <s v="Gregory Poirier"/>
        <s v="Zack Snyder"/>
        <s v="Eric Leighton"/>
        <s v="Shana Feste"/>
        <s v="Simon Wells"/>
        <s v="Steve Taylor"/>
        <s v="Stuart Beattie"/>
        <s v="Stig Bergqvist"/>
        <s v="Diane Keaton"/>
        <s v="Randall Wallace"/>
        <s v="Paul Thomas Anderson"/>
        <s v="Gene Quintano"/>
        <s v="Denys Arcand"/>
        <s v="Mira Nair"/>
        <s v="Richard Attenborough"/>
        <s v="Peter Ho-Sun Chan"/>
        <s v="Matt Reeves"/>
        <s v="CiarÃ¡n Foy"/>
        <s v="Karey Kirkpatrick"/>
        <s v="J.C. Chandor"/>
        <s v="Adam Carolla"/>
        <s v="Tommy O'Haver"/>
        <s v="Brian Henson"/>
        <s v="Mike Mitchell"/>
        <s v="Rian Johnson"/>
        <s v="Christopher Guest"/>
        <s v="Sngmoo Lee"/>
        <s v="Aaron Seltzer"/>
        <s v="Richard Eyre"/>
        <s v="Shane Black"/>
        <s v="Ryan Coogler"/>
        <s v="Alejandro Agresti"/>
        <s v="Albert Hughes"/>
        <s v="Dan Trachtenberg"/>
        <s v="Jean-Paul Rappeneau"/>
        <s v="Tony Kaye"/>
        <s v="Kevin Munroe"/>
        <s v="Kasi Lemmons"/>
        <s v="Christopher Scott Cherot"/>
        <s v="Dewey Nicks"/>
        <s v="John Gray"/>
        <s v="David E. Talbert"/>
        <s v="Sheldon Lettich"/>
        <s v="Hayao Miyazaki"/>
        <s v="Matty Rich"/>
        <s v="Lena Dunham"/>
        <s v="Henry Bean"/>
        <s v="Ed Harris"/>
        <s v="Luke Greenfield"/>
        <s v="Dustin Hoffman"/>
        <s v="Mitch Davis"/>
        <s v="James Marsh"/>
        <s v="Kiyoshi Kurosawa"/>
        <s v="John Patrick Shanley"/>
        <s v="Justin Lin"/>
        <s v="Penny Marshall"/>
        <s v="Ãlex de la Iglesia"/>
        <s v="Paul Abascal"/>
        <s v="RyÃ»hei Kitamura"/>
        <s v="Joel Coen"/>
        <s v="Dan Mazer"/>
        <s v="MÃ¥ns MÃ¥rlind"/>
        <s v="Klaus Menzel"/>
        <s v="Evan Goldberg"/>
        <s v="Stephen Kay"/>
        <s v="Roger Allers"/>
        <s v="Mark L. Lester"/>
        <s v="Sidney Lumet"/>
        <s v="Tommy Lee Wallace"/>
        <s v="James Mather"/>
        <s v="Charles Robert Carner"/>
        <s v="James Wan"/>
        <s v="Patricia Rozema"/>
        <s v="Piyush Dinker Pandya"/>
        <s v="Jonathan Glazer"/>
        <s v="Max Joseph"/>
        <s v="Jim Hanon"/>
        <s v="Derek Cianfrance"/>
        <s v="Xavier Beauvois"/>
        <s v="Clark Johnson"/>
        <s v="AndrÃ© Ã˜vredal"/>
        <s v="Cory Edwards"/>
        <s v="Guillaume Canet"/>
        <s v="Roland JoffÃ©"/>
        <s v="Christian Alvart"/>
        <s v="James Watkins"/>
        <s v="Carol Reed"/>
        <s v="Leslye Headland"/>
        <s v="John Hillcoat"/>
        <s v="Elaine May"/>
        <s v="Tony Richardson"/>
        <s v="Chatrichalerm Yukol"/>
        <s v="Charles Stone III"/>
        <s v="Neill Blomkamp"/>
        <s v="Jake Kasdan"/>
        <s v="Bronwen Hughes"/>
        <s v="Brandon Trost"/>
        <s v="Bob Clark"/>
        <s v="Kevin Macdonald"/>
        <s v="John Maybury"/>
        <s v="Marcus Dunstan"/>
        <s v="Nicolas Winding Refn"/>
        <s v="Jonathan Hensleigh"/>
        <s v="George Armitage"/>
        <s v="Danny Pang"/>
        <s v="FabiÃ¡n Bielinsky"/>
        <s v="Alejandro AmenÃ¡bar"/>
        <s v="Jack Sholder"/>
        <s v="Spike Jonze"/>
        <s v="Steve James"/>
        <s v="Eric Blakeney"/>
        <s v="Harley Cokeliss"/>
        <s v="Gregory Nava"/>
        <s v="Ben Affleck"/>
        <s v="Richard Dutcher"/>
        <s v="Ron Maxwell"/>
        <s v="Patricia Cardoso"/>
        <s v="Ariel Vromen"/>
        <s v="Alison Maclean"/>
        <s v="Roger Nygard"/>
        <s v="Kathryn Bigelow"/>
        <s v="David Hackl"/>
        <s v="Craig Zobel"/>
        <s v="Shane Acker"/>
        <s v="Matthew Robbins"/>
        <s v="Deon Taylor"/>
        <s v="Eric Schaeffer"/>
        <s v="Joseph Dorman"/>
        <s v="Thomas Carter"/>
        <s v="Harald Zwart"/>
        <s v="Diane English"/>
        <s v="Richard Marquand"/>
        <s v="Kenneth Lonergan"/>
        <s v="Nick Tomnay"/>
        <s v="Ron Clements"/>
        <s v="Yimou Zhang"/>
        <s v="Jeff Wadlow"/>
        <s v="Ringo Lam"/>
        <s v="Joe Cornish"/>
        <s v="Paul Mazursky"/>
        <s v="Mikael HÃ¥fstrÃ¶m"/>
        <s v="Gary Rogers"/>
        <s v="Adrienne Shelly"/>
        <s v="Ernie Barbarash"/>
        <s v="Andy Fickman"/>
        <s v="Steve Bendelack"/>
        <s v="Sidney J. Furie"/>
        <s v="S.S. Rajamouli"/>
        <s v="Bo Welch"/>
        <s v="Antonio Banderas"/>
        <s v="Darren Lynn Bousman"/>
        <s v="Alexander Witt"/>
        <s v="Justin Zackham"/>
        <s v="Alan Shapiro"/>
        <s v="John Luessenhop"/>
        <s v="Jerry Zucker"/>
        <s v="Tom Gormican"/>
        <s v="Damon Santostefano"/>
        <s v="Steve Beck"/>
        <s v="Pete Jones"/>
        <s v="Joseph Ruben"/>
        <s v="Clay Kaytis"/>
        <s v="Grant Heslov"/>
        <s v="Anthony Hickox"/>
        <s v="Philip Kaufman"/>
        <s v="Danny Steinmann"/>
        <s v="Karan Johar"/>
        <s v="David Boyd"/>
        <s v="Warren Beatty"/>
        <s v="Mark A.Z. DippÃ©"/>
        <s v="Richard Curtis"/>
        <s v="Simon Curtis"/>
        <s v="Troy Miller"/>
        <s v="Steven Seagal"/>
        <s v="RZA"/>
        <s v="Russ Meyer"/>
        <s v="Davis Guggenheim"/>
        <s v="Dan Harris"/>
        <s v="Peter R. Hunt"/>
        <s v="John Landis"/>
        <s v="Terrence Malick"/>
        <s v="Brian Baugh"/>
        <s v="Hal Haberman"/>
        <s v="Drew Barrymore"/>
        <s v="Nicole Holofcener"/>
        <s v="Angela Robinson"/>
        <s v="C. Jay Cox"/>
        <s v="Oren Peli"/>
        <s v="Daniel Stamm"/>
        <s v="Joseph L. Mankiewicz"/>
        <s v="John Wells"/>
        <s v="Joseph Kosinski"/>
        <s v="AndrÃ©s Muschietti"/>
        <s v="Henry Koster"/>
        <s v="Ritesh Batra"/>
        <s v="Mark Tarlov"/>
        <s v="Mark Pellington"/>
        <s v="Floyd Mutrux"/>
        <s v="William Malone"/>
        <s v="Mike Judge"/>
        <s v="Amy Heckerling"/>
        <s v="Joey Lauren Adams"/>
        <s v="Kenneth Johnson"/>
        <s v="StÃ©phane Aubier"/>
        <s v="Patty Jenkins"/>
        <s v="Robert Stevenson"/>
        <s v="Adam Rapp"/>
        <s v="Charles Shyer"/>
        <s v="Chris Paine"/>
        <s v="Abel Ferrara"/>
        <s v="Franklin J. Schaffner"/>
        <s v="Rusty Cundieff"/>
        <s v="Jim Field Smith"/>
        <s v="Yarrow Cheney"/>
        <s v="Gina Prince-Bythewood"/>
        <s v="Mark Christopher"/>
        <s v="Peter Ramsey"/>
        <s v="Jean-Jacques Mantello"/>
        <s v="Thomas Bezucha"/>
        <s v="Scott Speer"/>
        <s v="Reginald Hudlin"/>
        <s v="Prachya Pinkaew"/>
        <s v="Graham Annable"/>
        <s v="FranÃ§ois Truffaut"/>
        <s v="Jon Lucas"/>
        <s v="Jared Hess"/>
        <s v="Lexi Alexander"/>
        <s v="Russell Holt"/>
        <s v="Bruce McCulloch"/>
        <s v="Mimi Leder"/>
        <s v="Nicholas Jarecki"/>
        <s v="Jeff Kanew"/>
        <s v="Floria Sigismondi"/>
        <s v="Mike Bruce"/>
        <s v="Vivek Agnihotri"/>
        <s v="Bruce Dellis"/>
        <s v="Romesh Sharma"/>
        <s v="Olatunde Osunsanmi"/>
        <s v="Oliver Hirschbiegel"/>
        <s v="Panos Cosmatos"/>
        <s v="Daryl Wein"/>
        <s v="Hilary Brougher"/>
        <s v="Neill Dela Llana"/>
        <s v="Dean Israelite"/>
        <s v="Josef Rusnak"/>
        <s v="Joel Edgerton"/>
        <s v="George Nolfi"/>
        <s v="John Badham"/>
        <s v="Roman Polanski"/>
        <s v="Eric Bress"/>
        <s v="Gareth Evans"/>
        <s v="Robert Marcarelli"/>
        <s v="Gregor Jordan"/>
        <s v="Fred Dekker"/>
        <s v="George Hickenlooper"/>
        <s v="Brian Robbins"/>
        <s v="Denzel Washington"/>
        <s v="Marc Forby"/>
        <s v="Charles S. Dutton"/>
        <s v="Cathy Malkasian"/>
        <s v="Timothy BjÃ¶rklund"/>
        <s v="Richard Raymond"/>
        <s v="Gary Trousdale"/>
        <s v="Joon-ho Bong"/>
        <s v="Bob Spiers"/>
        <s v="Bill Condon"/>
        <s v="William Shatner"/>
        <s v="Tom Putnam"/>
        <s v="Jon Kasdan"/>
        <s v="Ice Cube"/>
        <s v="William H. Macy"/>
        <s v="Katt Shea"/>
        <s v="Andrey Konchalovskiy"/>
        <s v="Benh Zeitlin"/>
        <s v="Takao Okawara"/>
        <s v="Levan Gabriadze"/>
        <s v="Martin Koolhoven"/>
        <s v="Oren Moverman"/>
        <s v="Dexter Fletcher"/>
        <s v="Jim Gillespie"/>
        <s v="Wally Pfister"/>
        <s v="Khyentse Norbu"/>
        <s v="Charles Chaplin"/>
        <s v="Risa Bramon Garcia"/>
        <s v="Denis Villeneuve"/>
        <s v="Chris Gorak"/>
        <s v="Michael Patrick King"/>
        <s v="Bradley Parker"/>
        <s v="Gary McKendry"/>
        <s v="Christopher Cain"/>
        <s v="Kelly Makin"/>
        <s v="Frank Sebastiano"/>
        <s v="Jennifer Wynne Farmer"/>
        <s v="Victor Fleming"/>
        <s v="Kief Davidson"/>
        <s v="R. Balki"/>
        <s v="Mike Flanagan"/>
        <s v="Alister Grierson"/>
        <s v="Max FÃ¤rberbÃ¶ck"/>
        <s v="Allen Hughes"/>
        <s v="Deb Hagan"/>
        <s v="Mark Tonderai"/>
        <s v="Warren P. Sonoda"/>
        <s v="Mark Brown"/>
        <s v="John Boorman"/>
        <s v="Robert Lee King"/>
        <s v="Angelina Jolie Pitt"/>
        <s v="Brad Peyton"/>
        <s v="Rob Pritts"/>
        <s v="Geoff Murphy"/>
        <s v="Brian Percival"/>
        <s v="Rick Bieber"/>
        <s v="Tim Story"/>
        <s v="Stephen J. Anderson"/>
        <s v="George Sidney"/>
        <s v="Marco Schnabel"/>
        <s v="Pitof"/>
        <s v="Michael Gornick"/>
        <s v="Maggie Greenwald"/>
        <s v="Andrew Stanton"/>
        <s v="Callie Khouri"/>
        <s v="Sam Fell"/>
        <s v="Thaddeus O'Sullivan"/>
        <s v="Robby Henson"/>
        <s v="Barry Skolnick"/>
        <s v="James Toback"/>
        <s v="Udayan Prasad"/>
        <s v="Chris Roberts"/>
        <s v="Nima Nourizadeh"/>
        <s v="William A. Graham"/>
        <s v="Rupert Sanders"/>
        <s v="Dena Seidel"/>
        <s v="Ruairi Robinson"/>
        <s v="Stuart Gordon"/>
        <s v="J.S. Cardone"/>
        <s v="Clare Kilner"/>
        <s v="Scott Waugh"/>
        <s v="Glen Morgan"/>
        <s v="Carter Smith"/>
        <s v="Steven Zaillian"/>
        <s v="Michael Anderson"/>
        <s v="Bob Rafelson"/>
        <s v="Myles Berkowitz"/>
        <s v="Claudia Sainte-Luce"/>
        <s v="Ron Shelton"/>
        <s v="Jay Chandrasekhar"/>
        <s v="Gordon Chan"/>
        <s v="Tarsem Singh"/>
        <s v="Paul McGuigan"/>
        <s v="James Manera"/>
        <s v="Kurt Hale"/>
        <s v="Jeff Garlin"/>
        <s v="Robert Townsend"/>
        <s v="Dan Fogelman"/>
        <s v="Michael Lembeck"/>
        <s v="Antonia Bird"/>
        <s v="Phil Traill"/>
        <s v="Frank Miller"/>
        <s v="Jamal Hill"/>
        <s v="Leon Ichaso"/>
        <s v="Dominique Othenin-Girard"/>
        <s v="Cedric Nicolas-Troyan"/>
        <s v="Ed Gass-Donnelly"/>
        <s v="Bryan Barber"/>
        <s v="James Ponsoldt"/>
        <s v="Julio DePietro"/>
        <s v="Joe Charbanic"/>
        <s v="Blake Edwards"/>
        <s v="Craig Bolotin"/>
        <s v="William Cottrell"/>
        <s v="Joshua Marston"/>
        <s v="Wil Shriner"/>
        <s v="Lone Scherfig"/>
        <s v="Marc Levin"/>
        <s v="David Carson"/>
        <s v="Stephen Gaghan"/>
        <s v="Masayuki Ochiai"/>
        <s v="Bob Odenkirk"/>
        <s v="Troy Duffy"/>
        <s v="George P. Cosmatos"/>
        <s v="David Duchovny"/>
        <s v="Peter Howitt"/>
        <s v="Tony Jaa"/>
        <s v="Noah Baumbach"/>
        <s v="Alan Metter"/>
        <s v="Andrew Bergman"/>
        <s v="Katherine Dieckmann"/>
        <s v="Siddiq Barmak"/>
        <s v="Jon Hurwitz"/>
        <s v="Marc SchÃ¶lermann"/>
        <s v="Hitoshi Matsumoto"/>
        <s v="Jeff Lowell"/>
        <s v="Ethan Maniquis"/>
        <s v="Joshua Seftel"/>
        <s v="Drew Goddard"/>
        <s v="Cyrus Nowrasteh"/>
        <s v="Pierre Coffin"/>
        <s v="Stephen Milburn Anderson"/>
        <s v="Steve Hickner"/>
        <s v="Fatih Akin"/>
        <s v="Mike Cahill"/>
        <s v="Louis Morneau"/>
        <s v="Tony Gilroy"/>
        <s v="Henry Hobson"/>
        <s v="Harold Cronk"/>
        <s v="Michael Cuesta"/>
        <s v="Stuart Baird"/>
        <s v="Ryan Little"/>
        <s v="Tom Green"/>
        <s v="Mark Herman"/>
        <s v="Maggie Carey"/>
        <s v="Scott Frank"/>
        <s v="Kevin Hooks"/>
        <s v="Andy Garcia"/>
        <s v="Mamoru Hosoda"/>
        <s v="Michael Dinner"/>
        <s v="Bibo Bergeron"/>
        <s v="Elizabeth Allen Rosenbaum"/>
        <s v="Michael Dougherty"/>
        <s v="Richard E. Grant"/>
        <s v="Mary McGuckian"/>
        <s v="Andrew Morahan"/>
        <s v="Emile Ardolino"/>
        <s v="Gregory Jacobs"/>
        <s v="George Ratliff"/>
        <s v="Jeremy Leven"/>
        <s v="Rachel Perkins"/>
        <s v="Courtney Hunt"/>
        <s v="Rawson Marshall Thurber"/>
        <s v="Catherine Gund"/>
        <s v="Bonnie Hunt"/>
        <s v="Arthur Hiller"/>
        <s v="Kris Isacsson"/>
        <s v="Julian Jarrold"/>
        <s v="Robinson Devor"/>
        <s v="Tony Bill"/>
        <s v="Robert Duvall"/>
        <s v="Eugenio Derbez"/>
        <s v="Greg Coolidge"/>
        <s v="Je-kyu Kang"/>
        <s v="Ben Younger"/>
        <s v="Michael Caton-Jones"/>
        <s v="Steven Shainberg"/>
        <s v="Spencer Susser"/>
        <s v="Sarah Smith"/>
        <s v="Timur Bekmambetov"/>
        <s v="David Webb Peoples"/>
        <s v="Alan Parker"/>
        <s v="Michael Tollin"/>
        <s v="Jeffrey W. Byrd"/>
        <s v="Michael McGowan"/>
        <s v="Peter Kosminsky"/>
        <s v="Rick Friedberg"/>
        <s v="Chan-wook Park"/>
        <s v="Luis Llosa"/>
        <s v="Kay Pollak"/>
        <s v="Bruce McDonald"/>
        <s v="John Bonito"/>
        <s v="Anthony Russo"/>
        <s v="Noah Buschel"/>
        <s v="Larry Blamire"/>
        <s v="David McNally"/>
        <s v="Vadim Perelman"/>
        <s v="Kaige Chen"/>
        <s v="Matt Williams"/>
        <s v="Joby Harold"/>
        <s v="Tim Hunter"/>
        <s v="Greg Harrison"/>
        <s v="Majid Majidi"/>
        <s v="Mark Piznarski"/>
        <s v="Tim Heidecker"/>
        <s v="Russell Crowe"/>
        <s v="David Anspaugh"/>
        <s v="Maurizio Benazzo"/>
        <s v="Chris Butler"/>
        <s v="John Cornell"/>
        <s v="Fred Schepisi"/>
        <s v="Eric Bross"/>
        <s v="Guy Maddin"/>
        <s v="Bill Paxton"/>
        <s v="Scott Hicks"/>
        <s v="Nicholas Meyer"/>
        <s v="EugÃ¨ne LouriÃ©"/>
        <s v="Stephen Norrington"/>
        <s v="Britt Allcroft"/>
        <s v="David G. Evans"/>
        <s v="William A. Fraker"/>
        <s v="Claudia Llosa"/>
        <s v="Harry Elfont"/>
        <s v="Peter MacDonald"/>
        <s v="John Curran"/>
        <s v="Lee Toland Krieger"/>
        <s v="Bill Duke"/>
        <s v="Barry W. Blaustein"/>
        <s v="Tommy Lee Jones"/>
        <s v="Sherman Alexie"/>
        <s v="Reed Cowan"/>
        <s v="David Nutter"/>
        <s v="Carmen Marron"/>
        <s v="Gary Chapman"/>
        <s v="Stefen Fangmeier"/>
        <s v="Emilio Estevez"/>
        <s v="Joshua Tickell"/>
        <s v="Stefan Schwartz"/>
        <s v="Quentin Dupieux"/>
        <s v="Fred Walton"/>
        <s v="Luc Jacquet"/>
        <s v="Richard Shepard"/>
        <s v="Fede Alvarez"/>
        <s v="Jorge RamÃ­rez SuÃ¡rez"/>
        <s v="Peter Billingsley"/>
        <s v="Nat Faxon"/>
        <s v="Stanley Tong"/>
        <s v="Michael Rymer"/>
        <s v="Adam Rifkin"/>
        <s v="Joseph Zito"/>
        <s v="Michael J. Bassett"/>
        <s v="Julian Schnabel"/>
        <s v="Colin Higgins"/>
        <s v="Wilson Yip"/>
        <s v="Efram Potelle"/>
        <s v="Salvador Carrasco"/>
        <s v="Chris Kentis"/>
        <s v="Shane Carruth"/>
        <s v="Akiva Goldsman"/>
        <s v="Luca Guadagnino"/>
        <s v="Steve Carver"/>
        <s v="David S. Ward"/>
        <s v="Ed Decter"/>
        <s v="Christophe Barratier"/>
        <s v="Fred Savage"/>
        <s v="Mike Figgis"/>
        <s v="Ti West"/>
        <s v="Albert Brooks"/>
        <s v="Joe Pytka"/>
        <s v="David Soren"/>
        <s v="Tony Maylam"/>
        <s v="George Cukor"/>
        <s v="Mark Mylod"/>
        <s v="Damien Dante Wayans"/>
        <s v="Jim Mickle"/>
        <s v="Carl Rinsch"/>
        <s v="Sue Corcoran"/>
        <s v="Stuart Gillard"/>
        <s v="Sylvain Chomet"/>
        <s v="Nathan Greno"/>
        <s v="Kevin Allen"/>
        <s v="Justin Kerrigan"/>
        <s v="Nelson McCormick"/>
        <s v="Ricki Stern"/>
        <s v="Kyle Balda"/>
        <s v="Josh Boone"/>
        <s v="Zal Batmanglij"/>
        <s v="Sara Newens"/>
        <s v="Jerry Zaks"/>
        <s v="Scott Ziehl"/>
        <s v="Gary David Goldberg"/>
        <s v="Leigh Whannell"/>
        <s v="Peter Faiman"/>
        <s v="James Isaac"/>
        <s v="Kate Connor"/>
        <s v="Morgan Neville"/>
        <s v="Dinesh D'Souza"/>
        <s v="James Gray"/>
        <s v="Jodie Foster"/>
        <s v="Niels Arden Oplev"/>
        <s v="Rebecca Miller"/>
        <s v="Hyung-rae Shim"/>
        <s v="Darren Grant"/>
        <s v="Steve Boyum"/>
        <s v="Agnieszka Wojtowicz-Vosloo"/>
        <s v="Lance Mungia"/>
        <s v="Philip G. Atwell"/>
        <s v="Jon Hess"/>
        <s v="Sylvester Stallone"/>
        <s v="Jamie Babbit"/>
        <s v="Leonard Nimoy"/>
        <s v="Justin Dillon"/>
        <s v="Anthony Powell"/>
        <s v="Kevin Brodie"/>
        <s v="Goran Dukic"/>
        <s v="Danny Leiner"/>
        <s v="Annabel Jankel"/>
        <s v="Chris Rock"/>
        <s v="Vincenzo Natali"/>
        <s v="Sean McNamara"/>
        <s v="David Gelb"/>
        <s v="Mennan Yapo"/>
        <s v="Ash Brannon"/>
        <s v="Igor Kovalyov"/>
        <s v="Mark Romanek"/>
        <s v="Luis Mandoki"/>
        <s v="Boris Rodriguez"/>
        <s v="Nick Hamm"/>
        <s v="Paul Bunnell"/>
        <s v="Ronan Chapalain"/>
        <s v="Paul Weiland"/>
        <s v="Molly Bernstein"/>
        <s v="John 'Bud' Cardos"/>
        <s v="Victor Nunez"/>
        <s v="Steve Box"/>
        <s v="Walter Salles"/>
        <s v="Jon Poll"/>
        <s v="Sylvio Tabet"/>
        <s v="Newt Arnold"/>
        <s v="Roger Christian"/>
        <s v="Orson Welles"/>
        <s v="Joan Chen"/>
        <s v="Michael Clancy"/>
        <s v="IstvÃ¡n SzabÃ³"/>
        <s v="Gabor Csupo"/>
        <s v="Jon Shear"/>
        <s v="Patrick Gilmore"/>
        <s v="Kurt Voss"/>
        <s v="Dean Wright"/>
        <s v="Rafa Lara"/>
        <s v="John Putch"/>
        <s v="Babak Najafi"/>
        <s v="Mark Andrews"/>
        <s v="Edward Norton"/>
        <s v="Mike Gabriel"/>
        <s v="Lorene Scafaria"/>
        <s v="Irvin Kershner"/>
        <s v="Sally Potter"/>
        <s v="Tuck Tucker"/>
        <s v="Don Hall"/>
        <s v="Wayne Kramer"/>
        <s v="Mars Callahan"/>
        <s v="Mike van Diem"/>
        <s v="Greg Berlanti"/>
        <s v="Terence Davies"/>
        <s v="Karyn Kusama"/>
        <s v="Alan Poul"/>
        <s v="Peter Stebbings"/>
        <s v="Michael O. Sajbel"/>
        <s v="Steven E. de Souza"/>
        <s v="Peter Care"/>
        <s v="Asger Leth"/>
        <s v="Peter Hastings"/>
        <s v="Shane Dawson"/>
        <s v="Fred Durst"/>
        <s v="Jay Levey"/>
        <s v="Adrian Lyne"/>
        <s v="Hsiao-Hsien Hou"/>
        <s v="Barry Cook"/>
        <s v="John Crowley"/>
        <s v="Michael Sucsy"/>
        <s v="Sterling Van Wagenen"/>
        <s v="Brian Klugman"/>
        <s v="Caroline Link"/>
        <s v="Rob Schmidt"/>
        <s v="Christian E. Christiansen"/>
        <s v="Hans Petter Moland"/>
        <s v="John Cameron Mitchell"/>
        <s v="Timothy Hines"/>
        <s v="Tim Blake Nelson"/>
        <s v="Robert Towne"/>
        <s v="Bernardo Bertolucci"/>
        <s v="Gilles Paquet-Brenner"/>
        <s v="Walt Becker"/>
        <s v="Paul Hunter"/>
        <s v="Nacho Vigalondo"/>
        <s v="Dwight H. Little"/>
        <s v="Meiert Avis"/>
        <s v="Jody Hill"/>
        <s v="Charles T. Kanganis"/>
        <s v="Eric Valette"/>
        <s v="Zak Penn"/>
        <s v="Miguel Sapochnik"/>
        <s v="Peter Webber"/>
        <s v="Siddharth Anand"/>
        <s v="Craig Brewer"/>
        <s v="Steve Gomer"/>
        <s v="Mikael Salomon"/>
        <s v="Todd Field"/>
        <s v="Li Zhang"/>
        <s v="Peter M. Cohen"/>
        <s v="Kirk Wong"/>
        <s v="Ricky Gervais"/>
        <s v="Fernando LeÃ³n de Aranoa"/>
        <s v="Chris Eyre"/>
        <s v="Jonathan Newman"/>
        <s v="Jason Moore"/>
        <s v="Rob Hedden"/>
        <s v="James Fargo"/>
        <s v="Jeb Stuart"/>
        <s v="JirÃ­ Menzel"/>
        <s v="GÃ©rard Krawczyk"/>
        <s v="Blair Hayes"/>
        <s v="Michael Spierig"/>
        <s v="Fritz Lang"/>
        <s v="J.A. Bayona"/>
        <s v="R.J. Cutler"/>
        <s v="Stephen Chow"/>
        <s v="Asghar Farhadi"/>
        <s v="Matt Maiellaro"/>
        <s v="Paul Gross"/>
        <s v="Jane Campion"/>
        <s v="Peter Lepeniotis"/>
        <s v="Don Siegel"/>
        <s v="Tom McGrath"/>
        <s v="Travis Cluff"/>
        <s v="Jennifer Flackett"/>
        <s v="Matt Piedmont"/>
        <s v="King Vidor"/>
        <s v="Sharon Maguire"/>
        <s v="Nicholas Fackler"/>
        <s v="Paul Tibbitt"/>
        <s v="Don Mancini"/>
        <s v="John Lafia"/>
        <s v="Susan Seidelman"/>
        <s v="Juan Carlos Fresnadillo"/>
        <s v="David Schwimmer"/>
        <s v="David Palmer"/>
        <s v="Antony Hoffman"/>
        <s v="Menno Meyjes"/>
        <s v="Anthony Bell"/>
        <s v="Christopher Leitch"/>
        <s v="Ira Sachs"/>
        <s v="Lenny Abrahamson"/>
        <s v="Drake Doremus"/>
        <s v="Jorge Blanco"/>
        <s v="Penelope Spheeris"/>
        <s v="Todd Strauss-Schulson"/>
        <s v="Cecil B. DeMille"/>
        <s v="Paul King"/>
        <s v="Ole Christian Madsen"/>
        <s v="Teddy Chan"/>
        <s v="Harry Beaumont"/>
        <s v="Tamara Jenkins"/>
        <s v="Ryan Murphy"/>
        <s v="Daniel Myrick"/>
        <s v="Wayne Beach"/>
        <s v="Dave McKean"/>
        <s v="Matt Dillon"/>
        <s v="Kinka Usher"/>
        <s v="Jennifer Yuh Nelson"/>
        <s v="Alessandro Carloni"/>
        <s v="Kelly Asbury"/>
        <s v="Elia Kazan"/>
        <s v="Jorge R. GutiÃ©rrez"/>
        <s v="Kelly Reichardt"/>
        <s v="Christophe Gans"/>
        <s v="Lee Unkrich"/>
        <s v="Jeannot Szwarc"/>
        <s v="Jim Fall"/>
        <s v="Charlie Kaufman"/>
        <s v="Thea Sharrock"/>
        <s v="Paul Schrader"/>
        <s v="James Mottern"/>
        <s v="Paul Michael Glaser"/>
        <s v="Ham Tran"/>
        <s v="Jim Abrahams"/>
        <s v="Jorma Taccone"/>
        <s v="Nigel Cole"/>
        <s v="Jeff Burr"/>
        <s v="Mike Marvin"/>
        <s v="Steve McQueen"/>
        <s v="Neema Barnette"/>
        <s v="Christian Ditter"/>
        <s v="Rowdy Herrington"/>
        <s v="James Dodson"/>
        <s v="Scott Marshall"/>
        <s v="Shane Meadows"/>
        <s v="Lloyd Kaufman"/>
        <s v="Wych Kaosayananda"/>
        <s v="Michael Herz"/>
        <s v="Hark Tsui"/>
        <s v="Michael Patrick Jann"/>
        <s v="Scott Alexander"/>
        <s v="Frank Whaley"/>
        <s v="Peter Medak"/>
        <s v="Michel Orion Scott"/>
        <s v="John Stainton"/>
        <s v="Kevin Tenney"/>
        <s v="Benjamin Dickinson"/>
        <s v="Aaron Schneider"/>
        <s v="Vincent Ward"/>
        <s v="Susan Stroman"/>
        <s v="Steve Barron"/>
        <s v="Joshua Oppenheimer"/>
        <s v="Saul Dibb"/>
        <s v="Gary Halvorson"/>
        <s v="Marcus Raboy"/>
        <s v="Rodrigo GarcÃ­a"/>
        <s v="Phil Alden Robinson"/>
        <s v="Ari Folman"/>
        <s v="Liz Friedlander"/>
        <s v="Michael Pressman"/>
        <s v="George Stevens"/>
        <s v="Chuan Lu"/>
        <s v="Jacob Aaron Estes"/>
        <s v="Robert Eggers"/>
        <s v="Kent Alterman"/>
        <s v="Michael Roemer"/>
        <s v="Mor Loushy"/>
        <s v="Alex Garland"/>
        <s v="Karen Moncrieff"/>
        <s v="Willard Huyck"/>
      </sharedItems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actor_1_name" numFmtId="0">
      <sharedItems/>
    </cacheField>
    <cacheField name="movie_title" numFmtId="0">
      <sharedItems count="3522">
        <s v="Escape from Planet EarthÂ "/>
        <s v="Point BreakÂ "/>
        <s v="MiracleÂ "/>
        <s v="A Fistful of DollarsÂ "/>
        <s v="FrequencyÂ "/>
        <s v="Walking TallÂ "/>
        <s v="Pulp FictionÂ "/>
        <s v="Practical MagicÂ "/>
        <s v="UltravioletÂ "/>
        <s v="Malcolm XÂ "/>
        <s v="Black Hawk DownÂ "/>
        <s v="Lone StarÂ "/>
        <s v="The TouristÂ "/>
        <s v="LuminariasÂ "/>
        <s v="Urban Legends: Final CutÂ "/>
        <s v="Chasing LibertyÂ "/>
        <s v="Twin Falls IdahoÂ "/>
        <s v="Valley of the Heart's DelightÂ "/>
        <s v="Lake PlacidÂ "/>
        <s v="John QÂ "/>
        <s v="The PirateÂ "/>
        <s v="Say It Isn't SoÂ "/>
        <s v="Hot FuzzÂ "/>
        <s v="The Mighty MacsÂ "/>
        <s v="Police AcademyÂ "/>
        <s v="The PhantomÂ "/>
        <s v="A Nightmare on Elm StreetÂ "/>
        <s v="ExiledÂ "/>
        <s v="How Do You KnowÂ "/>
        <s v="Set It OffÂ "/>
        <s v="Nurse BettyÂ "/>
        <s v="White House DownÂ "/>
        <s v="Batman ReturnsÂ "/>
        <s v="AliensÂ "/>
        <s v="KillersÂ "/>
        <s v="Bad SantaÂ "/>
        <s v="UnderworldÂ "/>
        <s v="How to Lose Friends &amp; Alienate PeopleÂ "/>
        <s v="American Ninja 2: The ConfrontationÂ "/>
        <s v="Snow Flower and the Secret FanÂ "/>
        <s v="Knight and DayÂ "/>
        <s v="The Slaughter RuleÂ "/>
        <s v="DarknessÂ "/>
        <s v="AdoreÂ "/>
        <s v="The Remains of the DayÂ "/>
        <s v="HeartbreakersÂ "/>
        <s v="GhostbustersÂ "/>
        <s v="The Real CancunÂ "/>
        <s v="Madagascar: Escape 2 AfricaÂ "/>
        <s v="The Twilight Saga: EclipseÂ "/>
        <s v="A Low Down Dirty ShameÂ "/>
        <s v="Along Came a SpiderÂ "/>
        <s v="Dreamer: Inspired by a True StoryÂ "/>
        <s v="DragonHeartÂ "/>
        <s v="The Other GuysÂ "/>
        <s v="The BoyÂ "/>
        <s v="My Big Fat Greek WeddingÂ "/>
        <s v="Roger &amp; MeÂ "/>
        <s v="Dreaming of Joseph LeesÂ "/>
        <s v="Shrek the ThirdÂ "/>
        <s v="The VisitÂ "/>
        <s v="DisturbiaÂ "/>
        <s v="Ocean's ThirteenÂ "/>
        <s v="Hamlet 2Â "/>
        <s v="The Singing DetectiveÂ "/>
        <s v="BurlesqueÂ "/>
        <s v="The Ides of MarchÂ "/>
        <s v="DuneÂ "/>
        <s v="Hannah Montana: The MovieÂ "/>
        <s v="The Chronicles of Narnia: Prince CaspianÂ "/>
        <s v="Facing the GiantsÂ "/>
        <s v="The EqualizerÂ "/>
        <s v="Flash of GeniusÂ "/>
        <s v="Detention of the DeadÂ "/>
        <s v="InstinctÂ "/>
        <s v="The Sound of MusicÂ "/>
        <s v="Love the CoopersÂ "/>
        <s v="ScarfaceÂ "/>
        <s v="Aliens vs. Predator: RequiemÂ "/>
        <s v="Halloween: ResurrectionÂ "/>
        <s v="Good Boy!Â "/>
        <s v="10th &amp; WolfÂ "/>
        <s v="The Great RaidÂ "/>
        <s v="The 6th DayÂ "/>
        <s v="Looney Tunes: Back in ActionÂ "/>
        <s v="Song OneÂ "/>
        <s v="Solitary ManÂ "/>
        <s v="The Mask of ZorroÂ "/>
        <s v="A Dangerous MethodÂ "/>
        <s v="The Black DahliaÂ "/>
        <s v="Austin Powers: International Man of MysteryÂ "/>
        <s v="The ClaimÂ "/>
        <s v="Dragonball: EvolutionÂ "/>
        <s v="Trees LoungeÂ "/>
        <s v="Bad Lieutenant: Port of Call New OrleansÂ "/>
        <s v="That Thing You Do!Â "/>
        <s v="FirewallÂ "/>
        <s v="RushmoreÂ "/>
        <s v="The Hunt for Red OctoberÂ "/>
        <s v="Hansel &amp; Gretel: Witch HuntersÂ "/>
        <s v="Albino AlligatorÂ "/>
        <s v="Fighting Tommy RileyÂ "/>
        <s v="The MaskÂ "/>
        <s v="The House BunnyÂ "/>
        <s v="PaybackÂ "/>
        <s v="The Jungle BookÂ "/>
        <s v="Joyful NoiseÂ "/>
        <s v="Mr. Popper's PenguinsÂ "/>
        <s v="Cradle Will RockÂ "/>
        <s v="The Quiet AmericanÂ "/>
        <s v="City IslandÂ "/>
        <s v="Batman ForeverÂ "/>
        <s v="Mystic PizzaÂ "/>
        <s v="BeowulfÂ "/>
        <s v="The Last LegionÂ "/>
        <s v="Shrek 2Â "/>
        <s v="My Best Friend's WeddingÂ "/>
        <s v="ElizabethtownÂ "/>
        <s v="The Imitation GameÂ "/>
        <s v="The Station AgentÂ "/>
        <s v="SinisterÂ "/>
        <s v="March or DieÂ "/>
        <s v="Murder by NumbersÂ "/>
        <s v="G-ForceÂ "/>
        <s v="GerryÂ "/>
        <s v="The GuardÂ "/>
        <s v="22 Jump StreetÂ "/>
        <s v="Maid in ManhattanÂ "/>
        <s v="Bad WordsÂ "/>
        <s v="Taken 2Â "/>
        <s v="BreakdownÂ "/>
        <s v="Little NickyÂ "/>
        <s v="The Visual Bible: The Gospel of JohnÂ "/>
        <s v="GloryÂ "/>
        <s v="The AbyssÂ "/>
        <s v="Lethal Weapon 3Â "/>
        <s v="Indiana Jones and the Temple of DoomÂ "/>
        <s v="Three KingsÂ "/>
        <s v="Galaxy QuestÂ "/>
        <s v="The Next Best ThingÂ "/>
        <s v="AmÃ©lieÂ "/>
        <s v="The Ant BullyÂ "/>
        <s v="SnitchÂ "/>
        <s v="Veer-ZaaraÂ "/>
        <s v="Dead Poets SocietyÂ "/>
        <s v="Rock StarÂ "/>
        <s v="War HorseÂ "/>
        <s v="NorthforkÂ "/>
        <s v="Behind Enemy LinesÂ "/>
        <s v="My Fellow AmericansÂ "/>
        <s v="JadeÂ "/>
        <s v="Half Past DeadÂ "/>
        <s v="The LimeyÂ "/>
        <s v="The King's SpeechÂ "/>
        <s v="The Art of WarÂ "/>
        <s v="Justin Bieber: Never Say NeverÂ "/>
        <s v="Monster HouseÂ "/>
        <s v="The FacultyÂ "/>
        <s v="The Red ViolinÂ "/>
        <s v="Center StageÂ "/>
        <s v="Amen.Â "/>
        <s v="Son of the MaskÂ "/>
        <s v="The Clan of the Cave BearÂ "/>
        <s v="Primary ColorsÂ "/>
        <s v="A Walk to RememberÂ "/>
        <s v="Bringing Out the DeadÂ "/>
        <s v="Stop-LossÂ "/>
        <s v="Reign Over MeÂ "/>
        <s v="RoboCopÂ "/>
        <s v="DivergentÂ "/>
        <s v="Saving Private RyanÂ "/>
        <s v="The RoseÂ "/>
        <s v="I Love Your WorkÂ "/>
        <s v="Double TakeÂ "/>
        <s v="G.I. Joe: RetaliationÂ "/>
        <s v="Legends of Oz: Dorothy's ReturnÂ "/>
        <s v="Flags of Our FathersÂ "/>
        <s v="The Last CastleÂ "/>
        <s v="Escobar: Paradise LostÂ "/>
        <s v="The Expendables 3Â "/>
        <s v="Lady in WhiteÂ "/>
        <s v="EntrapmentÂ "/>
        <s v="Playing for KeepsÂ "/>
        <s v="CaramelÂ "/>
        <s v="Licence to KillÂ "/>
        <s v="MaleficentÂ "/>
        <s v="The Matrix ReloadedÂ "/>
        <s v="Ira &amp; AbbyÂ "/>
        <s v="Daddy's HomeÂ "/>
        <s v="Pearl HarborÂ "/>
        <s v="The Polar ExpressÂ "/>
        <s v="Broken ArrowÂ "/>
        <s v="Funny GamesÂ "/>
        <s v="Harsh TimesÂ "/>
        <s v="BrazilÂ "/>
        <s v="The Last StationÂ "/>
        <s v="White FangÂ "/>
        <s v="Jersey GirlÂ "/>
        <s v="Drowning MonaÂ "/>
        <s v="Ninja AssassinÂ "/>
        <s v="The ArtistÂ "/>
        <s v="Sorority BoysÂ "/>
        <s v="The PacifierÂ "/>
        <s v="Stomp the YardÂ "/>
        <s v="PoseidonÂ "/>
        <s v="NineÂ "/>
        <s v="Lost in TranslationÂ "/>
        <s v="Doctor DolittleÂ "/>
        <s v="Run All NightÂ "/>
        <s v="Hope FloatsÂ "/>
        <s v="Crocodile Dundee in Los AngelesÂ "/>
        <s v="AnastasiaÂ "/>
        <s v="Jason Goes to Hell: The Final FridayÂ "/>
        <s v="World Trade CenterÂ "/>
        <s v="Crazy, Stupid, Love.Â "/>
        <s v="StonewallÂ "/>
        <s v="Man of the HouseÂ "/>
        <s v="Real SteelÂ "/>
        <s v="Mercy StreetsÂ "/>
        <s v="Not Another Teen MovieÂ "/>
        <s v="The General's DaughterÂ "/>
        <s v="Undercover BrotherÂ "/>
        <s v="The Living WakeÂ "/>
        <s v="King KongÂ "/>
        <s v="Super Size MeÂ "/>
        <s v="House Party 2Â "/>
        <s v="Mad CityÂ "/>
        <s v="QuarantineÂ "/>
        <s v="Harry Potter and the Half-Blood PrinceÂ "/>
        <s v="The VillageÂ "/>
        <s v="The Lord of the Rings: The Two TowersÂ "/>
        <s v="WarlockÂ "/>
        <s v="Summer StormÂ "/>
        <s v="A Very Long EngagementÂ "/>
        <s v="I Can Do Bad All by MyselfÂ "/>
        <s v="It's Kind of a Funny StoryÂ "/>
        <s v="Birthday GirlÂ "/>
        <s v="Chairman of the BoardÂ "/>
        <s v="Bad GrandpaÂ "/>
        <s v="The Brass TeapotÂ "/>
        <s v="Whatever It TakesÂ "/>
        <s v="At First SightÂ "/>
        <s v="FreeheldÂ "/>
        <s v="Taxi to the Dark SideÂ "/>
        <s v="BrothersÂ "/>
        <s v="The Flintstones in Viva Rock VegasÂ "/>
        <s v="Die Hard 2Â "/>
        <s v="GremlinsÂ "/>
        <s v="One Man's HeroÂ "/>
        <s v="The CounselorÂ "/>
        <s v="Speed 2: Cruise ControlÂ "/>
        <s v="Mission: Impossible - Rogue NationÂ "/>
        <s v="Independence Day: ResurgenceÂ "/>
        <s v="Land of the LostÂ "/>
        <s v="Cinderella ManÂ "/>
        <s v="You Got ServedÂ "/>
        <s v="The Hills Have Eyes IIÂ "/>
        <s v="Fantastic Mr. FoxÂ "/>
        <s v="Far from HeavenÂ "/>
        <s v="The Chronicles of RiddickÂ "/>
        <s v="I Got the Hook UpÂ "/>
        <s v="The Longest YardÂ "/>
        <s v="LegionÂ "/>
        <s v="The OrderÂ "/>
        <s v="Delivery ManÂ "/>
        <s v="MulanÂ "/>
        <s v="Bill &amp; Ted's Bogus JourneyÂ "/>
        <s v="The Lovely BonesÂ "/>
        <s v="Jack ReacherÂ "/>
        <s v="Johnson Family VacationÂ "/>
        <s v="Get HardÂ "/>
        <s v="Sense and SensibilityÂ "/>
        <s v="PinocchioÂ "/>
        <s v="Little Miss SunshineÂ "/>
        <s v="HomeÂ "/>
        <s v="Dumb &amp; DumberÂ "/>
        <s v="SaharaÂ "/>
        <s v="Fun SizeÂ "/>
        <s v="CompadresÂ "/>
        <s v="KeanuÂ "/>
        <s v="Death Becomes HerÂ "/>
        <s v="ConfidenceÂ "/>
        <s v="BogusÂ "/>
        <s v="The Sixth SenseÂ "/>
        <s v="The Astronaut's WifeÂ "/>
        <s v="Child's PlayÂ "/>
        <s v="Finding ForresterÂ "/>
        <s v="The HammerÂ "/>
        <s v="Batman &amp; RobinÂ "/>
        <s v="In Good CompanyÂ "/>
        <s v="The Golden CompassÂ "/>
        <s v="The BasketÂ "/>
        <s v="Action JacksonÂ "/>
        <s v="Everything Must GoÂ "/>
        <s v="The ShadowÂ "/>
        <s v="People I KnowÂ "/>
        <s v="Cloudy with a Chance of Meatballs 2Â "/>
        <s v="Diamonds Are ForeverÂ "/>
        <s v="Star Wars: Episode IV - A New HopeÂ "/>
        <s v="Tristram Shandy: A Cock and Bull StoryÂ "/>
        <s v="StealthÂ "/>
        <s v="Big Mommas: Like Father, Like SonÂ "/>
        <s v="Absolute PowerÂ "/>
        <s v="Things We Lost in the FireÂ "/>
        <s v="One for the MoneyÂ "/>
        <s v="The Cold Light of DayÂ "/>
        <s v="HoneyÂ "/>
        <s v="The Usual SuspectsÂ "/>
        <s v="War of the WorldsÂ "/>
        <s v="Invaders from MarsÂ "/>
        <s v="Tinker Tailor Soldier SpyÂ "/>
        <s v="WooÂ "/>
        <s v="Everybody's FineÂ "/>
        <s v="It's a Mad, Mad, Mad, Mad WorldÂ "/>
        <s v="Owning MahownyÂ "/>
        <s v="SleepoverÂ "/>
        <s v="Spider-Man 3Â "/>
        <s v="InceptionÂ "/>
        <s v="TarnationÂ "/>
        <s v="Lights OutÂ "/>
        <s v="The Legend of HerculesÂ "/>
        <s v="RenaissanceÂ "/>
        <s v="Mission: Impossible IIIÂ "/>
        <s v="Just LookingÂ "/>
        <s v="The Maze RunnerÂ "/>
        <s v="What Happens in VegasÂ "/>
        <s v="Time to ChooseÂ "/>
        <s v="Teenage Mutant Ninja TurtlesÂ "/>
        <s v="WaterworldÂ "/>
        <s v="South Park: Bigger Longer &amp; UncutÂ "/>
        <s v="White SquallÂ "/>
        <s v="Rock of AgesÂ "/>
        <s v="Battle Los AngelesÂ "/>
        <s v="The Spy Who Loved MeÂ "/>
        <s v="FirefoxÂ "/>
        <s v="Gosford ParkÂ "/>
        <s v="Two Weeks NoticeÂ "/>
        <s v="Hart's WarÂ "/>
        <s v="Fight ClubÂ "/>
        <s v="TremorsÂ "/>
        <s v="American DreamzÂ "/>
        <s v="The KidÂ "/>
        <s v="In the Heart of the SeaÂ "/>
        <s v="The SwitchÂ "/>
        <s v="The PatriotÂ "/>
        <s v="MoliÃ¨reÂ "/>
        <s v="The Nutty ProfessorÂ "/>
        <s v="Stuck on YouÂ "/>
        <s v="AnatomyÂ "/>
        <s v="Shadow of the VampireÂ "/>
        <s v="I Still Know What You Did Last SummerÂ "/>
        <s v="HellboyÂ "/>
        <s v="Operation ChromiteÂ "/>
        <s v="Kingdom of HeavenÂ "/>
        <s v="The Bank JobÂ "/>
        <s v="Simon BirchÂ "/>
        <s v="Shakespeare in LoveÂ "/>
        <s v="Winter's BoneÂ "/>
        <s v="MonkeyboneÂ "/>
        <s v="ElektraÂ "/>
        <s v="Going the DistanceÂ "/>
        <s v="The Magic Sword: Quest for CamelotÂ "/>
        <s v="Ghost RiderÂ "/>
        <s v="Finding NeverlandÂ "/>
        <s v="My Name Is BruceÂ "/>
        <s v="Mi AmericaÂ "/>
        <s v="The Next Three DaysÂ "/>
        <s v="Pirates of the Caribbean: The Curse of the Black PearlÂ "/>
        <s v="AkiraÂ "/>
        <s v="Fantastic FourÂ "/>
        <s v="A Man ApartÂ "/>
        <s v="Casino RoyaleÂ "/>
        <s v="VolcanoÂ "/>
        <s v="QuinceaÃ±eraÂ "/>
        <s v="Cradle 2 the GraveÂ "/>
        <s v="Charlie's Angels: Full ThrottleÂ "/>
        <s v="The UnbornÂ "/>
        <s v="Close Encounters of the Third KindÂ "/>
        <s v="Run Lola RunÂ "/>
        <s v="Hail, Caesar!Â "/>
        <s v="Little WomenÂ "/>
        <s v="Wish I Was HereÂ "/>
        <s v="The Texas Chainsaw Massacre: The BeginningÂ "/>
        <s v="In &amp; OutÂ "/>
        <s v="ImpostorÂ "/>
        <s v="A Good YearÂ "/>
        <s v="Buffalo '66Â "/>
        <s v="Surfer, DudeÂ "/>
        <s v="The Brothers GrimmÂ "/>
        <s v="Lucky BreakÂ "/>
        <s v="The Princess and the CobblerÂ "/>
        <s v="Sugar TownÂ "/>
        <s v="DeterrenceÂ "/>
        <s v="Devil's DueÂ "/>
        <s v="Avengers: Age of UltronÂ "/>
        <s v="LegendÂ "/>
        <s v="The Tigger MovieÂ "/>
        <s v="Friday the 13th Part VII: The New BloodÂ "/>
        <s v="Sweet Sweetback's Baadasssss SongÂ "/>
        <s v="In Her Line of FireÂ "/>
        <s v="Escape from New YorkÂ "/>
        <s v="The OutsidersÂ "/>
        <s v="Gangs of New YorkÂ "/>
        <s v="No Good DeedÂ "/>
        <s v="Deuces WildÂ "/>
        <s v="Survival of the DeadÂ "/>
        <s v="East Is EastÂ "/>
        <s v="Eight BelowÂ "/>
        <s v="Along Came PollyÂ "/>
        <s v="PompeiiÂ "/>
        <s v="Million Dollar ArmÂ "/>
        <s v="The RevenantÂ "/>
        <s v="Sky Captain and the World of TomorrowÂ "/>
        <s v="Jane Got a GunÂ "/>
        <s v="RenditionÂ "/>
        <s v="The World's EndÂ "/>
        <s v="Mr. Peabody &amp; ShermanÂ "/>
        <s v="OuijaÂ "/>
        <s v="Morning GloryÂ "/>
        <s v="Once in a Lifetime: The Extraordinary Story of the New York CosmosÂ "/>
        <s v="The Karate KidÂ "/>
        <s v="Moms' Night OutÂ "/>
        <s v="GamerÂ "/>
        <s v="VacationÂ "/>
        <s v="Midnight in ParisÂ "/>
        <s v="Almost FamousÂ "/>
        <s v="My Stepmother Is an AlienÂ "/>
        <s v="Nicholas NicklebyÂ "/>
        <s v="GetawayÂ "/>
        <s v="The Good, the Bad, the WeirdÂ "/>
        <s v="DinerÂ "/>
        <s v="The RockerÂ "/>
        <s v="Snake EyesÂ "/>
        <s v="Catch Me If You CanÂ "/>
        <s v="I Heart HuckabeesÂ "/>
        <s v="The Kids Are All RightÂ "/>
        <s v="The Legend of Drunken MasterÂ "/>
        <s v="Act of ValorÂ "/>
        <s v="FidoÂ "/>
        <s v="MultiplicityÂ "/>
        <s v="Mr. Holland's OpusÂ "/>
        <s v="50 First DatesÂ "/>
        <s v="Four Weddings and a FuneralÂ "/>
        <s v="Mandela: Long Walk to FreedomÂ "/>
        <s v="Ice Age: Continental DriftÂ "/>
        <s v="The Horse WhispererÂ "/>
        <s v="Man of the YearÂ "/>
        <s v="ChloeÂ "/>
        <s v="Cats &amp; DogsÂ "/>
        <s v="Welcome to the DollhouseÂ "/>
        <s v="DOA: Dead or AliveÂ "/>
        <s v="The Mummy: Tomb of the Dragon EmperorÂ "/>
        <s v="Lost SoulsÂ "/>
        <s v="Topsy-TurvyÂ "/>
        <s v="Role ModelsÂ "/>
        <s v="Down in the ValleyÂ "/>
        <s v="Yogi BearÂ "/>
        <s v="Eight Legged FreaksÂ "/>
        <s v="The Transporter RefueledÂ "/>
        <s v="Rush Hour 2Â "/>
        <s v="TimelineÂ "/>
        <s v="Stuart LittleÂ "/>
        <s v="Hudson HawkÂ "/>
        <s v="Erin BrockovichÂ "/>
        <s v="Ghost WorldÂ "/>
        <s v="Urban LegendÂ "/>
        <s v="El crimen del padre AmaroÂ "/>
        <s v="The Messenger: The Story of Joan of ArcÂ "/>
        <s v="SpiderÂ "/>
        <s v="Failure to LaunchÂ "/>
        <s v="Apollo 18Â "/>
        <s v="The Master of DisguiseÂ "/>
        <s v="Superhero MovieÂ "/>
        <s v="Ed WoodÂ "/>
        <s v="Jurassic ParkÂ "/>
        <s v="The Hebrew HammerÂ "/>
        <s v="SupermanÂ "/>
        <s v="Con AirÂ "/>
        <s v="Top HatÂ "/>
        <s v="The HoursÂ "/>
        <s v="Crank: High VoltageÂ "/>
        <s v="MortdecaiÂ "/>
        <s v="Mamma Mia!Â "/>
        <s v="Snakes on a PlaneÂ "/>
        <s v="Dirty WorkÂ "/>
        <s v="Dave Chappelle's Block PartyÂ "/>
        <s v="Evan AlmightyÂ "/>
        <s v="Panic RoomÂ "/>
        <s v="How HighÂ "/>
        <s v="Night at the MuseumÂ "/>
        <s v="The UntouchablesÂ "/>
        <s v="ThinnerÂ "/>
        <s v="HoffaÂ "/>
        <s v="I Dreamed of AfricaÂ "/>
        <s v="50/50Â "/>
        <s v="My Boss's DaughterÂ "/>
        <s v="Bad CompanyÂ "/>
        <s v="The Widow of Saint-PierreÂ "/>
        <s v="The GamblerÂ "/>
        <s v="Hot PursuitÂ "/>
        <s v="The Perks of Being a WallflowerÂ "/>
        <s v="RosewaterÂ "/>
        <s v="Requiem for a DreamÂ "/>
        <s v="Cecil B. DeMentedÂ "/>
        <s v="Seven PsychopathsÂ "/>
        <s v="Penguins of MadagascarÂ "/>
        <s v="HostageÂ "/>
        <s v="Jaws: The RevengeÂ "/>
        <s v="The Wendell Baker StoryÂ "/>
        <s v="The WatchÂ "/>
        <s v="A Night at the RoxburyÂ "/>
        <s v="The StingÂ "/>
        <s v="Dances with WolvesÂ "/>
        <s v="The Santa ClauseÂ "/>
        <s v="The Amazing Spider-ManÂ "/>
        <s v="The Devil's DoubleÂ "/>
        <s v="The Importance of Being EarnestÂ "/>
        <s v="The MuppetsÂ "/>
        <s v="My GirlÂ "/>
        <s v="The RockÂ "/>
        <s v="Dream with the FishesÂ "/>
        <s v="The Sisterhood of the Traveling PantsÂ "/>
        <s v="Now You See Me 2Â "/>
        <s v="Grown Ups 2Â "/>
        <s v="Star TrekÂ "/>
        <s v="SuperÂ "/>
        <s v="Universal Soldier: The ReturnÂ "/>
        <s v="2012Â "/>
        <s v="The Truman ShowÂ "/>
        <s v="Tea with MussoliniÂ "/>
        <s v="Step BrothersÂ "/>
        <s v="Babylon A.D.Â "/>
        <s v="Indiana Jones and the Last CrusadeÂ "/>
        <s v="CourageÂ "/>
        <s v="Underworld: Rise of the LycansÂ "/>
        <s v="Lucky NumbersÂ "/>
        <s v="DoomsdayÂ "/>
        <s v="The Dark Knight RisesÂ"/>
        <s v="Brokedown PalaceÂ "/>
        <s v="The Fifth ElementÂ "/>
        <s v="The DepartedÂ "/>
        <s v="Amores PerrosÂ "/>
        <s v="Straight Outta ComptonÂ "/>
        <s v="Astro BoyÂ "/>
        <s v="The Lord of the Rings: The Fellowship of the RingÂ "/>
        <s v="Opal DreamÂ "/>
        <s v="My Big Fat Greek Wedding 2Â "/>
        <s v="The BoxÂ "/>
        <s v="Exit WoundsÂ "/>
        <s v="MetropolitanÂ "/>
        <s v="ChronicleÂ "/>
        <s v="Big Momma's HouseÂ "/>
        <s v="The Cable GuyÂ "/>
        <s v="Gridiron GangÂ "/>
        <s v="StigmataÂ "/>
        <s v="Jab Tak Hai JaanÂ "/>
        <s v="Eye of the BeholderÂ "/>
        <s v="Apocalypse NowÂ "/>
        <s v="Curious GeorgeÂ "/>
        <s v="The Ice StormÂ "/>
        <s v="SabotageÂ "/>
        <s v="The Secret in Their EyesÂ "/>
        <s v="Copying BeethovenÂ "/>
        <s v="Domestic DisturbanceÂ "/>
        <s v="Across the UniverseÂ "/>
        <s v="FootlooseÂ "/>
        <s v="CasperÂ "/>
        <s v="DoogalÂ "/>
        <s v="Fool's GoldÂ "/>
        <s v="Gangster SquadÂ "/>
        <s v="Be Kind RewindÂ "/>
        <s v="Diary of a Wimpy KidÂ "/>
        <s v="Lethal Weapon 4Â "/>
        <s v="The JonesesÂ "/>
        <s v="Guardians of the GalaxyÂ "/>
        <s v="WonderlandÂ "/>
        <s v="Air Force OneÂ "/>
        <s v="A Bug's LifeÂ "/>
        <s v="PreciousÂ "/>
        <s v="Gremlins 2: The New BatchÂ "/>
        <s v="Earth to EchoÂ "/>
        <s v="SamsaraÂ "/>
        <s v="The DictatorÂ "/>
        <s v="MayÂ "/>
        <s v="FasterÂ "/>
        <s v="Groundhog DayÂ "/>
        <s v="No End in SightÂ "/>
        <s v="AbductionÂ "/>
        <s v="The Merchant of VeniceÂ "/>
        <s v="Good Bye Lenin!Â "/>
        <s v="PulseÂ "/>
        <s v="ArachnophobiaÂ "/>
        <s v="A Guy ThingÂ "/>
        <s v="Me, Myself &amp; IreneÂ "/>
        <s v="ClockstoppersÂ "/>
        <s v="Assault on Precinct 13Â "/>
        <s v="The Son of No OneÂ "/>
        <s v="Ice Age: Dawn of the DinosaursÂ "/>
        <s v="Killing ZoeÂ "/>
        <s v="REDÂ "/>
        <s v="Bucky Larson: Born to Be a StarÂ "/>
        <s v="The Adventures of Huck FinnÂ "/>
        <s v="Under the Tuscan SunÂ "/>
        <s v="The InterpreterÂ "/>
        <s v="Begin AgainÂ "/>
        <s v="The Deep End of the OceanÂ "/>
        <s v="Soul SurvivorsÂ "/>
        <s v="Jason BourneÂ "/>
        <s v="The CraftÂ "/>
        <s v="We Are MarshallÂ "/>
        <s v="Cars 2Â "/>
        <s v="2001: A Space OdysseyÂ "/>
        <s v="BenjiÂ "/>
        <s v="High FidelityÂ "/>
        <s v="The FountainÂ "/>
        <s v="Bridget Jones: The Edge of ReasonÂ "/>
        <s v="Alien: ResurrectionÂ "/>
        <s v="SoldierÂ "/>
        <s v="Extremely Loud &amp; Incredibly CloseÂ "/>
        <s v="JindabyneÂ "/>
        <s v="UpÂ "/>
        <s v="Captain PhillipsÂ "/>
        <s v="De-LovelyÂ "/>
        <s v="ScroogedÂ "/>
        <s v="Middle of NowhereÂ "/>
        <s v="The Devil InsideÂ "/>
        <s v="TranssiberianÂ "/>
        <s v="R.I.P.D.Â "/>
        <s v="Book of Shadows: Blair Witch 2Â "/>
        <s v="MonstersÂ "/>
        <s v="The Mighty DucksÂ "/>
        <s v="A Hard Day's NightÂ "/>
        <s v="New York MinuteÂ "/>
        <s v="WarcraftÂ "/>
        <s v="Driving Miss DaisyÂ "/>
        <s v="Secondhand LionsÂ "/>
        <s v="Remember MeÂ "/>
        <s v="Hope SpringsÂ "/>
        <s v="Perfume: The Story of a MurdererÂ "/>
        <s v="Jefferson in ParisÂ "/>
        <s v="PanÂ "/>
        <s v="Fun with Dick and JaneÂ "/>
        <s v="True RomanceÂ "/>
        <s v="NightcrawlerÂ "/>
        <s v="SavagesÂ "/>
        <s v="Sweet Home AlabamaÂ "/>
        <s v="The ProphecyÂ "/>
        <s v="Shattered GlassÂ "/>
        <s v="The CircleÂ "/>
        <s v="DaylightÂ "/>
        <s v="Kindergarten CopÂ "/>
        <s v="The Replacement KillersÂ "/>
        <s v="PredatorsÂ "/>
        <s v="The Sorcerer's ApprenticeÂ "/>
        <s v="The DUFFÂ "/>
        <s v="Baby BoyÂ "/>
        <s v="Over the Hill to the PoorhouseÂ "/>
        <s v="Death RaceÂ "/>
        <s v="The Adventures of Rocky &amp; BullwinkleÂ "/>
        <s v="Love HappensÂ "/>
        <s v="MegaforceÂ "/>
        <s v="Side EffectsÂ "/>
        <s v="Clay PigeonsÂ "/>
        <s v="The 5th WaveÂ "/>
        <s v="The Secret of KellsÂ "/>
        <s v="Hotel RwandaÂ "/>
        <s v="Larry the Cable Guy: Health InspectorÂ "/>
        <s v="MurderballÂ "/>
        <s v="The Incredible Burt WonderstoneÂ "/>
        <s v="OnceÂ "/>
        <s v="Dazed and ConfusedÂ "/>
        <s v="SupernovaÂ "/>
        <s v="Terminator 3: Rise of the MachinesÂ "/>
        <s v="The Prince of TidesÂ "/>
        <s v="The Living DaylightsÂ "/>
        <s v="The MexicanÂ "/>
        <s v="PhiladelphiaÂ "/>
        <s v="There's Something About MaryÂ "/>
        <s v="Gods of EgyptÂ "/>
        <s v="ElizabethÂ "/>
        <s v="The SpongeBob SquarePants MovieÂ "/>
        <s v="Saved!Â "/>
        <s v="Miracles from HeavenÂ "/>
        <s v="The Railway ManÂ "/>
        <s v="Minority ReportÂ "/>
        <s v="Tora! Tora! Tora!Â "/>
        <s v="Blue StreakÂ "/>
        <s v="Alvin and the Chipmunks: The SqueakquelÂ "/>
        <s v="Monty Python and the Holy GrailÂ "/>
        <s v="PeeplesÂ "/>
        <s v="Boat TripÂ "/>
        <s v="The Secret Life of Walter MittyÂ "/>
        <s v="Letters to GodÂ "/>
        <s v="Public EnemiesÂ "/>
        <s v="Raging BullÂ "/>
        <s v="The BeyondÂ "/>
        <s v="My Life Without MeÂ "/>
        <s v="SpanglishÂ "/>
        <s v="The Fast and the FuriousÂ "/>
        <s v="ParkerÂ "/>
        <s v="Because of Winn-DixieÂ "/>
        <s v="21Â "/>
        <s v="Pirates of the Caribbean: Dead Man's ChestÂ "/>
        <s v="PlatoonÂ "/>
        <s v="MoneyballÂ "/>
        <s v="Big Fat LiarÂ "/>
        <s v="The SweeneyÂ "/>
        <s v="Men in Black 3Â "/>
        <s v="Wreck-It RalphÂ "/>
        <s v="Spaced InvadersÂ "/>
        <s v="Movie 43Â "/>
        <s v="Kick-AssÂ "/>
        <s v="About SchmidtÂ "/>
        <s v="The Lawnmower ManÂ "/>
        <s v="Dracula 2000Â "/>
        <s v="GrindhouseÂ "/>
        <s v="DelgoÂ "/>
        <s v="DuplexÂ "/>
        <s v="Hotel TransylvaniaÂ "/>
        <s v="DopeÂ "/>
        <s v="TangoÂ "/>
        <s v="A Walk on the MoonÂ "/>
        <s v="Mambo ItalianoÂ "/>
        <s v="Jakob the LiarÂ "/>
        <s v="ContrabandÂ "/>
        <s v="Desert BlueÂ "/>
        <s v="The TempestÂ "/>
        <s v="Monsters UniversityÂ "/>
        <s v="Oz the Great and PowerfulÂ "/>
        <s v="VampiresÂ "/>
        <s v="The Knife of Don JuanÂ "/>
        <s v="A Most Wanted ManÂ "/>
        <s v="WoodstockÂ "/>
        <s v="The Color PurpleÂ "/>
        <s v="Hollow ManÂ "/>
        <s v="Alice Through the Looking GlassÂ "/>
        <s v="Inside Llewyn DavisÂ "/>
        <s v="Brooklyn's FinestÂ "/>
        <s v="PCUÂ "/>
        <s v="Jersey BoysÂ "/>
        <s v="A Simple WishÂ "/>
        <s v="A View to a KillÂ "/>
        <s v="PsychoÂ "/>
        <s v="The Way of the GunÂ "/>
        <s v="DreamcatcherÂ "/>
        <s v="Good Night, and Good Luck.Â "/>
        <s v="Katy Perry: Part of MeÂ "/>
        <s v="The ChumscrubberÂ "/>
        <s v="Final Fantasy: The Spirits WithinÂ "/>
        <s v="DreddÂ "/>
        <s v="Clash of the TitansÂ "/>
        <s v="PaulÂ "/>
        <s v="A Madea ChristmasÂ "/>
        <s v="L'auberge espagnoleÂ "/>
        <s v="xXx: State of the UnionÂ "/>
        <s v="BuriedÂ "/>
        <s v="The JudgeÂ "/>
        <s v="10 Things I Hate About YouÂ "/>
        <s v="L!fe HappensÂ "/>
        <s v="Happy ChristmasÂ "/>
        <s v="Paranormal Activity: The Marked OnesÂ "/>
        <s v="The Oogieloves in the Big Balloon AdventureÂ "/>
        <s v="AnnieÂ "/>
        <s v="Cheaper by the DozenÂ "/>
        <s v="The White CountessÂ "/>
        <s v="Terminator GenisysÂ "/>
        <s v="Win a Date with Tad Hamilton!Â "/>
        <s v="Alice in WonderlandÂ "/>
        <s v="The Second MotherÂ "/>
        <s v="Monster-in-LawÂ "/>
        <s v="SparkleÂ "/>
        <s v="They LiveÂ "/>
        <s v="Southland TalesÂ "/>
        <s v="Sling BladeÂ "/>
        <s v="The Lives of OthersÂ "/>
        <s v="LondonÂ "/>
        <s v="The Hunger GamesÂ "/>
        <s v="Poetic JusticeÂ "/>
        <s v="Funny PeopleÂ "/>
        <s v="Tank GirlÂ "/>
        <s v="Catch That KidÂ "/>
        <s v="The Perfect GameÂ "/>
        <s v="TorqueÂ "/>
        <s v="SpeedÂ "/>
        <s v="Little Black BookÂ "/>
        <s v="Battle of the YearÂ "/>
        <s v="ConcussionÂ "/>
        <s v="K-PAXÂ "/>
        <s v="The CaveÂ "/>
        <s v="RedbeltÂ "/>
        <s v="AlexanderÂ "/>
        <s v="Team America: World PoliceÂ "/>
        <s v="Guess WhoÂ "/>
        <s v="Home AloneÂ "/>
        <s v="Pet SemataryÂ "/>
        <s v="Last Action HeroÂ "/>
        <s v="Rugrats Go WildÂ "/>
        <s v="Evil Dead IIÂ "/>
        <s v="Dallas Buyers ClubÂ "/>
        <s v="Lilo &amp; StitchÂ "/>
        <s v="AmourÂ "/>
        <s v="La BambaÂ "/>
        <s v="An Everlasting PieceÂ "/>
        <s v="All the Pretty HorsesÂ "/>
        <s v="Big TroubleÂ "/>
        <s v="Drive Me CrazyÂ "/>
        <s v="Bottle RocketÂ "/>
        <s v="The Night ListenerÂ "/>
        <s v="BoltÂ "/>
        <s v="Bottle ShockÂ "/>
        <s v="Head Over HeelsÂ "/>
        <s v="The CovenantÂ "/>
        <s v="Before SunsetÂ "/>
        <s v="Little FockersÂ "/>
        <s v="The Haunting of Molly HartleyÂ "/>
        <s v="School for ScoundrelsÂ "/>
        <s v="Sweet NovemberÂ "/>
        <s v="Get on the BusÂ "/>
        <s v="The CroodsÂ "/>
        <s v="Donnie DarkoÂ "/>
        <s v="Blood DiamondÂ "/>
        <s v="FlightplanÂ "/>
        <s v="Old SchoolÂ "/>
        <s v="Mortal Kombat: AnnihilationÂ "/>
        <s v="The Jungle Book 2Â "/>
        <s v="JawsÂ "/>
        <s v="Conan the BarbarianÂ "/>
        <s v="The Virgin SuicidesÂ "/>
        <s v="DogmaÂ "/>
        <s v="Jeepers Creepers IIÂ "/>
        <s v="Killing Them SoftlyÂ "/>
        <s v="27 DressesÂ "/>
        <s v="Les visiteursÂ "/>
        <s v="Little BoyÂ "/>
        <s v="Charlie Wilson's WarÂ "/>
        <s v="The ProposalÂ "/>
        <s v="As Good as It GetsÂ "/>
        <s v="The Devil's RejectsÂ "/>
        <s v="CapoteÂ "/>
        <s v="I Love You Phillip MorrisÂ "/>
        <s v="Heaven's GateÂ "/>
        <s v="Welcome Home, Roscoe JenkinsÂ "/>
        <s v="The Sweetest ThingÂ "/>
        <s v="Mission to MarsÂ "/>
        <s v="Next FridayÂ "/>
        <s v="Water for ElephantsÂ "/>
        <s v="The ManÂ "/>
        <s v="Mr. DeedsÂ "/>
        <s v="West Side StoryÂ "/>
        <s v="Into the StormÂ "/>
        <s v="8 MileÂ "/>
        <s v="The Girl with the Dragon TattooÂ "/>
        <s v="Sherlock HolmesÂ "/>
        <s v="Young AdultÂ "/>
        <s v="Mo' Better BluesÂ "/>
        <s v="The Pink PantherÂ "/>
        <s v="The PurgeÂ "/>
        <s v="Much Ado About NothingÂ "/>
        <s v="Poltergeist IIIÂ "/>
        <s v="The Last Sin EaterÂ "/>
        <s v="This ChristmasÂ "/>
        <s v="The Other WomanÂ "/>
        <s v="Death to SmoochyÂ "/>
        <s v="The Island of Dr. MoreauÂ "/>
        <s v="Proof of LifeÂ "/>
        <s v="Recess: School's OutÂ "/>
        <s v="The Good HeartÂ "/>
        <s v="The WalkÂ "/>
        <s v="From Russia with LoveÂ "/>
        <s v="Woman on TopÂ "/>
        <s v="Miss CongenialityÂ "/>
        <s v="Red TailsÂ "/>
        <s v="City of AngelsÂ "/>
        <s v="Crouching Tiger, Hidden DragonÂ "/>
        <s v="The 40-Year-Old VirginÂ "/>
        <s v="The Other Dream TeamÂ "/>
        <s v="Johnny English RebornÂ "/>
        <s v="The 13th WarriorÂ "/>
        <s v="St. VincentÂ "/>
        <s v="Texas RangersÂ "/>
        <s v="ScreamÂ "/>
        <s v="Chicken RunÂ "/>
        <s v="GoosebumpsÂ "/>
        <s v="Get on UpÂ "/>
        <s v="FizaÂ "/>
        <s v="Paranormal Activity 3Â "/>
        <s v="Inspector GadgetÂ "/>
        <s v="Half BakedÂ "/>
        <s v="Free BirdsÂ "/>
        <s v="Me and You and Everyone We KnowÂ "/>
        <s v="Big MiracleÂ "/>
        <s v="The Last DragonÂ "/>
        <s v="Wyatt EarpÂ "/>
        <s v="Clerks IIÂ "/>
        <s v="Smiling Fish &amp; Goat on FireÂ "/>
        <s v="Interview with the AssassinÂ "/>
        <s v="The Hateful EightÂ "/>
        <s v="The ConspiratorÂ "/>
        <s v="OutbreakÂ "/>
        <s v="Stone ColdÂ "/>
        <s v="Osmosis JonesÂ "/>
        <s v="Left BehindÂ "/>
        <s v="The Bounty HunterÂ "/>
        <s v="Hellboy II: The Golden ArmyÂ "/>
        <s v="CrooklynÂ "/>
        <s v="Baby MamaÂ "/>
        <s v="The HurricaneÂ "/>
        <s v="Shanghai SurpriseÂ "/>
        <s v="Independence DayÂ "/>
        <s v="FlickaÂ "/>
        <s v="Pooh's Heffalump MovieÂ "/>
        <s v="Lord of WarÂ "/>
        <s v="Jonah: A VeggieTales MovieÂ "/>
        <s v="Top GunÂ "/>
        <s v="UnknownÂ "/>
        <s v="Happy GilmoreÂ "/>
        <s v="MindhuntersÂ "/>
        <s v="Michael CollinsÂ "/>
        <s v="Imagine Me &amp; YouÂ "/>
        <s v="102 DalmatiansÂ "/>
        <s v="Jurassic WorldÂ "/>
        <s v="Random HeartsÂ "/>
        <s v="One True ThingÂ "/>
        <s v="Madea's Family ReunionÂ "/>
        <s v="The Best Years of Our LivesÂ "/>
        <s v="Law Abiding CitizenÂ "/>
        <s v="Deuce Bigalow: European GigoloÂ "/>
        <s v="America's SweetheartsÂ "/>
        <s v="OceansÂ "/>
        <s v="15 MinutesÂ "/>
        <s v="ZoomÂ "/>
        <s v="Ted 2Â "/>
        <s v="3:10 to YumaÂ "/>
        <s v="The PledgeÂ "/>
        <s v="Runner RunnerÂ "/>
        <s v="Swing VoteÂ "/>
        <s v="Dear JohnÂ "/>
        <s v="SilveradoÂ "/>
        <s v="Mortal KombatÂ "/>
        <s v="The Last House on the LeftÂ "/>
        <s v="Sorority RowÂ "/>
        <s v="The Extra ManÂ "/>
        <s v="The GrudgeÂ "/>
        <s v="Halloween IIÂ "/>
        <s v="88 MinutesÂ "/>
        <s v="BrotherÂ "/>
        <s v="Doug's 1st MovieÂ "/>
        <s v="EnvyÂ "/>
        <s v="8 WomenÂ "/>
        <s v="Percy Jackson &amp; the Olympians: The Lightning ThiefÂ "/>
        <s v="Snow DayÂ "/>
        <s v="GladiatorÂ "/>
        <s v="Flight of the PhoenixÂ "/>
        <s v="A Sound of ThunderÂ "/>
        <s v="Event HorizonÂ "/>
        <s v="The Perfect ManÂ "/>
        <s v="Crimson TideÂ "/>
        <s v="Seventh SonÂ "/>
        <s v="When Did You Last See Your Father?Â "/>
        <s v="Hot Tub Time Machine 2Â "/>
        <s v="Spider-ManÂ "/>
        <s v="GlitterÂ "/>
        <s v="A Nightmare on Elm Street 3: Dream WarriorsÂ "/>
        <s v="Swept AwayÂ "/>
        <s v="MarmadukeÂ "/>
        <s v="Dickie Roberts: Former Child StarÂ "/>
        <s v="A Perfect GetawayÂ "/>
        <s v="ThumbsuckerÂ "/>
        <s v="KidsÂ "/>
        <s v="Back to the Future Part IIIÂ "/>
        <s v="Indiana Jones and the Kingdom of the Crystal SkullÂ "/>
        <s v="The Manchurian CandidateÂ "/>
        <s v="Robot &amp; FrankÂ "/>
        <s v="BabeÂ "/>
        <s v="The BrothersÂ "/>
        <s v="Last VegasÂ "/>
        <s v="Nanny McPhee ReturnsÂ "/>
        <s v="Thunder and the House of MagicÂ "/>
        <s v="Breakfast of ChampionsÂ "/>
        <s v="Elizabeth: The Golden AgeÂ "/>
        <s v="FatelessÂ "/>
        <s v="Cast AwayÂ "/>
        <s v="Vantage PointÂ "/>
        <s v="Planet of the ApesÂ "/>
        <s v="Two Evil EyesÂ "/>
        <s v="The Spiderwick ChroniclesÂ "/>
        <s v="The MajesticÂ "/>
        <s v="Enemy at the GatesÂ "/>
        <s v="New in TownÂ "/>
        <s v="Hoodwinked Too! Hood vs. EvilÂ "/>
        <s v="American GangsterÂ "/>
        <s v="Jonah HexÂ "/>
        <s v="PoltergeistÂ "/>
        <s v="CrashÂ "/>
        <s v="TuskÂ "/>
        <s v="In the Name of the King: A Dungeon Siege TaleÂ "/>
        <s v="Scream 2Â "/>
        <s v="Small SoldiersÂ "/>
        <s v="The Monuments MenÂ "/>
        <s v="Richard IIIÂ "/>
        <s v="McFarland, USAÂ "/>
        <s v="BlindnessÂ "/>
        <s v="Serial MomÂ "/>
        <s v="A Haunted HouseÂ "/>
        <s v="Superman IIÂ "/>
        <s v="Of Horses and MenÂ "/>
        <s v="TammyÂ "/>
        <s v="The Emperor's New GrooveÂ "/>
        <s v="KnowingÂ "/>
        <s v="Jerry MaguireÂ "/>
        <s v="The Good NightÂ "/>
        <s v="WhiplashÂ "/>
        <s v="Hostel: Part IIÂ "/>
        <s v="Meet Joe BlackÂ "/>
        <s v="InsurgentÂ "/>
        <s v="Alexander and the Terrible, Horrible, No Good, Very Bad DayÂ "/>
        <s v="Tanner HallÂ "/>
        <s v="DumaÂ "/>
        <s v="The Amityville HorrorÂ "/>
        <s v="The TuxedoÂ "/>
        <s v="Toy StoryÂ "/>
        <s v="ShadeÂ "/>
        <s v="SkyfallÂ "/>
        <s v="Kill Bill: Vol. 2Â "/>
        <s v="KitesÂ "/>
        <s v="Some Like It HotÂ "/>
        <s v="Still AliceÂ "/>
        <s v="Mean GirlsÂ "/>
        <s v="TurbulenceÂ "/>
        <s v="Crazy/BeautifulÂ "/>
        <s v="Django UnchainedÂ "/>
        <s v="Pieces of AprilÂ "/>
        <s v="Out ColdÂ "/>
        <s v="ChocolatÂ "/>
        <s v="DragonflyÂ "/>
        <s v="DysFunktional FamilyÂ "/>
        <s v="The Exorcism of Emily RoseÂ "/>
        <s v="The Weather ManÂ "/>
        <s v="Horrible BossesÂ "/>
        <s v="Phat GirlzÂ "/>
        <s v="The BarbariansÂ "/>
        <s v="Big EyesÂ "/>
        <s v="28 Days Later...Â "/>
        <s v="Warriors of VirtueÂ "/>
        <s v="The Whole Ten YardsÂ "/>
        <s v="Shallow HalÂ "/>
        <s v="Take ShelterÂ "/>
        <s v="Moulin Rouge!Â "/>
        <s v="The In CrowdÂ "/>
        <s v="The Pelican BriefÂ "/>
        <s v="The DoorsÂ "/>
        <s v="Fair GameÂ "/>
        <s v="Freddy's Dead: The Final NightmareÂ "/>
        <s v="The ShallowsÂ "/>
        <s v="3 StrikesÂ "/>
        <s v="Neighbors 2: Sorority RisingÂ "/>
        <s v="Mission: Impossible IIÂ "/>
        <s v="Certifiably JonathanÂ "/>
        <s v="Road TripÂ "/>
        <s v="HannaÂ "/>
        <s v="Marilyn Hotchkiss' Ballroom Dancing and Charm SchoolÂ "/>
        <s v="Exodus: Gods and KingsÂ "/>
        <s v="American OutlawsÂ "/>
        <s v="Lady in the WaterÂ "/>
        <s v="Dead Man on CampusÂ "/>
        <s v="SherrybabyÂ "/>
        <s v="As Above, So BelowÂ "/>
        <s v="To Rome with LoveÂ "/>
        <s v="The ForestÂ "/>
        <s v="I Spit on Your GraveÂ "/>
        <s v="Four BrothersÂ "/>
        <s v="Chariots of FireÂ "/>
        <s v="Igby Goes DownÂ "/>
        <s v="21 GramsÂ "/>
        <s v="Jack Ryan: Shadow RecruitÂ "/>
        <s v="Paranormal Activity 2Â "/>
        <s v="Freedom WritersÂ "/>
        <s v="We're No AngelsÂ "/>
        <s v="Blades of GloryÂ "/>
        <s v="Mission: Impossible - Ghost ProtocolÂ "/>
        <s v="Oscar and LucindaÂ "/>
        <s v="3000 Miles to GracelandÂ "/>
        <s v="Ice AgeÂ "/>
        <s v="The English PatientÂ "/>
        <s v="The Holy GirlÂ "/>
        <s v="Thor: The Dark WorldÂ "/>
        <s v="Kicking &amp; ScreamingÂ "/>
        <s v="Kiss the GirlsÂ "/>
        <s v="FrozenÂ "/>
        <s v="Jason Lives: Friday the 13th Part VIÂ "/>
        <s v="Son of GodÂ "/>
        <s v="Nomad: The WarriorÂ "/>
        <s v="Step UpÂ "/>
        <s v="2046Â "/>
        <s v="Alias BettyÂ "/>
        <s v="The Little VampireÂ "/>
        <s v="The Day the Earth Stood StillÂ "/>
        <s v="Happy, TexasÂ "/>
        <s v="Lawrence of ArabiaÂ "/>
        <s v="Love StinksÂ "/>
        <s v="Coco Before ChanelÂ "/>
        <s v="The Princess BrideÂ "/>
        <s v="Blue RuinÂ "/>
        <s v="HalloweenÂ "/>
        <s v="TransformersÂ "/>
        <s v="InescapableÂ "/>
        <s v="The Princess DiariesÂ "/>
        <s v="The Guilt TripÂ "/>
        <s v="ChokeÂ "/>
        <s v="TheyÂ "/>
        <s v="Smilla's Sense of SnowÂ "/>
        <s v="Legal EaglesÂ "/>
        <s v="Lee Daniels' The ButlerÂ "/>
        <s v="Max Keeble's Big MoveÂ "/>
        <s v="BeastlyÂ "/>
        <s v="Eye of the DolphinÂ "/>
        <s v="The Banger SistersÂ "/>
        <s v="Time ChangerÂ "/>
        <s v="TwilightÂ "/>
        <s v="Sunshine StateÂ "/>
        <s v="Ace Ventura: When Nature CallsÂ "/>
        <s v="Children of MenÂ "/>
        <s v="Raising CainÂ "/>
        <s v="Welcome to MooseportÂ "/>
        <s v="Major DundeeÂ "/>
        <s v="NewlywedsÂ "/>
        <s v="BraveheartÂ "/>
        <s v="The Godfather: Part IIIÂ "/>
        <s v="The Final DestinationÂ "/>
        <s v="PersepolisÂ "/>
        <s v="Held UpÂ "/>
        <s v="Highlander: EndgameÂ "/>
        <s v="The Long Kiss GoodnightÂ "/>
        <s v="GoodfellasÂ "/>
        <s v="UnderclassmanÂ "/>
        <s v="Love and Other CatastrophesÂ "/>
        <s v="Hide and SeekÂ "/>
        <s v="Madea's Witness ProtectionÂ "/>
        <s v="SwordfishÂ "/>
        <s v="90 Minutes in HeavenÂ "/>
        <s v="Dark ShadowsÂ "/>
        <s v="Dracula UntoldÂ "/>
        <s v="The Assassination of Jesse James by the Coward Robert FordÂ "/>
        <s v="Dancer in the DarkÂ "/>
        <s v="Return to Never LandÂ "/>
        <s v="Safe HouseÂ "/>
        <s v="RoninÂ "/>
        <s v="Romeo + JulietÂ "/>
        <s v="Confessions of a Teenage Drama QueenÂ "/>
        <s v="The Open RoadÂ "/>
        <s v="JawbreakerÂ "/>
        <s v="The Princess Diaries 2: Royal EngagementÂ "/>
        <s v="Le HavreÂ "/>
        <s v="ClickÂ "/>
        <s v="HidalgoÂ "/>
        <s v="Sleep DealerÂ "/>
        <s v="SphereÂ "/>
        <s v="The SpecialsÂ "/>
        <s v="The EyeÂ "/>
        <s v="The Little PrinceÂ "/>
        <s v="BlowÂ "/>
        <s v="LucyÂ "/>
        <s v="My Dog SkipÂ "/>
        <s v="Kung Fu PandaÂ "/>
        <s v="The GreyÂ "/>
        <s v="The ReapingÂ "/>
        <s v="High Heels and Low LifesÂ "/>
        <s v="The FugitiveÂ "/>
        <s v="Young FrankensteinÂ "/>
        <s v="Premium RushÂ "/>
        <s v="Transformers: Revenge of the FallenÂ "/>
        <s v="Saw 3D: The Final ChapterÂ "/>
        <s v="Mary ReillyÂ "/>
        <s v="Chill FactorÂ "/>
        <s v="An Unfinished LifeÂ "/>
        <s v="DuetsÂ "/>
        <s v="Bride &amp; PrejudiceÂ "/>
        <s v="GoodÂ "/>
        <s v="Match PointÂ "/>
        <s v="Fantasia 2000Â "/>
        <s v="Iron ManÂ "/>
        <s v="The Last AirbenderÂ "/>
        <s v="We Need to Talk About KevinÂ "/>
        <s v="The CelebrationÂ "/>
        <s v="The KingdomÂ "/>
        <s v="Chasing MavericksÂ "/>
        <s v="The White RibbonÂ "/>
        <s v="Hobo with a ShotgunÂ "/>
        <s v="RisenÂ "/>
        <s v="The QueenÂ "/>
        <s v="Ant-ManÂ "/>
        <s v="A Cinderella StoryÂ "/>
        <s v="HaywireÂ "/>
        <s v="Bicentennial ManÂ "/>
        <s v="MumfordÂ "/>
        <s v="CyrusÂ "/>
        <s v="The RainmakerÂ "/>
        <s v="Thirteen Conversations About One ThingÂ "/>
        <s v="The Glass HouseÂ "/>
        <s v="Black or WhiteÂ "/>
        <s v="She's All ThatÂ "/>
        <s v="A Thin Line Between Love and HateÂ "/>
        <s v="Crazy HeartÂ "/>
        <s v="Red Riding HoodÂ "/>
        <s v="I Want Your MoneyÂ "/>
        <s v="Austin Powers in GoldmemberÂ "/>
        <s v="Gangster's Paradise: JerusalemaÂ "/>
        <s v="Harry BrownÂ "/>
        <s v="How to Lose a Guy in 10 DaysÂ "/>
        <s v="Saving Mr. BanksÂ "/>
        <s v="Epic MovieÂ "/>
        <s v="Transporter 2Â "/>
        <s v="Alex Rider: Operation StormbreakerÂ "/>
        <s v="EpicÂ "/>
        <s v="OndineÂ "/>
        <s v="AustraliaÂ "/>
        <s v="Enemy of the StateÂ "/>
        <s v="Paris, je t'aimeÂ "/>
        <s v="Bloody SundayÂ "/>
        <s v="August RushÂ "/>
        <s v="ReligulousÂ "/>
        <s v="The ScoreÂ "/>
        <s v="FreakonomicsÂ "/>
        <s v="All or NothingÂ "/>
        <s v="Wild TargetÂ "/>
        <s v="BrÃ¼noÂ "/>
        <s v="Sunshine CleaningÂ "/>
        <s v="The PossessionÂ "/>
        <s v="CaptiveÂ "/>
        <s v="Madagascar 3: Europe's Most WantedÂ "/>
        <s v="Kevin Hart: Let Me ExplainÂ "/>
        <s v="The GunmanÂ "/>
        <s v="Money TalksÂ "/>
        <s v="Eagle EyeÂ "/>
        <s v="Dragon BladeÂ "/>
        <s v="V for VendettaÂ "/>
        <s v="The Simpsons MovieÂ "/>
        <s v="Seven SamuraiÂ "/>
        <s v="Street Fighter: The Legend of Chun-LiÂ "/>
        <s v="The Matrix RevolutionsÂ "/>
        <s v="Me and Orson WellesÂ "/>
        <s v="Star Wars: Episode III - Revenge of the SithÂ "/>
        <s v="Spy GameÂ "/>
        <s v="Dolphin Tale 2Â "/>
        <s v="Brooklyn RulesÂ "/>
        <s v="Wall Street: Money Never SleepsÂ "/>
        <s v="Post GradÂ "/>
        <s v="Sgt. BilkoÂ "/>
        <s v="Happily N'Ever AfterÂ "/>
        <s v="DeadpoolÂ "/>
        <s v="Something's Gotta GiveÂ "/>
        <s v="RockyÂ "/>
        <s v="PhilomenaÂ "/>
        <s v="HardflipÂ "/>
        <s v="The Hills Have EyesÂ "/>
        <s v="In BrugesÂ "/>
        <s v="Marley &amp; MeÂ "/>
        <s v="RoarÂ "/>
        <s v="The SwindleÂ "/>
        <s v="13 Going on 30Â "/>
        <s v="The Best OfferÂ "/>
        <s v="FameÂ "/>
        <s v="MudÂ "/>
        <s v="Good Will HuntingÂ "/>
        <s v="In the Shadow of the MoonÂ "/>
        <s v="Men of HonorÂ "/>
        <s v="GigliÂ "/>
        <s v="This Is ItÂ "/>
        <s v="The History BoysÂ "/>
        <s v="AmadeusÂ "/>
        <s v="Half NelsonÂ "/>
        <s v="Mad Max Beyond ThunderdomeÂ "/>
        <s v="My Super Ex-GirlfriendÂ "/>
        <s v="25th HourÂ "/>
        <s v="42nd StreetÂ "/>
        <s v="DoomÂ "/>
        <s v="The World Is Not EnoughÂ "/>
        <s v="Tears of the SunÂ "/>
        <s v="AssassinsÂ "/>
        <s v="Live Free or Die HardÂ "/>
        <s v="Lone SurvivorÂ "/>
        <s v="Remember the TitansÂ "/>
        <s v="Kiss of the DragonÂ "/>
        <s v="Joyeux NoelÂ "/>
        <s v="Six Days Seven NightsÂ "/>
        <s v="HerculesÂ "/>
        <s v="Eternal Sunshine of the Spotless MindÂ "/>
        <s v="All About the BenjaminsÂ "/>
        <s v="The ApparitionÂ "/>
        <s v="ChicagoÂ "/>
        <s v="White ChicksÂ "/>
        <s v="JoeÂ "/>
        <s v="Filly BrownÂ "/>
        <s v="Bright Lights, Big CityÂ "/>
        <s v="Charlie and the Chocolate FactoryÂ "/>
        <s v="SafeÂ "/>
        <s v="The AvengersÂ "/>
        <s v="The OneÂ "/>
        <s v="Don't Be Afraid of the DarkÂ "/>
        <s v="The Hitchhiker's Guide to the GalaxyÂ "/>
        <s v="The X Files: I Want to BelieveÂ "/>
        <s v="TomcatsÂ "/>
        <s v="The Twilight Saga: New MoonÂ "/>
        <s v="Man of SteelÂ "/>
        <s v="HomefrontÂ "/>
        <s v="The Big ShortÂ "/>
        <s v="DinosaurÂ "/>
        <s v="Endless LoveÂ "/>
        <s v="Tomorrow Never DiesÂ "/>
        <s v="The Time MachineÂ "/>
        <s v="MoonrakerÂ "/>
        <s v="Blue Like JazzÂ "/>
        <s v="2 Fast 2 FuriousÂ "/>
        <s v="WindtalkersÂ "/>
        <s v="I, FrankensteinÂ "/>
        <s v="Rugrats in Paris: The MovieÂ "/>
        <s v="Ocean's ElevenÂ "/>
        <s v="Raising Victor VargasÂ "/>
        <s v="Hanging UpÂ "/>
        <s v="The Three MusketeersÂ "/>
        <s v="Letters to JulietÂ "/>
        <s v="Revolutionary RoadÂ "/>
        <s v="Heaven Is for RealÂ "/>
        <s v="The MasterÂ "/>
        <s v="The Fisher KingÂ "/>
        <s v="The TerminatorÂ "/>
        <s v="Fiddler on the RoofÂ "/>
        <s v="Loaded Weapon 1Â "/>
        <s v="The Barbarian InvasionsÂ "/>
        <s v="Kama Sutra: A Tale of LoveÂ "/>
        <s v="X-Men Origins: WolverineÂ "/>
        <s v="ShadowlandsÂ "/>
        <s v="Ghost TownÂ "/>
        <s v="The WarlordsÂ "/>
        <s v="CloverfieldÂ "/>
        <s v="End of WatchÂ "/>
        <s v="Sinister 2Â "/>
        <s v="Imagine ThatÂ "/>
        <s v="All Is LostÂ "/>
        <s v="Road HardÂ "/>
        <s v="Harry Potter and the Order of the PhoenixÂ "/>
        <s v="Legally Blonde 2: Red, White &amp; BlondeÂ "/>
        <s v="Ella EnchantedÂ "/>
        <s v="SouthpawÂ "/>
        <s v="The Muppet Christmas CarolÂ "/>
        <s v="Sky HighÂ "/>
        <s v="The Purge: Election YearÂ "/>
        <s v="Man on FireÂ "/>
        <s v="The American PresidentÂ "/>
        <s v="Get Over ItÂ "/>
        <s v="The Brothers BloomÂ "/>
        <s v="For Your ConsiderationÂ "/>
        <s v="The Warrior's WayÂ "/>
        <s v="Date MovieÂ "/>
        <s v="Big Trouble in Little ChinaÂ "/>
        <s v="Slumdog MillionaireÂ "/>
        <s v="Notes on a ScandalÂ "/>
        <s v="Iron Man 3Â "/>
        <s v="SecretariatÂ "/>
        <s v="Fruitvale StationÂ "/>
        <s v="The Lake HouseÂ "/>
        <s v="The Book of EliÂ "/>
        <s v="Dangerous LiaisonsÂ "/>
        <s v="The Forbidden KingdomÂ "/>
        <s v="Dante's PeakÂ "/>
        <s v="Once Upon a Time in MexicoÂ "/>
        <s v="10 Cloverfield LaneÂ "/>
        <s v="Paper TownsÂ "/>
        <s v="The Stepford WivesÂ "/>
        <s v="Bon voyageÂ "/>
        <s v="American History XÂ "/>
        <s v="CellularÂ "/>
        <s v="Dylan Dog: Dead of NightÂ "/>
        <s v="AnonymousÂ "/>
        <s v="Talk RadioÂ "/>
        <s v="Black NativityÂ "/>
        <s v="SpaceballsÂ "/>
        <s v="Hav PlentyÂ "/>
        <s v="Four RoomsÂ "/>
        <s v="21 Jump StreetÂ "/>
        <s v="Get SmartÂ "/>
        <s v="SlackersÂ "/>
        <s v="Midnight SpecialÂ "/>
        <s v="Anywhere But HereÂ "/>
        <s v="The Glimmer ManÂ "/>
        <s v="Baggage ClaimÂ "/>
        <s v="The Spy Next DoorÂ "/>
        <s v="CrankÂ "/>
        <s v="Only the StrongÂ "/>
        <s v="I Am LegendÂ "/>
        <s v="Spirited AwayÂ "/>
        <s v="Nanny McPheeÂ "/>
        <s v="Memoirs of a GeishaÂ "/>
        <s v="The IslandÂ "/>
        <s v="Over the HedgeÂ "/>
        <s v="Beyond the SeaÂ "/>
        <s v="The Curse of the Jade ScorpionÂ "/>
        <s v="Tower HeistÂ "/>
        <s v="Straight Out of BrooklynÂ "/>
        <s v="DevilÂ "/>
        <s v="Tiny FurnitureÂ "/>
        <s v="The BelieverÂ "/>
        <s v="I Am Number FourÂ "/>
        <s v="PollockÂ "/>
        <s v="Kung Pow: Enter the FistÂ "/>
        <s v="High CrimesÂ "/>
        <s v="Let's Be CopsÂ "/>
        <s v="Jeepers CreepersÂ "/>
        <s v="The HelpÂ "/>
        <s v="QuartetÂ "/>
        <s v="The Other Side of HeavenÂ "/>
        <s v="The FlintstonesÂ "/>
        <s v="Moonrise KingdomÂ "/>
        <s v="City HallÂ "/>
        <s v="Man on WireÂ "/>
        <s v="The CureÂ "/>
        <s v="The Best of MeÂ "/>
        <s v="The Peanuts MovieÂ "/>
        <s v="The FogÂ "/>
        <s v="DoubtÂ "/>
        <s v="Hurricane StreetsÂ "/>
        <s v="Blast from the PastÂ "/>
        <s v="Fast FiveÂ "/>
        <s v="Renaissance ManÂ "/>
        <s v="The Oxford MurdersÂ "/>
        <s v="I Love You, Beth CooperÂ "/>
        <s v="The World's Fastest IndianÂ "/>
        <s v="PaparazziÂ "/>
        <s v="The Bourne IdentityÂ "/>
        <s v="FridayÂ "/>
        <s v="Transformers: Age of ExtinctionÂ "/>
        <s v="The Midnight Meat TrainÂ "/>
        <s v="The Hudsucker ProxyÂ "/>
        <s v="Men in BlackÂ "/>
        <s v="Dirty GrandpaÂ "/>
        <s v="CleanÂ "/>
        <s v="Underworld: AwakeningÂ "/>
        <s v="FascinationÂ "/>
        <s v="Hotel Transylvania 2Â "/>
        <s v="Friday the 13th Part 2Â "/>
        <s v="EnoughÂ "/>
        <s v="Blade: TrinityÂ "/>
        <s v="This Is the EndÂ "/>
        <s v="Baby's Day OutÂ "/>
        <s v="Dream HouseÂ "/>
        <s v="Get CarterÂ "/>
        <s v="The Lion KingÂ "/>
        <s v="Code 46Â "/>
        <s v="Wrath of the TitansÂ "/>
        <s v="FirestarterÂ "/>
        <s v="The HauntingÂ "/>
        <s v="Just VisitingÂ "/>
        <s v="SteamboyÂ "/>
        <s v="LooperÂ "/>
        <s v="The WizÂ "/>
        <s v="Halloween III: Season of the WitchÂ "/>
        <s v="LockoutÂ "/>
        <s v="Witless ProtectionÂ "/>
        <s v="The ConjuringÂ "/>
        <s v="Kit Kittredge: An American GirlÂ "/>
        <s v="American DesiÂ "/>
        <s v="How to Train Your DragonÂ "/>
        <s v="BirthÂ "/>
        <s v="We Are Your FriendsÂ "/>
        <s v="Interview with the Vampire: The Vampire ChroniclesÂ "/>
        <s v="End of the SpearÂ "/>
        <s v="The Place Beyond the PinesÂ "/>
        <s v="CrossoverÂ "/>
        <s v="The Imaginarium of Doctor ParnassusÂ "/>
        <s v="Of Gods and MenÂ "/>
        <s v="Resident EvilÂ "/>
        <s v="Bringing Down the HouseÂ "/>
        <s v="The SentinelÂ "/>
        <s v="The Devil Wears PradaÂ "/>
        <s v="TrollhunterÂ "/>
        <s v="Jack and JillÂ "/>
        <s v="Hoodwinked!Â "/>
        <s v="Safe HavenÂ "/>
        <s v="Blood TiesÂ "/>
        <s v="ShowgirlsÂ "/>
        <s v="The Scarlet LetterÂ "/>
        <s v="Away We GoÂ "/>
        <s v="Ghosts of MississippiÂ "/>
        <s v="The StatementÂ "/>
        <s v="PandorumÂ "/>
        <s v="The Thomas Crown AffairÂ "/>
        <s v="Best in ShowÂ "/>
        <s v="AdmissionÂ "/>
        <s v="Freaky FridayÂ "/>
        <s v="Bride of ChuckyÂ "/>
        <s v="Fear and Loathing in Las VegasÂ "/>
        <s v="Les couloirs du temps: Les visiteurs IIÂ "/>
        <s v="The Woman in BlackÂ "/>
        <s v="Speed RacerÂ "/>
        <s v="Oliver!Â "/>
        <s v="The InsiderÂ "/>
        <s v="BacheloretteÂ "/>
        <s v="FlightÂ "/>
        <s v="Zathura: A Space AdventureÂ "/>
        <s v="The PropositionÂ "/>
        <s v="IshtarÂ "/>
        <s v="The Hotel New HampshireÂ "/>
        <s v="The MusketeerÂ "/>
        <s v="You Will Meet a Tall Dark StrangerÂ "/>
        <s v="Meet the SpartansÂ "/>
        <s v="Lock, Stock and Two Smoking BarrelsÂ "/>
        <s v="The Legend of SuriyothaiÂ "/>
        <s v="JunoÂ "/>
        <s v="Toy Story 2Â "/>
        <s v="The SoloistÂ "/>
        <s v="Mr 3000Â "/>
        <s v="The ContenderÂ "/>
        <s v="ChappieÂ "/>
        <s v="Time BanditsÂ "/>
        <s v="The Conjuring 2Â "/>
        <s v="Conspiracy TheoryÂ "/>
        <s v="Bad TeacherÂ "/>
        <s v="S.W.A.T.Â "/>
        <s v="Here Comes the BoomÂ "/>
        <s v="Stranger Than FictionÂ "/>
        <s v="The Taking of Pelham 1 2 3Â "/>
        <s v="Better Luck TomorrowÂ "/>
        <s v="Harriet the SpyÂ "/>
        <s v="The FPÂ "/>
        <s v="Superbabies: Baby Geniuses 2Â "/>
        <s v="The Devil's AdvocateÂ "/>
        <s v="The Last King of ScotlandÂ "/>
        <s v="Final Destination 5Â "/>
        <s v="The JacketÂ "/>
        <s v="Black MassÂ "/>
        <s v="The CollectionÂ "/>
        <s v="PonyoÂ "/>
        <s v="The Spanish PrisonerÂ "/>
        <s v="Only God ForgivesÂ "/>
        <s v="Down to EarthÂ "/>
        <s v="WarriorÂ "/>
        <s v="WildÂ "/>
        <s v="Ordinary PeopleÂ "/>
        <s v="The PunisherÂ "/>
        <s v="Grosse Pointe BlankÂ "/>
        <s v="Menace II SocietyÂ "/>
        <s v="Bangkok DangerousÂ "/>
        <s v="Nine QueensÂ "/>
        <s v="American Pie 2Â "/>
        <s v="AgoraÂ "/>
        <s v="An American CarolÂ "/>
        <s v="A Nightmare on Elm Street 2: Freddy's RevengeÂ "/>
        <s v="Being John MalkovichÂ "/>
        <s v="PrefontaineÂ "/>
        <s v="The InternshipÂ "/>
        <s v="National TreasureÂ "/>
        <s v="Gun ShyÂ "/>
        <s v="MaloneÂ "/>
        <s v="SelenaÂ "/>
        <s v="The Out-of-TownersÂ "/>
        <s v="ArgoÂ "/>
        <s v="Brigham CityÂ "/>
        <s v="Lonesome JimÂ "/>
        <s v="Olympus Has FallenÂ "/>
        <s v="Gods and GeneralsÂ "/>
        <s v="Vanilla SkyÂ "/>
        <s v="Days of ThunderÂ "/>
        <s v="Real Women Have CurvesÂ "/>
        <s v="The Scorch TrialsÂ "/>
        <s v="Puss in BootsÂ "/>
        <s v="Raiders of the Lost ArkÂ "/>
        <s v="MoonÂ "/>
        <s v="Triple 9Â "/>
        <s v="Rise of the Planet of the ApesÂ "/>
        <s v="The AmericanÂ "/>
        <s v="Flight of the IntruderÂ "/>
        <s v="HookÂ "/>
        <s v="MagnoliaÂ "/>
        <s v="CriminalÂ "/>
        <s v="Inside OutÂ "/>
        <s v="Jesus' SonÂ "/>
        <s v="Things to Do in Denver When You're DeadÂ "/>
        <s v="Promised LandÂ "/>
        <s v="The Last StandÂ "/>
        <s v="Jack the Giant SlayerÂ "/>
        <s v="The LosersÂ "/>
        <s v="TrekkiesÂ "/>
        <s v="Smokin' AcesÂ "/>
        <s v="K-19: The WidowmakerÂ "/>
        <s v="RayÂ "/>
        <s v="Space CowboysÂ "/>
        <s v="Disaster MovieÂ "/>
        <s v="The CoreÂ "/>
        <s v="Saw VÂ "/>
        <s v="Lara Croft: Tomb RaiderÂ "/>
        <s v="Blood In, Blood OutÂ "/>
        <s v="The Naked Gun 2Â½: The Smell of FearÂ "/>
        <s v="Harley Davidson and the Marlboro ManÂ "/>
        <s v="ComplianceÂ "/>
        <s v="El MariachiÂ "/>
        <s v="Ender's GameÂ "/>
        <s v="BoyhoodÂ "/>
        <s v="Marie AntoinetteÂ "/>
        <s v="The Wedding PlannerÂ "/>
        <s v="9Â "/>
        <s v="DragonslayerÂ "/>
        <s v="Flushed AwayÂ "/>
        <s v="Riding in Cars with BoysÂ "/>
        <s v="Die HardÂ "/>
        <s v="Chain LetterÂ "/>
        <s v="Never AgainÂ "/>
        <s v="RED 2Â "/>
        <s v="The Last of the MohicansÂ "/>
        <s v="Sholem Aleichem: Laughing in the DarknessÂ "/>
        <s v="Coach CarterÂ "/>
        <s v="Agent Cody BanksÂ "/>
        <s v="The WomenÂ "/>
        <s v="TimecopÂ "/>
        <s v="The GodfatherÂ "/>
        <s v="Super 8Â "/>
        <s v="The NotebookÂ "/>
        <s v="ShaftÂ "/>
        <s v="Star Wars: Episode VI - Return of the JediÂ "/>
        <s v="MargaretÂ "/>
        <s v="The Perfect HostÂ "/>
        <s v="SerenityÂ "/>
        <s v="The Princess and the FrogÂ "/>
        <s v="House of Flying DaggersÂ "/>
        <s v="Kick-Ass 2Â "/>
        <s v="Maximum RiskÂ "/>
        <s v="Cold MountainÂ "/>
        <s v="The HolidayÂ "/>
        <s v="Winged MigrationÂ "/>
        <s v="Attack the BlockÂ "/>
        <s v="The Chronicles of Narnia: The Voyage of the Dawn TreaderÂ "/>
        <s v="The Good ThiefÂ "/>
        <s v="Runaway BrideÂ "/>
        <s v="The BeachÂ "/>
        <s v="Glee: The 3D Concert MovieÂ "/>
        <s v="Boys and GirlsÂ "/>
        <s v="FaithfulÂ "/>
        <s v="Dr. NoÂ "/>
        <s v="The RiteÂ "/>
        <s v="The Book of Mormon Movie, Volume 1: The JourneyÂ "/>
        <s v="WaitressÂ "/>
        <s v="Falcon RisingÂ "/>
        <s v="She's the ManÂ "/>
        <s v="Mr. Bean's HolidayÂ "/>
        <s v="Howl's Moving CastleÂ "/>
        <s v="The InfiltratorÂ "/>
        <s v="Superman IV: The Quest for PeaceÂ "/>
        <s v="Baahubali: The BeginningÂ "/>
        <s v="Peggy Sue Got MarriedÂ "/>
        <s v="The Cat in the HatÂ "/>
        <s v="Crazy in AlabamaÂ "/>
        <s v="Labor DayÂ "/>
        <s v="Saw IIÂ "/>
        <s v="My Bloody ValentineÂ "/>
        <s v="To Die ForÂ "/>
        <s v="Resident Evil: ApocalypseÂ "/>
        <s v="The Big WeddingÂ "/>
        <s v="Army of DarknessÂ "/>
        <s v="What's Eating Gilbert GrapeÂ "/>
        <s v="Joe DirtÂ "/>
        <s v="FlipperÂ "/>
        <s v="U-571Â "/>
        <s v="Texas Chainsaw 3DÂ "/>
        <s v="Zero Dark ThirtyÂ "/>
        <s v="A Knight's TaleÂ "/>
        <s v="Shrek Forever AfterÂ "/>
        <s v="Garden StateÂ "/>
        <s v="Deliver Us from EvilÂ "/>
        <s v="Rat RaceÂ "/>
        <s v="That Awkward MomentÂ "/>
        <s v="The Newton BoysÂ "/>
        <s v="Three to TangoÂ "/>
        <s v="Ghost ShipÂ "/>
        <s v="Romeo Must DieÂ "/>
        <s v="Stolen SummerÂ "/>
        <s v="Money TrainÂ "/>
        <s v="The Color of MoneyÂ "/>
        <s v="Yes ManÂ "/>
        <s v="Our Family WeddingÂ "/>
        <s v="Man on the MoonÂ "/>
        <s v="The Angry Birds MovieÂ "/>
        <s v="The Men Who Stare at GoatsÂ "/>
        <s v="Beyond BordersÂ "/>
        <s v="Warlock: The ArmageddonÂ "/>
        <s v="SomewhereÂ "/>
        <s v="The Right StuffÂ "/>
        <s v="Spy KidsÂ "/>
        <s v="ShortsÂ "/>
        <s v="Friday the 13th: A New BeginningÂ "/>
        <s v="Friday the 13th Part IIIÂ "/>
        <s v="3 Days to KillÂ "/>
        <s v="Kabhi Alvida Naa KehnaÂ "/>
        <s v="Formula 51Â "/>
        <s v="Home RunÂ "/>
        <s v="X-Men: ApocalypseÂ "/>
        <s v="Dick TracyÂ "/>
        <s v="TomorrowlandÂ "/>
        <s v="SpawnÂ "/>
        <s v="About TimeÂ "/>
        <s v="Woman in GoldÂ "/>
        <s v="Dumb and Dumberer: When Harry Met LloydÂ "/>
        <s v="Robin HoodÂ "/>
        <s v="On Deadly GroundÂ "/>
        <s v="The Man with the Iron FistsÂ "/>
        <s v="BulworthÂ "/>
        <s v="ThunderbirdsÂ "/>
        <s v="Like MikeÂ "/>
        <s v="Beyond the Valley of the DollsÂ "/>
        <s v="GracieÂ "/>
        <s v="E.T. the Extra-TerrestrialÂ "/>
        <s v="Megiddo: The Omega Code 2Â "/>
        <s v="Cop OutÂ "/>
        <s v="Imaginary HeroesÂ "/>
        <s v="The Great GatsbyÂ "/>
        <s v="On Her Majesty's Secret ServiceÂ "/>
        <s v="Beverly Hills Cop IIIÂ "/>
        <s v="The Thin Red LineÂ "/>
        <s v="SerendipityÂ "/>
        <s v="Stay AliveÂ "/>
        <s v="The Bone CollectorÂ "/>
        <s v="To Save a LifeÂ "/>
        <s v="TumbleweedsÂ "/>
        <s v="Race to Witch MountainÂ "/>
        <s v="The Adventures of Sharkboy and Lavagirl 3-DÂ "/>
        <s v="Alex CrossÂ "/>
        <s v="SpecialÂ "/>
        <s v="A Passage to IndiaÂ "/>
        <s v="Whip ItÂ "/>
        <s v="Walking and TalkingÂ "/>
        <s v="The Lord of the Rings: The Return of the KingÂ "/>
        <s v="Grown UpsÂ "/>
        <s v="D.E.B.S.Â "/>
        <s v="Beverly Hills Cop IIÂ "/>
        <s v="Batman v Superman: Dawn of JusticeÂ "/>
        <s v="Kiss the BrideÂ "/>
        <s v="Scream 4Â "/>
        <s v="Bill &amp; Ted's Excellent AdventureÂ "/>
        <s v="Knocked UpÂ "/>
        <s v="Borat: Cultural Learnings of America for Make Benefit Glorious Nation of KazakhstanÂ "/>
        <s v="The ReaderÂ "/>
        <s v="The Brothers McMullenÂ "/>
        <s v="Mrs. DoubtfireÂ "/>
        <s v="Paranormal ActivityÂ "/>
        <s v="The Last ExorcismÂ "/>
        <s v="Are We There Yet?Â "/>
        <s v="CleopatraÂ "/>
        <s v="August: Osage CountyÂ "/>
        <s v="TRON: LegacyÂ "/>
        <s v="TitanicÂ "/>
        <s v="MamaÂ "/>
        <s v="The RobeÂ "/>
        <s v="FrankenweenieÂ "/>
        <s v="The LunchboxÂ "/>
        <s v="Simply IrresistibleÂ "/>
        <s v="The First Wives ClubÂ "/>
        <s v="Arlington RoadÂ "/>
        <s v="There Goes My BabyÂ "/>
        <s v="SuperbadÂ "/>
        <s v="House on Haunted HillÂ "/>
        <s v="Beavis and Butt-Head Do AmericaÂ "/>
        <s v="Marci XÂ "/>
        <s v="Horrible Bosses 2Â "/>
        <s v="LoserÂ "/>
        <s v="Bedtime StoriesÂ "/>
        <s v="Come Early MorningÂ "/>
        <s v="Pushing TinÂ "/>
        <s v="SteelÂ "/>
        <s v="Ernest &amp; CelestineÂ "/>
        <s v="MonsterÂ "/>
        <s v="Rio 2Â "/>
        <s v="Mary PoppinsÂ "/>
        <s v="Winter PassingÂ "/>
        <s v="Shanghai NoonÂ "/>
        <s v="Final DestinationÂ "/>
        <s v="500 Days of SummerÂ "/>
        <s v="P.S. I Love YouÂ "/>
        <s v="The Smurfs 2Â "/>
        <s v="Pirates of the Caribbean: At World's End"/>
        <s v="The Tree of LifeÂ "/>
        <s v="AlfieÂ "/>
        <s v="After the SunsetÂ "/>
        <s v="Next Stop WonderlandÂ "/>
        <s v="Who Killed the Electric Car?Â "/>
        <s v="Into the BlueÂ "/>
        <s v="The FuneralÂ "/>
        <s v="IrisÂ "/>
        <s v="SphinxÂ "/>
        <s v="Tales from the HoodÂ "/>
        <s v="Night at the Museum: Battle of the SmithsonianÂ "/>
        <s v="Malibu's Most WantedÂ "/>
        <s v="School DazeÂ "/>
        <s v="Life as a HouseÂ "/>
        <s v="The GiverÂ "/>
        <s v="She's Out of My LeagueÂ "/>
        <s v="Life or Something Like ItÂ "/>
        <s v="The Secret Life of PetsÂ "/>
        <s v="Love &amp; BasketballÂ "/>
        <s v="Date NightÂ "/>
        <s v="Teenage Mutant Ninja Turtles: Out of the ShadowsÂ "/>
        <s v="54Â "/>
        <s v="Daddy Day CareÂ "/>
        <s v="Rise of the GuardiansÂ "/>
        <s v="Dolphins and Whales 3D: Tribes of the OceanÂ "/>
        <s v="The Family StoneÂ "/>
        <s v="HighlanderÂ "/>
        <s v="Vanity FairÂ "/>
        <s v="Lucky YouÂ "/>
        <s v="Donnie BrascoÂ "/>
        <s v="Step Up RevolutionÂ "/>
        <s v="EquilibriumÂ "/>
        <s v="The Ladies ManÂ "/>
        <s v="Deuce Bigalow: Male GigoloÂ "/>
        <s v="The ProtectorÂ "/>
        <s v="The FighterÂ "/>
        <s v="The BoxtrollsÂ "/>
        <s v="The Haunted MansionÂ "/>
        <s v="We Were SoldiersÂ "/>
        <s v="Private BenjaminÂ "/>
        <s v="Mississippi MermaidÂ "/>
        <s v="GreaseÂ "/>
        <s v="Bad MomsÂ "/>
        <s v="The CorruptorÂ "/>
        <s v="Napoleon DynamiteÂ "/>
        <s v="ThorÂ "/>
        <s v="Walk the LineÂ "/>
        <s v="SkylineÂ "/>
        <s v="Blue JasmineÂ "/>
        <s v="Barbershop 2: Back in BusinessÂ "/>
        <s v="Two BrothersÂ "/>
        <s v="Punisher: War ZoneÂ "/>
        <s v="LincolnÂ "/>
        <s v="Larry CrowneÂ "/>
        <s v="What's the Worst That Could Happen?Â "/>
        <s v="Just MarriedÂ "/>
        <s v="Elite SquadÂ "/>
        <s v="Ride with the DevilÂ "/>
        <s v="CoralineÂ "/>
        <s v="Nothing to LoseÂ "/>
        <s v="What Planet Are You From?Â "/>
        <s v="KundunÂ "/>
        <s v="The Quick and the DeadÂ "/>
        <s v="The Work and the GloryÂ "/>
        <s v="How to Train Your Dragon 2Â "/>
        <s v="SuperstarÂ "/>
        <s v="The WashÂ "/>
        <s v="Pay It ForwardÂ "/>
        <s v="ArbitrageÂ "/>
        <s v="Holy ManÂ "/>
        <s v="The DilemmaÂ "/>
        <s v="The Expendables 2Â "/>
        <s v="Troop Beverly HillsÂ "/>
        <s v="Moonlight MileÂ "/>
        <s v="ContagionÂ "/>
        <s v="The RunawaysÂ "/>
        <s v="Jay and Silent Bob Strike BackÂ "/>
        <s v="Black KnightÂ "/>
        <s v="The Pirates Who Don't Do Anything: A VeggieTales MovieÂ "/>
        <s v="The Lucky OnesÂ "/>
        <s v="The Legend of God's GunÂ "/>
        <s v="Chocolate: Deep Dark SecretsÂ "/>
        <s v="Locker 13Â "/>
        <s v="The HappeningÂ "/>
        <s v="Dil Jo Bhi Kahey...Â "/>
        <s v="The Fourth KindÂ "/>
        <s v="The InvasionÂ "/>
        <s v="Beyond the Black RainbowÂ "/>
        <s v="Breaking UpwardsÂ "/>
        <s v="The Sticky Fingers of TimeÂ "/>
        <s v="CaviteÂ "/>
        <s v="Project AlmanacÂ "/>
        <s v="8MMÂ "/>
        <s v="Red EyeÂ "/>
        <s v="Secret WindowÂ "/>
        <s v="The Da Vinci CodeÂ "/>
        <s v="Angels &amp; DemonsÂ "/>
        <s v="The Thirteenth FloorÂ "/>
        <s v="The GiftÂ "/>
        <s v="The Adjustment BureauÂ "/>
        <s v="WarGamesÂ "/>
        <s v="The Ghost WriterÂ "/>
        <s v="IdentityÂ "/>
        <s v="Pale RiderÂ "/>
        <s v="The Butterfly EffectÂ "/>
        <s v="The Good, the Bad and the UglyÂ "/>
        <s v="MementoÂ "/>
        <s v="Blade RunnerÂ "/>
        <s v="Shutter IslandÂ "/>
        <s v="In TimeÂ "/>
        <s v="Pitch BlackÂ "/>
        <s v="The Raid: RedemptionÂ "/>
        <s v="The Omega CodeÂ "/>
        <s v="Buffalo SoldiersÂ "/>
        <s v="Hotel for DogsÂ "/>
        <s v="Hot Tub Time MachineÂ "/>
        <s v="RoboCop 3Â "/>
        <s v="The Longest RideÂ "/>
        <s v="Casino JackÂ "/>
        <s v="A Thousand WordsÂ "/>
        <s v="The Upside of AngerÂ "/>
        <s v="BanditsÂ "/>
        <s v="The Great DebatersÂ "/>
        <s v="Pride &amp; PrejudiceÂ "/>
        <s v="The Dark KnightÂ "/>
        <s v="The Mothman PropheciesÂ "/>
        <s v="Princess KaiulaniÂ "/>
        <s v="PhenomenonÂ "/>
        <s v="FeardotcomÂ "/>
        <s v="For Love of the GameÂ "/>
        <s v="Against the RopesÂ "/>
        <s v="Alone in the DarkÂ "/>
        <s v="Dead SnowÂ "/>
        <s v="13 HoursÂ "/>
        <s v="The Wild Thornberrys MovieÂ "/>
        <s v="Teacher's PetÂ "/>
        <s v="When a Stranger CallsÂ "/>
        <s v="Rabbit-Proof FenceÂ "/>
        <s v="Desert DancerÂ "/>
        <s v="Atlantis: The Lost EmpireÂ "/>
        <s v="New Year's EveÂ "/>
        <s v="SnowpiercerÂ "/>
        <s v="Spice WorldÂ "/>
        <s v="The Fifth EstateÂ "/>
        <s v="GravityÂ "/>
        <s v="Star Trek V: The Final FrontierÂ "/>
        <s v="Kate &amp; LeopoldÂ "/>
        <s v="New York StoriesÂ "/>
        <s v="Black SwanÂ "/>
        <s v="The Hobbit: An Unexpected JourneyÂ "/>
        <s v="True GritÂ "/>
        <s v="BandslamÂ "/>
        <s v="BurnÂ "/>
        <s v="Reign of FireÂ "/>
        <s v="In the Land of WomenÂ "/>
        <s v="Schindler's ListÂ "/>
        <s v="The Players ClubÂ "/>
        <s v="RudderlessÂ "/>
        <s v="300Â "/>
        <s v="Saw IVÂ "/>
        <s v="George of the JungleÂ "/>
        <s v="The Rage: Carrie 2Â "/>
        <s v="The Nutcracker in 3DÂ "/>
        <s v="Beasts of the Southern WildÂ "/>
        <s v="Godzilla 2000Â "/>
        <s v="Tuck EverlastingÂ "/>
        <s v="Transformers: Dark of the MoonÂ "/>
        <s v="Be CoolÂ "/>
        <s v="DreamgirlsÂ "/>
        <s v="Bring It OnÂ "/>
        <s v="UnfriendedÂ "/>
        <s v="Winter in WartimeÂ "/>
        <s v="Shark Night 3DÂ "/>
        <s v="The MessengerÂ "/>
        <s v="Home FriesÂ "/>
        <s v="HappinessÂ "/>
        <s v="Eddie the EagleÂ "/>
        <s v="NebraskaÂ "/>
        <s v="MaxÂ "/>
        <s v="Dumb and Dumber ToÂ "/>
        <s v="The Greatest Movie Ever SoldÂ "/>
        <s v="The Passion of the ChristÂ "/>
        <s v="I Know What You Did Last SummerÂ "/>
        <s v="The Man from U.N.C.L.E.Â "/>
        <s v="TranscendenceÂ "/>
        <s v="Travelers and MagiciansÂ "/>
        <s v="Modern TimesÂ "/>
        <s v="200 CigarettesÂ "/>
        <s v="Freddy vs. JasonÂ "/>
        <s v="The Young and Prodigious T.S. SpivetÂ "/>
        <s v="Training DayÂ "/>
        <s v="Extraordinary MeasuresÂ "/>
        <s v="IncendiesÂ "/>
        <s v="Pacific RimÂ "/>
        <s v="The Shawshank RedemptionÂ "/>
        <s v="The Darkest HourÂ "/>
        <s v="Outside ProvidenceÂ "/>
        <s v="Cool RunningsÂ "/>
        <s v="The MachinistÂ "/>
        <s v="Courage Under FireÂ "/>
        <s v="Sex and the City 2Â "/>
        <s v="Chernobyl DiariesÂ "/>
        <s v="127 HoursÂ "/>
        <s v="The WolverineÂ "/>
        <s v="GettysburgÂ "/>
        <s v="Killer EliteÂ "/>
        <s v="The Full MontyÂ "/>
        <s v="Monsoon WeddingÂ "/>
        <s v="Love ActuallyÂ "/>
        <s v="The Lego MovieÂ "/>
        <s v="The Texas Chainsaw Massacre 2Â "/>
        <s v="Butch Cassidy and the Sundance KidÂ "/>
        <s v="ZombielandÂ "/>
        <s v="Young GunsÂ "/>
        <s v="Mickey Blue EyesÂ "/>
        <s v="Beer LeagueÂ "/>
        <s v="Where the Wild Things AreÂ "/>
        <s v="Love's Abiding JoyÂ "/>
        <s v="WhiteoutÂ "/>
        <s v="Naturally NativeÂ "/>
        <s v="The Adventures of Pluto NashÂ "/>
        <s v="Raise the TitanicÂ "/>
        <s v="Lovely &amp; AmazingÂ "/>
        <s v="TMNTÂ "/>
        <s v="Kill Bill: Vol. 1Â "/>
        <s v="The Wizard of OzÂ "/>
        <s v="A Lego BrickumentaryÂ "/>
        <s v="Boys Don't CryÂ "/>
        <s v="Piranha 3DÂ "/>
        <s v="PaaÂ "/>
        <s v="Ever After: A Cinderella StoryÂ "/>
        <s v="Cape FearÂ "/>
        <s v="Bride WarsÂ "/>
        <s v="OculusÂ "/>
        <s v="The Neon DemonÂ "/>
        <s v="My Own Private IdahoÂ "/>
        <s v="Hocus PocusÂ "/>
        <s v="Fifty Shades of BlackÂ "/>
        <s v="The Grand Budapest HotelÂ "/>
        <s v="Harry Potter and the Prisoner of AzkabanÂ "/>
        <s v="SanctumÂ "/>
        <s v="Layer CakeÂ "/>
        <s v="TroyÂ "/>
        <s v="Aimee &amp; JaguarÂ "/>
        <s v="Broken CityÂ "/>
        <s v="The Age of InnocenceÂ "/>
        <s v="Session 9Â "/>
        <s v="Muppets from SpaceÂ "/>
        <s v="CollegeÂ "/>
        <s v="ValentineÂ "/>
        <s v="Blood WorkÂ "/>
        <s v="The Hurt LockerÂ "/>
        <s v="The NetÂ "/>
        <s v="House at the End of the StreetÂ "/>
        <s v="The Masked SaintÂ "/>
        <s v="EdtvÂ "/>
        <s v="Mr. TurnerÂ "/>
        <s v="MadeÂ "/>
        <s v="Finishing the Game: The Search for a New Bruce LeeÂ "/>
        <s v="Whale RiderÂ "/>
        <s v="CourageousÂ "/>
        <s v="The Odd Life of Timothy GreenÂ "/>
        <s v="The SalonÂ "/>
        <s v="PromÂ "/>
        <s v="You've Got MailÂ "/>
        <s v="The Tailor of PanamaÂ "/>
        <s v="Psycho Beach PartyÂ "/>
        <s v="The Man in the Iron MaskÂ "/>
        <s v="In the Land of Blood and HoneyÂ "/>
        <s v="Fat AlbertÂ "/>
        <s v="San AndreasÂ "/>
        <s v="The Baader Meinhof ComplexÂ "/>
        <s v="PriestÂ "/>
        <s v="Corky RomanoÂ "/>
        <s v="Under Siege 2: Dark TerritoryÂ "/>
        <s v="The Land Before TimeÂ "/>
        <s v="The Book ThiefÂ "/>
        <s v="Out of the FurnaceÂ "/>
        <s v="The 5th QuarterÂ "/>
        <s v="Star Trek: First ContactÂ "/>
        <s v="1408Â "/>
        <s v="Ride AlongÂ "/>
        <s v="Winnie the PoohÂ "/>
        <s v="G.I. JaneÂ "/>
        <s v="Annie Get Your GunÂ "/>
        <s v="Seven PoundsÂ "/>
        <s v="J. EdgarÂ "/>
        <s v="The Love GuruÂ "/>
        <s v="CatwomanÂ "/>
        <s v="Nutty Professor II: The KlumpsÂ "/>
        <s v="Creepshow 2Â "/>
        <s v="Princess MononokeÂ "/>
        <s v="Frost/NixonÂ "/>
        <s v="HereafterÂ "/>
        <s v="Chicken LittleÂ "/>
        <s v="There Be DragonsÂ "/>
        <s v="Robin Hood: Prince of ThievesÂ "/>
        <s v="Mad Max: Fury RoadÂ "/>
        <s v="SongcatcherÂ "/>
        <s v="John CarterÂ "/>
        <s v="Mad MoneyÂ "/>
        <s v="The Tale of DespereauxÂ "/>
        <s v="No EscapeÂ "/>
        <s v="Green RoomÂ "/>
        <s v="The Heart of MeÂ "/>
        <s v="Red CliffÂ "/>
        <s v="Thr3eÂ "/>
        <s v="The Damned UnitedÂ "/>
        <s v="UnleashedÂ "/>
        <s v="The Hobbit: The Desolation of SmaugÂ "/>
        <s v="MallratsÂ "/>
        <s v="Mean MachineÂ "/>
        <s v="From Justin to KellyÂ "/>
        <s v="Two Girls and a GuyÂ "/>
        <s v="MunichÂ "/>
        <s v="The Yellow HandkerchiefÂ "/>
        <s v="Green LanternÂ "/>
        <s v="RoundersÂ "/>
        <s v="ZodiacÂ "/>
        <s v="The Perez FamilyÂ "/>
        <s v="FuryÂ "/>
        <s v="Wing CommanderÂ "/>
        <s v="MirrorsÂ "/>
        <s v="Femme FataleÂ "/>
        <s v="L.A. ConfidentialÂ "/>
        <s v="Gulliver's TravelsÂ "/>
        <s v="Project XÂ "/>
        <s v="The BorrowersÂ "/>
        <s v="Die Hard with a VengeanceÂ "/>
        <s v="Return to the Blue LagoonÂ "/>
        <s v="Little White LiesÂ "/>
        <s v="Death at a FuneralÂ "/>
        <s v="eXistenZÂ "/>
        <s v="The Incredible HulkÂ "/>
        <s v="Furious 7Â "/>
        <s v="Snow White and the HuntsmanÂ "/>
        <s v="Antarctic Edge: 70Â° SouthÂ "/>
        <s v="The MatrixÂ "/>
        <s v="The Last Days on MarsÂ "/>
        <s v="Resurrecting the ChampÂ "/>
        <s v="InsidiousÂ "/>
        <s v="FortressÂ "/>
        <s v="National Lampoon's VacationÂ "/>
        <s v="Alex &amp; EmmaÂ "/>
        <s v="Journey to the Center of the EarthÂ "/>
        <s v="The ForsakenÂ "/>
        <s v="The Legend of TarzanÂ "/>
        <s v="The Wedding DateÂ "/>
        <s v="Need for SpeedÂ "/>
        <s v="SidewaysÂ "/>
        <s v="EverestÂ "/>
        <s v="The Hundred-Foot JourneyÂ "/>
        <s v="WillardÂ "/>
        <s v="The RuinsÂ "/>
        <s v="A Civil ActionÂ "/>
        <s v="CollateralÂ "/>
        <s v="American WeddingÂ "/>
        <s v="The BodyguardÂ "/>
        <s v="Superman IIIÂ "/>
        <s v="City of EmberÂ "/>
        <s v="Death SentenceÂ "/>
        <s v="The Lone RangerÂ "/>
        <s v="Logan's RunÂ "/>
        <s v="Blood and WineÂ "/>
        <s v="20 DatesÂ "/>
        <s v="Pineapple ExpressÂ "/>
        <s v="The Amazing CatfishÂ "/>
        <s v="RiddickÂ "/>
        <s v="You Don't Mess with the ZohanÂ "/>
        <s v="Dark BlueÂ "/>
        <s v="Club DreadÂ "/>
        <s v="The MedallionÂ "/>
        <s v="Find Me GuiltyÂ "/>
        <s v="What to Expect When You're ExpectingÂ "/>
        <s v="Mirror MirrorÂ "/>
        <s v="Lucky Number SlevinÂ "/>
        <s v="Night at the Museum: Secret of the TombÂ "/>
        <s v="Atlas Shrugged: Who Is John Galt?Â "/>
        <s v="The CrowÂ "/>
        <s v="The Singles WardÂ "/>
        <s v="Good Morning, VietnamÂ "/>
        <s v="Kiss Kiss Bang BangÂ "/>
        <s v="I Want Someone to Eat Cheese WithÂ "/>
        <s v="Wall StreetÂ "/>
        <s v="Hollywood ShuffleÂ "/>
        <s v="Jackass: The MovieÂ "/>
        <s v="Radio DaysÂ "/>
        <s v="Danny CollinsÂ "/>
        <s v="The Santa Clause 2Â "/>
        <s v="RavenousÂ "/>
        <s v="GhostÂ "/>
        <s v="The RavenÂ "/>
        <s v="The Life Aquatic with Steve ZissouÂ "/>
        <s v="MadadayoÂ "/>
        <s v="CinderellaÂ "/>
        <s v="Resident Evil: ExtinctionÂ "/>
        <s v="All About SteveÂ "/>
        <s v="Radio FlyerÂ "/>
        <s v="ZoolanderÂ "/>
        <s v="A Mighty HeartÂ "/>
        <s v="Sin CityÂ "/>
        <s v="A Simple PlanÂ "/>
        <s v="Get ShortyÂ "/>
        <s v="Beverly Hills CopÂ "/>
        <s v="The Royal TenenbaumsÂ "/>
        <s v="Hoop DreamsÂ "/>
        <s v="BeetlejuiceÂ "/>
        <s v="SlackerÂ "/>
        <s v="You Can Count on MeÂ "/>
        <s v="CelebrityÂ "/>
        <s v="My Week with MarilynÂ "/>
        <s v="SawÂ "/>
        <s v="Up Close &amp; PersonalÂ "/>
        <s v="Brotherly LoveÂ "/>
        <s v="Star Wars: Episode II - Attack of the ClonesÂ "/>
        <s v="Forrest GumpÂ "/>
        <s v="Thank You for SmokingÂ "/>
        <s v="Sugar HillÂ "/>
        <s v="Star Wars: Episode I - The Phantom MenaceÂ "/>
        <s v="Halloween 5Â "/>
        <s v="InkheartÂ "/>
        <s v="Four ChristmasesÂ "/>
        <s v="The AviatorÂ "/>
        <s v="The BossÂ "/>
        <s v="The Huntsman: Winter's WarÂ "/>
        <s v="Bridge of SpiesÂ "/>
        <s v="The Last Exorcism Part IIÂ "/>
        <s v="My Favorite MartianÂ "/>
        <s v="Road to PerditionÂ "/>
        <s v="IdlewildÂ "/>
        <s v="The Iron GiantÂ "/>
        <s v="RedactedÂ "/>
        <s v="The TownÂ "/>
        <s v="Glengarry Glen RossÂ "/>
        <s v="School of RockÂ "/>
        <s v="Easy AÂ "/>
        <s v="GothikaÂ "/>
        <s v="Intolerable CrueltyÂ "/>
        <s v="LittlemanÂ "/>
        <s v="The Spectacular NowÂ "/>
        <s v="The Good GuyÂ "/>
        <s v="HancockÂ "/>
        <s v="The WatcherÂ "/>
        <s v="OrgazmoÂ "/>
        <s v="Herbie Fully LoadedÂ "/>
        <s v="Darling LiliÂ "/>
        <s v="Out of TimeÂ "/>
        <s v="Light It UpÂ "/>
        <s v="Non-StopÂ "/>
        <s v="Snow White and the Seven DwarfsÂ "/>
        <s v="Total RecallÂ "/>
        <s v="StolenÂ "/>
        <s v="Maria Full of GraceÂ "/>
        <s v="Billy ElliotÂ "/>
        <s v="Cirque du Freak: The Vampire's AssistantÂ "/>
        <s v="Ladder 49Â "/>
        <s v="The Nativity StoryÂ "/>
        <s v="HootÂ "/>
        <s v="RiÂ¢hie RiÂ¢hÂ "/>
        <s v="The HeatÂ "/>
        <s v="Trust the ManÂ "/>
        <s v="One DayÂ "/>
        <s v="From Dusk Till DawnÂ "/>
        <s v="SlamÂ "/>
        <s v="Star Trek: GenerationsÂ "/>
        <s v="The Second Best Exotic Marigold HotelÂ "/>
        <s v="The Bourne UltimatumÂ "/>
        <s v="CopycatÂ "/>
        <s v="George WashingtonÂ "/>
        <s v="SyrianaÂ "/>
        <s v="Mars Attacks!Â "/>
        <s v="DrumlineÂ "/>
        <s v="ShutterÂ "/>
        <s v="The Brothers SolomonÂ "/>
        <s v="HulkÂ "/>
        <s v="Cloud AtlasÂ "/>
        <s v="The Boondock Saints II: All Saints DayÂ "/>
        <s v="FlubberÂ "/>
        <s v="Rambo: First Blood Part IIÂ "/>
        <s v="Monte CarloÂ "/>
        <s v="TranceÂ "/>
        <s v="The SaintÂ "/>
        <s v="The Dukes of HazzardÂ "/>
        <s v="House of DÂ "/>
        <s v="Johnny EnglishÂ "/>
        <s v="The Last SamuraiÂ "/>
        <s v="Exorcist: The BeginningÂ "/>
        <s v="NerveÂ "/>
        <s v="Year OneÂ "/>
        <s v="Ong-bak 2Â "/>
        <s v="The Squid and the WhaleÂ "/>
        <s v="Jimmy Neutron: Boy GeniusÂ "/>
        <s v="Adaptation.Â "/>
        <s v="Police Academy: Mission to MoscowÂ "/>
        <s v="Paranormal Activity 4Â "/>
        <s v="StripteaseÂ "/>
        <s v="MotherhoodÂ "/>
        <s v="OsamaÂ "/>
        <s v="Harold &amp; Kumar Escape from Guantanamo BayÂ "/>
        <s v="SnatchÂ "/>
        <s v="X-MenÂ "/>
        <s v="BattleshipÂ "/>
        <s v="PathologyÂ "/>
        <s v="Midnight in the Garden of Good and EvilÂ "/>
        <s v="PrometheusÂ "/>
        <s v="Dudley Do-RightÂ "/>
        <s v="Beverly Hills ChihuahuaÂ "/>
        <s v="Meet DaveÂ "/>
        <s v="R100Â "/>
        <s v="Over Her Dead BodyÂ "/>
        <s v="CursedÂ "/>
        <s v="MacheteÂ "/>
        <s v="Ice Age: The MeltdownÂ "/>
        <s v="Margin CallÂ "/>
        <s v="Before MidnightÂ "/>
        <s v="BatmanÂ "/>
        <s v="Up in the AirÂ "/>
        <s v="War, Inc.Â "/>
        <s v="The Cabin in the WoodsÂ "/>
        <s v="Suicide SquadÂ "/>
        <s v="A.I. Artificial IntelligenceÂ "/>
        <s v="Sucker PunchÂ "/>
        <s v="Alvin and the Chipmunks: ChipwreckedÂ "/>
        <s v="ArmageddonÂ "/>
        <s v="Double ImpactÂ "/>
        <s v="The Pursuit of HappynessÂ "/>
        <s v="Jumping the BroomÂ "/>
        <s v="The TenÂ "/>
        <s v="The CraziesÂ "/>
        <s v="The Young MessiahÂ "/>
        <s v="Clear and Present DangerÂ "/>
        <s v="American SniperÂ "/>
        <s v="Despicable MeÂ "/>
        <s v="ElysiumÂ "/>
        <s v="Ca$hÂ "/>
        <s v="The RoadÂ "/>
        <s v="Bee MovieÂ "/>
        <s v="RangoÂ "/>
        <s v="Youth in RevoltÂ "/>
        <s v="CarrieÂ "/>
        <s v="Soul KitchenÂ "/>
        <s v="Pride and Prejudice and ZombiesÂ "/>
        <s v="The Big LebowskiÂ "/>
        <s v="Pan's LabyrinthÂ "/>
        <s v="Another EarthÂ "/>
        <s v="PaycheckÂ "/>
        <s v="BatsÂ "/>
        <s v="A Better LifeÂ "/>
        <s v="Don't Say a WordÂ "/>
        <s v="Draft DayÂ "/>
        <s v="LimboÂ "/>
        <s v="The Bourne LegacyÂ "/>
        <s v="Lords of DogtownÂ "/>
        <s v="A Beautiful MindÂ "/>
        <s v="Whatever WorksÂ "/>
        <s v="MaggieÂ "/>
        <s v="TrainspottingÂ "/>
        <s v="VampsÂ "/>
        <s v="God's Not Dead 2Â "/>
        <s v="L.I.E.Â "/>
        <s v="Star Trek: NemesisÂ "/>
        <s v="Saints and SoldiersÂ "/>
        <s v="Cruel IntentionsÂ "/>
        <s v="YentlÂ "/>
        <s v="Freddy Got FingeredÂ "/>
        <s v="The GrandmasterÂ "/>
        <s v="This Is Where I Leave YouÂ "/>
        <s v="The HuntÂ "/>
        <s v="The Boy in the Striped PajamasÂ "/>
        <s v="Due DateÂ "/>
        <s v="The To Do ListÂ "/>
        <s v="The CallÂ "/>
        <s v="A Walk Among the TombstonesÂ "/>
        <s v="FledÂ "/>
        <s v="Avatar"/>
        <s v="Sherlock Holmes: A Game of ShadowsÂ "/>
        <s v="Country StrongÂ "/>
        <s v="ThunderballÂ "/>
        <s v="The Lost CityÂ "/>
        <s v="Digimon: The MovieÂ "/>
        <s v="WimbledonÂ "/>
        <s v="Se7enÂ "/>
        <s v="The Object of My AffectionÂ "/>
        <s v="What Just HappenedÂ "/>
        <s v="AddictedÂ "/>
        <s v="InsomniaÂ "/>
        <s v="The CrewÂ "/>
        <s v="The Scorpion KingÂ "/>
        <s v="The Golden ChildÂ "/>
        <s v="Extreme OpsÂ "/>
        <s v="Shark TaleÂ "/>
        <s v="American HustleÂ "/>
        <s v="BoundÂ "/>
        <s v="Sliding DoorsÂ "/>
        <s v="Star Trek BeyondÂ "/>
        <s v="AquamarineÂ "/>
        <s v="Star Trek Into DarknessÂ "/>
        <s v="Medicine ManÂ "/>
        <s v="KrampusÂ "/>
        <s v="Wah-WahÂ "/>
        <s v="District B13Â "/>
        <s v="The Pirates! Band of MisfitsÂ "/>
        <s v="The Bridge of San Luis ReyÂ "/>
        <s v="In DreamsÂ "/>
        <s v="Highlander: The Final DimensionÂ "/>
        <s v="Iron Man 2Â "/>
        <s v="TombstoneÂ "/>
        <s v="My Cousin VinnyÂ "/>
        <s v="The NutcrackerÂ "/>
        <s v="Magic Mike XXLÂ "/>
        <s v="Salvation BoulevardÂ "/>
        <s v="Don Juan DeMarcoÂ "/>
        <s v="Resident Evil: AfterlifeÂ "/>
        <s v="The New WorldÂ "/>
        <s v="NoahÂ "/>
        <s v="Bran Nue DaeÂ "/>
        <s v="Any Given SundayÂ "/>
        <s v="PrisonÂ "/>
        <s v="While We're YoungÂ "/>
        <s v="Free State of JonesÂ "/>
        <s v="Frozen RiverÂ "/>
        <s v="[Rec] 2Â "/>
        <s v="Dodgeball: A True Underdog StoryÂ "/>
        <s v="The Best ManÂ "/>
        <s v="ShooterÂ "/>
        <s v="Born to Fly: Elizabeth Streb vs. GravityÂ "/>
        <s v="Return to MeÂ "/>
        <s v="An Alan Smithee Film: Burn Hollywood BurnÂ "/>
        <s v="RollerballÂ "/>
        <s v="GoldfingerÂ "/>
        <s v="Down to YouÂ "/>
        <s v="Becoming JaneÂ "/>
        <s v="The Woman ChaserÂ "/>
        <s v="Friends with MoneyÂ "/>
        <s v="The InternÂ "/>
        <s v="Open RangeÂ "/>
        <s v="FlyboysÂ "/>
        <s v="The ApostleÂ "/>
        <s v="Instructions Not IncludedÂ "/>
        <s v="Serving SaraÂ "/>
        <s v="Employee of the MonthÂ "/>
        <s v="Tae Guk Gi: The Brotherhood of WarÂ "/>
        <s v="Inside ManÂ "/>
        <s v="Boiler RoomÂ "/>
        <s v="The JackalÂ "/>
        <s v="SecretaryÂ "/>
        <s v="HesherÂ "/>
        <s v="Arthur ChristmasÂ "/>
        <s v="CasinoÂ "/>
        <s v="Night WatchÂ "/>
        <s v="Out of AfricaÂ "/>
        <s v="The Blood of HeroesÂ "/>
        <s v="Angela's AshesÂ "/>
        <s v="RadioÂ "/>
        <s v="Shaun of the DeadÂ "/>
        <s v="King's RansomÂ "/>
        <s v="Saint RalphÂ "/>
        <s v="White OleanderÂ "/>
        <s v="The Constant GardenerÂ "/>
        <s v="Spy HardÂ "/>
        <s v="StokerÂ "/>
        <s v="The SpecialistÂ "/>
        <s v="The Good GermanÂ "/>
        <s v="Thirteen DaysÂ "/>
        <s v="The Godfather: Part IIÂ "/>
        <s v="As It Is in HeavenÂ "/>
        <s v="Summer of SamÂ "/>
        <s v="PontypoolÂ "/>
        <s v="Machete KillsÂ "/>
        <s v="The MarineÂ "/>
        <s v="OctopussyÂ "/>
        <s v="Captain America: The Winter SoldierÂ "/>
        <s v="The Missing PersonÂ "/>
        <s v="The Lost Skeleton of CadavraÂ "/>
        <s v="Kangaroo JackÂ "/>
        <s v="The WrestlerÂ "/>
        <s v="The Bucket ListÂ "/>
        <s v="Chasing AmyÂ "/>
        <s v="House of Sand and FogÂ "/>
        <s v="Dawn of the Planet of the ApesÂ "/>
        <s v="The PromiseÂ "/>
        <s v="Anna and the KingÂ "/>
        <s v="HugoÂ "/>
        <s v="Taken 3Â "/>
        <s v="BeginnersÂ "/>
        <s v="Beautiful CreaturesÂ "/>
        <s v="Where the Heart IsÂ "/>
        <s v="AwakeÂ "/>
        <s v="Scott Pilgrim vs. the WorldÂ "/>
        <s v="My Sister's KeeperÂ "/>
        <s v="HairsprayÂ "/>
        <s v="5 Days of WarÂ "/>
        <s v="The Shipping NewsÂ "/>
        <s v="AliveÂ "/>
        <s v="UnstoppableÂ "/>
        <s v="River's EdgeÂ "/>
        <s v="HitchÂ "/>
        <s v="The RookieÂ "/>
        <s v="GrooveÂ "/>
        <s v="NovemberÂ "/>
        <s v="Children of HeavenÂ "/>
        <s v="Here on EarthÂ "/>
        <s v="The FanÂ "/>
        <s v="Tim and Eric's Billion Dollar MovieÂ "/>
        <s v="The Water DivinerÂ "/>
        <s v="The Game of Their LivesÂ "/>
        <s v="First KnightÂ "/>
        <s v="Short Cut to Nirvana: Kumbh MelaÂ "/>
        <s v="ChÃ©riÂ "/>
        <s v="HolesÂ "/>
        <s v="RentÂ "/>
        <s v="CliffhangerÂ "/>
        <s v="ParaNormanÂ "/>
        <s v="Wonder BoysÂ "/>
        <s v="UnforgivenÂ "/>
        <s v="Crocodile Dundee IIÂ "/>
        <s v="The DebtÂ "/>
        <s v="Last OrdersÂ "/>
        <s v="The Other Boleyn GirlÂ "/>
        <s v="Paul Blart: Mall Cop 2Â "/>
        <s v="Joe SomebodyÂ "/>
        <s v="Red DragonÂ "/>
        <s v="Blue CrushÂ "/>
        <s v="BernieÂ "/>
        <s v="Martin Lawrence Live: RunteldatÂ "/>
        <s v="The MartianÂ "/>
        <s v="On the LineÂ "/>
        <s v="Dracula: Pages from a Virgin's DiaryÂ "/>
        <s v="FrailtyÂ "/>
        <s v="Pirates of the Caribbean: On Stranger TidesÂ "/>
        <s v="Insidious: Chapter 2Â "/>
        <s v="Everyone Says I Love YouÂ "/>
        <s v="ShineÂ "/>
        <s v="The Hunger Games: Catching FireÂ "/>
        <s v="Star Trek VI: The Undiscovered CountryÂ "/>
        <s v="The Beast from 20,000 FathomsÂ "/>
        <s v="AbandonÂ "/>
        <s v="Inherent ViceÂ "/>
        <s v="Harry Potter and the Chamber of SecretsÂ "/>
        <s v="The League of Extraordinary GentlemenÂ "/>
        <s v="Dressed to KillÂ "/>
        <s v="Thomas and the Magic RailroadÂ "/>
        <s v="A Million Ways to Die in the WestÂ "/>
        <s v="Among GiantsÂ "/>
        <s v="Cry FreedomÂ "/>
        <s v="The Grace CardÂ "/>
        <s v="The Legend of the Lone RangerÂ "/>
        <s v="Scary Movie 2Â "/>
        <s v="I, RobotÂ "/>
        <s v="Laws of AttractionÂ "/>
        <s v="BellaÂ "/>
        <s v="A Nightmare on Elm Street 5: The Dream ChildÂ "/>
        <s v="Legend of the Guardians: The Owls of Ga'HooleÂ "/>
        <s v="AloftÂ "/>
        <s v="Josie and the PussycatsÂ "/>
        <s v="Diary of a Wimpy Kid: Rodrick RulesÂ "/>
        <s v="The LadykillersÂ "/>
        <s v="I Am SamÂ "/>
        <s v="Rambo IIIÂ "/>
        <s v="MicmacsÂ "/>
        <s v="StoneÂ "/>
        <s v="The Age of AdalineÂ "/>
        <s v="Babe: Pig in the CityÂ "/>
        <s v="Dolphin TaleÂ "/>
        <s v="Not Easily BrokenÂ "/>
        <s v="Beyond the MatÂ "/>
        <s v="The SiegeÂ "/>
        <s v="All the Real GirlsÂ "/>
        <s v="InvictusÂ "/>
        <s v="The Green InfernoÂ "/>
        <s v="The HomesmanÂ "/>
        <s v="The Green MileÂ "/>
        <s v="The Business of FancydancingÂ "/>
        <s v="The Children of Huang ShiÂ "/>
        <s v="DuplicityÂ "/>
        <s v="30 Minutes or LessÂ "/>
        <s v="8: The Mormon PropositionÂ "/>
        <s v="The Informant!Â "/>
        <s v="A Christmas CarolÂ "/>
        <s v="Street KingsÂ "/>
        <s v="Disturbing BehaviorÂ "/>
        <s v="Mongol: The Rise of Genghis KhanÂ "/>
        <s v="The Adventures of TintinÂ "/>
        <s v="BlendedÂ "/>
        <s v="WALLÂ·EÂ "/>
        <s v="Go for It!Â "/>
        <s v="House of 1000 CorpsesÂ "/>
        <s v="The AlamoÂ "/>
        <s v="ValiantÂ "/>
        <s v="BabelÂ "/>
        <s v="EragonÂ "/>
        <s v="BobbyÂ "/>
        <s v="FuelÂ "/>
        <s v="Diary of a Wimpy Kid: Dog DaysÂ "/>
        <s v="Shooting FishÂ "/>
        <s v="RubberÂ "/>
        <s v="Under the RainbowÂ "/>
        <s v="Bowling for ColumbineÂ "/>
        <s v="TakenÂ "/>
        <s v="April Fool's DayÂ "/>
        <s v="Open SeasonÂ "/>
        <s v="Reindeer GamesÂ "/>
        <s v="Happy FeetÂ "/>
        <s v="March of the PenguinsÂ "/>
        <s v="Bend It Like BeckhamÂ "/>
        <s v="Charlie's AngelsÂ "/>
        <s v="ElfÂ "/>
        <s v="RioÂ "/>
        <s v="BoogeymanÂ "/>
        <s v="Henry VÂ "/>
        <s v="No Country for Old MenÂ "/>
        <s v="AlienÂ "/>
        <s v="The MatadorÂ "/>
        <s v="The DescendantsÂ "/>
        <s v="The 33Â "/>
        <s v="Black RainÂ "/>
        <s v="Master and Commander: The Far Side of the WorldÂ "/>
        <s v="Last HolidayÂ "/>
        <s v="Evil DeadÂ "/>
        <s v="Buen DÃ­a, RamÃ³nÂ "/>
        <s v="Young Sherlock HolmesÂ "/>
        <s v="UntraceableÂ "/>
        <s v="My Date with DrewÂ "/>
        <s v="BasicÂ "/>
        <s v="How Stella Got Her Groove BackÂ "/>
        <s v="Mighty Joe YoungÂ "/>
        <s v="Quantum of SolaceÂ "/>
        <s v="The Bridge on the River KwaiÂ "/>
        <s v="The Chronicles of Narnia: The Lion, the Witch and the WardrobeÂ "/>
        <s v="True LiesÂ "/>
        <s v="Couples RetreatÂ "/>
        <s v="The MechanicÂ "/>
        <s v="HeroÂ "/>
        <s v="A Time to KillÂ "/>
        <s v="The Way Way BackÂ "/>
        <s v="Rumble in the BronxÂ "/>
        <s v="Queen of the DamnedÂ "/>
        <s v="The Last SongÂ "/>
        <s v="Finding NemoÂ "/>
        <s v="Animal HouseÂ "/>
        <s v="Detroit Rock CityÂ "/>
        <s v="AntitrustÂ "/>
        <s v="Home on the RangeÂ "/>
        <s v="Christmas with the KranksÂ "/>
        <s v="A Prairie Home CompanionÂ "/>
        <s v="Friday the 13th: The Final ChapterÂ "/>
        <s v="Small Time CrooksÂ "/>
        <s v="Silent Hill: Revelation 3DÂ "/>
        <s v="BasquiatÂ "/>
        <s v="The Good GirlÂ "/>
        <s v="Into the WoodsÂ "/>
        <s v="StepmomÂ "/>
        <s v="The AnimalÂ "/>
        <s v="The Best Little Whorehouse in TexasÂ "/>
        <s v="Phone BoothÂ "/>
        <s v="Someone Like You...Â "/>
        <s v="Jeff, Who Lives at HomeÂ "/>
        <s v="The Legend of Bagger VanceÂ "/>
        <s v="Miss PotterÂ "/>
        <s v="Little Shop of HorrorsÂ "/>
        <s v="EraserÂ "/>
        <s v="Out of SightÂ "/>
        <s v="Ip Man 3Â "/>
        <s v="Bad BoysÂ "/>
        <s v="The Killer Inside MeÂ "/>
        <s v="United 93Â "/>
        <s v="Michael ClaytonÂ "/>
        <s v="The Battle of Shaker HeightsÂ "/>
        <s v="The Green HornetÂ "/>
        <s v="DrivenÂ "/>
        <s v="Bullet to the HeadÂ "/>
        <s v="WitnessÂ "/>
        <s v="My Blueberry NightsÂ "/>
        <s v="Conan the DestroyerÂ "/>
        <s v="Jurassic Park IIIÂ "/>
        <s v="The Skeleton KeyÂ "/>
        <s v="Boogie NightsÂ "/>
        <s v="Sex DriveÂ "/>
        <s v="La otra conquistaÂ "/>
        <s v="Silent HouseÂ "/>
        <s v="PrimerÂ "/>
        <s v="Eye for an EyeÂ "/>
        <s v="DownfallÂ "/>
        <s v="Georgia RuleÂ "/>
        <s v="Percy Jackson: Sea of MonstersÂ "/>
        <s v="Winter's TaleÂ "/>
        <s v="Stand by MeÂ "/>
        <s v="I Am LoveÂ "/>
        <s v="Lone Wolf McQuadeÂ "/>
        <s v="Major LeagueÂ "/>
        <s v="The New GuyÂ "/>
        <s v="The ChorusÂ "/>
        <s v="Daddy Day CampÂ "/>
        <s v="The Loss of Sexual InnocenceÂ "/>
        <s v="Jackie BrownÂ "/>
        <s v="BladeÂ "/>
        <s v="The Break-UpÂ "/>
        <s v="The Puffy ChairÂ "/>
        <s v="The House of the DevilÂ "/>
        <s v="Town &amp; CountryÂ "/>
        <s v="The Ugly TruthÂ "/>
        <s v="The MuseÂ "/>
        <s v="Space JamÂ "/>
        <s v="TurboÂ "/>
        <s v="ScoopÂ "/>
        <s v="Goal! The Dream BeginsÂ "/>
        <s v="Split SecondÂ "/>
        <s v="Nowhere to RunÂ "/>
        <s v="The HoaxÂ "/>
        <s v="My Fair LadyÂ "/>
        <s v="What's Your Number?Â "/>
        <s v="Dance FlickÂ "/>
        <s v="Legally BlondeÂ "/>
        <s v="Stake LandÂ "/>
        <s v="High School Musical 3: Senior YearÂ "/>
        <s v="47 RoninÂ "/>
        <s v="The Curious Case of Benjamin ButtonÂ "/>
        <s v="Gory Gory HallelujahÂ "/>
        <s v="Teenage Mutant Ninja Turtles IIIÂ "/>
        <s v="The Lords of SalemÂ "/>
        <s v="NixonÂ "/>
        <s v="In the Company of MenÂ "/>
        <s v="Captain America: The First AvengerÂ "/>
        <s v="The Triplets of BellevilleÂ "/>
        <s v="TangledÂ "/>
        <s v="Birdman or (The Unexpected Virtue of Ignorance)Â "/>
        <s v="A Nightmare on Elm Street 4: The Dream MasterÂ "/>
        <s v="The Secret Life of BeesÂ "/>
        <s v="A Home at the End of the WorldÂ "/>
        <s v="Dear WendyÂ "/>
        <s v="Enough SaidÂ "/>
        <s v="Pretty WomanÂ "/>
        <s v="Agent Cody Banks 2: Destination LondonÂ "/>
        <s v="The Astronaut FarmerÂ "/>
        <s v="Cats &amp; Dogs: The Revenge of Kitty GaloreÂ "/>
        <s v="Human TrafficÂ "/>
        <s v="Prom NightÂ "/>
        <s v="The Trials of Darryl HuntÂ "/>
        <s v="MinionsÂ "/>
        <s v="Parental GuidanceÂ "/>
        <s v="WantedÂ "/>
        <s v="The Fault in Our StarsÂ "/>
        <s v="12 RoundsÂ "/>
        <s v="Born on the Fourth of JulyÂ "/>
        <s v="Arthur and the InvisiblesÂ "/>
        <s v="The EastÂ "/>
        <s v="Gran TorinoÂ "/>
        <s v="Legends of the FallÂ "/>
        <s v="What Lies BeneathÂ "/>
        <s v="The Blind SideÂ "/>
        <s v="Did You Hear About the Morgans?Â "/>
        <s v="Captain America: Civil WarÂ "/>
        <s v="Scooby-Doo 2: Monsters UnleashedÂ "/>
        <s v="About a BoyÂ "/>
        <s v="Top SpinÂ "/>
        <s v="Marvin's RoomÂ "/>
        <s v="I SpyÂ "/>
        <s v="Journey 2: The Mysterious IslandÂ "/>
        <s v="A League of Their OwnÂ "/>
        <s v="Broken VesselsÂ "/>
        <s v="Collateral DamageÂ "/>
        <s v="Must Love DogsÂ "/>
        <s v="Escape PlanÂ "/>
        <s v="Save the Last DanceÂ "/>
        <s v="Insidious: Chapter 3Â "/>
        <s v="Zoolander 2Â "/>
        <s v="Crocodile DundeeÂ "/>
        <s v="TsotsiÂ "/>
        <s v="Jason XÂ "/>
        <s v="Fort McCoyÂ "/>
        <s v="The HostÂ "/>
        <s v="Jingle All the WayÂ "/>
        <s v="Tango &amp; CashÂ "/>
        <s v="20 Feet from StardomÂ "/>
        <s v="Fahrenheit 9/11Â "/>
        <s v="Analyze ThisÂ "/>
        <s v="Ghost Rider: Spirit of VengeanceÂ "/>
        <s v="The ReplacementsÂ "/>
        <s v="American PieÂ "/>
        <s v="The InternationalÂ "/>
        <s v="2016: Obama's AmericaÂ "/>
        <s v="Repo! The Genetic OperaÂ "/>
        <s v="BowfingerÂ "/>
        <s v="The WaterboyÂ "/>
        <s v="Two LoversÂ "/>
        <s v="Money MonsterÂ "/>
        <s v="The Count of Monte CristoÂ "/>
        <s v="PredatorÂ "/>
        <s v="Girl, InterruptedÂ "/>
        <s v="BarbershopÂ "/>
        <s v="Dead Man DownÂ "/>
        <s v="Step Up 3DÂ "/>
        <s v="ShrekÂ "/>
        <s v="X-Men 2Â "/>
        <s v="The Ballad of Jack and RoseÂ "/>
        <s v="The TransporterÂ "/>
        <s v="Dragon Wars: D-WarÂ "/>
        <s v="Diary of a Mad Black WomanÂ "/>
        <s v="Meet the DeedlesÂ "/>
        <s v="Flirting with DisasterÂ "/>
        <s v="FlatlinersÂ "/>
        <s v="17 AgainÂ "/>
        <s v="An Ideal HusbandÂ "/>
        <s v="After.LifeÂ "/>
        <s v="Zero EffectÂ "/>
        <s v="Six-String SamuraiÂ "/>
        <s v="Black ChristmasÂ "/>
        <s v="The Hobbit: The Battle of the Five ArmiesÂ "/>
        <s v="WarÂ "/>
        <s v="Excessive ForceÂ "/>
        <s v="Rocky BalboaÂ "/>
        <s v="The QuietÂ "/>
        <s v="Sea of LoveÂ "/>
        <s v="The Phantom of the OperaÂ "/>
        <s v="An American HauntingÂ "/>
        <s v="Space ChimpsÂ "/>
        <s v="3 Men and a BabyÂ "/>
        <s v="The Hunchback of Notre DameÂ "/>
        <s v="TakersÂ "/>
        <s v="Call + ResponseÂ "/>
        <s v="AliÂ "/>
        <s v="Anchorman: The Legend of Ron BurgundyÂ "/>
        <s v="Antarctica: A Year on IceÂ "/>
        <s v="A Dog of FlandersÂ "/>
        <s v="EvitaÂ "/>
        <s v="Star Trek II: The Wrath of KhanÂ "/>
        <s v="Charlie St. CloudÂ "/>
        <s v="The Lincoln LawyerÂ "/>
        <s v="Deconstructing HarryÂ "/>
        <s v="From Paris with LoveÂ "/>
        <s v="Wristcutters: A Love StoryÂ "/>
        <s v="The Social NetworkÂ "/>
        <s v="Summer CatchÂ "/>
        <s v="Harold &amp; Kumar Go to White CastleÂ "/>
        <s v="Super Mario Bros.Â "/>
        <s v="The Lost World: Jurassic ParkÂ "/>
        <s v="Head of StateÂ "/>
        <s v="The Perfect StormÂ "/>
        <s v="Cloudy with a Chance of MeatballsÂ "/>
        <s v="Valentine's DayÂ "/>
        <s v="CubeÂ "/>
        <s v="Righteous KillÂ "/>
        <s v="Soul SurferÂ "/>
        <s v="I'm Not There.Â "/>
        <s v="Soul FoodÂ "/>
        <s v="The Lazarus EffectÂ "/>
        <s v="Shanghai KnightsÂ "/>
        <s v="HopÂ "/>
        <s v="The InnkeepersÂ "/>
        <s v="PremonitionÂ "/>
        <s v="Surf's UpÂ "/>
        <s v="You Only Live TwiceÂ "/>
        <s v="The River WildÂ "/>
        <s v="Walk Hard: The Dewey Cox StoryÂ "/>
        <s v="Cheaper by the Dozen 2Â "/>
        <s v="The Rugrats MovieÂ "/>
        <s v="BurntÂ "/>
        <s v="GoldenEyeÂ "/>
        <s v="One Hour PhotoÂ "/>
        <s v="Mercury RisingÂ "/>
        <s v="Safety Not GuaranteedÂ "/>
        <s v="Raising HelenÂ "/>
        <s v="Alien 3Â "/>
        <s v="Mona Lisa SmileÂ "/>
        <s v="Oliver TwistÂ "/>
        <s v="WolfÂ "/>
        <s v="Angel EyesÂ "/>
        <s v="Eddie: The Sleepwalking CannibalÂ "/>
        <s v="GodsendÂ "/>
        <s v="The Ghastly Love of Johnny XÂ "/>
        <s v="Shall We DanceÂ "/>
        <s v="The ThingÂ "/>
        <s v="The Ghost and the DarknessÂ "/>
        <s v="O Brother, Where Art Thou?Â "/>
        <s v="Sea Rex 3D: Journey to a Prehistoric WorldÂ "/>
        <s v="Made of HonorÂ "/>
        <s v="FlippedÂ "/>
        <s v="The Italian JobÂ "/>
        <s v="Deceptive Practice: The Mysteries and Mentors of Ricky JayÂ "/>
        <s v="Happy Feet 2Â "/>
        <s v="Gone in Sixty SecondsÂ "/>
        <s v="The Big YearÂ "/>
        <s v="The RelicÂ "/>
        <s v="TwinsÂ "/>
        <s v="Drillbit TaylorÂ "/>
        <s v="Kingdom of the SpidersÂ "/>
        <s v="Ulee's GoldÂ "/>
        <s v="CloserÂ "/>
        <s v="The Curse of the Were-RabbitÂ "/>
        <s v="Gone GirlÂ "/>
        <s v="LeatherheadsÂ "/>
        <s v="Central StationÂ "/>
        <s v="Charlie BartlettÂ "/>
        <s v="The Life Before Her EyesÂ "/>
        <s v="GattacaÂ "/>
        <s v="Jupiter AscendingÂ "/>
        <s v="Leap YearÂ "/>
        <s v="Ocean's TwelveÂ "/>
        <s v="Treasure PlanetÂ "/>
        <s v="ImmortalsÂ "/>
        <s v="16 BlocksÂ "/>
        <s v="Lions for LambsÂ "/>
        <s v="Beastmaster 2: Through the Portal of TimeÂ "/>
        <s v="Scary Movie 3Â "/>
        <s v="AlohaÂ "/>
        <s v="The GuruÂ "/>
        <s v="TadpoleÂ "/>
        <s v="BloodsportÂ "/>
        <s v="Battlefield EarthÂ "/>
        <s v="X-Men: First ClassÂ "/>
        <s v="The TerminalÂ "/>
        <s v="The GameÂ "/>
        <s v="The Lady from ShanghaiÂ "/>
        <s v="Inglourious BasterdsÂ "/>
        <s v="Star Trek IV: The Voyage HomeÂ "/>
        <s v="Cats Don't DanceÂ "/>
        <s v="Underworld: EvolutionÂ "/>
        <s v="Autumn in New YorkÂ "/>
        <s v="AmistadÂ "/>
        <s v="This Means WarÂ "/>
        <s v="EulogyÂ "/>
        <s v="X-Men: Days of Future PastÂ "/>
        <s v="Being JuliaÂ "/>
        <s v="Bridge to TerabithiaÂ "/>
        <s v="The ClientÂ "/>
        <s v="The IllusionistÂ "/>
        <s v="My Life in RuinsÂ "/>
        <s v="UrbaniaÂ "/>
        <s v="PixelsÂ "/>
        <s v="The Vatican TapesÂ "/>
        <s v="You AgainÂ "/>
        <s v="The BountyÂ "/>
        <s v="Step Up 2: The StreetsÂ "/>
        <s v="A Scanner DarklyÂ "/>
        <s v="The Indian in the CupboardÂ "/>
        <s v="Sinbad: Legend of the Seven SeasÂ "/>
        <s v="Down and Out with the DollsÂ "/>
        <s v="License to WedÂ "/>
        <s v="Black BookÂ "/>
        <s v="Deep Blue SeaÂ "/>
        <s v="Victor FrankensteinÂ "/>
        <s v="The Theory of EverythingÂ "/>
        <s v="For Greater Glory: The True Story of CristiadaÂ "/>
        <s v="Cinco de Mayo, La BatallaÂ "/>
        <s v="The Hunger Games: Mockingjay - Part 1Â "/>
        <s v="Atlas Shrugged II: The StrikeÂ "/>
        <s v="Predator 2Â "/>
        <s v="London Has FallenÂ "/>
        <s v="The Painted VeilÂ "/>
        <s v="BraveÂ "/>
        <s v="Suspect ZeroÂ "/>
        <s v="Keeping the FaithÂ "/>
        <s v="Seven Years in TibetÂ "/>
        <s v="PocahontasÂ "/>
        <s v="On the RoadÂ "/>
        <s v="BedazzledÂ "/>
        <s v="Seeking a Friend for the End of the WorldÂ "/>
        <s v="Star Wars: Episode V - The Empire Strikes BackÂ "/>
        <s v="Scream 3Â "/>
        <s v="How the Grinch Stole ChristmasÂ "/>
        <s v="YesÂ "/>
        <s v="Hey Arnold! The MovieÂ "/>
        <s v="The Original Kings of ComedyÂ "/>
        <s v="Our Brand Is CrisisÂ "/>
        <s v="NarcÂ "/>
        <s v="Big Hero 6Â "/>
        <s v="Running ScaredÂ "/>
        <s v="Poolhall JunkiesÂ "/>
        <s v="The WacknessÂ "/>
        <s v="New NightmareÂ "/>
        <s v="Hearts in AtlantisÂ "/>
        <s v="CharacterÂ "/>
        <s v="AllegiantÂ "/>
        <s v="Edge of DarknessÂ "/>
        <s v="The Iron LadyÂ "/>
        <s v="Fright NightÂ "/>
        <s v="ZookeeperÂ "/>
        <s v="Spy Kids: All the Time in the World in 4DÂ "/>
        <s v="The Broken Hearts Club: A Romantic ComedyÂ "/>
        <s v="Letters from Iwo JimaÂ "/>
        <s v="HardballÂ "/>
        <s v="StripesÂ "/>
        <s v="Edge of TomorrowÂ "/>
        <s v="My Name Is KhanÂ "/>
        <s v="The House of MirthÂ "/>
        <s v="Ã†on FluxÂ "/>
        <s v="The Shaggy DogÂ "/>
        <s v="AirborneÂ "/>
        <s v="Identity ThiefÂ "/>
        <s v="The Man with the Golden GunÂ "/>
        <s v="The Back-up PlanÂ "/>
        <s v="DefendorÂ "/>
        <s v="Baby GeniusesÂ "/>
        <s v="One Night with the KingÂ "/>
        <s v="Street FighterÂ "/>
        <s v="The Dangerous Lives of Altar BoysÂ "/>
        <s v="From HellÂ "/>
        <s v="Muppets Most WantedÂ "/>
        <s v="Man on a LedgeÂ "/>
        <s v="The PeacemakerÂ "/>
        <s v="Waiting for GuffmanÂ "/>
        <s v="The CampaignÂ "/>
        <s v="The Country BearsÂ "/>
        <s v="Not CoolÂ "/>
        <s v="Pride and GloryÂ "/>
        <s v="Spider-Man 2Â "/>
        <s v="RatatouilleÂ "/>
        <s v="Abraham Lincoln: Vampire HunterÂ "/>
        <s v="The LongshotsÂ "/>
        <s v="The Mummy ReturnsÂ "/>
        <s v="Catch a FireÂ "/>
        <s v="Talladega Nights: The Ballad of Ricky BobbyÂ "/>
        <s v="The Sea InsideÂ "/>
        <s v="Burn After ReadingÂ "/>
        <s v="Dr. Dolittle 2Â "/>
        <s v="Fantastic 4: Rise of the Silver SurferÂ "/>
        <s v="Back to the Future Part IIÂ "/>
        <s v="Drag Me to HellÂ "/>
        <s v="UHFÂ "/>
        <s v="ThirteenÂ "/>
        <s v="Pitch Perfect 2Â "/>
        <s v="CrossroadsÂ "/>
        <s v="The Straight StoryÂ "/>
        <s v="FlashdanceÂ "/>
        <s v="Dead Man WalkingÂ "/>
        <s v="BarnyardÂ "/>
        <s v="InfamousÂ "/>
        <s v="The AssassinÂ "/>
        <s v="Walking with Dinosaurs 3DÂ "/>
        <s v="Can't Hardly WaitÂ "/>
        <s v="Brick MansionsÂ "/>
        <s v="Without a PaddleÂ "/>
        <s v="The Texas Chain Saw MassacreÂ "/>
        <s v="JarheadÂ "/>
        <s v="ClerksÂ "/>
        <s v="BrooklynÂ "/>
        <s v="Twilight Zone: The MovieÂ "/>
        <s v="CluelessÂ "/>
        <s v="Three BurialsÂ "/>
        <s v="The VowÂ "/>
        <s v="The GreatestÂ "/>
        <s v="Spy Kids 2: Island of Lost DreamsÂ "/>
        <s v="The Work and the Glory II: American ZionÂ "/>
        <s v="SwingersÂ "/>
        <s v="The WordsÂ "/>
        <s v="Nowhere in AfricaÂ "/>
        <s v="Fatal AttractionÂ "/>
        <s v="Wrong TurnÂ "/>
        <s v="The Last GodfatherÂ "/>
        <s v="Max PayneÂ "/>
        <s v="It's ComplicatedÂ "/>
        <s v="Waking Ned DevineÂ "/>
        <s v="The Legend of ZorroÂ "/>
        <s v="The RoommateÂ "/>
        <s v="The Family ManÂ "/>
        <s v="AberdeenÂ "/>
        <s v="Annie HallÂ "/>
        <s v="Deep RisingÂ "/>
        <s v="Corpse BrideÂ "/>
        <s v="KingpinÂ "/>
        <s v="Rabbit HoleÂ "/>
        <s v="See Spot RunÂ "/>
        <s v="RansomÂ "/>
        <s v="10 Days in a MadhouseÂ "/>
        <s v="OÂ "/>
        <s v="Without LimitsÂ "/>
        <s v="Superman ReturnsÂ "/>
        <s v="The Last EmperorÂ "/>
        <s v="Sarah's KeyÂ "/>
        <s v="Alvin and the Chipmunks: The Road ChipÂ "/>
        <s v="Boyz n the HoodÂ "/>
        <s v="Bruce AlmightyÂ "/>
        <s v="MilkÂ "/>
        <s v="Das BootÂ "/>
        <s v="A Bridge Too FarÂ "/>
        <s v="Bulletproof MonkÂ "/>
        <s v="The ExpressÂ "/>
        <s v="Strange WildernessÂ "/>
        <s v="Think Like a Man TooÂ "/>
        <s v="TimecrimesÂ "/>
        <s v="RobotsÂ "/>
        <s v="Halloween 4: The Return of Michael MyersÂ "/>
        <s v="UndiscoveredÂ "/>
        <s v="Around the World in 80 DaysÂ "/>
        <s v="Observe and ReportÂ "/>
        <s v="3 Ninjas Kick BackÂ "/>
        <s v="Heavenly CreaturesÂ "/>
        <s v="Kissing Jessica SteinÂ "/>
        <s v="Chain ReactionÂ "/>
        <s v="Mission: ImpossibleÂ "/>
        <s v="Cutthroat IslandÂ "/>
        <s v="AnacondaÂ "/>
        <s v="One Missed CallÂ "/>
        <s v="Incident at Loch NessÂ "/>
        <s v="DickÂ "/>
        <s v="BelovedÂ "/>
        <s v="Repo MenÂ "/>
        <s v="Hannibal RisingÂ "/>
        <s v="Tin CupÂ "/>
        <s v="CongoÂ "/>
        <s v="EnchantedÂ "/>
        <s v="A Most Violent YearÂ "/>
        <s v="Fever PitchÂ "/>
        <s v="Ta Ra Rum PumÂ "/>
        <s v="Land of the DeadÂ "/>
        <s v="The Emperor's ClubÂ "/>
        <s v="X-Men: The Last StandÂ "/>
        <s v="The Devil's OwnÂ "/>
        <s v="Just Like HeavenÂ "/>
        <s v="Just Go with ItÂ "/>
        <s v="Office SpaceÂ "/>
        <s v="Hustle &amp; FlowÂ "/>
        <s v="Barney's Great AdventureÂ "/>
        <s v="Hard RainÂ "/>
        <s v="Pain &amp; GainÂ "/>
        <s v="What a Girl WantsÂ "/>
        <s v="In the BedroomÂ "/>
        <s v="Thir13en GhostsÂ "/>
        <s v="ApocalyptoÂ "/>
        <s v="How to DealÂ "/>
        <s v="1911Â "/>
        <s v="WhippedÂ "/>
        <s v="The Big HitÂ "/>
        <s v="The Invention of LyingÂ "/>
        <s v="Nick and Norah's Infinite PlaylistÂ "/>
        <s v="SwimfanÂ "/>
        <s v="The Mortal Instruments: City of BonesÂ "/>
        <s v="BeerfestÂ "/>
        <s v="Do the Right ThingÂ "/>
        <s v="Live and Let DieÂ "/>
        <s v="FantasiaÂ "/>
        <s v="Mondays in the SunÂ "/>
        <s v="Smoke SignalsÂ "/>
        <s v="An EducationÂ "/>
        <s v="OldboyÂ "/>
        <s v="ExtractÂ "/>
        <s v="PiÂ "/>
        <s v="The Kite RunnerÂ "/>
        <s v="Star Trek III: The Search for SpockÂ "/>
        <s v="Your HighnessÂ "/>
        <s v="The Adventurer: The Curse of the Midas BoxÂ "/>
        <s v="Wag the DogÂ "/>
        <s v="SeabiscuitÂ "/>
        <s v="Star Trek: The Motion PictureÂ "/>
        <s v="Pitch PerfectÂ "/>
        <s v="Friday the 13th Part VIII: Jason Takes ManhattanÂ "/>
        <s v="CaravansÂ "/>
        <s v="Blue ValentineÂ "/>
        <s v="The Blues BrothersÂ "/>
        <s v="Self/lessÂ "/>
        <s v="SwitchbackÂ "/>
        <s v="Stuart Little 2Â "/>
        <s v="DriveÂ "/>
        <s v="I Served the King of EnglandÂ "/>
        <s v="Veronica GuerinÂ "/>
        <s v="AladdinÂ "/>
        <s v="ArmoredÂ "/>
        <s v="WasabiÂ "/>
        <s v="Edward ScissorhandsÂ "/>
        <s v="The PostmanÂ "/>
        <s v="Bubble BoyÂ "/>
        <s v="Mr. &amp; Mrs. SmithÂ "/>
        <s v="DaybreakersÂ "/>
        <s v="MetropolisÂ "/>
        <s v="The OrphanageÂ "/>
        <s v="The Day After TomorrowÂ "/>
        <s v="If I StayÂ "/>
        <s v="Shaolin SoccerÂ "/>
        <s v="G.I. Joe: The Rise of CobraÂ "/>
        <s v="Sydney WhiteÂ "/>
        <s v="The Last Time I Committed SuicideÂ "/>
        <s v="A SeparationÂ "/>
        <s v="Vampires SuckÂ "/>
        <s v="Aqua Teen Hunger Force Colon Movie Film for TheatersÂ "/>
        <s v="Monsters vs. AliensÂ "/>
        <s v="Connie and CarlaÂ "/>
        <s v="Darkness FallsÂ "/>
        <s v="Men with BroomsÂ "/>
        <s v="Never Let Me GoÂ "/>
        <s v="AVP: Alien vs. PredatorÂ "/>
        <s v="Bright StarÂ "/>
        <s v="28 DaysÂ "/>
        <s v="Jennifer's BodyÂ "/>
        <s v="Scooby-DooÂ "/>
        <s v="The Nut JobÂ "/>
        <s v="The WolfmanÂ "/>
        <s v="CarsÂ "/>
        <s v="Blade IIÂ "/>
        <s v="Escape from AlcatrazÂ "/>
        <s v="MegamindÂ "/>
        <s v="The GallowsÂ "/>
        <s v="Nim's IslandÂ "/>
        <s v="Before SunriseÂ "/>
        <s v="Patch AdamsÂ "/>
        <s v="Casa de mi PadreÂ "/>
        <s v="ExoticaÂ "/>
        <s v="Super TroopersÂ "/>
        <s v="You Kill MeÂ "/>
        <s v="Anacondas: The Hunt for the Blood OrchidÂ "/>
        <s v="Titan A.E.Â "/>
        <s v="The Best Man HolidayÂ "/>
        <s v="Duel in the SunÂ "/>
        <s v="Bridget Jones's DiaryÂ "/>
        <s v="Back to the FutureÂ "/>
        <s v="Lovely, StillÂ "/>
        <s v="The SpongeBob Movie: Sponge Out of WaterÂ "/>
        <s v="Seed of ChuckyÂ "/>
        <s v="Showdown in Little TokyoÂ "/>
        <s v="Star Trek: InsurrectionÂ "/>
        <s v="DerailedÂ "/>
        <s v="Child's Play 2Â "/>
        <s v="The PrestigeÂ "/>
        <s v="The RundownÂ "/>
        <s v="Boynton Beach ClubÂ "/>
        <s v="Machine Gun PreacherÂ "/>
        <s v="The Game PlanÂ "/>
        <s v="xXxÂ "/>
        <s v="28 Weeks LaterÂ "/>
        <s v="Peaceful WarriorÂ "/>
        <s v="TrustÂ "/>
        <s v="Cop LandÂ "/>
        <s v="Tropic ThunderÂ "/>
        <s v="Home Alone 2: Lost in New YorkÂ "/>
        <s v="Blazing SaddlesÂ "/>
        <s v="Men in Black IIÂ "/>
        <s v="Message in a BottleÂ "/>
        <s v="Hit and RunÂ "/>
        <s v="SunshineÂ "/>
        <s v="Saw VIÂ "/>
        <s v="Red PlanetÂ "/>
        <s v="Rush Hour 3Â "/>
        <s v="Ride Along 2Â "/>
        <s v="The IncrediblesÂ "/>
        <s v="Y Tu MamÃ¡ TambiÃ©nÂ "/>
        <s v="After EarthÂ "/>
        <s v="Safe MenÂ "/>
        <s v="The Hunger Games: Mockingjay - Part 2Â "/>
        <s v="Divine Secrets of the Ya-Ya SisterhoodÂ "/>
        <s v="A Serious ManÂ "/>
        <s v="Raise Your VoiceÂ "/>
        <s v="Martian ChildÂ "/>
        <s v="AnnabelleÂ "/>
        <s v="HamletÂ "/>
        <s v="And So It GoesÂ "/>
        <s v="Changing LanesÂ "/>
        <s v="Alpha and OmegaÂ "/>
        <s v="Teen Wolf TooÂ "/>
        <s v="Married LifeÂ "/>
        <s v="RoomÂ "/>
        <s v="QuillsÂ "/>
        <s v="Like CrazyÂ "/>
        <s v="Planet 51Â "/>
        <s v="The Last Temptation of ChristÂ "/>
        <s v="The IcemanÂ "/>
        <s v="Escape from L.A.Â "/>
        <s v="Just My LuckÂ "/>
        <s v="AmigoÂ "/>
        <s v="Isn't She GreatÂ "/>
        <s v="Wayne's WorldÂ "/>
        <s v="Let Me InÂ "/>
        <s v="The R.M.Â "/>
        <s v="A Very Harold &amp; Kumar 3D ChristmasÂ "/>
        <s v="Final Destination 2Â "/>
        <s v="The Greatest Show on EarthÂ "/>
        <s v="American GraffitiÂ "/>
        <s v="Source CodeÂ "/>
        <s v="Bullets Over BroadwayÂ "/>
        <s v="PaddingtonÂ "/>
        <s v="Flame and CitronÂ "/>
        <s v="Ramona and BeezusÂ "/>
        <s v="Bad Boys IIÂ "/>
        <s v="Doctor ZhivagoÂ "/>
        <s v="Mrs Henderson PresentsÂ "/>
        <s v="Kung Fu KillerÂ "/>
        <s v="Very Bad ThingsÂ "/>
        <s v="White NoiseÂ "/>
        <s v="Miracle at St. AnnaÂ "/>
        <s v="Miss Congeniality 2: Armed and FabulousÂ "/>
        <s v="The Grudge 2Â "/>
        <s v="AntzÂ "/>
        <s v="The Broadway MelodyÂ "/>
        <s v="ValkyrieÂ "/>
        <s v="Slums of Beverly HillsÂ "/>
        <s v="Big Momma's House 2Â "/>
        <s v="The Life of David GaleÂ "/>
        <s v="Life of PiÂ "/>
        <s v="Eat Pray LoveÂ "/>
        <s v="The CellÂ "/>
        <s v="Monsters, Inc.Â "/>
        <s v="Who's Your Caddy?Â "/>
        <s v="Dirty Pretty ThingsÂ "/>
        <s v="Never Back DownÂ "/>
        <s v="The Bridges of Madison CountyÂ "/>
        <s v="The Blair Witch ProjectÂ "/>
        <s v="Lara Croft Tomb Raider: The Cradle of LifeÂ "/>
        <s v="Lost in SpaceÂ "/>
        <s v="Slow BurnÂ "/>
        <s v="Despicable Me 2Â "/>
        <s v="A Good Day to Die HardÂ "/>
        <s v="Die Another DayÂ "/>
        <s v="Starsky &amp; HutchÂ "/>
        <s v="All the Queen's MenÂ "/>
        <s v="The PianistÂ "/>
        <s v="MirrormaskÂ "/>
        <s v="City of GhostsÂ "/>
        <s v="The Addams FamilyÂ "/>
        <s v="Mystery MenÂ "/>
        <s v="TrafficÂ "/>
        <s v="Kung Fu Panda 2Â "/>
        <s v="Ruby in ParadiseÂ "/>
        <s v="Big FishÂ "/>
        <s v="I Don't Know How She Does ItÂ "/>
        <s v="Running with ScissorsÂ "/>
        <s v="Kung Fu Panda 3Â "/>
        <s v="Furry VengeanceÂ "/>
        <s v="BlackhatÂ "/>
        <s v="The InterviewÂ "/>
        <s v="Vera DrakeÂ "/>
        <s v="SurrogatesÂ "/>
        <s v="Spirit: Stallion of the CimarronÂ "/>
        <s v="One Direction: This Is UsÂ "/>
        <s v="Diary of the DeadÂ "/>
        <s v="Rain ManÂ "/>
        <s v="The Adventures of Ford FairlaneÂ "/>
        <s v="On the WaterfrontÂ "/>
        <s v="The Man Who Knew Too LittleÂ "/>
        <s v="The Book of LifeÂ "/>
        <s v="Wendy and LucyÂ "/>
        <s v="Spectre "/>
        <s v="Mean StreetsÂ "/>
        <s v="Once Upon a Time in AmericaÂ "/>
        <s v="The Purge: AnarchyÂ "/>
        <s v="Silent HillÂ "/>
        <s v="Toy Story 3Â "/>
        <s v="No ReservationsÂ "/>
        <s v="Jaws 2Â "/>
        <s v="BloodRayneÂ "/>
        <s v="The Lizzie McGuire MovieÂ "/>
        <s v="Now You See MeÂ "/>
        <s v="42Â "/>
        <s v="Shadow ConspiracyÂ "/>
        <s v="Synecdoche, New YorkÂ "/>
        <s v="Me Before YouÂ "/>
        <s v="Nacho LibreÂ "/>
        <s v="Resident Evil: RetributionÂ "/>
        <s v="Terminator SalvationÂ "/>
        <s v="The Young VictoriaÂ "/>
        <s v="Light SleeperÂ "/>
        <s v="UnbreakableÂ "/>
        <s v="Do You Believe?Â "/>
        <s v="TruckerÂ "/>
        <s v="Air BudÂ "/>
        <s v="Silver Linings PlaybookÂ "/>
        <s v="The Running ManÂ "/>
        <s v="UndisputedÂ "/>
        <s v="FireproofÂ "/>
        <s v="The Sweet HereafterÂ "/>
        <s v="High TensionÂ "/>
        <s v="Journey from the FallÂ "/>
        <s v="Alvin and the ChipmunksÂ "/>
        <s v="The ExpendablesÂ "/>
        <s v="The HuntedÂ "/>
        <s v="The NegotiatorÂ "/>
        <s v="There Will Be BloodÂ "/>
        <s v="Varsity BluesÂ "/>
        <s v="FocusÂ "/>
        <s v="Warm BodiesÂ "/>
        <s v="Airplane!Â "/>
        <s v="TwisterÂ "/>
        <s v="Final Destination 3Â "/>
        <s v="MacGruberÂ "/>
        <s v="Apollo 13Â "/>
        <s v="A Few Good MenÂ "/>
        <s v="A Lot Like LoveÂ "/>
        <s v="Unaccompanied MinorsÂ "/>
        <s v="SaltÂ "/>
        <s v="Curse of the Golden FlowerÂ "/>
        <s v="SignsÂ "/>
        <s v="Old DogsÂ "/>
        <s v="ChangelingÂ "/>
        <s v="Reservoir DogsÂ "/>
        <s v="The MistÂ "/>
        <s v="TootsieÂ "/>
        <s v="From a Whisper to a ScreamÂ "/>
        <s v="Snow Falling on CedarsÂ "/>
        <s v="The Silence of the LambsÂ "/>
        <s v="The Fast and the Furious: Tokyo DriftÂ "/>
        <s v="Million Dollar BabyÂ "/>
        <s v="The Best Exotic Marigold HotelÂ "/>
        <s v="Van Wilder: Party LiaisonÂ "/>
        <s v="Harvard ManÂ "/>
        <s v="Meet the ParentsÂ "/>
        <s v="Deep ImpactÂ "/>
        <s v="Vampire in BrooklynÂ "/>
        <s v="The WraithÂ "/>
        <s v="Hollywood EndingÂ "/>
        <s v="City by the SeaÂ "/>
        <s v="Face/OffÂ "/>
        <s v="Steve JobsÂ "/>
        <s v="Memoirs of an Invisible ManÂ "/>
        <s v="Critical CareÂ "/>
        <s v="Executive DecisionÂ "/>
        <s v="Kill the MessengerÂ "/>
        <s v="Mrs. WinterbourneÂ "/>
        <s v="Batman BeginsÂ "/>
        <s v="GarfieldÂ "/>
        <s v="Stir of EchoesÂ "/>
        <s v="We Own the NightÂ "/>
        <s v="The BFGÂ "/>
        <s v="12 Years a SlaveÂ "/>
        <s v="Civil BrandÂ "/>
        <s v="How to Be SingleÂ "/>
        <s v="UnfaithfulÂ "/>
        <s v="Road HouseÂ "/>
        <s v="JoyÂ "/>
        <s v="World War ZÂ "/>
        <s v="30 Days of NightÂ "/>
        <s v="Spy Kids 3-D: Game OverÂ "/>
        <s v="Love in the Time of CholeraÂ "/>
        <s v="SickoÂ "/>
        <s v="The Other End of the LineÂ "/>
        <s v="He's Just Not That Into YouÂ "/>
        <s v="Wicker ParkÂ "/>
        <s v="Scary Movie 5Â "/>
        <s v="The Lucky OneÂ "/>
        <s v="ElectionÂ "/>
        <s v="The ImmigrantÂ "/>
        <s v="Snow DogsÂ "/>
        <s v="Blonde AmbitionÂ "/>
        <s v="JumperÂ "/>
        <s v="Les MisÃ©rablesÂ "/>
        <s v="EdmondÂ "/>
        <s v="SicarioÂ "/>
        <s v="This Is EnglandÂ "/>
        <s v="ControlÂ "/>
        <s v="Poultrygeist: Night of the Chicken DeadÂ "/>
        <s v="Starship TroopersÂ "/>
        <s v="Ballistic: Ecks vs. SeverÂ "/>
        <s v="The Toxic Avenger Part IIÂ "/>
        <s v="Harry Potter and the Sorcerer's StoneÂ "/>
        <s v="Vertical LimitÂ "/>
        <s v="Ghosts of MarsÂ "/>
        <s v="Knock OffÂ "/>
        <s v="Antwone FisherÂ "/>
        <s v="Case 39Â "/>
        <s v="Aliens in the AtticÂ "/>
        <s v="No Strings AttachedÂ "/>
        <s v="You, Me and DupreeÂ "/>
        <s v="Drop Dead GorgeousÂ "/>
        <s v="Midnight RunÂ "/>
        <s v="The HowlingÂ "/>
        <s v="The DescentÂ "/>
        <s v="The Last Witch HunterÂ "/>
        <s v="ScrewedÂ "/>
        <s v="Another YearÂ "/>
        <s v="The Perfect MatchÂ "/>
        <s v="BigÂ "/>
        <s v="The SmurfsÂ "/>
        <s v="The Jimmy ShowÂ "/>
        <s v="Romeo Is BleedingÂ "/>
        <s v="Mad Max 2: The Road WarriorÂ "/>
        <s v="Liar LiarÂ "/>
        <s v="The Twilight Saga: Breaking Dawn - Part 2Â "/>
        <s v="The Horse BoyÂ "/>
        <s v="The BeaverÂ "/>
        <s v="Captain Corelli's MandolinÂ "/>
        <s v="Prince of Persia: The Sands of TimeÂ "/>
        <s v="InterstellarÂ "/>
        <s v="Why Did I Get Married?Â "/>
        <s v="The Crocodile Hunter: Collision CourseÂ "/>
        <s v="The VerdictÂ "/>
        <s v="WitchboardÂ "/>
        <s v="Why Did I Get Married Too?Â "/>
        <s v="The Bourne SupremacyÂ "/>
        <s v="HostelÂ "/>
        <s v="CreedÂ "/>
        <s v="Creative ControlÂ "/>
        <s v="The SkullsÂ "/>
        <s v="Rescue DawnÂ "/>
        <s v="Nancy DrewÂ "/>
        <s v="Get LowÂ "/>
        <s v="What Dreams May ComeÂ "/>
        <s v="For Your Eyes OnlyÂ "/>
        <s v="The X FilesÂ "/>
        <s v="District 9Â "/>
        <s v="BamboozledÂ "/>
        <s v="Notting HillÂ "/>
        <s v="The OthersÂ "/>
        <s v="The ProducersÂ "/>
        <s v="Dark CityÂ "/>
        <s v="Grudge MatchÂ "/>
        <s v="Analyze ThatÂ "/>
        <s v="The ExorcistÂ "/>
        <s v="Wild Wild WestÂ "/>
        <s v="Cry_WolfÂ "/>
        <s v="W.Â "/>
        <s v="Harry Potter and the Goblet of FireÂ "/>
        <s v="The Adventures of PinocchioÂ "/>
        <s v="MadagascarÂ "/>
        <s v="The Act of KillingÂ "/>
        <s v="The DuchessÂ "/>
        <s v="The Adventures of Elmo in GrouchlandÂ "/>
        <s v="ContactÂ "/>
        <s v="Friday After NextÂ "/>
        <s v="Albert NobbsÂ "/>
        <s v="Patriot GamesÂ "/>
        <s v="The Sum of All FearsÂ "/>
        <s v="When the Game Stands TallÂ "/>
        <s v="Code Name: The CleanerÂ "/>
        <s v="September DawnÂ "/>
        <s v="All the King's MenÂ "/>
        <s v="Julie &amp; JuliaÂ "/>
        <s v="Eve's BayouÂ "/>
        <s v="Waltz with BashirÂ "/>
        <s v="Body of LiesÂ "/>
        <s v="The Hunting PartyÂ "/>
        <s v="Dark WaterÂ "/>
        <s v="SelmaÂ "/>
        <s v="Take the LeadÂ "/>
        <s v="Teenage Mutant Ninja Turtles II: The Secret of the OozeÂ "/>
        <s v="VirtuosityÂ "/>
        <s v="The Greatest Story Ever ToldÂ "/>
        <s v="Quigley Down UnderÂ "/>
        <s v="City of Life and DeathÂ "/>
        <s v="Mean CreekÂ "/>
        <s v="The BenchwarmersÂ "/>
        <s v="My Soul to TakeÂ "/>
        <s v="The WitchÂ "/>
        <s v="Kung Fu HustleÂ "/>
        <s v="Semi-ProÂ "/>
        <s v="Green ZoneÂ "/>
        <s v="Nothing But a ManÂ "/>
        <s v="Censored VoicesÂ "/>
        <s v="Bless the ChildÂ "/>
        <s v="Central IntelligenceÂ "/>
        <s v="21 &amp; OverÂ "/>
        <s v="Brown SugarÂ "/>
        <s v="Ex MachinaÂ "/>
        <s v="StardustÂ "/>
        <s v="The ImpossibleÂ "/>
        <s v="The Amazing Spider-Man 2Â "/>
        <s v="Blue CarÂ "/>
        <s v="The FirmÂ "/>
        <s v="Paul Blart: Mall CopÂ "/>
        <s v="Howard the DuckÂ "/>
      </sharedItems>
    </cacheField>
    <cacheField name="num_voted_users" numFmtId="0">
      <sharedItems containsSemiMixedTypes="0" containsString="0" containsNumber="1" containsInteger="1" minValue="5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 count="37">
        <s v="English"/>
        <s v="Italian"/>
        <s v="Cantonese"/>
        <s v="Filipino"/>
        <s v="French"/>
        <s v="Hindi"/>
        <s v="Arabic"/>
        <s v="German"/>
        <s v="Japanese"/>
        <s v="Spanish"/>
        <s v="Korean"/>
        <s v="None"/>
        <s v="Aboriginal"/>
        <s v="Persian"/>
        <s v="Portuguese"/>
        <s v="Mandarin"/>
        <s v="Hungarian"/>
        <s v="Icelandic"/>
        <s v="Kazakh"/>
        <s v="Danish"/>
        <s v="Norwegian"/>
        <s v="Thai"/>
        <s v="Telugu"/>
        <s v="Indonesian"/>
        <s v="Dutch"/>
        <s v="Aramaic"/>
        <s v="Dzongkha"/>
        <s v="Bosnian"/>
        <s v="Dari"/>
        <s v="Russian"/>
        <s v="Swedish"/>
        <s v="Mongolian"/>
        <s v="Zulu"/>
        <s v="Maya"/>
        <s v="Czech"/>
        <s v="Vietnamese"/>
        <s v="Hebrew"/>
      </sharedItems>
    </cacheField>
    <cacheField name="country" numFmtId="0">
      <sharedItems count="45">
        <s v="USA"/>
        <s v="Italy"/>
        <s v="UK"/>
        <s v="Australia"/>
        <s v="Hong Kong"/>
        <s v="Germany"/>
        <s v="China"/>
        <s v="Ireland"/>
        <s v="France"/>
        <s v="Canada"/>
        <s v="India"/>
        <s v="New Zealand"/>
        <s v="Spain"/>
        <s v="Mexico"/>
        <s v="South Korea"/>
        <s v="Japan"/>
        <s v="Belgium"/>
        <s v="Argentina"/>
        <s v="Iran"/>
        <s v="Brazil"/>
        <s v="Iceland"/>
        <s v="Taiwan"/>
        <s v="Hungary"/>
        <s v="Denmark"/>
        <s v="Finland"/>
        <s v="South Africa"/>
        <s v="Greece"/>
        <s v="Norway"/>
        <s v="Thailand"/>
        <s v="Philippines"/>
        <s v="Indonesia"/>
        <s v="Netherlands"/>
        <s v="Poland"/>
        <s v="Czech Republic"/>
        <s v="Colombia"/>
        <s v="Afghanistan"/>
        <s v="Russia"/>
        <s v="Peru"/>
        <s v="Sweden"/>
        <s v="Georgia"/>
        <s v="Chile"/>
        <s v="West Germany"/>
        <s v="Romania"/>
        <s v="Aruba"/>
        <s v="Israel"/>
      </sharedItems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0" maxValue="2016" count="75">
        <n v="2013"/>
        <n v="2015"/>
        <n v="2004"/>
        <n v="1964"/>
        <n v="2000"/>
        <n v="1994"/>
        <n v="1998"/>
        <n v="2006"/>
        <n v="1992"/>
        <n v="2001"/>
        <n v="1996"/>
        <n v="2010"/>
        <n v="1999"/>
        <n v="2002"/>
        <n v="1948"/>
        <n v="2007"/>
        <n v="2009"/>
        <n v="1984"/>
        <n v="1986"/>
        <n v="2003"/>
        <n v="2008"/>
        <n v="1987"/>
        <n v="2011"/>
        <n v="1993"/>
        <n v="2016"/>
        <n v="2005"/>
        <n v="1989"/>
        <n v="2014"/>
        <n v="2012"/>
        <n v="1965"/>
        <n v="1983"/>
        <n v="1997"/>
        <n v="1990"/>
        <n v="1995"/>
        <n v="1988"/>
        <n v="1977"/>
        <n v="1979"/>
        <n v="1985"/>
        <n v="1991"/>
        <n v="1940"/>
        <n v="1971"/>
        <n v="1963"/>
        <n v="1982"/>
        <n v="1981"/>
        <n v="1978"/>
        <n v="1935"/>
        <n v="1973"/>
        <n v="1968"/>
        <n v="1974"/>
        <n v="1920"/>
        <n v="1970"/>
        <n v="1975"/>
        <n v="1980"/>
        <n v="1960"/>
        <n v="1961"/>
        <n v="1946"/>
        <n v="1959"/>
        <n v="1962"/>
        <n v="1954"/>
        <n v="1976"/>
        <n v="1933"/>
        <n v="1972"/>
        <n v="1969"/>
        <n v="1953"/>
        <n v="1966"/>
        <n v="1936"/>
        <n v="1939"/>
        <n v="1950"/>
        <n v="1937"/>
        <n v="1957"/>
        <n v="1967"/>
        <n v="1947"/>
        <n v="1927"/>
        <n v="1952"/>
        <n v="1929"/>
      </sharedItems>
    </cacheField>
    <cacheField name="imdb_score" numFmtId="0">
      <sharedItems containsSemiMixedTypes="0" containsString="0" containsNumber="1" minValue="1.6" maxValue="9.3000000000000007" count="74">
        <n v="5.9"/>
        <n v="5.3"/>
        <n v="7.5"/>
        <n v="8"/>
        <n v="7.3"/>
        <n v="6.2"/>
        <n v="8.9"/>
        <n v="6.1"/>
        <n v="4.4000000000000004"/>
        <n v="7.7"/>
        <n v="7.6"/>
        <n v="6"/>
        <n v="3.6"/>
        <n v="4.0999999999999996"/>
        <n v="6.6"/>
        <n v="5.6"/>
        <n v="7"/>
        <n v="7.1"/>
        <n v="4.9000000000000004"/>
        <n v="7.9"/>
        <n v="6.5"/>
        <n v="6.7"/>
        <n v="6.8"/>
        <n v="6.3"/>
        <n v="6.4"/>
        <n v="8.4"/>
        <n v="5.4"/>
        <n v="4.7"/>
        <n v="5.5"/>
        <n v="2.7"/>
        <n v="5.8"/>
        <n v="6.9"/>
        <n v="4.2"/>
        <n v="7.2"/>
        <n v="4.5999999999999996"/>
        <n v="5.7"/>
        <n v="8.3000000000000007"/>
        <n v="5.0999999999999996"/>
        <n v="7.8"/>
        <n v="7.4"/>
        <n v="8.1"/>
        <n v="1.6"/>
        <n v="2.2000000000000002"/>
        <n v="8.6"/>
        <n v="5.2"/>
        <n v="4.8"/>
        <n v="4.3"/>
        <n v="4.5"/>
        <n v="8.6999999999999993"/>
        <n v="2.2999999999999998"/>
        <n v="3.7"/>
        <n v="3.5"/>
        <n v="3.9"/>
        <n v="5"/>
        <n v="3.8"/>
        <n v="8.8000000000000007"/>
        <n v="4"/>
        <n v="3.3"/>
        <n v="2.8"/>
        <n v="8.5"/>
        <n v="8.1999999999999993"/>
        <n v="3.1"/>
        <n v="3"/>
        <n v="2.1"/>
        <n v="2.4"/>
        <n v="3.4"/>
        <n v="1.9"/>
        <n v="9.1999999999999993"/>
        <n v="9"/>
        <n v="9.3000000000000007"/>
        <n v="2.9"/>
        <n v="2.5"/>
        <n v="3.2"/>
        <n v="2"/>
      </sharedItems>
    </cacheField>
    <cacheField name="budget_us_dollar" numFmtId="0">
      <sharedItems containsSemiMixedTypes="0" containsString="0" containsNumber="1" minValue="0.23750147999999999" maxValue="759318000"/>
    </cacheField>
    <cacheField name="gross_us_dollar" numFmtId="0">
      <sharedItems containsSemiMixedTypes="0" containsString="0" containsNumber="1" minValue="16.002374719439999" maxValue="760505847"/>
    </cacheField>
    <cacheField name="profit _us_dollar" numFmtId="0">
      <sharedItems containsSemiMixedTypes="0" containsString="0" containsNumber="1" minValue="-757487706.26585996" maxValue="523505847" count="3517">
        <n v="17011847"/>
        <n v="-76227778"/>
        <n v="36371181"/>
        <n v="3579642"/>
        <n v="13983704"/>
        <n v="-10139961"/>
        <n v="99930000"/>
        <n v="-1388796"/>
        <n v="-11499034"/>
        <n v="15169908"/>
        <n v="16638745"/>
        <n v="8269963"/>
        <n v="-32368843"/>
        <n v="-571465"/>
        <n v="7468807"/>
        <n v="-10810486"/>
        <n v="485341"/>
        <n v="-2381334"/>
        <n v="4768374"/>
        <n v="35026631"/>
        <n v="-744000"/>
        <n v="-19483292"/>
        <n v="20076387.5244"/>
        <n v="-5110478"/>
        <n v="76700000"/>
        <n v="-18111894.700680003"/>
        <n v="24705000"/>
        <n v="-4476970.9763540998"/>
        <n v="-89787380"/>
        <n v="27049108"/>
        <n v="1266184.4598000012"/>
        <n v="-76896216"/>
        <n v="82831698"/>
        <n v="66700000"/>
        <n v="-27999515"/>
        <n v="42057639"/>
        <n v="37898668.044599995"/>
        <n v="-31138052.757800009"/>
        <n v="3650000"/>
        <n v="-643503.71379830001"/>
        <n v="-40581346"/>
        <n v="-486866"/>
        <n v="11560085"/>
        <n v="-10254718.305"/>
        <n v="14724215.867200099"/>
        <n v="5334024"/>
        <n v="-25900341"/>
        <n v="-4286998"/>
        <n v="29982968"/>
        <n v="232523113"/>
        <n v="19392418"/>
        <n v="14058698"/>
        <n v="701088"/>
        <n v="-5682650"/>
        <n v="19219978"/>
        <n v="25794166"/>
        <n v="236437427"/>
        <n v="6546368"/>
        <n v="-1992320"/>
        <n v="160706665"/>
        <n v="60069140"/>
        <n v="60050171"/>
        <n v="32144465"/>
        <n v="-4118133"/>
        <n v="-7663544"/>
        <n v="-15559345"/>
        <n v="28462534"/>
        <n v="-12600000"/>
        <n v="49566871"/>
        <n v="-83385977"/>
        <n v="10074663"/>
        <n v="46530738"/>
        <n v="-15765960"/>
        <n v="-498668"/>
        <n v="-20901437"/>
        <n v="155014286"/>
        <n v="9284475"/>
        <n v="19700000"/>
        <n v="1797066"/>
        <n v="15259652"/>
        <n v="20566230"/>
        <n v="-7946519"/>
        <n v="-69833498"/>
        <n v="-47456299"/>
        <n v="-64053007.5132"/>
        <n v="-5979800"/>
        <n v="-10639452"/>
        <n v="28771072"/>
        <n v="-11951542.5118"/>
        <n v="-29810472.1395"/>
        <n v="36868030"/>
        <n v="-25188785.807199899"/>
        <n v="-35646427"/>
        <n v="-604771"/>
        <n v="-18302044"/>
        <n v="-190187"/>
        <n v="-1254850"/>
        <n v="8096053"/>
        <n v="92012643"/>
        <n v="6163568.6118000001"/>
        <n v="-4673692"/>
        <n v="-194801"/>
        <n v="101938730"/>
        <n v="23237389"/>
        <n v="31517441"/>
        <n v="241199064.2414"/>
        <n v="5920167"/>
        <n v="13218041"/>
        <n v="-29100030"/>
        <n v="-21867678.5462001"/>
        <n v="670712"/>
        <n v="84031112"/>
        <n v="6793213"/>
        <n v="-67838031"/>
        <n v="-37363930.075999901"/>
        <n v="286471036"/>
        <n v="80805112"/>
        <n v="-30161611"/>
        <n v="99131914.400799006"/>
        <n v="5239376"/>
        <n v="45056940"/>
        <n v="-10283199.999999909"/>
        <n v="-18125131"/>
        <n v="-30579748"/>
        <n v="-3263734"/>
        <n v="-694478.75124000013"/>
        <n v="141616238"/>
        <n v="38815117"/>
        <n v="-2235973"/>
        <n v="102890811.76254001"/>
        <n v="14129186"/>
        <n v="-40557129"/>
        <n v="-9355010.5237649996"/>
        <n v="8830000"/>
        <n v="-15278000"/>
        <n v="109731527"/>
        <n v="151870271"/>
        <n v="12652036"/>
        <n v="26423726"/>
        <n v="-10016428"/>
        <n v="-47509810.246859998"/>
        <n v="-21866841"/>
        <n v="27919096"/>
        <n v="-48700.402542520002"/>
        <n v="79460116"/>
        <n v="-40008098"/>
        <n v="13883359"/>
        <n v="-479422"/>
        <n v="19068786"/>
        <n v="794341"/>
        <n v="-40204983"/>
        <n v="2561653.6453799997"/>
        <n v="-5806898"/>
        <n v="159126532.60679999"/>
        <n v="-9800895"/>
        <n v="60000942"/>
        <n v="-1338990"/>
        <n v="25064955"/>
        <n v="-380958.09429000039"/>
        <n v="-825130"/>
        <n v="-111430676.90274"/>
        <n v="-66989354"/>
        <n v="-13046268"/>
        <n v="-28240059.32982"/>
        <n v="30227069"/>
        <n v="-38359790"/>
        <n v="-14088250"/>
        <n v="-338013"/>
        <n v="-41392993"/>
        <n v="65832203"/>
        <n v="146119491"/>
        <n v="20700000"/>
        <n v="-1647420"/>
        <n v="-23979782"/>
        <n v="-7487948"/>
        <n v="-61539010"/>
        <n v="-56425668"/>
        <n v="-41791922"/>
        <n v="-18324654.920940001"/>
        <n v="-50707978"/>
        <n v="-2994861"/>
        <n v="21704396"/>
        <n v="-21898858"/>
        <n v="-259696.51866000006"/>
        <n v="3428181.0810000002"/>
        <n v="61407328"/>
        <n v="131492479"/>
        <n v="-3279766"/>
        <n v="100315155"/>
        <n v="58539855"/>
        <n v="-164334574"/>
        <n v="20450000"/>
        <n v="-13705360"/>
        <n v="1335839"/>
        <n v="-6518263.4000000004"/>
        <n v="-6925437.9202800002"/>
        <n v="20793160"/>
        <n v="-9733871"/>
        <n v="-572808"/>
        <n v="-1894923"/>
        <n v="32181084.6303"/>
        <n v="-1801234"/>
        <n v="41239062.0264"/>
        <n v="47356221"/>
        <n v="-99344497"/>
        <n v="-60326576"/>
        <n v="40566004"/>
        <n v="72656464"/>
        <n v="-23557749"/>
        <n v="30033780"/>
        <n v="2903305.0117199998"/>
        <n v="8297830"/>
        <n v="13435068"/>
        <n v="7236496"/>
        <n v="34244877"/>
        <n v="-13313646"/>
        <n v="-20881753"/>
        <n v="-24536691"/>
        <n v="-428012"/>
        <n v="21882551"/>
        <n v="7678089"/>
        <n v="13230435"/>
        <n v="-487945"/>
        <n v="6506374.0687000006"/>
        <n v="11464368"/>
        <n v="14281235"/>
        <n v="-39443804"/>
        <n v="19691811"/>
        <n v="66785502.092000008"/>
        <n v="54195633"/>
        <n v="246478898"/>
        <n v="2094451"/>
        <n v="-2825730.3441599999"/>
        <n v="-44292302.187420003"/>
        <n v="38697449"/>
        <n v="-1649942"/>
        <n v="-10386165.681599909"/>
        <n v="-9693285"/>
        <n v="86978840"/>
        <n v="-893357"/>
        <n v="-6264471"/>
        <n v="-37673753"/>
        <n v="-6467012"/>
        <n v="-725339"/>
        <n v="2501651"/>
        <n v="-24768635"/>
        <n v="47541000"/>
        <n v="137170000"/>
        <n v="-12063056.185860001"/>
        <n v="-8030610"/>
        <n v="-111931604"/>
        <n v="6222896.3601286002"/>
        <n v="-62684455"/>
        <n v="-50607905"/>
        <n v="-26355679"/>
        <n v="32066497"/>
        <n v="5801344"/>
        <n v="-19000897"/>
        <n v="2354988"/>
        <n v="-47362515"/>
        <n v="6805534"/>
        <n v="76115031"/>
        <n v="14168080"/>
        <n v="-30340253"/>
        <n v="4659817"/>
        <n v="30618403"/>
        <n v="18037513"/>
        <n v="-21017158"/>
        <n v="20033643"/>
        <n v="19179516"/>
        <n v="50353764"/>
        <n v="26200000"/>
        <n v="81700000"/>
        <n v="51889948"/>
        <n v="42343675"/>
        <n v="111175354"/>
        <n v="-78868992.199198991"/>
        <n v="-4597590"/>
        <n v="5706.0735116099822"/>
        <n v="5566327"/>
        <n v="3422650"/>
        <n v="-2787583"/>
        <n v="-25643000"/>
        <n v="253501675"/>
        <n v="-23345419"/>
        <n v="24244684"/>
        <n v="8768623"/>
        <n v="-407362"/>
        <n v="-17714996"/>
        <n v="19489752"/>
        <n v="-109916481"/>
        <n v="-690958"/>
        <n v="13257000"/>
        <n v="-2288790"/>
        <n v="7055248"/>
        <n v="-21878028"/>
        <n v="41793567"/>
        <n v="47045639.999999903"/>
        <n v="449935665"/>
        <n v="-1995643.9138000002"/>
        <n v="-103295584"/>
        <n v="5911876"/>
        <n v="7168"/>
        <n v="-13150858"/>
        <n v="-13595247"/>
        <n v="-16250939"/>
        <n v="5222640"/>
        <n v="17272306"/>
        <n v="102277056"/>
        <n v="-7115337"/>
        <n v="4451895.5356200002"/>
        <n v="-4973029"/>
        <n v="-12144354"/>
        <n v="36900000"/>
        <n v="-6502648.4811300011"/>
        <n v="-1929689"/>
        <n v="78530303"/>
        <n v="132568851"/>
        <n v="591796"/>
        <n v="51636016"/>
        <n v="-51178721"/>
        <n v="-15117739.3476"/>
        <n v="-16617691"/>
        <n v="-2960148"/>
        <n v="68413606"/>
        <n v="45276912"/>
        <n v="-3470767"/>
        <n v="65871240"/>
        <n v="-86753780"/>
        <n v="31008288"/>
        <n v="-27700000"/>
        <n v="-36490658"/>
        <n v="13552429"/>
        <n v="42161119.999999903"/>
        <n v="25700000"/>
        <n v="27636234.967000004"/>
        <n v="33307796"/>
        <n v="-40923185"/>
        <n v="-25976605"/>
        <n v="5667084"/>
        <n v="-11843275"/>
        <n v="9688384"/>
        <n v="-75014388"/>
        <n v="8758465"/>
        <n v="3330342"/>
        <n v="-16667814.36702"/>
        <n v="74769345"/>
        <n v="-21171682"/>
        <n v="-9105605.8635000009"/>
        <n v="358648.45179999992"/>
        <n v="15989008"/>
        <n v="-6964896"/>
        <n v="-9112.282463046"/>
        <n v="-82603302"/>
        <n v="12890752.156799998"/>
        <n v="-11747316"/>
        <n v="75241322"/>
        <n v="4531491"/>
        <n v="-69590483"/>
        <n v="-13449586.270679999"/>
        <n v="-14202684"/>
        <n v="-17282242"/>
        <n v="5802596"/>
        <n v="26676606"/>
        <n v="-1326934"/>
        <n v="-2096670"/>
        <n v="-13870652"/>
        <n v="165388685"/>
        <n v="-7143406.9401508002"/>
        <n v="-63885779"/>
        <n v="-9816803"/>
        <n v="21861034.313600004"/>
        <n v="-42525888"/>
        <n v="1289999"/>
        <n v="4604054"/>
        <n v="-19314120"/>
        <n v="26638165"/>
        <n v="108899130"/>
        <n v="4086567.0357600003"/>
        <n v="10279465.912999999"/>
        <n v="35003300"/>
        <n v="-2411568"/>
        <n v="23511038"/>
        <n v="28826569"/>
        <n v="-33885763"/>
        <n v="-27541731"/>
        <n v="865931"/>
        <n v="-5963503"/>
        <n v="-50100362"/>
        <n v="-7642209.4475999894"/>
        <n v="-35130912.629600003"/>
        <n v="-92754.464000000007"/>
        <n v="-710957.03658000007"/>
        <n v="8818967"/>
        <n v="208991599"/>
        <n v="-36163734.100400008"/>
        <n v="15542421"/>
        <n v="16370001"/>
        <n v="14680000"/>
        <n v="-1083957.90246"/>
        <n v="24737137.37999991"/>
        <n v="15600000"/>
        <n v="-22320362"/>
        <n v="39343632"/>
        <n v="-3955382"/>
        <n v="-3898945"/>
        <n v="2918689.6538"/>
        <n v="41593527"/>
        <n v="45856565"/>
        <n v="-41075118.198060095"/>
        <n v="11447959"/>
        <n v="48635922"/>
        <n v="-32239920"/>
        <n v="-23487185"/>
        <n v="-17835684"/>
        <n v="7716447.724600099"/>
        <n v="-33494358"/>
        <n v="45820940"/>
        <n v="-9006456"/>
        <n v="-1099748.3925999911"/>
        <n v="82800000"/>
        <n v="5429707"/>
        <n v="-29511421"/>
        <n v="27879132"/>
        <n v="43190725.937880002"/>
        <n v="-27477648"/>
        <n v="-6146000"/>
        <n v="-11170320.095399909"/>
        <n v="-7505506"/>
        <n v="-7145.6632246380004"/>
        <n v="9100000"/>
        <n v="-8590794"/>
        <n v="-13414611"/>
        <n v="112435221"/>
        <n v="-9215287"/>
        <n v="17303237"/>
        <n v="1222857.7430049011"/>
        <n v="58011073"/>
        <n v="-5571585.7354499996"/>
        <n v="-24898139"/>
        <n v="76028097"/>
        <n v="45776832"/>
        <n v="61957349.452799909"/>
        <n v="-34288368.920799904"/>
        <n v="66317423"/>
        <n v="15370763"/>
        <n v="17442180"/>
        <n v="-7925162"/>
        <n v="33375151"/>
        <n v="3971000"/>
        <n v="-20519686"/>
        <n v="-42823835"/>
        <n v="-11220364"/>
        <n v="-4882261.5521999095"/>
        <n v="42593726.261999995"/>
        <n v="-7431305"/>
        <n v="20169068"/>
        <n v="-12733495"/>
        <n v="-9732432.6351599991"/>
        <n v="136138454"/>
        <n v="-60519261"/>
        <n v="7609694.0817599893"/>
        <n v="-52781920"/>
        <n v="73548685"/>
        <n v="-799244"/>
        <n v="24048637"/>
        <n v="211919.52329904004"/>
        <n v="-407719815.80747998"/>
        <n v="-4599562.3518599998"/>
        <n v="38658172"/>
        <n v="12683670"/>
        <n v="24363530"/>
        <n v="-9128166"/>
        <n v="-12112543"/>
        <n v="293784000"/>
        <n v="-980461"/>
        <n v="79218018"/>
        <n v="26087161"/>
        <n v="2391000"/>
        <n v="16597830"/>
        <n v="-6369774"/>
        <n v="-67347674.352799997"/>
        <n v="91704210"/>
        <n v="1100358.0865200013"/>
        <n v="-2187805.3159800004"/>
        <n v="8694528"/>
        <n v="-74710310"/>
        <n v="47308367"/>
        <n v="19155435"/>
        <n v="140863268"/>
        <n v="51270454"/>
        <n v="6671475"/>
        <n v="-10723500"/>
        <n v="-27456806"/>
        <n v="26963967"/>
        <n v="1549702"/>
        <n v="-39842984"/>
        <n v="-105156452.8788"/>
        <n v="8631221"/>
        <n v="-492921"/>
        <n v="4738570"/>
        <n v="-1906509"/>
        <n v="-890722"/>
        <n v="-9462204.3758400008"/>
        <n v="-13161.210600100458"/>
        <n v="-48651080"/>
        <n v="-17363557"/>
        <n v="-2236987"/>
        <n v="-7872856"/>
        <n v="-33649447"/>
        <n v="13324946"/>
        <n v="154100000"/>
        <n v="162208848"/>
        <n v="122833357"/>
        <n v="32030663"/>
        <n v="-14799062.260919999"/>
        <n v="-8511737.5586000998"/>
        <n v="43625922"/>
        <n v="43347242"/>
        <n v="59006721"/>
        <n v="-535345"/>
        <n v="14008741"/>
        <n v="-25314641"/>
        <n v="53668525"/>
        <n v="107704099"/>
        <n v="-2177843"/>
        <n v="-13568780"/>
        <n v="-33887833"/>
        <n v="65603360"/>
        <n v="2547102.9430199992"/>
        <n v="35468793"/>
        <n v="-51490765.911479995"/>
        <n v="149171806"/>
        <n v="-17754000"/>
        <n v="10802315"/>
        <n v="-59645259.810839996"/>
        <n v="-24479896.705000103"/>
        <n v="198130642"/>
        <n v="-14885685"/>
        <n v="-31956418.705200002"/>
        <n v="42373442"/>
        <n v="183419.67298146"/>
        <n v="133029270"/>
        <n v="-5822133.9255647995"/>
        <n v="130017019.27086499"/>
        <n v="-7445240.4961200003"/>
        <n v="41573085"/>
        <n v="-954324"/>
        <n v="18758599"/>
        <n v="2713208"/>
        <n v="52572496"/>
        <n v="87559438"/>
        <n v="13154431"/>
        <n v="8432823"/>
        <n v="21041732"/>
        <n v="-49796.616629060001"/>
        <n v="1055450.7886199001"/>
        <n v="47300000"/>
        <n v="8336565"/>
        <n v="-10162368"/>
        <n v="-24500032"/>
        <n v="19545.550282368"/>
        <n v="-10647214"/>
        <n v="-7792888"/>
        <n v="-20656327"/>
        <n v="71800000"/>
        <n v="50328194"/>
        <n v="-12617007"/>
        <n v="224196"/>
        <n v="-14003282"/>
        <n v="-11350684.8525999"/>
        <n v="49001297"/>
        <n v="-10265197"/>
        <n v="-3525492"/>
        <n v="163130696"/>
        <n v="-3943898"/>
        <n v="87620724"/>
        <n v="42792677"/>
        <n v="37536959"/>
        <n v="-8517793"/>
        <n v="25916903"/>
        <n v="-1398153"/>
        <n v="-5382932"/>
        <n v="-354460"/>
        <n v="-774089"/>
        <n v="56306973"/>
        <n v="-569815"/>
        <n v="-6935774"/>
        <n v="-14247275"/>
        <n v="-798521.58834000025"/>
        <n v="259297"/>
        <n v="22133888"/>
        <n v="-4591178"/>
        <n v="39567722"/>
        <n v="10985501"/>
        <n v="-23927"/>
        <n v="-14971130"/>
        <n v="106573705"/>
        <n v="-1172654.9227800001"/>
        <n v="32356857"/>
        <n v="-7668682"/>
        <n v="17603594"/>
        <n v="25601508"/>
        <n v="-9620756.2559991032"/>
        <n v="8168741"/>
        <n v="-26623494"/>
        <n v="-10899350"/>
        <n v="-14754033.291000009"/>
        <n v="9881000"/>
        <n v="-21467706"/>
        <n v="-8549125"/>
        <n v="57477137.883400097"/>
        <n v="39052600"/>
        <n v="9353926.4969999976"/>
        <n v="-24860746"/>
        <n v="260961.90799999982"/>
        <n v="-27251390"/>
        <n v="-77679443.191799998"/>
        <n v="-8163255"/>
        <n v="-9546727.1194800008"/>
        <n v="117979556"/>
        <n v="52100855"/>
        <n v="-6662701"/>
        <n v="28328558"/>
        <n v="-121970"/>
        <n v="52245055"/>
        <n v="-13880722.46166"/>
        <n v="-96407585"/>
        <n v="11421314"/>
        <n v="-337673.29459999898"/>
        <n v="40752337"/>
        <n v="-57836.572999999975"/>
        <n v="-15981636"/>
        <n v="-113021005"/>
        <n v="99093296"/>
        <n v="11407470"/>
        <n v="3057024"/>
        <n v="33536011"/>
        <n v="-51840875.50914"/>
        <n v="-12502713.24"/>
        <n v="-115035182"/>
        <n v="10332737"/>
        <n v="-718500"/>
        <n v="23779955"/>
        <n v="2307550"/>
        <n v="89214072"/>
        <n v="8115878"/>
        <n v="-3792025"/>
        <n v="15.764873239439998"/>
        <n v="-47114435"/>
        <n v="65457688"/>
        <n v="-11032429"/>
        <n v="12000688"/>
        <n v="-86856188"/>
        <n v="25517854"/>
        <n v="12734552"/>
        <n v="2900000"/>
        <n v="-8935090"/>
        <n v="-49999390"/>
        <n v="4927390"/>
        <n v="-14666342"/>
        <n v="2154410"/>
        <n v="-6736352.5519200005"/>
        <n v="-3087018"/>
        <n v="-6306262.9045799999"/>
        <n v="7677565.6600000001"/>
        <n v="11655665"/>
        <n v="-226328"/>
        <n v="-7474079"/>
        <n v="10042450.242420001"/>
        <n v="1093039"/>
        <n v="-50781132"/>
        <n v="-49649808"/>
        <n v="44787599"/>
        <n v="27232352.003799997"/>
        <n v="32808615"/>
        <n v="51324422"/>
        <n v="153483808"/>
        <n v="-108858926"/>
        <n v="6443697.3459999971"/>
        <n v="55416609"/>
        <n v="3786715"/>
        <n v="48693523"/>
        <n v="-8869827.9279600009"/>
        <n v="30014112"/>
        <n v="-68214.3"/>
        <n v="3208190"/>
        <n v="144613391"/>
        <n v="1284914.1188000008"/>
        <n v="-5876166"/>
        <n v="-11413624"/>
        <n v="-31770880"/>
        <n v="-651422"/>
        <n v="-2969275"/>
        <n v="-17954750"/>
        <n v="-296798.96562000003"/>
        <n v="-1740365.5339200001"/>
        <n v="-37955679"/>
        <n v="106512310"/>
        <n v="-17390018"/>
        <n v="18645546"/>
        <n v="46159365"/>
        <n v="198032628"/>
        <n v="169625661.81119999"/>
        <n v="25605492"/>
        <n v="32811275"/>
        <n v="-3822336.1369999903"/>
        <n v="-45979146"/>
        <n v="24412677"/>
        <n v="12369573"/>
        <n v="2828771"/>
        <n v="23193121.326999903"/>
        <n v="35010106"/>
        <n v="28408625.400000099"/>
        <n v="5000377"/>
        <n v="-27968963"/>
        <n v="-39488080"/>
        <n v="-30348000"/>
        <n v="63313048"/>
        <n v="10474107"/>
        <n v="-757487706.26585996"/>
        <n v="-9258013"/>
        <n v="896702.45498999022"/>
        <n v="-10894693.579259999"/>
        <n v="41489425"/>
        <n v="-1900853"/>
        <n v="-19736635"/>
        <n v="68488329"/>
        <n v="19903076"/>
        <n v="241395"/>
        <n v="-1196170"/>
        <n v="2875753.4375999011"/>
        <n v="12700000"/>
        <n v="79175854"/>
        <n v="-21790660"/>
        <n v="-93153376"/>
        <n v="2214255"/>
        <n v="10154426"/>
        <n v="-3649226"/>
        <n v="7034272"/>
        <n v="-19880795"/>
        <n v="26093619.999999903"/>
        <n v="31193053"/>
        <n v="-2452144"/>
        <n v="-34314732"/>
        <n v="24001218"/>
        <n v="13240988"/>
        <n v="-6750474"/>
        <n v="-104868170"/>
        <n v="-27762476.671800002"/>
        <n v="38192114"/>
        <n v="-2628615"/>
        <n v="27528330"/>
        <n v="-1523339.4326400002"/>
        <n v="-60917086"/>
        <n v="-2138393.5210800003"/>
        <n v="-2894915"/>
        <n v="22176108"/>
        <n v="-909814"/>
        <n v="-39916"/>
        <n v="27453345"/>
        <n v="-18935723"/>
        <n v="20911262"/>
        <n v="98614544"/>
        <n v="-18424586.82519991"/>
        <n v="-65267965"/>
        <n v="-7035257"/>
        <n v="134185206"/>
        <n v="-642078.72545849998"/>
        <n v="24874499.446740001"/>
        <n v="7397469"/>
        <n v="9008928"/>
        <n v="-18143990.389199998"/>
        <n v="23585416"/>
        <n v="10071438.834179999"/>
        <n v="-1713.4382000000987"/>
        <n v="329999255"/>
        <n v="13515786"/>
        <n v="-23185810"/>
        <n v="-20935667"/>
        <n v="-1297136"/>
        <n v="-8254452.5397750009"/>
        <n v="-18823678"/>
        <n v="96248145"/>
        <n v="-14577793"/>
        <n v="-11111645"/>
        <n v="-601783.14719990641"/>
        <n v="2173190"/>
        <n v="-15111972"/>
        <n v="-4655153"/>
        <n v="-130934874.84546"/>
        <n v="2774834"/>
        <n v="32962333"/>
        <n v="267761243"/>
        <n v="45969179"/>
        <n v="-19983606"/>
        <n v="14399750"/>
        <n v="2323044"/>
        <n v="22296514"/>
        <n v="65771527"/>
        <n v="-9409710.5530200005"/>
        <n v="47715416"/>
        <n v="-13924922"/>
        <n v="-41472875"/>
        <n v="-32737712"/>
        <n v="9843379"/>
        <n v="-5959121"/>
        <n v="3825820"/>
        <n v="-35946421"/>
        <n v="-959412"/>
        <n v="-3602635"/>
        <n v="3292105"/>
        <n v="3092822"/>
        <n v="48383780"/>
        <n v="8350177"/>
        <n v="-2196204"/>
        <n v="-14821835"/>
        <n v="3331103"/>
        <n v="52165546"/>
        <n v="-3772117"/>
        <n v="-46246520.958120003"/>
        <n v="34706988"/>
        <n v="50608545"/>
        <n v="5927406"/>
        <n v="27887943"/>
        <n v="252000000"/>
        <n v="17567440"/>
        <n v="-1140525"/>
        <n v="20651422"/>
        <n v="18143332"/>
        <n v="-61430"/>
        <n v="46806312"/>
        <n v="-53477682"/>
        <n v="-736082.39890389005"/>
        <n v="-8363615"/>
        <n v="123947053"/>
        <n v="97637474"/>
        <n v="9901126"/>
        <n v="15732300.875849999"/>
        <n v="-11893560.137159999"/>
        <n v="-42500000"/>
        <n v="7168445"/>
        <n v="-18569728"/>
        <n v="-29125385"/>
        <n v="47676582"/>
        <n v="20700247"/>
        <n v="-26764836.794100001"/>
        <n v="76203320"/>
        <n v="37650000"/>
        <n v="-2446488"/>
        <n v="75724075"/>
        <n v="12515793"/>
        <n v="119019489"/>
        <n v="4300302"/>
        <n v="6153600"/>
        <n v="17226474"/>
        <n v="61423650"/>
        <n v="18703855.400000099"/>
        <n v="3614488"/>
        <n v="-1820357"/>
        <n v="36121934"/>
        <n v="43906114"/>
        <n v="-59956435.399000004"/>
        <n v="-12336018"/>
        <n v="-32401069"/>
        <n v="13696761"/>
        <n v="-27427.376091476901"/>
        <n v="-24862498"/>
        <n v="29307119.999999911"/>
        <n v="-2981550"/>
        <n v="61807667"/>
        <n v="-8124411"/>
        <n v="25758152.515019998"/>
        <n v="3453728.5587571198"/>
        <n v="83243478"/>
        <n v="-366222"/>
        <n v="-36870545"/>
        <n v="-52305212"/>
        <n v="31134898"/>
        <n v="-37376626"/>
        <n v="88001286"/>
        <n v="79429898.34100008"/>
        <n v="22021740"/>
        <n v="513940"/>
        <n v="-4645.3354131399992"/>
        <n v="99007828"/>
        <n v="22360069"/>
        <n v="9278980"/>
        <n v="747724"/>
        <n v="1885134"/>
        <n v="-19886035"/>
        <n v="23000000"/>
        <n v="-37948000"/>
        <n v="19138847"/>
        <n v="237233"/>
        <n v="-702671"/>
        <n v="10116191"/>
        <n v="-13461796"/>
        <n v="17823573"/>
        <n v="-7713686"/>
        <n v="-56403089"/>
        <n v="-2001718"/>
        <n v="27061228"/>
        <n v="-9245330"/>
        <n v="-360000"/>
        <n v="30269340"/>
        <n v="12668906"/>
        <n v="-18875221.071799908"/>
        <n v="231124059"/>
        <n v="5998709"/>
        <n v="-1918374"/>
        <n v="-25872105"/>
        <n v="11571351"/>
        <n v="161781728"/>
        <n v="39969388.316199899"/>
        <n v="26624000"/>
        <n v="-22523765"/>
        <n v="-21812000.1598"/>
        <n v="-9291848.1039998997"/>
        <n v="-18058441"/>
        <n v="502177271"/>
        <n v="-32945076"/>
        <n v="-6790560"/>
        <n v="57231524"/>
        <n v="21550000"/>
        <n v="23343413"/>
        <n v="264487"/>
        <n v="45607673"/>
        <n v="-22338695.155560002"/>
        <n v="-17624564"/>
        <n v="-23368755"/>
        <n v="13257500"/>
        <n v="-1425912"/>
        <n v="-25280070"/>
        <n v="-10683354"/>
        <n v="-4715640"/>
        <n v="55014842"/>
        <n v="7200000"/>
        <n v="52360285"/>
        <n v="17721635"/>
        <n v="-4043793"/>
        <n v="-6546921"/>
        <n v="100175871"/>
        <n v="18386128"/>
        <n v="-13069116"/>
        <n v="-9552250"/>
        <n v="14421271"/>
        <n v="-27818516"/>
        <n v="-5340798.7455000002"/>
        <n v="-8018685.1120000035"/>
        <n v="47008303"/>
        <n v="84670866"/>
        <n v="-23990820"/>
        <n v="-64409053.286599904"/>
        <n v="-42911035.214000002"/>
        <n v="-8752225"/>
        <n v="38400000"/>
        <n v="-77823100"/>
        <n v="-8906228.1039998997"/>
        <n v="-1717323"/>
        <n v="264706375"/>
        <n v="-17726628"/>
        <n v="40293200"/>
        <n v="-12084501.7169999"/>
        <n v="-16356539"/>
        <n v="5734486"/>
        <n v="1483540"/>
        <n v="-2674927"/>
        <n v="5917210"/>
        <n v="47666629"/>
        <n v="132011114"/>
        <n v="-14051289"/>
        <n v="825638"/>
        <n v="23932008"/>
        <n v="21457409"/>
        <n v="35910583"/>
        <n v="-7718248.5699999034"/>
        <n v="-36876722.328659996"/>
        <n v="-11824630"/>
        <n v="-49790643.835000001"/>
        <n v="-6908393.6490162881"/>
        <n v="143630478"/>
        <n v="32266306"/>
        <n v="80011740"/>
        <n v="-9383415.3706800006"/>
        <n v="-18851301"/>
        <n v="-44203958"/>
        <n v="-16603219"/>
        <n v="8699684"/>
        <n v="-19865246"/>
        <n v="30127620"/>
        <n v="-36460586"/>
        <n v="65900000"/>
        <n v="52129727.669519998"/>
        <n v="-1178017"/>
        <n v="-60164977.185419999"/>
        <n v="77334374"/>
        <n v="13955614"/>
        <n v="8031620"/>
        <n v="-4370360"/>
        <n v="27469602"/>
        <n v="-15861817.860240011"/>
        <n v="-5118665"/>
        <n v="37541683"/>
        <n v="54200000"/>
        <n v="-72472.536122948499"/>
        <n v="64518155"/>
        <n v="-10703427"/>
        <n v="29948113"/>
        <n v="103620822"/>
        <n v="-14979620"/>
        <n v="9792000"/>
        <n v="7544812"/>
        <n v="-45393665"/>
        <n v="19995817"/>
        <n v="38950483"/>
        <n v="-2994995"/>
        <n v="-11139998"/>
        <n v="45255243"/>
        <n v="-9810821"/>
        <n v="161796233"/>
        <n v="-6789304"/>
        <n v="134144700.05580002"/>
        <n v="36207920"/>
        <n v="-7145740.2163596395"/>
        <n v="22116152"/>
        <n v="13656400"/>
        <n v="69049418"/>
        <n v="-59533912"/>
        <n v="2929123"/>
        <n v="62804648"/>
        <n v="2060184"/>
        <n v="2903262"/>
        <n v="59526565.504000098"/>
        <n v="-29936195"/>
        <n v="-776010"/>
        <n v="55072454"/>
        <n v="-9530189"/>
        <n v="82528646"/>
        <n v="4059537"/>
        <n v="-3200000"/>
        <n v="4479776"/>
        <n v="47641922.920600101"/>
        <n v="-28551183"/>
        <n v="-23676031"/>
        <n v="30836296"/>
        <n v="-3270031"/>
        <n v="4886369"/>
        <n v="-9782502"/>
        <n v="55768056"/>
        <n v="-2816208"/>
        <n v="-12471908"/>
        <n v="26372293"/>
        <n v="37257433"/>
        <n v="3821335"/>
        <n v="20291815"/>
        <n v="90397307"/>
        <n v="-1192174"/>
        <n v="52925609"/>
        <n v="10247512"/>
        <n v="299658"/>
        <n v="-96395944.356999084"/>
        <n v="-21735014"/>
        <n v="-27727253"/>
        <n v="1062898"/>
        <n v="-1801593"/>
        <n v="16197315"/>
        <n v="-315648"/>
        <n v="16583369"/>
        <n v="-1907599"/>
        <n v="29484168"/>
        <n v="68511820.000000015"/>
        <n v="-4318497"/>
        <n v="-3751299"/>
        <n v="-9450893"/>
        <n v="81749884"/>
        <n v="16902020.580420002"/>
        <n v="-9444652"/>
        <n v="57153533"/>
        <n v="64364921"/>
        <n v="-14491311"/>
        <n v="-26261368"/>
        <n v="117387405"/>
        <n v="51651430"/>
        <n v="-1179.0058657320001"/>
        <n v="36360018"/>
        <n v="7580895"/>
        <n v="33491560"/>
        <n v="250736600"/>
        <n v="16472057"/>
        <n v="37696176"/>
        <n v="-27034724.44506"/>
        <n v="53269010"/>
        <n v="-1503637.37434169"/>
        <n v="-54013109.663999997"/>
        <n v="-9159557.5768800005"/>
        <n v="-636215"/>
        <n v="243649"/>
        <n v="-11568600.000000011"/>
        <n v="-1200000"/>
        <n v="-14449740.1845"/>
        <n v="14857814"/>
        <n v="-808054"/>
        <n v="46700000"/>
        <n v="168759914"/>
        <n v="-2890680.8054849999"/>
        <n v="71244774"/>
        <n v="-2898989"/>
        <n v="-73435"/>
        <n v="-4306379"/>
        <n v="-4764037.3370549902"/>
        <n v="9851591"/>
        <n v="86631310"/>
        <n v="5292381"/>
        <n v="10854896"/>
        <n v="-2428096"/>
        <n v="20306281"/>
        <n v="-809722"/>
        <n v="154449475"/>
        <n v="-2535644"/>
        <n v="78360000"/>
        <n v="-40713572"/>
        <n v="9370057"/>
        <n v="-11530572"/>
        <n v="-3785127"/>
        <n v="-4416"/>
        <n v="3600000"/>
        <n v="12676062"/>
        <n v="26466372"/>
        <n v="-3098665.0297800004"/>
        <n v="-3307186"/>
        <n v="-2198810"/>
        <n v="-31671949"/>
        <n v="21836394"/>
        <n v="-19345223"/>
        <n v="-24661.084200000012"/>
        <n v="21097664"/>
        <n v="45623128"/>
        <n v="-10227031"/>
        <n v="-299639"/>
        <n v="-20288322"/>
        <n v="-14057170"/>
        <n v="-26095018"/>
        <n v="-1256123.8643324901"/>
        <n v="28423368"/>
        <n v="41149655"/>
        <n v="-17212029.157800101"/>
        <n v="31838728"/>
        <n v="15514056.699779999"/>
        <n v="-9980652"/>
        <n v="-428053"/>
        <n v="55149435"/>
        <n v="-3512703.7793399999"/>
        <n v="67340146"/>
        <n v="-32713269"/>
        <n v="-2424273"/>
        <n v="-38023633"/>
        <n v="-987004"/>
        <n v="19397498"/>
        <n v="-86628256.259519994"/>
        <n v="22937130"/>
        <n v="93880802.950500011"/>
        <n v="29099640"/>
        <n v="85395021"/>
        <n v="26533608"/>
        <n v="-14882502"/>
        <n v="-12562481.5631999"/>
        <n v="139875760"/>
        <n v="83500000"/>
        <n v="-14724554"/>
        <n v="202076689"/>
        <n v="18570424.861274999"/>
        <n v="-41400000"/>
        <n v="-22772060"/>
        <n v="-21464425"/>
        <n v="-10265765"/>
        <n v="-512773.05340000056"/>
        <n v="-19251318.828600001"/>
        <n v="10398790.880399998"/>
        <n v="-19492772"/>
        <n v="178298180"/>
        <n v="-18435269"/>
        <n v="-6762885.3032000102"/>
        <n v="50547.21464999998"/>
        <n v="-22543550"/>
        <n v="-13997244"/>
        <n v="-10605885.89322"/>
        <n v="-1661659.838190001"/>
        <n v="16874745"/>
        <n v="59948417.073800102"/>
        <n v="50191634"/>
        <n v="31431160"/>
        <n v="-4409622.1330799982"/>
        <n v="-41779224"/>
        <n v="-23445431"/>
        <n v="455447"/>
        <n v="5856732"/>
        <n v="-1212565"/>
        <n v="-12048569"/>
        <n v="12569041"/>
        <n v="53319509"/>
        <n v="26746109"/>
        <n v="32462438"/>
        <n v="-4347435"/>
        <n v="25899"/>
        <n v="150079163"/>
        <n v="-108599.113749"/>
        <n v="-7045687.4426000006"/>
        <n v="55807520"/>
        <n v="48299761"/>
        <n v="19737645"/>
        <n v="12035841.144000001"/>
        <n v="-42681778.946759999"/>
        <n v="7515297"/>
        <n v="-12421429.332839999"/>
        <n v="-52603559.251440004"/>
        <n v="21544445"/>
        <n v="-8832629.9577599987"/>
        <n v="-1583554.9569999902"/>
        <n v="1655091"/>
        <n v="10495673"/>
        <n v="3069884"/>
        <n v="-2899325"/>
        <n v="-11423433.350999901"/>
        <n v="-10132563.973999901"/>
        <n v="17992760"/>
        <n v="4055108"/>
        <n v="35122319"/>
        <n v="557668"/>
        <n v="71366733"/>
        <n v="29730907"/>
        <n v="-29359355"/>
        <n v="16067398"/>
        <n v="21111837"/>
        <n v="-8978439.9479492996"/>
        <n v="16496802"/>
        <n v="108132370"/>
        <n v="-11245.2183074"/>
        <n v="-6697094.681295"/>
        <n v="-7022828.7850800008"/>
        <n v="-30609285.472199909"/>
        <n v="267262555"/>
        <n v="-99766931.951460004"/>
        <n v="6019483"/>
        <n v="-7601580"/>
        <n v="-17525384"/>
        <n v="-8626307"/>
        <n v="-8600000"/>
        <n v="-31480159"/>
        <n v="305024263"/>
        <n v="44590960"/>
        <n v="116275247"/>
        <n v="33044702.002600003"/>
        <n v="-903266"/>
        <n v="26777564"/>
        <n v="-9309985.0980000105"/>
        <n v="83151473"/>
        <n v="-15000000"/>
        <n v="-64833372.723420002"/>
        <n v="19044241"/>
        <n v="-14551317.407579999"/>
        <n v="4452209"/>
        <n v="11589307"/>
        <n v="128339411"/>
        <n v="-1113093.4153999903"/>
        <n v="16814909"/>
        <n v="-48339916"/>
        <n v="11844424"/>
        <n v="908339.47859999957"/>
        <n v="33600000"/>
        <n v="1994973"/>
        <n v="15624120.620760001"/>
        <n v="-7473856"/>
        <n v="-1939157"/>
        <n v="1861000"/>
        <n v="-41092631.25"/>
        <n v="-10372329.635998994"/>
        <n v="-26573039"/>
        <n v="-21362578.849679999"/>
        <n v="24520804"/>
        <n v="85069696"/>
        <n v="85648585"/>
        <n v="12836241.502020001"/>
        <n v="-22724820.2907"/>
        <n v="4329966"/>
        <n v="-27339971"/>
        <n v="14126138"/>
        <n v="11482931"/>
        <n v="-12069202"/>
        <n v="125684505"/>
        <n v="32148997"/>
        <n v="-3628103"/>
        <n v="2406383"/>
        <n v="-8881923"/>
        <n v="56456431"/>
        <n v="-12879981"/>
        <n v="403279547"/>
        <n v="-5094254"/>
        <n v="-957510"/>
        <n v="1019112"/>
        <n v="-9018367"/>
        <n v="2558739"/>
        <n v="246623634"/>
        <n v="66021565"/>
        <n v="-2216223"/>
        <n v="42235322"/>
        <n v="10248063"/>
        <n v="3393765"/>
        <n v="19707761.797798991"/>
        <n v="-23315181"/>
        <n v="36890979.999999993"/>
        <n v="-605096"/>
        <n v="51083765"/>
        <n v="-74088170"/>
        <n v="-30039889.31016"/>
        <n v="50441969.856120005"/>
        <n v="98405771"/>
        <n v="1381941.4041599999"/>
        <n v="-25992638.591339998"/>
        <n v="-59318655.444240004"/>
        <n v="23021560"/>
        <n v="-12122192"/>
        <n v="79443253"/>
        <n v="-15622726"/>
        <n v="17895491"/>
        <n v="41004259.999999911"/>
        <n v="41000000"/>
        <n v="19779400"/>
        <n v="-1857456.63549001"/>
        <n v="1109095"/>
        <n v="29883016"/>
        <n v="4938506.8000000007"/>
        <n v="-6785970"/>
        <n v="-5107250.6533746002"/>
        <n v="55034302"/>
        <n v="33983001"/>
        <n v="17736779"/>
        <n v="-38911390"/>
        <n v="-2737058"/>
        <n v="-1394057"/>
        <n v="182527913.15640002"/>
        <n v="44808372"/>
        <n v="-12086323"/>
        <n v="22418902"/>
        <n v="15281507"/>
        <n v="28939454"/>
        <n v="74679066.316200003"/>
        <n v="7862546"/>
        <n v="3000000"/>
        <n v="-10439741"/>
        <n v="-16480373"/>
        <n v="-6457975"/>
        <n v="-23158725.545005001"/>
        <n v="28546578"/>
        <n v="-13900000"/>
        <n v="162370693.25299999"/>
        <n v="3224644.4179999009"/>
        <n v="208992272"/>
        <n v="24699513"/>
        <n v="15197842"/>
        <n v="12320979"/>
        <n v="14822707"/>
        <n v="-29959707"/>
        <n v="-48844258"/>
        <n v="26845943"/>
        <n v="56897215"/>
        <n v="19990064"/>
        <n v="-30524377"/>
        <n v="-19141617.089280002"/>
        <n v="-787759"/>
        <n v="7003620"/>
        <n v="-18816646"/>
        <n v="-32824884.463199999"/>
        <n v="-531428"/>
        <n v="-10482822"/>
        <n v="15419483"/>
        <n v="1651777"/>
        <n v="301331"/>
        <n v="96447667"/>
        <n v="50313314"/>
        <n v="-4474806.8191800006"/>
        <n v="-15503327.53644"/>
        <n v="-4346385"/>
        <n v="-24599087"/>
        <n v="13064616"/>
        <n v="-3731172"/>
        <n v="15829874"/>
        <n v="-2726412"/>
        <n v="106386216"/>
        <n v="-58145.310612399997"/>
        <n v="22124400"/>
        <n v="-27989147"/>
        <n v="-90200974"/>
        <n v="75019340"/>
        <n v="-16855194"/>
        <n v="-18503478"/>
        <n v="3009155"/>
        <n v="2262293"/>
        <n v="23583175"/>
        <n v="324804"/>
        <n v="-1093965"/>
        <n v="-4907170"/>
        <n v="2596914"/>
        <n v="6033556"/>
        <n v="-456793"/>
        <n v="65389560"/>
        <n v="29797826.24058"/>
        <n v="144705587"/>
        <n v="9488549.0098000988"/>
        <n v="-2279629"/>
        <n v="85512915"/>
        <n v="29507053"/>
        <n v="-19700000"/>
        <n v="2516784.9211999997"/>
        <n v="-5882.0476264000008"/>
        <n v="761283"/>
        <n v="31174897"/>
        <n v="20378000"/>
        <n v="13422556"/>
        <n v="-165959"/>
        <n v="-8505389"/>
        <n v="84805005"/>
        <n v="-15667676"/>
        <n v="-10843487.34282"/>
        <n v="-2319305.8768801"/>
        <n v="-11699467.635620009"/>
        <n v="-4287928"/>
        <n v="61468960"/>
        <n v="24400000"/>
        <n v="35428137"/>
        <n v="-14926452"/>
        <n v="-34873713.087400012"/>
        <n v="160147615"/>
        <n v="24037564"/>
        <n v="142650.90318000002"/>
        <n v="-7678961"/>
        <n v="-5406272.5671600001"/>
        <n v="89692572"/>
        <n v="17850000"/>
        <n v="1177215"/>
        <n v="-12602611"/>
        <n v="69470202"/>
        <n v="-33328495"/>
        <n v="-33716560"/>
        <n v="-25032818"/>
        <n v="377783777"/>
        <n v="-9387085.9608000014"/>
        <n v="-66359574"/>
        <n v="100000"/>
        <n v="11188905"/>
        <n v="-38207789.426820002"/>
        <n v="-13818979.642665999"/>
        <n v="36468315"/>
        <n v="-11000000"/>
        <n v="11900000"/>
        <n v="-6192162.3582000006"/>
        <n v="-3368360"/>
        <n v="117387272"/>
        <n v="7655201"/>
        <n v="652835"/>
        <n v="52387997"/>
        <n v="-14994117"/>
        <n v="2043798.8539999998"/>
        <n v="45264608"/>
        <n v="1703287"/>
        <n v="6383298"/>
        <n v="1409668"/>
        <n v="-41531970.686799914"/>
        <n v="-54205.54253999982"/>
        <n v="8396628.7032000944"/>
        <n v="99541238"/>
        <n v="-23720770"/>
        <n v="89732962"/>
        <n v="-1781012.4488520001"/>
        <n v="-4841843"/>
        <n v="33553787"/>
        <n v="43346930"/>
        <n v="-27616147.25454"/>
        <n v="-26789866.084860001"/>
        <n v="-39600000"/>
        <n v="-7569012"/>
        <n v="-22947259"/>
        <n v="-16086325.15518"/>
        <n v="-24595327.50612"/>
        <n v="21304264"/>
        <n v="12621249"/>
        <n v="5004225"/>
        <n v="84222438"/>
        <n v="5330742.5088"/>
        <n v="-7937613"/>
        <n v="-151705149.85872"/>
        <n v="47974049.714200005"/>
        <n v="-76070659"/>
        <n v="8740720"/>
        <n v="-39034803"/>
        <n v="-2581732"/>
        <n v="62749203"/>
        <n v="-36954460"/>
        <n v="-64913.936999999918"/>
        <n v="-36624819"/>
        <n v="-3084960.0000000102"/>
        <n v="-14043244.716899998"/>
        <n v="-18752184"/>
        <n v="8232624"/>
        <n v="3458596.2158000004"/>
        <n v="-11024993.369295901"/>
        <n v="135992840"/>
        <n v="155823397"/>
        <n v="-36414185.292600103"/>
        <n v="-8199698"/>
        <n v="-2195727"/>
        <n v="-17430732"/>
        <n v="48029742.239999905"/>
        <n v="62310175"/>
        <n v="1081498"/>
        <n v="80292856"/>
        <n v="36643346"/>
        <n v="3290318"/>
        <n v="2137776"/>
        <n v="-34547688"/>
        <n v="3549339"/>
        <n v="13539321"/>
        <n v="-19443"/>
        <n v="-11813554.053719999"/>
        <n v="3984028"/>
        <n v="14918173.729399912"/>
        <n v="2575718"/>
        <n v="-22698869"/>
        <n v="9563543"/>
        <n v="-3157942"/>
        <n v="-122904.08856219999"/>
        <n v="200000"/>
        <n v="-584485.41648749996"/>
        <n v="34172251"/>
        <n v="-11348338"/>
        <n v="22877959"/>
        <n v="48800000"/>
        <n v="682273"/>
        <n v="13014536"/>
        <n v="-24720320"/>
        <n v="-299.88330432299995"/>
        <n v="115096820"/>
        <n v="-75261604.238399997"/>
        <n v="-4998280"/>
        <n v="27800000"/>
        <n v="9858926"/>
        <n v="-7467810"/>
        <n v="-13334037"/>
        <n v="73005002"/>
        <n v="-8368161"/>
        <n v="-6939142"/>
        <n v="15422828"/>
        <n v="-11464232"/>
        <n v="91519448"/>
        <n v="-201659"/>
        <n v="-345923"/>
        <n v="28895417"/>
        <n v="-43129431"/>
        <n v="32614858"/>
        <n v="22670733"/>
        <n v="2844929"/>
        <n v="20687587"/>
        <n v="19234747"/>
        <n v="224374454"/>
        <n v="12438.815799999982"/>
        <n v="-7373095"/>
        <n v="83740650"/>
        <n v="15596227"/>
        <n v="-20412268"/>
        <n v="49654900"/>
        <n v="-14549025"/>
        <n v="-22149327.681799904"/>
        <n v="181454367"/>
        <n v="-1217916"/>
        <n v="-6470234"/>
        <n v="-7443292"/>
        <n v="-32973330"/>
        <n v="-129828140"/>
        <n v="-1472045"/>
        <n v="242172"/>
        <n v="23953488.128400099"/>
        <n v="-83334182.584199011"/>
        <n v="35305995"/>
        <n v="25454043"/>
        <n v="-10825346"/>
        <n v="-28888740"/>
        <n v="45929973"/>
        <n v="16144183"/>
        <n v="-30503417"/>
        <n v="63930411"/>
        <n v="-15565274"/>
        <n v="48622"/>
        <n v="2033920"/>
        <n v="-48343151"/>
        <n v="21359200"/>
        <n v="-24037529"/>
        <n v="27553324.537440002"/>
        <n v="1743332"/>
        <n v="-12000000"/>
        <n v="-108668595.21359909"/>
        <n v="-18218547"/>
        <n v="53350242"/>
        <n v="-4857000"/>
        <n v="-204532"/>
        <n v="-30784021"/>
        <n v="32455275"/>
        <n v="406666"/>
        <n v="37253092"/>
        <n v="21285499"/>
        <n v="10396744"/>
        <n v="12623417.25"/>
        <n v="128821952"/>
        <n v="76975169"/>
        <n v="-28935714"/>
        <n v="26389411.534319997"/>
        <n v="276625409"/>
        <n v="-13953505"/>
        <n v="-451570"/>
        <n v="-14664065"/>
        <n v="-625893"/>
        <n v="-12301565.931370709"/>
        <n v="751715"/>
        <n v="-10904697"/>
        <n v="16632614"/>
        <n v="-21775151"/>
        <n v="-161884235.03628001"/>
        <n v="-15393725.454999899"/>
        <n v="-50616376"/>
        <n v="-23302604.88222"/>
        <n v="82149590"/>
        <n v="-10221401"/>
        <n v="2860839"/>
        <n v="4627372"/>
        <n v="-10896000"/>
        <n v="19238626.788999911"/>
        <n v="-3962246"/>
        <n v="-901776"/>
        <n v="17067631"/>
        <n v="-4491309"/>
        <n v="13687630"/>
        <n v="9708896.1339999996"/>
        <n v="-125316.45804699999"/>
        <n v="-12923117.243399899"/>
        <n v="-1695416.8919999003"/>
        <n v="-137662.91821608"/>
        <n v="23382841"/>
        <n v="-8553105"/>
        <n v="-13045798"/>
        <n v="-4637692"/>
        <n v="83025093"/>
        <n v="36527787"/>
        <n v="1200000"/>
        <n v="6226492.2097200006"/>
        <n v="-13215568"/>
        <n v="-1498907"/>
        <n v="-1829786"/>
        <n v="9387695"/>
        <n v="-5482285"/>
        <n v="16364420.1822"/>
        <n v="23334256"/>
        <n v="55720716"/>
        <n v="-8916034"/>
        <n v="73371987"/>
        <n v="24281723"/>
        <n v="523568"/>
        <n v="6226508.154314898"/>
        <n v="18049082"/>
        <n v="-16702103"/>
        <n v="-6182995.7751599997"/>
        <n v="-4920684"/>
        <n v="30973336"/>
        <n v="-1380159"/>
        <n v="-32675768"/>
        <n v="38493982"/>
        <n v="27680195"/>
        <n v="6246959"/>
        <n v="-22390851.771000005"/>
        <n v="34225164"/>
        <n v="7416109"/>
        <n v="-30573703"/>
        <n v="902679"/>
        <n v="-5231584"/>
        <n v="-5500000"/>
        <n v="77692062"/>
        <n v="-19083691"/>
        <n v="19100000"/>
        <n v="32200000"/>
        <n v="2688364"/>
        <n v="-8319908.4284332199"/>
        <n v="-29301969.402199998"/>
        <n v="1659955"/>
        <n v="-23014913"/>
        <n v="3738726"/>
        <n v="-96582135"/>
        <n v="14967359"/>
        <n v="4234818.4262000993"/>
        <n v="28670894.5598001"/>
        <n v="7096584"/>
        <n v="-94780265"/>
        <n v="-11409500"/>
        <n v="608545"/>
        <n v="-3474166"/>
        <n v="-64568142.103"/>
        <n v="21432423"/>
        <n v="8100000"/>
        <n v="-6044961"/>
        <n v="424449459"/>
        <n v="-16025347"/>
        <n v="7867349"/>
        <n v="-3771476"/>
        <n v="26032791.048480004"/>
        <n v="20309319.999999899"/>
        <n v="-12390000"/>
        <n v="-15614237"/>
        <n v="21968653"/>
        <n v="14078294"/>
        <n v="18488090"/>
        <n v="2773863"/>
        <n v="969176"/>
        <n v="2128202"/>
        <n v="-10822459"/>
        <n v="-9136085"/>
        <n v="-993613"/>
        <n v="13368160.000000101"/>
        <n v="-1965583"/>
        <n v="356386.14780000993"/>
        <n v="283019252"/>
        <n v="82001186"/>
        <n v="-3403207"/>
        <n v="125665036"/>
        <n v="80249062"/>
        <n v="-468063"/>
        <n v="-1823108"/>
        <n v="30485039"/>
        <n v="118734225"/>
        <n v="110505958"/>
        <n v="2180954"/>
        <n v="10221600"/>
        <n v="194200000"/>
        <n v="107902283"/>
        <n v="42511020.260700002"/>
        <n v="50301521"/>
        <n v="34236629.000000097"/>
        <n v="12738400"/>
        <n v="2051787"/>
        <n v="458672302"/>
        <n v="37319176.289099999"/>
        <n v="31000000"/>
        <n v="-3712212"/>
        <n v="38588.827989999998"/>
        <n v="-1741077.1233599996"/>
        <n v="79444419"/>
        <n v="2862501"/>
        <n v="-10374831"/>
        <n v="101463226"/>
        <n v="21846082"/>
        <n v="51071133"/>
        <n v="-18353336"/>
        <n v="12414716"/>
        <n v="-4535974"/>
        <n v="29993847"/>
        <n v="-5882440"/>
        <n v="-29593736"/>
        <n v="-14313571"/>
        <n v="-10336008.00492"/>
        <n v="29968224"/>
        <n v="28536019"/>
        <n v="96300000"/>
        <n v="-3398772"/>
        <n v="1932305"/>
        <n v="30302314"/>
        <n v="24891374"/>
        <n v="23680848"/>
        <n v="-33982216"/>
        <n v="9404152"/>
        <n v="-18696681"/>
        <n v="-59904860.0094001"/>
        <n v="-29671868"/>
        <n v="2386698"/>
        <n v="677838"/>
        <n v="-31527637"/>
        <n v="-11272676"/>
        <n v="-5408810.2374"/>
        <n v="-13200000"/>
        <n v="5797927"/>
        <n v="27243721"/>
        <n v="18308901"/>
        <n v="8045844"/>
        <n v="-2438373"/>
        <n v="1093537.2833560002"/>
        <n v="11584722"/>
        <n v="-25551411"/>
        <n v="1614441.0911639999"/>
        <n v="12441122"/>
        <n v="43711404"/>
        <n v="-53361326"/>
        <n v="3574731"/>
        <n v="44148781"/>
        <n v="-41599308"/>
        <n v="1952363.2104000011"/>
        <n v="-10938241"/>
        <n v="-12982539.999999911"/>
        <n v="-6876149"/>
        <n v="-49244714"/>
        <n v="6954997"/>
        <n v="2057332"/>
        <n v="-18809982"/>
        <n v="2592872"/>
        <n v="48535067"/>
        <n v="-5190245.2517074198"/>
        <n v="68571803"/>
        <n v="-9192361"/>
        <n v="-14182006"/>
        <n v="3120196"/>
        <n v="59800000"/>
        <n v="-1706412.08718"/>
        <n v="175360000"/>
        <n v="35461307"/>
        <n v="-14843800"/>
        <n v="44140956"/>
        <n v="31015141"/>
        <n v="91518352"/>
        <n v="11371425"/>
        <n v="15404871"/>
        <n v="46955956"/>
        <n v="-44162336.233799994"/>
        <n v="-27051841"/>
        <n v="117204440"/>
        <n v="5565975"/>
        <n v="-12904682"/>
        <n v="38127162"/>
        <n v="-707214.08637000003"/>
        <n v="-34369221"/>
        <n v="15280058"/>
        <n v="19455658"/>
        <n v="-43708398"/>
        <n v="-22467699"/>
        <n v="-86817.073725800015"/>
        <n v="-4152561"/>
        <n v="31997107"/>
        <n v="16628981"/>
        <n v="6097096"/>
        <n v="-6491078"/>
        <n v="-4081717"/>
        <n v="-47934015"/>
        <n v="-21569645"/>
        <n v="-6982599"/>
        <n v="-9491157"/>
        <n v="-14169043"/>
        <n v="15638743"/>
        <n v="-6428265"/>
        <n v="8059386"/>
        <n v="-16577194"/>
        <n v="-2298120"/>
        <n v="-14816912"/>
        <n v="213768"/>
        <n v="-17327.05846"/>
        <n v="-297532"/>
        <n v="16505912"/>
        <n v="-834357.94233425998"/>
        <n v="15464480"/>
        <n v="-64928486"/>
        <n v="-755141.50075500004"/>
        <n v="61382"/>
        <n v="-231805"/>
        <n v="1076.0801901100001"/>
        <n v="10331028"/>
        <n v="-4031431.8710400015"/>
        <n v="31859105"/>
        <n v="7781388"/>
        <n v="92536138"/>
        <n v="-16624154"/>
        <n v="-542370"/>
        <n v="38771291"/>
        <n v="12253315"/>
        <n v="67568000"/>
        <n v="-31974698.74368"/>
        <n v="21475962"/>
        <n v="34500000"/>
        <n v="-12976053"/>
        <n v="5315226"/>
        <n v="16530884"/>
        <n v="-1000000"/>
        <n v="47968405"/>
        <n v="-2446068"/>
        <n v="16235088"/>
        <n v="184.01359819589899"/>
        <n v="5110552"/>
        <n v="-18826298.7478"/>
        <n v="38023275"/>
        <n v="14213619"/>
        <n v="-12803790"/>
        <n v="3432299"/>
        <n v="-10098828.566055002"/>
        <n v="-21561851"/>
        <n v="9761993"/>
        <n v="-38476729"/>
        <n v="15226144"/>
        <n v="11251641.37788"/>
        <n v="348316061"/>
        <n v="3228696"/>
        <n v="-8116113"/>
        <n v="72632573"/>
        <n v="-37009207.235799909"/>
        <n v="-14831605"/>
        <n v="-33118496"/>
        <n v="-10755111.709725"/>
        <n v="-68738.320858999999"/>
        <n v="2822418"/>
        <n v="14880476"/>
        <n v="-3508650"/>
        <n v="32860214"/>
        <n v="108170.71451999992"/>
        <n v="-4956948.4337999905"/>
        <n v="-35962961"/>
        <n v="-1459475"/>
        <n v="-25072.560286856999"/>
        <n v="5459614.3869999982"/>
        <n v="-24745828"/>
        <n v="223768796.01540101"/>
        <n v="27410049"/>
        <n v="-904547"/>
        <n v="-4236531"/>
        <n v="93952327"/>
        <n v="123001229"/>
        <n v="133031347"/>
        <n v="-14794657"/>
        <n v="-113700"/>
        <n v="-16939434"/>
        <n v="1043445"/>
        <n v="74067179"/>
        <n v="18531390"/>
        <n v="-4962560"/>
        <n v="145592590"/>
        <n v="53270259"/>
        <n v="50263257"/>
        <n v="-3242913"/>
        <n v="-115441051.60519901"/>
        <n v="10984397"/>
        <n v="-6431391.0921259997"/>
        <n v="4158074"/>
        <n v="157358779"/>
        <n v="2808744"/>
        <n v="33338338"/>
        <n v="58353550"/>
        <n v="30537320"/>
        <n v="-3750098.0436"/>
        <n v="-6139597"/>
        <n v="-6433363"/>
        <n v="-4556684"/>
        <n v="0"/>
        <n v="-9273348.6272"/>
        <n v="5613460"/>
        <n v="22652003"/>
        <n v="51208010"/>
        <n v="-861524"/>
        <n v="-29500737"/>
        <n v="55219395"/>
        <n v="-29565557"/>
        <n v="-98957156.558399007"/>
        <n v="-846581.70539999998"/>
        <n v="-1336755"/>
        <n v="851636"/>
        <n v="52163317"/>
        <n v="-35688529.590120003"/>
        <n v="31261036"/>
        <n v="-19145306"/>
        <n v="41303.531879999675"/>
        <n v="-88214518"/>
        <n v="3341469"/>
        <n v="-8573195"/>
        <n v="292175"/>
        <n v="53856263"/>
        <n v="-4249963.5914399996"/>
        <n v="12918501"/>
        <n v="-4671063"/>
        <n v="17112929"/>
        <n v="329466"/>
        <n v="12550960"/>
        <n v="-14230040"/>
        <n v="-12733677.562200002"/>
        <n v="54446270.086199902"/>
        <n v="82121.109942039999"/>
        <n v="18464905.96700009"/>
        <n v="129308822.09435999"/>
        <n v="3325872"/>
        <n v="96308900"/>
        <n v="51990286"/>
        <n v="31726644"/>
        <n v="-7886774.7931999043"/>
        <n v="-2325000"/>
        <n v="-24708008.127839997"/>
        <n v="-2747274"/>
        <n v="-24731154"/>
        <n v="-689492"/>
        <n v="-95588898"/>
        <n v="-37276599.999999903"/>
        <n v="3936931"/>
        <n v="2578870.79180279"/>
        <n v="40098138"/>
        <n v="19402612"/>
        <n v="-130773.36780000009"/>
        <n v="9533945"/>
        <n v="1003072"/>
        <n v="-1788839.92680712"/>
        <n v="39703412"/>
        <n v="44100000"/>
        <n v="28715510"/>
        <n v="22689474"/>
        <n v="-6149578.7200199999"/>
        <n v="3901336"/>
        <n v="11514713"/>
        <n v="6675178"/>
        <n v="34073773"/>
        <n v="153423707.68580002"/>
        <n v="-6929955"/>
        <n v="-2135441.4469999899"/>
        <n v="-41771652"/>
        <n v="-15265429.952819999"/>
        <n v="-15307392"/>
        <n v="2000000"/>
        <n v="-1126033"/>
        <n v="-7709024"/>
        <n v="-1806081"/>
        <n v="10384136"/>
        <n v="-23800483"/>
        <n v="700000"/>
        <n v="28728000"/>
        <n v="17873599.931189999"/>
        <n v="-2442376.5993149998"/>
        <n v="-32637500"/>
        <n v="-5452024.0999999093"/>
        <n v="308707"/>
        <n v="-447150"/>
        <n v="8697409.7810199"/>
        <n v="32522221"/>
        <n v="26853450"/>
        <n v="-1407638"/>
        <n v="2106233"/>
        <n v="50731542"/>
        <n v="-4508347"/>
        <n v="-807471.83484000002"/>
        <n v="21876365"/>
        <n v="-12698695"/>
        <n v="22114556"/>
        <n v="45181732"/>
        <n v="-21178170.880199999"/>
        <n v="-30863374"/>
        <n v="12978402"/>
        <n v="-9975917"/>
        <n v="35592846"/>
        <n v="2483154"/>
        <n v="-10673164"/>
        <n v="-5600389"/>
        <n v="47001027"/>
        <n v="46975611"/>
        <n v="109141530"/>
        <n v="-3312828"/>
        <n v="-1845268"/>
        <n v="4231215"/>
        <n v="14951824"/>
        <n v="2304950"/>
        <n v="-29821223"/>
        <n v="-59801290"/>
        <n v="58307945"/>
        <n v="10500000"/>
        <n v="-15576909.572349399"/>
        <n v="-16406844"/>
        <n v="-17258404"/>
        <n v="-14618493"/>
        <n v="-37891712.461920001"/>
        <n v="117500000"/>
        <n v="2373247.6518000066"/>
        <n v="1250934"/>
        <n v="-190641321"/>
        <n v="-1331157"/>
        <n v="-11801578.750000097"/>
        <n v="22285953"/>
        <n v="-1780971"/>
        <n v="-8745775.4781999998"/>
        <n v="-76471714.5317249"/>
        <n v="-359529.17053999996"/>
        <n v="-12276138.1467999"/>
        <n v="-22214507.611919999"/>
        <n v="33355354"/>
        <n v="-3877439"/>
        <n v="-3094997.6885999911"/>
        <n v="-7077834"/>
        <n v="950218"/>
        <n v="-24537805.913400002"/>
        <n v="-15182960"/>
        <n v="-83406809"/>
        <n v="10905674"/>
        <n v="-31951647"/>
        <n v="-8167174"/>
        <n v="17707116"/>
        <n v="-18423913"/>
        <n v="-4308561"/>
        <n v="-30815182.191780001"/>
        <n v="29604977"/>
        <n v="-69223741"/>
        <n v="42724272"/>
        <n v="-8535964.7778000012"/>
        <n v="10012500"/>
        <n v="-8192146"/>
        <n v="-26919274.48212"/>
        <n v="-420316"/>
        <n v="-20370783.140115"/>
        <n v="-15481610"/>
        <n v="160034110"/>
        <n v="-14888185"/>
        <n v="-145086"/>
        <n v="108383253"/>
        <n v="-8967158.6348000001"/>
        <n v="-9830576"/>
        <n v="52491137"/>
        <n v="-824450.48292000033"/>
        <n v="46400000"/>
        <n v="-15791616"/>
        <n v="56702060"/>
        <n v="1755271"/>
        <n v="-55948241"/>
        <n v="16585300"/>
        <n v="-22431493"/>
        <n v="59502303"/>
        <n v="-15107126.244000003"/>
        <n v="32235441"/>
        <n v="-10958034.769680001"/>
        <n v="9427926"/>
        <n v="-3297099"/>
        <n v="35003492"/>
        <n v="49354205"/>
        <n v="96945720"/>
        <n v="26993400.000000097"/>
        <n v="-47128307"/>
        <n v="-10474724"/>
        <n v="-125710090"/>
        <n v="16000000"/>
        <n v="-20924712"/>
        <n v="476767"/>
        <n v="60341380"/>
        <n v="-69854.776506179987"/>
        <n v="3997790"/>
        <n v="10018837"/>
        <n v="-5940412"/>
        <n v="-3557841"/>
        <n v="-2419832.3674689098"/>
        <n v="-12829470.55494"/>
        <n v="1102171"/>
        <n v="-20066330"/>
        <n v="-4887310.1716200002"/>
        <n v="-13266274"/>
        <n v="-4169790"/>
        <n v="27693162"/>
        <n v="750798"/>
        <n v="110922370"/>
        <n v="-10764163"/>
        <n v="-1305432"/>
        <n v="28848100"/>
        <n v="5128617"/>
        <n v="59267897"/>
        <n v="-1207221"/>
        <n v="-4651683"/>
        <n v="79225854"/>
        <n v="-424880.44397467002"/>
        <n v="195631306"/>
        <n v="-9994022"/>
        <n v="-25993274"/>
        <n v="-76992.142110399989"/>
        <n v="106148159"/>
        <n v="6127348.0584599972"/>
        <n v="18860010"/>
        <n v="-30348023"/>
        <n v="18617111.672339998"/>
        <n v="-6827190"/>
        <n v="34098862"/>
        <n v="-884659.83979989961"/>
        <n v="41827000"/>
        <n v="220760500"/>
        <n v="31353636"/>
        <n v="7130611"/>
        <n v="58326666"/>
        <n v="1204508"/>
        <n v="7980275"/>
        <n v="-6967504"/>
        <n v="10536944.387000009"/>
        <n v="53953403"/>
        <n v="-8954199"/>
        <n v="-1455956"/>
        <n v="195675583"/>
        <n v="274691196"/>
        <n v="18292061"/>
        <n v="8272447"/>
        <n v="359544677"/>
        <n v="8642254"/>
        <n v="-46338105.556319997"/>
        <n v="43537175.622779995"/>
        <n v="-7391173"/>
        <n v="34034755"/>
        <n v="-67047980"/>
        <n v="32306065"/>
        <n v="11013233.966460001"/>
        <n v="-28169943"/>
        <n v="24054514"/>
        <n v="-2450515"/>
        <n v="-46840695"/>
        <n v="-4934913"/>
        <n v="55173235"/>
        <n v="-1774772"/>
        <n v="46257845"/>
        <n v="50401464"/>
        <n v="19588068"/>
        <n v="-24903810"/>
        <n v="-5744713"/>
        <n v="4351969"/>
        <n v="-7899497"/>
        <n v="77946274"/>
        <n v="-4072280"/>
        <n v="-417976"/>
        <n v="16002004"/>
        <n v="-20000000"/>
        <n v="-9094723"/>
        <n v="-7128397"/>
        <n v="53266204.759999104"/>
        <n v="182925485"/>
        <n v="54412921"/>
        <n v="-34816875"/>
        <n v="869.61348842779012"/>
        <n v="21845258.59940001"/>
        <n v="-26161870"/>
        <n v="19540762"/>
        <n v="7617947"/>
        <n v="-6919884"/>
        <n v="-1912244"/>
        <n v="116578352"/>
        <n v="-7469465"/>
        <n v="-1233986"/>
        <n v="6753840"/>
        <n v="-17786"/>
        <n v="40668868"/>
        <n v="29656180.653200004"/>
        <n v="117137090"/>
        <n v="12051917"/>
        <n v="199816"/>
        <n v="815288"/>
        <n v="-32245792"/>
        <n v="36398162"/>
        <n v="17926543"/>
        <n v="-9099074"/>
        <n v="-4877005"/>
        <n v="-81248566.330799997"/>
        <n v="2269307"/>
        <n v="12969824"/>
        <n v="106415432"/>
        <n v="8786.2391089219964"/>
        <n v="-22726917.030199908"/>
        <n v="-6644564"/>
        <n v="30270227"/>
        <n v="-5628919"/>
        <n v="-9033264.1860000044"/>
        <n v="-28889425"/>
        <n v="-8185137"/>
        <n v="8876924"/>
        <n v="-16662721"/>
        <n v="-8275329.9126998996"/>
        <n v="5862100"/>
        <n v="50920948"/>
        <n v="3245861"/>
        <n v="-6073753"/>
        <n v="48884821"/>
        <n v="-7200000"/>
        <n v="-4907100"/>
        <n v="15268.311538844"/>
        <n v="26087366"/>
        <n v="30969279.737799909"/>
        <n v="82299717"/>
        <n v="-143826840"/>
        <n v="-7891338"/>
        <n v="-4921063"/>
        <n v="-3535096"/>
        <n v="-12305895"/>
        <n v="74497271"/>
        <n v="-48197944"/>
        <n v="-35583.372418000006"/>
        <n v="-2436330"/>
        <n v="-15705099"/>
        <n v="16089953"/>
        <n v="115329763"/>
        <n v="1854039"/>
        <n v="5114507"/>
        <n v="216188924"/>
        <n v="58813460"/>
        <n v="-9421473"/>
        <n v="12043633"/>
        <n v="-13912817"/>
        <n v="-21383311"/>
        <n v="-45618284"/>
        <n v="58103929"/>
        <n v="61573391"/>
        <n v="15102717"/>
        <n v="107586036"/>
        <n v="30695394"/>
        <n v="-4483513"/>
        <n v="19103378"/>
        <n v="-12037424"/>
        <n v="60012710"/>
        <n v="291323553"/>
        <n v="182501645"/>
        <n v="-21949883"/>
        <n v="-6953549"/>
        <n v="-24943308"/>
        <n v="-23402879"/>
        <n v="-11792806"/>
        <n v="-2718714"/>
        <n v="5266619"/>
        <n v="-4041323.6151000001"/>
        <n v="-17092709"/>
        <n v="2439163"/>
        <n v="26167338.137819998"/>
        <n v="1216074"/>
        <n v="-6210687"/>
        <n v="3649779"/>
        <n v="-8245681"/>
        <n v="4997476"/>
        <n v="3831145"/>
        <n v="-6002193"/>
        <n v="-11834365"/>
        <n v="-13991568"/>
        <n v="112708996"/>
        <n v="-9693553"/>
        <n v="-8368825"/>
        <n v="16712494.438999999"/>
        <n v="-15997036"/>
        <n v="15773070"/>
        <n v="441829"/>
        <n v="-16880121"/>
        <n v="530270"/>
        <n v="27701895"/>
        <n v="23651360.000000004"/>
        <n v="-750995"/>
        <n v="-4099768.7449751901"/>
        <n v="14490142"/>
        <n v="-463501.8834600001"/>
        <n v="-4459591.1825999003"/>
        <n v="35448498"/>
        <n v="1947339"/>
        <n v="38872378"/>
        <n v="-2022635"/>
        <n v="-7900000"/>
        <n v="523505847"/>
        <n v="61830669"/>
        <n v="5218921"/>
        <n v="70182840"/>
        <n v="-7116045"/>
        <n v="4628751"/>
        <n v="-18212183.472999904"/>
        <n v="67125340"/>
        <n v="14106737"/>
        <n v="-23910635"/>
        <n v="12382982"/>
        <n v="21263182"/>
        <n v="-9980747"/>
        <n v="30341670"/>
        <n v="54817937"/>
        <n v="-45199846.732799903"/>
        <n v="85762022"/>
        <n v="110117807"/>
        <n v="-701468"/>
        <n v="3706444.4730000999"/>
        <n v="-54531374"/>
        <n v="6595716"/>
        <n v="38756232"/>
        <n v="5500797"/>
        <n v="27592530"/>
        <n v="-8698169.4038000014"/>
        <n v="-11717593.614360001"/>
        <n v="-30783882.639600001"/>
        <n v="-30794482.0479999"/>
        <n v="-18100000"/>
        <n v="-8804031.2757300008"/>
        <n v="112057433"/>
        <n v="31505065"/>
        <n v="41929168"/>
        <n v="-16880006"/>
        <n v="51209973"/>
        <n v="-8972555"/>
        <n v="-2800000"/>
        <n v="139460.68283999711"/>
        <n v="-17287907"/>
        <n v="-23839471"/>
        <n v="-4178274.2374800001"/>
        <n v="20530832"/>
        <n v="-945296"/>
        <n v="-2425934"/>
        <n v="-29610033"/>
        <n v="1508841"/>
        <n v="-6045229.9862399995"/>
        <n v="94324072"/>
        <n v="25074895"/>
        <n v="-14024817"/>
        <n v="-478801"/>
        <n v="8662299"/>
        <n v="-9984553"/>
        <n v="-51009458"/>
        <n v="61827739.999999911"/>
        <n v="11035310"/>
        <n v="2781491.1994000003"/>
        <n v="-1089280"/>
        <n v="6867101"/>
        <n v="40274748"/>
        <n v="36328680"/>
        <n v="-60308027.004800096"/>
        <n v="15733485"/>
        <n v="2138727.83882721"/>
        <n v="-13092611.123100001"/>
        <n v="16435406"/>
        <n v="-8461.8705907380008"/>
        <n v="43504640"/>
        <n v="8938179"/>
        <n v="-5089440"/>
        <n v="46737"/>
        <n v="-6617054"/>
        <n v="-68845392.868598998"/>
        <n v="-9561700"/>
        <n v="-31911.886424473003"/>
        <n v="56100000"/>
        <n v="-5961888.2148000002"/>
        <n v="-11961340"/>
        <n v="17277485"/>
        <n v="12165524.335199911"/>
        <n v="-10993094"/>
        <n v="-3765231.8759699999"/>
        <n v="346122"/>
        <n v="23863933.024999999"/>
        <n v="8906039"/>
        <n v="-13236693.1441999"/>
        <n v="3304718.1751122009"/>
        <n v="-30695163"/>
        <n v="-45433254"/>
        <n v="44300000"/>
        <n v="-2307310.0196099998"/>
        <n v="-2716218"/>
        <n v="-1082591.4974100001"/>
        <n v="-149779.78362699097"/>
        <n v="-1156686"/>
        <n v="51930159.999999896"/>
        <n v="89746958"/>
        <n v="-1482420"/>
        <n v="70536"/>
        <n v="6734992"/>
        <n v="20236603"/>
        <n v="48452056"/>
        <n v="11756514"/>
        <n v="-1994515"/>
        <n v="38543795"/>
        <n v="-8204636.7082530893"/>
        <n v="-35748872"/>
        <n v="-96179906"/>
        <n v="44749148.031599998"/>
        <n v="2576314"/>
        <n v="-40554783"/>
        <n v="18771174"/>
        <n v="5773825"/>
        <n v="-28505730"/>
        <n v="19185998"/>
        <n v="43823091"/>
        <n v="-7374649.1804138897"/>
        <n v="-23594175"/>
        <n v="4733909"/>
        <n v="-18442521"/>
        <n v="2700000"/>
        <n v="107575142"/>
        <n v="55597042"/>
        <n v="614943"/>
        <n v="41309"/>
        <n v="17.703407819496"/>
        <n v="-4505853"/>
        <n v="-36426209"/>
        <n v="-2799197"/>
        <n v="-11972196.2436"/>
        <n v="-19624526"/>
        <n v="-17399565"/>
        <n v="181225"/>
        <n v="-26083095.14479991"/>
        <n v="47325559"/>
        <n v="-10922453"/>
        <n v="14049211"/>
        <n v="-4005443"/>
        <n v="-35610546"/>
        <n v="86757447"/>
        <n v="61141840.594799995"/>
        <n v="11146570"/>
        <n v="-12434436.44219991"/>
        <n v="-10521054.272199906"/>
        <n v="41038190"/>
        <n v="-15229136"/>
        <n v="16195173.623699993"/>
        <n v="10118420"/>
        <n v="4203192"/>
        <n v="16184015"/>
        <n v="120430993"/>
        <n v="-11643257"/>
        <n v="-1128758.481105"/>
        <n v="2103828"/>
        <n v="-8936125"/>
        <n v="78574831"/>
        <n v="-10285518"/>
        <n v="19820089.504919998"/>
        <n v="294645577"/>
        <n v="44888996"/>
        <n v="4790000"/>
        <n v="-14280633"/>
        <n v="-11906682"/>
        <n v="208197028.52100003"/>
        <n v="-11537400"/>
        <n v="25399000"/>
        <n v="-3970172.5617999993"/>
        <n v="2615685"/>
        <n v="-3130772.9413999901"/>
        <n v="-29693000.9362"/>
        <n v="2228241"/>
        <n v="-10000000"/>
        <n v="26277420"/>
        <n v="24795350"/>
        <n v="-11011931.193720002"/>
        <n v="4808247"/>
        <n v="14168359"/>
        <n v="-24326667"/>
        <n v="-8620471.0848600008"/>
        <n v="-5604341.5138499998"/>
        <n v="31691009"/>
        <n v="4692139"/>
        <n v="18270895"/>
        <n v="-9284389"/>
        <n v="-27920212.89342"/>
        <n v="-20203976"/>
        <n v="17478175"/>
        <n v="-40332626.159999996"/>
        <n v="35279690"/>
        <n v="2572742"/>
        <n v="1547570"/>
        <n v="-29067628"/>
        <n v="-1951288"/>
        <n v="-22520222"/>
        <n v="1186670"/>
        <n v="-13571117"/>
        <n v="76801374"/>
        <n v="-25318"/>
        <n v="-25483175.483879998"/>
        <n v="-19440070"/>
        <n v="9821153.5197599977"/>
        <n v="-2400149"/>
        <n v="12313582"/>
        <n v="-62149904"/>
        <n v="6415649"/>
        <n v="1576721.1142800003"/>
        <n v="-168215.17997840699"/>
        <n v="-57435963"/>
        <n v="6280507"/>
        <n v="43806889"/>
        <n v="-2271261"/>
        <n v="5583510"/>
        <n v="-84593638"/>
        <n v="-19991211.778800003"/>
        <n v="10088918.334540002"/>
        <n v="-24969837"/>
        <n v="-2795501"/>
        <n v="-2326217"/>
        <n v="27002815"/>
        <n v="-3467746.9783999901"/>
        <n v="-436047.03941999999"/>
        <n v="-11500000"/>
        <n v="18706246.927620001"/>
        <n v="130169872.80785999"/>
        <n v="7947763"/>
        <n v="-696442"/>
        <n v="-10639221"/>
        <n v="97992827"/>
        <n v="75295076.06058"/>
        <n v="37330021.223999903"/>
        <n v="33305545"/>
        <n v="140381405"/>
        <n v="53618384"/>
        <n v="26363118"/>
        <n v="1492476.6546"/>
        <n v="49273505"/>
        <n v="87278659.999999106"/>
        <n v="2570442"/>
        <n v="62624961"/>
        <n v="-14501.9259"/>
        <n v="15645204"/>
        <n v="-56073614"/>
        <n v="-6639805"/>
        <n v="37239856"/>
        <n v="-211375.95866772"/>
        <n v="-13749680"/>
        <n v="-6312165"/>
        <n v="84122"/>
        <n v="-25452209.191199999"/>
        <n v="17672350"/>
        <n v="-39371991"/>
        <n v="-40659223.934199989"/>
        <n v="31106680.000000011"/>
        <n v="111709845"/>
        <n v="31282411"/>
        <n v="49176215"/>
        <n v="-10886412"/>
        <n v="-4275052.1615720904"/>
        <n v="68706165"/>
        <n v="16501098"/>
        <n v="3181075.9129979899"/>
        <n v="-4692196"/>
        <n v="42933793"/>
        <n v="286838870"/>
        <n v="138600000"/>
        <n v="-10806975"/>
        <n v="-19034791"/>
        <n v="-59973647"/>
        <n v="13701902"/>
        <n v="10338609"/>
        <n v="30800000"/>
        <n v="-928770"/>
        <n v="-2680222.2358199991"/>
        <n v="-338009"/>
        <n v="9015786"/>
        <n v="77997349"/>
        <n v="41030827"/>
        <n v="33762229"/>
        <n v="34700000"/>
        <n v="33563158"/>
        <n v="4338033"/>
        <n v="-5755845"/>
        <n v="-29304773"/>
        <n v="-34737100.775399998"/>
        <n v="13747385"/>
        <n v="1228120"/>
        <n v="-10660475"/>
        <n v="-4339000.8620127002"/>
        <n v="46807024"/>
        <n v="-12785034"/>
        <n v="16471430"/>
        <n v="24024969"/>
        <n v="-720718"/>
        <n v="-21219958"/>
        <n v="-39383131"/>
        <n v="-45516179"/>
        <n v="53500000"/>
        <n v="-1169913.6788346011"/>
        <n v="8400000"/>
        <n v="88166115"/>
        <n v="4806295"/>
        <n v="11384919"/>
        <n v="-10603058"/>
        <n v="-141668.83573710002"/>
        <n v="11449680.190199999"/>
        <n v="417760"/>
        <n v="33146000"/>
        <n v="-8675815.6043999996"/>
        <n v="-1117120"/>
        <n v="-21441338"/>
        <n v="-59977549"/>
        <n v="44287414"/>
        <n v="-5418658.1284800004"/>
        <n v="38797148"/>
        <n v="15972187"/>
        <n v="-2028726.3070800002"/>
        <n v="7235267"/>
        <n v="-3600207"/>
        <n v="27647595"/>
        <n v="25001065"/>
        <n v="66683135"/>
        <n v="177467"/>
        <n v="-799341"/>
        <n v="-83287549"/>
        <n v="50915214"/>
        <n v="-3385764"/>
        <n v="10443603"/>
        <n v="-51975100"/>
        <n v="8375125.2465999098"/>
        <n v="-5719423"/>
        <n v="-2017021.4012000104"/>
        <n v="7189039"/>
        <n v="-17843067"/>
        <n v="55000000"/>
        <n v="-6012518"/>
        <n v="615792"/>
        <n v="77001351"/>
        <n v="-631531"/>
        <n v="79556401"/>
        <n v="-136702695"/>
        <n v="-22509198"/>
        <n v="-88202"/>
        <n v="25660000"/>
        <n v="-1336492"/>
        <n v="-36439040"/>
        <n v="2048409.51290999"/>
        <n v="36636816"/>
        <n v="-2709403.9112999998"/>
        <n v="-59192738"/>
        <n v="24335698"/>
        <n v="42369900"/>
        <n v="26766350"/>
        <n v="-5470983"/>
        <n v="-54211935.997560002"/>
        <n v="9536788"/>
        <n v="164406268"/>
        <n v="-2777139"/>
        <n v="-2003560"/>
        <n v="-41424284"/>
        <n v="-2693868.05219999"/>
        <n v="23818159"/>
        <n v="-198889"/>
        <n v="262029560"/>
        <n v="52264926"/>
        <n v="59568845"/>
        <n v="112868837"/>
        <n v="-9767063"/>
        <n v="56001698"/>
        <n v="-76874081.095799997"/>
        <n v="-5439432.3215999994"/>
        <n v="115085755"/>
        <n v="36528842"/>
        <n v="55370362"/>
        <n v="226950375"/>
        <n v="-28419913"/>
        <n v="157197282"/>
        <n v="4185387"/>
        <n v="13582378.336999997"/>
        <n v="-144142"/>
        <n v="-10217492"/>
        <n v="-36894400"/>
        <n v="24812241"/>
        <n v="67458785"/>
        <n v="-586507"/>
        <n v="-44951668"/>
        <n v="13894863"/>
        <n v="-24878709"/>
        <n v="78038276"/>
        <n v="30528055.59612"/>
        <n v="-21162885"/>
        <n v="108436189.8"/>
        <n v="-112648.59980000043"/>
        <n v="1610731"/>
        <n v="-2926322"/>
        <n v="-13383001"/>
        <n v="573641"/>
        <n v="8408614"/>
        <n v="3946250"/>
        <n v="113078393"/>
        <n v="76694016"/>
        <n v="-5225998"/>
        <n v="-5262941"/>
        <n v="90736215"/>
        <n v="-24549473"/>
        <n v="30849949"/>
        <n v="-8359756"/>
        <n v="11365290"/>
        <n v="141487252"/>
        <n v="-8851518"/>
        <n v="14008532"/>
        <n v="24715804.8816"/>
        <n v="44735548"/>
        <n v="4871190"/>
        <n v="63074950"/>
        <n v="-19119074"/>
        <n v="12385520"/>
        <n v="207652016"/>
        <n v="75920472.195899993"/>
        <n v="-787706"/>
        <n v="4660527.918779999"/>
        <n v="-17404.383802406999"/>
        <n v="44882128"/>
        <n v="-19691019"/>
        <n v="7891000"/>
        <n v="35490000"/>
        <n v="44149837"/>
        <n v="5829534.5113999993"/>
        <n v="-4391771"/>
        <n v="-3019662"/>
        <n v="-1875506"/>
        <n v="7235293"/>
        <n v="3007527.2956500053"/>
        <n v="-2533006"/>
        <n v="-1800000"/>
        <n v="46269171"/>
        <n v="-518814"/>
        <n v="39571513"/>
        <n v="-24132361.821599998"/>
        <n v="2953908.3283999003"/>
        <n v="-6894032"/>
        <n v="156780960"/>
        <n v="117603"/>
        <n v="37744720"/>
        <n v="15185"/>
        <n v="-48816034"/>
        <n v="58136909"/>
        <n v="-419327.15005499998"/>
        <n v="-4851788"/>
        <n v="-5005196"/>
        <n v="67900000"/>
        <n v="-12863050"/>
        <n v="17981889"/>
        <n v="-9430929"/>
        <n v="-31105281.803160001"/>
        <n v="-895923"/>
        <n v="56917897"/>
        <n v="-14306109"/>
        <n v="9225165"/>
        <n v="-27102061.288999904"/>
        <n v="156074524"/>
        <n v="2588228"/>
        <n v="42618434"/>
        <n v="24870275"/>
        <n v="58476776"/>
        <n v="89861.369099998963"/>
        <n v="-19923562"/>
        <n v="25853424"/>
        <n v="-15998879"/>
        <n v="35990057"/>
        <n v="22499043"/>
        <n v="10470220"/>
        <n v="45012170"/>
        <n v="-672499"/>
        <n v="27852604"/>
        <n v="-41132306"/>
        <n v="43189440"/>
        <n v="1815748"/>
        <n v="-16682849"/>
        <n v="22569532"/>
        <n v="76491683"/>
        <n v="-6349262"/>
        <n v="62516709.258399993"/>
        <n v="19597131"/>
        <n v="-27059493"/>
        <n v="3257792"/>
        <n v="-12513862"/>
        <n v="5473600"/>
        <n v="-1304240"/>
        <n v="-61715541.290199906"/>
        <n v="-4988000"/>
        <n v="-13955468"/>
        <n v="-1084007.2009950001"/>
        <n v="-10665355"/>
        <n v="-1997564"/>
        <n v="7887882"/>
        <n v="-1217162"/>
        <n v="-16446167"/>
        <n v="25073808.062599998"/>
        <n v="-1190250.8357999995"/>
        <n v="6012734"/>
        <n v="-12247786"/>
        <n v="46126012"/>
        <n v="-348611"/>
        <n v="-46430496.567359999"/>
        <n v="11643008"/>
        <n v="-33795862"/>
        <n v="-7805622.3495999053"/>
        <n v="96936400"/>
        <n v="-7146360"/>
        <n v="16500000"/>
        <n v="6354736"/>
        <n v="6987757"/>
        <n v="33508510.313799903"/>
        <n v="106735396"/>
        <n v="-26800785"/>
        <n v="477523.372194"/>
        <n v="-8049706"/>
        <n v="-7696561"/>
        <n v="-23660367"/>
        <n v="-128624673"/>
        <n v="-18987439"/>
        <n v="15531634"/>
        <n v="-101879446"/>
        <n v="8503161"/>
        <n v="-16397429.905139998"/>
        <n v="-20001930"/>
        <n v="-5130675"/>
        <n v="62000082"/>
        <n v="-16008503"/>
        <n v="-10239263.742599908"/>
        <n v="2732062"/>
        <n v="10706119"/>
        <n v="-22528315"/>
        <n v="-13594629"/>
        <n v="17032279"/>
        <n v="-1734419"/>
        <n v="-2292073"/>
        <n v="45523073"/>
        <n v="84713132"/>
        <n v="-28437251"/>
        <n v="12318875"/>
        <n v="-2247069"/>
        <n v="8175394"/>
        <n v="-10241539"/>
        <n v="-6429473"/>
        <n v="33914986"/>
        <n v="-7422823.2581550004"/>
        <n v="65234139"/>
        <n v="47115211"/>
        <n v="23825798"/>
        <n v="-8337682"/>
        <n v="802119"/>
        <n v="-9252415"/>
        <n v="-6782889"/>
        <n v="5677801"/>
        <n v="-21080560"/>
        <n v="35006147"/>
        <n v="-3219004"/>
        <n v="-9382401"/>
        <n v="-33711680"/>
        <n v="-1141064"/>
        <n v="8792641"/>
        <n v="-18008428.261920001"/>
        <n v="13648142"/>
        <n v="-34226481"/>
        <n v="26848487.860199898"/>
        <n v="-279137.566864861"/>
        <n v="-532865.76381249004"/>
        <n v="212103873"/>
        <n v="-6666177"/>
        <n v="-4330587"/>
        <n v="3086584.7455998957"/>
        <n v="-1569841.7008089998"/>
        <n v="52282182"/>
        <n v="-18287436"/>
        <n v="7036404"/>
        <n v="-32098491"/>
        <n v="86600000"/>
        <n v="-26339924.610780001"/>
        <n v="-10120004"/>
        <n v="-3380827"/>
        <n v="272158751"/>
        <n v="49138076"/>
        <n v="137031035"/>
        <n v="-776336.61099999095"/>
        <n v="10684949"/>
        <n v="35168022"/>
        <n v="-21001676"/>
        <n v="2960089"/>
        <n v="57487711"/>
        <n v="-11004538.69062"/>
        <n v="-3437941"/>
        <n v="-3922954"/>
        <n v="10090181"/>
        <n v="-6814219"/>
        <n v="-4107462.3823799998"/>
        <n v="-43997807"/>
        <n v="-47185778.164199099"/>
        <n v="21799659.034399997"/>
        <n v="-11701351"/>
        <n v="360866"/>
        <n v="11536376"/>
        <n v="744858"/>
        <n v="-5246069"/>
        <n v="19219708"/>
        <n v="75300000"/>
        <n v="-77810499"/>
        <n v="-95308.43440529998"/>
        <n v="-8944066.4237999097"/>
        <n v="-36142013"/>
        <n v="11112916"/>
        <n v="250263"/>
        <n v="99455175"/>
        <n v="10283200"/>
        <n v="2481242"/>
        <n v="-2504713.1315700002"/>
        <n v="9141959"/>
        <n v="-6608826"/>
        <n v="-10241.753471400007"/>
        <n v="-10220716"/>
        <n v="-3401692"/>
        <n v="1178893"/>
        <n v="-23399089"/>
        <n v="-8743723"/>
        <n v="-1107418"/>
        <n v="-8102818"/>
        <n v="-18011004"/>
        <n v="-564312"/>
        <n v="-14290615"/>
        <n v="173377893"/>
        <n v="56435493"/>
        <n v="-31483987"/>
        <n v="-11491577"/>
        <n v="104007640"/>
        <n v="-10530693.8859"/>
        <n v="75213377"/>
        <n v="-8584258.1247000005"/>
        <n v="23338891"/>
        <n v="40950721"/>
        <n v="1920333"/>
        <n v="78500000"/>
        <n v="12057340"/>
        <n v="1157157"/>
        <n v="3099680"/>
        <n v="154436380"/>
        <n v="25188667"/>
        <n v="-4124326.8351600002"/>
        <n v="90900000"/>
        <n v="36023335"/>
        <n v="23432242.159620002"/>
        <n v="-11849597"/>
        <n v="-439443.13930415997"/>
        <n v="-43926768"/>
        <n v="15339117"/>
        <n v="-8368207.2046799995"/>
        <n v="39156435"/>
        <n v="30775468"/>
        <n v="-7975507.4604000002"/>
        <n v="2921130"/>
        <n v="35113959.489000008"/>
        <n v="19500000"/>
        <n v="44631572"/>
        <n v="-10822152.6765"/>
        <n v="95014030"/>
        <n v="-5884138"/>
        <n v="47570368"/>
        <n v="-4475146"/>
        <n v="4305922"/>
        <n v="5434867"/>
        <n v="-896553.88109999988"/>
        <n v="142645693"/>
        <n v="2817771"/>
        <n v="-9581.3996736030003"/>
        <n v="4114216.9160699993"/>
        <n v="27703470"/>
        <n v="28007332.51779991"/>
        <n v="-29643614"/>
        <n v="21300107"/>
        <n v="15764085"/>
        <n v="-8272644.1607999895"/>
        <n v="35200000"/>
        <n v="-33853591"/>
        <n v="13337608"/>
        <n v="-2055787"/>
        <n v="-2778191"/>
        <n v="-1642524"/>
        <n v="56448821"/>
        <n v="-11985384"/>
        <n v="11017403"/>
        <n v="-24222577"/>
        <n v="-8930592"/>
        <n v="2901781.1628970001"/>
        <n v="-2503905.3420000002"/>
        <n v="-4115185"/>
        <n v="51504069"/>
        <n v="161589580"/>
        <n v="11838002"/>
        <n v="-2784382.2248400003"/>
        <n v="24800000"/>
        <n v="-28979512"/>
        <n v="-30410125"/>
        <n v="-13436643"/>
        <n v="41182182"/>
        <n v="-2778986.7280799998"/>
        <n v="53200012"/>
        <n v="12768000"/>
        <n v="-8627841.8931600004"/>
        <n v="-85995841"/>
        <n v="5993605"/>
        <n v="-8216000"/>
        <n v="-1148562.01442501"/>
        <n v="6022940"/>
        <n v="-29449288"/>
        <n v="100965237"/>
        <n v="-87000000"/>
        <n v="20557989"/>
        <n v="-802.14169860002585"/>
        <n v="-1752218.7179999901"/>
        <n v="-7331001.5962199997"/>
        <n v="-32156953"/>
        <n v="-18236870"/>
        <n v="-28705620.926199906"/>
        <n v="8854588"/>
        <n v="31022333"/>
        <n v="42706877"/>
        <n v="-14250866"/>
        <n v="12071069"/>
        <n v="-5127357"/>
        <n v="3930939.3656999003"/>
        <n v="1560950"/>
        <n v="17622155.927670002"/>
        <n v="-43122835"/>
        <n v="-9708376"/>
        <n v="23028109"/>
        <n v="824921"/>
        <n v="14201636"/>
        <n v="-2789074.9562100004"/>
        <n v="-50180506"/>
        <n v="23874933"/>
        <n v="15990505"/>
        <n v="34218429"/>
        <n v="21867960"/>
        <n v="10859889"/>
        <n v="-1891482"/>
        <n v="-2471487.7146356897"/>
        <n v="1142507"/>
        <n v="14052167"/>
        <n v="-60918"/>
        <n v="22487293"/>
        <n v="20063926"/>
        <n v="-28834579"/>
        <n v="1679969"/>
        <n v="21045445"/>
        <n v="36505359.999999903"/>
        <n v="74120000"/>
        <n v="-4180151.8945200001"/>
        <n v="3413965.2165000001"/>
        <n v="10379238.660999909"/>
        <n v="-592.63715157000001"/>
        <n v="2814185"/>
        <n v="3156970"/>
        <n v="-4202093"/>
        <n v="59400000"/>
        <n v="-28342760"/>
        <n v="-32128886.6375999"/>
        <n v="28022524"/>
        <n v="33147445"/>
        <n v="47998368"/>
        <n v="9343976"/>
        <n v="-308.75192399999997"/>
        <n v="6201559"/>
        <n v="27200000"/>
        <n v="-13723190"/>
        <n v="-30517805"/>
        <n v="-55263886"/>
        <n v="20054909"/>
        <n v="-3583734.4754469204"/>
        <n v="-16737627.14868"/>
        <n v="189350219"/>
        <n v="-11011124"/>
        <n v="-16508088.5715"/>
        <n v="36362352"/>
        <n v="-62406609"/>
        <n v="-7997690"/>
        <n v="66336103"/>
        <n v="6523093.1485200003"/>
        <n v="-6479764.8980999999"/>
        <n v="4077697.1167799998"/>
        <n v="61739919"/>
        <n v="39461335"/>
        <n v="-1218321.2833704001"/>
        <n v="-24832370"/>
        <n v="-4797910"/>
        <n v="-3987164"/>
        <n v="156.71516157681498"/>
        <n v="16658108"/>
        <n v="4768918"/>
        <n v="23332128"/>
        <n v="-11945720"/>
        <n v="21131483"/>
        <n v="-2358468.8533650101"/>
        <n v="-16180557.35700001"/>
        <n v="20281096"/>
        <n v="-5218653.3029998997"/>
        <n v="-5964485"/>
        <n v="204793"/>
        <n v="69288182"/>
        <n v="16087637.411849998"/>
        <n v="-8840803.8089997973"/>
        <n v="-88062505"/>
        <n v="124052771"/>
        <n v="27645152"/>
        <n v="28500000"/>
        <n v="18337537"/>
        <n v="22657819"/>
        <n v="11006503"/>
        <n v="85014968"/>
        <n v="-104762"/>
        <n v="2265865.0559099899"/>
        <n v="17288314"/>
        <n v="-1573149"/>
        <n v="6526393"/>
        <n v="-52248021"/>
        <n v="53492685"/>
        <n v="12400000"/>
        <n v="58486414.682400003"/>
        <n v="191609762"/>
        <n v="-4875280"/>
        <n v="88495848"/>
        <n v="1095071.8984249998"/>
        <n v="-5724443"/>
        <n v="12117571"/>
        <n v="14020063"/>
        <n v="15501605"/>
        <n v="13082743"/>
        <n v="-37407175"/>
        <n v="1623749"/>
        <n v="-29462420"/>
        <n v="68636983"/>
        <n v="71204016"/>
        <n v="17529651.4978"/>
        <n v="-9702289.8800399993"/>
        <n v="-9441786"/>
        <n v="34886089"/>
        <n v="18416702"/>
        <n v="155585516"/>
        <n v="116900000"/>
        <n v="50418803"/>
        <n v="-2200996"/>
        <n v="11746550"/>
        <n v="-28696462.4511999"/>
        <n v="12058736.711264901"/>
        <n v="-52526755"/>
        <n v="80850"/>
        <n v="50835030"/>
        <n v="169437578"/>
        <n v="629984.95734176994"/>
        <n v="-69477903"/>
        <n v="-978790"/>
        <n v="121666058"/>
        <n v="42586544"/>
        <n v="2190525"/>
        <n v="-4588020"/>
        <n v="-19513094"/>
        <n v="77763837"/>
        <n v="-17462756.710999899"/>
        <n v="-2844228"/>
        <n v="21790248"/>
        <n v="5077977"/>
        <n v="4888703"/>
        <n v="-10493002"/>
        <n v="1819818.3999600001"/>
        <n v="-8276849.9896000009"/>
        <n v="3138210"/>
        <n v="-30162215.355599999"/>
        <n v="1373585"/>
        <n v="-8060559"/>
        <n v="-24592750"/>
        <n v="-10675256"/>
        <n v="-1516510"/>
        <n v="-33045595"/>
        <n v="101697350"/>
        <n v="-10110416.532"/>
        <n v="611615"/>
        <n v="16033759"/>
        <n v="20455802"/>
        <n v="32000000"/>
        <n v="114223000"/>
        <n v="22696902"/>
        <n v="-6616263"/>
        <n v="27170148.926999897"/>
        <n v="-6519321.9951674901"/>
        <n v="11161406"/>
        <n v="8396624"/>
        <n v="100722000"/>
        <n v="-11524335.9655999"/>
        <n v="-3439242.9742514906"/>
        <n v="-198218"/>
        <n v="58955790.061000004"/>
        <n v="-37083113"/>
        <n v="3472213"/>
        <n v="19143839"/>
        <n v="-14353446"/>
        <n v="2429000"/>
        <n v="8077470"/>
        <n v="480318"/>
        <n v="30163652"/>
        <n v="-30406260"/>
        <n v="4976634"/>
        <n v="20574010"/>
        <n v="28280963"/>
        <n v="174907418"/>
        <n v="-1305692"/>
        <n v="-2427657.8559999"/>
        <n v="4848292"/>
        <n v="35960517"/>
        <n v="140470114"/>
        <n v="-29346242"/>
        <n v="-10897090"/>
        <n v="-14318803"/>
        <n v="292049635"/>
        <n v="-24655608"/>
        <n v="23395701.652401"/>
        <n v="28200225"/>
        <n v="-27093851.452980001"/>
        <n v="-2690890.6537199989"/>
        <n v="-4029781.7013999997"/>
        <n v="-17174509"/>
        <n v="75502246"/>
        <n v="-35344410"/>
        <n v="76107476"/>
        <n v="15230261"/>
        <n v="201437"/>
        <n v="-3742998"/>
        <n v="-14360758"/>
        <n v="-5245102"/>
        <n v="-1476537"/>
        <n v="-17403744"/>
        <n v="-62902875"/>
        <n v="-37894825"/>
        <n v="-9314257.7675999105"/>
        <n v="-41457582"/>
        <n v="-6784690"/>
        <n v="18873374"/>
        <n v="-1047380"/>
        <n v="147825435"/>
        <n v="-18586498"/>
        <n v="8690000"/>
        <n v="-6198245"/>
        <n v="150619"/>
        <n v="656942"/>
        <n v="-57747655.454999"/>
        <n v="-467355"/>
        <n v="-26793078"/>
        <n v="62519230"/>
        <n v="-2182779.0980399996"/>
        <n v="214984497"/>
        <n v="15097652"/>
        <n v="82922376"/>
        <n v="-23450000"/>
        <n v="25672630"/>
        <n v="42698894"/>
        <n v="55001343"/>
        <n v="-42845460"/>
        <n v="-17918075"/>
        <n v="46472472.427600101"/>
        <n v="52282290.926819995"/>
        <n v="-24574208.703060001"/>
        <n v="-74679997"/>
        <n v="-30860678.862599902"/>
        <n v="-3900000"/>
        <n v="19999143"/>
        <n v="10685267"/>
        <n v="-1947834"/>
        <n v="21629916"/>
        <n v="111088910"/>
        <n v="11122105"/>
        <n v="-7601372"/>
        <n v="32951479"/>
        <n v="-501538.85671501001"/>
        <n v="1567924.4161200002"/>
        <n v="-953049"/>
        <n v="157326336"/>
        <n v="22981571"/>
        <n v="-20761389"/>
        <n v="-5983355.3319000006"/>
        <n v="15218903"/>
        <n v="36885587"/>
        <n v="3746915"/>
        <n v="31359959"/>
        <n v="79900000"/>
        <n v="149688385"/>
        <n v="31563819.841739997"/>
        <n v="-1539005"/>
        <n v="110071312"/>
        <n v="101340178"/>
        <n v="-8164216"/>
        <n v="-9352616"/>
        <n v="8311368"/>
        <n v="-5314873.2459694901"/>
        <n v="155965690"/>
        <n v="14474048"/>
        <n v="-19292673"/>
        <n v="1612029"/>
        <n v="7592632"/>
        <n v="155200000"/>
        <n v="300000"/>
        <n v="-21621647"/>
        <n v="111727000"/>
        <n v="-22505025"/>
        <n v="70422786"/>
        <n v="46759024.078800008"/>
        <n v="16276880.579459999"/>
        <n v="-5443993"/>
        <n v="111225040"/>
        <n v="65459099"/>
        <n v="-100000"/>
        <n v="800000"/>
        <n v="-11160617"/>
        <n v="-37566085"/>
        <n v="32225777"/>
        <n v="-15745400.611800101"/>
        <n v="-25641967"/>
        <n v="-7753805.1603600001"/>
        <n v="13750000"/>
        <n v="-2554354"/>
        <n v="-14930000"/>
        <n v="55343774"/>
        <n v="40367693"/>
        <n v="9133087"/>
        <n v="7563179"/>
        <n v="-112096768.58219899"/>
        <n v="36667870"/>
        <n v="-256653"/>
        <n v="8813366"/>
        <n v="2752475"/>
        <n v="13050028"/>
        <n v="-3556518"/>
        <n v="12351611"/>
        <n v="7568996"/>
        <n v="73760631"/>
        <n v="-40415114"/>
        <n v="15530513"/>
        <n v="-17847131.158399999"/>
        <n v="53952276"/>
        <n v="-17168879"/>
        <n v="12014289"/>
        <n v="35443237"/>
        <n v="6879556"/>
        <n v="-14015257"/>
        <n v="33385641.346259996"/>
        <n v="-9994439"/>
        <n v="-4829854"/>
        <n v="87775460"/>
        <n v="-9868383"/>
        <n v="16875468"/>
        <n v="-1506592.9173999911"/>
        <n v="-4663974.92419999"/>
        <n v="-477000"/>
        <n v="-50299935"/>
        <n v="-55705158"/>
        <n v="-1507034"/>
        <n v="247513913.09140003"/>
        <n v="-6526640"/>
        <n v="-19565399"/>
        <n v="-13847018.416912708"/>
        <n v="8578145"/>
        <n v="-13751523"/>
        <n v="-19799588"/>
        <n v="45625986"/>
        <n v="21604320"/>
        <n v="608797.30811999924"/>
        <n v="8413606"/>
        <n v="16986000"/>
        <n v="28929094.143199898"/>
        <n v="-62643910"/>
        <n v="-3017320"/>
        <n v="-8733979.3623999096"/>
        <n v="4658370"/>
        <n v="96968774"/>
        <n v="32614158"/>
        <n v="-1499297"/>
        <n v="-10571663.040999901"/>
        <n v="4579128.83268"/>
        <n v="136395380"/>
        <n v="172298923"/>
        <n v="-4016"/>
        <n v="-20041681"/>
        <n v="-40453472.527000099"/>
        <n v="-109244357"/>
        <n v="22991439"/>
        <n v="40184721"/>
        <n v="10069223.664960001"/>
        <n v="38000000"/>
        <n v="6901792.0542000085"/>
        <n v="40072596"/>
        <n v="101049130"/>
        <n v="42477326"/>
        <n v="74712885"/>
        <n v="-937520"/>
        <n v="20007180"/>
        <n v="-4515625"/>
        <n v="5584685"/>
        <n v="1676553"/>
        <n v="-29649103"/>
        <n v="44089219.999999896"/>
        <n v="17892374"/>
        <n v="4662109.9791075001"/>
        <n v="-7814734"/>
        <n v="95127415.232000083"/>
        <n v="79471845"/>
        <n v="-25622273"/>
        <n v="-8279703.8434800003"/>
        <n v="-10197239"/>
        <n v="-27877751"/>
        <n v="196565000"/>
        <n v="-56254592"/>
        <n v="9042266"/>
        <n v="417500"/>
        <n v="179948797.90380001"/>
        <n v="-12736331.913199998"/>
        <n v="118136719"/>
        <n v="-662982.32659999002"/>
        <n v="416136.68139990047"/>
        <n v="-5365542"/>
        <n v="10853835"/>
        <n v="12983713"/>
        <n v="-6408308.9985999092"/>
        <n v="38287363"/>
        <n v="50471320"/>
        <n v="15127963"/>
        <n v="-11895931"/>
        <n v="-9933445"/>
        <n v="-51827295.649080001"/>
        <n v="54125426"/>
        <n v="8821531"/>
        <n v="213551.225057039"/>
        <n v="-30619558"/>
        <n v="-24123329"/>
        <n v="-4527033"/>
        <n v="41217636.400000006"/>
        <n v="4703228"/>
        <n v="53656813"/>
        <n v="-5952000"/>
        <n v="924001.09740000032"/>
        <n v="-1642823.5181441901"/>
        <n v="103943"/>
        <n v="24651794"/>
        <n v="-10362510"/>
        <n v="21638292"/>
        <n v="-370875.39771331009"/>
        <n v="-21527150"/>
        <n v="-70481550.988499999"/>
        <n v="-147562"/>
        <n v="-113376.46422045999"/>
        <n v="-10625822"/>
        <n v="76088877"/>
        <n v="12675765"/>
        <n v="19362712"/>
        <n v="13420824.123399898"/>
        <n v="-40688818.983799897"/>
        <n v="-28206759.9813"/>
        <n v="2853933"/>
        <n v="-535874"/>
        <n v="116348400"/>
        <n v="-5180871"/>
        <n v="-18704226"/>
      </sharedItems>
    </cacheField>
    <cacheField name="movie_title1" numFmtId="0">
      <sharedItems count="3522">
        <s v="Escape from Planet Earth"/>
        <s v="Point Break"/>
        <s v="Miracle"/>
        <s v="A Fistful of Dollars"/>
        <s v="Frequency"/>
        <s v="Walking Tall"/>
        <s v="Pulp Fiction"/>
        <s v="Practical Magic"/>
        <s v="Ultraviolet"/>
        <s v="Malcolm X"/>
        <s v="Black Hawk Down"/>
        <s v="Lone Star"/>
        <s v="The Tourist"/>
        <s v="Luminarias"/>
        <s v="Urban Legends: Final Cut"/>
        <s v="Chasing Liberty"/>
        <s v="Twin Falls Idaho"/>
        <s v="Valley of the Heart's Delight"/>
        <s v="Lake Placid"/>
        <s v="John Q"/>
        <s v="The Pirate"/>
        <s v="Say It Isn't So"/>
        <s v="Hot Fuzz"/>
        <s v="The Mighty Macs"/>
        <s v="Police Academy"/>
        <s v="The Phantom"/>
        <s v="A Nightmare on Elm Street"/>
        <s v="Exiled"/>
        <s v="How Do You Know"/>
        <s v="Set It Off"/>
        <s v="Nurse Betty"/>
        <s v="White House Down"/>
        <s v="Batman Returns"/>
        <s v="Aliens"/>
        <s v="Killers"/>
        <s v="Bad Santa"/>
        <s v="Underworld"/>
        <s v="How to Lose Friends &amp; Alienate People"/>
        <s v="American Ninja 2: The Confrontation"/>
        <s v="Snow Flower and the Secret Fan"/>
        <s v="Knight and Day"/>
        <s v="The Slaughter Rule"/>
        <s v="Darkness"/>
        <s v="Adore"/>
        <s v="The Remains of the Day"/>
        <s v="Heartbreakers"/>
        <s v="Ghostbusters"/>
        <s v="The Real Cancun"/>
        <s v="Madagascar: Escape 2 Africa"/>
        <s v="The Twilight Saga: Eclipse"/>
        <s v="A Low Down Dirty Shame"/>
        <s v="Along Came a Spider"/>
        <s v="Dreamer: Inspired by a True Story"/>
        <s v="DragonHeart"/>
        <s v="The Other Guys"/>
        <s v="The Boy"/>
        <s v="My Big Fat Greek Wedding"/>
        <s v="Roger &amp; Me"/>
        <s v="Dreaming of Joseph Lees"/>
        <s v="Shrek the Third"/>
        <s v="The Visit"/>
        <s v="Disturbia"/>
        <s v="Ocean's Thirteen"/>
        <s v="Hamlet 2"/>
        <s v="The Singing Detective"/>
        <s v="Burlesque"/>
        <s v="The Ides of March"/>
        <s v="Dune"/>
        <s v="Hannah Montana: The Movie"/>
        <s v="The Chronicles of Narnia: Prince Caspian"/>
        <s v="Facing the Giants"/>
        <s v="The Equalizer"/>
        <s v="Flash of Genius"/>
        <s v="Detention of the Dead"/>
        <s v="Instinct"/>
        <s v="The Sound of Music"/>
        <s v="Love the Coopers"/>
        <s v="Scarface"/>
        <s v="Aliens vs. Predator: Requiem"/>
        <s v="Halloween: Resurrection"/>
        <s v="Good Boy!"/>
        <s v="10th &amp; Wolf"/>
        <s v="The Great Raid"/>
        <s v="The 6th Day"/>
        <s v="Looney Tunes: Back in Action"/>
        <s v="Song One"/>
        <s v="Solitary Man"/>
        <s v="The Mask of Zorro"/>
        <s v="A Dangerous Method"/>
        <s v="The Black Dahlia"/>
        <s v="Austin Powers: International Man of Mystery"/>
        <s v="The Claim"/>
        <s v="Dragonball: Evolution"/>
        <s v="Trees Lounge"/>
        <s v="Bad Lieutenant: Port of Call New Orleans"/>
        <s v="That Thing You Do!"/>
        <s v="Firewall"/>
        <s v="Rushmore"/>
        <s v="The Hunt for Red October"/>
        <s v="Hansel &amp; Gretel: Witch Hunters"/>
        <s v="Albino Alligator"/>
        <s v="Fighting Tommy Riley"/>
        <s v="The Mask"/>
        <s v="The House Bunny"/>
        <s v="Payback"/>
        <s v="The Jungle Book"/>
        <s v="Joyful Noise"/>
        <s v="Mr. Popper's Penguins"/>
        <s v="Cradle Will Rock"/>
        <s v="The Quiet American"/>
        <s v="City Island"/>
        <s v="Batman Forever"/>
        <s v="Mystic Pizza"/>
        <s v="Beowulf"/>
        <s v="The Last Legion"/>
        <s v="Shrek 2"/>
        <s v="My Best Friend's Wedding"/>
        <s v="Elizabethtown"/>
        <s v="The Imitation Game"/>
        <s v="The Station Agent"/>
        <s v="Sinister"/>
        <s v="March or Die"/>
        <s v="Murder by Numbers"/>
        <s v="G-Force"/>
        <s v="Gerry"/>
        <s v="The Guard"/>
        <s v="22 Jump Street"/>
        <s v="Maid in Manhattan"/>
        <s v="Bad Words"/>
        <s v="Taken 2"/>
        <s v="Breakdown"/>
        <s v="Little Nicky"/>
        <s v="The Visual Bible: The Gospel of John"/>
        <s v="Glory"/>
        <s v="The Abyss"/>
        <s v="Lethal Weapon 3"/>
        <s v="Indiana Jones and the Temple of Doom"/>
        <s v="Three Kings"/>
        <s v="Galaxy Quest"/>
        <s v="The Next Best Thing"/>
        <s v="AmÃ©lie"/>
        <s v="The Ant Bully"/>
        <s v="Snitch"/>
        <s v="Veer-Zaara"/>
        <s v="Dead Poets Society"/>
        <s v="Rock Star"/>
        <s v="War Horse"/>
        <s v="Northfork"/>
        <s v="Behind Enemy Lines"/>
        <s v="My Fellow Americans"/>
        <s v="Jade"/>
        <s v="Half Past Dead"/>
        <s v="The Limey"/>
        <s v="The King's Speech"/>
        <s v="The Art of War"/>
        <s v="Justin Bieber: Never Say Never"/>
        <s v="Monster House"/>
        <s v="The Faculty"/>
        <s v="The Red Violin"/>
        <s v="Center Stage"/>
        <s v="Amen."/>
        <s v="Son of the Mask"/>
        <s v="The Clan of the Cave Bear"/>
        <s v="Primary Colors"/>
        <s v="A Walk to Remember"/>
        <s v="Bringing Out the Dead"/>
        <s v="Stop-Loss"/>
        <s v="Reign Over Me"/>
        <s v="RoboCop"/>
        <s v="Divergent"/>
        <s v="Saving Private Ryan"/>
        <s v="The Rose"/>
        <s v="I Love Your Work"/>
        <s v="Double Take"/>
        <s v="G.I. Joe: Retaliation"/>
        <s v="Legends of Oz: Dorothy's Return"/>
        <s v="Flags of Our Fathers"/>
        <s v="The Last Castle"/>
        <s v="Escobar: Paradise Lost"/>
        <s v="The Expendables 3"/>
        <s v="Lady in White"/>
        <s v="Entrapment"/>
        <s v="Playing for Keeps"/>
        <s v="Caramel"/>
        <s v="Licence to Kill"/>
        <s v="Maleficent"/>
        <s v="The Matrix Reloaded"/>
        <s v="Ira &amp; Abby"/>
        <s v="Daddy's Home"/>
        <s v="Pearl Harbor"/>
        <s v="The Polar Express"/>
        <s v="Broken Arrow"/>
        <s v="Funny Games"/>
        <s v="Harsh Times"/>
        <s v="Brazil"/>
        <s v="The Last Station"/>
        <s v="White Fang"/>
        <s v="Jersey Girl"/>
        <s v="Drowning Mona"/>
        <s v="Ninja Assassin"/>
        <s v="The Artist"/>
        <s v="Sorority Boys"/>
        <s v="The Pacifier"/>
        <s v="Stomp the Yard"/>
        <s v="Poseidon"/>
        <s v="Nine"/>
        <s v="Lost in Translation"/>
        <s v="Doctor Dolittle"/>
        <s v="Run All Night"/>
        <s v="Hope Floats"/>
        <s v="Crocodile Dundee in Los Angeles"/>
        <s v="Anastasia"/>
        <s v="Jason Goes to Hell: The Final Friday"/>
        <s v="World Trade Center"/>
        <s v="Crazy, Stupid, Love."/>
        <s v="Stonewall"/>
        <s v="Man of the House"/>
        <s v="Real Steel"/>
        <s v="Mercy Streets"/>
        <s v="Not Another Teen Movie"/>
        <s v="The General's Daughter"/>
        <s v="Undercover Brother"/>
        <s v="The Living Wake"/>
        <s v="King Kong"/>
        <s v="Super Size Me"/>
        <s v="House Party 2"/>
        <s v="Mad City"/>
        <s v="Quarantine"/>
        <s v="Harry Potter and the Half-Blood Prince"/>
        <s v="The Village"/>
        <s v="The Lord of the Rings: The Two Towers"/>
        <s v="Warlock"/>
        <s v="Summer Storm"/>
        <s v="A Very Long Engagement"/>
        <s v="I Can Do Bad All by Myself"/>
        <s v="It's Kind of a Funny Story"/>
        <s v="Birthday Girl"/>
        <s v="Chairman of the Board"/>
        <s v="Bad Grandpa"/>
        <s v="The Brass Teapot"/>
        <s v="Whatever It Takes"/>
        <s v="At First Sight"/>
        <s v="Freeheld"/>
        <s v="Taxi to the Dark Side"/>
        <s v="Brothers"/>
        <s v="The Flintstones in Viva Rock Vegas"/>
        <s v="Die Hard 2"/>
        <s v="Gremlins"/>
        <s v="One Man's Hero"/>
        <s v="The Counselor"/>
        <s v="Speed 2: Cruise Control"/>
        <s v="Mission: Impossible - Rogue Nation"/>
        <s v="Independence Day: Resurgence"/>
        <s v="Land of the Lost"/>
        <s v="Cinderella Man"/>
        <s v="You Got Served"/>
        <s v="The Hills Have Eyes II"/>
        <s v="Fantastic Mr. Fox"/>
        <s v="Far from Heaven"/>
        <s v="The Chronicles of Riddick"/>
        <s v="I Got the Hook Up"/>
        <s v="The Longest Yard"/>
        <s v="Legion"/>
        <s v="The Order"/>
        <s v="Delivery Man"/>
        <s v="Mulan"/>
        <s v="Bill &amp; Ted's Bogus Journey"/>
        <s v="The Lovely Bones"/>
        <s v="Jack Reacher"/>
        <s v="Johnson Family Vacation"/>
        <s v="Get Hard"/>
        <s v="Sense and Sensibility"/>
        <s v="Pinocchio"/>
        <s v="Little Miss Sunshine"/>
        <s v="Home"/>
        <s v="Dumb &amp; Dumber"/>
        <s v="Sahara"/>
        <s v="Fun Size"/>
        <s v="Compadres"/>
        <s v="Keanu"/>
        <s v="Death Becomes Her"/>
        <s v="Confidence"/>
        <s v="Bogus"/>
        <s v="The Sixth Sense"/>
        <s v="The Astronaut's Wife"/>
        <s v="Child's Play"/>
        <s v="Finding Forrester"/>
        <s v="The Hammer"/>
        <s v="Batman &amp; Robin"/>
        <s v="In Good Company"/>
        <s v="The Golden Compass"/>
        <s v="The Basket"/>
        <s v="Action Jackson"/>
        <s v="Everything Must Go"/>
        <s v="The Shadow"/>
        <s v="People I Know"/>
        <s v="Cloudy with a Chance of Meatballs 2"/>
        <s v="Diamonds Are Forever"/>
        <s v="Star Wars: Episode IV - A New Hope"/>
        <s v="Tristram Shandy: A Cock and Bull Story"/>
        <s v="Stealth"/>
        <s v="Big Mommas: Like Father, Like Son"/>
        <s v="Absolute Power"/>
        <s v="Things We Lost in the Fire"/>
        <s v="One for the Money"/>
        <s v="The Cold Light of Day"/>
        <s v="Honey"/>
        <s v="The Usual Suspects"/>
        <s v="War of the Worlds"/>
        <s v="Invaders from Mars"/>
        <s v="Tinker Tailor Soldier Spy"/>
        <s v="Woo"/>
        <s v="Everybody's Fine"/>
        <s v="It's a Mad, Mad, Mad, Mad World"/>
        <s v="Owning Mahowny"/>
        <s v="Sleepover"/>
        <s v="Spider-Man 3"/>
        <s v="Inception"/>
        <s v="Tarnation"/>
        <s v="Lights Out"/>
        <s v="The Legend of Hercules"/>
        <s v="Renaissance"/>
        <s v="Mission: Impossible III"/>
        <s v="Just Looking"/>
        <s v="The Maze Runner"/>
        <s v="What Happens in Vegas"/>
        <s v="Time to Choose"/>
        <s v="Teenage Mutant Ninja Turtles"/>
        <s v="Waterworld"/>
        <s v="South Park: Bigger Longer &amp; Uncut"/>
        <s v="White Squall"/>
        <s v="Rock of Ages"/>
        <s v="Battle Los Angeles"/>
        <s v="The Spy Who Loved Me"/>
        <s v="Firefox"/>
        <s v="Gosford Park"/>
        <s v="Two Weeks Notice"/>
        <s v="Hart's War"/>
        <s v="Fight Club"/>
        <s v="Tremors"/>
        <s v="American Dreamz"/>
        <s v="The Kid"/>
        <s v="In the Heart of the Sea"/>
        <s v="The Switch"/>
        <s v="The Patriot"/>
        <s v="MoliÃ¨re"/>
        <s v="The Nutty Professor"/>
        <s v="Stuck on You"/>
        <s v="Anatomy"/>
        <s v="Shadow of the Vampire"/>
        <s v="I Still Know What You Did Last Summer"/>
        <s v="Hellboy"/>
        <s v="Operation Chromite"/>
        <s v="Kingdom of Heaven"/>
        <s v="The Bank Job"/>
        <s v="Simon Birch"/>
        <s v="Shakespeare in Love"/>
        <s v="Winter's Bone"/>
        <s v="Monkeybone"/>
        <s v="Elektra"/>
        <s v="Going the Distance"/>
        <s v="The Magic Sword: Quest for Camelot"/>
        <s v="Ghost Rider"/>
        <s v="Finding Neverland"/>
        <s v="My Name Is Bruce"/>
        <s v="Mi America"/>
        <s v="The Next Three Days"/>
        <s v="Pirates of the Caribbean: The Curse of the Black Pearl"/>
        <s v="Akira"/>
        <s v="Fantastic Four"/>
        <s v="A Man Apart"/>
        <s v="Casino Royale"/>
        <s v="Volcano"/>
        <s v="QuinceaÃ±era"/>
        <s v="Cradle 2 the Grave"/>
        <s v="Charlie's Angels: Full Throttle"/>
        <s v="The Unborn"/>
        <s v="Close Encounters of the Third Kind"/>
        <s v="Run Lola Run"/>
        <s v="Hail, Caesar!"/>
        <s v="Little Women"/>
        <s v="Wish I Was Here"/>
        <s v="The Texas Chainsaw Massacre: The Beginning"/>
        <s v="In &amp; Out"/>
        <s v="Impostor"/>
        <s v="A Good Year"/>
        <s v="Buffalo '66"/>
        <s v="Surfer, Dude"/>
        <s v="The Brothers Grimm"/>
        <s v="Lucky Break"/>
        <s v="The Princess and the Cobbler"/>
        <s v="Sugar Town"/>
        <s v="Deterrence"/>
        <s v="Devil's Due"/>
        <s v="Avengers: Age of Ultron"/>
        <s v="Legend"/>
        <s v="The Tigger Movie"/>
        <s v="Friday the 13th Part VII: The New Blood"/>
        <s v="Sweet Sweetback's Baadasssss Song"/>
        <s v="In Her Line of Fire"/>
        <s v="Escape from New York"/>
        <s v="The Outsiders"/>
        <s v="Gangs of New York"/>
        <s v="No Good Deed"/>
        <s v="Deuces Wild"/>
        <s v="Survival of the Dead"/>
        <s v="East Is East"/>
        <s v="Eight Below"/>
        <s v="Along Came Polly"/>
        <s v="Pompeii"/>
        <s v="Million Dollar Arm"/>
        <s v="The Revenant"/>
        <s v="Sky Captain and the World of Tomorrow"/>
        <s v="Jane Got a Gun"/>
        <s v="Rendition"/>
        <s v="The World's End"/>
        <s v="Mr. Peabody &amp; Sherman"/>
        <s v="Ouija"/>
        <s v="Morning Glory"/>
        <s v="Once in a Lifetime: The Extraordinary Story of the New York Cosmos"/>
        <s v="The Karate Kid"/>
        <s v="Moms' Night Out"/>
        <s v="Gamer"/>
        <s v="Vacation"/>
        <s v="Midnight in Paris"/>
        <s v="Almost Famous"/>
        <s v="My Stepmother Is an Alien"/>
        <s v="Nicholas Nickleby"/>
        <s v="Getaway"/>
        <s v="The Good, the Bad, the Weird"/>
        <s v="Diner"/>
        <s v="The Rocker"/>
        <s v="Snake Eyes"/>
        <s v="Catch Me If You Can"/>
        <s v="I Heart Huckabees"/>
        <s v="The Kids Are All Right"/>
        <s v="The Legend of Drunken Master"/>
        <s v="Act of Valor"/>
        <s v="Fido"/>
        <s v="Multiplicity"/>
        <s v="Mr. Holland's Opus"/>
        <s v="50 First Dates"/>
        <s v="Four Weddings and a Funeral"/>
        <s v="Mandela: Long Walk to Freedom"/>
        <s v="Ice Age: Continental Drift"/>
        <s v="The Horse Whisperer"/>
        <s v="Man of the Year"/>
        <s v="Chloe"/>
        <s v="Cats &amp; Dogs"/>
        <s v="Welcome to the Dollhouse"/>
        <s v="DOA: Dead or Alive"/>
        <s v="The Mummy: Tomb of the Dragon Emperor"/>
        <s v="Lost Souls"/>
        <s v="Topsy-Turvy"/>
        <s v="Role Models"/>
        <s v="Down in the Valley"/>
        <s v="Yogi Bear"/>
        <s v="Eight Legged Freaks"/>
        <s v="The Transporter Refueled"/>
        <s v="Rush Hour 2"/>
        <s v="Timeline"/>
        <s v="Stuart Little"/>
        <s v="Hudson Hawk"/>
        <s v="Erin Brockovich"/>
        <s v="Ghost World"/>
        <s v="Urban Legend"/>
        <s v="El crimen del padre Amaro"/>
        <s v="The Messenger: The Story of Joan of Arc"/>
        <s v="Spider"/>
        <s v="Failure to Launch"/>
        <s v="Apollo 18"/>
        <s v="The Master of Disguise"/>
        <s v="Superhero Movie"/>
        <s v="Ed Wood"/>
        <s v="Jurassic Park"/>
        <s v="The Hebrew Hammer"/>
        <s v="Superman"/>
        <s v="Con Air"/>
        <s v="Top Hat"/>
        <s v="The Hours"/>
        <s v="Crank: High Voltage"/>
        <s v="Mortdecai"/>
        <s v="Mamma Mia!"/>
        <s v="Snakes on a Plane"/>
        <s v="Dirty Work"/>
        <s v="Dave Chappelle's Block Party"/>
        <s v="Evan Almighty"/>
        <s v="Panic Room"/>
        <s v="How High"/>
        <s v="Night at the Museum"/>
        <s v="The Untouchables"/>
        <s v="Thinner"/>
        <s v="Hoffa"/>
        <s v="I Dreamed of Africa"/>
        <s v="50/50"/>
        <s v="My Boss's Daughter"/>
        <s v="Bad Company"/>
        <s v="The Widow of Saint-Pierre"/>
        <s v="The Gambler"/>
        <s v="Hot Pursuit"/>
        <s v="The Perks of Being a Wallflower"/>
        <s v="Rosewater"/>
        <s v="Requiem for a Dream"/>
        <s v="Cecil B. DeMented"/>
        <s v="Seven Psychopaths"/>
        <s v="Penguins of Madagascar"/>
        <s v="Hostage"/>
        <s v="Jaws: The Revenge"/>
        <s v="The Wendell Baker Story"/>
        <s v="The Watch"/>
        <s v="A Night at the Roxbury"/>
        <s v="The Sting"/>
        <s v="Dances with Wolves"/>
        <s v="The Santa Clause"/>
        <s v="The Amazing Spider-Man"/>
        <s v="The Devil's Double"/>
        <s v="The Importance of Being Earnest"/>
        <s v="The Muppets"/>
        <s v="My Girl"/>
        <s v="The Rock"/>
        <s v="Dream with the Fishes"/>
        <s v="The Sisterhood of the Traveling Pants"/>
        <s v="Now You See Me 2"/>
        <s v="Grown Ups 2"/>
        <s v="Star Trek"/>
        <s v="Super"/>
        <s v="Universal Soldier: The Return"/>
        <s v="2012"/>
        <s v="The Truman Show"/>
        <s v="Tea with Mussolini"/>
        <s v="Step Brothers"/>
        <s v="Babylon A.D."/>
        <s v="Indiana Jones and the Last Crusade"/>
        <s v="Courage"/>
        <s v="Underworld: Rise of the Lycans"/>
        <s v="Lucky Numbers"/>
        <s v="Doomsday"/>
        <s v="The Dark Knight Rise"/>
        <s v="Brokedown Palace"/>
        <s v="The Fifth Element"/>
        <s v="The Departed"/>
        <s v="Amores Perros"/>
        <s v="Straight Outta Compton"/>
        <s v="Astro Boy"/>
        <s v="The Lord of the Rings: The Fellowship of the Ring"/>
        <s v="Opal Dream"/>
        <s v="My Big Fat Greek Wedding 2"/>
        <s v="The Box"/>
        <s v="Exit Wounds"/>
        <s v="Metropolitan"/>
        <s v="Chronicle"/>
        <s v="Big Momma's House"/>
        <s v="The Cable Guy"/>
        <s v="Gridiron Gang"/>
        <s v="Stigmata"/>
        <s v="Jab Tak Hai Jaan"/>
        <s v="Eye of the Beholder"/>
        <s v="Apocalypse Now"/>
        <s v="Curious George"/>
        <s v="The Ice Storm"/>
        <s v="Sabotage"/>
        <s v="The Secret in Their Eyes"/>
        <s v="Copying Beethoven"/>
        <s v="Domestic Disturbance"/>
        <s v="Across the Universe"/>
        <s v="Footloose"/>
        <s v="Casper"/>
        <s v="Doogal"/>
        <s v="Fool's Gold"/>
        <s v="Gangster Squad"/>
        <s v="Be Kind Rewind"/>
        <s v="Diary of a Wimpy Kid"/>
        <s v="Lethal Weapon 4"/>
        <s v="The Joneses"/>
        <s v="Guardians of the Galaxy"/>
        <s v="Wonderland"/>
        <s v="Air Force One"/>
        <s v="A Bug's Life"/>
        <s v="Precious"/>
        <s v="Gremlins 2: The New Batch"/>
        <s v="Earth to Echo"/>
        <s v="Samsara"/>
        <s v="The Dictator"/>
        <s v="May"/>
        <s v="Faster"/>
        <s v="Groundhog Day"/>
        <s v="No End in Sight"/>
        <s v="Abduction"/>
        <s v="The Merchant of Venice"/>
        <s v="Good Bye Lenin!"/>
        <s v="Pulse"/>
        <s v="Arachnophobia"/>
        <s v="A Guy Thing"/>
        <s v="Me, Myself &amp; Irene"/>
        <s v="Clockstoppers"/>
        <s v="Assault on Precinct 13"/>
        <s v="The Son of No One"/>
        <s v="Ice Age: Dawn of the Dinosaurs"/>
        <s v="Killing Zoe"/>
        <s v="RED"/>
        <s v="Bucky Larson: Born to Be a Star"/>
        <s v="The Adventures of Huck Finn"/>
        <s v="Under the Tuscan Sun"/>
        <s v="The Interpreter"/>
        <s v="Begin Again"/>
        <s v="The Deep End of the Ocean"/>
        <s v="Soul Survivors"/>
        <s v="Jason Bourne"/>
        <s v="The Craft"/>
        <s v="We Are Marshall"/>
        <s v="Cars 2"/>
        <s v="2001: A Space Odyssey"/>
        <s v="Benji"/>
        <s v="High Fidelity"/>
        <s v="The Fountain"/>
        <s v="Bridget Jones: The Edge of Reason"/>
        <s v="Alien: Resurrection"/>
        <s v="Soldier"/>
        <s v="Extremely Loud &amp; Incredibly Close"/>
        <s v="Jindabyne"/>
        <s v="Up"/>
        <s v="Captain Phillips"/>
        <s v="De-Lovely"/>
        <s v="Scrooged"/>
        <s v="Middle of Nowhere"/>
        <s v="The Devil Inside"/>
        <s v="Transsiberian"/>
        <s v="R.I.P.D."/>
        <s v="Book of Shadows: Blair Witch 2"/>
        <s v="Monsters"/>
        <s v="The Mighty Ducks"/>
        <s v="A Hard Day's Night"/>
        <s v="New York Minute"/>
        <s v="Warcraft"/>
        <s v="Driving Miss Daisy"/>
        <s v="Secondhand Lions"/>
        <s v="Remember Me"/>
        <s v="Hope Springs"/>
        <s v="Perfume: The Story of a Murderer"/>
        <s v="Jefferson in Paris"/>
        <s v="Pan"/>
        <s v="Fun with Dick and Jane"/>
        <s v="True Romance"/>
        <s v="Nightcrawler"/>
        <s v="Savages"/>
        <s v="Sweet Home Alabama"/>
        <s v="The Prophecy"/>
        <s v="Shattered Glass"/>
        <s v="The Circle"/>
        <s v="Daylight"/>
        <s v="Kindergarten Cop"/>
        <s v="The Replacement Killers"/>
        <s v="Predators"/>
        <s v="The Sorcerer's Apprentice"/>
        <s v="The DUFF"/>
        <s v="Baby Boy"/>
        <s v="Over the Hill to the Poorhouse"/>
        <s v="Death Race"/>
        <s v="The Adventures of Rocky &amp; Bullwinkle"/>
        <s v="Love Happens"/>
        <s v="Megaforce"/>
        <s v="Side Effects"/>
        <s v="Clay Pigeons"/>
        <s v="The 5th Wave"/>
        <s v="The Secret of Kells"/>
        <s v="Hotel Rwanda"/>
        <s v="Larry the Cable Guy: Health Inspector"/>
        <s v="Murderball"/>
        <s v="The Incredible Burt Wonderstone"/>
        <s v="Once"/>
        <s v="Dazed and Confused"/>
        <s v="Supernova"/>
        <s v="Terminator 3: Rise of the Machines"/>
        <s v="The Prince of Tides"/>
        <s v="The Living Daylights"/>
        <s v="The Mexican"/>
        <s v="Philadelphia"/>
        <s v="There's Something About Mary"/>
        <s v="Gods of Egypt"/>
        <s v="Elizabeth"/>
        <s v="The SpongeBob SquarePants Movie"/>
        <s v="Saved!"/>
        <s v="Miracles from Heaven"/>
        <s v="The Railway Man"/>
        <s v="Minority Report"/>
        <s v="Tora! Tora! Tora!"/>
        <s v="Blue Streak"/>
        <s v="Alvin and the Chipmunks: The Squeakquel"/>
        <s v="Monty Python and the Holy Grail"/>
        <s v="Peeples"/>
        <s v="Boat Trip"/>
        <s v="The Secret Life of Walter Mitty"/>
        <s v="Letters to God"/>
        <s v="Public Enemies"/>
        <s v="Raging Bull"/>
        <s v="The Beyond"/>
        <s v="My Life Without Me"/>
        <s v="Spanglish"/>
        <s v="The Fast and the Furious"/>
        <s v="Parker"/>
        <s v="Because of Winn-Dixie"/>
        <s v="21"/>
        <s v="Pirates of the Caribbean: Dead Man's Chest"/>
        <s v="Platoon"/>
        <s v="Moneyball"/>
        <s v="Big Fat Liar"/>
        <s v="The Sweeney"/>
        <s v="Men in Black 3"/>
        <s v="Wreck-It Ralph"/>
        <s v="Spaced Invaders"/>
        <s v="Movie 43"/>
        <s v="Kick-Ass"/>
        <s v="About Schmidt"/>
        <s v="The Lawnmower Man"/>
        <s v="Dracula 2000"/>
        <s v="Grindhouse"/>
        <s v="Delgo"/>
        <s v="Duplex"/>
        <s v="Hotel Transylvania"/>
        <s v="Dope"/>
        <s v="Tango"/>
        <s v="A Walk on the Moon"/>
        <s v="Mambo Italiano"/>
        <s v="Jakob the Liar"/>
        <s v="Contraband"/>
        <s v="Desert Blue"/>
        <s v="The Tempest"/>
        <s v="Monsters University"/>
        <s v="Oz the Great and Powerful"/>
        <s v="Vampires"/>
        <s v="The Knife of Don Juan"/>
        <s v="A Most Wanted Man"/>
        <s v="Woodstock"/>
        <s v="The Color Purple"/>
        <s v="Hollow Man"/>
        <s v="Alice Through the Looking Glass"/>
        <s v="Inside Llewyn Davis"/>
        <s v="Brooklyn's Finest"/>
        <s v="PCU"/>
        <s v="Jersey Boys"/>
        <s v="A Simple Wish"/>
        <s v="A View to a Kill"/>
        <s v="Psycho"/>
        <s v="The Way of the Gun"/>
        <s v="Dreamcatcher"/>
        <s v="Good Night, and Good Luck."/>
        <s v="Katy Perry: Part of Me"/>
        <s v="The Chumscrubber"/>
        <s v="Final Fantasy: The Spirits Within"/>
        <s v="Dredd"/>
        <s v="Clash of the Titans"/>
        <s v="Paul"/>
        <s v="A Madea Christmas"/>
        <s v="L'auberge espagnole"/>
        <s v="xXx: State of the Union"/>
        <s v="Buried"/>
        <s v="The Judge"/>
        <s v="10 Things I Hate About You"/>
        <s v="L!fe Happens"/>
        <s v="Happy Christmas"/>
        <s v="Paranormal Activity: The Marked Ones"/>
        <s v="The Oogieloves in the Big Balloon Adventure"/>
        <s v="Annie"/>
        <s v="Cheaper by the Dozen"/>
        <s v="The White Countess"/>
        <s v="Terminator Genisys"/>
        <s v="Win a Date with Tad Hamilton!"/>
        <s v="Alice in Wonderland"/>
        <s v="The Second Mother"/>
        <s v="Monster-in-Law"/>
        <s v="Sparkle"/>
        <s v="They Live"/>
        <s v="Southland Tales"/>
        <s v="Sling Blade"/>
        <s v="The Lives of Others"/>
        <s v="London"/>
        <s v="The Hunger Games"/>
        <s v="Poetic Justice"/>
        <s v="Funny People"/>
        <s v="Tank Girl"/>
        <s v="Catch That Kid"/>
        <s v="The Perfect Game"/>
        <s v="Torque"/>
        <s v="Speed"/>
        <s v="Little Black Book"/>
        <s v="Battle of the Year"/>
        <s v="Concussion"/>
        <s v="K-PAX"/>
        <s v="The Cave"/>
        <s v="Redbelt"/>
        <s v="Alexander"/>
        <s v="Team America: World Police"/>
        <s v="Guess Who"/>
        <s v="Home Alone"/>
        <s v="Pet Sematary"/>
        <s v="Last Action Hero"/>
        <s v="Rugrats Go Wild"/>
        <s v="Evil Dead II"/>
        <s v="Dallas Buyers Club"/>
        <s v="Lilo &amp; Stitch"/>
        <s v="Amour"/>
        <s v="La Bamba"/>
        <s v="An Everlasting Piece"/>
        <s v="All the Pretty Horses"/>
        <s v="Big Trouble"/>
        <s v="Drive Me Crazy"/>
        <s v="Bottle Rocket"/>
        <s v="The Night Listener"/>
        <s v="Bolt"/>
        <s v="Bottle Shock"/>
        <s v="Head Over Heels"/>
        <s v="The Covenant"/>
        <s v="Before Sunset"/>
        <s v="Little Fockers"/>
        <s v="The Haunting of Molly Hartley"/>
        <s v="School for Scoundrels"/>
        <s v="Sweet November"/>
        <s v="Get on the Bus"/>
        <s v="The Croods"/>
        <s v="Donnie Darko"/>
        <s v="Blood Diamond"/>
        <s v="Flightplan"/>
        <s v="Old School"/>
        <s v="Mortal Kombat: Annihilation"/>
        <s v="The Jungle Book 2"/>
        <s v="Jaws"/>
        <s v="Conan the Barbarian"/>
        <s v="The Virgin Suicides"/>
        <s v="Dogma"/>
        <s v="Jeepers Creepers II"/>
        <s v="Killing Them Softly"/>
        <s v="27 Dresses"/>
        <s v="Les visiteurs"/>
        <s v="Little Boy"/>
        <s v="Charlie Wilson's War"/>
        <s v="The Proposal"/>
        <s v="As Good as It Gets"/>
        <s v="The Devil's Rejects"/>
        <s v="Capote"/>
        <s v="I Love You Phillip Morris"/>
        <s v="Heaven's Gate"/>
        <s v="Welcome Home, Roscoe Jenkins"/>
        <s v="The Sweetest Thing"/>
        <s v="Mission to Mars"/>
        <s v="Next Friday"/>
        <s v="Water for Elephants"/>
        <s v="The Man"/>
        <s v="Mr. Deeds"/>
        <s v="West Side Story"/>
        <s v="Into the Storm"/>
        <s v="8 Mile"/>
        <s v="The Girl with the Dragon Tattoo"/>
        <s v="Sherlock Holmes"/>
        <s v="Young Adult"/>
        <s v="Mo' Better Blues"/>
        <s v="The Pink Panther"/>
        <s v="The Purge"/>
        <s v="Much Ado About Nothing"/>
        <s v="Poltergeist III"/>
        <s v="The Last Sin Eater"/>
        <s v="This Christmas"/>
        <s v="The Other Woman"/>
        <s v="Death to Smoochy"/>
        <s v="The Island of Dr. Moreau"/>
        <s v="Proof of Life"/>
        <s v="Recess: School's Out"/>
        <s v="The Good Heart"/>
        <s v="The Walk"/>
        <s v="From Russia with Love"/>
        <s v="Woman on Top"/>
        <s v="Miss Congeniality"/>
        <s v="Red Tails"/>
        <s v="City of Angels"/>
        <s v="Crouching Tiger, Hidden Dragon"/>
        <s v="The 40-Year-Old Virgin"/>
        <s v="The Other Dream Team"/>
        <s v="Johnny English Reborn"/>
        <s v="The 13th Warrior"/>
        <s v="St. Vincent"/>
        <s v="Texas Rangers"/>
        <s v="Scream"/>
        <s v="Chicken Run"/>
        <s v="Goosebumps"/>
        <s v="Get on Up"/>
        <s v="Fiza"/>
        <s v="Paranormal Activity 3"/>
        <s v="Inspector Gadget"/>
        <s v="Half Baked"/>
        <s v="Free Birds"/>
        <s v="Me and You and Everyone We Know"/>
        <s v="Big Miracle"/>
        <s v="The Last Dragon"/>
        <s v="Wyatt Earp"/>
        <s v="Clerks II"/>
        <s v="Smiling Fish &amp; Goat on Fire"/>
        <s v="Interview with the Assassin"/>
        <s v="The Hateful Eight"/>
        <s v="The Conspirator"/>
        <s v="Outbreak"/>
        <s v="Stone Cold"/>
        <s v="Osmosis Jones"/>
        <s v="Left Behind"/>
        <s v="The Bounty Hunter"/>
        <s v="Hellboy II: The Golden Army"/>
        <s v="Crooklyn"/>
        <s v="Baby Mama"/>
        <s v="The Hurricane"/>
        <s v="Shanghai Surprise"/>
        <s v="Independence Day"/>
        <s v="Flicka"/>
        <s v="Pooh's Heffalump Movie"/>
        <s v="Lord of War"/>
        <s v="Jonah: A VeggieTales Movie"/>
        <s v="Top Gun"/>
        <s v="Unknown"/>
        <s v="Happy Gilmore"/>
        <s v="Mindhunters"/>
        <s v="Michael Collins"/>
        <s v="Imagine Me &amp; You"/>
        <s v="102 Dalmatians"/>
        <s v="Jurassic World"/>
        <s v="Random Hearts"/>
        <s v="One True Thing"/>
        <s v="Madea's Family Reunion"/>
        <s v="The Best Years of Our Lives"/>
        <s v="Law Abiding Citizen"/>
        <s v="Deuce Bigalow: European Gigolo"/>
        <s v="America's Sweethearts"/>
        <s v="Oceans"/>
        <s v="15 Minutes"/>
        <s v="Zoom"/>
        <s v="Ted 2"/>
        <s v="3:10 to Yuma"/>
        <s v="The Pledge"/>
        <s v="Runner Runner"/>
        <s v="Swing Vote"/>
        <s v="Dear John"/>
        <s v="Silverado"/>
        <s v="Mortal Kombat"/>
        <s v="The Last House on the Left"/>
        <s v="Sorority Row"/>
        <s v="The Extra Man"/>
        <s v="The Grudge"/>
        <s v="Halloween II"/>
        <s v="88 Minutes"/>
        <s v="Brother"/>
        <s v="Doug's 1st Movie"/>
        <s v="Envy"/>
        <s v="8 Women"/>
        <s v="Percy Jackson &amp; the Olympians: The Lightning Thief"/>
        <s v="Snow Day"/>
        <s v="Gladiator"/>
        <s v="Flight of the Phoenix"/>
        <s v="A Sound of Thunder"/>
        <s v="Event Horizon"/>
        <s v="The Perfect Man"/>
        <s v="Crimson Tide"/>
        <s v="Seventh Son"/>
        <s v="When Did You Last See Your Father?"/>
        <s v="Hot Tub Time Machine 2"/>
        <s v="Spider-Man"/>
        <s v="Glitter"/>
        <s v="A Nightmare on Elm Street 3: Dream Warriors"/>
        <s v="Swept Away"/>
        <s v="Marmaduke"/>
        <s v="Dickie Roberts: Former Child Star"/>
        <s v="A Perfect Getaway"/>
        <s v="Thumbsucker"/>
        <s v="Kids"/>
        <s v="Back to the Future Part III"/>
        <s v="Indiana Jones and the Kingdom of the Crystal Skull"/>
        <s v="The Manchurian Candidate"/>
        <s v="Robot &amp; Frank"/>
        <s v="Babe"/>
        <s v="The Brothers"/>
        <s v="Last Vegas"/>
        <s v="Nanny McPhee Returns"/>
        <s v="Thunder and the House of Magic"/>
        <s v="Breakfast of Champions"/>
        <s v="Elizabeth: The Golden Age"/>
        <s v="Fateless"/>
        <s v="Cast Away"/>
        <s v="Vantage Point"/>
        <s v="Planet of the Apes"/>
        <s v="Two Evil Eyes"/>
        <s v="The Spiderwick Chronicles"/>
        <s v="The Majestic"/>
        <s v="Enemy at the Gates"/>
        <s v="New in Town"/>
        <s v="Hoodwinked Too! Hood vs. Evil"/>
        <s v="American Gangster"/>
        <s v="Jonah Hex"/>
        <s v="Poltergeist"/>
        <s v="Crash"/>
        <s v="Tusk"/>
        <s v="In the Name of the King: A Dungeon Siege Tale"/>
        <s v="Scream 2"/>
        <s v="Small Soldiers"/>
        <s v="The Monuments Men"/>
        <s v="Richard III"/>
        <s v="McFarland, USA"/>
        <s v="Blindness"/>
        <s v="Serial Mom"/>
        <s v="A Haunted House"/>
        <s v="Superman II"/>
        <s v="Of Horses and Men"/>
        <s v="Tammy"/>
        <s v="The Emperor's New Groove"/>
        <s v="Knowing"/>
        <s v="Jerry Maguire"/>
        <s v="The Good Night"/>
        <s v="Whiplash"/>
        <s v="Hostel: Part II"/>
        <s v="Meet Joe Black"/>
        <s v="Insurgent"/>
        <s v="Alexander and the Terrible, Horrible, No Good, Very Bad Day"/>
        <s v="Tanner Hall"/>
        <s v="Duma"/>
        <s v="The Amityville Horror"/>
        <s v="The Tuxedo"/>
        <s v="Toy Story"/>
        <s v="Shade"/>
        <s v="Skyfall"/>
        <s v="Kill Bill: Vol. 2"/>
        <s v="Kites"/>
        <s v="Some Like It Hot"/>
        <s v="Still Alice"/>
        <s v="Mean Girls"/>
        <s v="Turbulence"/>
        <s v="Crazy/Beautiful"/>
        <s v="Django Unchained"/>
        <s v="Pieces of April"/>
        <s v="Out Cold"/>
        <s v="Chocolat"/>
        <s v="Dragonfly"/>
        <s v="DysFunktional Family"/>
        <s v="The Exorcism of Emily Rose"/>
        <s v="The Weather Man"/>
        <s v="Horrible Bosses"/>
        <s v="Phat Girlz"/>
        <s v="The Barbarians"/>
        <s v="Big Eyes"/>
        <s v="28 Days Later..."/>
        <s v="Warriors of Virtue"/>
        <s v="The Whole Ten Yards"/>
        <s v="Shallow Hal"/>
        <s v="Take Shelter"/>
        <s v="Moulin Rouge!"/>
        <s v="The In Crowd"/>
        <s v="The Pelican Brief"/>
        <s v="The Doors"/>
        <s v="Fair Game"/>
        <s v="Freddy's Dead: The Final Nightmare"/>
        <s v="The Shallows"/>
        <s v="3 Strikes"/>
        <s v="Neighbors 2: Sorority Rising"/>
        <s v="Mission: Impossible II"/>
        <s v="Certifiably Jonathan"/>
        <s v="Road Trip"/>
        <s v="Hanna"/>
        <s v="Marilyn Hotchkiss' Ballroom Dancing and Charm School"/>
        <s v="Exodus: Gods and Kings"/>
        <s v="American Outlaws"/>
        <s v="Lady in the Water"/>
        <s v="Dead Man on Campus"/>
        <s v="Sherrybaby"/>
        <s v="As Above, So Below"/>
        <s v="To Rome with Love"/>
        <s v="The Forest"/>
        <s v="I Spit on Your Grave"/>
        <s v="Four Brothers"/>
        <s v="Chariots of Fire"/>
        <s v="Igby Goes Down"/>
        <s v="21 Grams"/>
        <s v="Jack Ryan: Shadow Recruit"/>
        <s v="Paranormal Activity 2"/>
        <s v="Freedom Writers"/>
        <s v="We're No Angels"/>
        <s v="Blades of Glory"/>
        <s v="Mission: Impossible - Ghost Protocol"/>
        <s v="Oscar and Lucinda"/>
        <s v="3000 Miles to Graceland"/>
        <s v="Ice Age"/>
        <s v="The English Patient"/>
        <s v="The Holy Girl"/>
        <s v="Thor: The Dark World"/>
        <s v="Kicking &amp; Screaming"/>
        <s v="Kiss the Girls"/>
        <s v="Frozen"/>
        <s v="Jason Lives: Friday the 13th Part VI"/>
        <s v="Son of God"/>
        <s v="Nomad: The Warrior"/>
        <s v="Step Up"/>
        <s v="2046"/>
        <s v="Alias Betty"/>
        <s v="The Little Vampire"/>
        <s v="The Day the Earth Stood Still"/>
        <s v="Happy, Texas"/>
        <s v="Lawrence of Arabia"/>
        <s v="Love Stinks"/>
        <s v="Coco Before Chanel"/>
        <s v="The Princess Bride"/>
        <s v="Blue Ruin"/>
        <s v="Halloween"/>
        <s v="Transformers"/>
        <s v="Inescapable"/>
        <s v="The Princess Diaries"/>
        <s v="The Guilt Trip"/>
        <s v="Choke"/>
        <s v="They"/>
        <s v="Smilla's Sense of Snow"/>
        <s v="Legal Eagles"/>
        <s v="Lee Daniels' The Butler"/>
        <s v="Max Keeble's Big Move"/>
        <s v="Beastly"/>
        <s v="Eye of the Dolphin"/>
        <s v="The Banger Sisters"/>
        <s v="Time Changer"/>
        <s v="Twilight"/>
        <s v="Sunshine State"/>
        <s v="Ace Ventura: When Nature Calls"/>
        <s v="Children of Men"/>
        <s v="Raising Cain"/>
        <s v="Welcome to Mooseport"/>
        <s v="Major Dundee"/>
        <s v="Newlyweds"/>
        <s v="Braveheart"/>
        <s v="The Godfather: Part III"/>
        <s v="The Final Destination"/>
        <s v="Persepolis"/>
        <s v="Held Up"/>
        <s v="Highlander: Endgame"/>
        <s v="The Long Kiss Goodnight"/>
        <s v="Goodfellas"/>
        <s v="Underclassman"/>
        <s v="Love and Other Catastrophes"/>
        <s v="Hide and Seek"/>
        <s v="Madea's Witness Protection"/>
        <s v="Swordfish"/>
        <s v="90 Minutes in Heaven"/>
        <s v="Dark Shadows"/>
        <s v="Dracula Untold"/>
        <s v="The Assassination of Jesse James by the Coward Robert Ford"/>
        <s v="Dancer in the Dark"/>
        <s v="Return to Never Land"/>
        <s v="Safe House"/>
        <s v="Ronin"/>
        <s v="Romeo + Juliet"/>
        <s v="Confessions of a Teenage Drama Queen"/>
        <s v="The Open Road"/>
        <s v="Jawbreaker"/>
        <s v="The Princess Diaries 2: Royal Engagement"/>
        <s v="Le Havre"/>
        <s v="Click"/>
        <s v="Hidalgo"/>
        <s v="Sleep Dealer"/>
        <s v="Sphere"/>
        <s v="The Specials"/>
        <s v="The Eye"/>
        <s v="The Little Prince"/>
        <s v="Blow"/>
        <s v="Lucy"/>
        <s v="My Dog Skip"/>
        <s v="Kung Fu Panda"/>
        <s v="The Grey"/>
        <s v="The Reaping"/>
        <s v="High Heels and Low Lifes"/>
        <s v="The Fugitive"/>
        <s v="Young Frankenstein"/>
        <s v="Premium Rush"/>
        <s v="Transformers: Revenge of the Fallen"/>
        <s v="Saw 3D: The Final Chapter"/>
        <s v="Mary Reilly"/>
        <s v="Chill Factor"/>
        <s v="An Unfinished Life"/>
        <s v="Duets"/>
        <s v="Bride &amp; Prejudice"/>
        <s v="Good"/>
        <s v="Match Point"/>
        <s v="Fantasia 2000"/>
        <s v="Iron Man"/>
        <s v="The Last Airbender"/>
        <s v="We Need to Talk About Kevin"/>
        <s v="The Celebration"/>
        <s v="The Kingdom"/>
        <s v="Chasing Mavericks"/>
        <s v="The White Ribbon"/>
        <s v="Hobo with a Shotgun"/>
        <s v="Risen"/>
        <s v="The Queen"/>
        <s v="Ant-Man"/>
        <s v="A Cinderella Story"/>
        <s v="Haywire"/>
        <s v="Bicentennial Man"/>
        <s v="Mumford"/>
        <s v="Cyrus"/>
        <s v="The Rainmaker"/>
        <s v="Thirteen Conversations About One Thing"/>
        <s v="The Glass House"/>
        <s v="Black or White"/>
        <s v="She's All That"/>
        <s v="A Thin Line Between Love and Hate"/>
        <s v="Crazy Heart"/>
        <s v="Red Riding Hood"/>
        <s v="I Want Your Money"/>
        <s v="Austin Powers in Goldmember"/>
        <s v="Gangster's Paradise: Jerusalema"/>
        <s v="Harry Brown"/>
        <s v="How to Lose a Guy in 10 Days"/>
        <s v="Saving Mr. Banks"/>
        <s v="Epic Movie"/>
        <s v="Transporter 2"/>
        <s v="Alex Rider: Operation Stormbreaker"/>
        <s v="Epic"/>
        <s v="Ondine"/>
        <s v="Australia"/>
        <s v="Enemy of the State"/>
        <s v="Paris, je t'aime"/>
        <s v="Bloody Sunday"/>
        <s v="August Rush"/>
        <s v="Religulous"/>
        <s v="The Score"/>
        <s v="Freakonomics"/>
        <s v="All or Nothing"/>
        <s v="Wild Target"/>
        <s v="BrÃ¼no"/>
        <s v="Sunshine Cleaning"/>
        <s v="The Possession"/>
        <s v="Captive"/>
        <s v="Madagascar 3: Europe's Most Wanted"/>
        <s v="Kevin Hart: Let Me Explain"/>
        <s v="The Gunman"/>
        <s v="Money Talks"/>
        <s v="Eagle Eye"/>
        <s v="Dragon Blade"/>
        <s v="V for Vendetta"/>
        <s v="The Simpsons Movie"/>
        <s v="Seven Samurai"/>
        <s v="Street Fighter: The Legend of Chun-Li"/>
        <s v="The Matrix Revolutions"/>
        <s v="Me and Orson Welles"/>
        <s v="Star Wars: Episode III - Revenge of the Sith"/>
        <s v="Spy Game"/>
        <s v="Dolphin Tale 2"/>
        <s v="Brooklyn Rules"/>
        <s v="Wall Street: Money Never Sleeps"/>
        <s v="Post Grad"/>
        <s v="Sgt. Bilko"/>
        <s v="Happily N'Ever After"/>
        <s v="Deadpool"/>
        <s v="Something's Gotta Give"/>
        <s v="Rocky"/>
        <s v="Philomena"/>
        <s v="Hardflip"/>
        <s v="The Hills Have Eyes"/>
        <s v="In Bruges"/>
        <s v="Marley &amp; Me"/>
        <s v="Roar"/>
        <s v="The Swindle"/>
        <s v="13 Going on 30"/>
        <s v="The Best Offer"/>
        <s v="Fame"/>
        <s v="Mud"/>
        <s v="Good Will Hunting"/>
        <s v="In the Shadow of the Moon"/>
        <s v="Men of Honor"/>
        <s v="Gigli"/>
        <s v="This Is It"/>
        <s v="The History Boys"/>
        <s v="Amadeus"/>
        <s v="Half Nelson"/>
        <s v="Mad Max Beyond Thunderdome"/>
        <s v="My Super Ex-Girlfriend"/>
        <s v="25th Hour"/>
        <s v="42nd Street"/>
        <s v="Doom"/>
        <s v="The World Is Not Enough"/>
        <s v="Tears of the Sun"/>
        <s v="Assassins"/>
        <s v="Live Free or Die Hard"/>
        <s v="Lone Survivor"/>
        <s v="Remember the Titans"/>
        <s v="Kiss of the Dragon"/>
        <s v="Joyeux Noel"/>
        <s v="Six Days Seven Nights"/>
        <s v="Hercules"/>
        <s v="Eternal Sunshine of the Spotless Mind"/>
        <s v="All About the Benjamins"/>
        <s v="The Apparition"/>
        <s v="Chicago"/>
        <s v="White Chicks"/>
        <s v="Joe"/>
        <s v="Filly Brown"/>
        <s v="Bright Lights, Big City"/>
        <s v="Charlie and the Chocolate Factory"/>
        <s v="Safe"/>
        <s v="The Avengers"/>
        <s v="The One"/>
        <s v="Don't Be Afraid of the Dark"/>
        <s v="The Hitchhiker's Guide to the Galaxy"/>
        <s v="The X Files: I Want to Believe"/>
        <s v="Tomcats"/>
        <s v="The Twilight Saga: New Moon"/>
        <s v="Man of Steel"/>
        <s v="Homefront"/>
        <s v="The Big Short"/>
        <s v="Dinosaur"/>
        <s v="Endless Love"/>
        <s v="Tomorrow Never Dies"/>
        <s v="The Time Machine"/>
        <s v="Moonraker"/>
        <s v="Blue Like Jazz"/>
        <s v="2 Fast 2 Furious"/>
        <s v="Windtalkers"/>
        <s v="I, Frankenstein"/>
        <s v="Rugrats in Paris: The Movie"/>
        <s v="Ocean's Eleven"/>
        <s v="Raising Victor Vargas"/>
        <s v="Hanging Up"/>
        <s v="The Three Musketeers"/>
        <s v="Letters to Juliet"/>
        <s v="Revolutionary Road"/>
        <s v="Heaven Is for Real"/>
        <s v="The Master"/>
        <s v="The Fisher King"/>
        <s v="The Terminator"/>
        <s v="Fiddler on the Roof"/>
        <s v="Loaded Weapon 1"/>
        <s v="The Barbarian Invasions"/>
        <s v="Kama Sutra: A Tale of Love"/>
        <s v="X-Men Origins: Wolverine"/>
        <s v="Shadowlands"/>
        <s v="Ghost Town"/>
        <s v="The Warlords"/>
        <s v="Cloverfield"/>
        <s v="End of Watch"/>
        <s v="Sinister 2"/>
        <s v="Imagine That"/>
        <s v="All Is Lost"/>
        <s v="Road Hard"/>
        <s v="Harry Potter and the Order of the Phoenix"/>
        <s v="Legally Blonde 2: Red, White &amp; Blonde"/>
        <s v="Ella Enchanted"/>
        <s v="Southpaw"/>
        <s v="The Muppet Christmas Carol"/>
        <s v="Sky High"/>
        <s v="The Purge: Election Year"/>
        <s v="Man on Fire"/>
        <s v="The American President"/>
        <s v="Get Over It"/>
        <s v="The Brothers Bloom"/>
        <s v="For Your Consideration"/>
        <s v="The Warrior's Way"/>
        <s v="Date Movie"/>
        <s v="Big Trouble in Little China"/>
        <s v="Slumdog Millionaire"/>
        <s v="Notes on a Scandal"/>
        <s v="Iron Man 3"/>
        <s v="Secretariat"/>
        <s v="Fruitvale Station"/>
        <s v="The Lake House"/>
        <s v="The Book of Eli"/>
        <s v="Dangerous Liaisons"/>
        <s v="The Forbidden Kingdom"/>
        <s v="Dante's Peak"/>
        <s v="Once Upon a Time in Mexico"/>
        <s v="10 Cloverfield Lane"/>
        <s v="Paper Towns"/>
        <s v="The Stepford Wives"/>
        <s v="Bon voyage"/>
        <s v="American History X"/>
        <s v="Cellular"/>
        <s v="Dylan Dog: Dead of Night"/>
        <s v="Anonymous"/>
        <s v="Talk Radio"/>
        <s v="Black Nativity"/>
        <s v="Spaceballs"/>
        <s v="Hav Plenty"/>
        <s v="Four Rooms"/>
        <s v="21 Jump Street"/>
        <s v="Get Smart"/>
        <s v="Slackers"/>
        <s v="Midnight Special"/>
        <s v="Anywhere But Here"/>
        <s v="The Glimmer Man"/>
        <s v="Baggage Claim"/>
        <s v="The Spy Next Door"/>
        <s v="Crank"/>
        <s v="Only the Strong"/>
        <s v="I Am Legend"/>
        <s v="Spirited Away"/>
        <s v="Nanny McPhee"/>
        <s v="Memoirs of a Geisha"/>
        <s v="The Island"/>
        <s v="Over the Hedge"/>
        <s v="Beyond the Sea"/>
        <s v="The Curse of the Jade Scorpion"/>
        <s v="Tower Heist"/>
        <s v="Straight Out of Brooklyn"/>
        <s v="Devil"/>
        <s v="Tiny Furniture"/>
        <s v="The Believer"/>
        <s v="I Am Number Four"/>
        <s v="Pollock"/>
        <s v="Kung Pow: Enter the Fist"/>
        <s v="High Crimes"/>
        <s v="Let's Be Cops"/>
        <s v="Jeepers Creepers"/>
        <s v="The Help"/>
        <s v="Quartet"/>
        <s v="The Other Side of Heaven"/>
        <s v="The Flintstones"/>
        <s v="Moonrise Kingdom"/>
        <s v="City Hall"/>
        <s v="Man on Wire"/>
        <s v="The Cure"/>
        <s v="The Best of Me"/>
        <s v="The Peanuts Movie"/>
        <s v="The Fog"/>
        <s v="Doubt"/>
        <s v="Hurricane Streets"/>
        <s v="Blast from the Past"/>
        <s v="Fast Five"/>
        <s v="Renaissance Man"/>
        <s v="The Oxford Murders"/>
        <s v="I Love You, Beth Cooper"/>
        <s v="The World's Fastest Indian"/>
        <s v="Paparazzi"/>
        <s v="The Bourne Identity"/>
        <s v="Friday"/>
        <s v="Transformers: Age of Extinction"/>
        <s v="The Midnight Meat Train"/>
        <s v="The Hudsucker Proxy"/>
        <s v="Men in Black"/>
        <s v="Dirty Grandpa"/>
        <s v="Clean"/>
        <s v="Underworld: Awakening"/>
        <s v="Fascination"/>
        <s v="Hotel Transylvania 2"/>
        <s v="Friday the 13th Part 2"/>
        <s v="Enough"/>
        <s v="Blade: Trinity"/>
        <s v="This Is the End"/>
        <s v="Baby's Day Out"/>
        <s v="Dream House"/>
        <s v="Get Carter"/>
        <s v="The Lion King"/>
        <s v="Code 46"/>
        <s v="Wrath of the Titans"/>
        <s v="Firestarter"/>
        <s v="The Haunting"/>
        <s v="Just Visiting"/>
        <s v="Steamboy"/>
        <s v="Looper"/>
        <s v="The Wiz"/>
        <s v="Halloween III: Season of the Witch"/>
        <s v="Lockout"/>
        <s v="Witless Protection"/>
        <s v="The Conjuring"/>
        <s v="Kit Kittredge: An American Girl"/>
        <s v="American Desi"/>
        <s v="How to Train Your Dragon"/>
        <s v="Birth"/>
        <s v="We Are Your Friends"/>
        <s v="Interview with the Vampire: The Vampire Chronicles"/>
        <s v="End of the Spear"/>
        <s v="The Place Beyond the Pines"/>
        <s v="Crossover"/>
        <s v="The Imaginarium of Doctor Parnassus"/>
        <s v="Of Gods and Men"/>
        <s v="Resident Evil"/>
        <s v="Bringing Down the House"/>
        <s v="The Sentinel"/>
        <s v="The Devil Wears Prada"/>
        <s v="Trollhunter"/>
        <s v="Jack and Jill"/>
        <s v="Hoodwinked!"/>
        <s v="Safe Haven"/>
        <s v="Blood Ties"/>
        <s v="Showgirls"/>
        <s v="The Scarlet Letter"/>
        <s v="Away We Go"/>
        <s v="Ghosts of Mississippi"/>
        <s v="The Statement"/>
        <s v="Pandorum"/>
        <s v="The Thomas Crown Affair"/>
        <s v="Best in Show"/>
        <s v="Admission"/>
        <s v="Freaky Friday"/>
        <s v="Bride of Chucky"/>
        <s v="Fear and Loathing in Las Vegas"/>
        <s v="Les couloirs du temps: Les visiteurs II"/>
        <s v="The Woman in Black"/>
        <s v="Speed Racer"/>
        <s v="Oliver!"/>
        <s v="The Insider"/>
        <s v="Bachelorette"/>
        <s v="Flight"/>
        <s v="Zathura: A Space Adventure"/>
        <s v="The Proposition"/>
        <s v="Ishtar"/>
        <s v="The Hotel New Hampshire"/>
        <s v="The Musketeer"/>
        <s v="You Will Meet a Tall Dark Stranger"/>
        <s v="Meet the Spartans"/>
        <s v="Lock, Stock and Two Smoking Barrels"/>
        <s v="The Legend of Suriyothai"/>
        <s v="Juno"/>
        <s v="Toy Story 2"/>
        <s v="The Soloist"/>
        <s v="Mr 3000"/>
        <s v="The Contender"/>
        <s v="Chappie"/>
        <s v="Time Bandits"/>
        <s v="The Conjuring 2"/>
        <s v="Conspiracy Theory"/>
        <s v="Bad Teacher"/>
        <s v="S.W.A.T."/>
        <s v="Here Comes the Boom"/>
        <s v="Stranger Than Fiction"/>
        <s v="The Taking of Pelham 1 2 3"/>
        <s v="Better Luck Tomorrow"/>
        <s v="Harriet the Spy"/>
        <s v="The FP"/>
        <s v="Superbabies: Baby Geniuses 2"/>
        <s v="The Devil's Advocate"/>
        <s v="The Last King of Scotland"/>
        <s v="Final Destination 5"/>
        <s v="The Jacket"/>
        <s v="Black Mass"/>
        <s v="The Collection"/>
        <s v="Ponyo"/>
        <s v="The Spanish Prisoner"/>
        <s v="Only God Forgives"/>
        <s v="Down to Earth"/>
        <s v="Warrior"/>
        <s v="Wild"/>
        <s v="Ordinary People"/>
        <s v="The Punisher"/>
        <s v="Grosse Pointe Blank"/>
        <s v="Menace II Society"/>
        <s v="Bangkok Dangerous"/>
        <s v="Nine Queens"/>
        <s v="American Pie 2"/>
        <s v="Agora"/>
        <s v="An American Carol"/>
        <s v="A Nightmare on Elm Street 2: Freddy's Revenge"/>
        <s v="Being John Malkovich"/>
        <s v="Prefontaine"/>
        <s v="The Internship"/>
        <s v="National Treasure"/>
        <s v="Gun Shy"/>
        <s v="Malone"/>
        <s v="Selena"/>
        <s v="The Out-of-Towners"/>
        <s v="Argo"/>
        <s v="Brigham City"/>
        <s v="Lonesome Jim"/>
        <s v="Olympus Has Fallen"/>
        <s v="Gods and Generals"/>
        <s v="Vanilla Sky"/>
        <s v="Days of Thunder"/>
        <s v="Real Women Have Curves"/>
        <s v="The Scorch Trials"/>
        <s v="Puss in Boots"/>
        <s v="Raiders of the Lost Ark"/>
        <s v="Moon"/>
        <s v="Triple 9"/>
        <s v="Rise of the Planet of the Apes"/>
        <s v="The American"/>
        <s v="Flight of the Intruder"/>
        <s v="Hook"/>
        <s v="Magnolia"/>
        <s v="Criminal"/>
        <s v="Inside Out"/>
        <s v="Jesus' Son"/>
        <s v="Things to Do in Denver When You're Dead"/>
        <s v="Promised Land"/>
        <s v="The Last Stand"/>
        <s v="Jack the Giant Slayer"/>
        <s v="The Losers"/>
        <s v="Trekkies"/>
        <s v="Smokin' Aces"/>
        <s v="K-19: The Widowmaker"/>
        <s v="Ray"/>
        <s v="Space Cowboys"/>
        <s v="Disaster Movie"/>
        <s v="The Core"/>
        <s v="Saw V"/>
        <s v="Lara Croft: Tomb Raider"/>
        <s v="Blood In, Blood Out"/>
        <s v="The Naked Gun 2Â½: The Smell of Fear"/>
        <s v="Harley Davidson and the Marlboro Man"/>
        <s v="Compliance"/>
        <s v="El Mariachi"/>
        <s v="Ender's Game"/>
        <s v="Boyhood"/>
        <s v="Marie Antoinette"/>
        <s v="The Wedding Planner"/>
        <s v="9"/>
        <s v="Dragonslayer"/>
        <s v="Flushed Away"/>
        <s v="Riding in Cars with Boys"/>
        <s v="Die Hard"/>
        <s v="Chain Letter"/>
        <s v="Never Again"/>
        <s v="RED 2"/>
        <s v="The Last of the Mohicans"/>
        <s v="Sholem Aleichem: Laughing in the Darkness"/>
        <s v="Coach Carter"/>
        <s v="Agent Cody Banks"/>
        <s v="The Women"/>
        <s v="Timecop"/>
        <s v="The Godfather"/>
        <s v="Super 8"/>
        <s v="The Notebook"/>
        <s v="Shaft"/>
        <s v="Star Wars: Episode VI - Return of the Jedi"/>
        <s v="Margaret"/>
        <s v="The Perfect Host"/>
        <s v="Serenity"/>
        <s v="The Princess and the Frog"/>
        <s v="House of Flying Daggers"/>
        <s v="Kick-Ass 2"/>
        <s v="Maximum Risk"/>
        <s v="Cold Mountain"/>
        <s v="The Holiday"/>
        <s v="Winged Migration"/>
        <s v="Attack the Block"/>
        <s v="The Chronicles of Narnia: The Voyage of the Dawn Treader"/>
        <s v="The Good Thief"/>
        <s v="Runaway Bride"/>
        <s v="The Beach"/>
        <s v="Glee: The 3D Concert Movie"/>
        <s v="Boys and Girls"/>
        <s v="Faithful"/>
        <s v="Dr. No"/>
        <s v="The Rite"/>
        <s v="The Book of Mormon Movie, Volume 1: The Journey"/>
        <s v="Waitress"/>
        <s v="Falcon Rising"/>
        <s v="She's the Man"/>
        <s v="Mr. Bean's Holiday"/>
        <s v="Howl's Moving Castle"/>
        <s v="The Infiltrator"/>
        <s v="Superman IV: The Quest for Peace"/>
        <s v="Baahubali: The Beginning"/>
        <s v="Peggy Sue Got Married"/>
        <s v="The Cat in the Hat"/>
        <s v="Crazy in Alabama"/>
        <s v="Labor Day"/>
        <s v="Saw II"/>
        <s v="My Bloody Valentine"/>
        <s v="To Die For"/>
        <s v="Resident Evil: Apocalypse"/>
        <s v="The Big Wedding"/>
        <s v="Army of Darkness"/>
        <s v="What's Eating Gilbert Grape"/>
        <s v="Joe Dirt"/>
        <s v="Flipper"/>
        <s v="U-571"/>
        <s v="Texas Chainsaw 3D"/>
        <s v="Zero Dark Thirty"/>
        <s v="A Knight's Tale"/>
        <s v="Shrek Forever After"/>
        <s v="Garden State"/>
        <s v="Deliver Us from Evil"/>
        <s v="Rat Race"/>
        <s v="That Awkward Moment"/>
        <s v="The Newton Boys"/>
        <s v="Three to Tango"/>
        <s v="Ghost Ship"/>
        <s v="Romeo Must Die"/>
        <s v="Stolen Summer"/>
        <s v="Money Train"/>
        <s v="The Color of Money"/>
        <s v="Yes Man"/>
        <s v="Our Family Wedding"/>
        <s v="Man on the Moon"/>
        <s v="The Angry Birds Movie"/>
        <s v="The Men Who Stare at Goats"/>
        <s v="Beyond Borders"/>
        <s v="Warlock: The Armageddon"/>
        <s v="Somewhere"/>
        <s v="The Right Stuff"/>
        <s v="Spy Kids"/>
        <s v="Shorts"/>
        <s v="Friday the 13th: A New Beginning"/>
        <s v="Friday the 13th Part III"/>
        <s v="3 Days to Kill"/>
        <s v="Kabhi Alvida Naa Kehna"/>
        <s v="Formula 51"/>
        <s v="Home Run"/>
        <s v="X-Men: Apocalypse"/>
        <s v="Dick Tracy"/>
        <s v="Tomorrowland"/>
        <s v="Spawn"/>
        <s v="About Time"/>
        <s v="Woman in Gold"/>
        <s v="Dumb and Dumberer: When Harry Met Lloyd"/>
        <s v="Robin Hood"/>
        <s v="On Deadly Ground"/>
        <s v="The Man with the Iron Fists"/>
        <s v="Bulworth"/>
        <s v="Thunderbirds"/>
        <s v="Like Mike"/>
        <s v="Beyond the Valley of the Dolls"/>
        <s v="Gracie"/>
        <s v="E.T. the Extra-Terrestrial"/>
        <s v="Megiddo: The Omega Code 2"/>
        <s v="Cop Out"/>
        <s v="Imaginary Heroes"/>
        <s v="The Great Gatsby"/>
        <s v="On Her Majesty's Secret Service"/>
        <s v="Beverly Hills Cop III"/>
        <s v="The Thin Red Line"/>
        <s v="Serendipity"/>
        <s v="Stay Alive"/>
        <s v="The Bone Collector"/>
        <s v="To Save a Life"/>
        <s v="Tumbleweeds"/>
        <s v="Race to Witch Mountain"/>
        <s v="The Adventures of Sharkboy and Lavagirl 3-D"/>
        <s v="Alex Cross"/>
        <s v="Special"/>
        <s v="A Passage to India"/>
        <s v="Whip It"/>
        <s v="Walking and Talking"/>
        <s v="The Lord of the Rings: The Return of the King"/>
        <s v="Grown Ups"/>
        <s v="D.E.B.S."/>
        <s v="Beverly Hills Cop II"/>
        <s v="Batman v Superman: Dawn of Justice"/>
        <s v="Kiss the Bride"/>
        <s v="Scream 4"/>
        <s v="Bill &amp; Ted's Excellent Adventure"/>
        <s v="Knocked Up"/>
        <s v="Borat: Cultural Learnings of America for Make Benefit Glorious Nation of Kazakhstan"/>
        <s v="The Reader"/>
        <s v="The Brothers McMullen"/>
        <s v="Mrs. Doubtfire"/>
        <s v="Paranormal Activity"/>
        <s v="The Last Exorcism"/>
        <s v="Are We There Yet?"/>
        <s v="Cleopatra"/>
        <s v="August: Osage County"/>
        <s v="TRON: Legacy"/>
        <s v="Titanic"/>
        <s v="Mama"/>
        <s v="The Robe"/>
        <s v="Frankenweenie"/>
        <s v="The Lunchbox"/>
        <s v="Simply Irresistible"/>
        <s v="The First Wives Club"/>
        <s v="Arlington Road"/>
        <s v="There Goes My Baby"/>
        <s v="Superbad"/>
        <s v="House on Haunted Hill"/>
        <s v="Beavis and Butt-Head Do America"/>
        <s v="Marci X"/>
        <s v="Horrible Bosses 2"/>
        <s v="Loser"/>
        <s v="Bedtime Stories"/>
        <s v="Come Early Morning"/>
        <s v="Pushing Tin"/>
        <s v="Steel"/>
        <s v="Ernest &amp; Celestine"/>
        <s v="Monster"/>
        <s v="Rio 2"/>
        <s v="Mary Poppins"/>
        <s v="Winter Passing"/>
        <s v="Shanghai Noon"/>
        <s v="Final Destination"/>
        <s v="500 Days of Summer"/>
        <s v="P.S. I Love You"/>
        <s v="The Smurfs 2"/>
        <s v="Pirates of the Caribbean: At World's E"/>
        <s v="The Tree of Life"/>
        <s v="Alfie"/>
        <s v="After the Sunset"/>
        <s v="Next Stop Wonderland"/>
        <s v="Who Killed the Electric Car?"/>
        <s v="Into the Blue"/>
        <s v="The Funeral"/>
        <s v="Iris"/>
        <s v="Sphinx"/>
        <s v="Tales from the Hood"/>
        <s v="Night at the Museum: Battle of the Smithsonian"/>
        <s v="Malibu's Most Wanted"/>
        <s v="School Daze"/>
        <s v="Life as a House"/>
        <s v="The Giver"/>
        <s v="She's Out of My League"/>
        <s v="Life or Something Like It"/>
        <s v="The Secret Life of Pets"/>
        <s v="Love &amp; Basketball"/>
        <s v="Date Night"/>
        <s v="Teenage Mutant Ninja Turtles: Out of the Shadows"/>
        <s v="54"/>
        <s v="Daddy Day Care"/>
        <s v="Rise of the Guardians"/>
        <s v="Dolphins and Whales 3D: Tribes of the Ocean"/>
        <s v="The Family Stone"/>
        <s v="Highlander"/>
        <s v="Vanity Fair"/>
        <s v="Lucky You"/>
        <s v="Donnie Brasco"/>
        <s v="Step Up Revolution"/>
        <s v="Equilibrium"/>
        <s v="The Ladies Man"/>
        <s v="Deuce Bigalow: Male Gigolo"/>
        <s v="The Protector"/>
        <s v="The Fighter"/>
        <s v="The Boxtrolls"/>
        <s v="The Haunted Mansion"/>
        <s v="We Were Soldiers"/>
        <s v="Private Benjamin"/>
        <s v="Mississippi Mermaid"/>
        <s v="Grease"/>
        <s v="Bad Moms"/>
        <s v="The Corruptor"/>
        <s v="Napoleon Dynamite"/>
        <s v="Thor"/>
        <s v="Walk the Line"/>
        <s v="Skyline"/>
        <s v="Blue Jasmine"/>
        <s v="Barbershop 2: Back in Business"/>
        <s v="Two Brothers"/>
        <s v="Punisher: War Zone"/>
        <s v="Lincoln"/>
        <s v="Larry Crowne"/>
        <s v="What's the Worst That Could Happen?"/>
        <s v="Just Married"/>
        <s v="Elite Squad"/>
        <s v="Ride with the Devil"/>
        <s v="Coraline"/>
        <s v="Nothing to Lose"/>
        <s v="What Planet Are You From?"/>
        <s v="Kundun"/>
        <s v="The Quick and the Dead"/>
        <s v="The Work and the Glory"/>
        <s v="How to Train Your Dragon 2"/>
        <s v="Superstar"/>
        <s v="The Wash"/>
        <s v="Pay It Forward"/>
        <s v="Arbitrage"/>
        <s v="Holy Man"/>
        <s v="The Dilemma"/>
        <s v="The Expendables 2"/>
        <s v="Troop Beverly Hills"/>
        <s v="Moonlight Mile"/>
        <s v="Contagion"/>
        <s v="The Runaways"/>
        <s v="Jay and Silent Bob Strike Back"/>
        <s v="Black Knight"/>
        <s v="The Pirates Who Don't Do Anything: A VeggieTales Movie"/>
        <s v="The Lucky Ones"/>
        <s v="The Legend of God's Gun"/>
        <s v="Chocolate: Deep Dark Secrets"/>
        <s v="Locker 13"/>
        <s v="The Happening"/>
        <s v="Dil Jo Bhi Kahey..."/>
        <s v="The Fourth Kind"/>
        <s v="The Invasion"/>
        <s v="Beyond the Black Rainbow"/>
        <s v="Breaking Upwards"/>
        <s v="The Sticky Fingers of Time"/>
        <s v="Cavite"/>
        <s v="Project Almanac"/>
        <s v="8MM"/>
        <s v="Red Eye"/>
        <s v="Secret Window"/>
        <s v="The Da Vinci Code"/>
        <s v="Angels &amp; Demons"/>
        <s v="The Thirteenth Floor"/>
        <s v="The Gift"/>
        <s v="The Adjustment Bureau"/>
        <s v="WarGames"/>
        <s v="The Ghost Writer"/>
        <s v="Identity"/>
        <s v="Pale Rider"/>
        <s v="The Butterfly Effect"/>
        <s v="The Good, the Bad and the Ugly"/>
        <s v="Memento"/>
        <s v="Blade Runner"/>
        <s v="Shutter Island"/>
        <s v="In Time"/>
        <s v="Pitch Black"/>
        <s v="The Raid: Redemption"/>
        <s v="The Omega Code"/>
        <s v="Buffalo Soldiers"/>
        <s v="Hotel for Dogs"/>
        <s v="Hot Tub Time Machine"/>
        <s v="RoboCop 3"/>
        <s v="The Longest Ride"/>
        <s v="Casino Jack"/>
        <s v="A Thousand Words"/>
        <s v="The Upside of Anger"/>
        <s v="Bandits"/>
        <s v="The Great Debaters"/>
        <s v="Pride &amp; Prejudice"/>
        <s v="The Dark Knight"/>
        <s v="The Mothman Prophecies"/>
        <s v="Princess Kaiulani"/>
        <s v="Phenomenon"/>
        <s v="Feardotcom"/>
        <s v="For Love of the Game"/>
        <s v="Against the Ropes"/>
        <s v="Alone in the Dark"/>
        <s v="Dead Snow"/>
        <s v="13 Hours"/>
        <s v="The Wild Thornberrys Movie"/>
        <s v="Teacher's Pet"/>
        <s v="When a Stranger Calls"/>
        <s v="Rabbit-Proof Fence"/>
        <s v="Desert Dancer"/>
        <s v="Atlantis: The Lost Empire"/>
        <s v="New Year's Eve"/>
        <s v="Snowpiercer"/>
        <s v="Spice World"/>
        <s v="The Fifth Estate"/>
        <s v="Gravity"/>
        <s v="Star Trek V: The Final Frontier"/>
        <s v="Kate &amp; Leopold"/>
        <s v="New York Stories"/>
        <s v="Black Swan"/>
        <s v="The Hobbit: An Unexpected Journey"/>
        <s v="True Grit"/>
        <s v="Bandslam"/>
        <s v="Burn"/>
        <s v="Reign of Fire"/>
        <s v="In the Land of Women"/>
        <s v="Schindler's List"/>
        <s v="The Players Club"/>
        <s v="Rudderless"/>
        <s v="300"/>
        <s v="Saw IV"/>
        <s v="George of the Jungle"/>
        <s v="The Rage: Carrie 2"/>
        <s v="The Nutcracker in 3D"/>
        <s v="Beasts of the Southern Wild"/>
        <s v="Godzilla 2000"/>
        <s v="Tuck Everlasting"/>
        <s v="Transformers: Dark of the Moon"/>
        <s v="Be Cool"/>
        <s v="Dreamgirls"/>
        <s v="Bring It On"/>
        <s v="Unfriended"/>
        <s v="Winter in Wartime"/>
        <s v="Shark Night 3D"/>
        <s v="The Messenger"/>
        <s v="Home Fries"/>
        <s v="Happiness"/>
        <s v="Eddie the Eagle"/>
        <s v="Nebraska"/>
        <s v="Max"/>
        <s v="Dumb and Dumber To"/>
        <s v="The Greatest Movie Ever Sold"/>
        <s v="The Passion of the Christ"/>
        <s v="I Know What You Did Last Summer"/>
        <s v="The Man from U.N.C.L.E."/>
        <s v="Transcendence"/>
        <s v="Travelers and Magicians"/>
        <s v="Modern Times"/>
        <s v="200 Cigarettes"/>
        <s v="Freddy vs. Jason"/>
        <s v="The Young and Prodigious T.S. Spivet"/>
        <s v="Training Day"/>
        <s v="Extraordinary Measures"/>
        <s v="Incendies"/>
        <s v="Pacific Rim"/>
        <s v="The Shawshank Redemption"/>
        <s v="The Darkest Hour"/>
        <s v="Outside Providence"/>
        <s v="Cool Runnings"/>
        <s v="The Machinist"/>
        <s v="Courage Under Fire"/>
        <s v="Sex and the City 2"/>
        <s v="Chernobyl Diaries"/>
        <s v="127 Hours"/>
        <s v="The Wolverine"/>
        <s v="Gettysburg"/>
        <s v="Killer Elite"/>
        <s v="The Full Monty"/>
        <s v="Monsoon Wedding"/>
        <s v="Love Actually"/>
        <s v="The Lego Movie"/>
        <s v="The Texas Chainsaw Massacre 2"/>
        <s v="Butch Cassidy and the Sundance Kid"/>
        <s v="Zombieland"/>
        <s v="Young Guns"/>
        <s v="Mickey Blue Eyes"/>
        <s v="Beer League"/>
        <s v="Where the Wild Things Are"/>
        <s v="Love's Abiding Joy"/>
        <s v="Whiteout"/>
        <s v="Naturally Native"/>
        <s v="The Adventures of Pluto Nash"/>
        <s v="Raise the Titanic"/>
        <s v="Lovely &amp; Amazing"/>
        <s v="TMNT"/>
        <s v="Kill Bill: Vol. 1"/>
        <s v="The Wizard of Oz"/>
        <s v="A Lego Brickumentary"/>
        <s v="Boys Don't Cry"/>
        <s v="Piranha 3D"/>
        <s v="Paa"/>
        <s v="Ever After: A Cinderella Story"/>
        <s v="Cape Fear"/>
        <s v="Bride Wars"/>
        <s v="Oculus"/>
        <s v="The Neon Demon"/>
        <s v="My Own Private Idaho"/>
        <s v="Hocus Pocus"/>
        <s v="Fifty Shades of Black"/>
        <s v="The Grand Budapest Hotel"/>
        <s v="Harry Potter and the Prisoner of Azkaban"/>
        <s v="Sanctum"/>
        <s v="Layer Cake"/>
        <s v="Troy"/>
        <s v="Aimee &amp; Jaguar"/>
        <s v="Broken City"/>
        <s v="The Age of Innocence"/>
        <s v="Session 9"/>
        <s v="Muppets from Space"/>
        <s v="College"/>
        <s v="Valentine"/>
        <s v="Blood Work"/>
        <s v="The Hurt Locker"/>
        <s v="The Net"/>
        <s v="House at the End of the Street"/>
        <s v="The Masked Saint"/>
        <s v="Edtv"/>
        <s v="Mr. Turner"/>
        <s v="Made"/>
        <s v="Finishing the Game: The Search for a New Bruce Lee"/>
        <s v="Whale Rider"/>
        <s v="Courageous"/>
        <s v="The Odd Life of Timothy Green"/>
        <s v="The Salon"/>
        <s v="Prom"/>
        <s v="You've Got Mail"/>
        <s v="The Tailor of Panama"/>
        <s v="Psycho Beach Party"/>
        <s v="The Man in the Iron Mask"/>
        <s v="In the Land of Blood and Honey"/>
        <s v="Fat Albert"/>
        <s v="San Andreas"/>
        <s v="The Baader Meinhof Complex"/>
        <s v="Priest"/>
        <s v="Corky Romano"/>
        <s v="Under Siege 2: Dark Territory"/>
        <s v="The Land Before Time"/>
        <s v="The Book Thief"/>
        <s v="Out of the Furnace"/>
        <s v="The 5th Quarter"/>
        <s v="Star Trek: First Contact"/>
        <s v="1408"/>
        <s v="Ride Along"/>
        <s v="Winnie the Pooh"/>
        <s v="G.I. Jane"/>
        <s v="Annie Get Your Gun"/>
        <s v="Seven Pounds"/>
        <s v="J. Edgar"/>
        <s v="The Love Guru"/>
        <s v="Catwoman"/>
        <s v="Nutty Professor II: The Klumps"/>
        <s v="Creepshow 2"/>
        <s v="Princess Mononoke"/>
        <s v="Frost/Nixon"/>
        <s v="Hereafter"/>
        <s v="Chicken Little"/>
        <s v="There Be Dragons"/>
        <s v="Robin Hood: Prince of Thieves"/>
        <s v="Mad Max: Fury Road"/>
        <s v="Songcatcher"/>
        <s v="John Carter"/>
        <s v="Mad Money"/>
        <s v="The Tale of Despereaux"/>
        <s v="No Escape"/>
        <s v="Green Room"/>
        <s v="The Heart of Me"/>
        <s v="Red Cliff"/>
        <s v="Thr3e"/>
        <s v="The Damned United"/>
        <s v="Unleashed"/>
        <s v="The Hobbit: The Desolation of Smaug"/>
        <s v="Mallrats"/>
        <s v="Mean Machine"/>
        <s v="From Justin to Kelly"/>
        <s v="Two Girls and a Guy"/>
        <s v="Munich"/>
        <s v="The Yellow Handkerchief"/>
        <s v="Green Lantern"/>
        <s v="Rounders"/>
        <s v="Zodiac"/>
        <s v="The Perez Family"/>
        <s v="Fury"/>
        <s v="Wing Commander"/>
        <s v="Mirrors"/>
        <s v="Femme Fatale"/>
        <s v="L.A. Confidential"/>
        <s v="Gulliver's Travels"/>
        <s v="Project X"/>
        <s v="The Borrowers"/>
        <s v="Die Hard with a Vengeance"/>
        <s v="Return to the Blue Lagoon"/>
        <s v="Little White Lies"/>
        <s v="Death at a Funeral"/>
        <s v="eXistenZ"/>
        <s v="The Incredible Hulk"/>
        <s v="Furious 7"/>
        <s v="Snow White and the Huntsman"/>
        <s v="Antarctic Edge: 70Â° South"/>
        <s v="The Matrix"/>
        <s v="The Last Days on Mars"/>
        <s v="Resurrecting the Champ"/>
        <s v="Insidious"/>
        <s v="Fortress"/>
        <s v="National Lampoon's Vacation"/>
        <s v="Alex &amp; Emma"/>
        <s v="Journey to the Center of the Earth"/>
        <s v="The Forsaken"/>
        <s v="The Legend of Tarzan"/>
        <s v="The Wedding Date"/>
        <s v="Need for Speed"/>
        <s v="Sideways"/>
        <s v="Everest"/>
        <s v="The Hundred-Foot Journey"/>
        <s v="Willard"/>
        <s v="The Ruins"/>
        <s v="A Civil Action"/>
        <s v="Collateral"/>
        <s v="American Wedding"/>
        <s v="The Bodyguard"/>
        <s v="Superman III"/>
        <s v="City of Ember"/>
        <s v="Death Sentence"/>
        <s v="The Lone Ranger"/>
        <s v="Logan's Run"/>
        <s v="Blood and Wine"/>
        <s v="20 Dates"/>
        <s v="Pineapple Express"/>
        <s v="The Amazing Catfish"/>
        <s v="Riddick"/>
        <s v="You Don't Mess with the Zohan"/>
        <s v="Dark Blue"/>
        <s v="Club Dread"/>
        <s v="The Medallion"/>
        <s v="Find Me Guilty"/>
        <s v="What to Expect When You're Expecting"/>
        <s v="Mirror Mirror"/>
        <s v="Lucky Number Slevin"/>
        <s v="Night at the Museum: Secret of the Tomb"/>
        <s v="Atlas Shrugged: Who Is John Galt?"/>
        <s v="The Crow"/>
        <s v="The Singles Ward"/>
        <s v="Good Morning, Vietnam"/>
        <s v="Kiss Kiss Bang Bang"/>
        <s v="I Want Someone to Eat Cheese With"/>
        <s v="Wall Street"/>
        <s v="Hollywood Shuffle"/>
        <s v="Jackass: The Movie"/>
        <s v="Radio Days"/>
        <s v="Danny Collins"/>
        <s v="The Santa Clause 2"/>
        <s v="Ravenous"/>
        <s v="Ghost"/>
        <s v="The Raven"/>
        <s v="The Life Aquatic with Steve Zissou"/>
        <s v="Madadayo"/>
        <s v="Cinderella"/>
        <s v="Resident Evil: Extinction"/>
        <s v="All About Steve"/>
        <s v="Radio Flyer"/>
        <s v="Zoolander"/>
        <s v="A Mighty Heart"/>
        <s v="Sin City"/>
        <s v="A Simple Plan"/>
        <s v="Get Shorty"/>
        <s v="Beverly Hills Cop"/>
        <s v="The Royal Tenenbaums"/>
        <s v="Hoop Dreams"/>
        <s v="Beetlejuice"/>
        <s v="Slacker"/>
        <s v="You Can Count on Me"/>
        <s v="Celebrity"/>
        <s v="My Week with Marilyn"/>
        <s v="Saw"/>
        <s v="Up Close &amp; Personal"/>
        <s v="Brotherly Love"/>
        <s v="Star Wars: Episode II - Attack of the Clones"/>
        <s v="Forrest Gump"/>
        <s v="Thank You for Smoking"/>
        <s v="Sugar Hill"/>
        <s v="Star Wars: Episode I - The Phantom Menace"/>
        <s v="Halloween 5"/>
        <s v="Inkheart"/>
        <s v="Four Christmases"/>
        <s v="The Aviator"/>
        <s v="The Boss"/>
        <s v="The Huntsman: Winter's War"/>
        <s v="Bridge of Spies"/>
        <s v="The Last Exorcism Part II"/>
        <s v="My Favorite Martian"/>
        <s v="Road to Perdition"/>
        <s v="Idlewild"/>
        <s v="The Iron Giant"/>
        <s v="Redacted"/>
        <s v="The Town"/>
        <s v="Glengarry Glen Ross"/>
        <s v="School of Rock"/>
        <s v="Easy A"/>
        <s v="Gothika"/>
        <s v="Intolerable Cruelty"/>
        <s v="Littleman"/>
        <s v="The Spectacular Now"/>
        <s v="The Good Guy"/>
        <s v="Hancock"/>
        <s v="The Watcher"/>
        <s v="Orgazmo"/>
        <s v="Herbie Fully Loaded"/>
        <s v="Darling Lili"/>
        <s v="Out of Time"/>
        <s v="Light It Up"/>
        <s v="Non-Stop"/>
        <s v="Snow White and the Seven Dwarfs"/>
        <s v="Total Recall"/>
        <s v="Stolen"/>
        <s v="Maria Full of Grace"/>
        <s v="Billy Elliot"/>
        <s v="Cirque du Freak: The Vampire's Assistant"/>
        <s v="Ladder 49"/>
        <s v="The Nativity Story"/>
        <s v="Hoot"/>
        <s v="RiÂ¢hie RiÂ¢h"/>
        <s v="The Heat"/>
        <s v="Trust the Man"/>
        <s v="One Day"/>
        <s v="From Dusk Till Dawn"/>
        <s v="Slam"/>
        <s v="Star Trek: Generations"/>
        <s v="The Second Best Exotic Marigold Hotel"/>
        <s v="The Bourne Ultimatum"/>
        <s v="Copycat"/>
        <s v="George Washington"/>
        <s v="Syriana"/>
        <s v="Mars Attacks!"/>
        <s v="Drumline"/>
        <s v="Shutter"/>
        <s v="The Brothers Solomon"/>
        <s v="Hulk"/>
        <s v="Cloud Atlas"/>
        <s v="The Boondock Saints II: All Saints Day"/>
        <s v="Flubber"/>
        <s v="Rambo: First Blood Part II"/>
        <s v="Monte Carlo"/>
        <s v="Trance"/>
        <s v="The Saint"/>
        <s v="The Dukes of Hazzard"/>
        <s v="House of D"/>
        <s v="Johnny English"/>
        <s v="The Last Samurai"/>
        <s v="Exorcist: The Beginning"/>
        <s v="Nerve"/>
        <s v="Year One"/>
        <s v="Ong-bak 2"/>
        <s v="The Squid and the Whale"/>
        <s v="Jimmy Neutron: Boy Genius"/>
        <s v="Adaptation."/>
        <s v="Police Academy: Mission to Moscow"/>
        <s v="Paranormal Activity 4"/>
        <s v="Striptease"/>
        <s v="Motherhood"/>
        <s v="Osama"/>
        <s v="Harold &amp; Kumar Escape from Guantanamo Bay"/>
        <s v="Snatch"/>
        <s v="X-Men"/>
        <s v="Battleship"/>
        <s v="Pathology"/>
        <s v="Midnight in the Garden of Good and Evil"/>
        <s v="Prometheus"/>
        <s v="Dudley Do-Right"/>
        <s v="Beverly Hills Chihuahua"/>
        <s v="Meet Dave"/>
        <s v="R100"/>
        <s v="Over Her Dead Body"/>
        <s v="Cursed"/>
        <s v="Machete"/>
        <s v="Ice Age: The Meltdown"/>
        <s v="Margin Call"/>
        <s v="Before Midnight"/>
        <s v="Batman"/>
        <s v="Up in the Air"/>
        <s v="War, Inc."/>
        <s v="The Cabin in the Woods"/>
        <s v="Suicide Squad"/>
        <s v="A.I. Artificial Intelligence"/>
        <s v="Sucker Punch"/>
        <s v="Alvin and the Chipmunks: Chipwrecked"/>
        <s v="Armageddon"/>
        <s v="Double Impact"/>
        <s v="The Pursuit of Happyness"/>
        <s v="Jumping the Broom"/>
        <s v="The Ten"/>
        <s v="The Crazies"/>
        <s v="The Young Messiah"/>
        <s v="Clear and Present Danger"/>
        <s v="American Sniper"/>
        <s v="Despicable Me"/>
        <s v="Elysium"/>
        <s v="Ca$h"/>
        <s v="The Road"/>
        <s v="Bee Movie"/>
        <s v="Rango"/>
        <s v="Youth in Revolt"/>
        <s v="Carrie"/>
        <s v="Soul Kitchen"/>
        <s v="Pride and Prejudice and Zombies"/>
        <s v="The Big Lebowski"/>
        <s v="Pan's Labyrinth"/>
        <s v="Another Earth"/>
        <s v="Paycheck"/>
        <s v="Bats"/>
        <s v="A Better Life"/>
        <s v="Don't Say a Word"/>
        <s v="Draft Day"/>
        <s v="Limbo"/>
        <s v="The Bourne Legacy"/>
        <s v="Lords of Dogtown"/>
        <s v="A Beautiful Mind"/>
        <s v="Whatever Works"/>
        <s v="Maggie"/>
        <s v="Trainspotting"/>
        <s v="Vamps"/>
        <s v="God's Not Dead 2"/>
        <s v="L.I.E."/>
        <s v="Star Trek: Nemesis"/>
        <s v="Saints and Soldiers"/>
        <s v="Cruel Intentions"/>
        <s v="Yentl"/>
        <s v="Freddy Got Fingered"/>
        <s v="The Grandmaster"/>
        <s v="This Is Where I Leave You"/>
        <s v="The Hunt"/>
        <s v="The Boy in the Striped Pajamas"/>
        <s v="Due Date"/>
        <s v="The To Do List"/>
        <s v="The Call"/>
        <s v="A Walk Among the Tombstones"/>
        <s v="Fled"/>
        <s v="Avat"/>
        <s v="Sherlock Holmes: A Game of Shadows"/>
        <s v="Country Strong"/>
        <s v="Thunderball"/>
        <s v="The Lost City"/>
        <s v="Digimon: The Movie"/>
        <s v="Wimbledon"/>
        <s v="Se7en"/>
        <s v="The Object of My Affection"/>
        <s v="What Just Happened"/>
        <s v="Addicted"/>
        <s v="Insomnia"/>
        <s v="The Crew"/>
        <s v="The Scorpion King"/>
        <s v="The Golden Child"/>
        <s v="Extreme Ops"/>
        <s v="Shark Tale"/>
        <s v="American Hustle"/>
        <s v="Bound"/>
        <s v="Sliding Doors"/>
        <s v="Star Trek Beyond"/>
        <s v="Aquamarine"/>
        <s v="Star Trek Into Darkness"/>
        <s v="Medicine Man"/>
        <s v="Krampus"/>
        <s v="Wah-Wah"/>
        <s v="District B13"/>
        <s v="The Pirates! Band of Misfits"/>
        <s v="The Bridge of San Luis Rey"/>
        <s v="In Dreams"/>
        <s v="Highlander: The Final Dimension"/>
        <s v="Iron Man 2"/>
        <s v="Tombstone"/>
        <s v="My Cousin Vinny"/>
        <s v="The Nutcracker"/>
        <s v="Magic Mike XXL"/>
        <s v="Salvation Boulevard"/>
        <s v="Don Juan DeMarco"/>
        <s v="Resident Evil: Afterlife"/>
        <s v="The New World"/>
        <s v="Noah"/>
        <s v="Bran Nue Dae"/>
        <s v="Any Given Sunday"/>
        <s v="Prison"/>
        <s v="While We're Young"/>
        <s v="Free State of Jones"/>
        <s v="Frozen River"/>
        <s v="[Rec] 2"/>
        <s v="Dodgeball: A True Underdog Story"/>
        <s v="The Best Man"/>
        <s v="Shooter"/>
        <s v="Born to Fly: Elizabeth Streb vs. Gravity"/>
        <s v="Return to Me"/>
        <s v="An Alan Smithee Film: Burn Hollywood Burn"/>
        <s v="Rollerball"/>
        <s v="Goldfinger"/>
        <s v="Down to You"/>
        <s v="Becoming Jane"/>
        <s v="The Woman Chaser"/>
        <s v="Friends with Money"/>
        <s v="The Intern"/>
        <s v="Open Range"/>
        <s v="Flyboys"/>
        <s v="The Apostle"/>
        <s v="Instructions Not Included"/>
        <s v="Serving Sara"/>
        <s v="Employee of the Month"/>
        <s v="Tae Guk Gi: The Brotherhood of War"/>
        <s v="Inside Man"/>
        <s v="Boiler Room"/>
        <s v="The Jackal"/>
        <s v="Secretary"/>
        <s v="Hesher"/>
        <s v="Arthur Christmas"/>
        <s v="Casino"/>
        <s v="Night Watch"/>
        <s v="Out of Africa"/>
        <s v="The Blood of Heroes"/>
        <s v="Angela's Ashes"/>
        <s v="Radio"/>
        <s v="Shaun of the Dead"/>
        <s v="King's Ransom"/>
        <s v="Saint Ralph"/>
        <s v="White Oleander"/>
        <s v="The Constant Gardener"/>
        <s v="Spy Hard"/>
        <s v="Stoker"/>
        <s v="The Specialist"/>
        <s v="The Good German"/>
        <s v="Thirteen Days"/>
        <s v="The Godfather: Part II"/>
        <s v="As It Is in Heaven"/>
        <s v="Summer of Sam"/>
        <s v="Pontypool"/>
        <s v="Machete Kills"/>
        <s v="The Marine"/>
        <s v="Octopussy"/>
        <s v="Captain America: The Winter Soldier"/>
        <s v="The Missing Person"/>
        <s v="The Lost Skeleton of Cadavra"/>
        <s v="Kangaroo Jack"/>
        <s v="The Wrestler"/>
        <s v="The Bucket List"/>
        <s v="Chasing Amy"/>
        <s v="House of Sand and Fog"/>
        <s v="Dawn of the Planet of the Apes"/>
        <s v="The Promise"/>
        <s v="Anna and the King"/>
        <s v="Hugo"/>
        <s v="Taken 3"/>
        <s v="Beginners"/>
        <s v="Beautiful Creatures"/>
        <s v="Where the Heart Is"/>
        <s v="Awake"/>
        <s v="Scott Pilgrim vs. the World"/>
        <s v="My Sister's Keeper"/>
        <s v="Hairspray"/>
        <s v="5 Days of War"/>
        <s v="The Shipping News"/>
        <s v="Alive"/>
        <s v="Unstoppable"/>
        <s v="River's Edge"/>
        <s v="Hitch"/>
        <s v="The Rookie"/>
        <s v="Groove"/>
        <s v="November"/>
        <s v="Children of Heaven"/>
        <s v="Here on Earth"/>
        <s v="The Fan"/>
        <s v="Tim and Eric's Billion Dollar Movie"/>
        <s v="The Water Diviner"/>
        <s v="The Game of Their Lives"/>
        <s v="First Knight"/>
        <s v="Short Cut to Nirvana: Kumbh Mela"/>
        <s v="ChÃ©ri"/>
        <s v="Holes"/>
        <s v="Rent"/>
        <s v="Cliffhanger"/>
        <s v="ParaNorman"/>
        <s v="Wonder Boys"/>
        <s v="Unforgiven"/>
        <s v="Crocodile Dundee II"/>
        <s v="The Debt"/>
        <s v="Last Orders"/>
        <s v="The Other Boleyn Girl"/>
        <s v="Paul Blart: Mall Cop 2"/>
        <s v="Joe Somebody"/>
        <s v="Red Dragon"/>
        <s v="Blue Crush"/>
        <s v="Bernie"/>
        <s v="Martin Lawrence Live: Runteldat"/>
        <s v="The Martian"/>
        <s v="On the Line"/>
        <s v="Dracula: Pages from a Virgin's Diary"/>
        <s v="Frailty"/>
        <s v="Pirates of the Caribbean: On Stranger Tides"/>
        <s v="Insidious: Chapter 2"/>
        <s v="Everyone Says I Love You"/>
        <s v="Shine"/>
        <s v="The Hunger Games: Catching Fire"/>
        <s v="Star Trek VI: The Undiscovered Country"/>
        <s v="The Beast from 20,000 Fathoms"/>
        <s v="Abandon"/>
        <s v="Inherent Vice"/>
        <s v="Harry Potter and the Chamber of Secrets"/>
        <s v="The League of Extraordinary Gentlemen"/>
        <s v="Dressed to Kill"/>
        <s v="Thomas and the Magic Railroad"/>
        <s v="A Million Ways to Die in the West"/>
        <s v="Among Giants"/>
        <s v="Cry Freedom"/>
        <s v="The Grace Card"/>
        <s v="The Legend of the Lone Ranger"/>
        <s v="Scary Movie 2"/>
        <s v="I, Robot"/>
        <s v="Laws of Attraction"/>
        <s v="Bella"/>
        <s v="A Nightmare on Elm Street 5: The Dream Child"/>
        <s v="Legend of the Guardians: The Owls of Ga'Hoole"/>
        <s v="Aloft"/>
        <s v="Josie and the Pussycats"/>
        <s v="Diary of a Wimpy Kid: Rodrick Rules"/>
        <s v="The Ladykillers"/>
        <s v="I Am Sam"/>
        <s v="Rambo III"/>
        <s v="Micmacs"/>
        <s v="Stone"/>
        <s v="The Age of Adaline"/>
        <s v="Babe: Pig in the City"/>
        <s v="Dolphin Tale"/>
        <s v="Not Easily Broken"/>
        <s v="Beyond the Mat"/>
        <s v="The Siege"/>
        <s v="All the Real Girls"/>
        <s v="Invictus"/>
        <s v="The Green Inferno"/>
        <s v="The Homesman"/>
        <s v="The Green Mile"/>
        <s v="The Business of Fancydancing"/>
        <s v="The Children of Huang Shi"/>
        <s v="Duplicity"/>
        <s v="30 Minutes or Less"/>
        <s v="8: The Mormon Proposition"/>
        <s v="The Informant!"/>
        <s v="A Christmas Carol"/>
        <s v="Street Kings"/>
        <s v="Disturbing Behavior"/>
        <s v="Mongol: The Rise of Genghis Khan"/>
        <s v="The Adventures of Tintin"/>
        <s v="Blended"/>
        <s v="WALLÂ·E"/>
        <s v="Go for It!"/>
        <s v="House of 1000 Corpses"/>
        <s v="The Alamo"/>
        <s v="Valiant"/>
        <s v="Babel"/>
        <s v="Eragon"/>
        <s v="Bobby"/>
        <s v="Fuel"/>
        <s v="Diary of a Wimpy Kid: Dog Days"/>
        <s v="Shooting Fish"/>
        <s v="Rubber"/>
        <s v="Under the Rainbow"/>
        <s v="Bowling for Columbine"/>
        <s v="Taken"/>
        <s v="April Fool's Day"/>
        <s v="Open Season"/>
        <s v="Reindeer Games"/>
        <s v="Happy Feet"/>
        <s v="March of the Penguins"/>
        <s v="Bend It Like Beckham"/>
        <s v="Charlie's Angels"/>
        <s v="Elf"/>
        <s v="Rio"/>
        <s v="Boogeyman"/>
        <s v="Henry V"/>
        <s v="No Country for Old Men"/>
        <s v="Alien"/>
        <s v="The Matador"/>
        <s v="The Descendants"/>
        <s v="The 33"/>
        <s v="Black Rain"/>
        <s v="Master and Commander: The Far Side of the World"/>
        <s v="Last Holiday"/>
        <s v="Evil Dead"/>
        <s v="Buen DÃ­a, RamÃ³n"/>
        <s v="Young Sherlock Holmes"/>
        <s v="Untraceable"/>
        <s v="My Date with Drew"/>
        <s v="Basic"/>
        <s v="How Stella Got Her Groove Back"/>
        <s v="Mighty Joe Young"/>
        <s v="Quantum of Solace"/>
        <s v="The Bridge on the River Kwai"/>
        <s v="The Chronicles of Narnia: The Lion, the Witch and the Wardrobe"/>
        <s v="True Lies"/>
        <s v="Couples Retreat"/>
        <s v="The Mechanic"/>
        <s v="Hero"/>
        <s v="A Time to Kill"/>
        <s v="The Way Way Back"/>
        <s v="Rumble in the Bronx"/>
        <s v="Queen of the Damned"/>
        <s v="The Last Song"/>
        <s v="Finding Nemo"/>
        <s v="Animal House"/>
        <s v="Detroit Rock City"/>
        <s v="Antitrust"/>
        <s v="Home on the Range"/>
        <s v="Christmas with the Kranks"/>
        <s v="A Prairie Home Companion"/>
        <s v="Friday the 13th: The Final Chapter"/>
        <s v="Small Time Crooks"/>
        <s v="Silent Hill: Revelation 3D"/>
        <s v="Basquiat"/>
        <s v="The Good Girl"/>
        <s v="Into the Woods"/>
        <s v="Stepmom"/>
        <s v="The Animal"/>
        <s v="The Best Little Whorehouse in Texas"/>
        <s v="Phone Booth"/>
        <s v="Someone Like You..."/>
        <s v="Jeff, Who Lives at Home"/>
        <s v="The Legend of Bagger Vance"/>
        <s v="Miss Potter"/>
        <s v="Little Shop of Horrors"/>
        <s v="Eraser"/>
        <s v="Out of Sight"/>
        <s v="Ip Man 3"/>
        <s v="Bad Boys"/>
        <s v="The Killer Inside Me"/>
        <s v="United 93"/>
        <s v="Michael Clayton"/>
        <s v="The Battle of Shaker Heights"/>
        <s v="The Green Hornet"/>
        <s v="Driven"/>
        <s v="Bullet to the Head"/>
        <s v="Witness"/>
        <s v="My Blueberry Nights"/>
        <s v="Conan the Destroyer"/>
        <s v="Jurassic Park III"/>
        <s v="The Skeleton Key"/>
        <s v="Boogie Nights"/>
        <s v="Sex Drive"/>
        <s v="La otra conquista"/>
        <s v="Silent House"/>
        <s v="Primer"/>
        <s v="Eye for an Eye"/>
        <s v="Downfall"/>
        <s v="Georgia Rule"/>
        <s v="Percy Jackson: Sea of Monsters"/>
        <s v="Winter's Tale"/>
        <s v="Stand by Me"/>
        <s v="I Am Love"/>
        <s v="Lone Wolf McQuade"/>
        <s v="Major League"/>
        <s v="The New Guy"/>
        <s v="The Chorus"/>
        <s v="Daddy Day Camp"/>
        <s v="The Loss of Sexual Innocence"/>
        <s v="Jackie Brown"/>
        <s v="Blade"/>
        <s v="The Break-Up"/>
        <s v="The Puffy Chair"/>
        <s v="The House of the Devil"/>
        <s v="Town &amp; Country"/>
        <s v="The Ugly Truth"/>
        <s v="The Muse"/>
        <s v="Space Jam"/>
        <s v="Turbo"/>
        <s v="Scoop"/>
        <s v="Goal! The Dream Begins"/>
        <s v="Split Second"/>
        <s v="Nowhere to Run"/>
        <s v="The Hoax"/>
        <s v="My Fair Lady"/>
        <s v="What's Your Number?"/>
        <s v="Dance Flick"/>
        <s v="Legally Blonde"/>
        <s v="Stake Land"/>
        <s v="High School Musical 3: Senior Year"/>
        <s v="47 Ronin"/>
        <s v="The Curious Case of Benjamin Button"/>
        <s v="Gory Gory Hallelujah"/>
        <s v="Teenage Mutant Ninja Turtles III"/>
        <s v="The Lords of Salem"/>
        <s v="Nixon"/>
        <s v="In the Company of Men"/>
        <s v="Captain America: The First Avenger"/>
        <s v="The Triplets of Belleville"/>
        <s v="Tangled"/>
        <s v="Birdman or (The Unexpected Virtue of Ignorance)"/>
        <s v="A Nightmare on Elm Street 4: The Dream Master"/>
        <s v="The Secret Life of Bees"/>
        <s v="A Home at the End of the World"/>
        <s v="Dear Wendy"/>
        <s v="Enough Said"/>
        <s v="Pretty Woman"/>
        <s v="Agent Cody Banks 2: Destination London"/>
        <s v="The Astronaut Farmer"/>
        <s v="Cats &amp; Dogs: The Revenge of Kitty Galore"/>
        <s v="Human Traffic"/>
        <s v="Prom Night"/>
        <s v="The Trials of Darryl Hunt"/>
        <s v="Minions"/>
        <s v="Parental Guidance"/>
        <s v="Wanted"/>
        <s v="The Fault in Our Stars"/>
        <s v="12 Rounds"/>
        <s v="Born on the Fourth of July"/>
        <s v="Arthur and the Invisibles"/>
        <s v="The East"/>
        <s v="Gran Torino"/>
        <s v="Legends of the Fall"/>
        <s v="What Lies Beneath"/>
        <s v="The Blind Side"/>
        <s v="Did You Hear About the Morgans?"/>
        <s v="Captain America: Civil War"/>
        <s v="Scooby-Doo 2: Monsters Unleashed"/>
        <s v="About a Boy"/>
        <s v="Top Spin"/>
        <s v="Marvin's Room"/>
        <s v="I Spy"/>
        <s v="Journey 2: The Mysterious Island"/>
        <s v="A League of Their Own"/>
        <s v="Broken Vessels"/>
        <s v="Collateral Damage"/>
        <s v="Must Love Dogs"/>
        <s v="Escape Plan"/>
        <s v="Save the Last Dance"/>
        <s v="Insidious: Chapter 3"/>
        <s v="Zoolander 2"/>
        <s v="Crocodile Dundee"/>
        <s v="Tsotsi"/>
        <s v="Jason X"/>
        <s v="Fort McCoy"/>
        <s v="The Host"/>
        <s v="Jingle All the Way"/>
        <s v="Tango &amp; Cash"/>
        <s v="20 Feet from Stardom"/>
        <s v="Fahrenheit 9/11"/>
        <s v="Analyze This"/>
        <s v="Ghost Rider: Spirit of Vengeance"/>
        <s v="The Replacements"/>
        <s v="American Pie"/>
        <s v="The International"/>
        <s v="2016: Obama's America"/>
        <s v="Repo! The Genetic Opera"/>
        <s v="Bowfinger"/>
        <s v="The Waterboy"/>
        <s v="Two Lovers"/>
        <s v="Money Monster"/>
        <s v="The Count of Monte Cristo"/>
        <s v="Predator"/>
        <s v="Girl, Interrupted"/>
        <s v="Barbershop"/>
        <s v="Dead Man Down"/>
        <s v="Step Up 3D"/>
        <s v="Shrek"/>
        <s v="X-Men 2"/>
        <s v="The Ballad of Jack and Rose"/>
        <s v="The Transporter"/>
        <s v="Dragon Wars: D-War"/>
        <s v="Diary of a Mad Black Woman"/>
        <s v="Meet the Deedles"/>
        <s v="Flirting with Disaster"/>
        <s v="Flatliners"/>
        <s v="17 Again"/>
        <s v="An Ideal Husband"/>
        <s v="After.Life"/>
        <s v="Zero Effect"/>
        <s v="Six-String Samurai"/>
        <s v="Black Christmas"/>
        <s v="The Hobbit: The Battle of the Five Armies"/>
        <s v="War"/>
        <s v="Excessive Force"/>
        <s v="Rocky Balboa"/>
        <s v="The Quiet"/>
        <s v="Sea of Love"/>
        <s v="The Phantom of the Opera"/>
        <s v="An American Haunting"/>
        <s v="Space Chimps"/>
        <s v="3 Men and a Baby"/>
        <s v="The Hunchback of Notre Dame"/>
        <s v="Takers"/>
        <s v="Call + Response"/>
        <s v="Ali"/>
        <s v="Anchorman: The Legend of Ron Burgundy"/>
        <s v="Antarctica: A Year on Ice"/>
        <s v="A Dog of Flanders"/>
        <s v="Evita"/>
        <s v="Star Trek II: The Wrath of Khan"/>
        <s v="Charlie St. Cloud"/>
        <s v="The Lincoln Lawyer"/>
        <s v="Deconstructing Harry"/>
        <s v="From Paris with Love"/>
        <s v="Wristcutters: A Love Story"/>
        <s v="The Social Network"/>
        <s v="Summer Catch"/>
        <s v="Harold &amp; Kumar Go to White Castle"/>
        <s v="Super Mario Bros."/>
        <s v="The Lost World: Jurassic Park"/>
        <s v="Head of State"/>
        <s v="The Perfect Storm"/>
        <s v="Cloudy with a Chance of Meatballs"/>
        <s v="Valentine's Day"/>
        <s v="Cube"/>
        <s v="Righteous Kill"/>
        <s v="Soul Surfer"/>
        <s v="I'm Not There."/>
        <s v="Soul Food"/>
        <s v="The Lazarus Effect"/>
        <s v="Shanghai Knights"/>
        <s v="Hop"/>
        <s v="The Innkeepers"/>
        <s v="Premonition"/>
        <s v="Surf's Up"/>
        <s v="You Only Live Twice"/>
        <s v="The River Wild"/>
        <s v="Walk Hard: The Dewey Cox Story"/>
        <s v="Cheaper by the Dozen 2"/>
        <s v="The Rugrats Movie"/>
        <s v="Burnt"/>
        <s v="GoldenEye"/>
        <s v="One Hour Photo"/>
        <s v="Mercury Rising"/>
        <s v="Safety Not Guaranteed"/>
        <s v="Raising Helen"/>
        <s v="Alien 3"/>
        <s v="Mona Lisa Smile"/>
        <s v="Oliver Twist"/>
        <s v="Wolf"/>
        <s v="Angel Eyes"/>
        <s v="Eddie: The Sleepwalking Cannibal"/>
        <s v="Godsend"/>
        <s v="The Ghastly Love of Johnny X"/>
        <s v="Shall We Dance"/>
        <s v="The Thing"/>
        <s v="The Ghost and the Darkness"/>
        <s v="O Brother, Where Art Thou?"/>
        <s v="Sea Rex 3D: Journey to a Prehistoric World"/>
        <s v="Made of Honor"/>
        <s v="Flipped"/>
        <s v="The Italian Job"/>
        <s v="Deceptive Practice: The Mysteries and Mentors of Ricky Jay"/>
        <s v="Happy Feet 2"/>
        <s v="Gone in Sixty Seconds"/>
        <s v="The Big Year"/>
        <s v="The Relic"/>
        <s v="Twins"/>
        <s v="Drillbit Taylor"/>
        <s v="Kingdom of the Spiders"/>
        <s v="Ulee's Gold"/>
        <s v="Closer"/>
        <s v="The Curse of the Were-Rabbit"/>
        <s v="Gone Girl"/>
        <s v="Leatherheads"/>
        <s v="Central Station"/>
        <s v="Charlie Bartlett"/>
        <s v="The Life Before Her Eyes"/>
        <s v="Gattaca"/>
        <s v="Jupiter Ascending"/>
        <s v="Leap Year"/>
        <s v="Ocean's Twelve"/>
        <s v="Treasure Planet"/>
        <s v="Immortals"/>
        <s v="16 Blocks"/>
        <s v="Lions for Lambs"/>
        <s v="Beastmaster 2: Through the Portal of Time"/>
        <s v="Scary Movie 3"/>
        <s v="Aloha"/>
        <s v="The Guru"/>
        <s v="Tadpole"/>
        <s v="Bloodsport"/>
        <s v="Battlefield Earth"/>
        <s v="X-Men: First Class"/>
        <s v="The Terminal"/>
        <s v="The Game"/>
        <s v="The Lady from Shanghai"/>
        <s v="Inglourious Basterds"/>
        <s v="Star Trek IV: The Voyage Home"/>
        <s v="Cats Don't Dance"/>
        <s v="Underworld: Evolution"/>
        <s v="Autumn in New York"/>
        <s v="Amistad"/>
        <s v="This Means War"/>
        <s v="Eulogy"/>
        <s v="X-Men: Days of Future Past"/>
        <s v="Being Julia"/>
        <s v="Bridge to Terabithia"/>
        <s v="The Client"/>
        <s v="The Illusionist"/>
        <s v="My Life in Ruins"/>
        <s v="Urbania"/>
        <s v="Pixels"/>
        <s v="The Vatican Tapes"/>
        <s v="You Again"/>
        <s v="The Bounty"/>
        <s v="Step Up 2: The Streets"/>
        <s v="A Scanner Darkly"/>
        <s v="The Indian in the Cupboard"/>
        <s v="Sinbad: Legend of the Seven Seas"/>
        <s v="Down and Out with the Dolls"/>
        <s v="License to Wed"/>
        <s v="Black Book"/>
        <s v="Deep Blue Sea"/>
        <s v="Victor Frankenstein"/>
        <s v="The Theory of Everything"/>
        <s v="For Greater Glory: The True Story of Cristiada"/>
        <s v="Cinco de Mayo, La Batalla"/>
        <s v="The Hunger Games: Mockingjay - Part 1"/>
        <s v="Atlas Shrugged II: The Strike"/>
        <s v="Predator 2"/>
        <s v="London Has Fallen"/>
        <s v="The Painted Veil"/>
        <s v="Brave"/>
        <s v="Suspect Zero"/>
        <s v="Keeping the Faith"/>
        <s v="Seven Years in Tibet"/>
        <s v="Pocahontas"/>
        <s v="On the Road"/>
        <s v="Bedazzled"/>
        <s v="Seeking a Friend for the End of the World"/>
        <s v="Star Wars: Episode V - The Empire Strikes Back"/>
        <s v="Scream 3"/>
        <s v="How the Grinch Stole Christmas"/>
        <s v="Yes"/>
        <s v="Hey Arnold! The Movie"/>
        <s v="The Original Kings of Comedy"/>
        <s v="Our Brand Is Crisis"/>
        <s v="Narc"/>
        <s v="Big Hero 6"/>
        <s v="Running Scared"/>
        <s v="Poolhall Junkies"/>
        <s v="The Wackness"/>
        <s v="New Nightmare"/>
        <s v="Hearts in Atlantis"/>
        <s v="Character"/>
        <s v="Allegiant"/>
        <s v="Edge of Darkness"/>
        <s v="The Iron Lady"/>
        <s v="Fright Night"/>
        <s v="Zookeeper"/>
        <s v="Spy Kids: All the Time in the World in 4D"/>
        <s v="The Broken Hearts Club: A Romantic Comedy"/>
        <s v="Letters from Iwo Jima"/>
        <s v="Hardball"/>
        <s v="Stripes"/>
        <s v="Edge of Tomorrow"/>
        <s v="My Name Is Khan"/>
        <s v="The House of Mirth"/>
        <s v="Ã†on Flux"/>
        <s v="The Shaggy Dog"/>
        <s v="Airborne"/>
        <s v="Identity Thief"/>
        <s v="The Man with the Golden Gun"/>
        <s v="The Back-up Plan"/>
        <s v="Defendor"/>
        <s v="Baby Geniuses"/>
        <s v="One Night with the King"/>
        <s v="Street Fighter"/>
        <s v="The Dangerous Lives of Altar Boys"/>
        <s v="From Hell"/>
        <s v="Muppets Most Wanted"/>
        <s v="Man on a Ledge"/>
        <s v="The Peacemaker"/>
        <s v="Waiting for Guffman"/>
        <s v="The Campaign"/>
        <s v="The Country Bears"/>
        <s v="Not Cool"/>
        <s v="Pride and Glory"/>
        <s v="Spider-Man 2"/>
        <s v="Ratatouille"/>
        <s v="Abraham Lincoln: Vampire Hunter"/>
        <s v="The Longshots"/>
        <s v="The Mummy Returns"/>
        <s v="Catch a Fire"/>
        <s v="Talladega Nights: The Ballad of Ricky Bobby"/>
        <s v="The Sea Inside"/>
        <s v="Burn After Reading"/>
        <s v="Dr. Dolittle 2"/>
        <s v="Fantastic 4: Rise of the Silver Surfer"/>
        <s v="Back to the Future Part II"/>
        <s v="Drag Me to Hell"/>
        <s v="UHF"/>
        <s v="Thirteen"/>
        <s v="Pitch Perfect 2"/>
        <s v="Crossroads"/>
        <s v="The Straight Story"/>
        <s v="Flashdance"/>
        <s v="Dead Man Walking"/>
        <s v="Barnyard"/>
        <s v="Infamous"/>
        <s v="The Assassin"/>
        <s v="Walking with Dinosaurs 3D"/>
        <s v="Can't Hardly Wait"/>
        <s v="Brick Mansions"/>
        <s v="Without a Paddle"/>
        <s v="The Texas Chain Saw Massacre"/>
        <s v="Jarhead"/>
        <s v="Clerks"/>
        <s v="Brooklyn"/>
        <s v="Twilight Zone: The Movie"/>
        <s v="Clueless"/>
        <s v="Three Burials"/>
        <s v="The Vow"/>
        <s v="The Greatest"/>
        <s v="Spy Kids 2: Island of Lost Dreams"/>
        <s v="The Work and the Glory II: American Zion"/>
        <s v="Swingers"/>
        <s v="The Words"/>
        <s v="Nowhere in Africa"/>
        <s v="Fatal Attraction"/>
        <s v="Wrong Turn"/>
        <s v="The Last Godfather"/>
        <s v="Max Payne"/>
        <s v="It's Complicated"/>
        <s v="Waking Ned Devine"/>
        <s v="The Legend of Zorro"/>
        <s v="The Roommate"/>
        <s v="The Family Man"/>
        <s v="Aberdeen"/>
        <s v="Annie Hall"/>
        <s v="Deep Rising"/>
        <s v="Corpse Bride"/>
        <s v="Kingpin"/>
        <s v="Rabbit Hole"/>
        <s v="See Spot Run"/>
        <s v="Ransom"/>
        <s v="10 Days in a Madhouse"/>
        <s v="O"/>
        <s v="Without Limits"/>
        <s v="Superman Returns"/>
        <s v="The Last Emperor"/>
        <s v="Sarah's Key"/>
        <s v="Alvin and the Chipmunks: The Road Chip"/>
        <s v="Boyz n the Hood"/>
        <s v="Bruce Almighty"/>
        <s v="Milk"/>
        <s v="Das Boot"/>
        <s v="A Bridge Too Far"/>
        <s v="Bulletproof Monk"/>
        <s v="The Express"/>
        <s v="Strange Wilderness"/>
        <s v="Think Like a Man Too"/>
        <s v="Timecrimes"/>
        <s v="Robots"/>
        <s v="Halloween 4: The Return of Michael Myers"/>
        <s v="Undiscovered"/>
        <s v="Around the World in 80 Days"/>
        <s v="Observe and Report"/>
        <s v="3 Ninjas Kick Back"/>
        <s v="Heavenly Creatures"/>
        <s v="Kissing Jessica Stein"/>
        <s v="Chain Reaction"/>
        <s v="Mission: Impossible"/>
        <s v="Cutthroat Island"/>
        <s v="Anaconda"/>
        <s v="One Missed Call"/>
        <s v="Incident at Loch Ness"/>
        <s v="Dick"/>
        <s v="Beloved"/>
        <s v="Repo Men"/>
        <s v="Hannibal Rising"/>
        <s v="Tin Cup"/>
        <s v="Congo"/>
        <s v="Enchanted"/>
        <s v="A Most Violent Year"/>
        <s v="Fever Pitch"/>
        <s v="Ta Ra Rum Pum"/>
        <s v="Land of the Dead"/>
        <s v="The Emperor's Club"/>
        <s v="X-Men: The Last Stand"/>
        <s v="The Devil's Own"/>
        <s v="Just Like Heaven"/>
        <s v="Just Go with It"/>
        <s v="Office Space"/>
        <s v="Hustle &amp; Flow"/>
        <s v="Barney's Great Adventure"/>
        <s v="Hard Rain"/>
        <s v="Pain &amp; Gain"/>
        <s v="What a Girl Wants"/>
        <s v="In the Bedroom"/>
        <s v="Thir13en Ghosts"/>
        <s v="Apocalypto"/>
        <s v="How to Deal"/>
        <s v="1911"/>
        <s v="Whipped"/>
        <s v="The Big Hit"/>
        <s v="The Invention of Lying"/>
        <s v="Nick and Norah's Infinite Playlist"/>
        <s v="Swimfan"/>
        <s v="The Mortal Instruments: City of Bones"/>
        <s v="Beerfest"/>
        <s v="Do the Right Thing"/>
        <s v="Live and Let Die"/>
        <s v="Fantasia"/>
        <s v="Mondays in the Sun"/>
        <s v="Smoke Signals"/>
        <s v="An Education"/>
        <s v="Oldboy"/>
        <s v="Extract"/>
        <s v="Pi"/>
        <s v="The Kite Runner"/>
        <s v="Star Trek III: The Search for Spock"/>
        <s v="Your Highness"/>
        <s v="The Adventurer: The Curse of the Midas Box"/>
        <s v="Wag the Dog"/>
        <s v="Seabiscuit"/>
        <s v="Star Trek: The Motion Picture"/>
        <s v="Pitch Perfect"/>
        <s v="Friday the 13th Part VIII: Jason Takes Manhattan"/>
        <s v="Caravans"/>
        <s v="Blue Valentine"/>
        <s v="The Blues Brothers"/>
        <s v="Self/less"/>
        <s v="Switchback"/>
        <s v="Stuart Little 2"/>
        <s v="Drive"/>
        <s v="I Served the King of England"/>
        <s v="Veronica Guerin"/>
        <s v="Aladdin"/>
        <s v="Armored"/>
        <s v="Wasabi"/>
        <s v="Edward Scissorhands"/>
        <s v="The Postman"/>
        <s v="Bubble Boy"/>
        <s v="Mr. &amp; Mrs. Smith"/>
        <s v="Daybreakers"/>
        <s v="Metropolis"/>
        <s v="The Orphanage"/>
        <s v="The Day After Tomorrow"/>
        <s v="If I Stay"/>
        <s v="Shaolin Soccer"/>
        <s v="G.I. Joe: The Rise of Cobra"/>
        <s v="Sydney White"/>
        <s v="The Last Time I Committed Suicide"/>
        <s v="A Separation"/>
        <s v="Vampires Suck"/>
        <s v="Aqua Teen Hunger Force Colon Movie Film for Theaters"/>
        <s v="Monsters vs. Aliens"/>
        <s v="Connie and Carla"/>
        <s v="Darkness Falls"/>
        <s v="Men with Brooms"/>
        <s v="Never Let Me Go"/>
        <s v="AVP: Alien vs. Predator"/>
        <s v="Bright Star"/>
        <s v="28 Days"/>
        <s v="Jennifer's Body"/>
        <s v="Scooby-Doo"/>
        <s v="The Nut Job"/>
        <s v="The Wolfman"/>
        <s v="Cars"/>
        <s v="Blade II"/>
        <s v="Escape from Alcatraz"/>
        <s v="Megamind"/>
        <s v="The Gallows"/>
        <s v="Nim's Island"/>
        <s v="Before Sunrise"/>
        <s v="Patch Adams"/>
        <s v="Casa de mi Padre"/>
        <s v="Exotica"/>
        <s v="Super Troopers"/>
        <s v="You Kill Me"/>
        <s v="Anacondas: The Hunt for the Blood Orchid"/>
        <s v="Titan A.E."/>
        <s v="The Best Man Holiday"/>
        <s v="Duel in the Sun"/>
        <s v="Bridget Jones's Diary"/>
        <s v="Back to the Future"/>
        <s v="Lovely, Still"/>
        <s v="The SpongeBob Movie: Sponge Out of Water"/>
        <s v="Seed of Chucky"/>
        <s v="Showdown in Little Tokyo"/>
        <s v="Star Trek: Insurrection"/>
        <s v="Derailed"/>
        <s v="Child's Play 2"/>
        <s v="The Prestige"/>
        <s v="The Rundown"/>
        <s v="Boynton Beach Club"/>
        <s v="Machine Gun Preacher"/>
        <s v="The Game Plan"/>
        <s v="xXx"/>
        <s v="28 Weeks Later"/>
        <s v="Peaceful Warrior"/>
        <s v="Trust"/>
        <s v="Cop Land"/>
        <s v="Tropic Thunder"/>
        <s v="Home Alone 2: Lost in New York"/>
        <s v="Blazing Saddles"/>
        <s v="Men in Black II"/>
        <s v="Message in a Bottle"/>
        <s v="Hit and Run"/>
        <s v="Sunshine"/>
        <s v="Saw VI"/>
        <s v="Red Planet"/>
        <s v="Rush Hour 3"/>
        <s v="Ride Along 2"/>
        <s v="The Incredibles"/>
        <s v="Y Tu MamÃ¡ TambiÃ©n"/>
        <s v="After Earth"/>
        <s v="Safe Men"/>
        <s v="The Hunger Games: Mockingjay - Part 2"/>
        <s v="Divine Secrets of the Ya-Ya Sisterhood"/>
        <s v="A Serious Man"/>
        <s v="Raise Your Voice"/>
        <s v="Martian Child"/>
        <s v="Annabelle"/>
        <s v="Hamlet"/>
        <s v="And So It Goes"/>
        <s v="Changing Lanes"/>
        <s v="Alpha and Omega"/>
        <s v="Teen Wolf Too"/>
        <s v="Married Life"/>
        <s v="Room"/>
        <s v="Quills"/>
        <s v="Like Crazy"/>
        <s v="Planet 51"/>
        <s v="The Last Temptation of Christ"/>
        <s v="The Iceman"/>
        <s v="Escape from L.A."/>
        <s v="Just My Luck"/>
        <s v="Amigo"/>
        <s v="Isn't She Great"/>
        <s v="Wayne's World"/>
        <s v="Let Me In"/>
        <s v="The R.M."/>
        <s v="A Very Harold &amp; Kumar 3D Christmas"/>
        <s v="Final Destination 2"/>
        <s v="The Greatest Show on Earth"/>
        <s v="American Graffiti"/>
        <s v="Source Code"/>
        <s v="Bullets Over Broadway"/>
        <s v="Paddington"/>
        <s v="Flame and Citron"/>
        <s v="Ramona and Beezus"/>
        <s v="Bad Boys II"/>
        <s v="Doctor Zhivago"/>
        <s v="Mrs Henderson Presents"/>
        <s v="Kung Fu Killer"/>
        <s v="Very Bad Things"/>
        <s v="White Noise"/>
        <s v="Miracle at St. Anna"/>
        <s v="Miss Congeniality 2: Armed and Fabulous"/>
        <s v="The Grudge 2"/>
        <s v="Antz"/>
        <s v="The Broadway Melody"/>
        <s v="Valkyrie"/>
        <s v="Slums of Beverly Hills"/>
        <s v="Big Momma's House 2"/>
        <s v="The Life of David Gale"/>
        <s v="Life of Pi"/>
        <s v="Eat Pray Love"/>
        <s v="The Cell"/>
        <s v="Monsters, Inc."/>
        <s v="Who's Your Caddy?"/>
        <s v="Dirty Pretty Things"/>
        <s v="Never Back Down"/>
        <s v="The Bridges of Madison County"/>
        <s v="The Blair Witch Project"/>
        <s v="Lara Croft Tomb Raider: The Cradle of Life"/>
        <s v="Lost in Space"/>
        <s v="Slow Burn"/>
        <s v="Despicable Me 2"/>
        <s v="A Good Day to Die Hard"/>
        <s v="Die Another Day"/>
        <s v="Starsky &amp; Hutch"/>
        <s v="All the Queen's Men"/>
        <s v="The Pianist"/>
        <s v="Mirrormask"/>
        <s v="City of Ghosts"/>
        <s v="The Addams Family"/>
        <s v="Mystery Men"/>
        <s v="Traffic"/>
        <s v="Kung Fu Panda 2"/>
        <s v="Ruby in Paradise"/>
        <s v="Big Fish"/>
        <s v="I Don't Know How She Does It"/>
        <s v="Running with Scissors"/>
        <s v="Kung Fu Panda 3"/>
        <s v="Furry Vengeance"/>
        <s v="Blackhat"/>
        <s v="The Interview"/>
        <s v="Vera Drake"/>
        <s v="Surrogates"/>
        <s v="Spirit: Stallion of the Cimarron"/>
        <s v="One Direction: This Is Us"/>
        <s v="Diary of the Dead"/>
        <s v="Rain Man"/>
        <s v="The Adventures of Ford Fairlane"/>
        <s v="On the Waterfront"/>
        <s v="The Man Who Knew Too Little"/>
        <s v="The Book of Life"/>
        <s v="Wendy and Lucy"/>
        <s v="Spectr"/>
        <s v="Mean Streets"/>
        <s v="Once Upon a Time in America"/>
        <s v="The Purge: Anarchy"/>
        <s v="Silent Hill"/>
        <s v="Toy Story 3"/>
        <s v="No Reservations"/>
        <s v="Jaws 2"/>
        <s v="BloodRayne"/>
        <s v="The Lizzie McGuire Movie"/>
        <s v="Now You See Me"/>
        <s v="42"/>
        <s v="Shadow Conspiracy"/>
        <s v="Synecdoche, New York"/>
        <s v="Me Before You"/>
        <s v="Nacho Libre"/>
        <s v="Resident Evil: Retribution"/>
        <s v="Terminator Salvation"/>
        <s v="The Young Victoria"/>
        <s v="Light Sleeper"/>
        <s v="Unbreakable"/>
        <s v="Do You Believe?"/>
        <s v="Trucker"/>
        <s v="Air Bud"/>
        <s v="Silver Linings Playbook"/>
        <s v="The Running Man"/>
        <s v="Undisputed"/>
        <s v="Fireproof"/>
        <s v="The Sweet Hereafter"/>
        <s v="High Tension"/>
        <s v="Journey from the Fall"/>
        <s v="Alvin and the Chipmunks"/>
        <s v="The Expendables"/>
        <s v="The Hunted"/>
        <s v="The Negotiator"/>
        <s v="There Will Be Blood"/>
        <s v="Varsity Blues"/>
        <s v="Focus"/>
        <s v="Warm Bodies"/>
        <s v="Airplane!"/>
        <s v="Twister"/>
        <s v="Final Destination 3"/>
        <s v="MacGruber"/>
        <s v="Apollo 13"/>
        <s v="A Few Good Men"/>
        <s v="A Lot Like Love"/>
        <s v="Unaccompanied Minors"/>
        <s v="Salt"/>
        <s v="Curse of the Golden Flower"/>
        <s v="Signs"/>
        <s v="Old Dogs"/>
        <s v="Changeling"/>
        <s v="Reservoir Dogs"/>
        <s v="The Mist"/>
        <s v="Tootsie"/>
        <s v="From a Whisper to a Scream"/>
        <s v="Snow Falling on Cedars"/>
        <s v="The Silence of the Lambs"/>
        <s v="The Fast and the Furious: Tokyo Drift"/>
        <s v="Million Dollar Baby"/>
        <s v="The Best Exotic Marigold Hotel"/>
        <s v="Van Wilder: Party Liaison"/>
        <s v="Harvard Man"/>
        <s v="Meet the Parents"/>
        <s v="Deep Impact"/>
        <s v="Vampire in Brooklyn"/>
        <s v="The Wraith"/>
        <s v="Hollywood Ending"/>
        <s v="City by the Sea"/>
        <s v="Face/Off"/>
        <s v="Steve Jobs"/>
        <s v="Memoirs of an Invisible Man"/>
        <s v="Critical Care"/>
        <s v="Executive Decision"/>
        <s v="Kill the Messenger"/>
        <s v="Mrs. Winterbourne"/>
        <s v="Batman Begins"/>
        <s v="Garfield"/>
        <s v="Stir of Echoes"/>
        <s v="We Own the Night"/>
        <s v="The BFG"/>
        <s v="12 Years a Slave"/>
        <s v="Civil Brand"/>
        <s v="How to Be Single"/>
        <s v="Unfaithful"/>
        <s v="Road House"/>
        <s v="Joy"/>
        <s v="World War Z"/>
        <s v="30 Days of Night"/>
        <s v="Spy Kids 3-D: Game Over"/>
        <s v="Love in the Time of Cholera"/>
        <s v="Sicko"/>
        <s v="The Other End of the Line"/>
        <s v="He's Just Not That Into You"/>
        <s v="Wicker Park"/>
        <s v="Scary Movie 5"/>
        <s v="The Lucky One"/>
        <s v="Election"/>
        <s v="The Immigrant"/>
        <s v="Snow Dogs"/>
        <s v="Blonde Ambition"/>
        <s v="Jumper"/>
        <s v="Les MisÃ©rables"/>
        <s v="Edmond"/>
        <s v="Sicario"/>
        <s v="This Is England"/>
        <s v="Control"/>
        <s v="Poultrygeist: Night of the Chicken Dead"/>
        <s v="Starship Troopers"/>
        <s v="Ballistic: Ecks vs. Sever"/>
        <s v="The Toxic Avenger Part II"/>
        <s v="Harry Potter and the Sorcerer's Stone"/>
        <s v="Vertical Limit"/>
        <s v="Ghosts of Mars"/>
        <s v="Knock Off"/>
        <s v="Antwone Fisher"/>
        <s v="Case 39"/>
        <s v="Aliens in the Attic"/>
        <s v="No Strings Attached"/>
        <s v="You, Me and Dupree"/>
        <s v="Drop Dead Gorgeous"/>
        <s v="Midnight Run"/>
        <s v="The Howling"/>
        <s v="The Descent"/>
        <s v="The Last Witch Hunter"/>
        <s v="Screwed"/>
        <s v="Another Year"/>
        <s v="The Perfect Match"/>
        <s v="Big"/>
        <s v="The Smurfs"/>
        <s v="The Jimmy Show"/>
        <s v="Romeo Is Bleeding"/>
        <s v="Mad Max 2: The Road Warrior"/>
        <s v="Liar Liar"/>
        <s v="The Twilight Saga: Breaking Dawn - Part 2"/>
        <s v="The Horse Boy"/>
        <s v="The Beaver"/>
        <s v="Captain Corelli's Mandolin"/>
        <s v="Prince of Persia: The Sands of Time"/>
        <s v="Interstellar"/>
        <s v="Why Did I Get Married?"/>
        <s v="The Crocodile Hunter: Collision Course"/>
        <s v="The Verdict"/>
        <s v="Witchboard"/>
        <s v="Why Did I Get Married Too?"/>
        <s v="The Bourne Supremacy"/>
        <s v="Hostel"/>
        <s v="Creed"/>
        <s v="Creative Control"/>
        <s v="The Skulls"/>
        <s v="Rescue Dawn"/>
        <s v="Nancy Drew"/>
        <s v="Get Low"/>
        <s v="What Dreams May Come"/>
        <s v="For Your Eyes Only"/>
        <s v="The X Files"/>
        <s v="District 9"/>
        <s v="Bamboozled"/>
        <s v="Notting Hill"/>
        <s v="The Others"/>
        <s v="The Producers"/>
        <s v="Dark City"/>
        <s v="Grudge Match"/>
        <s v="Analyze That"/>
        <s v="The Exorcist"/>
        <s v="Wild Wild West"/>
        <s v="Cry_Wolf"/>
        <s v="W."/>
        <s v="Harry Potter and the Goblet of Fire"/>
        <s v="The Adventures of Pinocchio"/>
        <s v="Madagascar"/>
        <s v="The Act of Killing"/>
        <s v="The Duchess"/>
        <s v="The Adventures of Elmo in Grouchland"/>
        <s v="Contact"/>
        <s v="Friday After Next"/>
        <s v="Albert Nobbs"/>
        <s v="Patriot Games"/>
        <s v="The Sum of All Fears"/>
        <s v="When the Game Stands Tall"/>
        <s v="Code Name: The Cleaner"/>
        <s v="September Dawn"/>
        <s v="All the King's Men"/>
        <s v="Julie &amp; Julia"/>
        <s v="Eve's Bayou"/>
        <s v="Waltz with Bashir"/>
        <s v="Body of Lies"/>
        <s v="The Hunting Party"/>
        <s v="Dark Water"/>
        <s v="Selma"/>
        <s v="Take the Lead"/>
        <s v="Teenage Mutant Ninja Turtles II: The Secret of the Ooze"/>
        <s v="Virtuosity"/>
        <s v="The Greatest Story Ever Told"/>
        <s v="Quigley Down Under"/>
        <s v="City of Life and Death"/>
        <s v="Mean Creek"/>
        <s v="The Benchwarmers"/>
        <s v="My Soul to Take"/>
        <s v="The Witch"/>
        <s v="Kung Fu Hustle"/>
        <s v="Semi-Pro"/>
        <s v="Green Zone"/>
        <s v="Nothing But a Man"/>
        <s v="Censored Voices"/>
        <s v="Bless the Child"/>
        <s v="Central Intelligence"/>
        <s v="21 &amp; Over"/>
        <s v="Brown Sugar"/>
        <s v="Ex Machina"/>
        <s v="Stardust"/>
        <s v="The Impossible"/>
        <s v="The Amazing Spider-Man 2"/>
        <s v="Blue Car"/>
        <s v="The Firm"/>
        <s v="Paul Blart: Mall Cop"/>
        <s v="Howard the Duck"/>
      </sharedItems>
    </cacheField>
    <cacheField name="genres1" numFmtId="0">
      <sharedItems count="17">
        <s v="Adventure"/>
        <s v="Action"/>
        <s v="Biography"/>
        <s v="Crime"/>
        <s v="Comedy"/>
        <s v="Drama"/>
        <s v="Horror"/>
        <s v="Documentary"/>
        <s v="Animation"/>
        <s v="Fantasy"/>
        <s v="Mystery"/>
        <s v="Family"/>
        <s v="Musical"/>
        <s v="Western"/>
        <s v="Thriller"/>
        <s v="Sci-Fi"/>
        <s v="Romanc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87">
  <r>
    <x v="0"/>
    <n v="83"/>
    <n v="57011847"/>
    <s v="Adventure|Animation|Comedy|Family|Sci-Fi"/>
    <s v="Brendan Fraser"/>
    <x v="0"/>
    <n v="20615"/>
    <s v="alien|cult film|mission control|product placement|rescue"/>
    <n v="44"/>
    <x v="0"/>
    <x v="0"/>
    <n v="40000000"/>
    <x v="0"/>
    <x v="0"/>
    <n v="40000000"/>
    <n v="57011847"/>
    <x v="0"/>
    <x v="0"/>
    <x v="0"/>
  </r>
  <r>
    <x v="1"/>
    <n v="163"/>
    <n v="28772222"/>
    <s v="Action|Crime|Sport|Thriller"/>
    <s v="Ray Winstone"/>
    <x v="1"/>
    <n v="33958"/>
    <s v="athlete|extreme sports|fbi|fbi agent|heist"/>
    <n v="163"/>
    <x v="0"/>
    <x v="0"/>
    <n v="105000000"/>
    <x v="1"/>
    <x v="1"/>
    <n v="105000000"/>
    <n v="28772222"/>
    <x v="1"/>
    <x v="1"/>
    <x v="1"/>
  </r>
  <r>
    <x v="2"/>
    <n v="129"/>
    <n v="64371181"/>
    <s v="Biography|Drama|History|Sport"/>
    <s v="Eddie Cahill"/>
    <x v="2"/>
    <n v="36636"/>
    <s v="1980s|hockey|ice hockey|olympics|soviet union"/>
    <n v="289"/>
    <x v="0"/>
    <x v="0"/>
    <n v="28000000"/>
    <x v="2"/>
    <x v="2"/>
    <n v="28000000"/>
    <n v="64371181"/>
    <x v="2"/>
    <x v="2"/>
    <x v="2"/>
  </r>
  <r>
    <x v="3"/>
    <n v="122"/>
    <n v="3500000"/>
    <s v="Action|Drama|Western"/>
    <s v="Clint Eastwood"/>
    <x v="3"/>
    <n v="147566"/>
    <s v="balladeer|bar|drifter|mexican|revenge"/>
    <n v="235"/>
    <x v="1"/>
    <x v="1"/>
    <n v="200000"/>
    <x v="3"/>
    <x v="3"/>
    <n v="216948"/>
    <n v="3796590"/>
    <x v="3"/>
    <x v="3"/>
    <x v="1"/>
  </r>
  <r>
    <x v="4"/>
    <n v="168"/>
    <n v="44983704"/>
    <s v="Crime|Drama|Mystery|Sci-Fi|Thriller"/>
    <s v="Dennis Quaid"/>
    <x v="4"/>
    <n v="81866"/>
    <s v="altering history|alternate history|amateur radio|ham radio|paranormal phenomena"/>
    <n v="510"/>
    <x v="0"/>
    <x v="0"/>
    <n v="31000000"/>
    <x v="4"/>
    <x v="4"/>
    <n v="31000000"/>
    <n v="44983704"/>
    <x v="4"/>
    <x v="4"/>
    <x v="3"/>
  </r>
  <r>
    <x v="5"/>
    <n v="117"/>
    <n v="45860039"/>
    <s v="Action|Crime"/>
    <s v="Dwayne Johnson"/>
    <x v="5"/>
    <n v="53118"/>
    <s v="casino|football|sheriff|special forces|violence"/>
    <n v="221"/>
    <x v="0"/>
    <x v="0"/>
    <n v="56000000"/>
    <x v="2"/>
    <x v="5"/>
    <n v="56000000"/>
    <n v="45860039"/>
    <x v="5"/>
    <x v="5"/>
    <x v="1"/>
  </r>
  <r>
    <x v="6"/>
    <n v="215"/>
    <n v="107930000"/>
    <s v="Crime|Drama"/>
    <s v="Bruce Willis"/>
    <x v="6"/>
    <n v="1324680"/>
    <s v="black comedy|cunnilingus|neo noir|nonlinear timeline|postmodern"/>
    <n v="2195"/>
    <x v="0"/>
    <x v="0"/>
    <n v="8000000"/>
    <x v="5"/>
    <x v="6"/>
    <n v="8000000"/>
    <n v="107930000"/>
    <x v="6"/>
    <x v="6"/>
    <x v="3"/>
  </r>
  <r>
    <x v="7"/>
    <n v="92"/>
    <n v="46611204"/>
    <s v="Comedy|Drama|Fantasy|Romance"/>
    <s v="Goran Visnjic"/>
    <x v="7"/>
    <n v="55749"/>
    <s v="curse|death|island|love|magic"/>
    <n v="257"/>
    <x v="0"/>
    <x v="0"/>
    <n v="48000000"/>
    <x v="6"/>
    <x v="7"/>
    <n v="48000000"/>
    <n v="46611204"/>
    <x v="7"/>
    <x v="7"/>
    <x v="4"/>
  </r>
  <r>
    <x v="8"/>
    <n v="158"/>
    <n v="18500966"/>
    <s v="Action|Horror|Sci-Fi|Thriller"/>
    <s v="Milla Jovovich"/>
    <x v="8"/>
    <n v="70341"/>
    <s v="boy|disease|hemophagia|speed|vampire"/>
    <n v="830"/>
    <x v="0"/>
    <x v="0"/>
    <n v="30000000"/>
    <x v="7"/>
    <x v="8"/>
    <n v="30000000"/>
    <n v="18500966"/>
    <x v="8"/>
    <x v="8"/>
    <x v="1"/>
  </r>
  <r>
    <x v="9"/>
    <n v="61"/>
    <n v="48169908"/>
    <s v="Biography|Drama|History|Romance"/>
    <s v="Denzel Washington"/>
    <x v="9"/>
    <n v="63923"/>
    <s v="african american|black history|civil rights|ku klux klan|nation of islam"/>
    <n v="156"/>
    <x v="0"/>
    <x v="0"/>
    <n v="33000000"/>
    <x v="8"/>
    <x v="9"/>
    <n v="33000000"/>
    <n v="48169908"/>
    <x v="9"/>
    <x v="9"/>
    <x v="2"/>
  </r>
  <r>
    <x v="10"/>
    <n v="200"/>
    <n v="108638745"/>
    <s v="Drama|History|War"/>
    <s v="Ioan Gruffudd"/>
    <x v="10"/>
    <n v="292022"/>
    <s v="army|helicopter|somali|somalia|warlord"/>
    <n v="1103"/>
    <x v="0"/>
    <x v="0"/>
    <n v="92000000"/>
    <x v="9"/>
    <x v="9"/>
    <n v="92000000"/>
    <n v="108638745"/>
    <x v="10"/>
    <x v="10"/>
    <x v="5"/>
  </r>
  <r>
    <x v="11"/>
    <n v="68"/>
    <n v="13269963"/>
    <s v="Drama|Mystery"/>
    <s v="Matthew McConaughey"/>
    <x v="11"/>
    <n v="23202"/>
    <s v="father son relationship|interracial relationship|neo western|sheriff|texas"/>
    <n v="173"/>
    <x v="0"/>
    <x v="0"/>
    <n v="5000000"/>
    <x v="10"/>
    <x v="10"/>
    <n v="5000000"/>
    <n v="13269963"/>
    <x v="11"/>
    <x v="11"/>
    <x v="5"/>
  </r>
  <r>
    <x v="12"/>
    <n v="321"/>
    <n v="67631157"/>
    <s v="Action|Romance|Thriller"/>
    <s v="Johnny Depp"/>
    <x v="12"/>
    <n v="176606"/>
    <s v="police surveillance|surveillance van|tailing a suspect|tourist|venice italy"/>
    <n v="374"/>
    <x v="0"/>
    <x v="0"/>
    <n v="100000000"/>
    <x v="11"/>
    <x v="11"/>
    <n v="100000000"/>
    <n v="67631157"/>
    <x v="12"/>
    <x v="12"/>
    <x v="1"/>
  </r>
  <r>
    <x v="13"/>
    <n v="13"/>
    <n v="428535"/>
    <s v="Comedy|Romance"/>
    <s v="Cheech Marin"/>
    <x v="13"/>
    <n v="505"/>
    <s v="divorce|friend|jewish|lent|restaurant"/>
    <n v="32"/>
    <x v="0"/>
    <x v="0"/>
    <n v="1000000"/>
    <x v="4"/>
    <x v="12"/>
    <n v="1000000"/>
    <n v="428535"/>
    <x v="13"/>
    <x v="13"/>
    <x v="4"/>
  </r>
  <r>
    <x v="14"/>
    <n v="108"/>
    <n v="21468807"/>
    <s v="Horror|Mystery|Thriller"/>
    <s v="Loretta Devine"/>
    <x v="14"/>
    <n v="13048"/>
    <s v="film set|movie set|sequel|slow motion|urban legend"/>
    <n v="227"/>
    <x v="0"/>
    <x v="0"/>
    <n v="14000000"/>
    <x v="4"/>
    <x v="13"/>
    <n v="14000000"/>
    <n v="21468807"/>
    <x v="14"/>
    <x v="14"/>
    <x v="6"/>
  </r>
  <r>
    <x v="15"/>
    <n v="65"/>
    <n v="12189514"/>
    <s v="Comedy|Romance"/>
    <s v="Annabella Sciorra"/>
    <x v="15"/>
    <n v="30092"/>
    <s v="first daughter|photographer|prague|president|secret service agent"/>
    <n v="129"/>
    <x v="0"/>
    <x v="0"/>
    <n v="23000000"/>
    <x v="2"/>
    <x v="7"/>
    <n v="23000000"/>
    <n v="12189514"/>
    <x v="15"/>
    <x v="15"/>
    <x v="4"/>
  </r>
  <r>
    <x v="16"/>
    <n v="54"/>
    <n v="985341"/>
    <s v="Drama"/>
    <s v="Sasha Alexander"/>
    <x v="16"/>
    <n v="3479"/>
    <s v="conjoined twins|independent film|low budget film|separation|twin"/>
    <n v="87"/>
    <x v="0"/>
    <x v="0"/>
    <n v="500000"/>
    <x v="12"/>
    <x v="4"/>
    <n v="500000"/>
    <n v="985341"/>
    <x v="16"/>
    <x v="16"/>
    <x v="5"/>
  </r>
  <r>
    <x v="17"/>
    <n v="3"/>
    <n v="118666"/>
    <s v="Drama"/>
    <s v="Bruce McGill"/>
    <x v="17"/>
    <n v="91"/>
    <s v=""/>
    <n v="3"/>
    <x v="0"/>
    <x v="0"/>
    <n v="2500000"/>
    <x v="7"/>
    <x v="14"/>
    <n v="2500000"/>
    <n v="118666"/>
    <x v="17"/>
    <x v="17"/>
    <x v="5"/>
  </r>
  <r>
    <x v="18"/>
    <n v="152"/>
    <n v="31768374"/>
    <s v="Action|Comedy|Horror"/>
    <s v="Oliver Platt"/>
    <x v="18"/>
    <n v="42761"/>
    <s v="crocodile|eaten alive|lake|maine|sheriff"/>
    <n v="366"/>
    <x v="0"/>
    <x v="0"/>
    <n v="27000000"/>
    <x v="12"/>
    <x v="15"/>
    <n v="27000000"/>
    <n v="31768374"/>
    <x v="18"/>
    <x v="18"/>
    <x v="1"/>
  </r>
  <r>
    <x v="19"/>
    <n v="129"/>
    <n v="71026631"/>
    <s v="Crime|Drama|Thriller"/>
    <s v="Denzel Washington"/>
    <x v="19"/>
    <n v="98899"/>
    <s v="health care|heart transplant|hospital|hostage|insurance"/>
    <n v="394"/>
    <x v="0"/>
    <x v="0"/>
    <n v="36000000"/>
    <x v="13"/>
    <x v="16"/>
    <n v="36000000"/>
    <n v="71026631"/>
    <x v="19"/>
    <x v="19"/>
    <x v="3"/>
  </r>
  <r>
    <x v="20"/>
    <n v="41"/>
    <n v="2956000"/>
    <s v="Adventure|Comedy|Musical|Romance"/>
    <s v="Gladys Cooper"/>
    <x v="20"/>
    <n v="3258"/>
    <s v="hoop|horseback riding|love|pirate|singer"/>
    <n v="54"/>
    <x v="0"/>
    <x v="0"/>
    <n v="3700000"/>
    <x v="14"/>
    <x v="17"/>
    <n v="3700000"/>
    <n v="2956000"/>
    <x v="20"/>
    <x v="20"/>
    <x v="0"/>
  </r>
  <r>
    <x v="21"/>
    <n v="87"/>
    <n v="5516708"/>
    <s v="Comedy|Romance"/>
    <s v="Eddie Cibrian"/>
    <x v="21"/>
    <n v="11375"/>
    <s v="bestiality|brother sister incest|fisting|hit on the head with a pipe|wedding"/>
    <n v="91"/>
    <x v="0"/>
    <x v="0"/>
    <n v="25000000"/>
    <x v="9"/>
    <x v="18"/>
    <n v="25000000"/>
    <n v="5516708"/>
    <x v="21"/>
    <x v="21"/>
    <x v="4"/>
  </r>
  <r>
    <x v="22"/>
    <n v="285"/>
    <n v="23618786"/>
    <s v="Action|Comedy|Mystery"/>
    <s v="Bill Bailey"/>
    <x v="22"/>
    <n v="352695"/>
    <s v="accident|conspiracy|police|police officer|village"/>
    <n v="687"/>
    <x v="0"/>
    <x v="2"/>
    <n v="8000000"/>
    <x v="15"/>
    <x v="19"/>
    <n v="10283199.999999899"/>
    <n v="30359587.524399899"/>
    <x v="22"/>
    <x v="22"/>
    <x v="1"/>
  </r>
  <r>
    <x v="23"/>
    <n v="34"/>
    <n v="1889522"/>
    <s v="Drama|Sport"/>
    <s v="Ellen Burstyn"/>
    <x v="23"/>
    <n v="1119"/>
    <s v="basketball|catholic|coach|college|nun"/>
    <n v="12"/>
    <x v="0"/>
    <x v="0"/>
    <n v="7000000"/>
    <x v="16"/>
    <x v="20"/>
    <n v="7000000"/>
    <n v="1889522"/>
    <x v="23"/>
    <x v="23"/>
    <x v="5"/>
  </r>
  <r>
    <x v="24"/>
    <n v="45"/>
    <n v="81200000"/>
    <s v="Comedy"/>
    <s v="Steve Guttenberg"/>
    <x v="24"/>
    <n v="87739"/>
    <s v="misfit|police|police academy|police cadet|police officer"/>
    <n v="133"/>
    <x v="0"/>
    <x v="0"/>
    <n v="4500000"/>
    <x v="17"/>
    <x v="21"/>
    <n v="4500000"/>
    <n v="81200000"/>
    <x v="24"/>
    <x v="24"/>
    <x v="4"/>
  </r>
  <r>
    <x v="25"/>
    <n v="60"/>
    <n v="17300889"/>
    <s v="Action|Adventure|Comedy|Fantasy"/>
    <s v="Cary-Hiroyuki Tagawa"/>
    <x v="25"/>
    <n v="27648"/>
    <s v="ghost|new york city|phantom|skull|superhero"/>
    <n v="148"/>
    <x v="0"/>
    <x v="3"/>
    <n v="45000000"/>
    <x v="10"/>
    <x v="18"/>
    <n v="29424600"/>
    <n v="11312705.299319999"/>
    <x v="25"/>
    <x v="25"/>
    <x v="1"/>
  </r>
  <r>
    <x v="26"/>
    <n v="256"/>
    <n v="26505000"/>
    <s v="Horror"/>
    <s v="Johnny Depp"/>
    <x v="26"/>
    <n v="149285"/>
    <s v="freddy krueger|lucid dream|serial killer|slasher|sleep deprivation"/>
    <n v="668"/>
    <x v="0"/>
    <x v="0"/>
    <n v="1800000"/>
    <x v="17"/>
    <x v="2"/>
    <n v="1800000"/>
    <n v="26505000"/>
    <x v="26"/>
    <x v="26"/>
    <x v="6"/>
  </r>
  <r>
    <x v="27"/>
    <n v="98"/>
    <n v="49413"/>
    <s v="Action|Crime|Thriller"/>
    <s v="Simon Yam"/>
    <x v="27"/>
    <n v="6919"/>
    <s v="baby|friendship|macau|practical joke|selfie"/>
    <n v="26"/>
    <x v="2"/>
    <x v="4"/>
    <n v="35000000"/>
    <x v="7"/>
    <x v="4"/>
    <n v="4483300.5"/>
    <n v="6329.5236458999998"/>
    <x v="27"/>
    <x v="27"/>
    <x v="1"/>
  </r>
  <r>
    <x v="28"/>
    <n v="168"/>
    <n v="30212620"/>
    <s v="Comedy|Drama|Romance"/>
    <s v="Shelley Conn"/>
    <x v="28"/>
    <n v="35066"/>
    <s v="embarrassment|falling in love|love|love triangle|revelation"/>
    <n v="196"/>
    <x v="0"/>
    <x v="0"/>
    <n v="120000000"/>
    <x v="11"/>
    <x v="1"/>
    <n v="120000000"/>
    <n v="30212620"/>
    <x v="28"/>
    <x v="28"/>
    <x v="4"/>
  </r>
  <r>
    <x v="29"/>
    <n v="29"/>
    <n v="36049108"/>
    <s v="Action|Crime|Drama|Romance|Thriller"/>
    <s v="Vivica A. Fox"/>
    <x v="29"/>
    <n v="10139"/>
    <s v="bank|black comedy|main characters killed off|money|robbery"/>
    <n v="70"/>
    <x v="0"/>
    <x v="0"/>
    <n v="9000000"/>
    <x v="10"/>
    <x v="22"/>
    <n v="9000000"/>
    <n v="36049108"/>
    <x v="29"/>
    <x v="29"/>
    <x v="1"/>
  </r>
  <r>
    <x v="30"/>
    <n v="156"/>
    <n v="25167270"/>
    <s v="Comedy|Crime|Drama"/>
    <s v="Morgan Freeman"/>
    <x v="30"/>
    <n v="30119"/>
    <s v="hospital|kansas city|obsession|salesman|soap opera"/>
    <n v="263"/>
    <x v="0"/>
    <x v="5"/>
    <n v="24000000"/>
    <x v="4"/>
    <x v="23"/>
    <n v="26033760"/>
    <n v="27299944.459800001"/>
    <x v="30"/>
    <x v="30"/>
    <x v="4"/>
  </r>
  <r>
    <x v="31"/>
    <n v="339"/>
    <n v="73103784"/>
    <s v="Action|Drama|Thriller"/>
    <s v="Channing Tatum"/>
    <x v="31"/>
    <n v="164238"/>
    <s v="black u.s. president|president|secret service|tour|white house"/>
    <n v="434"/>
    <x v="0"/>
    <x v="0"/>
    <n v="150000000"/>
    <x v="0"/>
    <x v="24"/>
    <n v="150000000"/>
    <n v="73103784"/>
    <x v="31"/>
    <x v="31"/>
    <x v="1"/>
  </r>
  <r>
    <x v="32"/>
    <n v="153"/>
    <n v="162831698"/>
    <s v="Action"/>
    <s v="Michael Gough"/>
    <x v="32"/>
    <n v="215255"/>
    <s v="box office hit|dc comics|gotham|mayor|penguin"/>
    <n v="610"/>
    <x v="0"/>
    <x v="0"/>
    <n v="80000000"/>
    <x v="8"/>
    <x v="16"/>
    <n v="80000000"/>
    <n v="162831698"/>
    <x v="32"/>
    <x v="32"/>
    <x v="1"/>
  </r>
  <r>
    <x v="33"/>
    <n v="250"/>
    <n v="85200000"/>
    <s v="Action|Adventure|Sci-Fi"/>
    <s v="Michael Biehn"/>
    <x v="33"/>
    <n v="488537"/>
    <s v="alien|human versus alien|monster|rescue mission|space marine"/>
    <n v="1076"/>
    <x v="0"/>
    <x v="0"/>
    <n v="18500000"/>
    <x v="18"/>
    <x v="25"/>
    <n v="18500000"/>
    <n v="85200000"/>
    <x v="33"/>
    <x v="33"/>
    <x v="1"/>
  </r>
  <r>
    <x v="34"/>
    <n v="140"/>
    <n v="47000485"/>
    <s v="Action|Comedy|Romance|Thriller"/>
    <s v="Tom Selleck"/>
    <x v="34"/>
    <n v="72867"/>
    <s v="hired killer|marriage|neighbor|on the run|store clerk"/>
    <n v="120"/>
    <x v="0"/>
    <x v="0"/>
    <n v="75000000"/>
    <x v="11"/>
    <x v="26"/>
    <n v="75000000"/>
    <n v="47000485"/>
    <x v="34"/>
    <x v="34"/>
    <x v="1"/>
  </r>
  <r>
    <x v="35"/>
    <n v="195"/>
    <n v="60057639"/>
    <s v="Comedy|Crime|Drama"/>
    <s v="Bernie Mac"/>
    <x v="35"/>
    <n v="107815"/>
    <s v="bartender|christmas|christmas eve|department store|drink"/>
    <n v="485"/>
    <x v="0"/>
    <x v="0"/>
    <n v="18000000"/>
    <x v="19"/>
    <x v="17"/>
    <n v="18000000"/>
    <n v="60057639"/>
    <x v="35"/>
    <x v="35"/>
    <x v="4"/>
  </r>
  <r>
    <x v="36"/>
    <n v="226"/>
    <n v="51483949"/>
    <s v="Action|Fantasy|Thriller"/>
    <s v="Sophia Myles"/>
    <x v="36"/>
    <n v="208092"/>
    <s v="blood|death|hybrid|vampire|werewolf"/>
    <n v="806"/>
    <x v="0"/>
    <x v="2"/>
    <n v="22000000"/>
    <x v="19"/>
    <x v="16"/>
    <n v="28278799.999999899"/>
    <n v="66177468.044599898"/>
    <x v="36"/>
    <x v="36"/>
    <x v="1"/>
  </r>
  <r>
    <x v="37"/>
    <n v="135"/>
    <n v="2775593"/>
    <s v="Comedy|Drama|Romance"/>
    <s v="James Corden"/>
    <x v="37"/>
    <n v="61269"/>
    <s v="celebrity|party|pig|starlet|writer"/>
    <n v="98"/>
    <x v="0"/>
    <x v="2"/>
    <n v="27000000"/>
    <x v="20"/>
    <x v="20"/>
    <n v="34705800"/>
    <n v="3567747.24219999"/>
    <x v="37"/>
    <x v="37"/>
    <x v="4"/>
  </r>
  <r>
    <x v="38"/>
    <n v="40"/>
    <n v="4000000"/>
    <s v="Action|Drama"/>
    <s v="Michael Dudikoff"/>
    <x v="38"/>
    <n v="6046"/>
    <s v="blood splatter|island|motorboat|ninja|sequel to cult film"/>
    <n v="46"/>
    <x v="0"/>
    <x v="0"/>
    <n v="350000"/>
    <x v="21"/>
    <x v="27"/>
    <n v="350000"/>
    <n v="4000000"/>
    <x v="38"/>
    <x v="38"/>
    <x v="1"/>
  </r>
  <r>
    <x v="39"/>
    <n v="56"/>
    <n v="1346503"/>
    <s v="Drama|History"/>
    <s v="Bingbing Li"/>
    <x v="39"/>
    <n v="3024"/>
    <s v="car hitting pedestrian|china|fan|nineteenth century|reversal of fortune"/>
    <n v="22"/>
    <x v="0"/>
    <x v="6"/>
    <n v="6000000"/>
    <x v="22"/>
    <x v="7"/>
    <n v="829703.39999999898"/>
    <n v="186199.68620169899"/>
    <x v="39"/>
    <x v="39"/>
    <x v="5"/>
  </r>
  <r>
    <x v="40"/>
    <n v="283"/>
    <n v="76418654"/>
    <s v="Action|Comedy|Romance"/>
    <s v="Tom Cruise"/>
    <x v="40"/>
    <n v="148280"/>
    <s v="chase|fbi|garage|spy|surveillance"/>
    <n v="348"/>
    <x v="0"/>
    <x v="0"/>
    <n v="117000000"/>
    <x v="11"/>
    <x v="23"/>
    <n v="117000000"/>
    <n v="76418654"/>
    <x v="40"/>
    <x v="40"/>
    <x v="1"/>
  </r>
  <r>
    <x v="41"/>
    <n v="17"/>
    <n v="13134"/>
    <s v="Drama|Sport"/>
    <s v="Ryan Gosling"/>
    <x v="41"/>
    <n v="2004"/>
    <s v="cheerleader|father son relationship|football coach|loss of father|mother son relationship"/>
    <n v="32"/>
    <x v="0"/>
    <x v="0"/>
    <n v="500000"/>
    <x v="13"/>
    <x v="7"/>
    <n v="500000"/>
    <n v="13134"/>
    <x v="41"/>
    <x v="41"/>
    <x v="5"/>
  </r>
  <r>
    <x v="42"/>
    <n v="108"/>
    <n v="22160085"/>
    <s v="Horror"/>
    <s v="Lena Olin"/>
    <x v="42"/>
    <n v="16747"/>
    <s v="9 year old|blood|gramophone|house|missing children"/>
    <n v="349"/>
    <x v="0"/>
    <x v="0"/>
    <n v="10600000"/>
    <x v="13"/>
    <x v="26"/>
    <n v="10600000"/>
    <n v="22160085"/>
    <x v="42"/>
    <x v="42"/>
    <x v="6"/>
  </r>
  <r>
    <x v="43"/>
    <n v="141"/>
    <n v="317125"/>
    <s v="Drama|Romance"/>
    <s v="Robin Wright"/>
    <x v="43"/>
    <n v="23334"/>
    <s v="beach|friend|friendship|happiness|neighbor"/>
    <n v="87"/>
    <x v="0"/>
    <x v="3"/>
    <n v="16000000"/>
    <x v="0"/>
    <x v="5"/>
    <n v="10462080"/>
    <n v="207361.69500000001"/>
    <x v="43"/>
    <x v="43"/>
    <x v="5"/>
  </r>
  <r>
    <x v="44"/>
    <n v="58"/>
    <n v="22954968"/>
    <s v="Drama|Romance"/>
    <s v="Anthony Hopkins"/>
    <x v="44"/>
    <n v="45703"/>
    <s v="butler|housekeeper|manor|servant|service"/>
    <n v="156"/>
    <x v="0"/>
    <x v="2"/>
    <n v="11500000"/>
    <x v="23"/>
    <x v="19"/>
    <n v="14782099.999999899"/>
    <n v="29506315.867199998"/>
    <x v="44"/>
    <x v="44"/>
    <x v="5"/>
  </r>
  <r>
    <x v="45"/>
    <n v="116"/>
    <n v="40334024"/>
    <s v="Comedy|Crime|Romance"/>
    <s v="Sarah Silverman"/>
    <x v="45"/>
    <n v="44168"/>
    <s v="bank|infidelity|millionaire|money|scam"/>
    <n v="216"/>
    <x v="0"/>
    <x v="0"/>
    <n v="35000000"/>
    <x v="9"/>
    <x v="5"/>
    <n v="35000000"/>
    <n v="40334024"/>
    <x v="45"/>
    <x v="45"/>
    <x v="4"/>
  </r>
  <r>
    <x v="46"/>
    <n v="464"/>
    <n v="118099659"/>
    <s v="Action|Comedy|Fantasy|Sci-Fi"/>
    <s v="Ed Begley Jr."/>
    <x v="46"/>
    <n v="69790"/>
    <s v="ghost|ghostbuster|ghostbusters|male objectification|reboot"/>
    <n v="1211"/>
    <x v="0"/>
    <x v="0"/>
    <n v="144000000"/>
    <x v="24"/>
    <x v="28"/>
    <n v="144000000"/>
    <n v="118099659"/>
    <x v="46"/>
    <x v="46"/>
    <x v="1"/>
  </r>
  <r>
    <x v="47"/>
    <n v="52"/>
    <n v="3713002"/>
    <s v="Documentary"/>
    <s v="Laura Ramsey"/>
    <x v="47"/>
    <n v="3611"/>
    <s v="cancun mexico|mexico|spring break|vacation|wisconsin"/>
    <n v="62"/>
    <x v="0"/>
    <x v="0"/>
    <n v="8000000"/>
    <x v="19"/>
    <x v="29"/>
    <n v="8000000"/>
    <n v="3713002"/>
    <x v="47"/>
    <x v="47"/>
    <x v="7"/>
  </r>
  <r>
    <x v="48"/>
    <n v="167"/>
    <n v="179982968"/>
    <s v="Action|Adventure|Animation|Comedy|Family"/>
    <s v="Bernie Mac"/>
    <x v="48"/>
    <n v="146019"/>
    <s v="africa|madagascar|new york city|sequel|zoo"/>
    <n v="119"/>
    <x v="0"/>
    <x v="0"/>
    <n v="150000000"/>
    <x v="20"/>
    <x v="21"/>
    <n v="150000000"/>
    <n v="179982968"/>
    <x v="48"/>
    <x v="48"/>
    <x v="1"/>
  </r>
  <r>
    <x v="49"/>
    <n v="293"/>
    <n v="300523113"/>
    <s v="Adventure|Drama|Fantasy|Romance"/>
    <s v="Robert Pattinson"/>
    <x v="49"/>
    <n v="184637"/>
    <s v="friendship|graduation|revenge|vampire|werewolf"/>
    <n v="498"/>
    <x v="0"/>
    <x v="0"/>
    <n v="68000000"/>
    <x v="11"/>
    <x v="18"/>
    <n v="68000000"/>
    <n v="300523113"/>
    <x v="49"/>
    <x v="49"/>
    <x v="0"/>
  </r>
  <r>
    <x v="50"/>
    <n v="8"/>
    <n v="29392418"/>
    <s v="Action|Comedy|Crime"/>
    <s v="Jada Pinkett Smith"/>
    <x v="50"/>
    <n v="3924"/>
    <s v="drugs|ex cop|gun fu|machismo|shootout"/>
    <n v="26"/>
    <x v="0"/>
    <x v="0"/>
    <n v="10000000"/>
    <x v="5"/>
    <x v="30"/>
    <n v="10000000"/>
    <n v="29392418"/>
    <x v="50"/>
    <x v="50"/>
    <x v="1"/>
  </r>
  <r>
    <x v="51"/>
    <n v="133"/>
    <n v="74058698"/>
    <s v="Crime|Drama|Thriller"/>
    <s v="Morgan Freeman"/>
    <x v="51"/>
    <n v="59232"/>
    <s v="kidnapping|partner|ransom|school|secret service"/>
    <n v="317"/>
    <x v="0"/>
    <x v="0"/>
    <n v="60000000"/>
    <x v="9"/>
    <x v="23"/>
    <n v="60000000"/>
    <n v="74058698"/>
    <x v="51"/>
    <x v="51"/>
    <x v="3"/>
  </r>
  <r>
    <x v="52"/>
    <n v="75"/>
    <n v="32701088"/>
    <s v="Drama|Family|Sport"/>
    <s v="Ken Howard"/>
    <x v="52"/>
    <n v="10018"/>
    <s v="colon in title|horse|kentucky|overalls|six word title"/>
    <n v="108"/>
    <x v="0"/>
    <x v="0"/>
    <n v="32000000"/>
    <x v="25"/>
    <x v="31"/>
    <n v="32000000"/>
    <n v="32701088"/>
    <x v="52"/>
    <x v="52"/>
    <x v="5"/>
  </r>
  <r>
    <x v="53"/>
    <n v="60"/>
    <n v="51317350"/>
    <s v="Action|Adventure|Fantasy"/>
    <s v="Dennis Quaid"/>
    <x v="53"/>
    <n v="78343"/>
    <s v="dragon|england|human dragon relationship|king|knight"/>
    <n v="139"/>
    <x v="0"/>
    <x v="0"/>
    <n v="57000000"/>
    <x v="10"/>
    <x v="24"/>
    <n v="57000000"/>
    <n v="51317350"/>
    <x v="53"/>
    <x v="53"/>
    <x v="1"/>
  </r>
  <r>
    <x v="54"/>
    <n v="265"/>
    <n v="119219978"/>
    <s v="Action|Comedy|Crime"/>
    <s v="Dwayne Johnson"/>
    <x v="54"/>
    <n v="189806"/>
    <s v="capitalist|detective|investigation|new york city|police"/>
    <n v="316"/>
    <x v="0"/>
    <x v="0"/>
    <n v="100000000"/>
    <x v="11"/>
    <x v="21"/>
    <n v="100000000"/>
    <n v="119219978"/>
    <x v="54"/>
    <x v="54"/>
    <x v="1"/>
  </r>
  <r>
    <x v="55"/>
    <n v="159"/>
    <n v="35794166"/>
    <s v="Horror|Mystery|Thriller"/>
    <s v="Lauren Cohan"/>
    <x v="55"/>
    <n v="35654"/>
    <s v="animate doll|doll|england|nanny|surprise ending"/>
    <n v="155"/>
    <x v="0"/>
    <x v="0"/>
    <n v="10000000"/>
    <x v="24"/>
    <x v="11"/>
    <n v="10000000"/>
    <n v="35794166"/>
    <x v="55"/>
    <x v="55"/>
    <x v="6"/>
  </r>
  <r>
    <x v="56"/>
    <n v="168"/>
    <n v="241437427"/>
    <s v="Comedy|Family|Romance"/>
    <s v="Nia Vardalos"/>
    <x v="56"/>
    <n v="102071"/>
    <s v="baptism|greek|greek restaurant|prejudice|travel agency"/>
    <n v="756"/>
    <x v="0"/>
    <x v="0"/>
    <n v="5000000"/>
    <x v="13"/>
    <x v="14"/>
    <n v="5000000"/>
    <n v="241437427"/>
    <x v="56"/>
    <x v="56"/>
    <x v="4"/>
  </r>
  <r>
    <x v="57"/>
    <n v="40"/>
    <n v="6706368"/>
    <s v="Documentary"/>
    <s v="Michael Moore"/>
    <x v="57"/>
    <n v="22800"/>
    <s v="factory|flint michigan|general motors|michigan|quest"/>
    <n v="133"/>
    <x v="0"/>
    <x v="0"/>
    <n v="160000"/>
    <x v="26"/>
    <x v="2"/>
    <n v="160000"/>
    <n v="6706368"/>
    <x v="57"/>
    <x v="57"/>
    <x v="7"/>
  </r>
  <r>
    <x v="58"/>
    <n v="16"/>
    <n v="7680"/>
    <s v="Drama|Romance"/>
    <s v="Samantha Morton"/>
    <x v="58"/>
    <n v="704"/>
    <s v="love crime|love triangle|lust|sister sister relationship|unrequited love"/>
    <n v="18"/>
    <x v="0"/>
    <x v="0"/>
    <n v="2000000"/>
    <x v="12"/>
    <x v="24"/>
    <n v="2000000"/>
    <n v="7680"/>
    <x v="58"/>
    <x v="58"/>
    <x v="5"/>
  </r>
  <r>
    <x v="59"/>
    <n v="227"/>
    <n v="320706665"/>
    <s v="Adventure|Animation|Comedy|Family|Fantasy"/>
    <s v="Justin Timberlake"/>
    <x v="59"/>
    <n v="211971"/>
    <s v="disney spoof|fairy tale|prince|princess|tough guy"/>
    <n v="326"/>
    <x v="0"/>
    <x v="0"/>
    <n v="160000000"/>
    <x v="15"/>
    <x v="7"/>
    <n v="160000000"/>
    <n v="320706665"/>
    <x v="59"/>
    <x v="59"/>
    <x v="0"/>
  </r>
  <r>
    <x v="60"/>
    <n v="371"/>
    <n v="65069140"/>
    <s v="Horror|Thriller"/>
    <s v="Ocean James"/>
    <x v="60"/>
    <n v="65299"/>
    <s v="farm|handheld camera|impostor|rap|rock paper scissors"/>
    <n v="455"/>
    <x v="0"/>
    <x v="0"/>
    <n v="5000000"/>
    <x v="1"/>
    <x v="5"/>
    <n v="5000000"/>
    <n v="65069140"/>
    <x v="60"/>
    <x v="60"/>
    <x v="6"/>
  </r>
  <r>
    <x v="61"/>
    <n v="253"/>
    <n v="80050171"/>
    <s v="Drama|Mystery|Thriller"/>
    <s v="Sarah Roemer"/>
    <x v="61"/>
    <n v="186984"/>
    <s v="binoculars|electronic tag|house arrest|neighbor|watching someone"/>
    <n v="491"/>
    <x v="0"/>
    <x v="0"/>
    <n v="20000000"/>
    <x v="15"/>
    <x v="31"/>
    <n v="20000000"/>
    <n v="80050171"/>
    <x v="61"/>
    <x v="61"/>
    <x v="5"/>
  </r>
  <r>
    <x v="62"/>
    <n v="238"/>
    <n v="117144465"/>
    <s v="Crime|Thriller"/>
    <s v="Al Pacino"/>
    <x v="62"/>
    <n v="256928"/>
    <s v="casino|heist|manmade earthquake|revenge|tunnel boring machine"/>
    <n v="288"/>
    <x v="0"/>
    <x v="0"/>
    <n v="85000000"/>
    <x v="15"/>
    <x v="31"/>
    <n v="85000000"/>
    <n v="117144465"/>
    <x v="62"/>
    <x v="62"/>
    <x v="3"/>
  </r>
  <r>
    <x v="63"/>
    <n v="129"/>
    <n v="4881867"/>
    <s v="Comedy|Music"/>
    <s v="Steve Coogan"/>
    <x v="63"/>
    <n v="15200"/>
    <s v="gang banger|sequel|shakespeare's hamlet|student|time machine"/>
    <n v="76"/>
    <x v="0"/>
    <x v="0"/>
    <n v="9000000"/>
    <x v="20"/>
    <x v="24"/>
    <n v="9000000"/>
    <n v="4881867"/>
    <x v="63"/>
    <x v="63"/>
    <x v="4"/>
  </r>
  <r>
    <x v="64"/>
    <n v="66"/>
    <n v="336456"/>
    <s v="Comedy|Crime|Musical|Mystery"/>
    <s v="Robert Downey Jr."/>
    <x v="64"/>
    <n v="7116"/>
    <s v="detective|detective novel|fantasy sequence|hallucination|writer"/>
    <n v="79"/>
    <x v="0"/>
    <x v="0"/>
    <n v="8000000"/>
    <x v="19"/>
    <x v="15"/>
    <n v="8000000"/>
    <n v="336456"/>
    <x v="64"/>
    <x v="64"/>
    <x v="4"/>
  </r>
  <r>
    <x v="65"/>
    <n v="197"/>
    <n v="39440655"/>
    <s v="Drama|Music|Musical|Romance"/>
    <s v="Eric Dane"/>
    <x v="65"/>
    <n v="61680"/>
    <s v="burlesque|dancer|iowa|small town girl|stage"/>
    <n v="222"/>
    <x v="0"/>
    <x v="0"/>
    <n v="55000000"/>
    <x v="11"/>
    <x v="24"/>
    <n v="55000000"/>
    <n v="39440655"/>
    <x v="65"/>
    <x v="65"/>
    <x v="5"/>
  </r>
  <r>
    <x v="66"/>
    <n v="421"/>
    <n v="40962534"/>
    <s v="Drama"/>
    <s v="Ryan Gosling"/>
    <x v="66"/>
    <n v="188652"/>
    <s v="governor|intern|manager|ohio|politics"/>
    <n v="288"/>
    <x v="0"/>
    <x v="0"/>
    <n v="12500000"/>
    <x v="22"/>
    <x v="17"/>
    <n v="12500000"/>
    <n v="40962534"/>
    <x v="66"/>
    <x v="66"/>
    <x v="5"/>
  </r>
  <r>
    <x v="67"/>
    <n v="144"/>
    <n v="27400000"/>
    <s v="Action|Adventure|Sci-Fi"/>
    <s v="Virginia Madsen"/>
    <x v="67"/>
    <n v="97087"/>
    <s v="desert planet|dune|giant worm|space travel|spice"/>
    <n v="569"/>
    <x v="0"/>
    <x v="0"/>
    <n v="40000000"/>
    <x v="17"/>
    <x v="14"/>
    <n v="40000000"/>
    <n v="27400000"/>
    <x v="67"/>
    <x v="67"/>
    <x v="1"/>
  </r>
  <r>
    <x v="68"/>
    <n v="131"/>
    <n v="79566871"/>
    <s v="Comedy|Drama|Family|Music|Romance"/>
    <s v="Emily Osment"/>
    <x v="68"/>
    <n v="31760"/>
    <s v="farm|female protagonist|hannah montana|horseback riding|overalls"/>
    <n v="140"/>
    <x v="0"/>
    <x v="0"/>
    <n v="30000000"/>
    <x v="16"/>
    <x v="32"/>
    <n v="30000000"/>
    <n v="79566871"/>
    <x v="68"/>
    <x v="68"/>
    <x v="4"/>
  </r>
  <r>
    <x v="69"/>
    <n v="258"/>
    <n v="141614023"/>
    <s v="Action|Adventure|Family|Fantasy"/>
    <s v="Peter Dinklage"/>
    <x v="69"/>
    <n v="149922"/>
    <s v="brother brother relationship|brother sister relationship|good versus evil|king|narnia"/>
    <n v="438"/>
    <x v="0"/>
    <x v="0"/>
    <n v="225000000"/>
    <x v="20"/>
    <x v="14"/>
    <n v="225000000"/>
    <n v="141614023"/>
    <x v="69"/>
    <x v="69"/>
    <x v="1"/>
  </r>
  <r>
    <x v="70"/>
    <n v="31"/>
    <n v="10174663"/>
    <s v="Drama|Sport"/>
    <s v="Alex Kendrick"/>
    <x v="70"/>
    <n v="12399"/>
    <s v="christian|coach|faith|football|football team"/>
    <n v="382"/>
    <x v="0"/>
    <x v="0"/>
    <n v="100000"/>
    <x v="7"/>
    <x v="21"/>
    <n v="100000"/>
    <n v="10174663"/>
    <x v="70"/>
    <x v="70"/>
    <x v="5"/>
  </r>
  <r>
    <x v="71"/>
    <n v="292"/>
    <n v="101530738"/>
    <s v="Action|Crime|Thriller"/>
    <s v="Denzel Washington"/>
    <x v="71"/>
    <n v="229574"/>
    <s v="assassin|ex soldier|gangster|hanged man|mysterious past"/>
    <n v="436"/>
    <x v="0"/>
    <x v="0"/>
    <n v="55000000"/>
    <x v="27"/>
    <x v="33"/>
    <n v="55000000"/>
    <n v="101530738"/>
    <x v="71"/>
    <x v="71"/>
    <x v="1"/>
  </r>
  <r>
    <x v="72"/>
    <n v="99"/>
    <n v="4234040"/>
    <s v="Biography|Drama"/>
    <s v="Dylan Authors"/>
    <x v="72"/>
    <n v="14301"/>
    <s v="flash of genius|genius|intellectual property|professor|university"/>
    <n v="45"/>
    <x v="0"/>
    <x v="0"/>
    <n v="20000000"/>
    <x v="20"/>
    <x v="16"/>
    <n v="20000000"/>
    <n v="4234040"/>
    <x v="72"/>
    <x v="72"/>
    <x v="2"/>
  </r>
  <r>
    <x v="73"/>
    <n v="29"/>
    <n v="1332"/>
    <s v="Comedy|Horror"/>
    <s v="Justin Chon"/>
    <x v="73"/>
    <n v="2038"/>
    <s v="based on play|blood|independent film|teenager|zombie"/>
    <n v="20"/>
    <x v="0"/>
    <x v="0"/>
    <n v="500000"/>
    <x v="28"/>
    <x v="34"/>
    <n v="500000"/>
    <n v="1332"/>
    <x v="73"/>
    <x v="73"/>
    <x v="4"/>
  </r>
  <r>
    <x v="74"/>
    <n v="100"/>
    <n v="34098563"/>
    <s v="Drama|Thriller"/>
    <s v="Anthony Hopkins"/>
    <x v="74"/>
    <n v="27191"/>
    <s v="africa|anthropologist|murder|poacher|psychiatrist"/>
    <n v="232"/>
    <x v="0"/>
    <x v="0"/>
    <n v="55000000"/>
    <x v="12"/>
    <x v="20"/>
    <n v="55000000"/>
    <n v="34098563"/>
    <x v="74"/>
    <x v="74"/>
    <x v="5"/>
  </r>
  <r>
    <x v="75"/>
    <n v="119"/>
    <n v="163214286"/>
    <s v="Biography|Drama|Family|Musical|Romance"/>
    <s v="Eleanor Parker"/>
    <x v="75"/>
    <n v="148172"/>
    <s v="austria|children|governess|love|orchestral music score"/>
    <n v="406"/>
    <x v="0"/>
    <x v="0"/>
    <n v="8200000"/>
    <x v="29"/>
    <x v="3"/>
    <n v="8200000"/>
    <n v="163214286"/>
    <x v="75"/>
    <x v="75"/>
    <x v="2"/>
  </r>
  <r>
    <x v="76"/>
    <n v="97"/>
    <n v="26284475"/>
    <s v="Comedy"/>
    <s v="Olivia Wilde"/>
    <x v="76"/>
    <n v="9051"/>
    <s v="christmas|family dinner|husband wife conflict|husband wife kiss|large family"/>
    <n v="68"/>
    <x v="0"/>
    <x v="0"/>
    <n v="17000000"/>
    <x v="1"/>
    <x v="35"/>
    <n v="17000000"/>
    <n v="26284475"/>
    <x v="76"/>
    <x v="76"/>
    <x v="4"/>
  </r>
  <r>
    <x v="77"/>
    <n v="147"/>
    <n v="44700000"/>
    <s v="Crime|Drama"/>
    <s v="Al Pacino"/>
    <x v="77"/>
    <n v="537442"/>
    <s v="assassination attempt|capitalism|cocaine|cuban american|cuban refugee"/>
    <n v="851"/>
    <x v="0"/>
    <x v="0"/>
    <n v="25000000"/>
    <x v="30"/>
    <x v="36"/>
    <n v="25000000"/>
    <n v="44700000"/>
    <x v="77"/>
    <x v="77"/>
    <x v="3"/>
  </r>
  <r>
    <x v="78"/>
    <n v="211"/>
    <n v="41797066"/>
    <s v="Action|Horror|Sci-Fi|Thriller"/>
    <s v="Sam Trammell"/>
    <x v="78"/>
    <n v="92789"/>
    <s v="alien|escape|hunting|hybrid|predator"/>
    <n v="998"/>
    <x v="0"/>
    <x v="0"/>
    <n v="40000000"/>
    <x v="15"/>
    <x v="27"/>
    <n v="40000000"/>
    <n v="41797066"/>
    <x v="78"/>
    <x v="78"/>
    <x v="1"/>
  </r>
  <r>
    <x v="79"/>
    <n v="151"/>
    <n v="30259652"/>
    <s v="Comedy|Horror|Thriller"/>
    <s v="Jamie Lee Curtis"/>
    <x v="79"/>
    <n v="26905"/>
    <s v="cult film|halloween|killer|michael myers|serial killer"/>
    <n v="614"/>
    <x v="0"/>
    <x v="0"/>
    <n v="15000000"/>
    <x v="13"/>
    <x v="13"/>
    <n v="15000000"/>
    <n v="30259652"/>
    <x v="79"/>
    <x v="79"/>
    <x v="4"/>
  </r>
  <r>
    <x v="80"/>
    <n v="52"/>
    <n v="37566230"/>
    <s v="Comedy|Drama|Family|Fantasy|Sci-Fi"/>
    <s v="Liam Aiken"/>
    <x v="80"/>
    <n v="3407"/>
    <s v="dog|friend|neighborhood|planet|star"/>
    <n v="48"/>
    <x v="0"/>
    <x v="0"/>
    <n v="17000000"/>
    <x v="19"/>
    <x v="37"/>
    <n v="17000000"/>
    <n v="37566230"/>
    <x v="80"/>
    <x v="80"/>
    <x v="4"/>
  </r>
  <r>
    <x v="81"/>
    <n v="26"/>
    <n v="53481"/>
    <s v="Crime|Drama|Thriller"/>
    <s v="Brian Dennehy"/>
    <x v="81"/>
    <n v="5557"/>
    <s v="desert storm|fbi|fbi agent|fragmentation grenade|woman kills attacker"/>
    <n v="34"/>
    <x v="0"/>
    <x v="0"/>
    <n v="8000000"/>
    <x v="7"/>
    <x v="24"/>
    <n v="8000000"/>
    <n v="53481"/>
    <x v="81"/>
    <x v="81"/>
    <x v="3"/>
  </r>
  <r>
    <x v="82"/>
    <n v="81"/>
    <n v="10166502"/>
    <s v="Action|Drama|War"/>
    <s v="James Franco"/>
    <x v="82"/>
    <n v="18209"/>
    <s v="american|lieutenant colonel|mission|rescue|soldier"/>
    <n v="183"/>
    <x v="3"/>
    <x v="0"/>
    <n v="80000000"/>
    <x v="25"/>
    <x v="21"/>
    <n v="80000000"/>
    <n v="10166502"/>
    <x v="82"/>
    <x v="82"/>
    <x v="1"/>
  </r>
  <r>
    <x v="83"/>
    <n v="170"/>
    <n v="34543701"/>
    <s v="Action|Mystery|Sci-Fi|Thriller"/>
    <s v="Robert Duvall"/>
    <x v="83"/>
    <n v="100001"/>
    <s v="clone|cloning|future|laser gun|murder"/>
    <n v="289"/>
    <x v="0"/>
    <x v="0"/>
    <n v="82000000"/>
    <x v="4"/>
    <x v="0"/>
    <n v="82000000"/>
    <n v="34543701"/>
    <x v="83"/>
    <x v="83"/>
    <x v="1"/>
  </r>
  <r>
    <x v="84"/>
    <n v="101"/>
    <n v="20950820"/>
    <s v="Adventure|Animation|Comedy|Family|Fantasy|Sci-Fi"/>
    <s v="Brendan Fraser"/>
    <x v="84"/>
    <n v="24183"/>
    <s v="diamond|duck|monkey|spy|stuntman"/>
    <n v="160"/>
    <x v="0"/>
    <x v="5"/>
    <n v="80000000"/>
    <x v="19"/>
    <x v="35"/>
    <n v="86779200"/>
    <n v="22726192.4868"/>
    <x v="84"/>
    <x v="84"/>
    <x v="0"/>
  </r>
  <r>
    <x v="85"/>
    <n v="43"/>
    <n v="20200"/>
    <s v="Drama|Music"/>
    <s v="Anne Hathaway"/>
    <x v="85"/>
    <n v="6797"/>
    <s v="musician|number in title|recording|sibling"/>
    <n v="21"/>
    <x v="0"/>
    <x v="0"/>
    <n v="6000000"/>
    <x v="27"/>
    <x v="30"/>
    <n v="6000000"/>
    <n v="20200"/>
    <x v="85"/>
    <x v="85"/>
    <x v="5"/>
  </r>
  <r>
    <x v="86"/>
    <n v="116"/>
    <n v="4360548"/>
    <s v="Comedy|Drama|Romance"/>
    <s v="Jenna Fischer"/>
    <x v="86"/>
    <n v="13371"/>
    <s v="aging|hdtv|high definition television|love|marriage"/>
    <n v="60"/>
    <x v="0"/>
    <x v="0"/>
    <n v="15000000"/>
    <x v="16"/>
    <x v="24"/>
    <n v="15000000"/>
    <n v="4360548"/>
    <x v="86"/>
    <x v="86"/>
    <x v="4"/>
  </r>
  <r>
    <x v="87"/>
    <n v="156"/>
    <n v="93771072"/>
    <s v="Action|Adventure|Comedy|Romance|Thriller|Western"/>
    <s v="Anthony Hopkins"/>
    <x v="87"/>
    <n v="135404"/>
    <s v="19th century|california|revenge|training|zorro"/>
    <n v="318"/>
    <x v="0"/>
    <x v="0"/>
    <n v="65000000"/>
    <x v="6"/>
    <x v="21"/>
    <n v="65000000"/>
    <n v="93771072"/>
    <x v="87"/>
    <x v="87"/>
    <x v="1"/>
  </r>
  <r>
    <x v="88"/>
    <n v="345"/>
    <n v="5702083"/>
    <s v="Biography|Drama|Thriller"/>
    <s v="Michael Fassbender"/>
    <x v="88"/>
    <n v="80617"/>
    <s v="carl jung|patient|psychoanalysis|russian|sigmund freud"/>
    <n v="190"/>
    <x v="0"/>
    <x v="2"/>
    <n v="15000000"/>
    <x v="22"/>
    <x v="20"/>
    <n v="19281000"/>
    <n v="7329457.4881999996"/>
    <x v="88"/>
    <x v="88"/>
    <x v="2"/>
  </r>
  <r>
    <x v="77"/>
    <n v="240"/>
    <n v="22518325"/>
    <s v="Crime|Drama|Mystery|Thriller"/>
    <s v="Scarlett Johansson"/>
    <x v="89"/>
    <n v="63363"/>
    <s v="black dahlia|boxer|corpse|death|partner"/>
    <n v="644"/>
    <x v="0"/>
    <x v="5"/>
    <n v="50000000"/>
    <x v="7"/>
    <x v="15"/>
    <n v="54237000"/>
    <n v="24426527.8605"/>
    <x v="89"/>
    <x v="89"/>
    <x v="3"/>
  </r>
  <r>
    <x v="89"/>
    <n v="129"/>
    <n v="53868030"/>
    <s v="Comedy|Crime"/>
    <s v="Will Ferrell"/>
    <x v="90"/>
    <n v="183425"/>
    <s v="cartoon on tv|reference to frankenstein|reference to jimi hendrix|scene during end credits|surrealism"/>
    <n v="425"/>
    <x v="0"/>
    <x v="0"/>
    <n v="17000000"/>
    <x v="31"/>
    <x v="16"/>
    <n v="17000000"/>
    <n v="53868030"/>
    <x v="90"/>
    <x v="90"/>
    <x v="4"/>
  </r>
  <r>
    <x v="90"/>
    <n v="71"/>
    <n v="403932"/>
    <s v="Drama|Romance|Western"/>
    <s v="Milla Jovovich"/>
    <x v="91"/>
    <n v="5254"/>
    <s v="gold|gold mine|miner|railroad|surveyor"/>
    <n v="92"/>
    <x v="0"/>
    <x v="2"/>
    <n v="20000000"/>
    <x v="4"/>
    <x v="20"/>
    <n v="25707999.999999899"/>
    <n v="519214.19279999897"/>
    <x v="91"/>
    <x v="91"/>
    <x v="5"/>
  </r>
  <r>
    <x v="91"/>
    <n v="130"/>
    <n v="9353573"/>
    <s v="Action|Adventure|Fantasy|Sci-Fi|Thriller"/>
    <s v="Ian Whyte"/>
    <x v="92"/>
    <n v="56451"/>
    <s v="bad|dragon|grandfather|orb|warrior"/>
    <n v="524"/>
    <x v="0"/>
    <x v="0"/>
    <n v="45000000"/>
    <x v="16"/>
    <x v="29"/>
    <n v="45000000"/>
    <n v="9353573"/>
    <x v="92"/>
    <x v="92"/>
    <x v="1"/>
  </r>
  <r>
    <x v="92"/>
    <n v="43"/>
    <n v="695229"/>
    <s v="Comedy|Drama"/>
    <s v="Steve Buscemi"/>
    <x v="93"/>
    <n v="11369"/>
    <s v="alcoholic drink|bar|drink|drinking|drunk"/>
    <n v="65"/>
    <x v="0"/>
    <x v="0"/>
    <n v="1300000"/>
    <x v="10"/>
    <x v="33"/>
    <n v="1300000"/>
    <n v="695229"/>
    <x v="93"/>
    <x v="93"/>
    <x v="4"/>
  </r>
  <r>
    <x v="93"/>
    <n v="280"/>
    <n v="1697956"/>
    <s v="Crime|Drama"/>
    <s v="Nicolas Cage"/>
    <x v="94"/>
    <n v="64944"/>
    <s v="drugs|flood|hallucination|lieutenant|murder investigation"/>
    <n v="212"/>
    <x v="0"/>
    <x v="0"/>
    <n v="20000000"/>
    <x v="16"/>
    <x v="21"/>
    <n v="20000000"/>
    <n v="1697956"/>
    <x v="94"/>
    <x v="94"/>
    <x v="3"/>
  </r>
  <r>
    <x v="94"/>
    <n v="75"/>
    <n v="25809813"/>
    <s v="Comedy|Drama|Music"/>
    <s v="Tom Hanks"/>
    <x v="95"/>
    <n v="50311"/>
    <s v="band|drummer|jazz|pennsylvania|song"/>
    <n v="212"/>
    <x v="0"/>
    <x v="0"/>
    <n v="26000000"/>
    <x v="10"/>
    <x v="31"/>
    <n v="26000000"/>
    <n v="25809813"/>
    <x v="95"/>
    <x v="95"/>
    <x v="4"/>
  </r>
  <r>
    <x v="95"/>
    <n v="171"/>
    <n v="48745150"/>
    <s v="Crime|Thriller"/>
    <s v="Jimmy Bennett"/>
    <x v="96"/>
    <n v="50170"/>
    <s v="architect|bank|cayman islands|meeting|murder"/>
    <n v="306"/>
    <x v="0"/>
    <x v="0"/>
    <n v="50000000"/>
    <x v="7"/>
    <x v="30"/>
    <n v="50000000"/>
    <n v="48745150"/>
    <x v="96"/>
    <x v="96"/>
    <x v="3"/>
  </r>
  <r>
    <x v="96"/>
    <n v="179"/>
    <n v="17096053"/>
    <s v="Comedy|Drama"/>
    <s v="Bill Murray"/>
    <x v="97"/>
    <n v="134458"/>
    <s v="coming of age|friendship|private school|student|teacher"/>
    <n v="640"/>
    <x v="0"/>
    <x v="0"/>
    <n v="9000000"/>
    <x v="6"/>
    <x v="9"/>
    <n v="9000000"/>
    <n v="17096053"/>
    <x v="97"/>
    <x v="97"/>
    <x v="4"/>
  </r>
  <r>
    <x v="97"/>
    <n v="104"/>
    <n v="122012643"/>
    <s v="Action|Adventure|Thriller"/>
    <s v="Scott Glenn"/>
    <x v="98"/>
    <n v="143696"/>
    <s v="analyst|defection|navy|soviet submarine|submarine"/>
    <n v="241"/>
    <x v="0"/>
    <x v="0"/>
    <n v="30000000"/>
    <x v="32"/>
    <x v="10"/>
    <n v="30000000"/>
    <n v="122012643"/>
    <x v="98"/>
    <x v="98"/>
    <x v="1"/>
  </r>
  <r>
    <x v="98"/>
    <n v="349"/>
    <n v="55682070"/>
    <s v="Action|Fantasy|Horror"/>
    <s v="Jeremy Renner"/>
    <x v="99"/>
    <n v="159868"/>
    <s v="bounty hunter|brother sister team|death of loved one|hansel and gretel|supernatural power"/>
    <n v="304"/>
    <x v="0"/>
    <x v="5"/>
    <n v="50000000"/>
    <x v="0"/>
    <x v="7"/>
    <n v="54237000"/>
    <n v="60400568.6118"/>
    <x v="99"/>
    <x v="99"/>
    <x v="1"/>
  </r>
  <r>
    <x v="99"/>
    <n v="37"/>
    <n v="326308"/>
    <s v="Crime|Drama|Thriller"/>
    <s v="Viggo Mortensen"/>
    <x v="100"/>
    <n v="6632"/>
    <s v="bar|box office flop|hostage|new orleans louisiana|police"/>
    <n v="69"/>
    <x v="0"/>
    <x v="0"/>
    <n v="5000000"/>
    <x v="10"/>
    <x v="7"/>
    <n v="5000000"/>
    <n v="326308"/>
    <x v="100"/>
    <x v="100"/>
    <x v="3"/>
  </r>
  <r>
    <x v="100"/>
    <n v="13"/>
    <n v="5199"/>
    <s v="Drama|Sport"/>
    <s v="Don Wallace"/>
    <x v="101"/>
    <n v="720"/>
    <s v="older man younger man relationship|punching bag|school teacher|undressing|unrequited love"/>
    <n v="23"/>
    <x v="0"/>
    <x v="0"/>
    <n v="200000"/>
    <x v="2"/>
    <x v="14"/>
    <n v="200000"/>
    <n v="5199"/>
    <x v="101"/>
    <x v="101"/>
    <x v="5"/>
  </r>
  <r>
    <x v="101"/>
    <n v="57"/>
    <n v="119938730"/>
    <s v="Action|Comedy|Crime|Fantasy"/>
    <s v="Peter Greene"/>
    <x v="102"/>
    <n v="265818"/>
    <s v="bank|bank clerk|gangster|loki|mask"/>
    <n v="213"/>
    <x v="0"/>
    <x v="0"/>
    <n v="18000000"/>
    <x v="5"/>
    <x v="31"/>
    <n v="18000000"/>
    <n v="119938730"/>
    <x v="102"/>
    <x v="102"/>
    <x v="1"/>
  </r>
  <r>
    <x v="102"/>
    <n v="129"/>
    <n v="48237389"/>
    <s v="Comedy|Romance"/>
    <s v="Emma Stone"/>
    <x v="103"/>
    <n v="63969"/>
    <s v="makeover|party|playboy|playboy mansion|sorority"/>
    <n v="126"/>
    <x v="0"/>
    <x v="0"/>
    <n v="25000000"/>
    <x v="20"/>
    <x v="28"/>
    <n v="25000000"/>
    <n v="48237389"/>
    <x v="103"/>
    <x v="103"/>
    <x v="4"/>
  </r>
  <r>
    <x v="103"/>
    <n v="143"/>
    <n v="81517441"/>
    <s v="Action|Crime|Drama|Thriller"/>
    <s v="Bill Duke"/>
    <x v="104"/>
    <n v="111368"/>
    <s v="anti hero|criminal|greed|prostitute|tough guy"/>
    <n v="394"/>
    <x v="0"/>
    <x v="0"/>
    <n v="50000000"/>
    <x v="12"/>
    <x v="17"/>
    <n v="50000000"/>
    <n v="81517441"/>
    <x v="104"/>
    <x v="104"/>
    <x v="1"/>
  </r>
  <r>
    <x v="104"/>
    <n v="370"/>
    <n v="362645141"/>
    <s v="Adventure|Drama|Family|Fantasy"/>
    <s v="Scarlett Johansson"/>
    <x v="105"/>
    <n v="106221"/>
    <s v="fire|jungle|remake|tiger|wolf"/>
    <n v="398"/>
    <x v="0"/>
    <x v="2"/>
    <n v="175000000"/>
    <x v="24"/>
    <x v="38"/>
    <n v="224944999.99999899"/>
    <n v="466144064.24139899"/>
    <x v="105"/>
    <x v="105"/>
    <x v="0"/>
  </r>
  <r>
    <x v="105"/>
    <n v="98"/>
    <n v="30920167"/>
    <s v="Comedy|Music"/>
    <s v="Dolly Parton"/>
    <x v="106"/>
    <n v="6476"/>
    <s v="bare chested male|chips|two word title"/>
    <n v="71"/>
    <x v="0"/>
    <x v="0"/>
    <n v="25000000"/>
    <x v="28"/>
    <x v="35"/>
    <n v="25000000"/>
    <n v="30920167"/>
    <x v="106"/>
    <x v="106"/>
    <x v="4"/>
  </r>
  <r>
    <x v="106"/>
    <n v="189"/>
    <n v="68218041"/>
    <s v="Comedy|Family|Fantasy"/>
    <s v="Madeline Carroll"/>
    <x v="107"/>
    <n v="67191"/>
    <s v="father|penguin|snowglobe|son|winter"/>
    <n v="108"/>
    <x v="0"/>
    <x v="0"/>
    <n v="55000000"/>
    <x v="22"/>
    <x v="11"/>
    <n v="55000000"/>
    <n v="68218041"/>
    <x v="107"/>
    <x v="107"/>
    <x v="4"/>
  </r>
  <r>
    <x v="107"/>
    <n v="70"/>
    <n v="2899970"/>
    <s v="Drama"/>
    <s v="Bill Murray"/>
    <x v="108"/>
    <n v="8039"/>
    <s v="1930s|depression|play|theatre|union"/>
    <n v="161"/>
    <x v="0"/>
    <x v="0"/>
    <n v="32000000"/>
    <x v="12"/>
    <x v="31"/>
    <n v="32000000"/>
    <n v="2899970"/>
    <x v="108"/>
    <x v="108"/>
    <x v="5"/>
  </r>
  <r>
    <x v="108"/>
    <n v="149"/>
    <n v="12987647"/>
    <s v="Drama|Mystery|Romance|Thriller|War"/>
    <s v="Brendan Fraser"/>
    <x v="109"/>
    <n v="24019"/>
    <s v="american|french|saigon|vietnam|vietnamese"/>
    <n v="199"/>
    <x v="0"/>
    <x v="2"/>
    <n v="30000000"/>
    <x v="13"/>
    <x v="17"/>
    <n v="38562000"/>
    <n v="16694321.4537999"/>
    <x v="109"/>
    <x v="109"/>
    <x v="5"/>
  </r>
  <r>
    <x v="109"/>
    <n v="149"/>
    <n v="6670712"/>
    <s v="Comedy|Drama"/>
    <s v="Ezra Miller"/>
    <x v="110"/>
    <n v="27301"/>
    <s v="anger|family reunion|father son reunion|hugging|movie making"/>
    <n v="101"/>
    <x v="0"/>
    <x v="0"/>
    <n v="6000000"/>
    <x v="16"/>
    <x v="39"/>
    <n v="6000000"/>
    <n v="6670712"/>
    <x v="110"/>
    <x v="110"/>
    <x v="4"/>
  </r>
  <r>
    <x v="110"/>
    <n v="144"/>
    <n v="184031112"/>
    <s v="Action|Adventure|Fantasy"/>
    <s v="Michael Gough"/>
    <x v="111"/>
    <n v="190786"/>
    <s v="love|necktie|partner|rock music|tuxedo"/>
    <n v="539"/>
    <x v="0"/>
    <x v="0"/>
    <n v="100000000"/>
    <x v="33"/>
    <x v="26"/>
    <n v="100000000"/>
    <n v="184031112"/>
    <x v="111"/>
    <x v="111"/>
    <x v="1"/>
  </r>
  <r>
    <x v="111"/>
    <n v="34"/>
    <n v="12793213"/>
    <s v="Comedy|Drama|Romance"/>
    <s v="Julia Roberts"/>
    <x v="112"/>
    <n v="18286"/>
    <s v="commitment|marriage|pizza|title appears in writing|woman wearing only a man's shirt"/>
    <n v="73"/>
    <x v="0"/>
    <x v="0"/>
    <n v="6000000"/>
    <x v="34"/>
    <x v="5"/>
    <n v="6000000"/>
    <n v="12793213"/>
    <x v="112"/>
    <x v="112"/>
    <x v="4"/>
  </r>
  <r>
    <x v="112"/>
    <n v="287"/>
    <n v="82161969"/>
    <s v="Action|Adventure|Animation|Fantasy"/>
    <s v="Robin Wright"/>
    <x v="113"/>
    <n v="142440"/>
    <s v="creature|demon|king|reward|warrior"/>
    <n v="505"/>
    <x v="0"/>
    <x v="0"/>
    <n v="150000000"/>
    <x v="15"/>
    <x v="23"/>
    <n v="150000000"/>
    <n v="82161969"/>
    <x v="113"/>
    <x v="113"/>
    <x v="1"/>
  </r>
  <r>
    <x v="113"/>
    <n v="90"/>
    <n v="5932060"/>
    <s v="Action|Adventure|Fantasy|War"/>
    <s v="Colin Firth"/>
    <x v="114"/>
    <n v="29285"/>
    <s v="5th century|boy|capri|roman legion|soldier"/>
    <n v="174"/>
    <x v="0"/>
    <x v="2"/>
    <n v="35000000"/>
    <x v="15"/>
    <x v="26"/>
    <n v="44988999.999999903"/>
    <n v="7625069.9239999996"/>
    <x v="114"/>
    <x v="114"/>
    <x v="1"/>
  </r>
  <r>
    <x v="69"/>
    <n v="205"/>
    <n v="436471036"/>
    <s v="Adventure|Animation|Comedy|Family|Fantasy|Romance"/>
    <s v="Rupert Everett"/>
    <x v="115"/>
    <n v="314630"/>
    <s v="drag queen|physical appearance|princess|queen|sequel"/>
    <n v="483"/>
    <x v="0"/>
    <x v="0"/>
    <n v="150000000"/>
    <x v="2"/>
    <x v="33"/>
    <n v="150000000"/>
    <n v="436471036"/>
    <x v="115"/>
    <x v="115"/>
    <x v="0"/>
  </r>
  <r>
    <x v="114"/>
    <n v="84"/>
    <n v="126805112"/>
    <s v="Comedy|Romance"/>
    <s v="Julia Roberts"/>
    <x v="116"/>
    <n v="98199"/>
    <s v="best friend|chick flick|male female friendship|promise|wedding"/>
    <n v="169"/>
    <x v="0"/>
    <x v="0"/>
    <n v="46000000"/>
    <x v="31"/>
    <x v="23"/>
    <n v="46000000"/>
    <n v="126805112"/>
    <x v="116"/>
    <x v="116"/>
    <x v="4"/>
  </r>
  <r>
    <x v="115"/>
    <n v="190"/>
    <n v="26838389"/>
    <s v="Comedy|Drama|Romance"/>
    <s v="Orlando Bloom"/>
    <x v="117"/>
    <n v="58658"/>
    <s v="flight|flight attendant|kentucky|shoes|travel"/>
    <n v="495"/>
    <x v="0"/>
    <x v="0"/>
    <n v="57000000"/>
    <x v="25"/>
    <x v="24"/>
    <n v="57000000"/>
    <n v="26838389"/>
    <x v="117"/>
    <x v="117"/>
    <x v="4"/>
  </r>
  <r>
    <x v="116"/>
    <n v="454"/>
    <n v="91121452"/>
    <s v="Biography|Drama|Thriller|War"/>
    <s v="Benedict Cumberbatch"/>
    <x v="118"/>
    <n v="467613"/>
    <s v="crossword puzzle|cryptography|enigma code|gay lead character|world war two"/>
    <n v="608"/>
    <x v="0"/>
    <x v="2"/>
    <n v="14000000"/>
    <x v="27"/>
    <x v="40"/>
    <n v="17995600"/>
    <n v="117127514.40079901"/>
    <x v="118"/>
    <x v="118"/>
    <x v="2"/>
  </r>
  <r>
    <x v="117"/>
    <n v="154"/>
    <n v="5739376"/>
    <s v="Comedy|Drama"/>
    <s v="Peter Dinklage"/>
    <x v="119"/>
    <n v="58260"/>
    <s v="abandoned|depot|dwarf|newfoundland new jersey|train"/>
    <n v="286"/>
    <x v="0"/>
    <x v="0"/>
    <n v="500000"/>
    <x v="19"/>
    <x v="9"/>
    <n v="500000"/>
    <n v="5739376"/>
    <x v="119"/>
    <x v="119"/>
    <x v="4"/>
  </r>
  <r>
    <x v="118"/>
    <n v="411"/>
    <n v="48056940"/>
    <s v="Horror|Mystery"/>
    <s v="Danielle Kotch"/>
    <x v="120"/>
    <n v="155153"/>
    <s v="book|found footage|research|snuff film|writer"/>
    <n v="524"/>
    <x v="0"/>
    <x v="0"/>
    <n v="3000000"/>
    <x v="28"/>
    <x v="22"/>
    <n v="3000000"/>
    <n v="48056940"/>
    <x v="120"/>
    <x v="120"/>
    <x v="6"/>
  </r>
  <r>
    <x v="119"/>
    <n v="6"/>
    <n v="1000000"/>
    <s v="Adventure|Drama|Romance|War"/>
    <s v="Catherine Deneuve"/>
    <x v="121"/>
    <n v="2215"/>
    <s v="arab|bare chested male|foreign legion|french foreign legion|morocco"/>
    <n v="26"/>
    <x v="0"/>
    <x v="2"/>
    <n v="9000000"/>
    <x v="35"/>
    <x v="23"/>
    <n v="11568599.999999899"/>
    <n v="1285399.99999999"/>
    <x v="121"/>
    <x v="121"/>
    <x v="0"/>
  </r>
  <r>
    <x v="120"/>
    <n v="136"/>
    <n v="31874869"/>
    <s v="Crime|Mystery|Thriller"/>
    <s v="Ryan Gosling"/>
    <x v="122"/>
    <n v="43574"/>
    <s v="disposing of a dead body|high school student|murder|sociopath|teenage boy"/>
    <n v="302"/>
    <x v="0"/>
    <x v="0"/>
    <n v="50000000"/>
    <x v="13"/>
    <x v="7"/>
    <n v="50000000"/>
    <n v="31874869"/>
    <x v="122"/>
    <x v="122"/>
    <x v="3"/>
  </r>
  <r>
    <x v="121"/>
    <n v="145"/>
    <n v="119420252"/>
    <s v="Action|Adventure|Animation|Comedy|Family|Fantasy|Sci-Fi"/>
    <s v="Kelli Garner"/>
    <x v="123"/>
    <n v="33042"/>
    <s v="fbi director|guinea pig|household appliance|secret agent|talking mouse"/>
    <n v="90"/>
    <x v="0"/>
    <x v="0"/>
    <n v="150000000"/>
    <x v="16"/>
    <x v="37"/>
    <n v="150000000"/>
    <n v="119420252"/>
    <x v="123"/>
    <x v="123"/>
    <x v="1"/>
  </r>
  <r>
    <x v="122"/>
    <n v="103"/>
    <n v="236266"/>
    <s v="Adventure|Drama|Mystery"/>
    <s v="Matt Damon"/>
    <x v="124"/>
    <n v="15104"/>
    <s v="desert|friend|friendship|minimal dialogue|water"/>
    <n v="290"/>
    <x v="0"/>
    <x v="0"/>
    <n v="3500000"/>
    <x v="13"/>
    <x v="5"/>
    <n v="3500000"/>
    <n v="236266"/>
    <x v="124"/>
    <x v="124"/>
    <x v="0"/>
  </r>
  <r>
    <x v="123"/>
    <n v="261"/>
    <n v="5359774"/>
    <s v="Comedy|Crime|Thriller"/>
    <s v="Don Cheadle"/>
    <x v="125"/>
    <n v="64794"/>
    <s v="boat on fire|drug smuggling|fbi|fbi agent|small town"/>
    <n v="131"/>
    <x v="0"/>
    <x v="7"/>
    <n v="6000000"/>
    <x v="22"/>
    <x v="4"/>
    <n v="6508440"/>
    <n v="5813961.2487599999"/>
    <x v="125"/>
    <x v="125"/>
    <x v="4"/>
  </r>
  <r>
    <x v="124"/>
    <n v="330"/>
    <n v="191616238"/>
    <s v="Action|Comedy|Crime"/>
    <s v="Channing Tatum"/>
    <x v="126"/>
    <n v="258186"/>
    <s v="college|drugs|hidden camera|tattoo|undercover"/>
    <n v="322"/>
    <x v="0"/>
    <x v="0"/>
    <n v="50000000"/>
    <x v="27"/>
    <x v="17"/>
    <n v="50000000"/>
    <n v="191616238"/>
    <x v="126"/>
    <x v="126"/>
    <x v="1"/>
  </r>
  <r>
    <x v="39"/>
    <n v="114"/>
    <n v="93815117"/>
    <s v="Comedy|Drama|Romance"/>
    <s v="Bob Hoskins"/>
    <x v="127"/>
    <n v="68417"/>
    <s v="hotel|maid|new york city|place name in title|the bronx"/>
    <n v="242"/>
    <x v="0"/>
    <x v="0"/>
    <n v="55000000"/>
    <x v="13"/>
    <x v="37"/>
    <n v="55000000"/>
    <n v="93815117"/>
    <x v="127"/>
    <x v="127"/>
    <x v="4"/>
  </r>
  <r>
    <x v="125"/>
    <n v="126"/>
    <n v="7764027"/>
    <s v="Comedy|Drama"/>
    <s v="Beth Grant"/>
    <x v="128"/>
    <n v="38459"/>
    <s v="directed by star|indian american|spelling|spelling bee|two word title"/>
    <n v="119"/>
    <x v="0"/>
    <x v="0"/>
    <n v="10000000"/>
    <x v="0"/>
    <x v="21"/>
    <n v="10000000"/>
    <n v="7764027"/>
    <x v="128"/>
    <x v="128"/>
    <x v="4"/>
  </r>
  <r>
    <x v="126"/>
    <n v="358"/>
    <n v="139852971"/>
    <s v="Action|Crime|Thriller"/>
    <s v="Liam Neeson"/>
    <x v="129"/>
    <n v="238671"/>
    <s v="albanian|revenge|revenge motive|teenage daughter|vacation"/>
    <n v="461"/>
    <x v="0"/>
    <x v="8"/>
    <n v="45000000"/>
    <x v="28"/>
    <x v="23"/>
    <n v="48813300"/>
    <n v="151704111.76254001"/>
    <x v="129"/>
    <x v="129"/>
    <x v="1"/>
  </r>
  <r>
    <x v="127"/>
    <n v="72"/>
    <n v="50129186"/>
    <s v="Action|Crime|Drama|Mystery|Thriller"/>
    <s v="Kathleen Quinlan"/>
    <x v="130"/>
    <n v="38399"/>
    <s v="car breakdown|diner|jeep|paranoia|violence"/>
    <n v="218"/>
    <x v="0"/>
    <x v="0"/>
    <n v="36000000"/>
    <x v="31"/>
    <x v="31"/>
    <n v="36000000"/>
    <n v="50129186"/>
    <x v="130"/>
    <x v="130"/>
    <x v="1"/>
  </r>
  <r>
    <x v="128"/>
    <n v="87"/>
    <n v="39442871"/>
    <s v="Comedy|Fantasy"/>
    <s v="Adam Sandler"/>
    <x v="131"/>
    <n v="80639"/>
    <s v="angel|devil|flask|hell|the devil"/>
    <n v="237"/>
    <x v="0"/>
    <x v="0"/>
    <n v="80000000"/>
    <x v="4"/>
    <x v="1"/>
    <n v="80000000"/>
    <n v="39442871"/>
    <x v="131"/>
    <x v="131"/>
    <x v="4"/>
  </r>
  <r>
    <x v="129"/>
    <n v="25"/>
    <n v="4068087"/>
    <s v="Biography|Drama|History"/>
    <s v="Henry Ian Cusick"/>
    <x v="132"/>
    <n v="2164"/>
    <s v="1st century|based on the bible|miracle|religion|resurrection"/>
    <n v="74"/>
    <x v="0"/>
    <x v="9"/>
    <n v="17000000"/>
    <x v="19"/>
    <x v="9"/>
    <n v="12297885"/>
    <n v="2942874.476235"/>
    <x v="132"/>
    <x v="132"/>
    <x v="2"/>
  </r>
  <r>
    <x v="130"/>
    <n v="60"/>
    <n v="26830000"/>
    <s v="Drama|History|War"/>
    <s v="Denzel Washington"/>
    <x v="133"/>
    <n v="101888"/>
    <s v="army|black soldier|military uniform|prejudice|u.s. civil war"/>
    <n v="365"/>
    <x v="0"/>
    <x v="0"/>
    <n v="18000000"/>
    <x v="26"/>
    <x v="19"/>
    <n v="18000000"/>
    <n v="26830000"/>
    <x v="133"/>
    <x v="133"/>
    <x v="5"/>
  </r>
  <r>
    <x v="33"/>
    <n v="82"/>
    <n v="54222000"/>
    <s v="Adventure|Drama|Sci-Fi|Thriller"/>
    <s v="Michael Biehn"/>
    <x v="134"/>
    <n v="131217"/>
    <s v="alien|estranged couple|ocean|submarine|underwater"/>
    <n v="380"/>
    <x v="0"/>
    <x v="0"/>
    <n v="69500000"/>
    <x v="26"/>
    <x v="10"/>
    <n v="69500000"/>
    <n v="54222000"/>
    <x v="134"/>
    <x v="134"/>
    <x v="0"/>
  </r>
  <r>
    <x v="131"/>
    <n v="68"/>
    <n v="144731527"/>
    <s v="Action|Crime|Thriller"/>
    <s v="Rene Russo"/>
    <x v="135"/>
    <n v="128010"/>
    <s v="gangster|gun|internal affairs|police|police officer"/>
    <n v="136"/>
    <x v="0"/>
    <x v="0"/>
    <n v="35000000"/>
    <x v="8"/>
    <x v="21"/>
    <n v="35000000"/>
    <n v="144731527"/>
    <x v="135"/>
    <x v="135"/>
    <x v="1"/>
  </r>
  <r>
    <x v="132"/>
    <n v="148"/>
    <n v="179870271"/>
    <s v="Action|Adventure"/>
    <s v="Harrison Ford"/>
    <x v="136"/>
    <n v="329969"/>
    <s v="children|studio logo segues into film|temple|village|white dinner jacket"/>
    <n v="524"/>
    <x v="0"/>
    <x v="0"/>
    <n v="28000000"/>
    <x v="17"/>
    <x v="10"/>
    <n v="28000000"/>
    <n v="179870271"/>
    <x v="136"/>
    <x v="136"/>
    <x v="1"/>
  </r>
  <r>
    <x v="133"/>
    <n v="150"/>
    <n v="60652036"/>
    <s v="Action|Adventure|Comedy|Drama|War"/>
    <s v="Judy Greer"/>
    <x v="137"/>
    <n v="137854"/>
    <s v="gold|gulf war|iraq|kuwait|map"/>
    <n v="560"/>
    <x v="0"/>
    <x v="0"/>
    <n v="48000000"/>
    <x v="12"/>
    <x v="17"/>
    <n v="48000000"/>
    <n v="60652036"/>
    <x v="137"/>
    <x v="137"/>
    <x v="1"/>
  </r>
  <r>
    <x v="134"/>
    <n v="213"/>
    <n v="71423726"/>
    <s v="Adventure|Comedy|Sci-Fi"/>
    <s v="Alan Rickman"/>
    <x v="138"/>
    <n v="123558"/>
    <s v="alien|alien race|convention|fan|general"/>
    <n v="609"/>
    <x v="0"/>
    <x v="0"/>
    <n v="45000000"/>
    <x v="12"/>
    <x v="4"/>
    <n v="45000000"/>
    <n v="71423726"/>
    <x v="138"/>
    <x v="138"/>
    <x v="0"/>
  </r>
  <r>
    <x v="135"/>
    <n v="86"/>
    <n v="14983572"/>
    <s v="Comedy|Drama|Romance"/>
    <s v="Mark Valley"/>
    <x v="139"/>
    <n v="9361"/>
    <s v="best friend|cartoon on tv|custody battle|gay|gay friend"/>
    <n v="162"/>
    <x v="0"/>
    <x v="0"/>
    <n v="25000000"/>
    <x v="4"/>
    <x v="27"/>
    <n v="25000000"/>
    <n v="14983572"/>
    <x v="139"/>
    <x v="139"/>
    <x v="4"/>
  </r>
  <r>
    <x v="136"/>
    <n v="242"/>
    <n v="33201661"/>
    <s v="Comedy|Romance"/>
    <s v="Mathieu Kassovitz"/>
    <x v="140"/>
    <n v="534262"/>
    <s v="cheerfulness|female protagonist|garden gnome|magical realism|waitress"/>
    <n v="1314"/>
    <x v="4"/>
    <x v="8"/>
    <n v="77000000"/>
    <x v="9"/>
    <x v="25"/>
    <n v="83524980"/>
    <n v="36015169.753140002"/>
    <x v="140"/>
    <x v="140"/>
    <x v="4"/>
  </r>
  <r>
    <x v="137"/>
    <n v="105"/>
    <n v="28133159"/>
    <s v="Adventure|Animation|Comedy|Family|Fantasy"/>
    <s v="Nicolas Cage"/>
    <x v="141"/>
    <n v="30055"/>
    <s v="ant|miniaturization|punishment|shrinking|sudden change in size"/>
    <n v="70"/>
    <x v="0"/>
    <x v="0"/>
    <n v="50000000"/>
    <x v="7"/>
    <x v="0"/>
    <n v="50000000"/>
    <n v="28133159"/>
    <x v="141"/>
    <x v="141"/>
    <x v="0"/>
  </r>
  <r>
    <x v="138"/>
    <n v="238"/>
    <n v="42919096"/>
    <s v="Action|Drama|Thriller"/>
    <s v="Dwayne Johnson"/>
    <x v="142"/>
    <n v="64748"/>
    <s v="cigarette smoking|dea|drugs|inspired by true events|undercover"/>
    <n v="122"/>
    <x v="0"/>
    <x v="0"/>
    <n v="15000000"/>
    <x v="0"/>
    <x v="20"/>
    <n v="15000000"/>
    <n v="42919096"/>
    <x v="142"/>
    <x v="142"/>
    <x v="1"/>
  </r>
  <r>
    <x v="139"/>
    <n v="29"/>
    <n v="2921738"/>
    <s v="Drama|Musical|Romance"/>
    <s v="Shah Rukh Khan"/>
    <x v="143"/>
    <n v="34449"/>
    <s v="fair|pakistan|prison|rescue|stranded"/>
    <n v="119"/>
    <x v="5"/>
    <x v="10"/>
    <n v="7000000"/>
    <x v="2"/>
    <x v="19"/>
    <n v="83590.22"/>
    <n v="34889.81745748"/>
    <x v="143"/>
    <x v="143"/>
    <x v="5"/>
  </r>
  <r>
    <x v="140"/>
    <n v="96"/>
    <n v="95860116"/>
    <s v="Comedy|Drama"/>
    <s v="Robin Williams"/>
    <x v="144"/>
    <n v="277451"/>
    <s v="education|english teacher|poet|professor|student"/>
    <n v="491"/>
    <x v="0"/>
    <x v="0"/>
    <n v="16400000"/>
    <x v="26"/>
    <x v="3"/>
    <n v="16400000"/>
    <n v="95860116"/>
    <x v="144"/>
    <x v="144"/>
    <x v="4"/>
  </r>
  <r>
    <x v="141"/>
    <n v="107"/>
    <n v="16991902"/>
    <s v="Drama|Music"/>
    <s v="Beth Grant"/>
    <x v="145"/>
    <n v="34592"/>
    <s v="cover band|fired from a job|heavy metal|rock star|tribute band"/>
    <n v="191"/>
    <x v="0"/>
    <x v="0"/>
    <n v="57000000"/>
    <x v="9"/>
    <x v="5"/>
    <n v="57000000"/>
    <n v="16991902"/>
    <x v="145"/>
    <x v="145"/>
    <x v="5"/>
  </r>
  <r>
    <x v="132"/>
    <n v="388"/>
    <n v="79883359"/>
    <s v="Drama|War"/>
    <s v="Jeremy Irvine"/>
    <x v="146"/>
    <n v="116159"/>
    <s v="barbed wire|british|cavalry|horse|world war one"/>
    <n v="488"/>
    <x v="0"/>
    <x v="0"/>
    <n v="66000000"/>
    <x v="22"/>
    <x v="33"/>
    <n v="66000000"/>
    <n v="79883359"/>
    <x v="146"/>
    <x v="146"/>
    <x v="5"/>
  </r>
  <r>
    <x v="16"/>
    <n v="60"/>
    <n v="1420578"/>
    <s v="Drama|Fantasy"/>
    <s v="Peter Coyote"/>
    <x v="147"/>
    <n v="4894"/>
    <s v="boy|caretaker|dam|evacuation|orphanage"/>
    <n v="122"/>
    <x v="0"/>
    <x v="0"/>
    <n v="1900000"/>
    <x v="19"/>
    <x v="24"/>
    <n v="1900000"/>
    <n v="1420578"/>
    <x v="147"/>
    <x v="147"/>
    <x v="5"/>
  </r>
  <r>
    <x v="142"/>
    <n v="131"/>
    <n v="59068786"/>
    <s v="Action|Drama|Thriller|War"/>
    <s v="Joaquim de Almeida"/>
    <x v="148"/>
    <n v="86902"/>
    <s v="battle|massacre|navigator|navy|rescue"/>
    <n v="411"/>
    <x v="0"/>
    <x v="0"/>
    <n v="40000000"/>
    <x v="9"/>
    <x v="24"/>
    <n v="40000000"/>
    <n v="59068786"/>
    <x v="148"/>
    <x v="148"/>
    <x v="1"/>
  </r>
  <r>
    <x v="143"/>
    <n v="27"/>
    <n v="22294341"/>
    <s v="Adventure|Comedy"/>
    <s v="Wilford Brimley"/>
    <x v="149"/>
    <n v="12278"/>
    <s v="gay pride|highway travel|president|road movie|u.s. president"/>
    <n v="71"/>
    <x v="0"/>
    <x v="0"/>
    <n v="21500000"/>
    <x v="10"/>
    <x v="20"/>
    <n v="21500000"/>
    <n v="22294341"/>
    <x v="149"/>
    <x v="149"/>
    <x v="0"/>
  </r>
  <r>
    <x v="144"/>
    <n v="50"/>
    <n v="9795017"/>
    <s v="Crime|Drama|Thriller"/>
    <s v="Michael Biehn"/>
    <x v="150"/>
    <n v="9227"/>
    <s v="blackmail|investigation|murder|panties pulled down|prostitution"/>
    <n v="70"/>
    <x v="0"/>
    <x v="0"/>
    <n v="50000000"/>
    <x v="33"/>
    <x v="37"/>
    <n v="50000000"/>
    <n v="9795017"/>
    <x v="150"/>
    <x v="150"/>
    <x v="3"/>
  </r>
  <r>
    <x v="145"/>
    <n v="58"/>
    <n v="15361537"/>
    <s v="Action|Crime|Thriller"/>
    <s v="Claudia Christian"/>
    <x v="151"/>
    <n v="12263"/>
    <s v="alcatraz|fbi|gold|prison|undercover"/>
    <n v="132"/>
    <x v="0"/>
    <x v="5"/>
    <n v="13000000"/>
    <x v="13"/>
    <x v="34"/>
    <n v="14101620"/>
    <n v="16663273.64538"/>
    <x v="151"/>
    <x v="151"/>
    <x v="1"/>
  </r>
  <r>
    <x v="62"/>
    <n v="111"/>
    <n v="3193102"/>
    <s v="Crime|Drama|Mystery|Thriller"/>
    <s v="Peter Fonda"/>
    <x v="152"/>
    <n v="24412"/>
    <s v="daughter|englishman|ex con|revenge|young woman"/>
    <n v="240"/>
    <x v="0"/>
    <x v="0"/>
    <n v="9000000"/>
    <x v="12"/>
    <x v="17"/>
    <n v="9000000"/>
    <n v="3193102"/>
    <x v="152"/>
    <x v="152"/>
    <x v="3"/>
  </r>
  <r>
    <x v="146"/>
    <n v="479"/>
    <n v="138795342"/>
    <s v="Biography|Drama|History|Romance"/>
    <s v="Colin Firth"/>
    <x v="153"/>
    <n v="503631"/>
    <s v="king|king george vi|speech|speech therapist|throne"/>
    <n v="636"/>
    <x v="0"/>
    <x v="2"/>
    <n v="15000000"/>
    <x v="11"/>
    <x v="3"/>
    <n v="19281000"/>
    <n v="178407532.60679999"/>
    <x v="153"/>
    <x v="153"/>
    <x v="2"/>
  </r>
  <r>
    <x v="147"/>
    <n v="110"/>
    <n v="30199105"/>
    <s v="Action|Adventure|Crime|Thriller"/>
    <s v="Michael Biehn"/>
    <x v="154"/>
    <n v="25346"/>
    <s v="blood splatter|fbi|murder|secretary general|united nations"/>
    <n v="167"/>
    <x v="0"/>
    <x v="0"/>
    <n v="40000000"/>
    <x v="4"/>
    <x v="35"/>
    <n v="40000000"/>
    <n v="30199105"/>
    <x v="154"/>
    <x v="154"/>
    <x v="1"/>
  </r>
  <r>
    <x v="148"/>
    <n v="84"/>
    <n v="73000942"/>
    <s v="Documentary|Music"/>
    <s v="Usher Raymond"/>
    <x v="155"/>
    <n v="74351"/>
    <s v="boyhood friend|manager|plasma tv|prodigy|star"/>
    <n v="233"/>
    <x v="0"/>
    <x v="0"/>
    <n v="13000000"/>
    <x v="22"/>
    <x v="41"/>
    <n v="13000000"/>
    <n v="73000942"/>
    <x v="155"/>
    <x v="155"/>
    <x v="7"/>
  </r>
  <r>
    <x v="149"/>
    <n v="190"/>
    <n v="73661010"/>
    <s v="Animation|Comedy|Family|Fantasy|Mystery"/>
    <s v="Steve Buscemi"/>
    <x v="156"/>
    <n v="71137"/>
    <s v="babysitter|halloween|house|neighbor|suburb"/>
    <n v="229"/>
    <x v="0"/>
    <x v="0"/>
    <n v="75000000"/>
    <x v="7"/>
    <x v="14"/>
    <n v="75000000"/>
    <n v="73661010"/>
    <x v="156"/>
    <x v="156"/>
    <x v="8"/>
  </r>
  <r>
    <x v="150"/>
    <n v="154"/>
    <n v="40064955"/>
    <s v="Horror|Mystery|Sci-Fi"/>
    <s v="Jordana Brewster"/>
    <x v="157"/>
    <n v="92074"/>
    <s v="alien|high school|ohio|photographer|water"/>
    <n v="502"/>
    <x v="0"/>
    <x v="0"/>
    <n v="15000000"/>
    <x v="6"/>
    <x v="24"/>
    <n v="15000000"/>
    <n v="40064955"/>
    <x v="157"/>
    <x v="157"/>
    <x v="6"/>
  </r>
  <r>
    <x v="151"/>
    <n v="94"/>
    <n v="9473382"/>
    <s v="Drama|Music|Mystery|Romance"/>
    <s v="Johannes Silberschneider"/>
    <x v="158"/>
    <n v="26832"/>
    <s v="auction|montreal|secret|violin|violinist"/>
    <n v="247"/>
    <x v="4"/>
    <x v="9"/>
    <n v="10000000"/>
    <x v="6"/>
    <x v="9"/>
    <n v="7234050"/>
    <n v="6853091.9057099996"/>
    <x v="158"/>
    <x v="158"/>
    <x v="5"/>
  </r>
  <r>
    <x v="152"/>
    <n v="68"/>
    <n v="17174870"/>
    <s v="Drama|Music|Romance"/>
    <s v="Amanda Schull"/>
    <x v="159"/>
    <n v="15817"/>
    <s v="ballet|dance|dancer|dancing|love"/>
    <n v="210"/>
    <x v="0"/>
    <x v="0"/>
    <n v="18000000"/>
    <x v="4"/>
    <x v="21"/>
    <n v="18000000"/>
    <n v="17174870"/>
    <x v="159"/>
    <x v="159"/>
    <x v="5"/>
  </r>
  <r>
    <x v="153"/>
    <n v="69"/>
    <n v="274299"/>
    <s v="Biography|Crime|Drama|War"/>
    <s v="Sebastian Koch"/>
    <x v="160"/>
    <n v="11077"/>
    <s v="jesuit|jew|pope|priest|ss"/>
    <n v="55"/>
    <x v="0"/>
    <x v="8"/>
    <n v="103000000"/>
    <x v="13"/>
    <x v="4"/>
    <n v="111728220"/>
    <n v="297543.09726000001"/>
    <x v="160"/>
    <x v="160"/>
    <x v="2"/>
  </r>
  <r>
    <x v="154"/>
    <n v="78"/>
    <n v="17010646"/>
    <s v="Comedy|Family|Fantasy"/>
    <s v="Jamie Kennedy"/>
    <x v="161"/>
    <n v="40751"/>
    <s v="baby|cartoon on tv|cartoonist|dog|mask"/>
    <n v="239"/>
    <x v="0"/>
    <x v="0"/>
    <n v="84000000"/>
    <x v="25"/>
    <x v="42"/>
    <n v="84000000"/>
    <n v="17010646"/>
    <x v="161"/>
    <x v="161"/>
    <x v="4"/>
  </r>
  <r>
    <x v="155"/>
    <n v="21"/>
    <n v="1953732"/>
    <s v="Adventure|Drama|Fantasy"/>
    <s v="Curtis Armstrong"/>
    <x v="162"/>
    <n v="4996"/>
    <s v="cave bear|cro magnon|neanderthal|survival|tradition"/>
    <n v="62"/>
    <x v="0"/>
    <x v="0"/>
    <n v="15000000"/>
    <x v="18"/>
    <x v="1"/>
    <n v="15000000"/>
    <n v="1953732"/>
    <x v="162"/>
    <x v="162"/>
    <x v="0"/>
  </r>
  <r>
    <x v="156"/>
    <n v="117"/>
    <n v="38966057"/>
    <s v="Comedy|Drama"/>
    <s v="Maura Tierney"/>
    <x v="163"/>
    <n v="23940"/>
    <s v="campaigning|candidate|election|governor|president"/>
    <n v="157"/>
    <x v="0"/>
    <x v="8"/>
    <n v="65000000"/>
    <x v="6"/>
    <x v="21"/>
    <n v="70508100"/>
    <n v="42268040.67018"/>
    <x v="163"/>
    <x v="163"/>
    <x v="4"/>
  </r>
  <r>
    <x v="157"/>
    <n v="80"/>
    <n v="41227069"/>
    <s v="Drama|Romance"/>
    <s v="Lauren German"/>
    <x v="164"/>
    <n v="162701"/>
    <s v="community service|love|punishment|school|student"/>
    <n v="962"/>
    <x v="0"/>
    <x v="0"/>
    <n v="11000000"/>
    <x v="13"/>
    <x v="39"/>
    <n v="11000000"/>
    <n v="41227069"/>
    <x v="164"/>
    <x v="164"/>
    <x v="5"/>
  </r>
  <r>
    <x v="158"/>
    <n v="163"/>
    <n v="16640210"/>
    <s v="Drama|Thriller"/>
    <s v="Nicolas Cage"/>
    <x v="165"/>
    <n v="53028"/>
    <s v="ambulance|ghost|hell|paramedic|rescue"/>
    <n v="382"/>
    <x v="0"/>
    <x v="0"/>
    <n v="55000000"/>
    <x v="12"/>
    <x v="22"/>
    <n v="55000000"/>
    <n v="16640210"/>
    <x v="165"/>
    <x v="165"/>
    <x v="5"/>
  </r>
  <r>
    <x v="159"/>
    <n v="143"/>
    <n v="10911750"/>
    <s v="Drama|War"/>
    <s v="Joseph Gordon-Levitt"/>
    <x v="166"/>
    <n v="17757"/>
    <s v="friendship|honor|iraq war|soldier|texas"/>
    <n v="99"/>
    <x v="0"/>
    <x v="0"/>
    <n v="25000000"/>
    <x v="20"/>
    <x v="20"/>
    <n v="25000000"/>
    <n v="10911750"/>
    <x v="166"/>
    <x v="166"/>
    <x v="5"/>
  </r>
  <r>
    <x v="160"/>
    <n v="154"/>
    <n v="19661987"/>
    <s v="Drama"/>
    <s v="Adam Sandler"/>
    <x v="167"/>
    <n v="83786"/>
    <s v="college|depression|grief|mental breakdown|post september 11 2001"/>
    <n v="231"/>
    <x v="0"/>
    <x v="0"/>
    <n v="20000000"/>
    <x v="15"/>
    <x v="2"/>
    <n v="20000000"/>
    <n v="19661987"/>
    <x v="167"/>
    <x v="167"/>
    <x v="5"/>
  </r>
  <r>
    <x v="161"/>
    <n v="492"/>
    <n v="58607007"/>
    <s v="Action|Crime|Sci-Fi|Thriller"/>
    <s v="Gary Oldman"/>
    <x v="168"/>
    <n v="182899"/>
    <s v="law enforcement|police|robocop|robot|technology"/>
    <n v="630"/>
    <x v="0"/>
    <x v="0"/>
    <n v="100000000"/>
    <x v="27"/>
    <x v="5"/>
    <n v="100000000"/>
    <n v="58607007"/>
    <x v="168"/>
    <x v="168"/>
    <x v="1"/>
  </r>
  <r>
    <x v="162"/>
    <n v="459"/>
    <n v="150832203"/>
    <s v="Adventure|Mystery|Sci-Fi"/>
    <s v="Kate Winslet"/>
    <x v="169"/>
    <n v="341058"/>
    <s v="army|brother sister relationship|dystopia|father son relationship|narrated by character"/>
    <n v="713"/>
    <x v="0"/>
    <x v="0"/>
    <n v="85000000"/>
    <x v="27"/>
    <x v="21"/>
    <n v="85000000"/>
    <n v="150832203"/>
    <x v="169"/>
    <x v="169"/>
    <x v="0"/>
  </r>
  <r>
    <x v="132"/>
    <n v="219"/>
    <n v="216119491"/>
    <s v="Action|Drama|War"/>
    <s v="Tom Hanks"/>
    <x v="170"/>
    <n v="881236"/>
    <s v="army|invasion|killed in action|normandy|soldier"/>
    <n v="2277"/>
    <x v="0"/>
    <x v="0"/>
    <n v="70000000"/>
    <x v="6"/>
    <x v="43"/>
    <n v="70000000"/>
    <n v="216119491"/>
    <x v="170"/>
    <x v="170"/>
    <x v="1"/>
  </r>
  <r>
    <x v="163"/>
    <n v="32"/>
    <n v="29200000"/>
    <s v="Drama|Music|Romance"/>
    <s v="David Keith"/>
    <x v="171"/>
    <n v="6142"/>
    <s v="awol|demand|driver|drugs|roses"/>
    <n v="52"/>
    <x v="0"/>
    <x v="0"/>
    <n v="8500000"/>
    <x v="36"/>
    <x v="31"/>
    <n v="8500000"/>
    <n v="29200000"/>
    <x v="171"/>
    <x v="171"/>
    <x v="5"/>
  </r>
  <r>
    <x v="164"/>
    <n v="22"/>
    <n v="2580"/>
    <s v="Drama|Mystery"/>
    <s v="Judy Greer"/>
    <x v="172"/>
    <n v="1618"/>
    <s v="film student|marriage|mental breakdown|movie star|obsession"/>
    <n v="40"/>
    <x v="0"/>
    <x v="0"/>
    <n v="1650000"/>
    <x v="19"/>
    <x v="26"/>
    <n v="1650000"/>
    <n v="2580"/>
    <x v="172"/>
    <x v="172"/>
    <x v="5"/>
  </r>
  <r>
    <x v="165"/>
    <n v="45"/>
    <n v="20218"/>
    <s v="Action|Comedy|Crime|Thriller"/>
    <s v="Daniel Roebuck"/>
    <x v="173"/>
    <n v="5431"/>
    <s v="cia|cia agent|fbi|mexico|train"/>
    <n v="50"/>
    <x v="0"/>
    <x v="0"/>
    <n v="24000000"/>
    <x v="9"/>
    <x v="1"/>
    <n v="24000000"/>
    <n v="20218"/>
    <x v="173"/>
    <x v="173"/>
    <x v="1"/>
  </r>
  <r>
    <x v="148"/>
    <n v="351"/>
    <n v="122512052"/>
    <s v="Action|Adventure|Sci-Fi|Thriller"/>
    <s v="Channing Tatum"/>
    <x v="174"/>
    <n v="146352"/>
    <s v="general|gi joe|martial arts|ninja|president"/>
    <n v="288"/>
    <x v="0"/>
    <x v="0"/>
    <n v="130000000"/>
    <x v="0"/>
    <x v="30"/>
    <n v="130000000"/>
    <n v="122512052"/>
    <x v="174"/>
    <x v="174"/>
    <x v="1"/>
  </r>
  <r>
    <x v="166"/>
    <n v="51"/>
    <n v="8460990"/>
    <s v="Adventure|Animation|Family|Fantasy|Musical"/>
    <s v="Lea Michele"/>
    <x v="175"/>
    <n v="5116"/>
    <s v="jester|kansas|oz|princess|tornado"/>
    <n v="54"/>
    <x v="0"/>
    <x v="0"/>
    <n v="70000000"/>
    <x v="0"/>
    <x v="15"/>
    <n v="70000000"/>
    <n v="8460990"/>
    <x v="175"/>
    <x v="175"/>
    <x v="0"/>
  </r>
  <r>
    <x v="167"/>
    <n v="279"/>
    <n v="33574332"/>
    <s v="Drama|History|War"/>
    <s v="Paul Walker"/>
    <x v="176"/>
    <n v="101221"/>
    <s v="imperial japan|japan|japanese army|japanese soldier|world war two"/>
    <n v="415"/>
    <x v="0"/>
    <x v="0"/>
    <n v="90000000"/>
    <x v="7"/>
    <x v="17"/>
    <n v="90000000"/>
    <n v="33574332"/>
    <x v="176"/>
    <x v="176"/>
    <x v="5"/>
  </r>
  <r>
    <x v="168"/>
    <n v="110"/>
    <n v="18208078"/>
    <s v="Action|Drama|Thriller"/>
    <s v="Clifton Collins Jr."/>
    <x v="177"/>
    <n v="57100"/>
    <s v="colonel|general|military|prison|three star general"/>
    <n v="281"/>
    <x v="0"/>
    <x v="0"/>
    <n v="60000000"/>
    <x v="9"/>
    <x v="31"/>
    <n v="60000000"/>
    <n v="18208078"/>
    <x v="177"/>
    <x v="177"/>
    <x v="1"/>
  </r>
  <r>
    <x v="169"/>
    <n v="106"/>
    <n v="106869"/>
    <s v="Crime|Drama|Romance|Thriller"/>
    <s v="Josh Hutcherson"/>
    <x v="178"/>
    <n v="13762"/>
    <s v="colombia|dream|love|surfer|village"/>
    <n v="39"/>
    <x v="0"/>
    <x v="8"/>
    <n v="17000000"/>
    <x v="27"/>
    <x v="14"/>
    <n v="18440580"/>
    <n v="115925.07906"/>
    <x v="178"/>
    <x v="178"/>
    <x v="3"/>
  </r>
  <r>
    <x v="170"/>
    <n v="320"/>
    <n v="39292022"/>
    <s v="Action|Adventure|Thriller"/>
    <s v="Jason Statham"/>
    <x v="179"/>
    <n v="127258"/>
    <s v="battle|fight|mission|pg 13 sequel to r rated franchise|rescue"/>
    <n v="351"/>
    <x v="0"/>
    <x v="0"/>
    <n v="90000000"/>
    <x v="27"/>
    <x v="7"/>
    <n v="90000000"/>
    <n v="39292022"/>
    <x v="179"/>
    <x v="179"/>
    <x v="1"/>
  </r>
  <r>
    <x v="171"/>
    <n v="130"/>
    <n v="1705139"/>
    <s v="Fantasy|Horror|Mystery|Thriller"/>
    <s v="Alex Rocco"/>
    <x v="180"/>
    <n v="4695"/>
    <s v="1960s|boy|ghost|murder|small town"/>
    <n v="69"/>
    <x v="0"/>
    <x v="0"/>
    <n v="4700000"/>
    <x v="34"/>
    <x v="21"/>
    <n v="4700000"/>
    <n v="1705139"/>
    <x v="180"/>
    <x v="180"/>
    <x v="9"/>
  </r>
  <r>
    <x v="172"/>
    <n v="138"/>
    <n v="87704396"/>
    <s v="Action|Crime|Romance|Thriller"/>
    <s v="Will Patton"/>
    <x v="181"/>
    <n v="88132"/>
    <s v="art thief|insurance|mask|master thief|reference to iron maiden"/>
    <n v="274"/>
    <x v="0"/>
    <x v="0"/>
    <n v="66000000"/>
    <x v="12"/>
    <x v="5"/>
    <n v="66000000"/>
    <n v="87704396"/>
    <x v="181"/>
    <x v="181"/>
    <x v="1"/>
  </r>
  <r>
    <x v="173"/>
    <n v="135"/>
    <n v="13101142"/>
    <s v="Comedy|Romance|Sport"/>
    <s v="Gerard Butler"/>
    <x v="182"/>
    <n v="23916"/>
    <s v="coach|soccer|soccer coach|soccer mom|soccer team"/>
    <n v="50"/>
    <x v="0"/>
    <x v="0"/>
    <n v="35000000"/>
    <x v="28"/>
    <x v="35"/>
    <n v="35000000"/>
    <n v="13101142"/>
    <x v="182"/>
    <x v="182"/>
    <x v="4"/>
  </r>
  <r>
    <x v="174"/>
    <n v="109"/>
    <n v="1060591"/>
    <s v="Comedy|Drama|Romance"/>
    <s v="Yasmine Al Massri"/>
    <x v="183"/>
    <n v="9750"/>
    <s v="caramel|friendship|police|secret|suitor"/>
    <n v="66"/>
    <x v="6"/>
    <x v="8"/>
    <n v="1300000"/>
    <x v="15"/>
    <x v="33"/>
    <n v="1410162"/>
    <n v="1150465.4813399999"/>
    <x v="183"/>
    <x v="183"/>
    <x v="4"/>
  </r>
  <r>
    <x v="175"/>
    <n v="117"/>
    <n v="34667015"/>
    <s v="Action|Adventure|Thriller"/>
    <s v="Robert Davi"/>
    <x v="184"/>
    <n v="74009"/>
    <s v="drug cartel|drug lord|james bond 007|personal vendetta|vengeance"/>
    <n v="317"/>
    <x v="0"/>
    <x v="2"/>
    <n v="32000000"/>
    <x v="26"/>
    <x v="14"/>
    <n v="41132799.999999903"/>
    <n v="44560981.080999903"/>
    <x v="184"/>
    <x v="184"/>
    <x v="1"/>
  </r>
  <r>
    <x v="176"/>
    <n v="401"/>
    <n v="241407328"/>
    <s v="Action|Adventure|Family|Fantasy|Romance"/>
    <s v="Angelina Jolie Pitt"/>
    <x v="185"/>
    <n v="252257"/>
    <s v="curse|dark fantasy|fairy|king|kingdom"/>
    <n v="634"/>
    <x v="0"/>
    <x v="0"/>
    <n v="180000000"/>
    <x v="27"/>
    <x v="16"/>
    <n v="180000000"/>
    <n v="241407328"/>
    <x v="185"/>
    <x v="185"/>
    <x v="1"/>
  </r>
  <r>
    <x v="177"/>
    <n v="275"/>
    <n v="281492479"/>
    <s v="Action|Sci-Fi"/>
    <s v="Steve Bastoni"/>
    <x v="186"/>
    <n v="421818"/>
    <s v="car motorcycle chase|one against many|oracle|prophecy|stylized violence"/>
    <n v="2789"/>
    <x v="0"/>
    <x v="0"/>
    <n v="150000000"/>
    <x v="19"/>
    <x v="33"/>
    <n v="150000000"/>
    <n v="281492479"/>
    <x v="186"/>
    <x v="186"/>
    <x v="1"/>
  </r>
  <r>
    <x v="178"/>
    <n v="30"/>
    <n v="220234"/>
    <s v="Comedy|Romance"/>
    <s v="Frances Conroy"/>
    <x v="187"/>
    <n v="1950"/>
    <s v="erectile dysfunction|mugger|mugging|subway robbery|therapy"/>
    <n v="24"/>
    <x v="0"/>
    <x v="0"/>
    <n v="3500000"/>
    <x v="7"/>
    <x v="20"/>
    <n v="3500000"/>
    <n v="220234"/>
    <x v="187"/>
    <x v="187"/>
    <x v="4"/>
  </r>
  <r>
    <x v="179"/>
    <n v="145"/>
    <n v="150315155"/>
    <s v="Comedy|Family"/>
    <s v="Will Ferrell"/>
    <x v="188"/>
    <n v="54010"/>
    <s v="biological father|dad|drinking|product placement|wilhelm scream"/>
    <n v="130"/>
    <x v="0"/>
    <x v="0"/>
    <n v="50000000"/>
    <x v="1"/>
    <x v="7"/>
    <n v="50000000"/>
    <n v="150315155"/>
    <x v="188"/>
    <x v="188"/>
    <x v="4"/>
  </r>
  <r>
    <x v="180"/>
    <n v="191"/>
    <n v="198539855"/>
    <s v="Action|Drama|History|Romance|War"/>
    <s v="Jennifer Garner"/>
    <x v="189"/>
    <n v="254111"/>
    <s v="air raid|black smoke|japanese military|japanese navy|sunday"/>
    <n v="1999"/>
    <x v="0"/>
    <x v="0"/>
    <n v="140000000"/>
    <x v="9"/>
    <x v="7"/>
    <n v="140000000"/>
    <n v="198539855"/>
    <x v="189"/>
    <x v="189"/>
    <x v="1"/>
  </r>
  <r>
    <x v="112"/>
    <n v="188"/>
    <n v="665426"/>
    <s v="Adventure|Animation|Family|Fantasy"/>
    <s v="Tom Hanks"/>
    <x v="190"/>
    <n v="120798"/>
    <s v="boy|christmas|christmas eve|north pole|train"/>
    <n v="444"/>
    <x v="0"/>
    <x v="0"/>
    <n v="165000000"/>
    <x v="2"/>
    <x v="14"/>
    <n v="165000000"/>
    <n v="665426"/>
    <x v="190"/>
    <x v="190"/>
    <x v="0"/>
  </r>
  <r>
    <x v="181"/>
    <n v="72"/>
    <n v="70450000"/>
    <s v="Action|Crime|Thriller"/>
    <s v="Delroy Lindo"/>
    <x v="191"/>
    <n v="77390"/>
    <s v="captain|desert|major|park ranger|utah"/>
    <n v="189"/>
    <x v="0"/>
    <x v="0"/>
    <n v="50000000"/>
    <x v="10"/>
    <x v="11"/>
    <n v="50000000"/>
    <n v="70450000"/>
    <x v="191"/>
    <x v="191"/>
    <x v="1"/>
  </r>
  <r>
    <x v="182"/>
    <n v="250"/>
    <n v="1294640"/>
    <s v="Crime|Drama|Horror|Thriller"/>
    <s v="Naomi Watts"/>
    <x v="192"/>
    <n v="69569"/>
    <s v="breaking the fourth wall|looking at the camera|remake|serial killer|violence"/>
    <n v="436"/>
    <x v="0"/>
    <x v="0"/>
    <n v="15000000"/>
    <x v="15"/>
    <x v="20"/>
    <n v="15000000"/>
    <n v="1294640"/>
    <x v="192"/>
    <x v="192"/>
    <x v="3"/>
  </r>
  <r>
    <x v="183"/>
    <n v="118"/>
    <n v="3335839"/>
    <s v="Action|Crime|Drama|Thriller"/>
    <s v="J.K. Simmons"/>
    <x v="193"/>
    <n v="54657"/>
    <s v="blood splatter|friend|lapd|mexican|violence"/>
    <n v="222"/>
    <x v="0"/>
    <x v="0"/>
    <n v="2000000"/>
    <x v="25"/>
    <x v="16"/>
    <n v="2000000"/>
    <n v="3335839"/>
    <x v="193"/>
    <x v="193"/>
    <x v="1"/>
  </r>
  <r>
    <x v="184"/>
    <n v="230"/>
    <n v="9929000"/>
    <s v="Drama|Sci-Fi"/>
    <s v="Robert De Niro"/>
    <x v="194"/>
    <n v="152306"/>
    <s v="black comedy|bureaucracy|dream|terrorist|wrongful arrest"/>
    <n v="513"/>
    <x v="0"/>
    <x v="2"/>
    <n v="15000000"/>
    <x v="37"/>
    <x v="3"/>
    <n v="19281000"/>
    <n v="12762736.6"/>
    <x v="194"/>
    <x v="194"/>
    <x v="5"/>
  </r>
  <r>
    <x v="185"/>
    <n v="184"/>
    <n v="6615578"/>
    <s v="Biography|Drama|Romance"/>
    <s v="David Masterson"/>
    <x v="195"/>
    <n v="15352"/>
    <s v="countess|leo tolstoy|russian|wealth|writing"/>
    <n v="82"/>
    <x v="0"/>
    <x v="5"/>
    <n v="13000000"/>
    <x v="16"/>
    <x v="16"/>
    <n v="14101620"/>
    <n v="7176182.0797199998"/>
    <x v="195"/>
    <x v="195"/>
    <x v="2"/>
  </r>
  <r>
    <x v="186"/>
    <n v="10"/>
    <n v="34793160"/>
    <s v="Adventure|Drama"/>
    <s v="Seymour Cassel"/>
    <x v="196"/>
    <n v="15730"/>
    <s v="alaska|dog|friendship|gold|yukon"/>
    <n v="31"/>
    <x v="0"/>
    <x v="0"/>
    <n v="14000000"/>
    <x v="38"/>
    <x v="21"/>
    <n v="14000000"/>
    <n v="34793160"/>
    <x v="196"/>
    <x v="196"/>
    <x v="0"/>
  </r>
  <r>
    <x v="187"/>
    <n v="164"/>
    <n v="25266129"/>
    <s v="Comedy|Drama|Romance"/>
    <s v="Stephen Root"/>
    <x v="197"/>
    <n v="54346"/>
    <s v="baby|childbirth|death|karma|publicist"/>
    <n v="358"/>
    <x v="0"/>
    <x v="0"/>
    <n v="35000000"/>
    <x v="2"/>
    <x v="5"/>
    <n v="35000000"/>
    <n v="25266129"/>
    <x v="197"/>
    <x v="197"/>
    <x v="4"/>
  </r>
  <r>
    <x v="188"/>
    <n v="84"/>
    <n v="15427192"/>
    <s v="Comedy|Crime|Mystery"/>
    <s v="Will Ferrell"/>
    <x v="198"/>
    <n v="11768"/>
    <s v="crying woman|plot|suspect|waitress|younger man older woman relationship"/>
    <n v="148"/>
    <x v="0"/>
    <x v="0"/>
    <n v="16000000"/>
    <x v="4"/>
    <x v="15"/>
    <n v="16000000"/>
    <n v="15427192"/>
    <x v="198"/>
    <x v="198"/>
    <x v="4"/>
  </r>
  <r>
    <x v="189"/>
    <n v="235"/>
    <n v="38105077"/>
    <s v="Action|Crime|Thriller"/>
    <s v="ShÃ´ Kosugi"/>
    <x v="199"/>
    <n v="58349"/>
    <s v="critically bashed|kung fu|martial artist|martial arts|ninja"/>
    <n v="194"/>
    <x v="0"/>
    <x v="0"/>
    <n v="40000000"/>
    <x v="16"/>
    <x v="24"/>
    <n v="40000000"/>
    <n v="38105077"/>
    <x v="199"/>
    <x v="199"/>
    <x v="1"/>
  </r>
  <r>
    <x v="190"/>
    <n v="576"/>
    <n v="44667095"/>
    <s v="Comedy|Drama|Romance"/>
    <s v="BÃ©rÃ©nice Bejo"/>
    <x v="200"/>
    <n v="190030"/>
    <s v="1920s|jack russell terrier|modern silent movie|movie star|movie studio"/>
    <n v="583"/>
    <x v="0"/>
    <x v="8"/>
    <n v="15000000"/>
    <x v="22"/>
    <x v="3"/>
    <n v="16271100"/>
    <n v="48452184.6303"/>
    <x v="200"/>
    <x v="200"/>
    <x v="4"/>
  </r>
  <r>
    <x v="191"/>
    <n v="53"/>
    <n v="10198766"/>
    <s v="Comedy"/>
    <s v="Heather Matarazzo"/>
    <x v="201"/>
    <n v="12007"/>
    <s v="college|cruise|drag|female armpit hair|sorority"/>
    <n v="105"/>
    <x v="0"/>
    <x v="0"/>
    <n v="12000000"/>
    <x v="13"/>
    <x v="26"/>
    <n v="12000000"/>
    <n v="10198766"/>
    <x v="201"/>
    <x v="201"/>
    <x v="4"/>
  </r>
  <r>
    <x v="157"/>
    <n v="125"/>
    <n v="113006880"/>
    <s v="Action|Comedy|Drama|Family|Thriller"/>
    <s v="Vin Diesel"/>
    <x v="202"/>
    <n v="66308"/>
    <s v="bodyguard|death of husband|male nanny|nanny|wrestling match"/>
    <n v="225"/>
    <x v="0"/>
    <x v="9"/>
    <n v="56000000"/>
    <x v="25"/>
    <x v="28"/>
    <n v="40510680"/>
    <n v="81749742.0264"/>
    <x v="202"/>
    <x v="202"/>
    <x v="1"/>
  </r>
  <r>
    <x v="192"/>
    <n v="86"/>
    <n v="61356221"/>
    <s v="Drama|Music|Romance"/>
    <s v="Chris Brown"/>
    <x v="203"/>
    <n v="19505"/>
    <s v="atlanta georgia|competition|dancer|death|fraternity"/>
    <n v="162"/>
    <x v="0"/>
    <x v="0"/>
    <n v="14000000"/>
    <x v="15"/>
    <x v="44"/>
    <n v="14000000"/>
    <n v="61356221"/>
    <x v="203"/>
    <x v="203"/>
    <x v="5"/>
  </r>
  <r>
    <x v="193"/>
    <n v="231"/>
    <n v="60655503"/>
    <s v="Action|Adventure|Drama|Thriller"/>
    <s v="Jimmy Bennett"/>
    <x v="204"/>
    <n v="82380"/>
    <s v="cruise|escape|ocean|passenger|water"/>
    <n v="629"/>
    <x v="0"/>
    <x v="0"/>
    <n v="160000000"/>
    <x v="7"/>
    <x v="15"/>
    <n v="160000000"/>
    <n v="60655503"/>
    <x v="204"/>
    <x v="204"/>
    <x v="1"/>
  </r>
  <r>
    <x v="194"/>
    <n v="205"/>
    <n v="19673424"/>
    <s v="Drama|Musical|Romance"/>
    <s v="Fergie"/>
    <x v="205"/>
    <n v="37446"/>
    <s v="based on stage musical based on film|child abuse|film director|italian|mistress"/>
    <n v="232"/>
    <x v="0"/>
    <x v="0"/>
    <n v="80000000"/>
    <x v="16"/>
    <x v="30"/>
    <n v="80000000"/>
    <n v="19673424"/>
    <x v="205"/>
    <x v="205"/>
    <x v="5"/>
  </r>
  <r>
    <x v="195"/>
    <n v="265"/>
    <n v="44566004"/>
    <s v="Drama"/>
    <s v="Scarlett Johansson"/>
    <x v="206"/>
    <n v="321283"/>
    <s v="fish out of water|japanese|loneliness|older man younger woman relationship|unlikely friendship"/>
    <n v="1848"/>
    <x v="0"/>
    <x v="0"/>
    <n v="4000000"/>
    <x v="19"/>
    <x v="38"/>
    <n v="4000000"/>
    <n v="44566004"/>
    <x v="206"/>
    <x v="206"/>
    <x v="5"/>
  </r>
  <r>
    <x v="196"/>
    <n v="73"/>
    <n v="144156464"/>
    <s v="Comedy|Family|Fantasy"/>
    <s v="Oliver Platt"/>
    <x v="207"/>
    <n v="74343"/>
    <s v="box office hit|doctor|dog|first part|tiger"/>
    <n v="98"/>
    <x v="0"/>
    <x v="0"/>
    <n v="71500000"/>
    <x v="6"/>
    <x v="1"/>
    <n v="71500000"/>
    <n v="144156464"/>
    <x v="207"/>
    <x v="207"/>
    <x v="4"/>
  </r>
  <r>
    <x v="197"/>
    <n v="236"/>
    <n v="26442251"/>
    <s v="Action|Crime|Drama|Thriller"/>
    <s v="Liam Neeson"/>
    <x v="208"/>
    <n v="76010"/>
    <s v="death|drug dealer|limousine|limousine driver|one night"/>
    <n v="205"/>
    <x v="0"/>
    <x v="0"/>
    <n v="50000000"/>
    <x v="1"/>
    <x v="14"/>
    <n v="50000000"/>
    <n v="26442251"/>
    <x v="208"/>
    <x v="208"/>
    <x v="1"/>
  </r>
  <r>
    <x v="198"/>
    <n v="65"/>
    <n v="60033780"/>
    <s v="Drama|Romance"/>
    <s v="Bill Cobbs"/>
    <x v="209"/>
    <n v="18973"/>
    <s v="best friend|friend|mother daughter relationship|small town|texas"/>
    <n v="162"/>
    <x v="0"/>
    <x v="0"/>
    <n v="30000000"/>
    <x v="6"/>
    <x v="0"/>
    <n v="30000000"/>
    <n v="60033780"/>
    <x v="209"/>
    <x v="209"/>
    <x v="5"/>
  </r>
  <r>
    <x v="25"/>
    <n v="71"/>
    <n v="25590119"/>
    <s v="Adventure|Comedy|Crime"/>
    <s v="Jere Burns"/>
    <x v="210"/>
    <n v="19699"/>
    <s v="boat|crocodile|garbage can|knife|paramount pictures"/>
    <n v="119"/>
    <x v="0"/>
    <x v="3"/>
    <n v="21150000"/>
    <x v="9"/>
    <x v="45"/>
    <n v="13829562"/>
    <n v="16732867.01172"/>
    <x v="210"/>
    <x v="210"/>
    <x v="0"/>
  </r>
  <r>
    <x v="199"/>
    <n v="78"/>
    <n v="58297830"/>
    <s v="Adventure|Animation|Drama|Family|Fantasy|Musical|Mystery|Romance"/>
    <s v="Kirsten Dunst"/>
    <x v="211"/>
    <n v="86347"/>
    <s v="amnesia|reference to anastasia romanov|romanov|russia|russian revolution"/>
    <n v="191"/>
    <x v="0"/>
    <x v="0"/>
    <n v="50000000"/>
    <x v="31"/>
    <x v="17"/>
    <n v="50000000"/>
    <n v="58297830"/>
    <x v="211"/>
    <x v="211"/>
    <x v="0"/>
  </r>
  <r>
    <x v="200"/>
    <n v="112"/>
    <n v="15935068"/>
    <s v="Fantasy|Horror|Thriller"/>
    <s v="Kane Hodder"/>
    <x v="212"/>
    <n v="19331"/>
    <s v="brutality|evil|jason voorhees|paranormal phenomena|terror"/>
    <n v="317"/>
    <x v="0"/>
    <x v="0"/>
    <n v="2500000"/>
    <x v="23"/>
    <x v="46"/>
    <n v="2500000"/>
    <n v="15935068"/>
    <x v="212"/>
    <x v="212"/>
    <x v="9"/>
  </r>
  <r>
    <x v="138"/>
    <n v="238"/>
    <n v="42919096"/>
    <s v="Action|Drama|Thriller"/>
    <s v="Dwayne Johnson"/>
    <x v="142"/>
    <n v="64747"/>
    <s v="cigarette smoking|dea|drugs|inspired by true events|undercover"/>
    <n v="122"/>
    <x v="0"/>
    <x v="0"/>
    <n v="15000000"/>
    <x v="0"/>
    <x v="20"/>
    <n v="15000000"/>
    <n v="42919096"/>
    <x v="142"/>
    <x v="142"/>
    <x v="1"/>
  </r>
  <r>
    <x v="201"/>
    <n v="242"/>
    <n v="70236496"/>
    <s v="Drama|History|Thriller"/>
    <s v="Nicolas Cage"/>
    <x v="213"/>
    <n v="67395"/>
    <s v="based on true story|police|rescue|rubble|trapped"/>
    <n v="564"/>
    <x v="0"/>
    <x v="0"/>
    <n v="63000000"/>
    <x v="7"/>
    <x v="11"/>
    <n v="63000000"/>
    <n v="70236496"/>
    <x v="213"/>
    <x v="213"/>
    <x v="5"/>
  </r>
  <r>
    <x v="202"/>
    <n v="310"/>
    <n v="84244877"/>
    <s v="Comedy|Drama|Romance"/>
    <s v="Ryan Gosling"/>
    <x v="214"/>
    <n v="375456"/>
    <s v="bar|divorce|friend|girl|male objectification"/>
    <n v="292"/>
    <x v="0"/>
    <x v="0"/>
    <n v="50000000"/>
    <x v="22"/>
    <x v="39"/>
    <n v="50000000"/>
    <n v="84244877"/>
    <x v="214"/>
    <x v="214"/>
    <x v="4"/>
  </r>
  <r>
    <x v="31"/>
    <n v="74"/>
    <n v="186354"/>
    <s v="Drama"/>
    <s v="Jeremy Irvine"/>
    <x v="215"/>
    <n v="1758"/>
    <s v="box office flop|critically bashed|gay rights|new york city|stonewall riots"/>
    <n v="30"/>
    <x v="0"/>
    <x v="0"/>
    <n v="13500000"/>
    <x v="1"/>
    <x v="47"/>
    <n v="13500000"/>
    <n v="186354"/>
    <x v="215"/>
    <x v="215"/>
    <x v="5"/>
  </r>
  <r>
    <x v="141"/>
    <n v="59"/>
    <n v="19118247"/>
    <s v="Action|Comedy"/>
    <s v="Christina Milian"/>
    <x v="216"/>
    <n v="19829"/>
    <s v="cheerleader|cheerleading movie|neo noir|neo western|texas ranger"/>
    <n v="94"/>
    <x v="0"/>
    <x v="0"/>
    <n v="40000000"/>
    <x v="25"/>
    <x v="26"/>
    <n v="40000000"/>
    <n v="19118247"/>
    <x v="216"/>
    <x v="216"/>
    <x v="1"/>
  </r>
  <r>
    <x v="203"/>
    <n v="327"/>
    <n v="85463309"/>
    <s v="Action|Drama|Sci-Fi|Sport"/>
    <s v="Hugh Jackman"/>
    <x v="217"/>
    <n v="254841"/>
    <s v="arena|boxing|boxing movie|robot|robot battle"/>
    <n v="426"/>
    <x v="0"/>
    <x v="0"/>
    <n v="110000000"/>
    <x v="22"/>
    <x v="17"/>
    <n v="110000000"/>
    <n v="85463309"/>
    <x v="217"/>
    <x v="217"/>
    <x v="1"/>
  </r>
  <r>
    <x v="204"/>
    <n v="15"/>
    <n v="171988"/>
    <s v="Action|Crime|Drama"/>
    <s v="Stacy Keach"/>
    <x v="218"/>
    <n v="448"/>
    <s v="church|cigarette smoking|deacon|twin brother|twins"/>
    <n v="16"/>
    <x v="0"/>
    <x v="0"/>
    <n v="600000"/>
    <x v="4"/>
    <x v="15"/>
    <n v="600000"/>
    <n v="171988"/>
    <x v="218"/>
    <x v="218"/>
    <x v="1"/>
  </r>
  <r>
    <x v="205"/>
    <n v="97"/>
    <n v="37882551"/>
    <s v="Comedy"/>
    <s v="Chris Evans"/>
    <x v="219"/>
    <n v="80305"/>
    <s v="cheerleader|foreign exchange student|incestuous desire|incestuous kiss|prom"/>
    <n v="393"/>
    <x v="0"/>
    <x v="0"/>
    <n v="16000000"/>
    <x v="9"/>
    <x v="35"/>
    <n v="16000000"/>
    <n v="37882551"/>
    <x v="219"/>
    <x v="219"/>
    <x v="4"/>
  </r>
  <r>
    <x v="206"/>
    <n v="113"/>
    <n v="102678089"/>
    <s v="Drama|Mystery|Thriller"/>
    <s v="Daniel von Bargen"/>
    <x v="220"/>
    <n v="42705"/>
    <s v="army cid|cover up|military|murder|woman in military"/>
    <n v="274"/>
    <x v="0"/>
    <x v="0"/>
    <n v="95000000"/>
    <x v="12"/>
    <x v="23"/>
    <n v="95000000"/>
    <n v="102678089"/>
    <x v="220"/>
    <x v="220"/>
    <x v="5"/>
  </r>
  <r>
    <x v="207"/>
    <n v="81"/>
    <n v="38230435"/>
    <s v="Action|Comedy"/>
    <s v="Dave Chappelle"/>
    <x v="221"/>
    <n v="29661"/>
    <s v="african american|cadillac|disguise|secret agent|undercover"/>
    <n v="179"/>
    <x v="0"/>
    <x v="0"/>
    <n v="25000000"/>
    <x v="13"/>
    <x v="30"/>
    <n v="25000000"/>
    <n v="38230435"/>
    <x v="221"/>
    <x v="221"/>
    <x v="1"/>
  </r>
  <r>
    <x v="208"/>
    <n v="28"/>
    <n v="12055"/>
    <s v="Comedy"/>
    <s v="Jim Gaffigan"/>
    <x v="222"/>
    <n v="739"/>
    <s v="artist|black comedy"/>
    <n v="10"/>
    <x v="0"/>
    <x v="0"/>
    <n v="500000"/>
    <x v="15"/>
    <x v="20"/>
    <n v="500000"/>
    <n v="12055"/>
    <x v="222"/>
    <x v="222"/>
    <x v="4"/>
  </r>
  <r>
    <x v="209"/>
    <n v="446"/>
    <n v="218051260"/>
    <s v="Action|Adventure|Drama|Romance"/>
    <s v="Naomi Watts"/>
    <x v="223"/>
    <n v="316018"/>
    <s v="animal name in title|ape abducts a woman|gorilla|island|king kong"/>
    <n v="2618"/>
    <x v="0"/>
    <x v="11"/>
    <n v="207000000"/>
    <x v="25"/>
    <x v="33"/>
    <n v="121870214.999999"/>
    <n v="128376589.068699"/>
    <x v="223"/>
    <x v="223"/>
    <x v="1"/>
  </r>
  <r>
    <x v="210"/>
    <n v="193"/>
    <n v="11529368"/>
    <s v="Comedy|Documentary|Drama"/>
    <s v="Chemeeka Walker"/>
    <x v="224"/>
    <n v="85028"/>
    <s v="experiment|fast food|food industry|meal|overeating"/>
    <n v="404"/>
    <x v="0"/>
    <x v="0"/>
    <n v="65000"/>
    <x v="2"/>
    <x v="4"/>
    <n v="65000"/>
    <n v="11529368"/>
    <x v="224"/>
    <x v="224"/>
    <x v="4"/>
  </r>
  <r>
    <x v="211"/>
    <n v="12"/>
    <n v="19281235"/>
    <s v="Comedy|Drama|Music|Romance"/>
    <s v="William Schallert"/>
    <x v="225"/>
    <n v="3571"/>
    <s v="college|misogyny|money|new friend|party"/>
    <n v="11"/>
    <x v="0"/>
    <x v="0"/>
    <n v="5000000"/>
    <x v="38"/>
    <x v="37"/>
    <n v="5000000"/>
    <n v="19281235"/>
    <x v="225"/>
    <x v="225"/>
    <x v="4"/>
  </r>
  <r>
    <x v="153"/>
    <n v="59"/>
    <n v="10556196"/>
    <s v="Crime|Drama|Thriller"/>
    <s v="Mia Kirshner"/>
    <x v="226"/>
    <n v="16562"/>
    <s v="hostage|museum|natural history museum|news reporter|reporter"/>
    <n v="73"/>
    <x v="0"/>
    <x v="0"/>
    <n v="50000000"/>
    <x v="31"/>
    <x v="5"/>
    <n v="50000000"/>
    <n v="10556196"/>
    <x v="226"/>
    <x v="226"/>
    <x v="3"/>
  </r>
  <r>
    <x v="212"/>
    <n v="198"/>
    <n v="31691811"/>
    <s v="Horror|Sci-Fi|Thriller"/>
    <s v="Andrew Fiscella"/>
    <x v="227"/>
    <n v="57446"/>
    <s v="apartment building|found footage|television|trapped|virus"/>
    <n v="369"/>
    <x v="0"/>
    <x v="0"/>
    <n v="12000000"/>
    <x v="20"/>
    <x v="11"/>
    <n v="12000000"/>
    <n v="31691811"/>
    <x v="227"/>
    <x v="227"/>
    <x v="6"/>
  </r>
  <r>
    <x v="213"/>
    <n v="375"/>
    <n v="301956980"/>
    <s v="Adventure|Family|Fantasy|Mystery"/>
    <s v="Alan Rickman"/>
    <x v="228"/>
    <n v="321795"/>
    <s v="blood|book|love|potion|professor"/>
    <n v="973"/>
    <x v="0"/>
    <x v="2"/>
    <n v="250000000"/>
    <x v="16"/>
    <x v="2"/>
    <n v="321349999.99999899"/>
    <n v="388135502.09199899"/>
    <x v="228"/>
    <x v="228"/>
    <x v="0"/>
  </r>
  <r>
    <x v="60"/>
    <n v="261"/>
    <n v="114195633"/>
    <s v="Drama|Mystery|Romance|Thriller"/>
    <s v="Bryce Dallas Howard"/>
    <x v="229"/>
    <n v="193770"/>
    <s v="creature|pact|plot twist|village|woods"/>
    <n v="2003"/>
    <x v="0"/>
    <x v="0"/>
    <n v="60000000"/>
    <x v="2"/>
    <x v="20"/>
    <n v="60000000"/>
    <n v="114195633"/>
    <x v="229"/>
    <x v="229"/>
    <x v="5"/>
  </r>
  <r>
    <x v="209"/>
    <n v="294"/>
    <n v="340478898"/>
    <s v="Action|Adventure|Drama|Fantasy"/>
    <s v="Christopher Lee"/>
    <x v="230"/>
    <n v="1100446"/>
    <s v="epic|evil wizard|middle earth|ring|wizard"/>
    <n v="2417"/>
    <x v="0"/>
    <x v="0"/>
    <n v="94000000"/>
    <x v="13"/>
    <x v="48"/>
    <n v="94000000"/>
    <n v="340478898"/>
    <x v="230"/>
    <x v="230"/>
    <x v="1"/>
  </r>
  <r>
    <x v="18"/>
    <n v="31"/>
    <n v="9094451"/>
    <s v="Action|Fantasy|Horror|Thriller"/>
    <s v="Julian Sands"/>
    <x v="231"/>
    <n v="11668"/>
    <s v="17th century|book|death|warlock|witch hunter"/>
    <n v="79"/>
    <x v="0"/>
    <x v="0"/>
    <n v="7000000"/>
    <x v="26"/>
    <x v="5"/>
    <n v="7000000"/>
    <n v="9094451"/>
    <x v="231"/>
    <x v="231"/>
    <x v="1"/>
  </r>
  <r>
    <x v="214"/>
    <n v="40"/>
    <n v="95016"/>
    <s v="Comedy|Drama|Romance|Sport"/>
    <s v="Alicja Bachleda"/>
    <x v="232"/>
    <n v="11074"/>
    <s v="friend|friendship|rowing|storm|summer camp"/>
    <n v="56"/>
    <x v="7"/>
    <x v="5"/>
    <n v="2700000"/>
    <x v="2"/>
    <x v="39"/>
    <n v="2928798"/>
    <n v="103067.65584000001"/>
    <x v="232"/>
    <x v="232"/>
    <x v="4"/>
  </r>
  <r>
    <x v="136"/>
    <n v="186"/>
    <n v="6167817"/>
    <s v="Drama|Mystery|Romance|War"/>
    <s v="Denis Lavant"/>
    <x v="233"/>
    <n v="62607"/>
    <s v="court martial|death|girl|no man's land|soldier"/>
    <n v="239"/>
    <x v="4"/>
    <x v="8"/>
    <n v="47000000"/>
    <x v="2"/>
    <x v="9"/>
    <n v="50982780"/>
    <n v="6690477.8125799997"/>
    <x v="233"/>
    <x v="233"/>
    <x v="5"/>
  </r>
  <r>
    <x v="215"/>
    <n v="36"/>
    <n v="51697449"/>
    <s v="Comedy|Drama"/>
    <s v="Eric Mendenhall"/>
    <x v="234"/>
    <n v="8346"/>
    <s v="aunt|immigrant|looting|love|nightclub singer"/>
    <n v="59"/>
    <x v="0"/>
    <x v="0"/>
    <n v="13000000"/>
    <x v="16"/>
    <x v="13"/>
    <n v="13000000"/>
    <n v="51697449"/>
    <x v="234"/>
    <x v="234"/>
    <x v="4"/>
  </r>
  <r>
    <x v="216"/>
    <n v="163"/>
    <n v="6350058"/>
    <s v="Comedy|Drama|Romance"/>
    <s v="ZoÃ« Kravitz"/>
    <x v="235"/>
    <n v="106098"/>
    <s v="based on novel|depression|psychiatric ward|suicide attempt|therapy"/>
    <n v="150"/>
    <x v="0"/>
    <x v="0"/>
    <n v="8000000"/>
    <x v="11"/>
    <x v="33"/>
    <n v="8000000"/>
    <n v="6350058"/>
    <x v="235"/>
    <x v="235"/>
    <x v="4"/>
  </r>
  <r>
    <x v="217"/>
    <n v="111"/>
    <n v="4919896"/>
    <s v="Comedy|Crime|Thriller"/>
    <s v="Mark Gatiss"/>
    <x v="236"/>
    <n v="21530"/>
    <s v="bank|bank clerk|birthday|mail order bride|russian"/>
    <n v="159"/>
    <x v="0"/>
    <x v="2"/>
    <n v="13000000"/>
    <x v="9"/>
    <x v="7"/>
    <n v="16710199.999999899"/>
    <n v="6324034.31839999"/>
    <x v="236"/>
    <x v="236"/>
    <x v="4"/>
  </r>
  <r>
    <x v="218"/>
    <n v="12"/>
    <n v="306715"/>
    <s v="Comedy"/>
    <s v="Taylor Negron"/>
    <x v="237"/>
    <n v="5143"/>
    <s v="box office flop|company|invention|roommate|surfer"/>
    <n v="62"/>
    <x v="0"/>
    <x v="0"/>
    <n v="10000000"/>
    <x v="6"/>
    <x v="49"/>
    <n v="10000000"/>
    <n v="306715"/>
    <x v="237"/>
    <x v="237"/>
    <x v="4"/>
  </r>
  <r>
    <x v="219"/>
    <n v="157"/>
    <n v="101978840"/>
    <s v="Comedy"/>
    <s v="Jackson Nicoll"/>
    <x v="238"/>
    <n v="77724"/>
    <s v="child beauty pageant|grandson|hidden camera|jackass|road trip"/>
    <n v="162"/>
    <x v="0"/>
    <x v="0"/>
    <n v="15000000"/>
    <x v="0"/>
    <x v="14"/>
    <n v="15000000"/>
    <n v="101978840"/>
    <x v="238"/>
    <x v="238"/>
    <x v="4"/>
  </r>
  <r>
    <x v="220"/>
    <n v="62"/>
    <n v="6643"/>
    <s v="Comedy|Fantasy|Thriller"/>
    <s v="Jack McBrayer"/>
    <x v="239"/>
    <n v="11965"/>
    <s v="mini dress|mini skirt|money|voyeur|voyeurism"/>
    <n v="39"/>
    <x v="0"/>
    <x v="0"/>
    <n v="900000"/>
    <x v="28"/>
    <x v="24"/>
    <n v="900000"/>
    <n v="6643"/>
    <x v="239"/>
    <x v="239"/>
    <x v="4"/>
  </r>
  <r>
    <x v="221"/>
    <n v="50"/>
    <n v="8735529"/>
    <s v="Comedy|Drama|Romance"/>
    <s v="James Franco"/>
    <x v="240"/>
    <n v="8055"/>
    <s v="male objectification|manipulative behavior|modern day adaptation|narcissistic woman|promiscuous woman"/>
    <n v="89"/>
    <x v="0"/>
    <x v="0"/>
    <n v="15000000"/>
    <x v="4"/>
    <x v="28"/>
    <n v="15000000"/>
    <n v="8735529"/>
    <x v="240"/>
    <x v="240"/>
    <x v="4"/>
  </r>
  <r>
    <x v="222"/>
    <n v="55"/>
    <n v="22326247"/>
    <s v="Drama|Romance"/>
    <s v="Mira Sorvino"/>
    <x v="241"/>
    <n v="11232"/>
    <s v="based on article|blindness|box office flop|massage therapist|regaining sight"/>
    <n v="106"/>
    <x v="0"/>
    <x v="0"/>
    <n v="60000000"/>
    <x v="12"/>
    <x v="0"/>
    <n v="60000000"/>
    <n v="22326247"/>
    <x v="241"/>
    <x v="241"/>
    <x v="5"/>
  </r>
  <r>
    <x v="223"/>
    <n v="133"/>
    <n v="532988"/>
    <s v="Biography|Drama|Romance"/>
    <s v="Steve Carell"/>
    <x v="242"/>
    <n v="5863"/>
    <s v="cancer|gay bar|lesbian kiss|partner|public hearing"/>
    <n v="25"/>
    <x v="0"/>
    <x v="0"/>
    <n v="7000000"/>
    <x v="1"/>
    <x v="20"/>
    <n v="7000000"/>
    <n v="532988"/>
    <x v="242"/>
    <x v="242"/>
    <x v="2"/>
  </r>
  <r>
    <x v="224"/>
    <n v="84"/>
    <n v="274661"/>
    <s v="Crime|Documentary|War"/>
    <s v="Alex Gibney"/>
    <x v="243"/>
    <n v="10564"/>
    <s v="afghanistan|detainee|guantanamo bay|taxi|torture"/>
    <n v="40"/>
    <x v="0"/>
    <x v="0"/>
    <n v="1000000"/>
    <x v="15"/>
    <x v="9"/>
    <n v="1000000"/>
    <n v="274661"/>
    <x v="243"/>
    <x v="243"/>
    <x v="3"/>
  </r>
  <r>
    <x v="225"/>
    <n v="217"/>
    <n v="28501651"/>
    <s v="Drama|Thriller"/>
    <s v="Natalie Portman"/>
    <x v="244"/>
    <n v="88035"/>
    <s v="afghanistan|death of soldier|presumed dead|prisoner|war trauma"/>
    <n v="201"/>
    <x v="0"/>
    <x v="0"/>
    <n v="26000000"/>
    <x v="16"/>
    <x v="17"/>
    <n v="26000000"/>
    <n v="28501651"/>
    <x v="244"/>
    <x v="244"/>
    <x v="5"/>
  </r>
  <r>
    <x v="226"/>
    <n v="57"/>
    <n v="35231365"/>
    <s v="Comedy|Family|Romance|Sci-Fi"/>
    <s v="Taylor Negron"/>
    <x v="245"/>
    <n v="15517"/>
    <s v="based on tv series|love|prequel|the flintstones|title appears in song"/>
    <n v="85"/>
    <x v="0"/>
    <x v="0"/>
    <n v="60000000"/>
    <x v="4"/>
    <x v="12"/>
    <n v="60000000"/>
    <n v="35231365"/>
    <x v="245"/>
    <x v="245"/>
    <x v="4"/>
  </r>
  <r>
    <x v="227"/>
    <n v="142"/>
    <n v="117541000"/>
    <s v="Action|Thriller"/>
    <s v="Bruce Willis"/>
    <x v="246"/>
    <n v="269858"/>
    <s v="airport|fuel|plane|police|terrorist"/>
    <n v="316"/>
    <x v="0"/>
    <x v="0"/>
    <n v="70000000"/>
    <x v="32"/>
    <x v="17"/>
    <n v="70000000"/>
    <n v="117541000"/>
    <x v="246"/>
    <x v="246"/>
    <x v="1"/>
  </r>
  <r>
    <x v="84"/>
    <n v="183"/>
    <n v="148170000"/>
    <s v="Comedy|Fantasy|Horror"/>
    <s v="Phoebe Cates"/>
    <x v="247"/>
    <n v="142293"/>
    <s v="bright light|midnight|pet|small town|water"/>
    <n v="245"/>
    <x v="0"/>
    <x v="0"/>
    <n v="11000000"/>
    <x v="17"/>
    <x v="33"/>
    <n v="11000000"/>
    <n v="148170000"/>
    <x v="247"/>
    <x v="247"/>
    <x v="4"/>
  </r>
  <r>
    <x v="228"/>
    <n v="10"/>
    <n v="229311"/>
    <s v="Action|Drama|History|Romance|War|Western"/>
    <s v="Tom Berenger"/>
    <x v="248"/>
    <n v="899"/>
    <s v="american|battalion|catholic|mexican|sergeant"/>
    <n v="42"/>
    <x v="0"/>
    <x v="12"/>
    <n v="11350000"/>
    <x v="12"/>
    <x v="5"/>
    <n v="12311799"/>
    <n v="248742.81414"/>
    <x v="248"/>
    <x v="248"/>
    <x v="1"/>
  </r>
  <r>
    <x v="10"/>
    <n v="336"/>
    <n v="16969390"/>
    <s v="Crime|Drama|Thriller"/>
    <s v="Michael Fassbender"/>
    <x v="249"/>
    <n v="80861"/>
    <s v="cunnilingus|drug trafficking|lawyer|no panties|shootout"/>
    <n v="431"/>
    <x v="0"/>
    <x v="0"/>
    <n v="25000000"/>
    <x v="0"/>
    <x v="1"/>
    <n v="25000000"/>
    <n v="16969390"/>
    <x v="249"/>
    <x v="249"/>
    <x v="3"/>
  </r>
  <r>
    <x v="229"/>
    <n v="79"/>
    <n v="48068396"/>
    <s v="Action|Crime|Romance|Thriller"/>
    <s v="Jason Patric"/>
    <x v="250"/>
    <n v="60573"/>
    <s v="collision course|computer|cruise|diamonds|ship run aground"/>
    <n v="248"/>
    <x v="0"/>
    <x v="0"/>
    <n v="160000000"/>
    <x v="31"/>
    <x v="50"/>
    <n v="160000000"/>
    <n v="48068396"/>
    <x v="250"/>
    <x v="250"/>
    <x v="1"/>
  </r>
  <r>
    <x v="230"/>
    <n v="465"/>
    <n v="195000874"/>
    <s v="Action|Adventure|Thriller"/>
    <s v="Tom Cruise"/>
    <x v="251"/>
    <n v="232187"/>
    <s v="capture|computer hacker|mission|rogue agent|spy"/>
    <n v="440"/>
    <x v="0"/>
    <x v="6"/>
    <n v="150000000"/>
    <x v="1"/>
    <x v="39"/>
    <n v="20742584.999999899"/>
    <n v="26965481.3601285"/>
    <x v="251"/>
    <x v="251"/>
    <x v="1"/>
  </r>
  <r>
    <x v="31"/>
    <n v="286"/>
    <n v="102315545"/>
    <s v="Action|Adventure|Sci-Fi"/>
    <s v="Vivica A. Fox"/>
    <x v="252"/>
    <n v="58137"/>
    <s v="alien|battle|defense|independence day|mothership"/>
    <n v="520"/>
    <x v="0"/>
    <x v="0"/>
    <n v="165000000"/>
    <x v="24"/>
    <x v="28"/>
    <n v="165000000"/>
    <n v="102315545"/>
    <x v="252"/>
    <x v="252"/>
    <x v="1"/>
  </r>
  <r>
    <x v="231"/>
    <n v="167"/>
    <n v="49392095"/>
    <s v="Adventure|Comedy|Sci-Fi"/>
    <s v="Will Ferrell"/>
    <x v="253"/>
    <n v="52029"/>
    <s v="human versus dinosaur|lizard|primate|time travel|tyrannosaurus rex"/>
    <n v="224"/>
    <x v="0"/>
    <x v="0"/>
    <n v="100000000"/>
    <x v="16"/>
    <x v="26"/>
    <n v="100000000"/>
    <n v="49392095"/>
    <x v="253"/>
    <x v="253"/>
    <x v="0"/>
  </r>
  <r>
    <x v="232"/>
    <n v="201"/>
    <n v="61644321"/>
    <s v="Biography|Drama|Sport"/>
    <s v="Paddy Considine"/>
    <x v="254"/>
    <n v="148238"/>
    <s v="boxer|boxing|dream|great depression|love"/>
    <n v="529"/>
    <x v="0"/>
    <x v="0"/>
    <n v="88000000"/>
    <x v="25"/>
    <x v="3"/>
    <n v="88000000"/>
    <n v="61644321"/>
    <x v="254"/>
    <x v="254"/>
    <x v="2"/>
  </r>
  <r>
    <x v="233"/>
    <n v="58"/>
    <n v="40066497"/>
    <s v="Drama|Music"/>
    <s v="Jennifer Freeman"/>
    <x v="255"/>
    <n v="23671"/>
    <s v="competition|dance contest|friend|money|street dancing"/>
    <n v="247"/>
    <x v="0"/>
    <x v="0"/>
    <n v="8000000"/>
    <x v="2"/>
    <x v="51"/>
    <n v="8000000"/>
    <n v="40066497"/>
    <x v="255"/>
    <x v="255"/>
    <x v="5"/>
  </r>
  <r>
    <x v="234"/>
    <n v="161"/>
    <n v="20801344"/>
    <s v="Horror"/>
    <s v="Jeff Kober"/>
    <x v="256"/>
    <n v="49721"/>
    <s v="desert|fight|hill|murder|mutant"/>
    <n v="211"/>
    <x v="0"/>
    <x v="0"/>
    <n v="15000000"/>
    <x v="15"/>
    <x v="37"/>
    <n v="15000000"/>
    <n v="20801344"/>
    <x v="256"/>
    <x v="256"/>
    <x v="6"/>
  </r>
  <r>
    <x v="96"/>
    <n v="335"/>
    <n v="20999103"/>
    <s v="Adventure|Animation|Comedy|Crime|Family"/>
    <s v="Bill Murray"/>
    <x v="257"/>
    <n v="139114"/>
    <s v="cider|farm|farmer|fox|tale"/>
    <n v="245"/>
    <x v="0"/>
    <x v="0"/>
    <n v="40000000"/>
    <x v="16"/>
    <x v="38"/>
    <n v="40000000"/>
    <n v="20999103"/>
    <x v="257"/>
    <x v="257"/>
    <x v="0"/>
  </r>
  <r>
    <x v="235"/>
    <n v="181"/>
    <n v="15854988"/>
    <s v="Drama|Romance"/>
    <s v="Dennis Quaid"/>
    <x v="258"/>
    <n v="36542"/>
    <s v="african american|catastrophe|family relationships|farewell scene|therapy"/>
    <n v="378"/>
    <x v="0"/>
    <x v="0"/>
    <n v="13500000"/>
    <x v="13"/>
    <x v="39"/>
    <n v="13500000"/>
    <n v="15854988"/>
    <x v="258"/>
    <x v="258"/>
    <x v="5"/>
  </r>
  <r>
    <x v="236"/>
    <n v="207"/>
    <n v="57637485"/>
    <s v="Action|Adventure|Sci-Fi|Thriller"/>
    <s v="Vin Diesel"/>
    <x v="259"/>
    <n v="183909"/>
    <s v="bounty hunter|escape|necromonger|planet|warrior"/>
    <n v="666"/>
    <x v="0"/>
    <x v="0"/>
    <n v="105000000"/>
    <x v="2"/>
    <x v="21"/>
    <n v="105000000"/>
    <n v="57637485"/>
    <x v="259"/>
    <x v="259"/>
    <x v="1"/>
  </r>
  <r>
    <x v="237"/>
    <n v="19"/>
    <n v="10305534"/>
    <s v="Comedy"/>
    <s v="Joe Estevez"/>
    <x v="260"/>
    <n v="1721"/>
    <s v="friend|obscenity|scam|vacant lot|van"/>
    <n v="38"/>
    <x v="0"/>
    <x v="0"/>
    <n v="3500000"/>
    <x v="6"/>
    <x v="52"/>
    <n v="3500000"/>
    <n v="10305534"/>
    <x v="260"/>
    <x v="260"/>
    <x v="4"/>
  </r>
  <r>
    <x v="143"/>
    <n v="134"/>
    <n v="158115031"/>
    <s v="Comedy|Crime|Sport"/>
    <s v="Adam Sandler"/>
    <x v="261"/>
    <n v="130070"/>
    <s v="coach|convict|football|prison|warden"/>
    <n v="316"/>
    <x v="0"/>
    <x v="0"/>
    <n v="82000000"/>
    <x v="25"/>
    <x v="24"/>
    <n v="82000000"/>
    <n v="158115031"/>
    <x v="261"/>
    <x v="261"/>
    <x v="4"/>
  </r>
  <r>
    <x v="238"/>
    <n v="226"/>
    <n v="40168080"/>
    <s v="Action|Fantasy|Horror"/>
    <s v="Dennis Quaid"/>
    <x v="262"/>
    <n v="80870"/>
    <s v="angel|diner|faith|human race|religious faith"/>
    <n v="315"/>
    <x v="0"/>
    <x v="0"/>
    <n v="26000000"/>
    <x v="11"/>
    <x v="44"/>
    <n v="26000000"/>
    <n v="40168080"/>
    <x v="262"/>
    <x v="262"/>
    <x v="1"/>
  </r>
  <r>
    <x v="103"/>
    <n v="112"/>
    <n v="7659747"/>
    <s v="Action|Mystery|Thriller"/>
    <s v="Heath Ledger"/>
    <x v="263"/>
    <n v="14962"/>
    <s v="death|exorcism|heaven|priest|sin eater"/>
    <n v="204"/>
    <x v="0"/>
    <x v="0"/>
    <n v="38000000"/>
    <x v="19"/>
    <x v="37"/>
    <n v="38000000"/>
    <n v="7659747"/>
    <x v="263"/>
    <x v="263"/>
    <x v="1"/>
  </r>
  <r>
    <x v="239"/>
    <n v="168"/>
    <n v="30659817"/>
    <s v="Comedy|Drama"/>
    <s v="Jack Reynor"/>
    <x v="264"/>
    <n v="59805"/>
    <s v="children|identity|lawsuit|lawyer|sperm donor"/>
    <n v="95"/>
    <x v="0"/>
    <x v="0"/>
    <n v="26000000"/>
    <x v="0"/>
    <x v="24"/>
    <n v="26000000"/>
    <n v="30659817"/>
    <x v="264"/>
    <x v="264"/>
    <x v="4"/>
  </r>
  <r>
    <x v="240"/>
    <n v="143"/>
    <n v="120618403"/>
    <s v="Adventure|Animation|Family|Fantasy|Musical|War"/>
    <s v="Ming-Na Wen"/>
    <x v="265"/>
    <n v="171792"/>
    <s v="based on poem|based on true story|china|one word title|the huns"/>
    <n v="222"/>
    <x v="0"/>
    <x v="0"/>
    <n v="90000000"/>
    <x v="6"/>
    <x v="2"/>
    <n v="90000000"/>
    <n v="120618403"/>
    <x v="265"/>
    <x v="265"/>
    <x v="0"/>
  </r>
  <r>
    <x v="241"/>
    <n v="43"/>
    <n v="38037513"/>
    <s v="Adventure|Comedy|Fantasy|Music|Sci-Fi"/>
    <s v="Keanu Reeves"/>
    <x v="266"/>
    <n v="49680"/>
    <s v="battle of the bands|bill and ted|heaven|hell|robot"/>
    <n v="117"/>
    <x v="0"/>
    <x v="0"/>
    <n v="20000000"/>
    <x v="38"/>
    <x v="5"/>
    <n v="20000000"/>
    <n v="38037513"/>
    <x v="266"/>
    <x v="266"/>
    <x v="0"/>
  </r>
  <r>
    <x v="209"/>
    <n v="308"/>
    <n v="43982842"/>
    <s v="Drama|Fantasy|Thriller"/>
    <s v="Michael Imperioli"/>
    <x v="267"/>
    <n v="125114"/>
    <s v="1970s|afterlife|heaven|pedophile|rape"/>
    <n v="593"/>
    <x v="0"/>
    <x v="0"/>
    <n v="65000000"/>
    <x v="16"/>
    <x v="21"/>
    <n v="65000000"/>
    <n v="43982842"/>
    <x v="267"/>
    <x v="267"/>
    <x v="5"/>
  </r>
  <r>
    <x v="230"/>
    <n v="387"/>
    <n v="80033643"/>
    <s v="Action|Crime|Mystery|Thriller"/>
    <s v="Tom Cruise"/>
    <x v="268"/>
    <n v="226570"/>
    <s v="coma|mysterious villain|police chase|shooting range|sniper"/>
    <n v="448"/>
    <x v="0"/>
    <x v="0"/>
    <n v="60000000"/>
    <x v="28"/>
    <x v="16"/>
    <n v="60000000"/>
    <n v="80033643"/>
    <x v="268"/>
    <x v="268"/>
    <x v="1"/>
  </r>
  <r>
    <x v="242"/>
    <n v="45"/>
    <n v="31179516"/>
    <s v="Comedy"/>
    <s v="Vanessa Williams"/>
    <x v="269"/>
    <n v="5928"/>
    <s v="cross country|cross country trip|highway travel|on the road|road movie"/>
    <n v="49"/>
    <x v="0"/>
    <x v="0"/>
    <n v="12000000"/>
    <x v="2"/>
    <x v="46"/>
    <n v="12000000"/>
    <n v="31179516"/>
    <x v="269"/>
    <x v="269"/>
    <x v="4"/>
  </r>
  <r>
    <x v="243"/>
    <n v="173"/>
    <n v="90353764"/>
    <s v="Comedy|Crime"/>
    <s v="Will Ferrell"/>
    <x v="270"/>
    <n v="85629"/>
    <s v="camera focus on female butt|gay bar|millionaire|singing in a car|two word title"/>
    <n v="144"/>
    <x v="0"/>
    <x v="0"/>
    <n v="40000000"/>
    <x v="1"/>
    <x v="11"/>
    <n v="40000000"/>
    <n v="90353764"/>
    <x v="270"/>
    <x v="270"/>
    <x v="4"/>
  </r>
  <r>
    <x v="244"/>
    <n v="69"/>
    <n v="42700000"/>
    <s v="Drama|Romance"/>
    <s v="Alan Rickman"/>
    <x v="271"/>
    <n v="78392"/>
    <s v="1810s|female protagonist|horseback riding|inheritance|three word title"/>
    <n v="196"/>
    <x v="0"/>
    <x v="0"/>
    <n v="16500000"/>
    <x v="33"/>
    <x v="9"/>
    <n v="16500000"/>
    <n v="42700000"/>
    <x v="271"/>
    <x v="271"/>
    <x v="5"/>
  </r>
  <r>
    <x v="245"/>
    <n v="105"/>
    <n v="84300000"/>
    <s v="Animation|Family|Fantasy|Musical"/>
    <s v="Mel Blanc"/>
    <x v="272"/>
    <n v="90360"/>
    <s v="boy|conscience|fairy|jiminy cricket|pinocchio"/>
    <n v="147"/>
    <x v="0"/>
    <x v="0"/>
    <n v="2600000"/>
    <x v="39"/>
    <x v="2"/>
    <n v="2600000"/>
    <n v="84300000"/>
    <x v="272"/>
    <x v="272"/>
    <x v="8"/>
  </r>
  <r>
    <x v="246"/>
    <n v="270"/>
    <n v="59889948"/>
    <s v="Comedy|Drama"/>
    <s v="Steve Carell"/>
    <x v="273"/>
    <n v="355810"/>
    <s v="gay|graduate student|sister sister relationship|sprite|uncle nephew relationship"/>
    <n v="889"/>
    <x v="0"/>
    <x v="0"/>
    <n v="8000000"/>
    <x v="7"/>
    <x v="19"/>
    <n v="8000000"/>
    <n v="59889948"/>
    <x v="273"/>
    <x v="273"/>
    <x v="4"/>
  </r>
  <r>
    <x v="247"/>
    <n v="165"/>
    <n v="177343675"/>
    <s v="Adventure|Animation|Comedy|Family|Fantasy|Sci-Fi"/>
    <s v="Jim Parsons"/>
    <x v="274"/>
    <n v="70136"/>
    <s v="alien friendship|alien invasion|australia|flying car|mother daughter relationship"/>
    <n v="214"/>
    <x v="0"/>
    <x v="0"/>
    <n v="135000000"/>
    <x v="1"/>
    <x v="21"/>
    <n v="135000000"/>
    <n v="177343675"/>
    <x v="274"/>
    <x v="274"/>
    <x v="0"/>
  </r>
  <r>
    <x v="248"/>
    <n v="84"/>
    <n v="127175354"/>
    <s v="Comedy"/>
    <s v="Lauren Holly"/>
    <x v="275"/>
    <n v="288451"/>
    <s v="briefcase full of money|character repeating someone else's dialogue|character says i love you|friendship|reference to cinderella"/>
    <n v="438"/>
    <x v="0"/>
    <x v="0"/>
    <n v="16000000"/>
    <x v="5"/>
    <x v="4"/>
    <n v="16000000"/>
    <n v="127175354"/>
    <x v="275"/>
    <x v="275"/>
    <x v="4"/>
  </r>
  <r>
    <x v="249"/>
    <n v="163"/>
    <n v="68642452"/>
    <s v="Action|Adventure|Comedy|Thriller"/>
    <s v="Matthew McConaughey"/>
    <x v="276"/>
    <n v="77673"/>
    <s v="beach|civil war|desert|dictator|ship"/>
    <n v="463"/>
    <x v="0"/>
    <x v="2"/>
    <n v="130000000"/>
    <x v="25"/>
    <x v="11"/>
    <n v="167101999.99999899"/>
    <n v="88233007.800799996"/>
    <x v="276"/>
    <x v="276"/>
    <x v="1"/>
  </r>
  <r>
    <x v="250"/>
    <n v="77"/>
    <n v="9402410"/>
    <s v="Adventure|Comedy"/>
    <s v="Thomas McDonell"/>
    <x v="277"/>
    <n v="11233"/>
    <s v="adult humor|best friend|friend|halloween|teenage girl"/>
    <n v="32"/>
    <x v="0"/>
    <x v="0"/>
    <n v="14000000"/>
    <x v="28"/>
    <x v="26"/>
    <n v="14000000"/>
    <n v="9402410"/>
    <x v="277"/>
    <x v="277"/>
    <x v="0"/>
  </r>
  <r>
    <x v="251"/>
    <n v="5"/>
    <n v="3105269"/>
    <s v="Action|Comedy"/>
    <s v="Kevin Pollak"/>
    <x v="278"/>
    <n v="368"/>
    <s v=""/>
    <n v="8"/>
    <x v="0"/>
    <x v="13"/>
    <n v="3000000"/>
    <x v="24"/>
    <x v="53"/>
    <n v="162614.07"/>
    <n v="168320.14351160999"/>
    <x v="278"/>
    <x v="278"/>
    <x v="1"/>
  </r>
  <r>
    <x v="252"/>
    <n v="129"/>
    <n v="20566327"/>
    <s v="Action|Comedy"/>
    <s v="Nia Long"/>
    <x v="279"/>
    <n v="15385"/>
    <s v="car chase|gangsta|gun fight|hitman|kitten"/>
    <n v="84"/>
    <x v="0"/>
    <x v="0"/>
    <n v="15000000"/>
    <x v="24"/>
    <x v="24"/>
    <n v="15000000"/>
    <n v="20566327"/>
    <x v="279"/>
    <x v="279"/>
    <x v="1"/>
  </r>
  <r>
    <x v="112"/>
    <n v="49"/>
    <n v="58422650"/>
    <s v="Comedy|Fantasy|Horror"/>
    <s v="Bruce Willis"/>
    <x v="280"/>
    <n v="78974"/>
    <s v="plastic surgeon|rejuvenation|revenge|rival|rivalry"/>
    <n v="173"/>
    <x v="0"/>
    <x v="0"/>
    <n v="55000000"/>
    <x v="8"/>
    <x v="24"/>
    <n v="55000000"/>
    <n v="58422650"/>
    <x v="280"/>
    <x v="280"/>
    <x v="4"/>
  </r>
  <r>
    <x v="253"/>
    <n v="119"/>
    <n v="12212417"/>
    <s v="Crime|Thriller"/>
    <s v="Louis Lombardi"/>
    <x v="281"/>
    <n v="30643"/>
    <s v="con|grifter|lap dance|organized crime|shot in the forehead"/>
    <n v="144"/>
    <x v="0"/>
    <x v="0"/>
    <n v="15000000"/>
    <x v="19"/>
    <x v="21"/>
    <n v="15000000"/>
    <n v="12212417"/>
    <x v="281"/>
    <x v="281"/>
    <x v="3"/>
  </r>
  <r>
    <x v="254"/>
    <n v="15"/>
    <n v="4357000"/>
    <s v="Comedy|Family|Fantasy"/>
    <s v="Haley Joel Osment"/>
    <x v="282"/>
    <n v="5176"/>
    <s v="box office flop|circus|imaginary friend|magician|one word title"/>
    <n v="30"/>
    <x v="0"/>
    <x v="0"/>
    <n v="30000000"/>
    <x v="10"/>
    <x v="1"/>
    <n v="30000000"/>
    <n v="4357000"/>
    <x v="282"/>
    <x v="282"/>
    <x v="4"/>
  </r>
  <r>
    <x v="60"/>
    <n v="234"/>
    <n v="293501675"/>
    <s v="Drama|Mystery|Thriller"/>
    <s v="Bruce Willis"/>
    <x v="283"/>
    <n v="704766"/>
    <s v="able to see the dead|ghost|plot twist|psychic|surprise ending"/>
    <n v="2073"/>
    <x v="0"/>
    <x v="0"/>
    <n v="40000000"/>
    <x v="12"/>
    <x v="40"/>
    <n v="40000000"/>
    <n v="293501675"/>
    <x v="283"/>
    <x v="283"/>
    <x v="5"/>
  </r>
  <r>
    <x v="255"/>
    <n v="107"/>
    <n v="10654581"/>
    <s v="Drama|Sci-Fi|Thriller"/>
    <s v="Johnny Depp"/>
    <x v="284"/>
    <n v="45497"/>
    <s v="astronaut|electrocuted in bathtub|mission|pilot|sister"/>
    <n v="260"/>
    <x v="0"/>
    <x v="0"/>
    <n v="34000000"/>
    <x v="12"/>
    <x v="1"/>
    <n v="34000000"/>
    <n v="10654581"/>
    <x v="284"/>
    <x v="284"/>
    <x v="5"/>
  </r>
  <r>
    <x v="256"/>
    <n v="142"/>
    <n v="33244684"/>
    <s v="Fantasy|Horror"/>
    <s v="Catherine Hicks"/>
    <x v="285"/>
    <n v="62038"/>
    <s v="birthday|doll|murder|serial killer|voodoo"/>
    <n v="281"/>
    <x v="0"/>
    <x v="0"/>
    <n v="9000000"/>
    <x v="34"/>
    <x v="20"/>
    <n v="9000000"/>
    <n v="33244684"/>
    <x v="285"/>
    <x v="285"/>
    <x v="9"/>
  </r>
  <r>
    <x v="122"/>
    <n v="137"/>
    <n v="51768623"/>
    <s v="Drama"/>
    <s v="F. Murray Abraham"/>
    <x v="286"/>
    <n v="73006"/>
    <s v="basketball|mentor|new york|school|writing"/>
    <n v="297"/>
    <x v="0"/>
    <x v="0"/>
    <n v="43000000"/>
    <x v="4"/>
    <x v="4"/>
    <n v="43000000"/>
    <n v="51768623"/>
    <x v="286"/>
    <x v="286"/>
    <x v="5"/>
  </r>
  <r>
    <x v="257"/>
    <n v="73"/>
    <n v="442638"/>
    <s v="Comedy|Romance|Sport"/>
    <s v="John Enos III"/>
    <x v="287"/>
    <n v="5489"/>
    <s v="birthday|boxing|coach|gym|olympics"/>
    <n v="23"/>
    <x v="0"/>
    <x v="0"/>
    <n v="850000"/>
    <x v="15"/>
    <x v="4"/>
    <n v="850000"/>
    <n v="442638"/>
    <x v="287"/>
    <x v="287"/>
    <x v="4"/>
  </r>
  <r>
    <x v="110"/>
    <n v="183"/>
    <n v="107285004"/>
    <s v="Action"/>
    <s v="Michael Gough"/>
    <x v="288"/>
    <n v="189855"/>
    <s v="butler|critically bashed|cure|freeze|gotham"/>
    <n v="1018"/>
    <x v="0"/>
    <x v="0"/>
    <n v="125000000"/>
    <x v="31"/>
    <x v="50"/>
    <n v="125000000"/>
    <n v="107285004"/>
    <x v="288"/>
    <x v="288"/>
    <x v="1"/>
  </r>
  <r>
    <x v="258"/>
    <n v="157"/>
    <n v="45489752"/>
    <s v="Comedy|Drama|Romance"/>
    <s v="Scarlett Johansson"/>
    <x v="289"/>
    <n v="48973"/>
    <s v="company|corporate takeover|executive|magazine|new boss"/>
    <n v="214"/>
    <x v="0"/>
    <x v="0"/>
    <n v="26000000"/>
    <x v="2"/>
    <x v="20"/>
    <n v="26000000"/>
    <n v="45489752"/>
    <x v="289"/>
    <x v="289"/>
    <x v="4"/>
  </r>
  <r>
    <x v="259"/>
    <n v="251"/>
    <n v="70083519"/>
    <s v="Adventure|Family|Fantasy"/>
    <s v="Christopher Lee"/>
    <x v="290"/>
    <n v="149019"/>
    <s v="children|epic|friend|girl|quest"/>
    <n v="666"/>
    <x v="0"/>
    <x v="0"/>
    <n v="180000000"/>
    <x v="15"/>
    <x v="7"/>
    <n v="180000000"/>
    <n v="70083519"/>
    <x v="290"/>
    <x v="290"/>
    <x v="0"/>
  </r>
  <r>
    <x v="260"/>
    <n v="14"/>
    <n v="609042"/>
    <s v="Drama"/>
    <s v="Eric Dane"/>
    <x v="291"/>
    <n v="449"/>
    <s v="basketball|german immigrant|opera|two word title|war orphan"/>
    <n v="38"/>
    <x v="0"/>
    <x v="0"/>
    <n v="1300000"/>
    <x v="12"/>
    <x v="20"/>
    <n v="1300000"/>
    <n v="609042"/>
    <x v="291"/>
    <x v="291"/>
    <x v="5"/>
  </r>
  <r>
    <x v="261"/>
    <n v="35"/>
    <n v="20257000"/>
    <s v="Action|Comedy|Crime|Thriller"/>
    <s v="Bill Duke"/>
    <x v="292"/>
    <n v="7569"/>
    <s v="murder|power|psychotronic|tough cop|union"/>
    <n v="65"/>
    <x v="0"/>
    <x v="0"/>
    <n v="7000000"/>
    <x v="34"/>
    <x v="44"/>
    <n v="7000000"/>
    <n v="20257000"/>
    <x v="292"/>
    <x v="292"/>
    <x v="1"/>
  </r>
  <r>
    <x v="262"/>
    <n v="155"/>
    <n v="2711210"/>
    <s v="Comedy|Drama"/>
    <s v="Will Ferrell"/>
    <x v="293"/>
    <n v="40305"/>
    <s v="alcoholic|beer|bicycle|new neighbor|yard sale"/>
    <n v="86"/>
    <x v="0"/>
    <x v="0"/>
    <n v="5000000"/>
    <x v="11"/>
    <x v="24"/>
    <n v="5000000"/>
    <n v="2711210"/>
    <x v="293"/>
    <x v="293"/>
    <x v="4"/>
  </r>
  <r>
    <x v="263"/>
    <n v="70"/>
    <n v="32055248"/>
    <s v="Action|Adventure|Crime|Fantasy|Mystery|Thriller"/>
    <s v="Jonathan Winters"/>
    <x v="294"/>
    <n v="18723"/>
    <s v="1930s|bomb|city|invisibility|the shadow"/>
    <n v="146"/>
    <x v="0"/>
    <x v="0"/>
    <n v="25000000"/>
    <x v="5"/>
    <x v="11"/>
    <n v="25000000"/>
    <n v="32055248"/>
    <x v="294"/>
    <x v="294"/>
    <x v="1"/>
  </r>
  <r>
    <x v="264"/>
    <n v="42"/>
    <n v="121972"/>
    <s v="Crime|Drama|Mystery"/>
    <s v="Al Pacino"/>
    <x v="295"/>
    <n v="9868"/>
    <s v="actor|client|new york|protection|scandal"/>
    <n v="81"/>
    <x v="0"/>
    <x v="0"/>
    <n v="22000000"/>
    <x v="13"/>
    <x v="28"/>
    <n v="22000000"/>
    <n v="121972"/>
    <x v="295"/>
    <x v="295"/>
    <x v="3"/>
  </r>
  <r>
    <x v="265"/>
    <n v="169"/>
    <n v="119793567"/>
    <s v="Animation|Comedy|Family|Fantasy|Sci-Fi"/>
    <s v="Will Forte"/>
    <x v="296"/>
    <n v="64387"/>
    <s v="food|inventor|island|orangutan|scientist"/>
    <n v="85"/>
    <x v="0"/>
    <x v="0"/>
    <n v="78000000"/>
    <x v="0"/>
    <x v="20"/>
    <n v="78000000"/>
    <n v="119793567"/>
    <x v="296"/>
    <x v="296"/>
    <x v="8"/>
  </r>
  <r>
    <x v="266"/>
    <n v="120"/>
    <n v="43800000"/>
    <s v="Action|Adventure|Thriller"/>
    <s v="Desmond Llewelyn"/>
    <x v="297"/>
    <n v="74249"/>
    <s v="cat|diamond|ford mustang|james bond 007|yanked off bikini top"/>
    <n v="276"/>
    <x v="0"/>
    <x v="2"/>
    <n v="7200000"/>
    <x v="40"/>
    <x v="21"/>
    <n v="9254880"/>
    <n v="56300519.999999903"/>
    <x v="297"/>
    <x v="297"/>
    <x v="1"/>
  </r>
  <r>
    <x v="267"/>
    <n v="282"/>
    <n v="460935665"/>
    <s v="Action|Adventure|Fantasy|Sci-Fi"/>
    <s v="Harrison Ford"/>
    <x v="298"/>
    <n v="911097"/>
    <s v="death star|empire|galactic war|princess|rebellion"/>
    <n v="1470"/>
    <x v="0"/>
    <x v="0"/>
    <n v="11000000"/>
    <x v="35"/>
    <x v="48"/>
    <n v="11000000"/>
    <n v="460935665"/>
    <x v="298"/>
    <x v="298"/>
    <x v="1"/>
  </r>
  <r>
    <x v="90"/>
    <n v="122"/>
    <n v="1247453"/>
    <s v="Comedy|Drama"/>
    <s v="Steve Coogan"/>
    <x v="299"/>
    <n v="11202"/>
    <s v="actor playing himself|battle|boots|penis|womb"/>
    <n v="123"/>
    <x v="0"/>
    <x v="2"/>
    <n v="2800000"/>
    <x v="25"/>
    <x v="22"/>
    <n v="3599119.9999999902"/>
    <n v="1603476.08619999"/>
    <x v="299"/>
    <x v="299"/>
    <x v="4"/>
  </r>
  <r>
    <x v="53"/>
    <n v="145"/>
    <n v="31704416"/>
    <s v="Action|Adventure|Sci-Fi|Thriller"/>
    <s v="Sam Shepard"/>
    <x v="300"/>
    <n v="45455"/>
    <s v="artificial intelligence|box office flop|fighter jet|navy|pilot"/>
    <n v="388"/>
    <x v="0"/>
    <x v="0"/>
    <n v="135000000"/>
    <x v="25"/>
    <x v="53"/>
    <n v="135000000"/>
    <n v="31704416"/>
    <x v="300"/>
    <x v="300"/>
    <x v="1"/>
  </r>
  <r>
    <x v="268"/>
    <n v="88"/>
    <n v="37911876"/>
    <s v="Action|Comedy|Crime"/>
    <s v="Brandon T. Jackson"/>
    <x v="301"/>
    <n v="19671"/>
    <s v="fbi agent|murder|performing arts school|scene during end credits|undercover"/>
    <n v="47"/>
    <x v="0"/>
    <x v="0"/>
    <n v="32000000"/>
    <x v="22"/>
    <x v="8"/>
    <n v="32000000"/>
    <n v="37911876"/>
    <x v="301"/>
    <x v="301"/>
    <x v="1"/>
  </r>
  <r>
    <x v="167"/>
    <n v="76"/>
    <n v="50007168"/>
    <s v="Action|Crime|Drama|Thriller"/>
    <s v="Clint Eastwood"/>
    <x v="302"/>
    <n v="39529"/>
    <s v="death|death of wife|murder|thief|violence"/>
    <n v="142"/>
    <x v="0"/>
    <x v="0"/>
    <n v="50000000"/>
    <x v="31"/>
    <x v="21"/>
    <n v="50000000"/>
    <n v="50007168"/>
    <x v="302"/>
    <x v="302"/>
    <x v="1"/>
  </r>
  <r>
    <x v="269"/>
    <n v="146"/>
    <n v="2849142"/>
    <s v="Drama"/>
    <s v="Alison Lohman"/>
    <x v="303"/>
    <n v="24104"/>
    <s v="best friend|dinner|garage|narcotics anonymous|recovery"/>
    <n v="88"/>
    <x v="0"/>
    <x v="0"/>
    <n v="16000000"/>
    <x v="15"/>
    <x v="33"/>
    <n v="16000000"/>
    <n v="2849142"/>
    <x v="303"/>
    <x v="303"/>
    <x v="5"/>
  </r>
  <r>
    <x v="270"/>
    <n v="127"/>
    <n v="26404753"/>
    <s v="Action|Comedy|Crime|Romance|Thriller"/>
    <s v="Fisher Stevens"/>
    <x v="304"/>
    <n v="34203"/>
    <s v="bail bond|bounty hunter|jeans|shot in the butt|title directed by female"/>
    <n v="169"/>
    <x v="0"/>
    <x v="0"/>
    <n v="40000000"/>
    <x v="28"/>
    <x v="1"/>
    <n v="40000000"/>
    <n v="26404753"/>
    <x v="304"/>
    <x v="304"/>
    <x v="1"/>
  </r>
  <r>
    <x v="271"/>
    <n v="119"/>
    <n v="3749061"/>
    <s v="Action|Thriller"/>
    <s v="Henry Cavill"/>
    <x v="305"/>
    <n v="28629"/>
    <s v="driving a car down stairs|duct tape gag|held captive|murder of a police officer|sailing"/>
    <n v="113"/>
    <x v="0"/>
    <x v="0"/>
    <n v="20000000"/>
    <x v="28"/>
    <x v="18"/>
    <n v="20000000"/>
    <n v="3749061"/>
    <x v="305"/>
    <x v="305"/>
    <x v="1"/>
  </r>
  <r>
    <x v="272"/>
    <n v="97"/>
    <n v="30222640"/>
    <s v="Drama|Music|Romance"/>
    <s v="Christian Monzon"/>
    <x v="306"/>
    <n v="36666"/>
    <s v="choreographer|dance|dancer|dancing|hip hop"/>
    <n v="144"/>
    <x v="0"/>
    <x v="0"/>
    <n v="25000000"/>
    <x v="19"/>
    <x v="1"/>
    <n v="25000000"/>
    <n v="30222640"/>
    <x v="306"/>
    <x v="306"/>
    <x v="5"/>
  </r>
  <r>
    <x v="273"/>
    <n v="162"/>
    <n v="23272306"/>
    <s v="Crime|Drama|Mystery|Thriller"/>
    <s v="Kevin Spacey"/>
    <x v="307"/>
    <n v="740918"/>
    <s v="criminal|dirty cop|flashback|limping|suspect"/>
    <n v="1182"/>
    <x v="0"/>
    <x v="0"/>
    <n v="6000000"/>
    <x v="33"/>
    <x v="43"/>
    <n v="6000000"/>
    <n v="23272306"/>
    <x v="307"/>
    <x v="307"/>
    <x v="3"/>
  </r>
  <r>
    <x v="132"/>
    <n v="401"/>
    <n v="234277056"/>
    <s v="Adventure|Sci-Fi|Thriller"/>
    <s v="Tom Cruise"/>
    <x v="308"/>
    <n v="334345"/>
    <s v="alien|fight|storm|survival|tripod"/>
    <n v="2741"/>
    <x v="0"/>
    <x v="0"/>
    <n v="132000000"/>
    <x v="25"/>
    <x v="20"/>
    <n v="132000000"/>
    <n v="234277056"/>
    <x v="308"/>
    <x v="308"/>
    <x v="0"/>
  </r>
  <r>
    <x v="274"/>
    <n v="52"/>
    <n v="4884663"/>
    <s v="Horror|Sci-Fi"/>
    <s v="Louise Fletcher"/>
    <x v="309"/>
    <n v="5187"/>
    <s v="alien|boy|nurse|school|school nurse"/>
    <n v="64"/>
    <x v="0"/>
    <x v="0"/>
    <n v="12000000"/>
    <x v="18"/>
    <x v="28"/>
    <n v="12000000"/>
    <n v="4884663"/>
    <x v="309"/>
    <x v="309"/>
    <x v="6"/>
  </r>
  <r>
    <x v="275"/>
    <n v="466"/>
    <n v="24104113"/>
    <s v="Drama|Mystery|Thriller"/>
    <s v="Benedict Cumberbatch"/>
    <x v="310"/>
    <n v="149066"/>
    <s v="cold war|hungary|mole|spy|woman on top"/>
    <n v="517"/>
    <x v="0"/>
    <x v="8"/>
    <n v="20000000"/>
    <x v="22"/>
    <x v="17"/>
    <n v="21694800"/>
    <n v="26146695.53562"/>
    <x v="310"/>
    <x v="310"/>
    <x v="5"/>
  </r>
  <r>
    <x v="276"/>
    <n v="23"/>
    <n v="8026971"/>
    <s v="Comedy|Romance"/>
    <s v="LL Cool J"/>
    <x v="311"/>
    <n v="1520"/>
    <s v="blind date|law clerk|love|manhattan new york city|world trade center manhattan new york city"/>
    <n v="20"/>
    <x v="0"/>
    <x v="0"/>
    <n v="13000000"/>
    <x v="6"/>
    <x v="54"/>
    <n v="13000000"/>
    <n v="8026971"/>
    <x v="311"/>
    <x v="311"/>
    <x v="4"/>
  </r>
  <r>
    <x v="277"/>
    <n v="160"/>
    <n v="8855646"/>
    <s v="Adventure|Drama"/>
    <s v="Robert De Niro"/>
    <x v="312"/>
    <n v="49855"/>
    <s v="bus trip|parental love|retirement|surprise visit|train ride"/>
    <n v="117"/>
    <x v="0"/>
    <x v="0"/>
    <n v="21000000"/>
    <x v="16"/>
    <x v="33"/>
    <n v="21000000"/>
    <n v="8855646"/>
    <x v="312"/>
    <x v="312"/>
    <x v="0"/>
  </r>
  <r>
    <x v="278"/>
    <n v="61"/>
    <n v="46300000"/>
    <s v="Action|Adventure|Comedy|Crime"/>
    <s v="Jonathan Winters"/>
    <x v="313"/>
    <n v="29323"/>
    <s v="california|desert|dying words|money|race"/>
    <n v="344"/>
    <x v="0"/>
    <x v="0"/>
    <n v="9400000"/>
    <x v="41"/>
    <x v="10"/>
    <n v="9400000"/>
    <n v="46300000"/>
    <x v="313"/>
    <x v="313"/>
    <x v="1"/>
  </r>
  <r>
    <x v="279"/>
    <n v="82"/>
    <n v="1011054"/>
    <s v="Crime|Drama|Thriller"/>
    <s v="Philip Seymour Hoffman"/>
    <x v="314"/>
    <n v="10585"/>
    <s v="bank|bank fraud|bank manager|gambling|toronto"/>
    <n v="83"/>
    <x v="0"/>
    <x v="9"/>
    <n v="10000000"/>
    <x v="19"/>
    <x v="33"/>
    <n v="7234050"/>
    <n v="731401.51886999898"/>
    <x v="314"/>
    <x v="314"/>
    <x v="3"/>
  </r>
  <r>
    <x v="280"/>
    <n v="52"/>
    <n v="8070311"/>
    <s v="Comedy|Romance"/>
    <s v="Steve Carell"/>
    <x v="315"/>
    <n v="12706"/>
    <s v="best friend|party|rival|scavenger hunt|sleepover"/>
    <n v="75"/>
    <x v="0"/>
    <x v="0"/>
    <n v="10000000"/>
    <x v="2"/>
    <x v="1"/>
    <n v="10000000"/>
    <n v="8070311"/>
    <x v="315"/>
    <x v="315"/>
    <x v="4"/>
  </r>
  <r>
    <x v="281"/>
    <n v="392"/>
    <n v="336530303"/>
    <s v="Action|Adventure|Romance"/>
    <s v="J.K. Simmons"/>
    <x v="316"/>
    <n v="383071"/>
    <s v="sandman|spider man|symbiote|venom|villain"/>
    <n v="1902"/>
    <x v="0"/>
    <x v="0"/>
    <n v="258000000"/>
    <x v="15"/>
    <x v="5"/>
    <n v="258000000"/>
    <n v="336530303"/>
    <x v="316"/>
    <x v="316"/>
    <x v="1"/>
  </r>
  <r>
    <x v="282"/>
    <n v="642"/>
    <n v="292568851"/>
    <s v="Action|Adventure|Sci-Fi|Thriller"/>
    <s v="Leonardo DiCaprio"/>
    <x v="317"/>
    <n v="1468200"/>
    <s v="ambiguous ending|corporate espionage|dream|subconscious|thief"/>
    <n v="2803"/>
    <x v="0"/>
    <x v="0"/>
    <n v="160000000"/>
    <x v="11"/>
    <x v="55"/>
    <n v="160000000"/>
    <n v="292568851"/>
    <x v="317"/>
    <x v="317"/>
    <x v="1"/>
  </r>
  <r>
    <x v="283"/>
    <n v="72"/>
    <n v="592014"/>
    <s v="Biography|Documentary"/>
    <s v="Greg Ayres"/>
    <x v="318"/>
    <n v="5709"/>
    <s v="answering machine|home movie|lithium|schizophrenic|video diary"/>
    <n v="114"/>
    <x v="0"/>
    <x v="0"/>
    <n v="218"/>
    <x v="19"/>
    <x v="33"/>
    <n v="218"/>
    <n v="592014"/>
    <x v="318"/>
    <x v="318"/>
    <x v="2"/>
  </r>
  <r>
    <x v="284"/>
    <n v="159"/>
    <n v="56536016"/>
    <s v="Horror"/>
    <s v="Billy Burke"/>
    <x v="319"/>
    <n v="13523"/>
    <s v="based on short film|reference to avenged sevenfold|reference to slayer|switching lights on and off|two word title"/>
    <n v="95"/>
    <x v="0"/>
    <x v="0"/>
    <n v="4900000"/>
    <x v="24"/>
    <x v="31"/>
    <n v="4900000"/>
    <n v="56536016"/>
    <x v="319"/>
    <x v="319"/>
    <x v="6"/>
  </r>
  <r>
    <x v="227"/>
    <n v="156"/>
    <n v="18821279"/>
    <s v="Action|Adventure|Fantasy"/>
    <s v="Roxanne McKee"/>
    <x v="320"/>
    <n v="44891"/>
    <s v="ancient greece|forbidden love|hercules|king|slavery"/>
    <n v="202"/>
    <x v="0"/>
    <x v="0"/>
    <n v="70000000"/>
    <x v="27"/>
    <x v="32"/>
    <n v="70000000"/>
    <n v="18821279"/>
    <x v="320"/>
    <x v="320"/>
    <x v="1"/>
  </r>
  <r>
    <x v="285"/>
    <n v="112"/>
    <n v="63260"/>
    <s v="Action|Animation|Sci-Fi|Thriller"/>
    <s v="Romola Garai"/>
    <x v="321"/>
    <n v="14325"/>
    <s v="future|kidnapping|missing file|paris france|year 2054"/>
    <n v="90"/>
    <x v="0"/>
    <x v="8"/>
    <n v="14000000"/>
    <x v="7"/>
    <x v="21"/>
    <n v="15186360"/>
    <n v="68620.652400000006"/>
    <x v="321"/>
    <x v="321"/>
    <x v="1"/>
  </r>
  <r>
    <x v="286"/>
    <n v="310"/>
    <n v="133382309"/>
    <s v="Action|Adventure|Thriller"/>
    <s v="Philip Seymour Hoffman"/>
    <x v="322"/>
    <n v="256695"/>
    <s v="arms dealer|fictional government agency|mission|rescue|vatican"/>
    <n v="871"/>
    <x v="0"/>
    <x v="0"/>
    <n v="150000000"/>
    <x v="7"/>
    <x v="31"/>
    <n v="150000000"/>
    <n v="133382309"/>
    <x v="322"/>
    <x v="322"/>
    <x v="1"/>
  </r>
  <r>
    <x v="287"/>
    <n v="20"/>
    <n v="39852"/>
    <s v="Comedy|Drama"/>
    <s v="Gretchen Mol"/>
    <x v="323"/>
    <n v="1238"/>
    <s v="1955 chevrolet|nurse|peeping tom|reference to brooklyn dodgers|spying"/>
    <n v="25"/>
    <x v="0"/>
    <x v="0"/>
    <n v="3000000"/>
    <x v="12"/>
    <x v="21"/>
    <n v="3000000"/>
    <n v="39852"/>
    <x v="323"/>
    <x v="323"/>
    <x v="4"/>
  </r>
  <r>
    <x v="288"/>
    <n v="297"/>
    <n v="102413606"/>
    <s v="Action|Mystery|Sci-Fi|Thriller"/>
    <s v="Ki Hong Lee"/>
    <x v="324"/>
    <n v="310903"/>
    <s v="based on novel|concrete wall|maze|open ended|teenage boy"/>
    <n v="524"/>
    <x v="0"/>
    <x v="0"/>
    <n v="34000000"/>
    <x v="27"/>
    <x v="22"/>
    <n v="34000000"/>
    <n v="102413606"/>
    <x v="324"/>
    <x v="324"/>
    <x v="1"/>
  </r>
  <r>
    <x v="289"/>
    <n v="148"/>
    <n v="80276912"/>
    <s v="Comedy|Romance"/>
    <s v="Treat Williams"/>
    <x v="325"/>
    <n v="140740"/>
    <s v="casino|father son relationship|jackpot|judge|wedding"/>
    <n v="151"/>
    <x v="0"/>
    <x v="0"/>
    <n v="35000000"/>
    <x v="20"/>
    <x v="7"/>
    <n v="35000000"/>
    <n v="80276912"/>
    <x v="325"/>
    <x v="325"/>
    <x v="4"/>
  </r>
  <r>
    <x v="290"/>
    <n v="6"/>
    <n v="29233"/>
    <s v="Documentary"/>
    <s v="Jane Goodall"/>
    <x v="326"/>
    <n v="75"/>
    <s v=""/>
    <n v="2"/>
    <x v="0"/>
    <x v="0"/>
    <n v="3500000"/>
    <x v="1"/>
    <x v="16"/>
    <n v="3500000"/>
    <n v="29233"/>
    <x v="326"/>
    <x v="326"/>
    <x v="7"/>
  </r>
  <r>
    <x v="291"/>
    <n v="348"/>
    <n v="190871240"/>
    <s v="Action|Adventure|Comedy|Sci-Fi"/>
    <s v="Noel Fisher"/>
    <x v="327"/>
    <n v="167089"/>
    <s v="18 wheeler|mutant|ninja|sewer|turtle"/>
    <n v="491"/>
    <x v="0"/>
    <x v="0"/>
    <n v="125000000"/>
    <x v="27"/>
    <x v="0"/>
    <n v="125000000"/>
    <n v="190871240"/>
    <x v="327"/>
    <x v="327"/>
    <x v="1"/>
  </r>
  <r>
    <x v="292"/>
    <n v="91"/>
    <n v="88246220"/>
    <s v="Action|Adventure|Sci-Fi|Thriller"/>
    <s v="Jeanne Tripplehorn"/>
    <x v="328"/>
    <n v="144337"/>
    <s v="future|sail|sea|smoker|water"/>
    <n v="309"/>
    <x v="0"/>
    <x v="0"/>
    <n v="175000000"/>
    <x v="33"/>
    <x v="7"/>
    <n v="175000000"/>
    <n v="88246220"/>
    <x v="328"/>
    <x v="328"/>
    <x v="1"/>
  </r>
  <r>
    <x v="293"/>
    <n v="163"/>
    <n v="52008288"/>
    <s v="Animation|Comedy|Fantasy|Musical"/>
    <s v="Minnie Driver"/>
    <x v="329"/>
    <n v="162037"/>
    <s v="boy|canada|hell|misunderstanding|refrence to liza minnelli"/>
    <n v="928"/>
    <x v="0"/>
    <x v="0"/>
    <n v="21000000"/>
    <x v="12"/>
    <x v="38"/>
    <n v="21000000"/>
    <n v="52008288"/>
    <x v="329"/>
    <x v="329"/>
    <x v="8"/>
  </r>
  <r>
    <x v="10"/>
    <n v="37"/>
    <n v="10300000"/>
    <s v="Adventure|Drama"/>
    <s v="Jeff Bridges"/>
    <x v="330"/>
    <n v="17859"/>
    <s v="acrophobia|jamaica|male bonding|prostitute|tragedy"/>
    <n v="89"/>
    <x v="0"/>
    <x v="0"/>
    <n v="38000000"/>
    <x v="10"/>
    <x v="14"/>
    <n v="38000000"/>
    <n v="10300000"/>
    <x v="330"/>
    <x v="330"/>
    <x v="0"/>
  </r>
  <r>
    <x v="157"/>
    <n v="360"/>
    <n v="38509342"/>
    <s v="Comedy|Drama|Musical|Romance"/>
    <s v="James Martin Kelly"/>
    <x v="331"/>
    <n v="61995"/>
    <s v="concert|love|music industry|panties|pole dancer"/>
    <n v="356"/>
    <x v="0"/>
    <x v="0"/>
    <n v="75000000"/>
    <x v="28"/>
    <x v="0"/>
    <n v="75000000"/>
    <n v="38509342"/>
    <x v="331"/>
    <x v="331"/>
    <x v="4"/>
  </r>
  <r>
    <x v="291"/>
    <n v="355"/>
    <n v="83552429"/>
    <s v="Action|Sci-Fi"/>
    <s v="Noel Fisher"/>
    <x v="332"/>
    <n v="154955"/>
    <s v="alien|extraterrestrial|invasion|marine|mission"/>
    <n v="800"/>
    <x v="0"/>
    <x v="0"/>
    <n v="70000000"/>
    <x v="22"/>
    <x v="30"/>
    <n v="70000000"/>
    <n v="83552429"/>
    <x v="332"/>
    <x v="332"/>
    <x v="1"/>
  </r>
  <r>
    <x v="294"/>
    <n v="112"/>
    <n v="46800000"/>
    <s v="Action|Adventure|Sci-Fi|Thriller"/>
    <s v="Caroline Munro"/>
    <x v="333"/>
    <n v="76477"/>
    <s v="1970s|cult film|official james bond series|submarine|world war three"/>
    <n v="275"/>
    <x v="0"/>
    <x v="2"/>
    <n v="14000000"/>
    <x v="35"/>
    <x v="17"/>
    <n v="17995600"/>
    <n v="60156719.999999903"/>
    <x v="333"/>
    <x v="333"/>
    <x v="1"/>
  </r>
  <r>
    <x v="167"/>
    <n v="43"/>
    <n v="46700000"/>
    <s v="Action|Adventure|Thriller"/>
    <s v="Clint Eastwood"/>
    <x v="334"/>
    <n v="19832"/>
    <s v="fighter plane|jet fighter|refueling|russia|soviet union"/>
    <n v="98"/>
    <x v="0"/>
    <x v="0"/>
    <n v="21000000"/>
    <x v="42"/>
    <x v="0"/>
    <n v="21000000"/>
    <n v="46700000"/>
    <x v="334"/>
    <x v="334"/>
    <x v="1"/>
  </r>
  <r>
    <x v="295"/>
    <n v="187"/>
    <n v="41300105"/>
    <s v="Drama|Mystery"/>
    <s v="Kristin Scott Thomas"/>
    <x v="335"/>
    <n v="65201"/>
    <s v="country house|murder|producer|servant|shooting party"/>
    <n v="651"/>
    <x v="0"/>
    <x v="2"/>
    <n v="19800000"/>
    <x v="9"/>
    <x v="4"/>
    <n v="25450919.999999899"/>
    <n v="53087154.966999903"/>
    <x v="335"/>
    <x v="335"/>
    <x v="5"/>
  </r>
  <r>
    <x v="296"/>
    <n v="118"/>
    <n v="93307796"/>
    <s v="Comedy|Romance"/>
    <s v="Dorian Missick"/>
    <x v="336"/>
    <n v="85673"/>
    <s v="developer|divorce|lawyer|love|new york city"/>
    <n v="269"/>
    <x v="0"/>
    <x v="0"/>
    <n v="60000000"/>
    <x v="13"/>
    <x v="7"/>
    <n v="60000000"/>
    <n v="93307796"/>
    <x v="336"/>
    <x v="336"/>
    <x v="4"/>
  </r>
  <r>
    <x v="4"/>
    <n v="112"/>
    <n v="19076815"/>
    <s v="Drama|War"/>
    <s v="Bruce Willis"/>
    <x v="337"/>
    <n v="43651"/>
    <s v="colonel|honor|lieutenant|pilot|racism"/>
    <n v="196"/>
    <x v="0"/>
    <x v="0"/>
    <n v="60000000"/>
    <x v="13"/>
    <x v="23"/>
    <n v="60000000"/>
    <n v="19076815"/>
    <x v="337"/>
    <x v="337"/>
    <x v="5"/>
  </r>
  <r>
    <x v="297"/>
    <n v="315"/>
    <n v="37023395"/>
    <s v="Drama"/>
    <s v="Brad Pitt"/>
    <x v="338"/>
    <n v="1347461"/>
    <s v="anti establishment|dark humor|fighting|multiple personality disorder|surprise ending"/>
    <n v="2968"/>
    <x v="0"/>
    <x v="0"/>
    <n v="63000000"/>
    <x v="12"/>
    <x v="55"/>
    <n v="63000000"/>
    <n v="37023395"/>
    <x v="338"/>
    <x v="338"/>
    <x v="5"/>
  </r>
  <r>
    <x v="298"/>
    <n v="132"/>
    <n v="16667084"/>
    <s v="Comedy|Horror|Sci-Fi"/>
    <s v="Reba McEntire"/>
    <x v="339"/>
    <n v="90070"/>
    <s v="desert|giant worm|monster|pipe bomb|small town"/>
    <n v="248"/>
    <x v="0"/>
    <x v="0"/>
    <n v="11000000"/>
    <x v="32"/>
    <x v="17"/>
    <n v="11000000"/>
    <n v="16667084"/>
    <x v="339"/>
    <x v="339"/>
    <x v="4"/>
  </r>
  <r>
    <x v="258"/>
    <n v="153"/>
    <n v="7156725"/>
    <s v="Comedy|Music"/>
    <s v="Judy Greer"/>
    <x v="340"/>
    <n v="22639"/>
    <s v="chief of staff|contest|president|singing|terrorist"/>
    <n v="217"/>
    <x v="0"/>
    <x v="0"/>
    <n v="19000000"/>
    <x v="7"/>
    <x v="28"/>
    <n v="19000000"/>
    <n v="7156725"/>
    <x v="340"/>
    <x v="340"/>
    <x v="4"/>
  </r>
  <r>
    <x v="74"/>
    <n v="86"/>
    <n v="69688384"/>
    <s v="Comedy|Family|Fantasy"/>
    <s v="Bruce Willis"/>
    <x v="341"/>
    <n v="34473"/>
    <s v="altering history|cartoon on tv|childhood|image consultant|one two combo"/>
    <n v="139"/>
    <x v="0"/>
    <x v="0"/>
    <n v="60000000"/>
    <x v="4"/>
    <x v="7"/>
    <n v="60000000"/>
    <n v="69688384"/>
    <x v="341"/>
    <x v="341"/>
    <x v="4"/>
  </r>
  <r>
    <x v="232"/>
    <n v="289"/>
    <n v="24985612"/>
    <s v="Action|Adventure|Biography|Drama|History|Thriller"/>
    <s v="Chris Hemsworth"/>
    <x v="342"/>
    <n v="71782"/>
    <s v="emaciation|ship|starvation|vomiting|whale"/>
    <n v="161"/>
    <x v="0"/>
    <x v="0"/>
    <n v="100000000"/>
    <x v="1"/>
    <x v="16"/>
    <n v="100000000"/>
    <n v="24985612"/>
    <x v="342"/>
    <x v="342"/>
    <x v="1"/>
  </r>
  <r>
    <x v="299"/>
    <n v="181"/>
    <n v="27758465"/>
    <s v="Comedy|Drama|Romance"/>
    <s v="Caroline Dhavernas"/>
    <x v="343"/>
    <n v="77987"/>
    <s v="artificial insemination|best friend|new york city|sperm|sperm donor"/>
    <n v="120"/>
    <x v="0"/>
    <x v="0"/>
    <n v="19000000"/>
    <x v="11"/>
    <x v="7"/>
    <n v="19000000"/>
    <n v="27758465"/>
    <x v="343"/>
    <x v="343"/>
    <x v="4"/>
  </r>
  <r>
    <x v="31"/>
    <n v="192"/>
    <n v="113330342"/>
    <s v="Action|Drama|History|War"/>
    <s v="Heath Ledger"/>
    <x v="344"/>
    <n v="207613"/>
    <s v="american revolution|british|french|hero|standoff"/>
    <n v="1144"/>
    <x v="0"/>
    <x v="0"/>
    <n v="110000000"/>
    <x v="4"/>
    <x v="17"/>
    <n v="110000000"/>
    <n v="113330342"/>
    <x v="344"/>
    <x v="344"/>
    <x v="1"/>
  </r>
  <r>
    <x v="300"/>
    <n v="78"/>
    <n v="634277"/>
    <s v="Comedy|History"/>
    <s v="Romain Duris"/>
    <x v="345"/>
    <n v="5166"/>
    <s v="deathbed|play|playwright|prison|theater"/>
    <n v="27"/>
    <x v="4"/>
    <x v="8"/>
    <n v="16000000"/>
    <x v="15"/>
    <x v="4"/>
    <n v="17355840"/>
    <n v="688025.63297999999"/>
    <x v="345"/>
    <x v="345"/>
    <x v="4"/>
  </r>
  <r>
    <x v="301"/>
    <n v="57"/>
    <n v="128769345"/>
    <s v="Comedy|Romance|Sci-Fi"/>
    <s v="Jada Pinkett Smith"/>
    <x v="346"/>
    <n v="86556"/>
    <s v="face slap|formula|overweight|professor|teacher"/>
    <n v="99"/>
    <x v="0"/>
    <x v="0"/>
    <n v="54000000"/>
    <x v="10"/>
    <x v="15"/>
    <n v="54000000"/>
    <n v="128769345"/>
    <x v="346"/>
    <x v="346"/>
    <x v="4"/>
  </r>
  <r>
    <x v="302"/>
    <n v="123"/>
    <n v="33828318"/>
    <s v="Comedy"/>
    <s v="Matt Damon"/>
    <x v="347"/>
    <n v="44453"/>
    <s v="actor|conjoined twins|cook|internet|short order cook"/>
    <n v="154"/>
    <x v="0"/>
    <x v="0"/>
    <n v="55000000"/>
    <x v="19"/>
    <x v="30"/>
    <n v="55000000"/>
    <n v="33828318"/>
    <x v="347"/>
    <x v="347"/>
    <x v="4"/>
  </r>
  <r>
    <x v="303"/>
    <n v="62"/>
    <n v="5725"/>
    <s v="Horror|Thriller"/>
    <s v="Benno FÃ¼rmann"/>
    <x v="348"/>
    <n v="10220"/>
    <s v="dissection|male pubic hair|medical school|medical student|train"/>
    <n v="110"/>
    <x v="7"/>
    <x v="5"/>
    <n v="8400000"/>
    <x v="4"/>
    <x v="7"/>
    <n v="9111816"/>
    <n v="6210.1364999999996"/>
    <x v="348"/>
    <x v="348"/>
    <x v="6"/>
  </r>
  <r>
    <x v="304"/>
    <n v="196"/>
    <n v="8279017"/>
    <s v="Drama|Horror"/>
    <s v="Eddie Izzard"/>
    <x v="349"/>
    <n v="34191"/>
    <s v="actor|breasts|film actress|nosferatu|vampire"/>
    <n v="339"/>
    <x v="0"/>
    <x v="2"/>
    <n v="8000000"/>
    <x v="4"/>
    <x v="31"/>
    <n v="10283199.999999899"/>
    <n v="10641848.451799899"/>
    <x v="349"/>
    <x v="349"/>
    <x v="5"/>
  </r>
  <r>
    <x v="305"/>
    <n v="125"/>
    <n v="39989008"/>
    <s v="Horror|Mystery"/>
    <s v="Muse Watson"/>
    <x v="350"/>
    <n v="55398"/>
    <s v="bahamas|fisherman|hook|island|roommate"/>
    <n v="418"/>
    <x v="0"/>
    <x v="0"/>
    <n v="24000000"/>
    <x v="6"/>
    <x v="34"/>
    <n v="24000000"/>
    <n v="39989008"/>
    <x v="350"/>
    <x v="350"/>
    <x v="6"/>
  </r>
  <r>
    <x v="306"/>
    <n v="242"/>
    <n v="59035104"/>
    <s v="Action|Fantasy|Horror|Sci-Fi"/>
    <s v="James Babson"/>
    <x v="351"/>
    <n v="244566"/>
    <s v="assassin|demon|hero|nazi|superhero"/>
    <n v="597"/>
    <x v="0"/>
    <x v="0"/>
    <n v="66000000"/>
    <x v="2"/>
    <x v="22"/>
    <n v="66000000"/>
    <n v="59035104"/>
    <x v="351"/>
    <x v="351"/>
    <x v="1"/>
  </r>
  <r>
    <x v="307"/>
    <n v="2"/>
    <n v="31662"/>
    <s v="Action|Drama|History|War"/>
    <s v="Liam Neeson"/>
    <x v="352"/>
    <n v="90"/>
    <s v=""/>
    <n v="1"/>
    <x v="0"/>
    <x v="14"/>
    <n v="12620000"/>
    <x v="24"/>
    <x v="22"/>
    <n v="9135.20154"/>
    <n v="22.919076954000001"/>
    <x v="352"/>
    <x v="352"/>
    <x v="1"/>
  </r>
  <r>
    <x v="10"/>
    <n v="239"/>
    <n v="47396698"/>
    <s v="Action|Adventure|Drama|History|War"/>
    <s v="Liam Neeson"/>
    <x v="353"/>
    <n v="217373"/>
    <s v="12th century|crusader|jerusalem|knight|medieval times"/>
    <n v="942"/>
    <x v="0"/>
    <x v="0"/>
    <n v="130000000"/>
    <x v="25"/>
    <x v="33"/>
    <n v="130000000"/>
    <n v="47396698"/>
    <x v="353"/>
    <x v="353"/>
    <x v="1"/>
  </r>
  <r>
    <x v="308"/>
    <n v="222"/>
    <n v="30028592"/>
    <s v="Crime|Drama|Romance|Thriller"/>
    <s v="Jason Statham"/>
    <x v="354"/>
    <n v="152247"/>
    <s v="chase|heist|london england|mobster|safe deposit"/>
    <n v="189"/>
    <x v="0"/>
    <x v="2"/>
    <n v="20000000"/>
    <x v="20"/>
    <x v="4"/>
    <n v="25707999.999999899"/>
    <n v="38598752.156799898"/>
    <x v="354"/>
    <x v="354"/>
    <x v="3"/>
  </r>
  <r>
    <x v="309"/>
    <n v="60"/>
    <n v="18252684"/>
    <s v="Comedy|Drama|Family"/>
    <s v="Oliver Platt"/>
    <x v="355"/>
    <n v="18366"/>
    <s v="boy|christmas|christmas pageant|friendship|illegitimate son"/>
    <n v="219"/>
    <x v="0"/>
    <x v="0"/>
    <n v="30000000"/>
    <x v="6"/>
    <x v="31"/>
    <n v="30000000"/>
    <n v="18252684"/>
    <x v="355"/>
    <x v="355"/>
    <x v="4"/>
  </r>
  <r>
    <x v="310"/>
    <n v="134"/>
    <n v="100241322"/>
    <s v="Comedy|Drama|Romance"/>
    <s v="Tom Wilkinson"/>
    <x v="356"/>
    <n v="175524"/>
    <s v="actor|audition|muse|playwright|theater"/>
    <n v="752"/>
    <x v="0"/>
    <x v="0"/>
    <n v="25000000"/>
    <x v="6"/>
    <x v="33"/>
    <n v="25000000"/>
    <n v="100241322"/>
    <x v="356"/>
    <x v="356"/>
    <x v="4"/>
  </r>
  <r>
    <x v="311"/>
    <n v="365"/>
    <n v="6531491"/>
    <s v="Drama"/>
    <s v="Jennifer Lawrence"/>
    <x v="357"/>
    <n v="111658"/>
    <s v="bail|crystal meth|family relationships|female protagonist|search for father"/>
    <n v="297"/>
    <x v="0"/>
    <x v="0"/>
    <n v="2000000"/>
    <x v="11"/>
    <x v="33"/>
    <n v="2000000"/>
    <n v="6531491"/>
    <x v="357"/>
    <x v="357"/>
    <x v="5"/>
  </r>
  <r>
    <x v="312"/>
    <n v="74"/>
    <n v="5409517"/>
    <s v="Animation|Comedy|Fantasy"/>
    <s v="Brendan Fraser"/>
    <x v="358"/>
    <n v="14280"/>
    <s v="carnival|coma|death|monkey|nightmare"/>
    <n v="171"/>
    <x v="0"/>
    <x v="0"/>
    <n v="75000000"/>
    <x v="9"/>
    <x v="27"/>
    <n v="75000000"/>
    <n v="5409517"/>
    <x v="358"/>
    <x v="358"/>
    <x v="8"/>
  </r>
  <r>
    <x v="313"/>
    <n v="196"/>
    <n v="24407944"/>
    <s v="Action|Crime|Fantasy|Thriller"/>
    <s v="Jennifer Garner"/>
    <x v="359"/>
    <n v="71202"/>
    <s v="assassin|battle|heroine|martial arts|spin off"/>
    <n v="380"/>
    <x v="0"/>
    <x v="9"/>
    <n v="43000000"/>
    <x v="25"/>
    <x v="45"/>
    <n v="31106415"/>
    <n v="17656828.729320001"/>
    <x v="359"/>
    <x v="359"/>
    <x v="1"/>
  </r>
  <r>
    <x v="314"/>
    <n v="167"/>
    <n v="17797316"/>
    <s v="Comedy|Romance"/>
    <s v="Rob Riggle"/>
    <x v="360"/>
    <n v="50523"/>
    <s v="bar|job|long distance relationship|male pubic hair|pubic hair"/>
    <n v="113"/>
    <x v="0"/>
    <x v="0"/>
    <n v="32000000"/>
    <x v="11"/>
    <x v="23"/>
    <n v="32000000"/>
    <n v="17797316"/>
    <x v="360"/>
    <x v="360"/>
    <x v="4"/>
  </r>
  <r>
    <x v="315"/>
    <n v="34"/>
    <n v="22717758"/>
    <s v="Adventure|Animation|Comedy|Drama|Family|Fantasy|Musical"/>
    <s v="Gary Oldman"/>
    <x v="361"/>
    <n v="11156"/>
    <s v="camelot|dragon|excalibur|knight|sword"/>
    <n v="67"/>
    <x v="0"/>
    <x v="0"/>
    <n v="40000000"/>
    <x v="6"/>
    <x v="5"/>
    <n v="40000000"/>
    <n v="22717758"/>
    <x v="361"/>
    <x v="361"/>
    <x v="0"/>
  </r>
  <r>
    <x v="309"/>
    <n v="276"/>
    <n v="115802596"/>
    <s v="Action|Fantasy|Thriller"/>
    <s v="Nicolas Cage"/>
    <x v="362"/>
    <n v="182661"/>
    <s v="blackheart|devil|father|ghost|mephistopheles"/>
    <n v="681"/>
    <x v="0"/>
    <x v="0"/>
    <n v="110000000"/>
    <x v="15"/>
    <x v="44"/>
    <n v="110000000"/>
    <n v="115802596"/>
    <x v="362"/>
    <x v="362"/>
    <x v="1"/>
  </r>
  <r>
    <x v="316"/>
    <n v="226"/>
    <n v="51676606"/>
    <s v="Biography|Drama|Family"/>
    <s v="Johnny Depp"/>
    <x v="363"/>
    <n v="174591"/>
    <s v="boy|inspiration|reference to peter pan|stage play|widow"/>
    <n v="632"/>
    <x v="0"/>
    <x v="0"/>
    <n v="25000000"/>
    <x v="2"/>
    <x v="38"/>
    <n v="25000000"/>
    <n v="51676606"/>
    <x v="363"/>
    <x v="363"/>
    <x v="2"/>
  </r>
  <r>
    <x v="317"/>
    <n v="100"/>
    <n v="173066"/>
    <s v="Comedy|Fantasy"/>
    <s v="Ted Raimi"/>
    <x v="364"/>
    <n v="21379"/>
    <s v="b movie|birthday|chinese|demon|small town"/>
    <n v="88"/>
    <x v="0"/>
    <x v="0"/>
    <n v="1500000"/>
    <x v="15"/>
    <x v="23"/>
    <n v="1500000"/>
    <n v="173066"/>
    <x v="364"/>
    <x v="364"/>
    <x v="4"/>
  </r>
  <r>
    <x v="318"/>
    <n v="4"/>
    <n v="3330"/>
    <s v="Crime|Drama"/>
    <s v="Michael Derek"/>
    <x v="365"/>
    <n v="22"/>
    <s v=""/>
    <n v="1"/>
    <x v="0"/>
    <x v="0"/>
    <n v="2100000"/>
    <x v="1"/>
    <x v="33"/>
    <n v="2100000"/>
    <n v="3330"/>
    <x v="365"/>
    <x v="365"/>
    <x v="3"/>
  </r>
  <r>
    <x v="319"/>
    <n v="239"/>
    <n v="21129348"/>
    <s v="Crime|Drama|Romance|Thriller"/>
    <s v="Olivia Wilde"/>
    <x v="366"/>
    <n v="146364"/>
    <s v="argument|evidence|fingerprints|murder|murder weapon"/>
    <n v="237"/>
    <x v="0"/>
    <x v="0"/>
    <n v="35000000"/>
    <x v="11"/>
    <x v="39"/>
    <n v="35000000"/>
    <n v="21129348"/>
    <x v="366"/>
    <x v="366"/>
    <x v="3"/>
  </r>
  <r>
    <x v="320"/>
    <n v="271"/>
    <n v="305388685"/>
    <s v="Action|Adventure|Fantasy"/>
    <s v="Johnny Depp"/>
    <x v="367"/>
    <n v="809474"/>
    <s v="caribbean|curse|governor|pirate|undead"/>
    <n v="2113"/>
    <x v="0"/>
    <x v="0"/>
    <n v="140000000"/>
    <x v="19"/>
    <x v="40"/>
    <n v="140000000"/>
    <n v="305388685"/>
    <x v="367"/>
    <x v="367"/>
    <x v="1"/>
  </r>
  <r>
    <x v="321"/>
    <n v="150"/>
    <n v="439162"/>
    <s v="Action|Animation|Sci-Fi"/>
    <s v="Mitsuo Iwata"/>
    <x v="368"/>
    <n v="106160"/>
    <s v="based on manga|biker gang|gifted child|post thermonuclear war|science runs amok"/>
    <n v="430"/>
    <x v="8"/>
    <x v="15"/>
    <n v="1100000000"/>
    <x v="34"/>
    <x v="40"/>
    <n v="7146260"/>
    <n v="2853.0598491999999"/>
    <x v="368"/>
    <x v="368"/>
    <x v="1"/>
  </r>
  <r>
    <x v="322"/>
    <n v="369"/>
    <n v="56114221"/>
    <s v="Action|Adventure|Sci-Fi"/>
    <s v="Tim Blake Nelson"/>
    <x v="369"/>
    <n v="110486"/>
    <s v="box office flop|critically bashed|portal|teleportation|troubled production"/>
    <n v="695"/>
    <x v="0"/>
    <x v="0"/>
    <n v="120000000"/>
    <x v="1"/>
    <x v="46"/>
    <n v="120000000"/>
    <n v="56114221"/>
    <x v="369"/>
    <x v="369"/>
    <x v="1"/>
  </r>
  <r>
    <x v="29"/>
    <n v="110"/>
    <n v="26183197"/>
    <s v="Action|Crime|Drama|Thriller"/>
    <s v="Vin Diesel"/>
    <x v="370"/>
    <n v="38348"/>
    <s v="bust|dea|drug cartel|justice|tragic hero"/>
    <n v="135"/>
    <x v="0"/>
    <x v="0"/>
    <n v="36000000"/>
    <x v="19"/>
    <x v="7"/>
    <n v="36000000"/>
    <n v="26183197"/>
    <x v="370"/>
    <x v="370"/>
    <x v="1"/>
  </r>
  <r>
    <x v="87"/>
    <n v="400"/>
    <n v="167007184"/>
    <s v="Action|Adventure|Thriller"/>
    <s v="Eva Green"/>
    <x v="371"/>
    <n v="470483"/>
    <s v="casino|espionage|free running|james bond|terrorist"/>
    <n v="2301"/>
    <x v="0"/>
    <x v="2"/>
    <n v="150000000"/>
    <x v="7"/>
    <x v="3"/>
    <n v="192809999.99999899"/>
    <n v="214671034.31359899"/>
    <x v="371"/>
    <x v="371"/>
    <x v="1"/>
  </r>
  <r>
    <x v="323"/>
    <n v="84"/>
    <n v="47474112"/>
    <s v="Action|Drama|Sci-Fi|Thriller"/>
    <s v="Don Cheadle"/>
    <x v="372"/>
    <n v="58227"/>
    <s v="earthquake|fire|lava|rescue|volcano"/>
    <n v="181"/>
    <x v="0"/>
    <x v="0"/>
    <n v="90000000"/>
    <x v="31"/>
    <x v="26"/>
    <n v="90000000"/>
    <n v="47474112"/>
    <x v="372"/>
    <x v="372"/>
    <x v="1"/>
  </r>
  <r>
    <x v="324"/>
    <n v="69"/>
    <n v="1689999"/>
    <s v="Drama"/>
    <s v="Emily Rios"/>
    <x v="373"/>
    <n v="3675"/>
    <s v="15th birthday|birthday|gay|party|security guard"/>
    <n v="48"/>
    <x v="9"/>
    <x v="0"/>
    <n v="400000"/>
    <x v="7"/>
    <x v="17"/>
    <n v="400000"/>
    <n v="1689999"/>
    <x v="373"/>
    <x v="373"/>
    <x v="5"/>
  </r>
  <r>
    <x v="325"/>
    <n v="109"/>
    <n v="34604054"/>
    <s v="Action|Crime|Drama|Thriller"/>
    <s v="Jet Li"/>
    <x v="374"/>
    <n v="34942"/>
    <s v="camera shot from inside human body|diamond|evil man|heist|terrorism"/>
    <n v="185"/>
    <x v="0"/>
    <x v="0"/>
    <n v="30000000"/>
    <x v="19"/>
    <x v="30"/>
    <n v="30000000"/>
    <n v="34604054"/>
    <x v="374"/>
    <x v="374"/>
    <x v="1"/>
  </r>
  <r>
    <x v="326"/>
    <n v="102"/>
    <n v="100685880"/>
    <s v="Action|Adventure|Comedy|Crime"/>
    <s v="Demi Moore"/>
    <x v="375"/>
    <n v="100821"/>
    <s v="fbi|murder|ring|witness protection|witness protection program"/>
    <n v="554"/>
    <x v="0"/>
    <x v="0"/>
    <n v="120000000"/>
    <x v="19"/>
    <x v="45"/>
    <n v="120000000"/>
    <n v="100685880"/>
    <x v="375"/>
    <x v="375"/>
    <x v="1"/>
  </r>
  <r>
    <x v="327"/>
    <n v="178"/>
    <n v="42638165"/>
    <s v="Drama|Fantasy|Horror|Mystery|Thriller"/>
    <s v="Gary Oldman"/>
    <x v="376"/>
    <n v="42182"/>
    <s v="babysitting|experiment|nightmare|possession|twin"/>
    <n v="230"/>
    <x v="0"/>
    <x v="0"/>
    <n v="16000000"/>
    <x v="16"/>
    <x v="45"/>
    <n v="16000000"/>
    <n v="42638165"/>
    <x v="376"/>
    <x v="376"/>
    <x v="5"/>
  </r>
  <r>
    <x v="132"/>
    <n v="171"/>
    <n v="128300000"/>
    <s v="Drama|Sci-Fi"/>
    <s v="Bob Balaban"/>
    <x v="377"/>
    <n v="139288"/>
    <s v="alien|close encounter of the third kind|mothership|ufo|vision"/>
    <n v="339"/>
    <x v="0"/>
    <x v="0"/>
    <n v="19400870"/>
    <x v="35"/>
    <x v="9"/>
    <n v="19400870"/>
    <n v="128300000"/>
    <x v="377"/>
    <x v="377"/>
    <x v="5"/>
  </r>
  <r>
    <x v="328"/>
    <n v="181"/>
    <n v="7267324"/>
    <s v="Crime|Drama"/>
    <s v="Moritz Bleibtreu"/>
    <x v="378"/>
    <n v="161471"/>
    <s v="bechdel test failed|money|multiple outcomes|repeated event|subway"/>
    <n v="709"/>
    <x v="7"/>
    <x v="5"/>
    <n v="3500000"/>
    <x v="6"/>
    <x v="38"/>
    <n v="3796590"/>
    <n v="7883157.0357600003"/>
    <x v="378"/>
    <x v="378"/>
    <x v="3"/>
  </r>
  <r>
    <x v="329"/>
    <n v="423"/>
    <n v="29997095"/>
    <s v="Comedy|Mystery"/>
    <s v="Scarlett Johansson"/>
    <x v="379"/>
    <n v="60926"/>
    <s v="50s|film within a film|hollywood|illegitimate pregnancy|twins"/>
    <n v="302"/>
    <x v="0"/>
    <x v="2"/>
    <n v="22000000"/>
    <x v="24"/>
    <x v="24"/>
    <n v="28278799.999999899"/>
    <n v="38558265.912999898"/>
    <x v="379"/>
    <x v="379"/>
    <x v="4"/>
  </r>
  <r>
    <x v="330"/>
    <n v="27"/>
    <n v="50003300"/>
    <s v="Drama|Family|Romance"/>
    <s v="Christian Bale"/>
    <x v="380"/>
    <n v="36624"/>
    <s v="civil war|female protagonist|post civil war|reference to friedrich schiller|u.s. civil war"/>
    <n v="132"/>
    <x v="0"/>
    <x v="0"/>
    <n v="15000000"/>
    <x v="5"/>
    <x v="4"/>
    <n v="15000000"/>
    <n v="50003300"/>
    <x v="380"/>
    <x v="380"/>
    <x v="5"/>
  </r>
  <r>
    <x v="331"/>
    <n v="149"/>
    <n v="3588432"/>
    <s v="Comedy|Drama"/>
    <s v="Jim Parsons"/>
    <x v="381"/>
    <n v="29341"/>
    <s v="actor|dream sequence|genius recluse|jew|religion"/>
    <n v="93"/>
    <x v="0"/>
    <x v="0"/>
    <n v="6000000"/>
    <x v="27"/>
    <x v="21"/>
    <n v="6000000"/>
    <n v="3588432"/>
    <x v="381"/>
    <x v="381"/>
    <x v="4"/>
  </r>
  <r>
    <x v="291"/>
    <n v="196"/>
    <n v="39511038"/>
    <s v="Horror"/>
    <s v="Matt Bomer"/>
    <x v="382"/>
    <n v="56269"/>
    <s v="cannibal|car accident|leatherface|psychopath|slaughterhouse"/>
    <n v="366"/>
    <x v="0"/>
    <x v="0"/>
    <n v="16000000"/>
    <x v="7"/>
    <x v="0"/>
    <n v="16000000"/>
    <n v="39511038"/>
    <x v="382"/>
    <x v="382"/>
    <x v="6"/>
  </r>
  <r>
    <x v="332"/>
    <n v="83"/>
    <n v="63826569"/>
    <s v="Comedy"/>
    <s v="Tom Selleck"/>
    <x v="383"/>
    <n v="32416"/>
    <s v="academy award|gay|high school|reporter|teacher"/>
    <n v="138"/>
    <x v="0"/>
    <x v="0"/>
    <n v="35000000"/>
    <x v="31"/>
    <x v="23"/>
    <n v="35000000"/>
    <n v="63826569"/>
    <x v="383"/>
    <x v="383"/>
    <x v="4"/>
  </r>
  <r>
    <x v="333"/>
    <n v="83"/>
    <n v="6114237"/>
    <s v="Drama|Mystery|Sci-Fi|Thriller"/>
    <s v="Gary Dourdan"/>
    <x v="384"/>
    <n v="19986"/>
    <s v="alien|android|bomb|future|weapon"/>
    <n v="207"/>
    <x v="0"/>
    <x v="0"/>
    <n v="40000000"/>
    <x v="9"/>
    <x v="5"/>
    <n v="40000000"/>
    <n v="6114237"/>
    <x v="384"/>
    <x v="384"/>
    <x v="5"/>
  </r>
  <r>
    <x v="10"/>
    <n v="147"/>
    <n v="7458269"/>
    <s v="Comedy|Drama|Romance"/>
    <s v="Archie Panjabi"/>
    <x v="385"/>
    <n v="70698"/>
    <s v="based on novel|inheritance|provence|uncle|wine"/>
    <n v="196"/>
    <x v="0"/>
    <x v="0"/>
    <n v="35000000"/>
    <x v="7"/>
    <x v="31"/>
    <n v="35000000"/>
    <n v="7458269"/>
    <x v="385"/>
    <x v="385"/>
    <x v="4"/>
  </r>
  <r>
    <x v="334"/>
    <n v="106"/>
    <n v="2365931"/>
    <s v="Comedy|Crime|Drama|Romance"/>
    <s v="Anjelica Huston"/>
    <x v="386"/>
    <n v="36657"/>
    <s v="shower|stripper|tap dancing|underwear|undressing"/>
    <n v="318"/>
    <x v="0"/>
    <x v="0"/>
    <n v="1500000"/>
    <x v="6"/>
    <x v="2"/>
    <n v="1500000"/>
    <n v="2365931"/>
    <x v="386"/>
    <x v="386"/>
    <x v="4"/>
  </r>
  <r>
    <x v="335"/>
    <n v="26"/>
    <n v="36497"/>
    <s v="Comedy"/>
    <s v="Matthew McConaughey"/>
    <x v="387"/>
    <n v="7367"/>
    <s v="barefoot|endorsement|surfboard|virtual reality|waves"/>
    <n v="37"/>
    <x v="0"/>
    <x v="0"/>
    <n v="6000000"/>
    <x v="20"/>
    <x v="27"/>
    <n v="6000000"/>
    <n v="36497"/>
    <x v="387"/>
    <x v="387"/>
    <x v="4"/>
  </r>
  <r>
    <x v="184"/>
    <n v="233"/>
    <n v="37899638"/>
    <s v="Action|Adventure|Comedy|Fantasy|Thriller"/>
    <s v="Matt Damon"/>
    <x v="388"/>
    <n v="98472"/>
    <s v="creature|curse|exorcism|girl|village"/>
    <n v="492"/>
    <x v="0"/>
    <x v="0"/>
    <n v="88000000"/>
    <x v="25"/>
    <x v="0"/>
    <n v="88000000"/>
    <n v="37899638"/>
    <x v="388"/>
    <x v="388"/>
    <x v="1"/>
  </r>
  <r>
    <x v="336"/>
    <n v="47"/>
    <n v="54606"/>
    <s v="Comedy|Crime|Romance"/>
    <s v="James Nesbitt"/>
    <x v="389"/>
    <n v="1940"/>
    <s v="escape|prison|prison escape|sadism|solitary confinement"/>
    <n v="34"/>
    <x v="0"/>
    <x v="2"/>
    <n v="6000000"/>
    <x v="9"/>
    <x v="5"/>
    <n v="7712399.9999999898"/>
    <n v="70190.5524"/>
    <x v="389"/>
    <x v="389"/>
    <x v="4"/>
  </r>
  <r>
    <x v="337"/>
    <n v="10"/>
    <n v="669276"/>
    <s v="Action|Adventure|Animation|Comedy|Fantasy"/>
    <s v="Donald Pleasence"/>
    <x v="390"/>
    <n v="2541"/>
    <s v="cobbler|desert|gold|princess|thief"/>
    <n v="47"/>
    <x v="0"/>
    <x v="2"/>
    <n v="28000000"/>
    <x v="23"/>
    <x v="33"/>
    <n v="35991200"/>
    <n v="860287.37039999897"/>
    <x v="390"/>
    <x v="390"/>
    <x v="1"/>
  </r>
  <r>
    <x v="338"/>
    <n v="29"/>
    <n v="177840"/>
    <s v="Comedy|Music"/>
    <s v="Ally Sheedy"/>
    <x v="391"/>
    <n v="708"/>
    <s v="drugs|music producer|rock music|title directed by female|vegetarian"/>
    <n v="22"/>
    <x v="0"/>
    <x v="2"/>
    <n v="250000"/>
    <x v="12"/>
    <x v="7"/>
    <n v="321349.99999999901"/>
    <n v="228595.535999999"/>
    <x v="391"/>
    <x v="391"/>
    <x v="4"/>
  </r>
  <r>
    <x v="168"/>
    <n v="29"/>
    <n v="144583"/>
    <s v="Drama|Thriller"/>
    <s v="Kevin Pollak"/>
    <x v="392"/>
    <n v="2256"/>
    <s v="colorado|diner|iraq|nuclear missile|president"/>
    <n v="79"/>
    <x v="0"/>
    <x v="8"/>
    <n v="800000"/>
    <x v="12"/>
    <x v="20"/>
    <n v="867792"/>
    <n v="156834.96341999999"/>
    <x v="392"/>
    <x v="392"/>
    <x v="5"/>
  </r>
  <r>
    <x v="339"/>
    <n v="137"/>
    <n v="15818967"/>
    <s v="Horror|Mystery"/>
    <s v="Zach Gilford"/>
    <x v="393"/>
    <n v="13913"/>
    <s v="eiffel tower at night|honeymoon|implied insemination|party|taxi driver"/>
    <n v="120"/>
    <x v="0"/>
    <x v="0"/>
    <n v="7000000"/>
    <x v="27"/>
    <x v="56"/>
    <n v="7000000"/>
    <n v="15818967"/>
    <x v="393"/>
    <x v="393"/>
    <x v="6"/>
  </r>
  <r>
    <x v="340"/>
    <n v="635"/>
    <n v="458991599"/>
    <s v="Action|Adventure|Sci-Fi"/>
    <s v="Chris Hemsworth"/>
    <x v="394"/>
    <n v="462669"/>
    <s v="artificial intelligence|based on comic book|captain america|marvel cinematic universe|superhero"/>
    <n v="1117"/>
    <x v="0"/>
    <x v="0"/>
    <n v="250000000"/>
    <x v="1"/>
    <x v="2"/>
    <n v="250000000"/>
    <n v="458991599"/>
    <x v="394"/>
    <x v="394"/>
    <x v="1"/>
  </r>
  <r>
    <x v="103"/>
    <n v="260"/>
    <n v="1865774"/>
    <s v="Biography|Crime|Drama|History|Thriller"/>
    <s v="Tom Hardy"/>
    <x v="395"/>
    <n v="87682"/>
    <s v="1960s|based on a true story|gangster|identical twins|murder"/>
    <n v="174"/>
    <x v="0"/>
    <x v="2"/>
    <n v="30000000"/>
    <x v="1"/>
    <x v="16"/>
    <n v="38562000"/>
    <n v="2398265.8995999899"/>
    <x v="395"/>
    <x v="395"/>
    <x v="2"/>
  </r>
  <r>
    <x v="341"/>
    <n v="89"/>
    <n v="45542421"/>
    <s v="Animation|Comedy|Drama|Family|Musical"/>
    <s v="Kath Soucie"/>
    <x v="396"/>
    <n v="13319"/>
    <s v="cartoon tiger|coming of age|tiger|tigger|title directed by female"/>
    <n v="53"/>
    <x v="0"/>
    <x v="0"/>
    <n v="30000000"/>
    <x v="4"/>
    <x v="23"/>
    <n v="30000000"/>
    <n v="45542421"/>
    <x v="396"/>
    <x v="396"/>
    <x v="8"/>
  </r>
  <r>
    <x v="342"/>
    <n v="110"/>
    <n v="19170001"/>
    <s v="Horror"/>
    <s v="Kane Hodder"/>
    <x v="397"/>
    <n v="21359"/>
    <s v="death|jason voorhees|massacre|slaughter|telekinesis"/>
    <n v="270"/>
    <x v="0"/>
    <x v="0"/>
    <n v="2800000"/>
    <x v="34"/>
    <x v="1"/>
    <n v="2800000"/>
    <n v="19170001"/>
    <x v="397"/>
    <x v="397"/>
    <x v="6"/>
  </r>
  <r>
    <x v="343"/>
    <n v="38"/>
    <n v="15180000"/>
    <s v="Crime|Drama|Thriller"/>
    <s v="John Amos"/>
    <x v="398"/>
    <n v="3340"/>
    <s v="black panther|hells angels|on the run|racist|racist cop"/>
    <n v="50"/>
    <x v="0"/>
    <x v="0"/>
    <n v="500000"/>
    <x v="40"/>
    <x v="28"/>
    <n v="500000"/>
    <n v="15180000"/>
    <x v="398"/>
    <x v="398"/>
    <x v="3"/>
  </r>
  <r>
    <x v="344"/>
    <n v="8"/>
    <n v="721"/>
    <s v="Action|Drama"/>
    <s v="David Keith"/>
    <x v="399"/>
    <n v="783"/>
    <s v="camp|die hard scenario|female protagonist|island|vice president"/>
    <n v="12"/>
    <x v="0"/>
    <x v="5"/>
    <n v="1000000"/>
    <x v="7"/>
    <x v="13"/>
    <n v="1084740"/>
    <n v="782.09753999999998"/>
    <x v="399"/>
    <x v="399"/>
    <x v="1"/>
  </r>
  <r>
    <x v="345"/>
    <n v="201"/>
    <n v="25244700"/>
    <s v="Action|Sci-Fi"/>
    <s v="Donald Pleasence"/>
    <x v="400"/>
    <n v="91017"/>
    <s v="1990s|police|prison|rescue|year 1997"/>
    <n v="284"/>
    <x v="0"/>
    <x v="2"/>
    <n v="6000000"/>
    <x v="43"/>
    <x v="33"/>
    <n v="7712399.9999999898"/>
    <n v="32449537.379999898"/>
    <x v="400"/>
    <x v="400"/>
    <x v="1"/>
  </r>
  <r>
    <x v="346"/>
    <n v="60"/>
    <n v="25600000"/>
    <s v="Crime|Drama"/>
    <s v="Tom Cruise"/>
    <x v="401"/>
    <n v="57363"/>
    <s v="dysfunctional family|gang|greaser|holding someone's head underwater|rivalry"/>
    <n v="308"/>
    <x v="0"/>
    <x v="0"/>
    <n v="10000000"/>
    <x v="30"/>
    <x v="33"/>
    <n v="10000000"/>
    <n v="25600000"/>
    <x v="401"/>
    <x v="401"/>
    <x v="3"/>
  </r>
  <r>
    <x v="158"/>
    <n v="233"/>
    <n v="77679638"/>
    <s v="Crime|Drama"/>
    <s v="Leonardo DiCaprio"/>
    <x v="402"/>
    <n v="314033"/>
    <s v="butcher|civil war|gangster|new york city|revenge"/>
    <n v="1166"/>
    <x v="0"/>
    <x v="0"/>
    <n v="100000000"/>
    <x v="13"/>
    <x v="2"/>
    <n v="100000000"/>
    <n v="77679638"/>
    <x v="402"/>
    <x v="402"/>
    <x v="3"/>
  </r>
  <r>
    <x v="347"/>
    <n v="58"/>
    <n v="52543632"/>
    <s v="Crime|Thriller"/>
    <s v="Leslie Bibb"/>
    <x v="403"/>
    <n v="12676"/>
    <s v="home invasion|police officer shot|police officer shot in the chest|psychopath|three word title"/>
    <n v="84"/>
    <x v="0"/>
    <x v="0"/>
    <n v="13200000"/>
    <x v="27"/>
    <x v="15"/>
    <n v="13200000"/>
    <n v="52543632"/>
    <x v="403"/>
    <x v="403"/>
    <x v="3"/>
  </r>
  <r>
    <x v="348"/>
    <n v="38"/>
    <n v="6044618"/>
    <s v="Action|Crime|Drama"/>
    <s v="Norman Reedus"/>
    <x v="404"/>
    <n v="6200"/>
    <s v="1950s|drug overdose|gang|gang war|new york city"/>
    <n v="92"/>
    <x v="0"/>
    <x v="0"/>
    <n v="10000000"/>
    <x v="13"/>
    <x v="15"/>
    <n v="10000000"/>
    <n v="6044618"/>
    <x v="404"/>
    <x v="404"/>
    <x v="1"/>
  </r>
  <r>
    <x v="349"/>
    <n v="274"/>
    <n v="101055"/>
    <s v="Horror"/>
    <s v="Julian Richings"/>
    <x v="405"/>
    <n v="17478"/>
    <s v="delaware|feud|island|undead|zombie"/>
    <n v="159"/>
    <x v="0"/>
    <x v="0"/>
    <n v="4000000"/>
    <x v="16"/>
    <x v="53"/>
    <n v="4000000"/>
    <n v="101055"/>
    <x v="405"/>
    <x v="405"/>
    <x v="6"/>
  </r>
  <r>
    <x v="350"/>
    <n v="82"/>
    <n v="4170647"/>
    <s v="Comedy|Drama"/>
    <s v="Archie Panjabi"/>
    <x v="406"/>
    <n v="14548"/>
    <s v="england|marriage|muslim|pakistani|salford"/>
    <n v="161"/>
    <x v="0"/>
    <x v="2"/>
    <n v="1900000"/>
    <x v="12"/>
    <x v="31"/>
    <n v="2442259.9999999902"/>
    <n v="5360949.6537999902"/>
    <x v="406"/>
    <x v="406"/>
    <x v="4"/>
  </r>
  <r>
    <x v="351"/>
    <n v="118"/>
    <n v="81593527"/>
    <s v="Adventure|Drama|Family"/>
    <s v="Paul Walker"/>
    <x v="407"/>
    <n v="48806"/>
    <s v="antarctica|dog|siberian husky|sled dog|survival"/>
    <n v="263"/>
    <x v="0"/>
    <x v="0"/>
    <n v="40000000"/>
    <x v="7"/>
    <x v="4"/>
    <n v="40000000"/>
    <n v="81593527"/>
    <x v="407"/>
    <x v="407"/>
    <x v="0"/>
  </r>
  <r>
    <x v="352"/>
    <n v="108"/>
    <n v="87856565"/>
    <s v="Comedy|Romance"/>
    <s v="Philip Seymour Hoffman"/>
    <x v="408"/>
    <n v="106909"/>
    <s v="bride|friend|honeymoon|insurance|insurance company"/>
    <n v="268"/>
    <x v="0"/>
    <x v="0"/>
    <n v="42000000"/>
    <x v="2"/>
    <x v="0"/>
    <n v="42000000"/>
    <n v="87856565"/>
    <x v="408"/>
    <x v="408"/>
    <x v="4"/>
  </r>
  <r>
    <x v="353"/>
    <n v="272"/>
    <n v="23219748"/>
    <s v="Action|Adventure|Drama|History|Romance"/>
    <s v="Sasha Roiz"/>
    <x v="409"/>
    <n v="84508"/>
    <s v="arena|lava bomb|mount vesuvius|pompeii|slave"/>
    <n v="308"/>
    <x v="0"/>
    <x v="9"/>
    <n v="80000000"/>
    <x v="27"/>
    <x v="15"/>
    <n v="57872400"/>
    <n v="16797281.801939901"/>
    <x v="409"/>
    <x v="409"/>
    <x v="1"/>
  </r>
  <r>
    <x v="354"/>
    <n v="151"/>
    <n v="36447959"/>
    <s v="Biography|Drama|Sport"/>
    <s v="Jon Hamm"/>
    <x v="410"/>
    <n v="35833"/>
    <s v="baseball|based on true story|india|sports agent|training"/>
    <n v="96"/>
    <x v="0"/>
    <x v="0"/>
    <n v="25000000"/>
    <x v="27"/>
    <x v="16"/>
    <n v="25000000"/>
    <n v="36447959"/>
    <x v="410"/>
    <x v="410"/>
    <x v="2"/>
  </r>
  <r>
    <x v="355"/>
    <n v="556"/>
    <n v="183635922"/>
    <s v="Adventure|Drama|Thriller|Western"/>
    <s v="Leonardo DiCaprio"/>
    <x v="411"/>
    <n v="406020"/>
    <s v="bear attack|cauterizing a wound|native american|revenge|survival"/>
    <n v="1188"/>
    <x v="0"/>
    <x v="0"/>
    <n v="135000000"/>
    <x v="1"/>
    <x v="40"/>
    <n v="135000000"/>
    <n v="183635922"/>
    <x v="411"/>
    <x v="411"/>
    <x v="0"/>
  </r>
  <r>
    <x v="356"/>
    <n v="197"/>
    <n v="37760080"/>
    <s v="Action|Adventure|Mystery|Sci-Fi|Thriller"/>
    <s v="Angelina Jolie Pitt"/>
    <x v="412"/>
    <n v="72868"/>
    <s v="captain|pilot|reporter|robot|scientist"/>
    <n v="618"/>
    <x v="0"/>
    <x v="0"/>
    <n v="70000000"/>
    <x v="2"/>
    <x v="7"/>
    <n v="70000000"/>
    <n v="37760080"/>
    <x v="412"/>
    <x v="412"/>
    <x v="1"/>
  </r>
  <r>
    <x v="2"/>
    <n v="123"/>
    <n v="1512815"/>
    <s v="Action|Drama|Western"/>
    <s v="Natalie Portman"/>
    <x v="413"/>
    <n v="8885"/>
    <s v="brothel|death of husband|ex lover|haunted by the past|redemption"/>
    <n v="56"/>
    <x v="0"/>
    <x v="0"/>
    <n v="25000000"/>
    <x v="24"/>
    <x v="30"/>
    <n v="25000000"/>
    <n v="1512815"/>
    <x v="413"/>
    <x v="413"/>
    <x v="1"/>
  </r>
  <r>
    <x v="357"/>
    <n v="131"/>
    <n v="9664316"/>
    <s v="Drama|Thriller"/>
    <s v="J.K. Simmons"/>
    <x v="414"/>
    <n v="47203"/>
    <s v="american|bare chested male bondage|cia|detention|interrogation"/>
    <n v="197"/>
    <x v="0"/>
    <x v="0"/>
    <n v="27500000"/>
    <x v="15"/>
    <x v="22"/>
    <n v="27500000"/>
    <n v="9664316"/>
    <x v="414"/>
    <x v="414"/>
    <x v="5"/>
  </r>
  <r>
    <x v="22"/>
    <n v="427"/>
    <n v="26003149"/>
    <s v="Action|Comedy|Sci-Fi"/>
    <s v="Michael Smiley"/>
    <x v="415"/>
    <n v="185587"/>
    <s v="alcoholic|doppelganger|group therapy|self mutilation|twin actresses for twin sisters"/>
    <n v="401"/>
    <x v="0"/>
    <x v="2"/>
    <n v="20000000"/>
    <x v="0"/>
    <x v="16"/>
    <n v="25707999.999999899"/>
    <n v="33424447.724599998"/>
    <x v="415"/>
    <x v="415"/>
    <x v="1"/>
  </r>
  <r>
    <x v="358"/>
    <n v="196"/>
    <n v="111505642"/>
    <s v="Adventure|Animation|Comedy|Family|Sci-Fi"/>
    <s v="Ty Burrell"/>
    <x v="416"/>
    <n v="47900"/>
    <s v="dog|father son relationship|inventor|talking dog|time travel"/>
    <n v="130"/>
    <x v="0"/>
    <x v="0"/>
    <n v="145000000"/>
    <x v="27"/>
    <x v="31"/>
    <n v="145000000"/>
    <n v="111505642"/>
    <x v="416"/>
    <x v="416"/>
    <x v="0"/>
  </r>
  <r>
    <x v="359"/>
    <n v="183"/>
    <n v="50820940"/>
    <s v="Fantasy|Horror"/>
    <s v="Lin Shaye"/>
    <x v="417"/>
    <n v="31915"/>
    <s v="death of girlfriend|funeral|ghost|ouija|spirit"/>
    <n v="159"/>
    <x v="0"/>
    <x v="0"/>
    <n v="5000000"/>
    <x v="27"/>
    <x v="8"/>
    <n v="5000000"/>
    <n v="50820940"/>
    <x v="417"/>
    <x v="417"/>
    <x v="9"/>
  </r>
  <r>
    <x v="360"/>
    <n v="212"/>
    <n v="30993544"/>
    <s v="Comedy|Drama|Romance"/>
    <s v="Noah Bean"/>
    <x v="418"/>
    <n v="58871"/>
    <s v="job offer|roller coaster|slow motion action scene|slow motion sequence|television"/>
    <n v="156"/>
    <x v="0"/>
    <x v="0"/>
    <n v="40000000"/>
    <x v="11"/>
    <x v="20"/>
    <n v="40000000"/>
    <n v="30993544"/>
    <x v="418"/>
    <x v="418"/>
    <x v="4"/>
  </r>
  <r>
    <x v="361"/>
    <n v="40"/>
    <n v="144431"/>
    <s v="Documentary|Sport"/>
    <s v="PelÃ©"/>
    <x v="419"/>
    <n v="1290"/>
    <s v="new york|new york cosmos|professional sports|soccer|soccer team"/>
    <n v="13"/>
    <x v="0"/>
    <x v="2"/>
    <n v="1000000"/>
    <x v="7"/>
    <x v="4"/>
    <n v="1285399.99999999"/>
    <n v="185651.60739999899"/>
    <x v="419"/>
    <x v="419"/>
    <x v="7"/>
  </r>
  <r>
    <x v="362"/>
    <n v="81"/>
    <n v="90800000"/>
    <s v="Action|Drama|Family|Sport"/>
    <s v="Martin Kove"/>
    <x v="420"/>
    <n v="126907"/>
    <s v="apartment|bully|fight|karate|master"/>
    <n v="235"/>
    <x v="0"/>
    <x v="0"/>
    <n v="8000000"/>
    <x v="17"/>
    <x v="33"/>
    <n v="8000000"/>
    <n v="90800000"/>
    <x v="420"/>
    <x v="420"/>
    <x v="1"/>
  </r>
  <r>
    <x v="363"/>
    <n v="49"/>
    <n v="10429707"/>
    <s v="Comedy"/>
    <s v="Alex Kendrick"/>
    <x v="421"/>
    <n v="10483"/>
    <s v="blogger|pastor|reference to the shawshank redemption|taser|tasered"/>
    <n v="125"/>
    <x v="0"/>
    <x v="0"/>
    <n v="5000000"/>
    <x v="27"/>
    <x v="26"/>
    <n v="5000000"/>
    <n v="10429707"/>
    <x v="421"/>
    <x v="421"/>
    <x v="4"/>
  </r>
  <r>
    <x v="364"/>
    <n v="180"/>
    <n v="20488579"/>
    <s v="Action|Sci-Fi|Thriller"/>
    <s v="Gerard Butler"/>
    <x v="422"/>
    <n v="113483"/>
    <s v="battle|convict|death|mind control|role playing"/>
    <n v="245"/>
    <x v="0"/>
    <x v="0"/>
    <n v="50000000"/>
    <x v="16"/>
    <x v="30"/>
    <n v="50000000"/>
    <n v="20488579"/>
    <x v="422"/>
    <x v="422"/>
    <x v="1"/>
  </r>
  <r>
    <x v="365"/>
    <n v="204"/>
    <n v="58879132"/>
    <s v="Adventure|Comedy"/>
    <s v="Chris Hemsworth"/>
    <x v="423"/>
    <n v="66123"/>
    <s v="amusement park|dysfunctional family|road trip|sequel|vacation"/>
    <n v="219"/>
    <x v="0"/>
    <x v="0"/>
    <n v="31000000"/>
    <x v="1"/>
    <x v="7"/>
    <n v="31000000"/>
    <n v="58879132"/>
    <x v="423"/>
    <x v="423"/>
    <x v="0"/>
  </r>
  <r>
    <x v="366"/>
    <n v="487"/>
    <n v="56816662"/>
    <s v="Comedy|Fantasy|Romance"/>
    <s v="Kurt Fuller"/>
    <x v="424"/>
    <n v="301149"/>
    <s v="1920s|golden age|midnight|paris france|time travel romance"/>
    <n v="509"/>
    <x v="0"/>
    <x v="12"/>
    <n v="17000000"/>
    <x v="22"/>
    <x v="9"/>
    <n v="18440580"/>
    <n v="61631305.937880002"/>
    <x v="424"/>
    <x v="424"/>
    <x v="4"/>
  </r>
  <r>
    <x v="115"/>
    <n v="149"/>
    <n v="32522352"/>
    <s v="Adventure|Comedy|Drama|Music"/>
    <s v="Philip Seymour Hoffman"/>
    <x v="425"/>
    <n v="207287"/>
    <s v="band|magazine|rolling stone magazine|smoking marijuana|tour"/>
    <n v="822"/>
    <x v="0"/>
    <x v="0"/>
    <n v="60000000"/>
    <x v="4"/>
    <x v="19"/>
    <n v="60000000"/>
    <n v="32522352"/>
    <x v="425"/>
    <x v="425"/>
    <x v="0"/>
  </r>
  <r>
    <x v="367"/>
    <n v="15"/>
    <n v="13854000"/>
    <s v="Comedy|Romance|Sci-Fi"/>
    <s v="Jon Lovitz"/>
    <x v="426"/>
    <n v="21079"/>
    <s v="alien|earth|female alien|mission|secret"/>
    <n v="55"/>
    <x v="0"/>
    <x v="0"/>
    <n v="20000000"/>
    <x v="34"/>
    <x v="44"/>
    <n v="20000000"/>
    <n v="13854000"/>
    <x v="426"/>
    <x v="426"/>
    <x v="4"/>
  </r>
  <r>
    <x v="368"/>
    <n v="80"/>
    <n v="1309849"/>
    <s v="Drama|Romance"/>
    <s v="Charlie Hunnam"/>
    <x v="427"/>
    <n v="9395"/>
    <s v="boy|boys' school|death|friend|orphan"/>
    <n v="103"/>
    <x v="0"/>
    <x v="2"/>
    <n v="10000000"/>
    <x v="13"/>
    <x v="33"/>
    <n v="12853999.999999899"/>
    <n v="1683679.90459999"/>
    <x v="427"/>
    <x v="427"/>
    <x v="5"/>
  </r>
  <r>
    <x v="369"/>
    <n v="146"/>
    <n v="10494494"/>
    <s v="Action|Crime|Thriller"/>
    <s v="Rebecca Budig"/>
    <x v="428"/>
    <n v="19586"/>
    <s v="die hard scenario|earth viewed from space|race against time|race car driver|title at the end"/>
    <n v="109"/>
    <x v="0"/>
    <x v="0"/>
    <n v="18000000"/>
    <x v="0"/>
    <x v="8"/>
    <n v="18000000"/>
    <n v="10494494"/>
    <x v="428"/>
    <x v="428"/>
    <x v="1"/>
  </r>
  <r>
    <x v="370"/>
    <n v="152"/>
    <n v="128486"/>
    <s v="Action|Adventure|Comedy|Western"/>
    <s v="Kang-ho Song"/>
    <x v="429"/>
    <n v="26156"/>
    <s v="bounty hunter|manchuria|map|train|treasure"/>
    <n v="74"/>
    <x v="10"/>
    <x v="14"/>
    <n v="10000000"/>
    <x v="20"/>
    <x v="4"/>
    <n v="7238.67"/>
    <n v="93.006775361999999"/>
    <x v="429"/>
    <x v="429"/>
    <x v="1"/>
  </r>
  <r>
    <x v="371"/>
    <n v="42"/>
    <n v="14100000"/>
    <s v="Comedy|Drama"/>
    <s v="Steve Guttenberg"/>
    <x v="430"/>
    <n v="14995"/>
    <s v="baltimore colts|diner|marriage|salesman|wedding"/>
    <n v="87"/>
    <x v="0"/>
    <x v="0"/>
    <n v="5000000"/>
    <x v="42"/>
    <x v="33"/>
    <n v="5000000"/>
    <n v="14100000"/>
    <x v="430"/>
    <x v="430"/>
    <x v="4"/>
  </r>
  <r>
    <x v="336"/>
    <n v="132"/>
    <n v="6409206"/>
    <s v="Comedy|Music"/>
    <s v="Emma Stone"/>
    <x v="431"/>
    <n v="32311"/>
    <s v="20 years later|drummer|hdtv|rock band|rock star"/>
    <n v="104"/>
    <x v="0"/>
    <x v="0"/>
    <n v="15000000"/>
    <x v="20"/>
    <x v="5"/>
    <n v="15000000"/>
    <n v="6409206"/>
    <x v="431"/>
    <x v="431"/>
    <x v="4"/>
  </r>
  <r>
    <x v="77"/>
    <n v="117"/>
    <n v="55585389"/>
    <s v="Crime|Mystery|Thriller"/>
    <s v="Nicolas Cage"/>
    <x v="432"/>
    <n v="64121"/>
    <s v="assassination|boxing|casino|conspiracy|long take"/>
    <n v="241"/>
    <x v="0"/>
    <x v="0"/>
    <n v="69000000"/>
    <x v="6"/>
    <x v="0"/>
    <n v="69000000"/>
    <n v="55585389"/>
    <x v="432"/>
    <x v="432"/>
    <x v="3"/>
  </r>
  <r>
    <x v="132"/>
    <n v="194"/>
    <n v="164435221"/>
    <s v="Biography|Crime|Drama"/>
    <s v="Leonardo DiCaprio"/>
    <x v="433"/>
    <n v="525801"/>
    <s v="attorney|cat and mouse|fbi|pan am|pilot"/>
    <n v="667"/>
    <x v="0"/>
    <x v="0"/>
    <n v="52000000"/>
    <x v="13"/>
    <x v="3"/>
    <n v="52000000"/>
    <n v="164435221"/>
    <x v="433"/>
    <x v="433"/>
    <x v="2"/>
  </r>
  <r>
    <x v="133"/>
    <n v="183"/>
    <n v="12784713"/>
    <s v="Comedy"/>
    <s v="Naomi Watts"/>
    <x v="434"/>
    <n v="56813"/>
    <s v="coincidence|cult film|overalls|suburb|vomiting"/>
    <n v="381"/>
    <x v="0"/>
    <x v="0"/>
    <n v="22000000"/>
    <x v="2"/>
    <x v="21"/>
    <n v="22000000"/>
    <n v="12784713"/>
    <x v="434"/>
    <x v="434"/>
    <x v="4"/>
  </r>
  <r>
    <x v="372"/>
    <n v="323"/>
    <n v="20803237"/>
    <s v="Comedy|Drama"/>
    <s v="Josh Hutcherson"/>
    <x v="435"/>
    <n v="110616"/>
    <s v="biological father|college|motorcycle|sperm|sperm donor"/>
    <n v="291"/>
    <x v="0"/>
    <x v="0"/>
    <n v="3500000"/>
    <x v="11"/>
    <x v="17"/>
    <n v="3500000"/>
    <n v="20803237"/>
    <x v="435"/>
    <x v="435"/>
    <x v="4"/>
  </r>
  <r>
    <x v="373"/>
    <n v="77"/>
    <n v="11546543"/>
    <s v="Action|Comedy"/>
    <s v="Andy Lau"/>
    <x v="436"/>
    <n v="34520"/>
    <s v="battle|fight|fighting|martial artist|snake"/>
    <n v="146"/>
    <x v="2"/>
    <x v="4"/>
    <n v="2000000"/>
    <x v="5"/>
    <x v="10"/>
    <n v="256188.59999999899"/>
    <n v="1479046.3430049"/>
    <x v="436"/>
    <x v="436"/>
    <x v="1"/>
  </r>
  <r>
    <x v="374"/>
    <n v="216"/>
    <n v="70011073"/>
    <s v="Action|Adventure|Drama|Thriller|War"/>
    <s v="Alex Veadov"/>
    <x v="437"/>
    <n v="57996"/>
    <s v="mission|navy seal|terrorist|torture|valor"/>
    <n v="349"/>
    <x v="0"/>
    <x v="0"/>
    <n v="12000000"/>
    <x v="28"/>
    <x v="20"/>
    <n v="12000000"/>
    <n v="70011073"/>
    <x v="437"/>
    <x v="437"/>
    <x v="1"/>
  </r>
  <r>
    <x v="375"/>
    <n v="140"/>
    <n v="298110"/>
    <s v="Comedy|Drama|Horror|Sci-Fi"/>
    <s v="Alexia Fast"/>
    <x v="438"/>
    <n v="25055"/>
    <s v="decapitation|neighbor|neighborhood|next door neighbor|zombie"/>
    <n v="98"/>
    <x v="0"/>
    <x v="9"/>
    <n v="8000000"/>
    <x v="7"/>
    <x v="22"/>
    <n v="5787240"/>
    <n v="215654.26454999999"/>
    <x v="438"/>
    <x v="438"/>
    <x v="4"/>
  </r>
  <r>
    <x v="376"/>
    <n v="43"/>
    <n v="20101861"/>
    <s v="Comedy|Romance|Sci-Fi"/>
    <s v="John de Lancie"/>
    <x v="439"/>
    <n v="24757"/>
    <s v="clone|cloning|construction|same actor playing two characters simultaneously on screen|year 1996"/>
    <n v="81"/>
    <x v="0"/>
    <x v="0"/>
    <n v="45000000"/>
    <x v="10"/>
    <x v="11"/>
    <n v="45000000"/>
    <n v="20101861"/>
    <x v="439"/>
    <x v="439"/>
    <x v="4"/>
  </r>
  <r>
    <x v="141"/>
    <n v="42"/>
    <n v="82528097"/>
    <s v="Drama|Music"/>
    <s v="Alicia Witt"/>
    <x v="440"/>
    <n v="30230"/>
    <s v="1990s|high school|high school teacher|teacher inspires students|teaching"/>
    <n v="154"/>
    <x v="0"/>
    <x v="0"/>
    <n v="6500000"/>
    <x v="33"/>
    <x v="4"/>
    <n v="6500000"/>
    <n v="82528097"/>
    <x v="440"/>
    <x v="440"/>
    <x v="5"/>
  </r>
  <r>
    <x v="143"/>
    <n v="147"/>
    <n v="120776832"/>
    <s v="Comedy|Romance"/>
    <s v="Adam Sandler"/>
    <x v="441"/>
    <n v="266103"/>
    <s v="dream|hawaii|hawaiian shirt|short term memory loss|veterinarian"/>
    <n v="456"/>
    <x v="0"/>
    <x v="0"/>
    <n v="75000000"/>
    <x v="2"/>
    <x v="22"/>
    <n v="75000000"/>
    <n v="120776832"/>
    <x v="441"/>
    <x v="441"/>
    <x v="4"/>
  </r>
  <r>
    <x v="377"/>
    <n v="84"/>
    <n v="52700832"/>
    <s v="Comedy|Drama|Romance"/>
    <s v="Kristin Scott Thomas"/>
    <x v="442"/>
    <n v="107923"/>
    <s v="1990s|chick flick|funeral|gay relationship|wedding"/>
    <n v="197"/>
    <x v="0"/>
    <x v="2"/>
    <n v="4500000"/>
    <x v="5"/>
    <x v="17"/>
    <n v="5784299.9999999898"/>
    <n v="67741649.452799901"/>
    <x v="442"/>
    <x v="442"/>
    <x v="4"/>
  </r>
  <r>
    <x v="378"/>
    <n v="211"/>
    <n v="8324748"/>
    <s v="Biography|Drama|History"/>
    <s v="Terry Pheto"/>
    <x v="443"/>
    <n v="21223"/>
    <s v="africa|apartheid|nelson mandela|president|resistance"/>
    <n v="108"/>
    <x v="0"/>
    <x v="2"/>
    <n v="35000000"/>
    <x v="0"/>
    <x v="17"/>
    <n v="44988999.999999903"/>
    <n v="10700631.0792"/>
    <x v="443"/>
    <x v="443"/>
    <x v="2"/>
  </r>
  <r>
    <x v="379"/>
    <n v="233"/>
    <n v="161317423"/>
    <s v="Adventure|Animation|Comedy|Family"/>
    <s v="Peter Dinklage"/>
    <x v="444"/>
    <n v="145321"/>
    <s v="acorn|herd|iceberg|ocean|pirate"/>
    <n v="139"/>
    <x v="0"/>
    <x v="0"/>
    <n v="95000000"/>
    <x v="28"/>
    <x v="14"/>
    <n v="95000000"/>
    <n v="161317423"/>
    <x v="444"/>
    <x v="444"/>
    <x v="0"/>
  </r>
  <r>
    <x v="380"/>
    <n v="96"/>
    <n v="75370763"/>
    <s v="Drama|Romance|Western"/>
    <s v="Scarlett Johansson"/>
    <x v="445"/>
    <n v="32353"/>
    <s v="grace|groom|horse|montana|western u.s."/>
    <n v="263"/>
    <x v="0"/>
    <x v="0"/>
    <n v="60000000"/>
    <x v="6"/>
    <x v="20"/>
    <n v="60000000"/>
    <n v="75370763"/>
    <x v="445"/>
    <x v="445"/>
    <x v="5"/>
  </r>
  <r>
    <x v="371"/>
    <n v="111"/>
    <n v="37442180"/>
    <s v="Comedy|Drama|Romance|Thriller"/>
    <s v="Robin Williams"/>
    <x v="446"/>
    <n v="28005"/>
    <s v="campaign|election|president|presidential election|satire"/>
    <n v="236"/>
    <x v="0"/>
    <x v="0"/>
    <n v="20000000"/>
    <x v="7"/>
    <x v="5"/>
    <n v="20000000"/>
    <n v="37442180"/>
    <x v="446"/>
    <x v="446"/>
    <x v="4"/>
  </r>
  <r>
    <x v="381"/>
    <n v="226"/>
    <n v="3074838"/>
    <s v="Drama|Mystery|Romance|Thriller"/>
    <s v="Liam Neeson"/>
    <x v="447"/>
    <n v="56264"/>
    <s v="bare chested boy|doctor|escort|infidelity|prostitute"/>
    <n v="166"/>
    <x v="0"/>
    <x v="0"/>
    <n v="11000000"/>
    <x v="16"/>
    <x v="23"/>
    <n v="11000000"/>
    <n v="3074838"/>
    <x v="447"/>
    <x v="447"/>
    <x v="5"/>
  </r>
  <r>
    <x v="154"/>
    <n v="105"/>
    <n v="93375151"/>
    <s v="Action|Comedy|Family|Fantasy"/>
    <s v="Carol Ann Susi"/>
    <x v="448"/>
    <n v="46031"/>
    <s v="cartoon on tv|cat|dog|scientist|secret agent"/>
    <n v="235"/>
    <x v="0"/>
    <x v="0"/>
    <n v="60000000"/>
    <x v="9"/>
    <x v="44"/>
    <n v="60000000"/>
    <n v="93375151"/>
    <x v="448"/>
    <x v="448"/>
    <x v="1"/>
  </r>
  <r>
    <x v="382"/>
    <n v="74"/>
    <n v="4771000"/>
    <s v="Comedy|Drama"/>
    <s v="Heather Matarazzo"/>
    <x v="449"/>
    <n v="26513"/>
    <s v="bully|first crush|school|social outcast|taunting"/>
    <n v="174"/>
    <x v="0"/>
    <x v="0"/>
    <n v="800000"/>
    <x v="33"/>
    <x v="2"/>
    <n v="800000"/>
    <n v="4771000"/>
    <x v="449"/>
    <x v="449"/>
    <x v="4"/>
  </r>
  <r>
    <x v="383"/>
    <n v="110"/>
    <n v="480314"/>
    <s v="Action|Adventure"/>
    <s v="Steve Howey"/>
    <x v="450"/>
    <n v="38503"/>
    <s v="female fighter|island|martial arts|parachute|tournament"/>
    <n v="180"/>
    <x v="0"/>
    <x v="0"/>
    <n v="21000000"/>
    <x v="7"/>
    <x v="45"/>
    <n v="21000000"/>
    <n v="480314"/>
    <x v="450"/>
    <x v="450"/>
    <x v="1"/>
  </r>
  <r>
    <x v="53"/>
    <n v="264"/>
    <n v="102176165"/>
    <s v="Action|Adventure|Fantasy|Horror|Thriller"/>
    <s v="Jet Li"/>
    <x v="451"/>
    <n v="117927"/>
    <s v="army|china|emperor|mummy|shangri la"/>
    <n v="501"/>
    <x v="0"/>
    <x v="0"/>
    <n v="145000000"/>
    <x v="20"/>
    <x v="44"/>
    <n v="145000000"/>
    <n v="102176165"/>
    <x v="451"/>
    <x v="451"/>
    <x v="1"/>
  </r>
  <r>
    <x v="384"/>
    <n v="100"/>
    <n v="16779636"/>
    <s v="Drama|Horror|Thriller"/>
    <s v="Philip Baker Hall"/>
    <x v="452"/>
    <n v="9338"/>
    <s v="faith|mental patient|priest|scheme|teacher"/>
    <n v="167"/>
    <x v="0"/>
    <x v="0"/>
    <n v="28000000"/>
    <x v="4"/>
    <x v="45"/>
    <n v="28000000"/>
    <n v="16779636"/>
    <x v="452"/>
    <x v="452"/>
    <x v="5"/>
  </r>
  <r>
    <x v="385"/>
    <n v="103"/>
    <n v="6201757"/>
    <s v="Biography|Comedy|Drama|History|Music|Musical"/>
    <s v="Jim Broadbent"/>
    <x v="453"/>
    <n v="10037"/>
    <s v="19th century|exhibition|gilbert and sullivan|gilbert and sullivan's princess ida|japanese"/>
    <n v="202"/>
    <x v="0"/>
    <x v="2"/>
    <n v="10000000"/>
    <x v="12"/>
    <x v="39"/>
    <n v="12853999.999999899"/>
    <n v="7971738.44779999"/>
    <x v="453"/>
    <x v="453"/>
    <x v="2"/>
  </r>
  <r>
    <x v="386"/>
    <n v="173"/>
    <n v="67266300"/>
    <s v="Comedy"/>
    <s v="Joe Lo Truglio"/>
    <x v="454"/>
    <n v="195255"/>
    <s v="absent father|big brother|community service|live action role playing|peter pan syndrome"/>
    <n v="170"/>
    <x v="0"/>
    <x v="5"/>
    <n v="28000000"/>
    <x v="20"/>
    <x v="31"/>
    <n v="30372720"/>
    <n v="72966446.261999995"/>
    <x v="454"/>
    <x v="454"/>
    <x v="4"/>
  </r>
  <r>
    <x v="387"/>
    <n v="74"/>
    <n v="568695"/>
    <s v="Drama|Romance|Thriller"/>
    <s v="Hunter Parrish"/>
    <x v="455"/>
    <n v="16617"/>
    <s v="beach|cowboy|cowboy hat|neo western|valley"/>
    <n v="110"/>
    <x v="0"/>
    <x v="0"/>
    <n v="8000000"/>
    <x v="25"/>
    <x v="20"/>
    <n v="8000000"/>
    <n v="568695"/>
    <x v="455"/>
    <x v="455"/>
    <x v="5"/>
  </r>
  <r>
    <x v="388"/>
    <n v="143"/>
    <n v="100169068"/>
    <s v="Adventure|Animation|Comedy|Family"/>
    <s v="Justin Timberlake"/>
    <x v="456"/>
    <n v="16385"/>
    <s v="bear|mayor|park|sabotage|yogi bear"/>
    <n v="100"/>
    <x v="0"/>
    <x v="0"/>
    <n v="80000000"/>
    <x v="11"/>
    <x v="34"/>
    <n v="80000000"/>
    <n v="100169068"/>
    <x v="456"/>
    <x v="456"/>
    <x v="0"/>
  </r>
  <r>
    <x v="389"/>
    <n v="181"/>
    <n v="17266505"/>
    <s v="Action|Comedy|Horror"/>
    <s v="Scarlett Johansson"/>
    <x v="457"/>
    <n v="43764"/>
    <s v="creature feature|human versus spider|spider|spider feature|woman sheriff"/>
    <n v="291"/>
    <x v="0"/>
    <x v="0"/>
    <n v="30000000"/>
    <x v="13"/>
    <x v="26"/>
    <n v="30000000"/>
    <n v="17266505"/>
    <x v="457"/>
    <x v="457"/>
    <x v="1"/>
  </r>
  <r>
    <x v="390"/>
    <n v="148"/>
    <n v="16027866"/>
    <s v="Action|Crime|Thriller"/>
    <s v="Ed Skrein"/>
    <x v="458"/>
    <n v="26767"/>
    <s v="airfield|car|car stunt|driver|private jet"/>
    <n v="121"/>
    <x v="0"/>
    <x v="8"/>
    <n v="25000000"/>
    <x v="1"/>
    <x v="37"/>
    <n v="27118500"/>
    <n v="17386067.364840001"/>
    <x v="458"/>
    <x v="458"/>
    <x v="1"/>
  </r>
  <r>
    <x v="391"/>
    <n v="127"/>
    <n v="226138454"/>
    <s v="Action|Comedy|Crime|Thriller"/>
    <s v="Mei MelanÃ§on"/>
    <x v="459"/>
    <n v="160440"/>
    <s v="boat|gang|hong kong|triad|vacation"/>
    <n v="394"/>
    <x v="0"/>
    <x v="0"/>
    <n v="90000000"/>
    <x v="9"/>
    <x v="14"/>
    <n v="90000000"/>
    <n v="226138454"/>
    <x v="459"/>
    <x v="459"/>
    <x v="1"/>
  </r>
  <r>
    <x v="131"/>
    <n v="123"/>
    <n v="19480739"/>
    <s v="Action|Adventure|Sci-Fi"/>
    <s v="Paul Walker"/>
    <x v="460"/>
    <n v="53057"/>
    <s v="castle|france|professor|student|time machine"/>
    <n v="457"/>
    <x v="0"/>
    <x v="0"/>
    <n v="80000000"/>
    <x v="19"/>
    <x v="15"/>
    <n v="80000000"/>
    <n v="19480739"/>
    <x v="460"/>
    <x v="460"/>
    <x v="1"/>
  </r>
  <r>
    <x v="358"/>
    <n v="101"/>
    <n v="140015224"/>
    <s v="Adventure|Comedy|Family|Fantasy"/>
    <s v="Chazz Palminteri"/>
    <x v="461"/>
    <n v="94172"/>
    <s v="box office hit|cat|first part|mouse|orphanage"/>
    <n v="179"/>
    <x v="0"/>
    <x v="5"/>
    <n v="133000000"/>
    <x v="12"/>
    <x v="0"/>
    <n v="144270420"/>
    <n v="151880114.08175999"/>
    <x v="461"/>
    <x v="461"/>
    <x v="0"/>
  </r>
  <r>
    <x v="392"/>
    <n v="60"/>
    <n v="17218080"/>
    <s v="Action|Adventure|Comedy"/>
    <s v="Bruce Willis"/>
    <x v="462"/>
    <n v="43376"/>
    <s v="blackmail|burglar|critically bashed|leonardo da vinci|prison"/>
    <n v="249"/>
    <x v="0"/>
    <x v="0"/>
    <n v="70000000"/>
    <x v="38"/>
    <x v="35"/>
    <n v="70000000"/>
    <n v="17218080"/>
    <x v="462"/>
    <x v="462"/>
    <x v="1"/>
  </r>
  <r>
    <x v="62"/>
    <n v="169"/>
    <n v="125548685"/>
    <s v="Biography|Drama"/>
    <s v="Julia Roberts"/>
    <x v="463"/>
    <n v="135246"/>
    <s v="contamination|corporate crime|environmental issue|female protagonist|working single mother"/>
    <n v="498"/>
    <x v="0"/>
    <x v="0"/>
    <n v="52000000"/>
    <x v="4"/>
    <x v="4"/>
    <n v="52000000"/>
    <n v="125548685"/>
    <x v="463"/>
    <x v="463"/>
    <x v="2"/>
  </r>
  <r>
    <x v="35"/>
    <n v="122"/>
    <n v="6200756"/>
    <s v="Comedy|Drama"/>
    <s v="Scarlett Johansson"/>
    <x v="464"/>
    <n v="96129"/>
    <s v="art class|diner|friend|graduation|high school"/>
    <n v="488"/>
    <x v="0"/>
    <x v="0"/>
    <n v="7000000"/>
    <x v="9"/>
    <x v="39"/>
    <n v="7000000"/>
    <n v="6200756"/>
    <x v="464"/>
    <x v="464"/>
    <x v="4"/>
  </r>
  <r>
    <x v="393"/>
    <n v="101"/>
    <n v="38048637"/>
    <s v="Horror|Mystery|Thriller"/>
    <s v="Alicia Witt"/>
    <x v="465"/>
    <n v="47814"/>
    <s v="campus|death|friend|professor|urban legend"/>
    <n v="426"/>
    <x v="0"/>
    <x v="0"/>
    <n v="14000000"/>
    <x v="6"/>
    <x v="28"/>
    <n v="14000000"/>
    <n v="38048637"/>
    <x v="465"/>
    <x v="465"/>
    <x v="6"/>
  </r>
  <r>
    <x v="394"/>
    <n v="85"/>
    <n v="5709616"/>
    <s v="Drama|Romance"/>
    <s v="DamiÃ¡n AlcÃ¡zar"/>
    <x v="466"/>
    <n v="11088"/>
    <s v="church|love|mexico|politics|priest"/>
    <n v="110"/>
    <x v="9"/>
    <x v="13"/>
    <n v="1800000"/>
    <x v="13"/>
    <x v="22"/>
    <n v="97568.441999999995"/>
    <n v="309487.96529904002"/>
    <x v="466"/>
    <x v="466"/>
    <x v="5"/>
  </r>
  <r>
    <x v="395"/>
    <n v="111"/>
    <n v="14131298"/>
    <s v="Adventure|Biography|Drama|History|War"/>
    <s v="Paul Brooke"/>
    <x v="467"/>
    <n v="55889"/>
    <s v="cathedral|dauphin|france|trial|wartime rape"/>
    <n v="390"/>
    <x v="0"/>
    <x v="8"/>
    <n v="390000000"/>
    <x v="12"/>
    <x v="24"/>
    <n v="423048600"/>
    <n v="15328784.19252"/>
    <x v="467"/>
    <x v="467"/>
    <x v="0"/>
  </r>
  <r>
    <x v="88"/>
    <n v="157"/>
    <n v="1641788"/>
    <s v="Drama|Mystery|Thriller"/>
    <s v="Miranda Richardson"/>
    <x v="468"/>
    <n v="30096"/>
    <s v="halfway house|key|reality|schizophrenia|spider"/>
    <n v="213"/>
    <x v="0"/>
    <x v="9"/>
    <n v="8000000"/>
    <x v="13"/>
    <x v="22"/>
    <n v="5787240"/>
    <n v="1187677.6481399999"/>
    <x v="468"/>
    <x v="468"/>
    <x v="5"/>
  </r>
  <r>
    <x v="396"/>
    <n v="143"/>
    <n v="88658172"/>
    <s v="Comedy|Romance"/>
    <s v="Bradley Cooper"/>
    <x v="469"/>
    <n v="58412"/>
    <s v="friend|intervention|moving|secret|slacker"/>
    <n v="242"/>
    <x v="0"/>
    <x v="0"/>
    <n v="50000000"/>
    <x v="7"/>
    <x v="15"/>
    <n v="50000000"/>
    <n v="88658172"/>
    <x v="469"/>
    <x v="469"/>
    <x v="4"/>
  </r>
  <r>
    <x v="397"/>
    <n v="228"/>
    <n v="17683670"/>
    <s v="Horror|Mystery|Sci-Fi|Thriller"/>
    <s v="Warren Christie"/>
    <x v="470"/>
    <n v="47227"/>
    <s v="cosmonaut|footprint|found footage|moon|secret mission"/>
    <n v="323"/>
    <x v="0"/>
    <x v="0"/>
    <n v="5000000"/>
    <x v="22"/>
    <x v="44"/>
    <n v="5000000"/>
    <n v="17683670"/>
    <x v="470"/>
    <x v="470"/>
    <x v="6"/>
  </r>
  <r>
    <x v="398"/>
    <n v="56"/>
    <n v="40363530"/>
    <s v="Comedy|Family"/>
    <s v="Jennifer Esposito"/>
    <x v="471"/>
    <n v="18254"/>
    <s v="disguise|mask|master of disguise|restaurant|waiter"/>
    <n v="307"/>
    <x v="0"/>
    <x v="0"/>
    <n v="16000000"/>
    <x v="13"/>
    <x v="57"/>
    <n v="16000000"/>
    <n v="40363530"/>
    <x v="471"/>
    <x v="471"/>
    <x v="4"/>
  </r>
  <r>
    <x v="399"/>
    <n v="121"/>
    <n v="25871834"/>
    <s v="Action|Comedy|Sci-Fi|Thriller"/>
    <s v="Drake Bell"/>
    <x v="472"/>
    <n v="52052"/>
    <s v="dragonfly|hero|high school|soaking wet|supervillian origin"/>
    <n v="173"/>
    <x v="0"/>
    <x v="0"/>
    <n v="35000000"/>
    <x v="20"/>
    <x v="47"/>
    <n v="35000000"/>
    <n v="25871834"/>
    <x v="472"/>
    <x v="472"/>
    <x v="1"/>
  </r>
  <r>
    <x v="32"/>
    <n v="148"/>
    <n v="5887457"/>
    <s v="Biography|Comedy|Drama"/>
    <s v="Johnny Depp"/>
    <x v="473"/>
    <n v="142416"/>
    <s v="1950s|director|friend|friendship|transvestism"/>
    <n v="420"/>
    <x v="0"/>
    <x v="0"/>
    <n v="18000000"/>
    <x v="5"/>
    <x v="19"/>
    <n v="18000000"/>
    <n v="5887457"/>
    <x v="473"/>
    <x v="473"/>
    <x v="2"/>
  </r>
  <r>
    <x v="132"/>
    <n v="308"/>
    <n v="356784000"/>
    <s v="Adventure|Sci-Fi|Thriller"/>
    <s v="Wayne Knight"/>
    <x v="474"/>
    <n v="613473"/>
    <s v="dinosaur|jurassic park|survival|theme park|tyrannosaurus rex"/>
    <n v="895"/>
    <x v="0"/>
    <x v="0"/>
    <n v="63000000"/>
    <x v="23"/>
    <x v="40"/>
    <n v="63000000"/>
    <n v="356784000"/>
    <x v="474"/>
    <x v="474"/>
    <x v="0"/>
  </r>
  <r>
    <x v="400"/>
    <n v="35"/>
    <n v="19539"/>
    <s v="Comedy"/>
    <s v="Judy Greer"/>
    <x v="475"/>
    <n v="4182"/>
    <s v="blaxploitation|hanukkah|jewish|kwanzaa|santa claus"/>
    <n v="53"/>
    <x v="0"/>
    <x v="0"/>
    <n v="1000000"/>
    <x v="19"/>
    <x v="5"/>
    <n v="1000000"/>
    <n v="19539"/>
    <x v="475"/>
    <x v="475"/>
    <x v="4"/>
  </r>
  <r>
    <x v="131"/>
    <n v="169"/>
    <n v="134218018"/>
    <s v="Action|Adventure|Drama|Romance|Sci-Fi"/>
    <s v="Marlon Brando"/>
    <x v="476"/>
    <n v="126357"/>
    <s v="1970s|clark kent|planet|superhero|year 1978"/>
    <n v="497"/>
    <x v="0"/>
    <x v="0"/>
    <n v="55000000"/>
    <x v="44"/>
    <x v="4"/>
    <n v="55000000"/>
    <n v="134218018"/>
    <x v="476"/>
    <x v="476"/>
    <x v="1"/>
  </r>
  <r>
    <x v="206"/>
    <n v="139"/>
    <n v="101087161"/>
    <s v="Action|Crime|Thriller"/>
    <s v="Steve Buscemi"/>
    <x v="477"/>
    <n v="225282"/>
    <s v="army rangers|convict|criminal|escape|prison"/>
    <n v="339"/>
    <x v="0"/>
    <x v="0"/>
    <n v="75000000"/>
    <x v="31"/>
    <x v="22"/>
    <n v="75000000"/>
    <n v="101087161"/>
    <x v="477"/>
    <x v="477"/>
    <x v="1"/>
  </r>
  <r>
    <x v="401"/>
    <n v="66"/>
    <n v="3000000"/>
    <s v="Comedy|Musical|Romance"/>
    <s v="Ginger Rogers"/>
    <x v="478"/>
    <n v="13269"/>
    <s v="dance|dancer|dancing|horse|tap dancing"/>
    <n v="98"/>
    <x v="0"/>
    <x v="0"/>
    <n v="609000"/>
    <x v="45"/>
    <x v="38"/>
    <n v="609000"/>
    <n v="3000000"/>
    <x v="478"/>
    <x v="478"/>
    <x v="4"/>
  </r>
  <r>
    <x v="402"/>
    <n v="174"/>
    <n v="41597830"/>
    <s v="Drama|Romance"/>
    <s v="Meryl Streep"/>
    <x v="479"/>
    <n v="102123"/>
    <s v="housewife|lesbian|novel|party|reading"/>
    <n v="660"/>
    <x v="0"/>
    <x v="0"/>
    <n v="25000000"/>
    <x v="13"/>
    <x v="10"/>
    <n v="25000000"/>
    <n v="41597830"/>
    <x v="479"/>
    <x v="479"/>
    <x v="5"/>
  </r>
  <r>
    <x v="364"/>
    <n v="150"/>
    <n v="13630226"/>
    <s v="Action|Crime|Sci-Fi|Thriller"/>
    <s v="Jason Statham"/>
    <x v="480"/>
    <n v="112516"/>
    <s v="artificial heart|heart|horse penis|prostitute|stripper"/>
    <n v="223"/>
    <x v="0"/>
    <x v="0"/>
    <n v="20000000"/>
    <x v="16"/>
    <x v="5"/>
    <n v="20000000"/>
    <n v="13630226"/>
    <x v="480"/>
    <x v="480"/>
    <x v="1"/>
  </r>
  <r>
    <x v="403"/>
    <n v="181"/>
    <n v="7605668"/>
    <s v="Action|Comedy|Mystery|Romance"/>
    <s v="Johnny Depp"/>
    <x v="481"/>
    <n v="47320"/>
    <s v="art dealer|fake painting|macguffin|moustache|stolen painting"/>
    <n v="188"/>
    <x v="0"/>
    <x v="2"/>
    <n v="60000000"/>
    <x v="1"/>
    <x v="28"/>
    <n v="77124000"/>
    <n v="9776325.6471999995"/>
    <x v="481"/>
    <x v="481"/>
    <x v="1"/>
  </r>
  <r>
    <x v="404"/>
    <n v="238"/>
    <n v="143704210"/>
    <s v="Comedy|Family|Musical|Romance"/>
    <s v="Colin Firth"/>
    <x v="482"/>
    <n v="145974"/>
    <s v="bride|greece|island|mediterranean|wedding"/>
    <n v="611"/>
    <x v="0"/>
    <x v="0"/>
    <n v="52000000"/>
    <x v="20"/>
    <x v="23"/>
    <n v="52000000"/>
    <n v="143704210"/>
    <x v="482"/>
    <x v="482"/>
    <x v="4"/>
  </r>
  <r>
    <x v="405"/>
    <n v="285"/>
    <n v="34014398"/>
    <s v="Action|Adventure|Crime|Drama|Thriller"/>
    <s v="Lin Shaye"/>
    <x v="483"/>
    <n v="115650"/>
    <s v="baby rattle|famous line|murder|passenger|snake"/>
    <n v="1033"/>
    <x v="0"/>
    <x v="5"/>
    <n v="33000000"/>
    <x v="7"/>
    <x v="15"/>
    <n v="35796420"/>
    <n v="36896778.086520001"/>
    <x v="483"/>
    <x v="483"/>
    <x v="1"/>
  </r>
  <r>
    <x v="406"/>
    <n v="32"/>
    <n v="9975684"/>
    <s v="Comedy"/>
    <s v="Don Rickles"/>
    <x v="484"/>
    <n v="20033"/>
    <s v="cult film|gambling debt|job|off screen murder|revenge"/>
    <n v="117"/>
    <x v="0"/>
    <x v="9"/>
    <n v="13000000"/>
    <x v="6"/>
    <x v="24"/>
    <n v="9404265"/>
    <n v="7216459.6840199996"/>
    <x v="484"/>
    <x v="484"/>
    <x v="4"/>
  </r>
  <r>
    <x v="407"/>
    <n v="114"/>
    <n v="11694528"/>
    <s v="Comedy|Documentary|Music"/>
    <s v="Common"/>
    <x v="485"/>
    <n v="7721"/>
    <s v="block party|marching band|neighborhood|new york city|tyrannosaurus rex"/>
    <n v="72"/>
    <x v="0"/>
    <x v="0"/>
    <n v="3000000"/>
    <x v="25"/>
    <x v="33"/>
    <n v="3000000"/>
    <n v="11694528"/>
    <x v="485"/>
    <x v="485"/>
    <x v="4"/>
  </r>
  <r>
    <x v="301"/>
    <n v="186"/>
    <n v="100289690"/>
    <s v="Comedy|Family|Fantasy"/>
    <s v="Jimmy Bennett"/>
    <x v="486"/>
    <n v="115099"/>
    <s v="ark|change|congressman|depiction of god|flood"/>
    <n v="257"/>
    <x v="0"/>
    <x v="0"/>
    <n v="175000000"/>
    <x v="15"/>
    <x v="26"/>
    <n v="175000000"/>
    <n v="100289690"/>
    <x v="486"/>
    <x v="486"/>
    <x v="4"/>
  </r>
  <r>
    <x v="297"/>
    <n v="233"/>
    <n v="95308367"/>
    <s v="Crime|Drama|Thriller"/>
    <s v="Kristen Stewart"/>
    <x v="487"/>
    <n v="206104"/>
    <s v="brownstone|burglar|money|panic|panic room"/>
    <n v="850"/>
    <x v="0"/>
    <x v="0"/>
    <n v="48000000"/>
    <x v="13"/>
    <x v="22"/>
    <n v="48000000"/>
    <n v="95308367"/>
    <x v="487"/>
    <x v="487"/>
    <x v="3"/>
  </r>
  <r>
    <x v="408"/>
    <n v="34"/>
    <n v="31155435"/>
    <s v="Comedy|Fantasy"/>
    <s v="Hector Elizondo"/>
    <x v="488"/>
    <n v="42644"/>
    <s v="college|drugs|harvard|pot|smoke"/>
    <n v="102"/>
    <x v="0"/>
    <x v="0"/>
    <n v="12000000"/>
    <x v="9"/>
    <x v="5"/>
    <n v="12000000"/>
    <n v="31155435"/>
    <x v="488"/>
    <x v="488"/>
    <x v="4"/>
  </r>
  <r>
    <x v="203"/>
    <n v="179"/>
    <n v="250863268"/>
    <s v="Action|Adventure|Comedy|Family|Fantasy"/>
    <s v="Robin Williams"/>
    <x v="489"/>
    <n v="234480"/>
    <s v="chaos|museum|museum of natural history|night watchman|watchman"/>
    <n v="444"/>
    <x v="0"/>
    <x v="0"/>
    <n v="110000000"/>
    <x v="7"/>
    <x v="24"/>
    <n v="110000000"/>
    <n v="250863268"/>
    <x v="489"/>
    <x v="489"/>
    <x v="1"/>
  </r>
  <r>
    <x v="77"/>
    <n v="123"/>
    <n v="76270454"/>
    <s v="Crime|Drama|Thriller"/>
    <s v="Robert De Niro"/>
    <x v="490"/>
    <n v="219008"/>
    <s v="corrupt judge|tax evasion|tough cop|white suit|year 1930"/>
    <n v="418"/>
    <x v="0"/>
    <x v="0"/>
    <n v="25000000"/>
    <x v="21"/>
    <x v="19"/>
    <n v="25000000"/>
    <n v="76270454"/>
    <x v="490"/>
    <x v="490"/>
    <x v="3"/>
  </r>
  <r>
    <x v="256"/>
    <n v="73"/>
    <n v="15171475"/>
    <s v="Fantasy|Horror"/>
    <s v="Joe Mantegna"/>
    <x v="491"/>
    <n v="19805"/>
    <s v="death|doctor|gypsy|judge|lawyer"/>
    <n v="122"/>
    <x v="0"/>
    <x v="0"/>
    <n v="8500000"/>
    <x v="10"/>
    <x v="35"/>
    <n v="8500000"/>
    <n v="15171475"/>
    <x v="491"/>
    <x v="491"/>
    <x v="9"/>
  </r>
  <r>
    <x v="409"/>
    <n v="32"/>
    <n v="24276500"/>
    <s v="Biography|Crime|Drama"/>
    <s v="Frank Whaley"/>
    <x v="492"/>
    <n v="17124"/>
    <s v="labor|labor union|leader|mafia|union"/>
    <n v="68"/>
    <x v="0"/>
    <x v="0"/>
    <n v="35000000"/>
    <x v="8"/>
    <x v="14"/>
    <n v="35000000"/>
    <n v="24276500"/>
    <x v="492"/>
    <x v="492"/>
    <x v="2"/>
  </r>
  <r>
    <x v="410"/>
    <n v="52"/>
    <n v="6543194"/>
    <s v="Adventure|Drama|Romance"/>
    <s v="Liam Aiken"/>
    <x v="493"/>
    <n v="3740"/>
    <s v="dream|italian|kenya|ranch|snake"/>
    <n v="61"/>
    <x v="0"/>
    <x v="0"/>
    <n v="34000000"/>
    <x v="4"/>
    <x v="15"/>
    <n v="34000000"/>
    <n v="6543194"/>
    <x v="493"/>
    <x v="493"/>
    <x v="0"/>
  </r>
  <r>
    <x v="411"/>
    <n v="327"/>
    <n v="34963967"/>
    <s v="Comedy|Drama|Romance"/>
    <s v="Joseph Gordon-Levitt"/>
    <x v="494"/>
    <n v="270441"/>
    <s v="best friend|cancer|survival rate|therapist|vomiting"/>
    <n v="378"/>
    <x v="0"/>
    <x v="0"/>
    <n v="8000000"/>
    <x v="22"/>
    <x v="9"/>
    <n v="8000000"/>
    <n v="34963967"/>
    <x v="494"/>
    <x v="494"/>
    <x v="4"/>
  </r>
  <r>
    <x v="412"/>
    <n v="56"/>
    <n v="15549702"/>
    <s v="Comedy|Romance"/>
    <s v="Carmen Electra"/>
    <x v="495"/>
    <n v="24038"/>
    <s v="boss' daughter|crush|house sitter|housesitting|love interest"/>
    <n v="123"/>
    <x v="0"/>
    <x v="0"/>
    <n v="14000000"/>
    <x v="19"/>
    <x v="34"/>
    <n v="14000000"/>
    <n v="15549702"/>
    <x v="495"/>
    <x v="495"/>
    <x v="4"/>
  </r>
  <r>
    <x v="110"/>
    <n v="128"/>
    <n v="30157016"/>
    <s v="Action|Adventure|Comedy|Thriller"/>
    <s v="Anthony Hopkins"/>
    <x v="496"/>
    <n v="39659"/>
    <s v="cia|cia agent|terrorist|twin|twin brother"/>
    <n v="189"/>
    <x v="0"/>
    <x v="0"/>
    <n v="70000000"/>
    <x v="13"/>
    <x v="15"/>
    <n v="70000000"/>
    <n v="30157016"/>
    <x v="496"/>
    <x v="496"/>
    <x v="1"/>
  </r>
  <r>
    <x v="413"/>
    <n v="61"/>
    <n v="3058380"/>
    <s v="Drama|Romance"/>
    <s v="Emir Kusturica"/>
    <x v="497"/>
    <n v="4767"/>
    <s v="archipelago|guillotine|island|prison|redemption"/>
    <n v="69"/>
    <x v="4"/>
    <x v="8"/>
    <n v="100000000"/>
    <x v="4"/>
    <x v="4"/>
    <n v="108474000"/>
    <n v="3317547.1211999999"/>
    <x v="497"/>
    <x v="497"/>
    <x v="5"/>
  </r>
  <r>
    <x v="87"/>
    <n v="400"/>
    <n v="167007184"/>
    <s v="Action|Adventure|Thriller"/>
    <s v="Eva Green"/>
    <x v="371"/>
    <n v="470501"/>
    <s v="casino|espionage|free running|james bond|terrorist"/>
    <n v="2301"/>
    <x v="0"/>
    <x v="2"/>
    <n v="150000000"/>
    <x v="7"/>
    <x v="3"/>
    <n v="192809999.99999899"/>
    <n v="214671034.31359899"/>
    <x v="371"/>
    <x v="371"/>
    <x v="1"/>
  </r>
  <r>
    <x v="414"/>
    <n v="175"/>
    <n v="33631221"/>
    <s v="Crime|Drama|Thriller"/>
    <s v="George Kennedy"/>
    <x v="498"/>
    <n v="48562"/>
    <s v="dog|gambler|gambling|gangster|professor"/>
    <n v="145"/>
    <x v="0"/>
    <x v="0"/>
    <n v="25000000"/>
    <x v="27"/>
    <x v="11"/>
    <n v="25000000"/>
    <n v="33631221"/>
    <x v="498"/>
    <x v="498"/>
    <x v="3"/>
  </r>
  <r>
    <x v="415"/>
    <n v="155"/>
    <n v="34507079"/>
    <s v="Action|Comedy|Crime"/>
    <s v="Jim Gaffigan"/>
    <x v="499"/>
    <n v="34948"/>
    <s v="danger|drug cartel|female cop|female police officer|fugitive"/>
    <n v="118"/>
    <x v="0"/>
    <x v="0"/>
    <n v="35000000"/>
    <x v="1"/>
    <x v="37"/>
    <n v="35000000"/>
    <n v="34507079"/>
    <x v="499"/>
    <x v="499"/>
    <x v="1"/>
  </r>
  <r>
    <x v="416"/>
    <n v="364"/>
    <n v="17738570"/>
    <s v="Drama|Romance"/>
    <s v="Logan Lerman"/>
    <x v="500"/>
    <n v="351274"/>
    <s v="coming of age|depression|gay|high school|mental illness"/>
    <n v="457"/>
    <x v="0"/>
    <x v="0"/>
    <n v="13000000"/>
    <x v="28"/>
    <x v="3"/>
    <n v="13000000"/>
    <n v="17738570"/>
    <x v="500"/>
    <x v="500"/>
    <x v="5"/>
  </r>
  <r>
    <x v="417"/>
    <n v="129"/>
    <n v="3093491"/>
    <s v="Biography|Drama"/>
    <s v="Numan Acar"/>
    <x v="501"/>
    <n v="8307"/>
    <s v="based on true story|hijab|journalism|prison|reference to mahmoud ahmedinejad"/>
    <n v="37"/>
    <x v="0"/>
    <x v="0"/>
    <n v="5000000"/>
    <x v="27"/>
    <x v="14"/>
    <n v="5000000"/>
    <n v="3093491"/>
    <x v="501"/>
    <x v="501"/>
    <x v="2"/>
  </r>
  <r>
    <x v="418"/>
    <n v="234"/>
    <n v="3609278"/>
    <s v="Drama"/>
    <s v="Ellen Burstyn"/>
    <x v="502"/>
    <n v="573541"/>
    <s v="addiction|diet pill|drug addiction|fast motion scene|heroin"/>
    <n v="1916"/>
    <x v="0"/>
    <x v="0"/>
    <n v="4500000"/>
    <x v="4"/>
    <x v="25"/>
    <n v="4500000"/>
    <n v="3609278"/>
    <x v="502"/>
    <x v="502"/>
    <x v="5"/>
  </r>
  <r>
    <x v="419"/>
    <n v="90"/>
    <n v="1276984"/>
    <s v="Comedy|Crime|Thriller"/>
    <s v="Alicia Witt"/>
    <x v="503"/>
    <n v="11403"/>
    <s v="actress|drive in|female protagonist|movie star|woman shot in the forehead"/>
    <n v="150"/>
    <x v="0"/>
    <x v="8"/>
    <n v="10000000"/>
    <x v="4"/>
    <x v="5"/>
    <n v="10847400"/>
    <n v="1385195.6241599999"/>
    <x v="503"/>
    <x v="503"/>
    <x v="4"/>
  </r>
  <r>
    <x v="420"/>
    <n v="401"/>
    <n v="14989761"/>
    <s v="Comedy|Crime"/>
    <s v="Abbie Cornish"/>
    <x v="504"/>
    <n v="185845"/>
    <s v="dognapping|gangster|misfiring gun|screenwriter|shih tzu"/>
    <n v="284"/>
    <x v="0"/>
    <x v="2"/>
    <n v="15000000"/>
    <x v="28"/>
    <x v="33"/>
    <n v="19281000"/>
    <n v="19267838.7893999"/>
    <x v="504"/>
    <x v="504"/>
    <x v="4"/>
  </r>
  <r>
    <x v="48"/>
    <n v="153"/>
    <n v="83348920"/>
    <s v="Adventure|Animation|Comedy|Family"/>
    <s v="Benedict Cumberbatch"/>
    <x v="505"/>
    <n v="60230"/>
    <s v="little girl|park|spy|statue of liberty|television van"/>
    <n v="118"/>
    <x v="0"/>
    <x v="0"/>
    <n v="132000000"/>
    <x v="27"/>
    <x v="21"/>
    <n v="132000000"/>
    <n v="83348920"/>
    <x v="505"/>
    <x v="505"/>
    <x v="0"/>
  </r>
  <r>
    <x v="421"/>
    <n v="152"/>
    <n v="34636443"/>
    <s v="Action|Crime|Drama|Mystery|Thriller"/>
    <s v="Jimmy Bennett"/>
    <x v="506"/>
    <n v="93790"/>
    <s v="california|hostage|hostage negotiator|organized crime|police"/>
    <n v="288"/>
    <x v="0"/>
    <x v="0"/>
    <n v="52000000"/>
    <x v="25"/>
    <x v="14"/>
    <n v="52000000"/>
    <n v="34636443"/>
    <x v="506"/>
    <x v="506"/>
    <x v="1"/>
  </r>
  <r>
    <x v="422"/>
    <n v="80"/>
    <n v="20763013"/>
    <s v="Adventure|Horror|Thriller"/>
    <s v="Judith Barsi"/>
    <x v="507"/>
    <n v="30840"/>
    <s v="banana boat|boat|christmas|sea|shark"/>
    <n v="383"/>
    <x v="0"/>
    <x v="0"/>
    <n v="23000000"/>
    <x v="21"/>
    <x v="58"/>
    <n v="23000000"/>
    <n v="20763013"/>
    <x v="507"/>
    <x v="507"/>
    <x v="0"/>
  </r>
  <r>
    <x v="423"/>
    <n v="32"/>
    <n v="127144"/>
    <s v="Comedy|Drama|Romance"/>
    <s v="Will Ferrell"/>
    <x v="508"/>
    <n v="5159"/>
    <s v="directorial debut|fantasy sequence|nurse|old age home|prison"/>
    <n v="27"/>
    <x v="0"/>
    <x v="0"/>
    <n v="8000000"/>
    <x v="25"/>
    <x v="28"/>
    <n v="8000000"/>
    <n v="127144"/>
    <x v="508"/>
    <x v="508"/>
    <x v="4"/>
  </r>
  <r>
    <x v="424"/>
    <n v="265"/>
    <n v="34350553"/>
    <s v="Action|Comedy|Sci-Fi"/>
    <s v="Will Forte"/>
    <x v="509"/>
    <n v="104066"/>
    <s v="alien|escape|manager|neighborhood watch|ohio"/>
    <n v="207"/>
    <x v="0"/>
    <x v="0"/>
    <n v="68000000"/>
    <x v="28"/>
    <x v="35"/>
    <n v="68000000"/>
    <n v="34350553"/>
    <x v="509"/>
    <x v="509"/>
    <x v="1"/>
  </r>
  <r>
    <x v="425"/>
    <n v="63"/>
    <n v="30324946"/>
    <s v="Comedy|Music|Romance"/>
    <s v="Will Ferrell"/>
    <x v="510"/>
    <n v="48458"/>
    <s v="1990s|bar|car accident|nightclub|whipped cream"/>
    <n v="239"/>
    <x v="0"/>
    <x v="0"/>
    <n v="17000000"/>
    <x v="6"/>
    <x v="5"/>
    <n v="17000000"/>
    <n v="30324946"/>
    <x v="510"/>
    <x v="510"/>
    <x v="4"/>
  </r>
  <r>
    <x v="426"/>
    <n v="119"/>
    <n v="159600000"/>
    <s v="Comedy|Crime|Drama"/>
    <s v="Eileen Brennan"/>
    <x v="511"/>
    <n v="175607"/>
    <s v="con|con man|courier|long con|murder"/>
    <n v="252"/>
    <x v="0"/>
    <x v="0"/>
    <n v="5500000"/>
    <x v="46"/>
    <x v="36"/>
    <n v="5500000"/>
    <n v="159600000"/>
    <x v="511"/>
    <x v="511"/>
    <x v="4"/>
  </r>
  <r>
    <x v="427"/>
    <n v="92"/>
    <n v="184208848"/>
    <s v="Adventure|Drama|Western"/>
    <s v="Mary McDonnell"/>
    <x v="512"/>
    <n v="186485"/>
    <s v="friendship|frontier|honor|outpost|soldier"/>
    <n v="382"/>
    <x v="0"/>
    <x v="0"/>
    <n v="22000000"/>
    <x v="32"/>
    <x v="3"/>
    <n v="22000000"/>
    <n v="184208848"/>
    <x v="512"/>
    <x v="512"/>
    <x v="0"/>
  </r>
  <r>
    <x v="428"/>
    <n v="64"/>
    <n v="144833357"/>
    <s v="Comedy|Drama|Family|Fantasy"/>
    <s v="Judge Reinhold"/>
    <x v="513"/>
    <n v="64742"/>
    <s v="1990s|christmas|christmas eve|sleigh|surrealism"/>
    <n v="111"/>
    <x v="0"/>
    <x v="0"/>
    <n v="22000000"/>
    <x v="5"/>
    <x v="24"/>
    <n v="22000000"/>
    <n v="144833357"/>
    <x v="513"/>
    <x v="513"/>
    <x v="4"/>
  </r>
  <r>
    <x v="429"/>
    <n v="599"/>
    <n v="262030663"/>
    <s v="Action|Adventure|Fantasy"/>
    <s v="Emma Stone"/>
    <x v="514"/>
    <n v="451803"/>
    <s v="lizard|outcast|spider|spider man|teenager"/>
    <n v="1225"/>
    <x v="0"/>
    <x v="0"/>
    <n v="230000000"/>
    <x v="28"/>
    <x v="16"/>
    <n v="230000000"/>
    <n v="262030663"/>
    <x v="514"/>
    <x v="514"/>
    <x v="1"/>
  </r>
  <r>
    <x v="51"/>
    <n v="167"/>
    <n v="1357042"/>
    <s v="Biography|Drama|Thriller"/>
    <s v="Mem Ferda"/>
    <x v="515"/>
    <n v="53977"/>
    <s v="betrayal|debauchery|lust|palace|saddam hussein"/>
    <n v="125"/>
    <x v="0"/>
    <x v="16"/>
    <n v="15000000"/>
    <x v="22"/>
    <x v="17"/>
    <n v="16271100"/>
    <n v="1472037.73908"/>
    <x v="515"/>
    <x v="515"/>
    <x v="2"/>
  </r>
  <r>
    <x v="430"/>
    <n v="104"/>
    <n v="8378141"/>
    <s v="Comedy|Drama|Romance"/>
    <s v="Colin Firth"/>
    <x v="516"/>
    <n v="18966"/>
    <s v="comedy of manners|false identity|farce|love|period drama"/>
    <n v="141"/>
    <x v="0"/>
    <x v="2"/>
    <n v="15000000"/>
    <x v="13"/>
    <x v="31"/>
    <n v="19281000"/>
    <n v="10769262.4413999"/>
    <x v="516"/>
    <x v="516"/>
    <x v="4"/>
  </r>
  <r>
    <x v="431"/>
    <n v="398"/>
    <n v="88625922"/>
    <s v="Adventure|Comedy|Family|Musical"/>
    <s v="Bill Cobbs"/>
    <x v="517"/>
    <n v="75176"/>
    <s v="bel air california|book|friends who live together|the muppets|tribute band"/>
    <n v="252"/>
    <x v="0"/>
    <x v="0"/>
    <n v="45000000"/>
    <x v="22"/>
    <x v="17"/>
    <n v="45000000"/>
    <n v="88625922"/>
    <x v="517"/>
    <x v="517"/>
    <x v="0"/>
  </r>
  <r>
    <x v="432"/>
    <n v="31"/>
    <n v="59847242"/>
    <s v="Comedy|Drama|Family|Romance"/>
    <s v="Macaulay Culkin"/>
    <x v="518"/>
    <n v="55895"/>
    <s v="best friend|funeral|girl|overalls|summer"/>
    <n v="115"/>
    <x v="0"/>
    <x v="0"/>
    <n v="16500000"/>
    <x v="38"/>
    <x v="22"/>
    <n v="16500000"/>
    <n v="59847242"/>
    <x v="518"/>
    <x v="518"/>
    <x v="4"/>
  </r>
  <r>
    <x v="180"/>
    <n v="122"/>
    <n v="134006721"/>
    <s v="Action|Adventure|Thriller"/>
    <s v="Nicolas Cage"/>
    <x v="519"/>
    <n v="259492"/>
    <s v="alcatraz|fbi|general|hostage|rocket"/>
    <n v="415"/>
    <x v="0"/>
    <x v="0"/>
    <n v="75000000"/>
    <x v="10"/>
    <x v="39"/>
    <n v="75000000"/>
    <n v="134006721"/>
    <x v="519"/>
    <x v="519"/>
    <x v="1"/>
  </r>
  <r>
    <x v="433"/>
    <n v="28"/>
    <n v="464655"/>
    <s v="Comedy|Drama"/>
    <s v="David Arquette"/>
    <x v="520"/>
    <n v="1524"/>
    <s v="dying|to do list|twenty something|underwear|voyeur"/>
    <n v="29"/>
    <x v="0"/>
    <x v="0"/>
    <n v="1000000"/>
    <x v="31"/>
    <x v="16"/>
    <n v="1000000"/>
    <n v="464655"/>
    <x v="520"/>
    <x v="520"/>
    <x v="4"/>
  </r>
  <r>
    <x v="434"/>
    <n v="88"/>
    <n v="39008741"/>
    <s v="Comedy|Drama|Family|Romance"/>
    <s v="Mike Vogel"/>
    <x v="521"/>
    <n v="44838"/>
    <s v="friendship|jeans|pants|summer|vacation"/>
    <n v="223"/>
    <x v="0"/>
    <x v="0"/>
    <n v="25000000"/>
    <x v="25"/>
    <x v="14"/>
    <n v="25000000"/>
    <n v="39008741"/>
    <x v="521"/>
    <x v="521"/>
    <x v="4"/>
  </r>
  <r>
    <x v="148"/>
    <n v="196"/>
    <n v="64685359"/>
    <s v="Action|Adventure|Comedy|Crime|Mystery|Thriller"/>
    <s v="Daniel Radcliffe"/>
    <x v="522"/>
    <n v="40862"/>
    <s v="card trick|london england|magician|rain machine|rooftop"/>
    <n v="139"/>
    <x v="0"/>
    <x v="0"/>
    <n v="90000000"/>
    <x v="24"/>
    <x v="31"/>
    <n v="90000000"/>
    <n v="64685359"/>
    <x v="522"/>
    <x v="522"/>
    <x v="1"/>
  </r>
  <r>
    <x v="435"/>
    <n v="139"/>
    <n v="133668525"/>
    <s v="Comedy"/>
    <s v="Steve Buscemi"/>
    <x v="523"/>
    <n v="107817"/>
    <s v="belching|number in title|party|reference to nicki minaj|sneezing"/>
    <n v="255"/>
    <x v="0"/>
    <x v="0"/>
    <n v="80000000"/>
    <x v="0"/>
    <x v="26"/>
    <n v="80000000"/>
    <n v="133668525"/>
    <x v="523"/>
    <x v="523"/>
    <x v="4"/>
  </r>
  <r>
    <x v="286"/>
    <n v="518"/>
    <n v="257704099"/>
    <s v="Action|Adventure|Sci-Fi"/>
    <s v="Chris Hemsworth"/>
    <x v="524"/>
    <n v="504419"/>
    <s v="box office hit|future|lifted by the throat|star trek|vulcan"/>
    <n v="1559"/>
    <x v="0"/>
    <x v="0"/>
    <n v="150000000"/>
    <x v="16"/>
    <x v="3"/>
    <n v="150000000"/>
    <n v="257704099"/>
    <x v="524"/>
    <x v="524"/>
    <x v="1"/>
  </r>
  <r>
    <x v="436"/>
    <n v="238"/>
    <n v="322157"/>
    <s v="Comedy|Crime|Drama"/>
    <s v="Linda Cardellini"/>
    <x v="525"/>
    <n v="61787"/>
    <s v="drug dealer|superhero|tragedy|tragic hero|tragic love"/>
    <n v="203"/>
    <x v="0"/>
    <x v="0"/>
    <n v="2500000"/>
    <x v="11"/>
    <x v="22"/>
    <n v="2500000"/>
    <n v="322157"/>
    <x v="525"/>
    <x v="525"/>
    <x v="4"/>
  </r>
  <r>
    <x v="437"/>
    <n v="75"/>
    <n v="10431220"/>
    <s v="Action|Sci-Fi"/>
    <s v="Michael Jai White"/>
    <x v="526"/>
    <n v="24216"/>
    <s v="combat|computer|general|military|reporter"/>
    <n v="162"/>
    <x v="0"/>
    <x v="0"/>
    <n v="24000000"/>
    <x v="12"/>
    <x v="13"/>
    <n v="24000000"/>
    <n v="10431220"/>
    <x v="526"/>
    <x v="526"/>
    <x v="1"/>
  </r>
  <r>
    <x v="31"/>
    <n v="367"/>
    <n v="166112167"/>
    <s v="Action|Adventure|Sci-Fi"/>
    <s v="Oliver Platt"/>
    <x v="527"/>
    <n v="283418"/>
    <s v="ark|catastrophe|geologist|president|writer"/>
    <n v="1055"/>
    <x v="0"/>
    <x v="0"/>
    <n v="200000000"/>
    <x v="16"/>
    <x v="30"/>
    <n v="200000000"/>
    <n v="166112167"/>
    <x v="527"/>
    <x v="527"/>
    <x v="1"/>
  </r>
  <r>
    <x v="140"/>
    <n v="213"/>
    <n v="125603360"/>
    <s v="Comedy|Drama|Sci-Fi"/>
    <s v="Natascha McElhone"/>
    <x v="528"/>
    <n v="667983"/>
    <s v="controlled environment|fictional reality show|hidden camera|innocence lost|simulated reality"/>
    <n v="877"/>
    <x v="0"/>
    <x v="0"/>
    <n v="60000000"/>
    <x v="6"/>
    <x v="40"/>
    <n v="60000000"/>
    <n v="125603360"/>
    <x v="528"/>
    <x v="528"/>
    <x v="4"/>
  </r>
  <r>
    <x v="438"/>
    <n v="62"/>
    <n v="14348123"/>
    <s v="Comedy|Drama|War"/>
    <s v="Lily Tomlin"/>
    <x v="529"/>
    <n v="9323"/>
    <s v="ambassador|american|art|english|italy"/>
    <n v="157"/>
    <x v="0"/>
    <x v="1"/>
    <n v="12000000"/>
    <x v="12"/>
    <x v="31"/>
    <n v="13016880"/>
    <n v="15563982.943019999"/>
    <x v="529"/>
    <x v="529"/>
    <x v="4"/>
  </r>
  <r>
    <x v="54"/>
    <n v="173"/>
    <n v="100468793"/>
    <s v="Comedy"/>
    <s v="Will Ferrell"/>
    <x v="530"/>
    <n v="212499"/>
    <s v="dream|friendship|karaoke|love|slacker"/>
    <n v="277"/>
    <x v="0"/>
    <x v="0"/>
    <n v="65000000"/>
    <x v="20"/>
    <x v="31"/>
    <n v="65000000"/>
    <n v="100468793"/>
    <x v="530"/>
    <x v="530"/>
    <x v="4"/>
  </r>
  <r>
    <x v="439"/>
    <n v="164"/>
    <n v="22531698"/>
    <s v="Action|Adventure|Sci-Fi|Thriller"/>
    <s v="Vin Diesel"/>
    <x v="531"/>
    <n v="81523"/>
    <s v="box office flop|convent|mercenary|new york|pregnant"/>
    <n v="214"/>
    <x v="0"/>
    <x v="8"/>
    <n v="70000000"/>
    <x v="20"/>
    <x v="15"/>
    <n v="75931800"/>
    <n v="24441034.088520002"/>
    <x v="531"/>
    <x v="531"/>
    <x v="1"/>
  </r>
  <r>
    <x v="132"/>
    <n v="149"/>
    <n v="197171806"/>
    <s v="Action|Adventure|Fantasy"/>
    <s v="Harrison Ford"/>
    <x v="532"/>
    <n v="515306"/>
    <s v="castle|diary|holy grail|map|nazi"/>
    <n v="477"/>
    <x v="0"/>
    <x v="0"/>
    <n v="48000000"/>
    <x v="26"/>
    <x v="36"/>
    <n v="48000000"/>
    <n v="197171806"/>
    <x v="532"/>
    <x v="532"/>
    <x v="1"/>
  </r>
  <r>
    <x v="440"/>
    <n v="27"/>
    <n v="2246000"/>
    <s v="Biography|Drama|Sport"/>
    <s v="Donny Boaz"/>
    <x v="533"/>
    <n v="2302"/>
    <s v="coach|football|football movie|football team|high school sweethearts"/>
    <n v="20"/>
    <x v="0"/>
    <x v="0"/>
    <n v="20000000"/>
    <x v="1"/>
    <x v="16"/>
    <n v="20000000"/>
    <n v="2246000"/>
    <x v="533"/>
    <x v="533"/>
    <x v="2"/>
  </r>
  <r>
    <x v="441"/>
    <n v="164"/>
    <n v="45802315"/>
    <s v="Action|Adventure|Fantasy|Sci-Fi|Thriller"/>
    <s v="Craig Parker"/>
    <x v="534"/>
    <n v="119974"/>
    <s v="battle|slave|vampire|warrior|werewolf"/>
    <n v="169"/>
    <x v="0"/>
    <x v="0"/>
    <n v="35000000"/>
    <x v="16"/>
    <x v="14"/>
    <n v="35000000"/>
    <n v="45802315"/>
    <x v="534"/>
    <x v="534"/>
    <x v="1"/>
  </r>
  <r>
    <x v="442"/>
    <n v="60"/>
    <n v="10014234"/>
    <s v="Comedy|Crime"/>
    <s v="Michael Rapaport"/>
    <x v="535"/>
    <n v="8560"/>
    <s v="celebrity|lottery|murder|snowmobile|weatherman"/>
    <n v="69"/>
    <x v="0"/>
    <x v="8"/>
    <n v="65000000"/>
    <x v="4"/>
    <x v="53"/>
    <n v="70508100"/>
    <n v="10862840.189160001"/>
    <x v="535"/>
    <x v="535"/>
    <x v="4"/>
  </r>
  <r>
    <x v="443"/>
    <n v="254"/>
    <n v="10955425"/>
    <s v="Action|Sci-Fi|Thriller"/>
    <s v="Ryan Kruger"/>
    <x v="536"/>
    <n v="62770"/>
    <s v="cure|quarantine|scotland|virus|wall"/>
    <n v="396"/>
    <x v="0"/>
    <x v="2"/>
    <n v="30000000"/>
    <x v="20"/>
    <x v="11"/>
    <n v="38562000"/>
    <n v="14082103.294999899"/>
    <x v="536"/>
    <x v="536"/>
    <x v="1"/>
  </r>
  <r>
    <x v="282"/>
    <n v="813"/>
    <n v="448130642"/>
    <s v="Action|Thriller"/>
    <s v="Tom Hardy"/>
    <x v="537"/>
    <n v="1144337"/>
    <s v="deception|imprisonment|lawlessness|police officer|terrorist plot"/>
    <n v="2701"/>
    <x v="0"/>
    <x v="0"/>
    <n v="250000000"/>
    <x v="28"/>
    <x v="59"/>
    <n v="250000000"/>
    <n v="448130642"/>
    <x v="537"/>
    <x v="537"/>
    <x v="1"/>
  </r>
  <r>
    <x v="444"/>
    <n v="70"/>
    <n v="10114315"/>
    <s v="Drama|Mystery|Thriller"/>
    <s v="John Doe"/>
    <x v="538"/>
    <n v="18693"/>
    <s v="bangkok|friend|lawyer|smuggling|thailand"/>
    <n v="187"/>
    <x v="0"/>
    <x v="0"/>
    <n v="25000000"/>
    <x v="12"/>
    <x v="24"/>
    <n v="25000000"/>
    <n v="10114315"/>
    <x v="538"/>
    <x v="538"/>
    <x v="5"/>
  </r>
  <r>
    <x v="395"/>
    <n v="173"/>
    <n v="63540020"/>
    <s v="Action|Adventure|Sci-Fi"/>
    <s v="Milla Jovovich"/>
    <x v="539"/>
    <n v="343274"/>
    <s v="1910s|alien|artificially created woman|love|taxi driver"/>
    <n v="742"/>
    <x v="0"/>
    <x v="8"/>
    <n v="93000000"/>
    <x v="31"/>
    <x v="9"/>
    <n v="100880820"/>
    <n v="68924401.294799998"/>
    <x v="539"/>
    <x v="539"/>
    <x v="1"/>
  </r>
  <r>
    <x v="158"/>
    <n v="352"/>
    <n v="132373442"/>
    <s v="Crime|Drama|Thriller"/>
    <s v="Leonardo DiCaprio"/>
    <x v="540"/>
    <n v="873649"/>
    <s v="boston|mole|police|undercover|undercover cop"/>
    <n v="2054"/>
    <x v="0"/>
    <x v="0"/>
    <n v="90000000"/>
    <x v="7"/>
    <x v="59"/>
    <n v="90000000"/>
    <n v="132373442"/>
    <x v="540"/>
    <x v="540"/>
    <x v="3"/>
  </r>
  <r>
    <x v="355"/>
    <n v="157"/>
    <n v="5383834"/>
    <s v="Drama|Thriller"/>
    <s v="Adriana Barraza"/>
    <x v="541"/>
    <n v="173551"/>
    <s v="animal in title|dog fight|mexico city|multiple perspectives|nonlinear timeline"/>
    <n v="361"/>
    <x v="9"/>
    <x v="13"/>
    <n v="2000000"/>
    <x v="4"/>
    <x v="40"/>
    <n v="108409.38"/>
    <n v="291829.05298146"/>
    <x v="541"/>
    <x v="541"/>
    <x v="5"/>
  </r>
  <r>
    <x v="29"/>
    <n v="349"/>
    <n v="161029270"/>
    <s v="Biography|Crime|Drama|History|Music"/>
    <s v="Aldis Hodge"/>
    <x v="542"/>
    <n v="119928"/>
    <s v="concert|gangsta rap|hip hop|nwa|rap music"/>
    <n v="331"/>
    <x v="0"/>
    <x v="0"/>
    <n v="28000000"/>
    <x v="1"/>
    <x v="19"/>
    <n v="28000000"/>
    <n v="161029270"/>
    <x v="542"/>
    <x v="542"/>
    <x v="2"/>
  </r>
  <r>
    <x v="445"/>
    <n v="138"/>
    <n v="19548064"/>
    <s v="Action|Animation|Comedy|Family|Sci-Fi"/>
    <s v="Nicolas Cage"/>
    <x v="543"/>
    <n v="25681"/>
    <s v="betrayal|futuristic|gladiator|robot|scientist"/>
    <n v="77"/>
    <x v="0"/>
    <x v="4"/>
    <n v="65000000"/>
    <x v="16"/>
    <x v="23"/>
    <n v="8326129.5"/>
    <n v="2503995.5744352001"/>
    <x v="543"/>
    <x v="543"/>
    <x v="1"/>
  </r>
  <r>
    <x v="209"/>
    <n v="297"/>
    <n v="313837577"/>
    <s v="Action|Adventure|Drama|Fantasy"/>
    <s v="Christopher Lee"/>
    <x v="544"/>
    <n v="1238746"/>
    <s v="elf|hobbit|middle earth|quest|ring"/>
    <n v="5060"/>
    <x v="0"/>
    <x v="11"/>
    <n v="93000000"/>
    <x v="9"/>
    <x v="55"/>
    <n v="54753285"/>
    <n v="184770304.27086499"/>
    <x v="544"/>
    <x v="544"/>
    <x v="1"/>
  </r>
  <r>
    <x v="336"/>
    <n v="24"/>
    <n v="13751"/>
    <s v="Drama|Family"/>
    <s v="Jacqueline McKenzie"/>
    <x v="545"/>
    <n v="813"/>
    <s v="friend|girl|imaginary friend|outback|town"/>
    <n v="6"/>
    <x v="0"/>
    <x v="3"/>
    <n v="11400000"/>
    <x v="7"/>
    <x v="14"/>
    <n v="7454232"/>
    <n v="8991.5038800000002"/>
    <x v="545"/>
    <x v="545"/>
    <x v="5"/>
  </r>
  <r>
    <x v="277"/>
    <n v="156"/>
    <n v="59573085"/>
    <s v="Comedy|Family|Romance"/>
    <s v="Nia Vardalos"/>
    <x v="546"/>
    <n v="13562"/>
    <s v="family restaurant|greek|remarriage|suburb|wedding"/>
    <n v="103"/>
    <x v="0"/>
    <x v="0"/>
    <n v="18000000"/>
    <x v="24"/>
    <x v="7"/>
    <n v="18000000"/>
    <n v="59573085"/>
    <x v="546"/>
    <x v="546"/>
    <x v="4"/>
  </r>
  <r>
    <x v="446"/>
    <n v="287"/>
    <n v="15045676"/>
    <s v="Drama|Fantasy|Mystery|Thriller"/>
    <s v="Frank Langella"/>
    <x v="547"/>
    <n v="76303"/>
    <s v="alien|library|moral dilemma|nosebleed|supernatural power"/>
    <n v="376"/>
    <x v="0"/>
    <x v="0"/>
    <n v="16000000"/>
    <x v="16"/>
    <x v="15"/>
    <n v="16000000"/>
    <n v="15045676"/>
    <x v="547"/>
    <x v="547"/>
    <x v="5"/>
  </r>
  <r>
    <x v="325"/>
    <n v="107"/>
    <n v="51758599"/>
    <s v="Action|Comedy|Crime|Drama|Thriller"/>
    <s v="Michael Jai White"/>
    <x v="548"/>
    <n v="27580"/>
    <s v="corrupt cop|drug dealer|drugs|heroin|vice president"/>
    <n v="232"/>
    <x v="0"/>
    <x v="0"/>
    <n v="33000000"/>
    <x v="9"/>
    <x v="28"/>
    <n v="33000000"/>
    <n v="51758599"/>
    <x v="548"/>
    <x v="548"/>
    <x v="1"/>
  </r>
  <r>
    <x v="447"/>
    <n v="71"/>
    <n v="2938208"/>
    <s v="Comedy|Drama|Romance"/>
    <s v="Chris Eigeman"/>
    <x v="549"/>
    <n v="7143"/>
    <s v="apartment|dancing|debutante|new york|upper class"/>
    <n v="52"/>
    <x v="0"/>
    <x v="0"/>
    <n v="225000"/>
    <x v="32"/>
    <x v="2"/>
    <n v="225000"/>
    <n v="2938208"/>
    <x v="549"/>
    <x v="549"/>
    <x v="4"/>
  </r>
  <r>
    <x v="322"/>
    <n v="414"/>
    <n v="64572496"/>
    <s v="Drama|Sci-Fi|Thriller"/>
    <s v="Michael Kelly"/>
    <x v="550"/>
    <n v="204327"/>
    <s v="found footage|high school|subjective camera|teen angst|troubled teen"/>
    <n v="471"/>
    <x v="0"/>
    <x v="0"/>
    <n v="12000000"/>
    <x v="28"/>
    <x v="17"/>
    <n v="12000000"/>
    <n v="64572496"/>
    <x v="550"/>
    <x v="550"/>
    <x v="5"/>
  </r>
  <r>
    <x v="448"/>
    <n v="100"/>
    <n v="117559438"/>
    <s v="Action|Comedy|Crime"/>
    <s v="Nia Long"/>
    <x v="551"/>
    <n v="66941"/>
    <s v="disguise|fbi|female impersonation|gender disguise|obesity"/>
    <n v="148"/>
    <x v="0"/>
    <x v="0"/>
    <n v="30000000"/>
    <x v="4"/>
    <x v="37"/>
    <n v="30000000"/>
    <n v="117559438"/>
    <x v="551"/>
    <x v="551"/>
    <x v="1"/>
  </r>
  <r>
    <x v="449"/>
    <n v="72"/>
    <n v="60154431"/>
    <s v="Comedy|Drama|Thriller"/>
    <s v="Matthew Broderick"/>
    <x v="552"/>
    <n v="122347"/>
    <s v="cable guy|foreplay|friend|kissing|television"/>
    <n v="345"/>
    <x v="0"/>
    <x v="0"/>
    <n v="47000000"/>
    <x v="10"/>
    <x v="11"/>
    <n v="47000000"/>
    <n v="60154431"/>
    <x v="552"/>
    <x v="552"/>
    <x v="4"/>
  </r>
  <r>
    <x v="450"/>
    <n v="85"/>
    <n v="38432823"/>
    <s v="Crime|Drama|Sport"/>
    <s v="Dwayne Johnson"/>
    <x v="553"/>
    <n v="33067"/>
    <s v="alliterative title|football|football coach|football practice|football team"/>
    <n v="134"/>
    <x v="0"/>
    <x v="0"/>
    <n v="30000000"/>
    <x v="7"/>
    <x v="31"/>
    <n v="30000000"/>
    <n v="38432823"/>
    <x v="553"/>
    <x v="553"/>
    <x v="3"/>
  </r>
  <r>
    <x v="451"/>
    <n v="131"/>
    <n v="50041732"/>
    <s v="Horror"/>
    <s v="Nia Long"/>
    <x v="554"/>
    <n v="54390"/>
    <s v="catholic|priest|stigmata|vatican|wound"/>
    <n v="398"/>
    <x v="0"/>
    <x v="0"/>
    <n v="29000000"/>
    <x v="12"/>
    <x v="5"/>
    <n v="29000000"/>
    <n v="50041732"/>
    <x v="554"/>
    <x v="554"/>
    <x v="6"/>
  </r>
  <r>
    <x v="139"/>
    <n v="50"/>
    <n v="3047539"/>
    <s v="Drama|Romance"/>
    <s v="Shah Rukh Khan"/>
    <x v="555"/>
    <n v="42296"/>
    <s v="accident|army|bomb|indian army|love"/>
    <n v="286"/>
    <x v="5"/>
    <x v="10"/>
    <n v="7217600"/>
    <x v="28"/>
    <x v="31"/>
    <n v="86188.681696"/>
    <n v="36392.065066939998"/>
    <x v="555"/>
    <x v="555"/>
    <x v="5"/>
  </r>
  <r>
    <x v="452"/>
    <n v="88"/>
    <n v="16459004"/>
    <s v="Drama|Mystery|Thriller"/>
    <s v="Jason Priestley"/>
    <x v="556"/>
    <n v="13320"/>
    <s v="chicago illinois|false identity|femme fatale|new york city|spying"/>
    <n v="415"/>
    <x v="0"/>
    <x v="9"/>
    <n v="15000000"/>
    <x v="12"/>
    <x v="18"/>
    <n v="10851075"/>
    <n v="11906525.7886199"/>
    <x v="556"/>
    <x v="556"/>
    <x v="5"/>
  </r>
  <r>
    <x v="346"/>
    <n v="261"/>
    <n v="78800000"/>
    <s v="Drama|War"/>
    <s v="Harrison Ford"/>
    <x v="557"/>
    <n v="450676"/>
    <s v="army|green beret|insanity|jungle|vietnam"/>
    <n v="983"/>
    <x v="0"/>
    <x v="0"/>
    <n v="31500000"/>
    <x v="36"/>
    <x v="59"/>
    <n v="31500000"/>
    <n v="78800000"/>
    <x v="557"/>
    <x v="557"/>
    <x v="5"/>
  </r>
  <r>
    <x v="453"/>
    <n v="87"/>
    <n v="58336565"/>
    <s v="Adventure|Animation|Comedy|Family"/>
    <s v="Will Ferrell"/>
    <x v="558"/>
    <n v="12845"/>
    <s v="hat|monkey|museum|shrine|yellow"/>
    <n v="118"/>
    <x v="0"/>
    <x v="0"/>
    <n v="50000000"/>
    <x v="7"/>
    <x v="14"/>
    <n v="50000000"/>
    <n v="58336565"/>
    <x v="558"/>
    <x v="558"/>
    <x v="0"/>
  </r>
  <r>
    <x v="244"/>
    <n v="124"/>
    <n v="7837632"/>
    <s v="Drama"/>
    <s v="Joan Allen"/>
    <x v="559"/>
    <n v="46396"/>
    <s v="ice|ice storm|storm|thanksgiving|virgin"/>
    <n v="287"/>
    <x v="0"/>
    <x v="0"/>
    <n v="18000000"/>
    <x v="31"/>
    <x v="2"/>
    <n v="18000000"/>
    <n v="7837632"/>
    <x v="559"/>
    <x v="559"/>
    <x v="5"/>
  </r>
  <r>
    <x v="183"/>
    <n v="233"/>
    <n v="10499968"/>
    <s v="Action|Crime|Drama|Thriller"/>
    <s v="Mireille Enos"/>
    <x v="560"/>
    <n v="47502"/>
    <s v="dea|drug cartel|kicked in the crotch|strip club|tough girl"/>
    <n v="212"/>
    <x v="0"/>
    <x v="0"/>
    <n v="35000000"/>
    <x v="27"/>
    <x v="35"/>
    <n v="35000000"/>
    <n v="10499968"/>
    <x v="560"/>
    <x v="560"/>
    <x v="1"/>
  </r>
  <r>
    <x v="454"/>
    <n v="262"/>
    <n v="20167424"/>
    <s v="Drama|Mystery|Thriller"/>
    <s v="Ricardo DarÃ­n"/>
    <x v="561"/>
    <n v="131831"/>
    <s v="investigation|justice|murder|suspect|tension"/>
    <n v="231"/>
    <x v="9"/>
    <x v="17"/>
    <n v="2000000"/>
    <x v="16"/>
    <x v="60"/>
    <n v="2151.7139999999999"/>
    <n v="21697.264282368"/>
    <x v="561"/>
    <x v="561"/>
    <x v="5"/>
  </r>
  <r>
    <x v="455"/>
    <n v="78"/>
    <n v="352786"/>
    <s v="Biography|Drama|Music"/>
    <s v="Phyllida Law"/>
    <x v="562"/>
    <n v="11132"/>
    <s v="music copyist|music student|musical composition|student|symphony"/>
    <n v="86"/>
    <x v="0"/>
    <x v="0"/>
    <n v="11000000"/>
    <x v="7"/>
    <x v="22"/>
    <n v="11000000"/>
    <n v="352786"/>
    <x v="562"/>
    <x v="562"/>
    <x v="2"/>
  </r>
  <r>
    <x v="456"/>
    <n v="98"/>
    <n v="45207112"/>
    <s v="Crime|Mystery|Thriller"/>
    <s v="Steve Buscemi"/>
    <x v="563"/>
    <n v="21283"/>
    <s v="amateur detective|boat builder|boy|stepfather|witness"/>
    <n v="190"/>
    <x v="0"/>
    <x v="0"/>
    <n v="53000000"/>
    <x v="9"/>
    <x v="28"/>
    <n v="53000000"/>
    <n v="45207112"/>
    <x v="563"/>
    <x v="563"/>
    <x v="3"/>
  </r>
  <r>
    <x v="457"/>
    <n v="156"/>
    <n v="24343673"/>
    <s v="Drama|Fantasy|Musical|Romance"/>
    <s v="Jim Sturgess"/>
    <x v="564"/>
    <n v="91863"/>
    <s v="anti war|liverpool|love|protest|song"/>
    <n v="524"/>
    <x v="0"/>
    <x v="0"/>
    <n v="45000000"/>
    <x v="15"/>
    <x v="39"/>
    <n v="45000000"/>
    <n v="24343673"/>
    <x v="564"/>
    <x v="564"/>
    <x v="5"/>
  </r>
  <r>
    <x v="458"/>
    <n v="60"/>
    <n v="80000000"/>
    <s v="Drama|Music|Romance"/>
    <s v="Dianne Wiest"/>
    <x v="565"/>
    <n v="51459"/>
    <s v="church|cowboy boots|dancing|high school dance|teenager"/>
    <n v="113"/>
    <x v="0"/>
    <x v="0"/>
    <n v="8200000"/>
    <x v="17"/>
    <x v="20"/>
    <n v="8200000"/>
    <n v="80000000"/>
    <x v="565"/>
    <x v="565"/>
    <x v="5"/>
  </r>
  <r>
    <x v="231"/>
    <n v="26"/>
    <n v="100328194"/>
    <s v="Comedy|Family|Fantasy"/>
    <s v="Eric Idle"/>
    <x v="566"/>
    <n v="85903"/>
    <s v="casper|friendly ghost|ghost|maine|mansion"/>
    <n v="92"/>
    <x v="0"/>
    <x v="0"/>
    <n v="50000000"/>
    <x v="33"/>
    <x v="11"/>
    <n v="50000000"/>
    <n v="100328194"/>
    <x v="566"/>
    <x v="566"/>
    <x v="4"/>
  </r>
  <r>
    <x v="459"/>
    <n v="31"/>
    <n v="7382993"/>
    <s v="Adventure|Animation|Comedy|Family|Fantasy"/>
    <s v="Jimmy Fallon"/>
    <x v="567"/>
    <n v="3851"/>
    <s v="diamond|lava|magic|mountain|sorcerer"/>
    <n v="114"/>
    <x v="0"/>
    <x v="0"/>
    <n v="20000000"/>
    <x v="7"/>
    <x v="58"/>
    <n v="20000000"/>
    <n v="7382993"/>
    <x v="567"/>
    <x v="567"/>
    <x v="0"/>
  </r>
  <r>
    <x v="460"/>
    <n v="176"/>
    <n v="70224196"/>
    <s v="Action|Adventure|Comedy|Romance|Thriller"/>
    <s v="Matthew McConaughey"/>
    <x v="568"/>
    <n v="59352"/>
    <s v="debt|rapper|treasure|treasure hunter|yacht"/>
    <n v="138"/>
    <x v="0"/>
    <x v="0"/>
    <n v="70000000"/>
    <x v="20"/>
    <x v="15"/>
    <n v="70000000"/>
    <n v="70224196"/>
    <x v="568"/>
    <x v="568"/>
    <x v="1"/>
  </r>
  <r>
    <x v="461"/>
    <n v="415"/>
    <n v="45996718"/>
    <s v="Action|Crime|Drama|Thriller"/>
    <s v="Ryan Gosling"/>
    <x v="569"/>
    <n v="173530"/>
    <s v="good versus evil|machine gun|mobster|police vigilantism|year 1949"/>
    <n v="264"/>
    <x v="0"/>
    <x v="0"/>
    <n v="60000000"/>
    <x v="0"/>
    <x v="21"/>
    <n v="60000000"/>
    <n v="45996718"/>
    <x v="569"/>
    <x v="569"/>
    <x v="1"/>
  </r>
  <r>
    <x v="407"/>
    <n v="248"/>
    <n v="11169531"/>
    <s v="Comedy"/>
    <s v="Quinton Aaron"/>
    <x v="570"/>
    <n v="79855"/>
    <s v="friend|power plant|sabotage|store clerk|video store"/>
    <n v="235"/>
    <x v="0"/>
    <x v="2"/>
    <n v="20000000"/>
    <x v="20"/>
    <x v="24"/>
    <n v="25707999.999999899"/>
    <n v="14357315.147399999"/>
    <x v="570"/>
    <x v="570"/>
    <x v="4"/>
  </r>
  <r>
    <x v="462"/>
    <n v="111"/>
    <n v="64001297"/>
    <s v="Comedy|Family"/>
    <s v="ChloÃ« Grace Moretz"/>
    <x v="571"/>
    <n v="32002"/>
    <s v="cheese|diary|friend|middle school|school"/>
    <n v="103"/>
    <x v="0"/>
    <x v="0"/>
    <n v="15000000"/>
    <x v="11"/>
    <x v="5"/>
    <n v="15000000"/>
    <n v="64001297"/>
    <x v="571"/>
    <x v="571"/>
    <x v="4"/>
  </r>
  <r>
    <x v="131"/>
    <n v="141"/>
    <n v="129734803"/>
    <s v="Action|Crime|Thriller"/>
    <s v="Jet Li"/>
    <x v="572"/>
    <n v="127497"/>
    <s v="kung fu|lapd|martial arts|private investigator|triad"/>
    <n v="287"/>
    <x v="0"/>
    <x v="0"/>
    <n v="140000000"/>
    <x v="6"/>
    <x v="14"/>
    <n v="140000000"/>
    <n v="129734803"/>
    <x v="572"/>
    <x v="572"/>
    <x v="1"/>
  </r>
  <r>
    <x v="463"/>
    <n v="144"/>
    <n v="1474508"/>
    <s v="Comedy|Drama"/>
    <s v="Demi Moore"/>
    <x v="573"/>
    <n v="33473"/>
    <s v="envy|fake family|gadget|materialism|unhappy marriage"/>
    <n v="88"/>
    <x v="0"/>
    <x v="0"/>
    <n v="5000000"/>
    <x v="16"/>
    <x v="20"/>
    <n v="5000000"/>
    <n v="1474508"/>
    <x v="573"/>
    <x v="573"/>
    <x v="4"/>
  </r>
  <r>
    <x v="436"/>
    <n v="653"/>
    <n v="333130696"/>
    <s v="Action|Adventure|Sci-Fi"/>
    <s v="Bradley Cooper"/>
    <x v="574"/>
    <n v="682155"/>
    <s v="bounty hunter|outer space|raccoon|talking animal|tree"/>
    <n v="1097"/>
    <x v="0"/>
    <x v="0"/>
    <n v="170000000"/>
    <x v="27"/>
    <x v="40"/>
    <n v="170000000"/>
    <n v="333130696"/>
    <x v="574"/>
    <x v="574"/>
    <x v="1"/>
  </r>
  <r>
    <x v="464"/>
    <n v="91"/>
    <n v="1056102"/>
    <s v="Crime|Drama|Mystery|Thriller"/>
    <s v="Alexis Dziena"/>
    <x v="575"/>
    <n v="18792"/>
    <s v="murder|police|police investigation|porn star|robbery"/>
    <n v="153"/>
    <x v="0"/>
    <x v="0"/>
    <n v="5000000"/>
    <x v="19"/>
    <x v="14"/>
    <n v="5000000"/>
    <n v="1056102"/>
    <x v="575"/>
    <x v="575"/>
    <x v="3"/>
  </r>
  <r>
    <x v="193"/>
    <n v="142"/>
    <n v="172620724"/>
    <s v="Action|Adventure|Drama|Thriller"/>
    <s v="Harrison Ford"/>
    <x v="576"/>
    <n v="146134"/>
    <s v="ex soldier|hijacker|hostage|president|terrorist"/>
    <n v="393"/>
    <x v="0"/>
    <x v="0"/>
    <n v="85000000"/>
    <x v="31"/>
    <x v="24"/>
    <n v="85000000"/>
    <n v="172620724"/>
    <x v="576"/>
    <x v="576"/>
    <x v="1"/>
  </r>
  <r>
    <x v="465"/>
    <n v="117"/>
    <n v="162792677"/>
    <s v="Adventure|Animation|Comedy|Family|Fantasy"/>
    <s v="Kevin Spacey"/>
    <x v="577"/>
    <n v="211226"/>
    <s v="ant|circus|grasshopper|misunderstanding|overhearing"/>
    <n v="317"/>
    <x v="0"/>
    <x v="0"/>
    <n v="120000000"/>
    <x v="6"/>
    <x v="33"/>
    <n v="120000000"/>
    <n v="162792677"/>
    <x v="577"/>
    <x v="577"/>
    <x v="0"/>
  </r>
  <r>
    <x v="466"/>
    <n v="323"/>
    <n v="47536959"/>
    <s v="Drama"/>
    <s v="Mo'Nique"/>
    <x v="578"/>
    <n v="86956"/>
    <s v="abuse|african american lesbian|lesbian|lesbian couple|school"/>
    <n v="275"/>
    <x v="0"/>
    <x v="0"/>
    <n v="10000000"/>
    <x v="16"/>
    <x v="4"/>
    <n v="10000000"/>
    <n v="47536959"/>
    <x v="578"/>
    <x v="578"/>
    <x v="5"/>
  </r>
  <r>
    <x v="84"/>
    <n v="105"/>
    <n v="41482207"/>
    <s v="Comedy|Fantasy|Horror"/>
    <s v="Christopher Lee"/>
    <x v="579"/>
    <n v="68428"/>
    <s v="gremlin|horror host|hulk hogan|monster|skyscraper"/>
    <n v="148"/>
    <x v="0"/>
    <x v="0"/>
    <n v="50000000"/>
    <x v="32"/>
    <x v="23"/>
    <n v="50000000"/>
    <n v="41482207"/>
    <x v="579"/>
    <x v="579"/>
    <x v="4"/>
  </r>
  <r>
    <x v="467"/>
    <n v="112"/>
    <n v="38916903"/>
    <s v="Adventure|Family|Sci-Fi"/>
    <s v="Teo Halm"/>
    <x v="580"/>
    <n v="15664"/>
    <s v="alien|bar|construction worker|no opening credits|no title at beginning"/>
    <n v="149"/>
    <x v="0"/>
    <x v="0"/>
    <n v="13000000"/>
    <x v="27"/>
    <x v="30"/>
    <n v="13000000"/>
    <n v="38916903"/>
    <x v="580"/>
    <x v="580"/>
    <x v="0"/>
  </r>
  <r>
    <x v="468"/>
    <n v="115"/>
    <n v="2601847"/>
    <s v="Documentary|Music"/>
    <s v="Collin Alfredo St. Dic"/>
    <x v="581"/>
    <n v="22457"/>
    <s v="hall of mirrors|mont saint michel france|palace of versailles|turkey the country|yellowstone national park"/>
    <n v="69"/>
    <x v="11"/>
    <x v="0"/>
    <n v="4000000"/>
    <x v="22"/>
    <x v="59"/>
    <n v="4000000"/>
    <n v="2601847"/>
    <x v="581"/>
    <x v="581"/>
    <x v="7"/>
  </r>
  <r>
    <x v="469"/>
    <n v="313"/>
    <n v="59617068"/>
    <s v="Comedy|Romance"/>
    <s v="Sayed Badreya"/>
    <x v="582"/>
    <n v="213863"/>
    <s v="dictator|hotel|oil|overalls|sunglasses"/>
    <n v="310"/>
    <x v="0"/>
    <x v="0"/>
    <n v="65000000"/>
    <x v="28"/>
    <x v="24"/>
    <n v="65000000"/>
    <n v="59617068"/>
    <x v="582"/>
    <x v="582"/>
    <x v="4"/>
  </r>
  <r>
    <x v="470"/>
    <n v="114"/>
    <n v="145540"/>
    <s v="Drama|Horror"/>
    <s v="James Duval"/>
    <x v="583"/>
    <n v="26773"/>
    <s v="case|doll|dry humor|friend|love"/>
    <n v="277"/>
    <x v="0"/>
    <x v="0"/>
    <n v="500000"/>
    <x v="13"/>
    <x v="21"/>
    <n v="500000"/>
    <n v="145540"/>
    <x v="583"/>
    <x v="583"/>
    <x v="5"/>
  </r>
  <r>
    <x v="471"/>
    <n v="196"/>
    <n v="23225911"/>
    <s v="Action|Crime|Drama|Thriller"/>
    <s v="Dwayne Johnson"/>
    <x v="584"/>
    <n v="80574"/>
    <s v="gun|prison|reference to god|reference to jesus christ|vengeance"/>
    <n v="157"/>
    <x v="0"/>
    <x v="0"/>
    <n v="24000000"/>
    <x v="11"/>
    <x v="20"/>
    <n v="24000000"/>
    <n v="23225911"/>
    <x v="584"/>
    <x v="584"/>
    <x v="1"/>
  </r>
  <r>
    <x v="376"/>
    <n v="147"/>
    <n v="70906973"/>
    <s v="Comedy|Fantasy|Romance"/>
    <s v="Bill Murray"/>
    <x v="585"/>
    <n v="437418"/>
    <s v="cult film|existentialism|groundhog day|time loop|trapped in a time loop"/>
    <n v="609"/>
    <x v="0"/>
    <x v="0"/>
    <n v="14600000"/>
    <x v="23"/>
    <x v="40"/>
    <n v="14600000"/>
    <n v="70906973"/>
    <x v="585"/>
    <x v="585"/>
    <x v="4"/>
  </r>
  <r>
    <x v="290"/>
    <n v="79"/>
    <n v="1430185"/>
    <s v="Documentary|War"/>
    <s v="Campbell Scott"/>
    <x v="586"/>
    <n v="7314"/>
    <s v="american politics|iraq|iraq war|occupation|white house"/>
    <n v="55"/>
    <x v="0"/>
    <x v="0"/>
    <n v="2000000"/>
    <x v="15"/>
    <x v="36"/>
    <n v="2000000"/>
    <n v="1430185"/>
    <x v="586"/>
    <x v="586"/>
    <x v="7"/>
  </r>
  <r>
    <x v="472"/>
    <n v="180"/>
    <n v="28064226"/>
    <s v="Action|Mystery|Thriller"/>
    <s v="Ken Arnold"/>
    <x v="587"/>
    <n v="65044"/>
    <s v="assassin|high school|on the run|teenager|website"/>
    <n v="173"/>
    <x v="0"/>
    <x v="0"/>
    <n v="35000000"/>
    <x v="22"/>
    <x v="53"/>
    <n v="35000000"/>
    <n v="28064226"/>
    <x v="587"/>
    <x v="587"/>
    <x v="1"/>
  </r>
  <r>
    <x v="473"/>
    <n v="117"/>
    <n v="3752725"/>
    <s v="Drama|Romance"/>
    <s v="Al Pacino"/>
    <x v="588"/>
    <n v="29715"/>
    <s v="debt|jew|loan|merchant|pound of flesh"/>
    <n v="161"/>
    <x v="0"/>
    <x v="0"/>
    <n v="18000000"/>
    <x v="2"/>
    <x v="17"/>
    <n v="18000000"/>
    <n v="3752725"/>
    <x v="588"/>
    <x v="588"/>
    <x v="5"/>
  </r>
  <r>
    <x v="474"/>
    <n v="153"/>
    <n v="4063859"/>
    <s v="Drama|Romance"/>
    <s v="Florian Lukas"/>
    <x v="589"/>
    <n v="114407"/>
    <s v="coma|east germany|german democratic republic|germany|heart attack"/>
    <n v="225"/>
    <x v="7"/>
    <x v="5"/>
    <n v="4800000"/>
    <x v="19"/>
    <x v="9"/>
    <n v="5206752"/>
    <n v="4408230.4116599998"/>
    <x v="589"/>
    <x v="589"/>
    <x v="5"/>
  </r>
  <r>
    <x v="475"/>
    <n v="148"/>
    <n v="20259297"/>
    <s v="Drama|Horror|Sci-Fi|Thriller"/>
    <s v="Ian Somerhalder"/>
    <x v="590"/>
    <n v="24969"/>
    <s v="cell phone|computer|computer hacker|e mail|technology"/>
    <n v="258"/>
    <x v="0"/>
    <x v="0"/>
    <n v="20000000"/>
    <x v="7"/>
    <x v="27"/>
    <n v="20000000"/>
    <n v="20259297"/>
    <x v="590"/>
    <x v="590"/>
    <x v="5"/>
  </r>
  <r>
    <x v="351"/>
    <n v="74"/>
    <n v="53133888"/>
    <s v="Comedy|Fantasy|Horror|Thriller"/>
    <s v="Julian Sands"/>
    <x v="591"/>
    <n v="50389"/>
    <s v="arachnophobia|death|doctor|small town|spider"/>
    <n v="136"/>
    <x v="0"/>
    <x v="0"/>
    <n v="31000000"/>
    <x v="32"/>
    <x v="23"/>
    <n v="31000000"/>
    <n v="53133888"/>
    <x v="591"/>
    <x v="591"/>
    <x v="4"/>
  </r>
  <r>
    <x v="476"/>
    <n v="81"/>
    <n v="15408822"/>
    <s v="Comedy|Romance"/>
    <s v="Thomas Lennon"/>
    <x v="592"/>
    <n v="14147"/>
    <s v="bachelor party|climbing a tree|taxi|toilet|wedding"/>
    <n v="92"/>
    <x v="0"/>
    <x v="0"/>
    <n v="20000000"/>
    <x v="19"/>
    <x v="15"/>
    <n v="20000000"/>
    <n v="15408822"/>
    <x v="592"/>
    <x v="592"/>
    <x v="4"/>
  </r>
  <r>
    <x v="302"/>
    <n v="155"/>
    <n v="90567722"/>
    <s v="Comedy"/>
    <s v="Robert Forster"/>
    <x v="593"/>
    <n v="185878"/>
    <s v="dissociative identity disorder|limousine|multiple personality|police|rhode island"/>
    <n v="481"/>
    <x v="0"/>
    <x v="0"/>
    <n v="51000000"/>
    <x v="4"/>
    <x v="20"/>
    <n v="51000000"/>
    <n v="90567722"/>
    <x v="593"/>
    <x v="593"/>
    <x v="4"/>
  </r>
  <r>
    <x v="477"/>
    <n v="69"/>
    <n v="36985501"/>
    <s v="Action|Adventure|Comedy|Sci-Fi|Thriller"/>
    <s v="Michael Biehn"/>
    <x v="594"/>
    <n v="11212"/>
    <s v="frozen time|stopped time|time freeze|watch|wristwatch"/>
    <n v="94"/>
    <x v="0"/>
    <x v="0"/>
    <n v="26000000"/>
    <x v="13"/>
    <x v="44"/>
    <n v="26000000"/>
    <n v="36985501"/>
    <x v="594"/>
    <x v="594"/>
    <x v="1"/>
  </r>
  <r>
    <x v="478"/>
    <n v="152"/>
    <n v="19976073"/>
    <s v="Action|Crime|Drama|Thriller"/>
    <s v="Brian Dennehy"/>
    <x v="595"/>
    <n v="65979"/>
    <s v="criminal|mobster|new year's eve|police|sergeant"/>
    <n v="220"/>
    <x v="0"/>
    <x v="0"/>
    <n v="20000000"/>
    <x v="25"/>
    <x v="23"/>
    <n v="20000000"/>
    <n v="19976073"/>
    <x v="595"/>
    <x v="595"/>
    <x v="1"/>
  </r>
  <r>
    <x v="479"/>
    <n v="62"/>
    <n v="28870"/>
    <s v="Crime|Drama|Thriller"/>
    <s v="Channing Tatum"/>
    <x v="596"/>
    <n v="14280"/>
    <s v="housing project|letter|man with glasses|murder|subjective camera"/>
    <n v="41"/>
    <x v="0"/>
    <x v="0"/>
    <n v="15000000"/>
    <x v="22"/>
    <x v="37"/>
    <n v="15000000"/>
    <n v="28870"/>
    <x v="596"/>
    <x v="596"/>
    <x v="3"/>
  </r>
  <r>
    <x v="480"/>
    <n v="188"/>
    <n v="196573705"/>
    <s v="Action|Adventure|Animation|Comedy|Family"/>
    <s v="Denis Leary"/>
    <x v="597"/>
    <n v="166791"/>
    <s v="egg|lost world|rescue|squirrel|weasel"/>
    <n v="132"/>
    <x v="0"/>
    <x v="0"/>
    <n v="90000000"/>
    <x v="16"/>
    <x v="16"/>
    <n v="90000000"/>
    <n v="196573705"/>
    <x v="597"/>
    <x v="597"/>
    <x v="1"/>
  </r>
  <r>
    <x v="481"/>
    <n v="37"/>
    <n v="418953"/>
    <s v="Crime|Drama|Thriller"/>
    <s v="Eric Stoltz"/>
    <x v="598"/>
    <n v="17322"/>
    <s v="bank|bastille day|call girl|childhood friend|drugs"/>
    <n v="93"/>
    <x v="0"/>
    <x v="8"/>
    <n v="1500000"/>
    <x v="23"/>
    <x v="20"/>
    <n v="1627110"/>
    <n v="454455.07721999998"/>
    <x v="598"/>
    <x v="598"/>
    <x v="3"/>
  </r>
  <r>
    <x v="482"/>
    <n v="315"/>
    <n v="90356857"/>
    <s v="Action|Comedy|Crime|Thriller"/>
    <s v="Bruce Willis"/>
    <x v="599"/>
    <n v="238916"/>
    <s v="cia|female assassin|interrogation|office cubicle|spy"/>
    <n v="328"/>
    <x v="0"/>
    <x v="0"/>
    <n v="58000000"/>
    <x v="11"/>
    <x v="17"/>
    <n v="58000000"/>
    <n v="90356857"/>
    <x v="599"/>
    <x v="599"/>
    <x v="1"/>
  </r>
  <r>
    <x v="483"/>
    <n v="49"/>
    <n v="2331318"/>
    <s v="Comedy"/>
    <s v="Don Johnson"/>
    <x v="600"/>
    <n v="9541"/>
    <s v="diner|eating a banana|masturbation|porn star|shooting a pornographic movie"/>
    <n v="64"/>
    <x v="0"/>
    <x v="0"/>
    <n v="10000000"/>
    <x v="22"/>
    <x v="57"/>
    <n v="10000000"/>
    <n v="2331318"/>
    <x v="600"/>
    <x v="600"/>
    <x v="4"/>
  </r>
  <r>
    <x v="484"/>
    <n v="14"/>
    <n v="24103594"/>
    <s v="Adventure|Comedy|Drama|Family"/>
    <s v="Curtis Armstrong"/>
    <x v="601"/>
    <n v="6384"/>
    <s v="boy|lesson|mississippi river|river|slave"/>
    <n v="54"/>
    <x v="0"/>
    <x v="0"/>
    <n v="6500000"/>
    <x v="23"/>
    <x v="5"/>
    <n v="6500000"/>
    <n v="24103594"/>
    <x v="601"/>
    <x v="601"/>
    <x v="0"/>
  </r>
  <r>
    <x v="485"/>
    <n v="111"/>
    <n v="43601508"/>
    <s v="Comedy|Drama|Romance"/>
    <s v="Raoul Bova"/>
    <x v="602"/>
    <n v="35718"/>
    <s v="author|book|vacation|villa|writer"/>
    <n v="317"/>
    <x v="0"/>
    <x v="0"/>
    <n v="18000000"/>
    <x v="19"/>
    <x v="21"/>
    <n v="18000000"/>
    <n v="43601508"/>
    <x v="602"/>
    <x v="602"/>
    <x v="4"/>
  </r>
  <r>
    <x v="486"/>
    <n v="227"/>
    <n v="72515360"/>
    <s v="Crime|Mystery|Thriller"/>
    <s v="Curtiss Cook"/>
    <x v="603"/>
    <n v="86152"/>
    <s v="african|assassination|dialect|interpreter|threat"/>
    <n v="411"/>
    <x v="12"/>
    <x v="2"/>
    <n v="80000000"/>
    <x v="25"/>
    <x v="24"/>
    <n v="102831999.999999"/>
    <n v="93211243.743999898"/>
    <x v="603"/>
    <x v="603"/>
    <x v="3"/>
  </r>
  <r>
    <x v="487"/>
    <n v="283"/>
    <n v="16168741"/>
    <s v="Drama|Music"/>
    <s v="James Corden"/>
    <x v="604"/>
    <n v="99430"/>
    <s v="manhattan new york city|new york city|record label|singer|song"/>
    <n v="182"/>
    <x v="0"/>
    <x v="0"/>
    <n v="8000000"/>
    <x v="0"/>
    <x v="39"/>
    <n v="8000000"/>
    <n v="16168741"/>
    <x v="604"/>
    <x v="604"/>
    <x v="5"/>
  </r>
  <r>
    <x v="488"/>
    <n v="54"/>
    <n v="13376506"/>
    <s v="Drama"/>
    <s v="Alexa PenaVega"/>
    <x v="605"/>
    <n v="10413"/>
    <s v="basketball|boy|italian|kidnapping a child|reunion"/>
    <n v="111"/>
    <x v="0"/>
    <x v="0"/>
    <n v="40000000"/>
    <x v="12"/>
    <x v="23"/>
    <n v="40000000"/>
    <n v="13376506"/>
    <x v="605"/>
    <x v="605"/>
    <x v="5"/>
  </r>
  <r>
    <x v="489"/>
    <n v="64"/>
    <n v="3100650"/>
    <s v="Drama|Horror|Mystery|Thriller"/>
    <s v="Melissa Sagemiller"/>
    <x v="606"/>
    <n v="7277"/>
    <s v="car accident|college|ghost|girl in panties|white panties"/>
    <n v="181"/>
    <x v="0"/>
    <x v="0"/>
    <n v="14000000"/>
    <x v="9"/>
    <x v="52"/>
    <n v="14000000"/>
    <n v="3100650"/>
    <x v="606"/>
    <x v="606"/>
    <x v="5"/>
  </r>
  <r>
    <x v="490"/>
    <n v="267"/>
    <n v="108521835"/>
    <s v="Action|Thriller"/>
    <s v="Matt Damon"/>
    <x v="607"/>
    <n v="40123"/>
    <s v="black ops|chase|cia|cia agent|repeated scene"/>
    <n v="297"/>
    <x v="0"/>
    <x v="2"/>
    <n v="120000000"/>
    <x v="24"/>
    <x v="17"/>
    <n v="154248000"/>
    <n v="139493966.70899999"/>
    <x v="607"/>
    <x v="607"/>
    <x v="1"/>
  </r>
  <r>
    <x v="63"/>
    <n v="93"/>
    <n v="24881000"/>
    <s v="Drama|Fantasy|Horror|Thriller"/>
    <s v="Christine Taylor"/>
    <x v="608"/>
    <n v="57140"/>
    <s v="coven|occult|outcast|spell|witch"/>
    <n v="195"/>
    <x v="0"/>
    <x v="0"/>
    <n v="15000000"/>
    <x v="10"/>
    <x v="5"/>
    <n v="15000000"/>
    <n v="24881000"/>
    <x v="608"/>
    <x v="608"/>
    <x v="5"/>
  </r>
  <r>
    <x v="326"/>
    <n v="96"/>
    <n v="43532294"/>
    <s v="Drama|Sport"/>
    <s v="Matthew McConaughey"/>
    <x v="609"/>
    <n v="46951"/>
    <s v="coach|football|football team|marshall university|university"/>
    <n v="175"/>
    <x v="0"/>
    <x v="0"/>
    <n v="65000000"/>
    <x v="7"/>
    <x v="17"/>
    <n v="65000000"/>
    <n v="43532294"/>
    <x v="609"/>
    <x v="609"/>
    <x v="5"/>
  </r>
  <r>
    <x v="465"/>
    <n v="304"/>
    <n v="191450875"/>
    <s v="Adventure|Animation|Comedy|Family|Sport"/>
    <s v="Joe Mantegna"/>
    <x v="610"/>
    <n v="101178"/>
    <s v="best friend|car race|conspiracy|gadget car|spy"/>
    <n v="283"/>
    <x v="0"/>
    <x v="0"/>
    <n v="200000000"/>
    <x v="22"/>
    <x v="23"/>
    <n v="200000000"/>
    <n v="191450875"/>
    <x v="610"/>
    <x v="610"/>
    <x v="0"/>
  </r>
  <r>
    <x v="491"/>
    <n v="285"/>
    <n v="56715371"/>
    <s v="Adventure|Mystery|Sci-Fi"/>
    <s v="Keir Dullea"/>
    <x v="611"/>
    <n v="427357"/>
    <s v="ancient astronaut|famous line|message from outer space|monolith|star child"/>
    <n v="1736"/>
    <x v="0"/>
    <x v="2"/>
    <n v="12000000"/>
    <x v="47"/>
    <x v="36"/>
    <n v="15424799.999999899"/>
    <n v="72901937.883399993"/>
    <x v="611"/>
    <x v="611"/>
    <x v="0"/>
  </r>
  <r>
    <x v="492"/>
    <n v="5"/>
    <n v="39552600"/>
    <s v="Adventure|Family|Romance"/>
    <s v="Frances Bavier"/>
    <x v="612"/>
    <n v="3411"/>
    <s v="animal abuse|cat|dog|dog movie|tween girl"/>
    <n v="36"/>
    <x v="0"/>
    <x v="0"/>
    <n v="500000"/>
    <x v="48"/>
    <x v="7"/>
    <n v="500000"/>
    <n v="39552600"/>
    <x v="612"/>
    <x v="612"/>
    <x v="0"/>
  </r>
  <r>
    <x v="493"/>
    <n v="174"/>
    <n v="27277055"/>
    <s v="Comedy|Drama|Music|Romance"/>
    <s v="Drake Bell"/>
    <x v="613"/>
    <n v="143137"/>
    <s v="employer employee relationship|record store|store|thirty something|vinyl"/>
    <n v="602"/>
    <x v="0"/>
    <x v="2"/>
    <n v="20000000"/>
    <x v="4"/>
    <x v="10"/>
    <n v="25707999.999999899"/>
    <n v="35061926.496999897"/>
    <x v="613"/>
    <x v="613"/>
    <x v="4"/>
  </r>
  <r>
    <x v="418"/>
    <n v="274"/>
    <n v="10139254"/>
    <s v="Drama|Sci-Fi"/>
    <s v="Hugh Jackman"/>
    <x v="614"/>
    <n v="190990"/>
    <s v="eternity|love|mayan|tree|tree of life"/>
    <n v="915"/>
    <x v="0"/>
    <x v="0"/>
    <n v="35000000"/>
    <x v="7"/>
    <x v="4"/>
    <n v="35000000"/>
    <n v="10139254"/>
    <x v="614"/>
    <x v="614"/>
    <x v="5"/>
  </r>
  <r>
    <x v="494"/>
    <n v="143"/>
    <n v="40203020"/>
    <s v="Comedy|Drama|Romance"/>
    <s v="Colin Firth"/>
    <x v="615"/>
    <n v="74315"/>
    <s v="american actress playing british character|intern|prison|six word title|thailand"/>
    <n v="259"/>
    <x v="0"/>
    <x v="2"/>
    <n v="40000000"/>
    <x v="2"/>
    <x v="0"/>
    <n v="51415999.999999903"/>
    <n v="51676961.907999903"/>
    <x v="615"/>
    <x v="615"/>
    <x v="4"/>
  </r>
  <r>
    <x v="136"/>
    <n v="223"/>
    <n v="47748610"/>
    <s v="Action|Horror|Sci-Fi"/>
    <s v="Gary Dourdan"/>
    <x v="616"/>
    <n v="170179"/>
    <s v="alien|blood|breeding|clone|scientist"/>
    <n v="656"/>
    <x v="0"/>
    <x v="0"/>
    <n v="75000000"/>
    <x v="31"/>
    <x v="23"/>
    <n v="75000000"/>
    <n v="47748610"/>
    <x v="616"/>
    <x v="616"/>
    <x v="1"/>
  </r>
  <r>
    <x v="353"/>
    <n v="67"/>
    <n v="14567883"/>
    <s v="Action|Drama|Sci-Fi"/>
    <s v="Connie Nielsen"/>
    <x v="617"/>
    <n v="44248"/>
    <s v="crash survivor|planet|sergeant|soldier|survivor"/>
    <n v="373"/>
    <x v="0"/>
    <x v="2"/>
    <n v="75000000"/>
    <x v="6"/>
    <x v="11"/>
    <n v="96404999.999999896"/>
    <n v="18725556.808199901"/>
    <x v="617"/>
    <x v="617"/>
    <x v="1"/>
  </r>
  <r>
    <x v="402"/>
    <n v="283"/>
    <n v="31836745"/>
    <s v="Adventure|Drama|Mystery"/>
    <s v="Tom Hanks"/>
    <x v="618"/>
    <n v="81298"/>
    <s v="fear|mourning|mute|quest|revelation"/>
    <n v="341"/>
    <x v="0"/>
    <x v="0"/>
    <n v="40000000"/>
    <x v="22"/>
    <x v="31"/>
    <n v="40000000"/>
    <n v="31836745"/>
    <x v="618"/>
    <x v="618"/>
    <x v="0"/>
  </r>
  <r>
    <x v="495"/>
    <n v="75"/>
    <n v="399879"/>
    <s v="Crime|Drama|Mystery|Thriller"/>
    <s v="John Howard"/>
    <x v="619"/>
    <n v="5772"/>
    <s v="camp|fishing|fishing trip|river|town"/>
    <n v="115"/>
    <x v="0"/>
    <x v="3"/>
    <n v="15000000"/>
    <x v="7"/>
    <x v="24"/>
    <n v="9808200"/>
    <n v="261472.88052000001"/>
    <x v="619"/>
    <x v="619"/>
    <x v="3"/>
  </r>
  <r>
    <x v="496"/>
    <n v="408"/>
    <n v="292979556"/>
    <s v="Adventure|Animation|Comedy|Family"/>
    <s v="John Ratzenberger"/>
    <x v="620"/>
    <n v="665575"/>
    <s v="balloon|house|promise|retirement|skeleton"/>
    <n v="704"/>
    <x v="0"/>
    <x v="0"/>
    <n v="175000000"/>
    <x v="16"/>
    <x v="36"/>
    <n v="175000000"/>
    <n v="292979556"/>
    <x v="620"/>
    <x v="620"/>
    <x v="0"/>
  </r>
  <r>
    <x v="490"/>
    <n v="491"/>
    <n v="107100855"/>
    <s v="Biography|Drama|Thriller"/>
    <s v="Tom Hanks"/>
    <x v="621"/>
    <n v="323353"/>
    <s v="hijacking|hostage|leader|ship|somalia"/>
    <n v="527"/>
    <x v="0"/>
    <x v="0"/>
    <n v="55000000"/>
    <x v="0"/>
    <x v="19"/>
    <n v="55000000"/>
    <n v="107100855"/>
    <x v="621"/>
    <x v="621"/>
    <x v="2"/>
  </r>
  <r>
    <x v="222"/>
    <n v="119"/>
    <n v="13337299"/>
    <s v="Biography|Drama|Music|Musical"/>
    <s v="Kevin McNally"/>
    <x v="622"/>
    <n v="9649"/>
    <s v="cole porter|composer|love|party|tears"/>
    <n v="226"/>
    <x v="0"/>
    <x v="0"/>
    <n v="20000000"/>
    <x v="2"/>
    <x v="14"/>
    <n v="20000000"/>
    <n v="13337299"/>
    <x v="622"/>
    <x v="622"/>
    <x v="2"/>
  </r>
  <r>
    <x v="131"/>
    <n v="88"/>
    <n v="60328558"/>
    <s v="Comedy|Drama|Fantasy"/>
    <s v="Bill Murray"/>
    <x v="623"/>
    <n v="61396"/>
    <s v="christmas|compassion|executive|ghost|redemption"/>
    <n v="159"/>
    <x v="0"/>
    <x v="0"/>
    <n v="32000000"/>
    <x v="34"/>
    <x v="16"/>
    <n v="32000000"/>
    <n v="60328558"/>
    <x v="623"/>
    <x v="623"/>
    <x v="4"/>
  </r>
  <r>
    <x v="497"/>
    <n v="37"/>
    <n v="78030"/>
    <s v="Drama"/>
    <s v="Omari Hardwick"/>
    <x v="624"/>
    <n v="1034"/>
    <s v=""/>
    <n v="10"/>
    <x v="0"/>
    <x v="0"/>
    <n v="200000"/>
    <x v="28"/>
    <x v="20"/>
    <n v="200000"/>
    <n v="78030"/>
    <x v="624"/>
    <x v="624"/>
    <x v="5"/>
  </r>
  <r>
    <x v="55"/>
    <n v="225"/>
    <n v="53245055"/>
    <s v="Horror"/>
    <s v="Fernanda Andrade"/>
    <x v="625"/>
    <n v="30570"/>
    <s v="critically bashed|demonic possession|exorcism|exorcist|found footage"/>
    <n v="290"/>
    <x v="0"/>
    <x v="0"/>
    <n v="1000000"/>
    <x v="28"/>
    <x v="32"/>
    <n v="1000000"/>
    <n v="53245055"/>
    <x v="625"/>
    <x v="625"/>
    <x v="6"/>
  </r>
  <r>
    <x v="498"/>
    <n v="150"/>
    <n v="2203641"/>
    <s v="Crime|Drama|Mystery|Thriller"/>
    <s v="Thomas Kretschmann"/>
    <x v="626"/>
    <n v="42792"/>
    <s v="35 mm digital camera|drugs|murder|train|travel"/>
    <n v="162"/>
    <x v="0"/>
    <x v="12"/>
    <n v="15000000"/>
    <x v="20"/>
    <x v="21"/>
    <n v="16271100"/>
    <n v="2390377.53834"/>
    <x v="626"/>
    <x v="626"/>
    <x v="3"/>
  </r>
  <r>
    <x v="482"/>
    <n v="208"/>
    <n v="33592415"/>
    <s v="Action|Comedy|Fantasy"/>
    <s v="Ryan Reynolds"/>
    <x v="627"/>
    <n v="91640"/>
    <s v="drug dealer|gold|partner|police|undead"/>
    <n v="210"/>
    <x v="0"/>
    <x v="0"/>
    <n v="130000000"/>
    <x v="0"/>
    <x v="15"/>
    <n v="130000000"/>
    <n v="33592415"/>
    <x v="627"/>
    <x v="627"/>
    <x v="1"/>
  </r>
  <r>
    <x v="499"/>
    <n v="160"/>
    <n v="26421314"/>
    <s v="Adventure|Fantasy|Horror|Mystery|Thriller"/>
    <s v="Kim Director"/>
    <x v="628"/>
    <n v="28964"/>
    <s v="convenience store|digit in title|punctuation in title|violence|witch"/>
    <n v="457"/>
    <x v="0"/>
    <x v="0"/>
    <n v="15000000"/>
    <x v="4"/>
    <x v="56"/>
    <n v="15000000"/>
    <n v="26421314"/>
    <x v="628"/>
    <x v="628"/>
    <x v="0"/>
  </r>
  <r>
    <x v="500"/>
    <n v="344"/>
    <n v="237301"/>
    <s v="Drama|Sci-Fi|Thriller"/>
    <s v="Scoot McNairy"/>
    <x v="629"/>
    <n v="75669"/>
    <s v="alien|alien invasion|destroyed building|destruction|mexico"/>
    <n v="451"/>
    <x v="0"/>
    <x v="2"/>
    <n v="500000"/>
    <x v="11"/>
    <x v="24"/>
    <n v="642699.99999999895"/>
    <n v="305026.70539999998"/>
    <x v="629"/>
    <x v="629"/>
    <x v="5"/>
  </r>
  <r>
    <x v="141"/>
    <n v="22"/>
    <n v="50752337"/>
    <s v="Comedy|Drama|Family|Sport"/>
    <s v="Lane Smith"/>
    <x v="630"/>
    <n v="44502"/>
    <s v="coach|hockey team|lawyer|respect|team"/>
    <n v="46"/>
    <x v="0"/>
    <x v="0"/>
    <n v="10000000"/>
    <x v="8"/>
    <x v="24"/>
    <n v="10000000"/>
    <n v="50752337"/>
    <x v="630"/>
    <x v="630"/>
    <x v="4"/>
  </r>
  <r>
    <x v="501"/>
    <n v="105"/>
    <n v="515005"/>
    <s v="Comedy|Musical"/>
    <s v="Paul McCartney"/>
    <x v="631"/>
    <n v="31429"/>
    <s v="boy|concert|drummer|manager|television"/>
    <n v="219"/>
    <x v="0"/>
    <x v="2"/>
    <n v="560000"/>
    <x v="3"/>
    <x v="9"/>
    <n v="719823.99999999895"/>
    <n v="661987.42699999898"/>
    <x v="631"/>
    <x v="631"/>
    <x v="4"/>
  </r>
  <r>
    <x v="502"/>
    <n v="70"/>
    <n v="14018364"/>
    <s v="Comedy|Crime|Family|Romance"/>
    <s v="Mary-Kate Olsen"/>
    <x v="632"/>
    <n v="17722"/>
    <s v="dog|new york city|scholarship|senator|twin"/>
    <n v="111"/>
    <x v="0"/>
    <x v="0"/>
    <n v="30000000"/>
    <x v="2"/>
    <x v="45"/>
    <n v="30000000"/>
    <n v="14018364"/>
    <x v="632"/>
    <x v="632"/>
    <x v="4"/>
  </r>
  <r>
    <x v="503"/>
    <n v="275"/>
    <n v="46978995"/>
    <s v="Action|Adventure|Fantasy"/>
    <s v="Dominic Cooper"/>
    <x v="633"/>
    <n v="111609"/>
    <s v="based on video game|fictional language|fictional war|orc|sword and sorcery"/>
    <n v="781"/>
    <x v="0"/>
    <x v="0"/>
    <n v="160000000"/>
    <x v="24"/>
    <x v="4"/>
    <n v="160000000"/>
    <n v="46978995"/>
    <x v="633"/>
    <x v="633"/>
    <x v="1"/>
  </r>
  <r>
    <x v="504"/>
    <n v="61"/>
    <n v="106593296"/>
    <s v="Comedy|Drama|Family"/>
    <s v="Morgan Freeman"/>
    <x v="634"/>
    <n v="72324"/>
    <s v="1950s|african american|jewish|old age|widow"/>
    <n v="134"/>
    <x v="0"/>
    <x v="0"/>
    <n v="7500000"/>
    <x v="26"/>
    <x v="39"/>
    <n v="7500000"/>
    <n v="106593296"/>
    <x v="634"/>
    <x v="634"/>
    <x v="4"/>
  </r>
  <r>
    <x v="505"/>
    <n v="82"/>
    <n v="41407470"/>
    <s v="Comedy|Drama|Family"/>
    <s v="Haley Joel Osment"/>
    <x v="635"/>
    <n v="43378"/>
    <s v="africa|eyeglasses|money|texas|veteran"/>
    <n v="292"/>
    <x v="0"/>
    <x v="0"/>
    <n v="30000000"/>
    <x v="19"/>
    <x v="10"/>
    <n v="30000000"/>
    <n v="41407470"/>
    <x v="635"/>
    <x v="635"/>
    <x v="4"/>
  </r>
  <r>
    <x v="506"/>
    <n v="158"/>
    <n v="19057024"/>
    <s v="Drama|Romance"/>
    <s v="Robert Pattinson"/>
    <x v="636"/>
    <n v="113963"/>
    <s v="binge drinking|new york|new york city|september 11 2001|suicide"/>
    <n v="361"/>
    <x v="0"/>
    <x v="0"/>
    <n v="16000000"/>
    <x v="11"/>
    <x v="33"/>
    <n v="16000000"/>
    <n v="19057024"/>
    <x v="636"/>
    <x v="636"/>
    <x v="5"/>
  </r>
  <r>
    <x v="507"/>
    <n v="234"/>
    <n v="63536011"/>
    <s v="Comedy|Drama|Romance"/>
    <s v="Meryl Streep"/>
    <x v="637"/>
    <n v="34258"/>
    <s v="couple|intimacy|marriage|marriage counseling|middle age couple"/>
    <n v="178"/>
    <x v="0"/>
    <x v="0"/>
    <n v="30000000"/>
    <x v="28"/>
    <x v="23"/>
    <n v="30000000"/>
    <n v="63536011"/>
    <x v="637"/>
    <x v="637"/>
    <x v="4"/>
  </r>
  <r>
    <x v="328"/>
    <n v="226"/>
    <n v="2208939"/>
    <s v="Crime|Drama|Fantasy"/>
    <s v="Michael Smiley"/>
    <x v="638"/>
    <n v="190490"/>
    <s v="18th century|perfume|scent|sense of smell|smell"/>
    <n v="482"/>
    <x v="0"/>
    <x v="5"/>
    <n v="50000000"/>
    <x v="7"/>
    <x v="2"/>
    <n v="54237000"/>
    <n v="2396124.4908599998"/>
    <x v="638"/>
    <x v="638"/>
    <x v="3"/>
  </r>
  <r>
    <x v="44"/>
    <n v="20"/>
    <n v="2474000"/>
    <s v="Biography|Drama|History|Romance"/>
    <s v="Seth Gilliam"/>
    <x v="639"/>
    <n v="2427"/>
    <s v="18th century|ambassador|french revolution|friendship|thomas jefferson"/>
    <n v="27"/>
    <x v="0"/>
    <x v="8"/>
    <n v="14000000"/>
    <x v="33"/>
    <x v="35"/>
    <n v="15186360"/>
    <n v="2683646.7599999998"/>
    <x v="639"/>
    <x v="639"/>
    <x v="2"/>
  </r>
  <r>
    <x v="508"/>
    <n v="256"/>
    <n v="34964818"/>
    <s v="Adventure|Family|Fantasy"/>
    <s v="Hugh Jackman"/>
    <x v="640"/>
    <n v="39956"/>
    <s v="1940s|child hero|fantasy world|orphan|reference to peter pan"/>
    <n v="186"/>
    <x v="0"/>
    <x v="0"/>
    <n v="150000000"/>
    <x v="1"/>
    <x v="30"/>
    <n v="150000000"/>
    <n v="34964818"/>
    <x v="640"/>
    <x v="640"/>
    <x v="0"/>
  </r>
  <r>
    <x v="134"/>
    <n v="135"/>
    <n v="110332737"/>
    <s v="Comedy|Crime"/>
    <s v="John Michael Higgins"/>
    <x v="641"/>
    <n v="110788"/>
    <s v="animal abuse|ceo|heist|suburb|unemployment"/>
    <n v="258"/>
    <x v="0"/>
    <x v="0"/>
    <n v="100000000"/>
    <x v="25"/>
    <x v="7"/>
    <n v="100000000"/>
    <n v="110332737"/>
    <x v="641"/>
    <x v="641"/>
    <x v="4"/>
  </r>
  <r>
    <x v="509"/>
    <n v="122"/>
    <n v="12281500"/>
    <s v="Action|Crime|Drama|Romance|Thriller"/>
    <s v="Brad Pitt"/>
    <x v="642"/>
    <n v="163492"/>
    <s v="aspiring actor|cocaine|drugs|pimp|suitcase full of money"/>
    <n v="460"/>
    <x v="0"/>
    <x v="0"/>
    <n v="13000000"/>
    <x v="23"/>
    <x v="3"/>
    <n v="13000000"/>
    <n v="12281500"/>
    <x v="642"/>
    <x v="642"/>
    <x v="1"/>
  </r>
  <r>
    <x v="510"/>
    <n v="534"/>
    <n v="32279955"/>
    <s v="Crime|Drama|Thriller"/>
    <s v="Jake Gyllenhaal"/>
    <x v="643"/>
    <n v="293304"/>
    <s v="employer employee relationship|ethics|journalism|sociopath|tv news"/>
    <n v="552"/>
    <x v="0"/>
    <x v="0"/>
    <n v="8500000"/>
    <x v="27"/>
    <x v="19"/>
    <n v="8500000"/>
    <n v="32279955"/>
    <x v="643"/>
    <x v="643"/>
    <x v="3"/>
  </r>
  <r>
    <x v="201"/>
    <n v="339"/>
    <n v="47307550"/>
    <s v="Crime|Drama|Thriller"/>
    <s v="DemiÃ¡n Bichir"/>
    <x v="644"/>
    <n v="104301"/>
    <s v="arms tied overhead|damsel in distress|dea|marijuana|southern california"/>
    <n v="269"/>
    <x v="0"/>
    <x v="0"/>
    <n v="45000000"/>
    <x v="28"/>
    <x v="20"/>
    <n v="45000000"/>
    <n v="47307550"/>
    <x v="644"/>
    <x v="644"/>
    <x v="3"/>
  </r>
  <r>
    <x v="460"/>
    <n v="97"/>
    <n v="127214072"/>
    <s v="Comedy|Romance"/>
    <s v="Ethan Embry"/>
    <x v="645"/>
    <n v="83786"/>
    <s v="alabama|divorce|divorce papers|husband wife relationship|new york city"/>
    <n v="392"/>
    <x v="0"/>
    <x v="0"/>
    <n v="38000000"/>
    <x v="13"/>
    <x v="7"/>
    <n v="38000000"/>
    <n v="127214072"/>
    <x v="645"/>
    <x v="645"/>
    <x v="4"/>
  </r>
  <r>
    <x v="511"/>
    <n v="56"/>
    <n v="16115878"/>
    <s v="Action|Fantasy|Horror|Mystery|Thriller"/>
    <s v="Viggo Mortensen"/>
    <x v="646"/>
    <n v="24438"/>
    <s v="angel|corpse|girl|heaven|soul"/>
    <n v="194"/>
    <x v="0"/>
    <x v="0"/>
    <n v="8000000"/>
    <x v="33"/>
    <x v="14"/>
    <n v="8000000"/>
    <n v="16115878"/>
    <x v="646"/>
    <x v="646"/>
    <x v="1"/>
  </r>
  <r>
    <x v="512"/>
    <n v="129"/>
    <n v="2207975"/>
    <s v="Drama|History"/>
    <s v="Hayden Christensen"/>
    <x v="647"/>
    <n v="28855"/>
    <s v="fabricated facts|journalist|stephen glass|the new republic|writer"/>
    <n v="190"/>
    <x v="0"/>
    <x v="0"/>
    <n v="6000000"/>
    <x v="19"/>
    <x v="33"/>
    <n v="6000000"/>
    <n v="2207975"/>
    <x v="647"/>
    <x v="647"/>
    <x v="5"/>
  </r>
  <r>
    <x v="513"/>
    <n v="64"/>
    <n v="673780"/>
    <s v="Drama"/>
    <s v="Fereshteh Sadre Orafaiy"/>
    <x v="648"/>
    <n v="4555"/>
    <s v="abortion|bus|hospital|prison|prostitution"/>
    <n v="26"/>
    <x v="13"/>
    <x v="18"/>
    <n v="10000"/>
    <x v="4"/>
    <x v="2"/>
    <n v="0.23750147999999999"/>
    <n v="16.002374719439999"/>
    <x v="648"/>
    <x v="648"/>
    <x v="5"/>
  </r>
  <r>
    <x v="53"/>
    <n v="61"/>
    <n v="32885565"/>
    <s v="Action|Adventure|Drama|Thriller"/>
    <s v="Sylvester Stallone"/>
    <x v="649"/>
    <n v="53132"/>
    <s v="collapsing tunnel|explosion|new jersey|tunnel|weimaraner"/>
    <n v="101"/>
    <x v="0"/>
    <x v="0"/>
    <n v="80000000"/>
    <x v="10"/>
    <x v="30"/>
    <n v="80000000"/>
    <n v="32885565"/>
    <x v="649"/>
    <x v="649"/>
    <x v="1"/>
  </r>
  <r>
    <x v="514"/>
    <n v="46"/>
    <n v="91457688"/>
    <s v="Action|Comedy|Crime"/>
    <s v="Richard Tyson"/>
    <x v="650"/>
    <n v="107801"/>
    <s v="astoria|kindergarten|kindergarten teacher|school|teacher"/>
    <n v="109"/>
    <x v="0"/>
    <x v="0"/>
    <n v="26000000"/>
    <x v="32"/>
    <x v="11"/>
    <n v="26000000"/>
    <n v="91457688"/>
    <x v="650"/>
    <x v="650"/>
    <x v="1"/>
  </r>
  <r>
    <x v="71"/>
    <n v="105"/>
    <n v="18967571"/>
    <s v="Action|Crime|Thriller"/>
    <s v="Mira Sorvino"/>
    <x v="651"/>
    <n v="23345"/>
    <s v="forger|hitman|passport|police|replacement"/>
    <n v="167"/>
    <x v="0"/>
    <x v="0"/>
    <n v="30000000"/>
    <x v="6"/>
    <x v="7"/>
    <n v="30000000"/>
    <n v="18967571"/>
    <x v="651"/>
    <x v="651"/>
    <x v="1"/>
  </r>
  <r>
    <x v="515"/>
    <n v="351"/>
    <n v="52000688"/>
    <s v="Action|Adventure|Sci-Fi|Thriller"/>
    <s v="Topher Grace"/>
    <x v="652"/>
    <n v="171418"/>
    <s v="kicked in the face|martial arts|punched in the face|strong female character|woman punching a man"/>
    <n v="619"/>
    <x v="0"/>
    <x v="0"/>
    <n v="40000000"/>
    <x v="11"/>
    <x v="24"/>
    <n v="40000000"/>
    <n v="52000688"/>
    <x v="652"/>
    <x v="652"/>
    <x v="1"/>
  </r>
  <r>
    <x v="74"/>
    <n v="235"/>
    <n v="63143812"/>
    <s v="Action|Adventure|Family|Fantasy"/>
    <s v="Nicolas Cage"/>
    <x v="653"/>
    <n v="124185"/>
    <s v="chosen one|enchanted object|love|spell|training"/>
    <n v="238"/>
    <x v="0"/>
    <x v="0"/>
    <n v="150000000"/>
    <x v="11"/>
    <x v="7"/>
    <n v="150000000"/>
    <n v="63143812"/>
    <x v="653"/>
    <x v="653"/>
    <x v="1"/>
  </r>
  <r>
    <x v="516"/>
    <n v="132"/>
    <n v="34017854"/>
    <s v="Comedy"/>
    <s v="Bella Thorne"/>
    <x v="654"/>
    <n v="51326"/>
    <s v="cartoon on tv|generation y|high school|overalls|strong female character"/>
    <n v="116"/>
    <x v="0"/>
    <x v="0"/>
    <n v="8500000"/>
    <x v="1"/>
    <x v="20"/>
    <n v="8500000"/>
    <n v="34017854"/>
    <x v="654"/>
    <x v="654"/>
    <x v="4"/>
  </r>
  <r>
    <x v="472"/>
    <n v="41"/>
    <n v="28734552"/>
    <s v="Crime|Drama|Romance|Thriller"/>
    <s v="Mo'Nique"/>
    <x v="655"/>
    <n v="9566"/>
    <s v="cartoon on tv|family relationships|physical abuse|single parent|two word title"/>
    <n v="81"/>
    <x v="0"/>
    <x v="0"/>
    <n v="16000000"/>
    <x v="9"/>
    <x v="24"/>
    <n v="16000000"/>
    <n v="28734552"/>
    <x v="655"/>
    <x v="655"/>
    <x v="3"/>
  </r>
  <r>
    <x v="517"/>
    <n v="1"/>
    <n v="3000000"/>
    <s v="Crime|Drama"/>
    <s v="Stephen Carr"/>
    <x v="656"/>
    <n v="5"/>
    <s v="family relationships|gang|idler|poorhouse|thief"/>
    <n v="1"/>
    <x v="0"/>
    <x v="0"/>
    <n v="100000"/>
    <x v="49"/>
    <x v="45"/>
    <n v="100000"/>
    <n v="3000000"/>
    <x v="656"/>
    <x v="656"/>
    <x v="3"/>
  </r>
  <r>
    <x v="353"/>
    <n v="230"/>
    <n v="36064910"/>
    <s v="Action|Sci-Fi|Thriller"/>
    <s v="Jason Statham"/>
    <x v="657"/>
    <n v="166610"/>
    <s v="armored car|car|murder|prison|warden"/>
    <n v="211"/>
    <x v="0"/>
    <x v="0"/>
    <n v="45000000"/>
    <x v="20"/>
    <x v="24"/>
    <n v="45000000"/>
    <n v="36064910"/>
    <x v="657"/>
    <x v="657"/>
    <x v="1"/>
  </r>
  <r>
    <x v="518"/>
    <n v="49"/>
    <n v="26000610"/>
    <s v="Adventure|Animation|Comedy|Family|Fantasy"/>
    <s v="Robert De Niro"/>
    <x v="658"/>
    <n v="16611"/>
    <s v="deforestation|fbi|lighthouse|moose|squirrel"/>
    <n v="197"/>
    <x v="0"/>
    <x v="0"/>
    <n v="76000000"/>
    <x v="4"/>
    <x v="13"/>
    <n v="76000000"/>
    <n v="26000610"/>
    <x v="658"/>
    <x v="658"/>
    <x v="0"/>
  </r>
  <r>
    <x v="519"/>
    <n v="111"/>
    <n v="22927390"/>
    <s v="Drama|Romance"/>
    <s v="Judy Greer"/>
    <x v="659"/>
    <n v="25344"/>
    <s v="florist|motivational speaker|self help guru|seminar|widower"/>
    <n v="77"/>
    <x v="0"/>
    <x v="0"/>
    <n v="18000000"/>
    <x v="16"/>
    <x v="15"/>
    <n v="18000000"/>
    <n v="22927390"/>
    <x v="659"/>
    <x v="659"/>
    <x v="5"/>
  </r>
  <r>
    <x v="520"/>
    <n v="40"/>
    <n v="5333658"/>
    <s v="Action|Sci-Fi"/>
    <s v="Barry Bostwick"/>
    <x v="660"/>
    <n v="2541"/>
    <s v="dictator|electronic music score|one word title|secret headquarters|soldier"/>
    <n v="54"/>
    <x v="0"/>
    <x v="0"/>
    <n v="20000000"/>
    <x v="42"/>
    <x v="51"/>
    <n v="20000000"/>
    <n v="5333658"/>
    <x v="660"/>
    <x v="660"/>
    <x v="1"/>
  </r>
  <r>
    <x v="62"/>
    <n v="450"/>
    <n v="32154410"/>
    <s v="Crime|Drama|Thriller"/>
    <s v="Channing Tatum"/>
    <x v="661"/>
    <n v="148334"/>
    <s v="clinical trial|female protagonist|neuropharmacology|psychiatrist|side effect"/>
    <n v="274"/>
    <x v="0"/>
    <x v="0"/>
    <n v="30000000"/>
    <x v="0"/>
    <x v="17"/>
    <n v="30000000"/>
    <n v="32154410"/>
    <x v="661"/>
    <x v="661"/>
    <x v="3"/>
  </r>
  <r>
    <x v="521"/>
    <n v="49"/>
    <n v="1789892"/>
    <s v="Comedy|Crime"/>
    <s v="Janeane Garofalo"/>
    <x v="662"/>
    <n v="9494"/>
    <s v="breasts|serial killer|small town|vomiting|widow"/>
    <n v="109"/>
    <x v="0"/>
    <x v="5"/>
    <n v="8000000"/>
    <x v="6"/>
    <x v="14"/>
    <n v="8677920"/>
    <n v="1941567.44808"/>
    <x v="662"/>
    <x v="662"/>
    <x v="4"/>
  </r>
  <r>
    <x v="522"/>
    <n v="194"/>
    <n v="34912982"/>
    <s v="Action|Adventure|Sci-Fi|Thriller"/>
    <s v="ChloÃ« Grace Moretz"/>
    <x v="663"/>
    <n v="55617"/>
    <s v="alien|attack|based on novel|based on young adult novel|fear"/>
    <n v="266"/>
    <x v="0"/>
    <x v="0"/>
    <n v="38000000"/>
    <x v="24"/>
    <x v="44"/>
    <n v="38000000"/>
    <n v="34912982"/>
    <x v="663"/>
    <x v="663"/>
    <x v="1"/>
  </r>
  <r>
    <x v="523"/>
    <n v="118"/>
    <n v="686383"/>
    <s v="Adventure|Animation|Family|Fantasy"/>
    <s v="Sean Lennon"/>
    <x v="664"/>
    <n v="22811"/>
    <s v="barbarian|fairy|forest|monastery|unfinished book"/>
    <n v="71"/>
    <x v="0"/>
    <x v="8"/>
    <n v="6500000"/>
    <x v="16"/>
    <x v="9"/>
    <n v="7050810"/>
    <n v="744547.09542000003"/>
    <x v="664"/>
    <x v="664"/>
    <x v="0"/>
  </r>
  <r>
    <x v="524"/>
    <n v="187"/>
    <n v="23472900"/>
    <s v="Drama|History|War"/>
    <s v="Don Cheadle"/>
    <x v="665"/>
    <n v="264533"/>
    <s v="atrocity|central africa|ethnic warfare|united nations peace keeping force|united nations soldier"/>
    <n v="609"/>
    <x v="0"/>
    <x v="2"/>
    <n v="17500000"/>
    <x v="2"/>
    <x v="40"/>
    <n v="22494499.999999899"/>
    <n v="30172065.6599999"/>
    <x v="665"/>
    <x v="665"/>
    <x v="5"/>
  </r>
  <r>
    <x v="525"/>
    <n v="37"/>
    <n v="15655665"/>
    <s v="Comedy|Romance"/>
    <s v="Thomas F. Wilson"/>
    <x v="666"/>
    <n v="9104"/>
    <s v="diner|food poisoning|health inspector|restaurant|undercover"/>
    <n v="112"/>
    <x v="0"/>
    <x v="0"/>
    <n v="4000000"/>
    <x v="7"/>
    <x v="61"/>
    <n v="4000000"/>
    <n v="15655665"/>
    <x v="666"/>
    <x v="666"/>
    <x v="4"/>
  </r>
  <r>
    <x v="526"/>
    <n v="110"/>
    <n v="1523883"/>
    <s v="Documentary|Sport"/>
    <s v="Mark Zupan"/>
    <x v="667"/>
    <n v="9037"/>
    <s v="paralympics|quad rugby|rugby|team|wheelchair"/>
    <n v="70"/>
    <x v="0"/>
    <x v="0"/>
    <n v="1750211"/>
    <x v="25"/>
    <x v="38"/>
    <n v="1750211"/>
    <n v="1523883"/>
    <x v="667"/>
    <x v="667"/>
    <x v="7"/>
  </r>
  <r>
    <x v="527"/>
    <n v="260"/>
    <n v="22525921"/>
    <s v="Comedy"/>
    <s v="Steve Buscemi"/>
    <x v="668"/>
    <n v="60596"/>
    <s v="magic|magic kit|magician|stage magician|vegas"/>
    <n v="158"/>
    <x v="0"/>
    <x v="0"/>
    <n v="30000000"/>
    <x v="0"/>
    <x v="0"/>
    <n v="30000000"/>
    <n v="22525921"/>
    <x v="668"/>
    <x v="668"/>
    <x v="4"/>
  </r>
  <r>
    <x v="487"/>
    <n v="232"/>
    <n v="9437933"/>
    <s v="Drama|Music|Romance"/>
    <s v="Glen Hansard"/>
    <x v="669"/>
    <n v="90827"/>
    <s v="immigrant|independent film|song|street|vacuum cleaner"/>
    <n v="329"/>
    <x v="0"/>
    <x v="7"/>
    <n v="180000"/>
    <x v="15"/>
    <x v="19"/>
    <n v="195253.2"/>
    <n v="10237703.44242"/>
    <x v="669"/>
    <x v="669"/>
    <x v="5"/>
  </r>
  <r>
    <x v="528"/>
    <n v="152"/>
    <n v="7993039"/>
    <s v="Comedy"/>
    <s v="Milla Jovovich"/>
    <x v="670"/>
    <n v="120036"/>
    <s v="football|hazing|high school|last day of school|pledge"/>
    <n v="408"/>
    <x v="0"/>
    <x v="0"/>
    <n v="6900000"/>
    <x v="23"/>
    <x v="9"/>
    <n v="6900000"/>
    <n v="7993039"/>
    <x v="670"/>
    <x v="670"/>
    <x v="4"/>
  </r>
  <r>
    <x v="529"/>
    <n v="100"/>
    <n v="14218868"/>
    <s v="Horror|Sci-Fi|Thriller"/>
    <s v="Robert Forster"/>
    <x v="671"/>
    <n v="14596"/>
    <s v="deep space|distress signal|explosion|mining|rescue"/>
    <n v="282"/>
    <x v="0"/>
    <x v="0"/>
    <n v="65000000"/>
    <x v="4"/>
    <x v="45"/>
    <n v="65000000"/>
    <n v="14218868"/>
    <x v="671"/>
    <x v="671"/>
    <x v="6"/>
  </r>
  <r>
    <x v="127"/>
    <n v="280"/>
    <n v="150350192"/>
    <s v="Action|Sci-Fi"/>
    <s v="Nick Stahl"/>
    <x v="672"/>
    <n v="305340"/>
    <s v="drifter|exploding truck|future|machine|skynet"/>
    <n v="1676"/>
    <x v="0"/>
    <x v="0"/>
    <n v="200000000"/>
    <x v="19"/>
    <x v="24"/>
    <n v="200000000"/>
    <n v="150350192"/>
    <x v="672"/>
    <x v="672"/>
    <x v="1"/>
  </r>
  <r>
    <x v="530"/>
    <n v="30"/>
    <n v="74787599"/>
    <s v="Drama|Romance"/>
    <s v="George Carlin"/>
    <x v="673"/>
    <n v="12549"/>
    <s v="new york|psychiatrist|shrimper|south carolina|twins"/>
    <n v="109"/>
    <x v="0"/>
    <x v="0"/>
    <n v="30000000"/>
    <x v="38"/>
    <x v="14"/>
    <n v="30000000"/>
    <n v="74787599"/>
    <x v="673"/>
    <x v="673"/>
    <x v="5"/>
  </r>
  <r>
    <x v="175"/>
    <n v="105"/>
    <n v="51185897"/>
    <s v="Action|Adventure|Thriller"/>
    <s v="Joe Don Baker"/>
    <x v="674"/>
    <n v="69457"/>
    <s v="british agent|defection|escape|kgb|soviet general"/>
    <n v="271"/>
    <x v="0"/>
    <x v="2"/>
    <n v="30000000"/>
    <x v="21"/>
    <x v="21"/>
    <n v="38562000"/>
    <n v="65794352.003799997"/>
    <x v="674"/>
    <x v="674"/>
    <x v="1"/>
  </r>
  <r>
    <x v="320"/>
    <n v="125"/>
    <n v="66808615"/>
    <s v="Adventure|Comedy|Crime|Romance"/>
    <s v="J.K. Simmons"/>
    <x v="675"/>
    <n v="87351"/>
    <s v="curse|hostage|mexico|pistol|vomiting"/>
    <n v="344"/>
    <x v="0"/>
    <x v="0"/>
    <n v="34000000"/>
    <x v="9"/>
    <x v="7"/>
    <n v="34000000"/>
    <n v="66808615"/>
    <x v="675"/>
    <x v="675"/>
    <x v="0"/>
  </r>
  <r>
    <x v="531"/>
    <n v="68"/>
    <n v="77324422"/>
    <s v="Drama"/>
    <s v="Denzel Washington"/>
    <x v="676"/>
    <n v="178731"/>
    <s v="aids|city name in title|gay|homophobia|lawyer"/>
    <n v="261"/>
    <x v="0"/>
    <x v="0"/>
    <n v="26000000"/>
    <x v="23"/>
    <x v="9"/>
    <n v="26000000"/>
    <n v="77324422"/>
    <x v="676"/>
    <x v="676"/>
    <x v="5"/>
  </r>
  <r>
    <x v="302"/>
    <n v="171"/>
    <n v="176483808"/>
    <s v="Comedy|Romance"/>
    <s v="Sarah Silverman"/>
    <x v="677"/>
    <n v="247289"/>
    <s v="accident|curtain call|dream girl|high school|prom"/>
    <n v="611"/>
    <x v="0"/>
    <x v="0"/>
    <n v="23000000"/>
    <x v="6"/>
    <x v="17"/>
    <n v="23000000"/>
    <n v="176483808"/>
    <x v="677"/>
    <x v="677"/>
    <x v="4"/>
  </r>
  <r>
    <x v="532"/>
    <n v="184"/>
    <n v="31141074"/>
    <s v="Action|Adventure|Fantasy"/>
    <s v="Gerard Butler"/>
    <x v="678"/>
    <n v="51892"/>
    <s v="ancient egypt|egypt|egyptian|egyptian god|egyptian goddess"/>
    <n v="273"/>
    <x v="0"/>
    <x v="0"/>
    <n v="140000000"/>
    <x v="24"/>
    <x v="28"/>
    <n v="140000000"/>
    <n v="31141074"/>
    <x v="678"/>
    <x v="678"/>
    <x v="1"/>
  </r>
  <r>
    <x v="533"/>
    <n v="141"/>
    <n v="30012990"/>
    <s v="Biography|Drama|History"/>
    <s v="Fanny Ardant"/>
    <x v="679"/>
    <n v="75973"/>
    <s v="16th century|british royal family|catholic|queen|queen elizabeth i"/>
    <n v="409"/>
    <x v="0"/>
    <x v="2"/>
    <n v="25000000"/>
    <x v="6"/>
    <x v="2"/>
    <n v="32134999.999999899"/>
    <n v="38578697.345999897"/>
    <x v="679"/>
    <x v="679"/>
    <x v="2"/>
  </r>
  <r>
    <x v="534"/>
    <n v="89"/>
    <n v="85416609"/>
    <s v="Adventure|Animation|Comedy|Family|Fantasy"/>
    <s v="Scarlett Johansson"/>
    <x v="680"/>
    <n v="58906"/>
    <s v="based on tv series|crown|dream|king neptune|plankton"/>
    <n v="186"/>
    <x v="0"/>
    <x v="0"/>
    <n v="30000000"/>
    <x v="2"/>
    <x v="16"/>
    <n v="30000000"/>
    <n v="85416609"/>
    <x v="680"/>
    <x v="680"/>
    <x v="0"/>
  </r>
  <r>
    <x v="535"/>
    <n v="121"/>
    <n v="8786715"/>
    <s v="Comedy|Drama"/>
    <s v="Macaulay Culkin"/>
    <x v="681"/>
    <n v="40274"/>
    <s v="christian|jewish|pastor|school|virginity"/>
    <n v="324"/>
    <x v="0"/>
    <x v="0"/>
    <n v="5000000"/>
    <x v="2"/>
    <x v="31"/>
    <n v="5000000"/>
    <n v="8786715"/>
    <x v="681"/>
    <x v="681"/>
    <x v="4"/>
  </r>
  <r>
    <x v="536"/>
    <n v="63"/>
    <n v="61693523"/>
    <s v="Drama"/>
    <s v="Jennifer Garner"/>
    <x v="682"/>
    <n v="6276"/>
    <s v="child cancer|christian film|christianity|falling into a hole|inspiring"/>
    <n v="55"/>
    <x v="0"/>
    <x v="0"/>
    <n v="13000000"/>
    <x v="24"/>
    <x v="22"/>
    <n v="13000000"/>
    <n v="61693523"/>
    <x v="682"/>
    <x v="682"/>
    <x v="5"/>
  </r>
  <r>
    <x v="537"/>
    <n v="186"/>
    <n v="4435083"/>
    <s v="Biography|Drama|Romance|War"/>
    <s v="Jeremy Irvine"/>
    <x v="683"/>
    <n v="27882"/>
    <s v="japanese soldier|physical torture|pow camp|prisoner of war|reference to adolf hitler"/>
    <n v="119"/>
    <x v="0"/>
    <x v="3"/>
    <n v="18000000"/>
    <x v="0"/>
    <x v="17"/>
    <n v="11769840"/>
    <n v="2900012.07204"/>
    <x v="683"/>
    <x v="683"/>
    <x v="2"/>
  </r>
  <r>
    <x v="132"/>
    <n v="252"/>
    <n v="132014112"/>
    <s v="Action|Mystery|Sci-Fi|Thriller"/>
    <s v="Tom Cruise"/>
    <x v="684"/>
    <n v="399651"/>
    <s v="future|murder|neo noir|washington d.c.|year 2054"/>
    <n v="1331"/>
    <x v="0"/>
    <x v="0"/>
    <n v="102000000"/>
    <x v="13"/>
    <x v="9"/>
    <n v="102000000"/>
    <n v="132014112"/>
    <x v="684"/>
    <x v="684"/>
    <x v="1"/>
  </r>
  <r>
    <x v="538"/>
    <n v="79"/>
    <n v="14500000"/>
    <s v="Action|Drama|History|War"/>
    <s v="Joseph Cotten"/>
    <x v="685"/>
    <n v="25019"/>
    <s v="attack|hawaii|navy|pearl harbor|u.s. navy"/>
    <n v="159"/>
    <x v="0"/>
    <x v="15"/>
    <n v="25000000"/>
    <x v="50"/>
    <x v="2"/>
    <n v="162415"/>
    <n v="94200.7"/>
    <x v="685"/>
    <x v="685"/>
    <x v="1"/>
  </r>
  <r>
    <x v="539"/>
    <n v="40"/>
    <n v="68208190"/>
    <s v="Action|Comedy|Crime|Thriller"/>
    <s v="Peter Greene"/>
    <x v="686"/>
    <n v="60572"/>
    <s v="detective|diamond|jewel|police|thief"/>
    <n v="144"/>
    <x v="0"/>
    <x v="0"/>
    <n v="65000000"/>
    <x v="12"/>
    <x v="23"/>
    <n v="65000000"/>
    <n v="68208190"/>
    <x v="686"/>
    <x v="686"/>
    <x v="1"/>
  </r>
  <r>
    <x v="196"/>
    <n v="107"/>
    <n v="219613391"/>
    <s v="Animation|Comedy|Family|Fantasy|Music"/>
    <s v="Amy Poehler"/>
    <x v="687"/>
    <n v="31649"/>
    <s v="adidas|chipmunk|hospital|school|waste container"/>
    <n v="98"/>
    <x v="0"/>
    <x v="0"/>
    <n v="75000000"/>
    <x v="16"/>
    <x v="47"/>
    <n v="75000000"/>
    <n v="219613391"/>
    <x v="687"/>
    <x v="687"/>
    <x v="8"/>
  </r>
  <r>
    <x v="184"/>
    <n v="131"/>
    <n v="1229197"/>
    <s v="Adventure|Comedy|Fantasy"/>
    <s v="Eric Idle"/>
    <x v="688"/>
    <n v="382240"/>
    <s v="camelot|holy grail|king arthur|knight|lancelot"/>
    <n v="660"/>
    <x v="0"/>
    <x v="2"/>
    <n v="229575"/>
    <x v="51"/>
    <x v="36"/>
    <n v="295095.70499999903"/>
    <n v="1580009.8237999999"/>
    <x v="688"/>
    <x v="688"/>
    <x v="0"/>
  </r>
  <r>
    <x v="540"/>
    <n v="43"/>
    <n v="9123834"/>
    <s v="Comedy|Romance"/>
    <s v="Tyler James Williams"/>
    <x v="689"/>
    <n v="4065"/>
    <s v="african american"/>
    <n v="33"/>
    <x v="0"/>
    <x v="0"/>
    <n v="15000000"/>
    <x v="0"/>
    <x v="1"/>
    <n v="15000000"/>
    <n v="9123834"/>
    <x v="689"/>
    <x v="689"/>
    <x v="4"/>
  </r>
  <r>
    <x v="541"/>
    <n v="63"/>
    <n v="8586376"/>
    <s v="Comedy"/>
    <s v="Vivica A. Fox"/>
    <x v="690"/>
    <n v="26598"/>
    <s v="gay|hot air balloon|rejecting a marriage proposal|talking to a dog|vomiting on someone"/>
    <n v="132"/>
    <x v="0"/>
    <x v="0"/>
    <n v="20000000"/>
    <x v="13"/>
    <x v="18"/>
    <n v="20000000"/>
    <n v="8586376"/>
    <x v="690"/>
    <x v="690"/>
    <x v="4"/>
  </r>
  <r>
    <x v="449"/>
    <n v="362"/>
    <n v="58229120"/>
    <s v="Adventure|Comedy|Drama|Fantasy|Romance"/>
    <s v="Adam Scott"/>
    <x v="691"/>
    <n v="236421"/>
    <s v="daydream|life magazine|magazine|photographer|snow leopard"/>
    <n v="515"/>
    <x v="0"/>
    <x v="0"/>
    <n v="90000000"/>
    <x v="0"/>
    <x v="4"/>
    <n v="90000000"/>
    <n v="58229120"/>
    <x v="691"/>
    <x v="691"/>
    <x v="0"/>
  </r>
  <r>
    <x v="542"/>
    <n v="19"/>
    <n v="2848578"/>
    <s v="Drama|Family"/>
    <s v="Robyn Lively"/>
    <x v="692"/>
    <n v="3942"/>
    <s v="cancer|faith|hope|letter|prayer"/>
    <n v="65"/>
    <x v="0"/>
    <x v="0"/>
    <n v="3500000"/>
    <x v="11"/>
    <x v="23"/>
    <n v="3500000"/>
    <n v="2848578"/>
    <x v="692"/>
    <x v="692"/>
    <x v="5"/>
  </r>
  <r>
    <x v="543"/>
    <n v="357"/>
    <n v="97030725"/>
    <s v="Biography|Crime|Drama|History|Romance"/>
    <s v="Johnny Depp"/>
    <x v="693"/>
    <n v="230931"/>
    <s v="1930s|bank|celebrity criminal|fbi|public enemy number one"/>
    <n v="585"/>
    <x v="0"/>
    <x v="0"/>
    <n v="100000000"/>
    <x v="16"/>
    <x v="16"/>
    <n v="100000000"/>
    <n v="97030725"/>
    <x v="693"/>
    <x v="693"/>
    <x v="2"/>
  </r>
  <r>
    <x v="158"/>
    <n v="151"/>
    <n v="45250"/>
    <s v="Biography|Drama|Sport"/>
    <s v="Robert De Niro"/>
    <x v="694"/>
    <n v="235133"/>
    <s v="boxing|domestic violence|hot temper|jealousy|rage"/>
    <n v="494"/>
    <x v="0"/>
    <x v="0"/>
    <n v="18000000"/>
    <x v="52"/>
    <x v="36"/>
    <n v="18000000"/>
    <n v="45250"/>
    <x v="694"/>
    <x v="694"/>
    <x v="2"/>
  </r>
  <r>
    <x v="544"/>
    <n v="203"/>
    <n v="126387"/>
    <s v="Horror"/>
    <s v="Catriona MacColl"/>
    <x v="695"/>
    <n v="14985"/>
    <s v="doctor|hell|hotel|painter|plumber"/>
    <n v="253"/>
    <x v="1"/>
    <x v="1"/>
    <n v="400000"/>
    <x v="43"/>
    <x v="31"/>
    <n v="433896"/>
    <n v="137097.03438"/>
    <x v="695"/>
    <x v="695"/>
    <x v="6"/>
  </r>
  <r>
    <x v="545"/>
    <n v="72"/>
    <n v="395592"/>
    <s v="Drama|Romance"/>
    <s v="Sarah Polley"/>
    <x v="696"/>
    <n v="21202"/>
    <s v="cancer|death|doctor|drinking|love"/>
    <n v="134"/>
    <x v="0"/>
    <x v="12"/>
    <n v="2000000"/>
    <x v="19"/>
    <x v="10"/>
    <n v="2169480"/>
    <n v="429114.46607999998"/>
    <x v="696"/>
    <x v="696"/>
    <x v="5"/>
  </r>
  <r>
    <x v="28"/>
    <n v="124"/>
    <n v="42044321"/>
    <s v="Comedy|Drama|Romance"/>
    <s v="Adam Sandler"/>
    <x v="697"/>
    <n v="65668"/>
    <s v="chef|college|housekeeper|letter|mexico"/>
    <n v="342"/>
    <x v="0"/>
    <x v="0"/>
    <n v="80000000"/>
    <x v="2"/>
    <x v="20"/>
    <n v="80000000"/>
    <n v="42044321"/>
    <x v="697"/>
    <x v="697"/>
    <x v="4"/>
  </r>
  <r>
    <x v="53"/>
    <n v="187"/>
    <n v="144512310"/>
    <s v="Action|Crime|Thriller"/>
    <s v="Paul Walker"/>
    <x v="698"/>
    <n v="272223"/>
    <s v="eighteen wheeler|illegal street racing|truck|trucker|undercover cop"/>
    <n v="988"/>
    <x v="0"/>
    <x v="0"/>
    <n v="38000000"/>
    <x v="9"/>
    <x v="21"/>
    <n v="38000000"/>
    <n v="144512310"/>
    <x v="698"/>
    <x v="698"/>
    <x v="1"/>
  </r>
  <r>
    <x v="546"/>
    <n v="224"/>
    <n v="17609982"/>
    <s v="Action|Crime|Romance|Thriller"/>
    <s v="Jason Statham"/>
    <x v="699"/>
    <n v="90046"/>
    <s v="action hero|disguise|hospital|real estate agent|thief"/>
    <n v="141"/>
    <x v="0"/>
    <x v="0"/>
    <n v="35000000"/>
    <x v="0"/>
    <x v="5"/>
    <n v="35000000"/>
    <n v="17609982"/>
    <x v="699"/>
    <x v="699"/>
    <x v="1"/>
  </r>
  <r>
    <x v="39"/>
    <n v="96"/>
    <n v="32645546"/>
    <s v="Comedy|Drama|Family"/>
    <s v="Cicely Tyson"/>
    <x v="700"/>
    <n v="8427"/>
    <s v="10 year old|dog|florida|girl|supermarket"/>
    <n v="88"/>
    <x v="0"/>
    <x v="0"/>
    <n v="14000000"/>
    <x v="25"/>
    <x v="24"/>
    <n v="14000000"/>
    <n v="32645546"/>
    <x v="700"/>
    <x v="700"/>
    <x v="4"/>
  </r>
  <r>
    <x v="34"/>
    <n v="144"/>
    <n v="81159365"/>
    <s v="Crime|Drama|Thriller"/>
    <s v="Kevin Spacey"/>
    <x v="701"/>
    <n v="191470"/>
    <s v="based on true story|blackjack|card counting|gambling|massachusetts institute of technology"/>
    <n v="278"/>
    <x v="0"/>
    <x v="0"/>
    <n v="35000000"/>
    <x v="20"/>
    <x v="22"/>
    <n v="35000000"/>
    <n v="81159365"/>
    <x v="701"/>
    <x v="701"/>
    <x v="3"/>
  </r>
  <r>
    <x v="320"/>
    <n v="313"/>
    <n v="423032628"/>
    <s v="Action|Adventure|Fantasy"/>
    <s v="Johnny Depp"/>
    <x v="702"/>
    <n v="522040"/>
    <s v="box office hit|giant squid|heart|liar's dice|monster"/>
    <n v="1832"/>
    <x v="0"/>
    <x v="0"/>
    <n v="225000000"/>
    <x v="7"/>
    <x v="4"/>
    <n v="225000000"/>
    <n v="423032628"/>
    <x v="702"/>
    <x v="702"/>
    <x v="1"/>
  </r>
  <r>
    <x v="201"/>
    <n v="120"/>
    <n v="137963328"/>
    <s v="Drama|War"/>
    <s v="Johnny Depp"/>
    <x v="703"/>
    <n v="291603"/>
    <s v="1960s|famous score|hero|vietnam|vietnam war"/>
    <n v="505"/>
    <x v="0"/>
    <x v="2"/>
    <n v="6000000"/>
    <x v="18"/>
    <x v="40"/>
    <n v="7712399.9999999898"/>
    <n v="177338061.81119999"/>
    <x v="703"/>
    <x v="703"/>
    <x v="5"/>
  </r>
  <r>
    <x v="547"/>
    <n v="419"/>
    <n v="75605492"/>
    <s v="Biography|Drama|Sport"/>
    <s v="Philip Seymour Hoffman"/>
    <x v="704"/>
    <n v="283563"/>
    <s v="baseball|meeting|statistics|strategy|voice over"/>
    <n v="312"/>
    <x v="0"/>
    <x v="0"/>
    <n v="50000000"/>
    <x v="22"/>
    <x v="10"/>
    <n v="50000000"/>
    <n v="75605492"/>
    <x v="704"/>
    <x v="704"/>
    <x v="2"/>
  </r>
  <r>
    <x v="203"/>
    <n v="69"/>
    <n v="47811275"/>
    <s v="Adventure|Comedy|Family"/>
    <s v="Frankie Muniz"/>
    <x v="705"/>
    <n v="29008"/>
    <s v="brunette|film producer|liar|prank|stunt"/>
    <n v="99"/>
    <x v="0"/>
    <x v="0"/>
    <n v="15000000"/>
    <x v="13"/>
    <x v="26"/>
    <n v="15000000"/>
    <n v="47811275"/>
    <x v="705"/>
    <x v="705"/>
    <x v="0"/>
  </r>
  <r>
    <x v="548"/>
    <n v="111"/>
    <n v="26345"/>
    <s v="Action|Crime|Drama"/>
    <s v="Hayley Atwell"/>
    <x v="706"/>
    <n v="16445"/>
    <s v="bank|criminal|detective|flying squad|policewoman"/>
    <n v="99"/>
    <x v="0"/>
    <x v="2"/>
    <n v="3000000"/>
    <x v="28"/>
    <x v="7"/>
    <n v="3856199.9999999902"/>
    <n v="33863.862999999998"/>
    <x v="706"/>
    <x v="706"/>
    <x v="1"/>
  </r>
  <r>
    <x v="549"/>
    <n v="451"/>
    <n v="179020854"/>
    <s v="Action|Adventure|Comedy|Family|Fantasy|Sci-Fi"/>
    <s v="Will Smith"/>
    <x v="707"/>
    <n v="268154"/>
    <s v="alien|criminal|m.i.b.|maximum security prison|prison"/>
    <n v="341"/>
    <x v="0"/>
    <x v="0"/>
    <n v="225000000"/>
    <x v="28"/>
    <x v="22"/>
    <n v="225000000"/>
    <n v="179020854"/>
    <x v="707"/>
    <x v="707"/>
    <x v="1"/>
  </r>
  <r>
    <x v="550"/>
    <n v="377"/>
    <n v="189412677"/>
    <s v="Adventure|Animation|Comedy|Family|Sci-Fi"/>
    <s v="Jack McBrayer"/>
    <x v="708"/>
    <n v="272534"/>
    <s v="arcade|candy|glitch|king|medal"/>
    <n v="345"/>
    <x v="0"/>
    <x v="0"/>
    <n v="165000000"/>
    <x v="28"/>
    <x v="38"/>
    <n v="165000000"/>
    <n v="189412677"/>
    <x v="708"/>
    <x v="708"/>
    <x v="0"/>
  </r>
  <r>
    <x v="551"/>
    <n v="16"/>
    <n v="15369573"/>
    <s v="Adventure|Comedy|Sci-Fi"/>
    <s v="Ariana Richards"/>
    <x v="709"/>
    <n v="2580"/>
    <s v="alien|halloween|killer robot|outer space|wrestler costume"/>
    <n v="54"/>
    <x v="0"/>
    <x v="0"/>
    <n v="3000000"/>
    <x v="32"/>
    <x v="1"/>
    <n v="3000000"/>
    <n v="15369573"/>
    <x v="709"/>
    <x v="709"/>
    <x v="0"/>
  </r>
  <r>
    <x v="552"/>
    <n v="180"/>
    <n v="8828771"/>
    <s v="Comedy"/>
    <s v="Hugh Jackman"/>
    <x v="710"/>
    <n v="79146"/>
    <s v="awkwardness|embarrassment|gross out|irreverence|shame"/>
    <n v="352"/>
    <x v="0"/>
    <x v="0"/>
    <n v="6000000"/>
    <x v="0"/>
    <x v="46"/>
    <n v="6000000"/>
    <n v="8828771"/>
    <x v="710"/>
    <x v="710"/>
    <x v="4"/>
  </r>
  <r>
    <x v="553"/>
    <n v="447"/>
    <n v="48043505"/>
    <s v="Action|Comedy"/>
    <s v="Elizabeth McGovern"/>
    <x v="711"/>
    <n v="435864"/>
    <s v="comic book|female killer|hit in the crotch|narrated by character|reference to batman"/>
    <n v="801"/>
    <x v="0"/>
    <x v="2"/>
    <n v="30000000"/>
    <x v="11"/>
    <x v="9"/>
    <n v="38562000"/>
    <n v="61755121.326999903"/>
    <x v="711"/>
    <x v="711"/>
    <x v="1"/>
  </r>
  <r>
    <x v="554"/>
    <n v="217"/>
    <n v="65010106"/>
    <s v="Comedy|Drama"/>
    <s v="Hope Davis"/>
    <x v="712"/>
    <n v="107557"/>
    <s v="highway travel|on the road|retirement|road movie|wedding"/>
    <n v="612"/>
    <x v="0"/>
    <x v="0"/>
    <n v="30000000"/>
    <x v="13"/>
    <x v="33"/>
    <n v="30000000"/>
    <n v="65010106"/>
    <x v="712"/>
    <x v="712"/>
    <x v="4"/>
  </r>
  <r>
    <x v="555"/>
    <n v="48"/>
    <n v="32101000"/>
    <s v="Horror|Sci-Fi"/>
    <s v="Jeff Fahey"/>
    <x v="713"/>
    <n v="27800"/>
    <s v="intelligence|science runs amok|scientist|supernatural power|virtual reality"/>
    <n v="96"/>
    <x v="0"/>
    <x v="2"/>
    <n v="10000000"/>
    <x v="8"/>
    <x v="26"/>
    <n v="12853999.999999899"/>
    <n v="41262625.399999999"/>
    <x v="713"/>
    <x v="713"/>
    <x v="6"/>
  </r>
  <r>
    <x v="556"/>
    <n v="122"/>
    <n v="33000377"/>
    <s v="Action|Fantasy|Horror|Thriller"/>
    <s v="Gerard Butler"/>
    <x v="714"/>
    <n v="27378"/>
    <s v="dracula|gothic|painting|rescue|van helsing"/>
    <n v="365"/>
    <x v="0"/>
    <x v="0"/>
    <n v="28000000"/>
    <x v="4"/>
    <x v="18"/>
    <n v="28000000"/>
    <n v="33000377"/>
    <x v="714"/>
    <x v="714"/>
    <x v="1"/>
  </r>
  <r>
    <x v="150"/>
    <n v="250"/>
    <n v="25031037"/>
    <s v="Action|Horror|Thriller"/>
    <s v="Quentin Tarantino"/>
    <x v="715"/>
    <n v="155496"/>
    <s v="anthropophagus|blood and gore|double feature|real twins playing twins|zombie"/>
    <n v="532"/>
    <x v="0"/>
    <x v="0"/>
    <n v="53000000"/>
    <x v="15"/>
    <x v="10"/>
    <n v="53000000"/>
    <n v="25031037"/>
    <x v="715"/>
    <x v="715"/>
    <x v="1"/>
  </r>
  <r>
    <x v="557"/>
    <n v="41"/>
    <n v="511920"/>
    <s v="Adventure|Animation|Comedy|Fantasy|Romance"/>
    <s v="Eric Idle"/>
    <x v="716"/>
    <n v="2458"/>
    <s v="box office flop|computer animation|one word title|surrealism|villainess"/>
    <n v="26"/>
    <x v="0"/>
    <x v="0"/>
    <n v="40000000"/>
    <x v="20"/>
    <x v="8"/>
    <n v="40000000"/>
    <n v="511920"/>
    <x v="716"/>
    <x v="716"/>
    <x v="0"/>
  </r>
  <r>
    <x v="409"/>
    <n v="78"/>
    <n v="9652000"/>
    <s v="Comedy"/>
    <s v="Justin Theroux"/>
    <x v="717"/>
    <n v="46205"/>
    <s v="christmas|duplex|television|tenant|writer"/>
    <n v="147"/>
    <x v="0"/>
    <x v="0"/>
    <n v="40000000"/>
    <x v="19"/>
    <x v="30"/>
    <n v="40000000"/>
    <n v="9652000"/>
    <x v="717"/>
    <x v="717"/>
    <x v="4"/>
  </r>
  <r>
    <x v="558"/>
    <n v="256"/>
    <n v="148313048"/>
    <s v="Animation|Comedy|Family|Fantasy"/>
    <s v="Steve Buscemi"/>
    <x v="718"/>
    <n v="164148"/>
    <s v="dracula|hotel|invisible man|monster|transylvania"/>
    <n v="168"/>
    <x v="0"/>
    <x v="0"/>
    <n v="85000000"/>
    <x v="28"/>
    <x v="17"/>
    <n v="85000000"/>
    <n v="148313048"/>
    <x v="718"/>
    <x v="718"/>
    <x v="8"/>
  </r>
  <r>
    <x v="559"/>
    <n v="180"/>
    <n v="17474107"/>
    <s v="Comedy|Crime|Drama"/>
    <s v="Kimberly Elise"/>
    <x v="719"/>
    <n v="56605"/>
    <s v="african american|geek|hip hop|party|tomboy"/>
    <n v="89"/>
    <x v="0"/>
    <x v="0"/>
    <n v="7000000"/>
    <x v="1"/>
    <x v="4"/>
    <n v="7000000"/>
    <n v="17474107"/>
    <x v="719"/>
    <x v="719"/>
    <x v="4"/>
  </r>
  <r>
    <x v="560"/>
    <n v="35"/>
    <n v="1687311"/>
    <s v="Drama|Musical"/>
    <s v="MÃ­a Maestro"/>
    <x v="720"/>
    <n v="2412"/>
    <s v="dancer|director|love|musical filmmaking|tango"/>
    <n v="40"/>
    <x v="9"/>
    <x v="12"/>
    <n v="700000000"/>
    <x v="6"/>
    <x v="33"/>
    <n v="759318000"/>
    <n v="1830293.7341400001"/>
    <x v="720"/>
    <x v="720"/>
    <x v="5"/>
  </r>
  <r>
    <x v="561"/>
    <n v="47"/>
    <n v="4741987"/>
    <s v="Drama"/>
    <s v="Viggo Mortensen"/>
    <x v="721"/>
    <n v="6782"/>
    <s v="adulterous wife|cheating wife|summer|unfaithfulness|woodstock"/>
    <n v="114"/>
    <x v="0"/>
    <x v="0"/>
    <n v="14000000"/>
    <x v="12"/>
    <x v="14"/>
    <n v="14000000"/>
    <n v="4741987"/>
    <x v="721"/>
    <x v="721"/>
    <x v="5"/>
  </r>
  <r>
    <x v="562"/>
    <n v="67"/>
    <n v="6239558"/>
    <s v="Comedy|Drama"/>
    <s v="Paul Sorvino"/>
    <x v="722"/>
    <n v="5548"/>
    <s v="gay|immigrant|italian|police|police officer"/>
    <n v="67"/>
    <x v="0"/>
    <x v="9"/>
    <n v="5000000"/>
    <x v="19"/>
    <x v="21"/>
    <n v="3617025"/>
    <n v="4513727.4549899902"/>
    <x v="722"/>
    <x v="722"/>
    <x v="4"/>
  </r>
  <r>
    <x v="563"/>
    <n v="68"/>
    <n v="4956401"/>
    <s v="Drama|War"/>
    <s v="Robin Williams"/>
    <x v="723"/>
    <n v="12601"/>
    <s v="german|ghetto|hope|nazi|radio"/>
    <n v="89"/>
    <x v="0"/>
    <x v="8"/>
    <n v="15000000"/>
    <x v="12"/>
    <x v="20"/>
    <n v="16271100"/>
    <n v="5376406.42074"/>
    <x v="723"/>
    <x v="723"/>
    <x v="5"/>
  </r>
  <r>
    <x v="564"/>
    <n v="270"/>
    <n v="66489425"/>
    <s v="Action|Crime|Drama|Thriller"/>
    <s v="J.K. Simmons"/>
    <x v="724"/>
    <n v="101977"/>
    <s v="cocaine|contraband|drug lord|prison|smuggling"/>
    <n v="161"/>
    <x v="0"/>
    <x v="0"/>
    <n v="25000000"/>
    <x v="28"/>
    <x v="20"/>
    <n v="25000000"/>
    <n v="66489425"/>
    <x v="724"/>
    <x v="724"/>
    <x v="1"/>
  </r>
  <r>
    <x v="565"/>
    <n v="31"/>
    <n v="99147"/>
    <s v="Drama"/>
    <s v="Ethan Suplee"/>
    <x v="725"/>
    <n v="1884"/>
    <s v="cola|desert|ice cream cone|teenage girl|vomiting"/>
    <n v="28"/>
    <x v="0"/>
    <x v="0"/>
    <n v="2000000"/>
    <x v="6"/>
    <x v="5"/>
    <n v="2000000"/>
    <n v="99147"/>
    <x v="725"/>
    <x v="725"/>
    <x v="5"/>
  </r>
  <r>
    <x v="457"/>
    <n v="92"/>
    <n v="263365"/>
    <s v="Comedy|Drama|Fantasy|Romance"/>
    <s v="Djimon Hounsou"/>
    <x v="726"/>
    <n v="6147"/>
    <s v="banishment|sorcery|spirit|staff|storm at sea"/>
    <n v="36"/>
    <x v="0"/>
    <x v="0"/>
    <n v="20000000"/>
    <x v="11"/>
    <x v="26"/>
    <n v="20000000"/>
    <n v="263365"/>
    <x v="726"/>
    <x v="726"/>
    <x v="4"/>
  </r>
  <r>
    <x v="566"/>
    <n v="376"/>
    <n v="268488329"/>
    <s v="Adventure|Animation|Comedy|Family|Fantasy"/>
    <s v="Steve Buscemi"/>
    <x v="727"/>
    <n v="235025"/>
    <s v="cheating|fraternity|monster|singing in a car|university"/>
    <n v="265"/>
    <x v="0"/>
    <x v="0"/>
    <n v="200000000"/>
    <x v="0"/>
    <x v="4"/>
    <n v="200000000"/>
    <n v="268488329"/>
    <x v="727"/>
    <x v="727"/>
    <x v="0"/>
  </r>
  <r>
    <x v="281"/>
    <n v="525"/>
    <n v="234903076"/>
    <s v="Adventure|Family|Fantasy"/>
    <s v="Tim Holmes"/>
    <x v="728"/>
    <n v="175409"/>
    <s v="circus|magic|magician|oz|witch"/>
    <n v="511"/>
    <x v="0"/>
    <x v="0"/>
    <n v="215000000"/>
    <x v="0"/>
    <x v="24"/>
    <n v="215000000"/>
    <n v="234903076"/>
    <x v="728"/>
    <x v="728"/>
    <x v="0"/>
  </r>
  <r>
    <x v="345"/>
    <n v="114"/>
    <n v="20241395"/>
    <s v="Action|Horror|Thriller"/>
    <s v="Sheryl Lee"/>
    <x v="729"/>
    <n v="42664"/>
    <s v="cross|relic|team|vampire|vampire hunter"/>
    <n v="403"/>
    <x v="0"/>
    <x v="0"/>
    <n v="20000000"/>
    <x v="6"/>
    <x v="7"/>
    <n v="20000000"/>
    <n v="20241395"/>
    <x v="729"/>
    <x v="729"/>
    <x v="1"/>
  </r>
  <r>
    <x v="567"/>
    <n v="1"/>
    <n v="3830"/>
    <s v="Comedy|Drama"/>
    <s v="Nataniel SÃ¡nchez"/>
    <x v="730"/>
    <n v="27"/>
    <s v=""/>
    <n v="1"/>
    <x v="9"/>
    <x v="0"/>
    <n v="1200000"/>
    <x v="0"/>
    <x v="33"/>
    <n v="1200000"/>
    <n v="3830"/>
    <x v="730"/>
    <x v="730"/>
    <x v="4"/>
  </r>
  <r>
    <x v="568"/>
    <n v="291"/>
    <n v="17237244"/>
    <s v="Crime|Drama|Thriller"/>
    <s v="Philip Seymour Hoffman"/>
    <x v="731"/>
    <n v="57210"/>
    <s v="intelligence|intelligence agency|secret service|surveillance camera|war on terror"/>
    <n v="158"/>
    <x v="0"/>
    <x v="2"/>
    <n v="15000000"/>
    <x v="27"/>
    <x v="22"/>
    <n v="19281000"/>
    <n v="22156753.437599901"/>
    <x v="731"/>
    <x v="731"/>
    <x v="3"/>
  </r>
  <r>
    <x v="569"/>
    <n v="53"/>
    <n v="13300000"/>
    <s v="Documentary|History|Music"/>
    <s v="Joe Cocker"/>
    <x v="732"/>
    <n v="12631"/>
    <s v="drugs|hippie|music festival|the who|woodstock"/>
    <n v="63"/>
    <x v="0"/>
    <x v="0"/>
    <n v="600000"/>
    <x v="50"/>
    <x v="40"/>
    <n v="600000"/>
    <n v="13300000"/>
    <x v="732"/>
    <x v="732"/>
    <x v="7"/>
  </r>
  <r>
    <x v="132"/>
    <n v="70"/>
    <n v="94175854"/>
    <s v="Drama"/>
    <s v="Oprah Winfrey"/>
    <x v="733"/>
    <n v="60988"/>
    <s v="book strap|girl|racial discrimination|racial tension|stereotype"/>
    <n v="199"/>
    <x v="0"/>
    <x v="0"/>
    <n v="15000000"/>
    <x v="37"/>
    <x v="38"/>
    <n v="15000000"/>
    <n v="94175854"/>
    <x v="733"/>
    <x v="733"/>
    <x v="5"/>
  </r>
  <r>
    <x v="570"/>
    <n v="180"/>
    <n v="73209340"/>
    <s v="Action|Horror|Sci-Fi|Thriller"/>
    <s v="Greg Grunberg"/>
    <x v="734"/>
    <n v="101834"/>
    <s v="experiment|research|scientist|suburb|surrealism"/>
    <n v="628"/>
    <x v="0"/>
    <x v="0"/>
    <n v="95000000"/>
    <x v="4"/>
    <x v="35"/>
    <n v="95000000"/>
    <n v="73209340"/>
    <x v="734"/>
    <x v="734"/>
    <x v="1"/>
  </r>
  <r>
    <x v="431"/>
    <n v="218"/>
    <n v="76846624"/>
    <s v="Adventure|Family|Fantasy"/>
    <s v="Johnny Depp"/>
    <x v="735"/>
    <n v="21352"/>
    <s v="clock|dark fantasy|mad hatter|queen|sequel"/>
    <n v="131"/>
    <x v="0"/>
    <x v="0"/>
    <n v="170000000"/>
    <x v="24"/>
    <x v="24"/>
    <n v="170000000"/>
    <n v="76846624"/>
    <x v="735"/>
    <x v="735"/>
    <x v="0"/>
  </r>
  <r>
    <x v="329"/>
    <n v="535"/>
    <n v="13214255"/>
    <s v="Drama|Music"/>
    <s v="Justin Timberlake"/>
    <x v="736"/>
    <n v="96233"/>
    <s v="1960s|car hitting an animal|folk singer|friend|singer"/>
    <n v="313"/>
    <x v="0"/>
    <x v="0"/>
    <n v="11000000"/>
    <x v="0"/>
    <x v="39"/>
    <n v="11000000"/>
    <n v="13214255"/>
    <x v="736"/>
    <x v="736"/>
    <x v="5"/>
  </r>
  <r>
    <x v="71"/>
    <n v="197"/>
    <n v="27154426"/>
    <s v="Crime|Drama|Thriller"/>
    <s v="Don Cheadle"/>
    <x v="737"/>
    <n v="52852"/>
    <s v="catholic|corrupt cop|new york city|police detective|police officer killed"/>
    <n v="138"/>
    <x v="0"/>
    <x v="0"/>
    <n v="17000000"/>
    <x v="16"/>
    <x v="21"/>
    <n v="17000000"/>
    <n v="27154426"/>
    <x v="737"/>
    <x v="737"/>
    <x v="3"/>
  </r>
  <r>
    <x v="571"/>
    <n v="15"/>
    <n v="4350774"/>
    <s v="Comedy"/>
    <s v="Jon Favreau"/>
    <x v="738"/>
    <n v="10476"/>
    <s v="college|high school senior|meat|protest|university"/>
    <n v="52"/>
    <x v="0"/>
    <x v="0"/>
    <n v="8000000"/>
    <x v="5"/>
    <x v="20"/>
    <n v="8000000"/>
    <n v="4350774"/>
    <x v="738"/>
    <x v="738"/>
    <x v="4"/>
  </r>
  <r>
    <x v="167"/>
    <n v="249"/>
    <n v="47034272"/>
    <s v="Biography|Drama|Music|Musical"/>
    <s v="Johnny Cannizzaro"/>
    <x v="739"/>
    <n v="25465"/>
    <s v="band|music group|musical quartet|singer|song"/>
    <n v="190"/>
    <x v="0"/>
    <x v="0"/>
    <n v="40000000"/>
    <x v="27"/>
    <x v="31"/>
    <n v="40000000"/>
    <n v="47034272"/>
    <x v="739"/>
    <x v="739"/>
    <x v="2"/>
  </r>
  <r>
    <x v="572"/>
    <n v="21"/>
    <n v="8119205"/>
    <s v="Comedy|Family|Fantasy"/>
    <s v="Mara Wilson"/>
    <x v="740"/>
    <n v="4288"/>
    <s v="8 year old|convention|magic|magic wand|male fairy godmother"/>
    <n v="21"/>
    <x v="0"/>
    <x v="0"/>
    <n v="28000000"/>
    <x v="31"/>
    <x v="26"/>
    <n v="28000000"/>
    <n v="8119205"/>
    <x v="740"/>
    <x v="740"/>
    <x v="4"/>
  </r>
  <r>
    <x v="175"/>
    <n v="108"/>
    <n v="50300000"/>
    <s v="Action|Adventure|Thriller"/>
    <s v="Patrick Macnee"/>
    <x v="741"/>
    <n v="68565"/>
    <s v="computer|earthquake|microchip|official james bond series|silicon valley"/>
    <n v="300"/>
    <x v="0"/>
    <x v="2"/>
    <n v="30000000"/>
    <x v="37"/>
    <x v="23"/>
    <n v="38562000"/>
    <n v="64655619.999999903"/>
    <x v="741"/>
    <x v="741"/>
    <x v="1"/>
  </r>
  <r>
    <x v="573"/>
    <n v="290"/>
    <n v="32000000"/>
    <s v="Horror|Mystery|Thriller"/>
    <s v="Janet Leigh"/>
    <x v="742"/>
    <n v="422432"/>
    <s v="money|motel|rain|shower|theft"/>
    <n v="1040"/>
    <x v="0"/>
    <x v="0"/>
    <n v="806947"/>
    <x v="53"/>
    <x v="59"/>
    <n v="806947"/>
    <n v="32000000"/>
    <x v="742"/>
    <x v="742"/>
    <x v="6"/>
  </r>
  <r>
    <x v="230"/>
    <n v="117"/>
    <n v="6047856"/>
    <s v="Action|Crime|Drama|Thriller"/>
    <s v="Kristin Lehman"/>
    <x v="743"/>
    <n v="27536"/>
    <s v="criminal|drifter|gangster|money|surrogate mother"/>
    <n v="327"/>
    <x v="0"/>
    <x v="0"/>
    <n v="8500000"/>
    <x v="4"/>
    <x v="21"/>
    <n v="8500000"/>
    <n v="6047856"/>
    <x v="743"/>
    <x v="743"/>
    <x v="1"/>
  </r>
  <r>
    <x v="574"/>
    <n v="175"/>
    <n v="33685268"/>
    <s v="Drama|Horror|Sci-Fi|Thriller"/>
    <s v="Morgan Freeman"/>
    <x v="744"/>
    <n v="75573"/>
    <s v="alien|friend|maine|military|woods"/>
    <n v="662"/>
    <x v="0"/>
    <x v="0"/>
    <n v="68000000"/>
    <x v="19"/>
    <x v="28"/>
    <n v="68000000"/>
    <n v="33685268"/>
    <x v="744"/>
    <x v="744"/>
    <x v="5"/>
  </r>
  <r>
    <x v="66"/>
    <n v="351"/>
    <n v="31501218"/>
    <s v="Biography|Drama|History"/>
    <s v="Robert Downey Jr."/>
    <x v="745"/>
    <n v="84070"/>
    <s v="cbs|expose|fear|paranoia|reporter"/>
    <n v="526"/>
    <x v="0"/>
    <x v="0"/>
    <n v="7500000"/>
    <x v="25"/>
    <x v="2"/>
    <n v="7500000"/>
    <n v="31501218"/>
    <x v="745"/>
    <x v="745"/>
    <x v="2"/>
  </r>
  <r>
    <x v="575"/>
    <n v="68"/>
    <n v="25240988"/>
    <s v="Documentary|Music"/>
    <s v="Lexie Contursi"/>
    <x v="746"/>
    <n v="12383"/>
    <s v="female protagonist|reference to britney spears|singer|song|world tour"/>
    <n v="50"/>
    <x v="0"/>
    <x v="0"/>
    <n v="12000000"/>
    <x v="28"/>
    <x v="0"/>
    <n v="12000000"/>
    <n v="25240988"/>
    <x v="746"/>
    <x v="746"/>
    <x v="7"/>
  </r>
  <r>
    <x v="576"/>
    <n v="74"/>
    <n v="49526"/>
    <s v="Comedy|Drama"/>
    <s v="Rory Culkin"/>
    <x v="747"/>
    <n v="16299"/>
    <s v="chumscrubber|death|friend|pills|school"/>
    <n v="129"/>
    <x v="0"/>
    <x v="0"/>
    <n v="6800000"/>
    <x v="25"/>
    <x v="16"/>
    <n v="6800000"/>
    <n v="49526"/>
    <x v="747"/>
    <x v="747"/>
    <x v="4"/>
  </r>
  <r>
    <x v="577"/>
    <n v="166"/>
    <n v="32131830"/>
    <s v="Action|Adventure|Animation|Fantasy|Romance|Sci-Fi"/>
    <s v="Steve Buscemi"/>
    <x v="748"/>
    <n v="72259"/>
    <s v="general|military|scientist|soldier|year 2065"/>
    <n v="788"/>
    <x v="0"/>
    <x v="0"/>
    <n v="137000000"/>
    <x v="9"/>
    <x v="24"/>
    <n v="137000000"/>
    <n v="32131830"/>
    <x v="748"/>
    <x v="748"/>
    <x v="1"/>
  </r>
  <r>
    <x v="578"/>
    <n v="432"/>
    <n v="13401683"/>
    <s v="Action|Sci-Fi"/>
    <s v="Wood Harris"/>
    <x v="749"/>
    <n v="203458"/>
    <s v="brutality|dark humor|female antagonist|female warrior|post apocalypse"/>
    <n v="588"/>
    <x v="0"/>
    <x v="2"/>
    <n v="35000000"/>
    <x v="28"/>
    <x v="17"/>
    <n v="44988999.999999903"/>
    <n v="17226523.328199901"/>
    <x v="749"/>
    <x v="749"/>
    <x v="1"/>
  </r>
  <r>
    <x v="579"/>
    <n v="344"/>
    <n v="163192114"/>
    <s v="Action|Adventure|Fantasy"/>
    <s v="Liam Neeson"/>
    <x v="750"/>
    <n v="229679"/>
    <s v="famous line|hand to hand combat|kraken|rape|zeus"/>
    <n v="637"/>
    <x v="0"/>
    <x v="0"/>
    <n v="125000000"/>
    <x v="11"/>
    <x v="30"/>
    <n v="125000000"/>
    <n v="163192114"/>
    <x v="750"/>
    <x v="750"/>
    <x v="1"/>
  </r>
  <r>
    <x v="580"/>
    <n v="342"/>
    <n v="37371385"/>
    <s v="Adventure|Comedy|Sci-Fi"/>
    <s v="Bobby Lee"/>
    <x v="751"/>
    <n v="192462"/>
    <s v="alien|geek|nerd|road trip|ufo"/>
    <n v="334"/>
    <x v="0"/>
    <x v="0"/>
    <n v="40000000"/>
    <x v="22"/>
    <x v="16"/>
    <n v="40000000"/>
    <n v="37371385"/>
    <x v="751"/>
    <x v="751"/>
    <x v="0"/>
  </r>
  <r>
    <x v="215"/>
    <n v="24"/>
    <n v="52528330"/>
    <s v="Comedy|Drama"/>
    <s v="Alicia Witt"/>
    <x v="752"/>
    <n v="4265"/>
    <s v="christmas|holiday|madea series|rural setting|stubbornness"/>
    <n v="27"/>
    <x v="0"/>
    <x v="0"/>
    <n v="25000000"/>
    <x v="0"/>
    <x v="27"/>
    <n v="25000000"/>
    <n v="52528330"/>
    <x v="752"/>
    <x v="752"/>
    <x v="4"/>
  </r>
  <r>
    <x v="581"/>
    <n v="88"/>
    <n v="3895664"/>
    <s v="Comedy|Drama"/>
    <s v="Romain Duris"/>
    <x v="753"/>
    <n v="34383"/>
    <s v="apartment|erasmus|language|student|trip"/>
    <n v="149"/>
    <x v="4"/>
    <x v="8"/>
    <n v="5300000"/>
    <x v="13"/>
    <x v="4"/>
    <n v="5749122"/>
    <n v="4225782.5673599998"/>
    <x v="753"/>
    <x v="753"/>
    <x v="4"/>
  </r>
  <r>
    <x v="51"/>
    <n v="77"/>
    <n v="26082914"/>
    <s v="Action|Adventure|Crime|Thriller"/>
    <s v="Sunny Mabrey"/>
    <x v="754"/>
    <n v="51349"/>
    <s v="coup d'etat|mutiny|president|u.s. navy|washington d.c."/>
    <n v="213"/>
    <x v="0"/>
    <x v="0"/>
    <n v="87000000"/>
    <x v="25"/>
    <x v="46"/>
    <n v="87000000"/>
    <n v="26082914"/>
    <x v="754"/>
    <x v="754"/>
    <x v="1"/>
  </r>
  <r>
    <x v="582"/>
    <n v="363"/>
    <n v="1028658"/>
    <s v="Drama|Mystery|Thriller"/>
    <s v="Ryan Reynolds"/>
    <x v="755"/>
    <n v="118684"/>
    <s v="buried alive|coffin|iraq|one person|single set production"/>
    <n v="447"/>
    <x v="0"/>
    <x v="12"/>
    <n v="3000000"/>
    <x v="11"/>
    <x v="16"/>
    <n v="3254220"/>
    <n v="1115826.4789199999"/>
    <x v="755"/>
    <x v="755"/>
    <x v="5"/>
  </r>
  <r>
    <x v="521"/>
    <n v="276"/>
    <n v="47105085"/>
    <s v="Crime|Drama"/>
    <s v="Robert Downey Jr."/>
    <x v="756"/>
    <n v="136973"/>
    <s v="courtroom|dysfunctional family|indiana|lawyer|trial"/>
    <n v="275"/>
    <x v="0"/>
    <x v="0"/>
    <n v="50000000"/>
    <x v="27"/>
    <x v="39"/>
    <n v="50000000"/>
    <n v="47105085"/>
    <x v="756"/>
    <x v="756"/>
    <x v="3"/>
  </r>
  <r>
    <x v="583"/>
    <n v="133"/>
    <n v="38176108"/>
    <s v="Comedy|Drama|Romance"/>
    <s v="Joseph Gordon-Levitt"/>
    <x v="757"/>
    <n v="222099"/>
    <s v="dating|protective father|school|shrew|teen movie"/>
    <n v="549"/>
    <x v="0"/>
    <x v="0"/>
    <n v="16000000"/>
    <x v="12"/>
    <x v="33"/>
    <n v="16000000"/>
    <n v="38176108"/>
    <x v="757"/>
    <x v="757"/>
    <x v="4"/>
  </r>
  <r>
    <x v="584"/>
    <n v="18"/>
    <n v="20186"/>
    <s v="Comedy"/>
    <s v="Justin Kirk"/>
    <x v="758"/>
    <n v="6025"/>
    <s v="friendship|los angeles california|one night stand|roommate|single mother"/>
    <n v="15"/>
    <x v="0"/>
    <x v="0"/>
    <n v="930000"/>
    <x v="22"/>
    <x v="35"/>
    <n v="930000"/>
    <n v="20186"/>
    <x v="758"/>
    <x v="758"/>
    <x v="4"/>
  </r>
  <r>
    <x v="585"/>
    <n v="65"/>
    <n v="30084"/>
    <s v="Comedy|Drama"/>
    <s v="Anna Kendrick"/>
    <x v="759"/>
    <n v="5507"/>
    <s v="chicago illinois|drink|drinking|filmmaker|writer"/>
    <n v="23"/>
    <x v="0"/>
    <x v="0"/>
    <n v="70000"/>
    <x v="27"/>
    <x v="15"/>
    <n v="70000"/>
    <n v="30084"/>
    <x v="759"/>
    <x v="759"/>
    <x v="4"/>
  </r>
  <r>
    <x v="586"/>
    <n v="220"/>
    <n v="32453345"/>
    <s v="Fantasy|Horror|Thriller"/>
    <s v="Richard Cabral"/>
    <x v="760"/>
    <n v="31791"/>
    <s v="apartment|blood|demonic possession|neighbor|pentagram"/>
    <n v="155"/>
    <x v="0"/>
    <x v="0"/>
    <n v="5000000"/>
    <x v="27"/>
    <x v="53"/>
    <n v="5000000"/>
    <n v="32453345"/>
    <x v="760"/>
    <x v="760"/>
    <x v="9"/>
  </r>
  <r>
    <x v="587"/>
    <n v="28"/>
    <n v="1064277"/>
    <s v="Adventure|Family|Fantasy|Musical"/>
    <s v="Chazz Palminteri"/>
    <x v="761"/>
    <n v="14015"/>
    <s v="balloon|birthday|box office flop|critically bashed"/>
    <n v="83"/>
    <x v="0"/>
    <x v="0"/>
    <n v="20000000"/>
    <x v="28"/>
    <x v="21"/>
    <n v="20000000"/>
    <n v="1064277"/>
    <x v="761"/>
    <x v="761"/>
    <x v="0"/>
  </r>
  <r>
    <x v="588"/>
    <n v="176"/>
    <n v="85911262"/>
    <s v="Comedy|Drama|Family|Musical"/>
    <s v="QuvenzhanÃ© Wallis"/>
    <x v="762"/>
    <n v="24735"/>
    <s v="billionaire|business tycoon|mayoral candidate|penthouse|reference to star trek"/>
    <n v="213"/>
    <x v="0"/>
    <x v="0"/>
    <n v="65000000"/>
    <x v="27"/>
    <x v="44"/>
    <n v="65000000"/>
    <n v="85911262"/>
    <x v="762"/>
    <x v="762"/>
    <x v="4"/>
  </r>
  <r>
    <x v="203"/>
    <n v="104"/>
    <n v="138614544"/>
    <s v="Comedy|Family"/>
    <s v="Tom Welling"/>
    <x v="763"/>
    <n v="75152"/>
    <s v="9 year old|house|illinois|new job|vomiting"/>
    <n v="288"/>
    <x v="0"/>
    <x v="0"/>
    <n v="40000000"/>
    <x v="19"/>
    <x v="30"/>
    <n v="40000000"/>
    <n v="138614544"/>
    <x v="763"/>
    <x v="763"/>
    <x v="4"/>
  </r>
  <r>
    <x v="44"/>
    <n v="64"/>
    <n v="1666262"/>
    <s v="Drama|History|Romance|War"/>
    <s v="Vanessa Redgrave"/>
    <x v="764"/>
    <n v="5321"/>
    <s v="countess|diplomat|japanese|russian|shanghai"/>
    <n v="78"/>
    <x v="0"/>
    <x v="2"/>
    <n v="16000000"/>
    <x v="25"/>
    <x v="21"/>
    <n v="20566399.999999899"/>
    <n v="2141813.1747999899"/>
    <x v="764"/>
    <x v="764"/>
    <x v="5"/>
  </r>
  <r>
    <x v="589"/>
    <n v="474"/>
    <n v="89732035"/>
    <s v="Action|Adventure|Sci-Fi"/>
    <s v="J.K. Simmons"/>
    <x v="765"/>
    <n v="188457"/>
    <s v="alternate timeline|cyborg|future|robot|time machine"/>
    <n v="867"/>
    <x v="0"/>
    <x v="0"/>
    <n v="155000000"/>
    <x v="1"/>
    <x v="14"/>
    <n v="155000000"/>
    <n v="89732035"/>
    <x v="765"/>
    <x v="765"/>
    <x v="1"/>
  </r>
  <r>
    <x v="34"/>
    <n v="84"/>
    <n v="16964743"/>
    <s v="Comedy|Romance"/>
    <s v="Topher Grace"/>
    <x v="766"/>
    <n v="22844"/>
    <s v="best friend|contest|date|small town|west virginia"/>
    <n v="140"/>
    <x v="0"/>
    <x v="0"/>
    <n v="24000000"/>
    <x v="2"/>
    <x v="15"/>
    <n v="24000000"/>
    <n v="16964743"/>
    <x v="766"/>
    <x v="766"/>
    <x v="4"/>
  </r>
  <r>
    <x v="32"/>
    <n v="451"/>
    <n v="334185206"/>
    <s v="Adventure|Family|Fantasy"/>
    <s v="Johnny Depp"/>
    <x v="767"/>
    <n v="306320"/>
    <s v="alice in wonderland|mistaking reality for dream|queen|shrinking|shrinking potion"/>
    <n v="736"/>
    <x v="0"/>
    <x v="0"/>
    <n v="200000000"/>
    <x v="11"/>
    <x v="20"/>
    <n v="200000000"/>
    <n v="334185206"/>
    <x v="767"/>
    <x v="767"/>
    <x v="0"/>
  </r>
  <r>
    <x v="590"/>
    <n v="111"/>
    <n v="375723"/>
    <s v="Comedy|Drama"/>
    <s v="Alex Huszar"/>
    <x v="768"/>
    <n v="7025"/>
    <s v="brazil|exam|housekeeper|northeast region of brazil|portuguese language"/>
    <n v="26"/>
    <x v="14"/>
    <x v="19"/>
    <n v="4000000"/>
    <x v="1"/>
    <x v="19"/>
    <n v="708642"/>
    <n v="66563.274541499995"/>
    <x v="768"/>
    <x v="768"/>
    <x v="4"/>
  </r>
  <r>
    <x v="34"/>
    <n v="132"/>
    <n v="82931301"/>
    <s v="Comedy|Romance"/>
    <s v="Adam Scott"/>
    <x v="769"/>
    <n v="43358"/>
    <s v="breakdown|fight|mother in law|scheme|wedding"/>
    <n v="228"/>
    <x v="0"/>
    <x v="5"/>
    <n v="60000000"/>
    <x v="25"/>
    <x v="28"/>
    <n v="65084400"/>
    <n v="89958899.446740001"/>
    <x v="769"/>
    <x v="769"/>
    <x v="4"/>
  </r>
  <r>
    <x v="591"/>
    <n v="82"/>
    <n v="24397469"/>
    <s v="Drama|Music"/>
    <s v="Omari Hardwick"/>
    <x v="770"/>
    <n v="5161"/>
    <s v="1960s|death|girl group|nightclub|sister"/>
    <n v="48"/>
    <x v="0"/>
    <x v="0"/>
    <n v="17000000"/>
    <x v="28"/>
    <x v="35"/>
    <n v="17000000"/>
    <n v="24397469"/>
    <x v="770"/>
    <x v="770"/>
    <x v="5"/>
  </r>
  <r>
    <x v="345"/>
    <n v="172"/>
    <n v="13008928"/>
    <s v="Horror|Sci-Fi|Thriller"/>
    <s v="Meg Foster"/>
    <x v="771"/>
    <n v="73501"/>
    <s v="alien|brainwashing|construction worker|sunglasses|teleportation"/>
    <n v="333"/>
    <x v="0"/>
    <x v="0"/>
    <n v="4000000"/>
    <x v="34"/>
    <x v="4"/>
    <n v="4000000"/>
    <n v="13008928"/>
    <x v="771"/>
    <x v="771"/>
    <x v="6"/>
  </r>
  <r>
    <x v="446"/>
    <n v="173"/>
    <n v="273420"/>
    <s v="Comedy|Mystery|Sci-Fi|Thriller"/>
    <s v="Janeane Garofalo"/>
    <x v="772"/>
    <n v="32671"/>
    <s v="amnesia|boxer|conspiracy|police|porn star"/>
    <n v="238"/>
    <x v="0"/>
    <x v="8"/>
    <n v="17000000"/>
    <x v="7"/>
    <x v="28"/>
    <n v="18440580"/>
    <n v="296589.61080000002"/>
    <x v="772"/>
    <x v="772"/>
    <x v="4"/>
  </r>
  <r>
    <x v="592"/>
    <n v="104"/>
    <n v="24475416"/>
    <s v="Drama"/>
    <s v="Robert Duvall"/>
    <x v="773"/>
    <n v="72443"/>
    <s v="friend|mental institution|murder|repair shop|small town"/>
    <n v="309"/>
    <x v="0"/>
    <x v="0"/>
    <n v="890000"/>
    <x v="10"/>
    <x v="3"/>
    <n v="890000"/>
    <n v="24475416"/>
    <x v="773"/>
    <x v="773"/>
    <x v="5"/>
  </r>
  <r>
    <x v="12"/>
    <n v="215"/>
    <n v="11284657"/>
    <s v="Drama|Thriller"/>
    <s v="Sebastian Koch"/>
    <x v="774"/>
    <n v="259379"/>
    <s v="east germany|police|secret police|stasi|writer"/>
    <n v="407"/>
    <x v="7"/>
    <x v="5"/>
    <n v="2000000"/>
    <x v="7"/>
    <x v="59"/>
    <n v="2169480"/>
    <n v="12240918.834179999"/>
    <x v="774"/>
    <x v="774"/>
    <x v="5"/>
  </r>
  <r>
    <x v="593"/>
    <n v="34"/>
    <n v="12667"/>
    <s v="Drama|Romance"/>
    <s v="Jason Statham"/>
    <x v="775"/>
    <n v="19336"/>
    <s v="bar|coke|drugs|party|snorting"/>
    <n v="90"/>
    <x v="0"/>
    <x v="2"/>
    <n v="14000"/>
    <x v="25"/>
    <x v="14"/>
    <n v="17995.599999999999"/>
    <n v="16282.1617999999"/>
    <x v="775"/>
    <x v="775"/>
    <x v="5"/>
  </r>
  <r>
    <x v="594"/>
    <n v="673"/>
    <n v="407999255"/>
    <s v="Adventure|Drama|Sci-Fi|Thriller"/>
    <s v="Jennifer Lawrence"/>
    <x v="776"/>
    <n v="701607"/>
    <s v="fight to the death|game|massacre|self survival|suicide attempt"/>
    <n v="1959"/>
    <x v="0"/>
    <x v="0"/>
    <n v="78000000"/>
    <x v="28"/>
    <x v="4"/>
    <n v="78000000"/>
    <n v="407999255"/>
    <x v="776"/>
    <x v="776"/>
    <x v="0"/>
  </r>
  <r>
    <x v="472"/>
    <n v="12"/>
    <n v="27515786"/>
    <s v="Drama|Romance"/>
    <s v="Janet Jackson"/>
    <x v="777"/>
    <n v="8904"/>
    <s v="african american|mail carrier|poetry|postal worker|south central los angeles"/>
    <n v="31"/>
    <x v="0"/>
    <x v="0"/>
    <n v="14000000"/>
    <x v="23"/>
    <x v="0"/>
    <n v="14000000"/>
    <n v="27515786"/>
    <x v="777"/>
    <x v="777"/>
    <x v="5"/>
  </r>
  <r>
    <x v="595"/>
    <n v="230"/>
    <n v="51814190"/>
    <s v="Comedy|Drama"/>
    <s v="Adam Sandler"/>
    <x v="778"/>
    <n v="100837"/>
    <s v="breasts|comedian|craigslist|infidelity|stand up comedian"/>
    <n v="301"/>
    <x v="0"/>
    <x v="0"/>
    <n v="75000000"/>
    <x v="16"/>
    <x v="24"/>
    <n v="75000000"/>
    <n v="51814190"/>
    <x v="778"/>
    <x v="778"/>
    <x v="4"/>
  </r>
  <r>
    <x v="596"/>
    <n v="60"/>
    <n v="4064333"/>
    <s v="Action|Comedy|Sci-Fi"/>
    <s v="Naomi Watts"/>
    <x v="779"/>
    <n v="24790"/>
    <s v="2030s|21st century|desert|jet|tank"/>
    <n v="173"/>
    <x v="0"/>
    <x v="0"/>
    <n v="25000000"/>
    <x v="33"/>
    <x v="44"/>
    <n v="25000000"/>
    <n v="4064333"/>
    <x v="779"/>
    <x v="779"/>
    <x v="1"/>
  </r>
  <r>
    <x v="597"/>
    <n v="54"/>
    <n v="16702864"/>
    <s v="Comedy|Crime"/>
    <s v="Kristen Stewart"/>
    <x v="780"/>
    <n v="8023"/>
    <s v="caper|computer genius|dog|heist|security chief"/>
    <n v="49"/>
    <x v="0"/>
    <x v="0"/>
    <n v="18000000"/>
    <x v="2"/>
    <x v="44"/>
    <n v="18000000"/>
    <n v="16702864"/>
    <x v="780"/>
    <x v="780"/>
    <x v="4"/>
  </r>
  <r>
    <x v="598"/>
    <n v="41"/>
    <n v="1089445"/>
    <s v="Comedy|Drama|Family|Sport"/>
    <s v="Clifton Collins Jr."/>
    <x v="781"/>
    <n v="2676"/>
    <s v="baseball movie|little league|little league baseball|mexico|three word title"/>
    <n v="33"/>
    <x v="0"/>
    <x v="9"/>
    <n v="12500000"/>
    <x v="16"/>
    <x v="16"/>
    <n v="9042562.5"/>
    <n v="788109.960224999"/>
    <x v="781"/>
    <x v="781"/>
    <x v="4"/>
  </r>
  <r>
    <x v="599"/>
    <n v="86"/>
    <n v="21176322"/>
    <s v="Action|Comedy|Crime"/>
    <s v="Dane Cook"/>
    <x v="782"/>
    <n v="23747"/>
    <s v="murder|on the run|security camera|surveillance footage|timebomb"/>
    <n v="207"/>
    <x v="0"/>
    <x v="0"/>
    <n v="40000000"/>
    <x v="2"/>
    <x v="56"/>
    <n v="40000000"/>
    <n v="21176322"/>
    <x v="782"/>
    <x v="782"/>
    <x v="1"/>
  </r>
  <r>
    <x v="229"/>
    <n v="114"/>
    <n v="121248145"/>
    <s v="Action|Adventure|Crime|Thriller"/>
    <s v="Keanu Reeves"/>
    <x v="783"/>
    <n v="260981"/>
    <s v="bomb|bus|elevator|explosive|rescue"/>
    <n v="373"/>
    <x v="0"/>
    <x v="0"/>
    <n v="25000000"/>
    <x v="5"/>
    <x v="33"/>
    <n v="25000000"/>
    <n v="121248145"/>
    <x v="783"/>
    <x v="783"/>
    <x v="1"/>
  </r>
  <r>
    <x v="600"/>
    <n v="73"/>
    <n v="20422207"/>
    <s v="Comedy|Drama|Romance"/>
    <s v="Holly Hunter"/>
    <x v="784"/>
    <n v="15052"/>
    <s v="electronic devices|gynecologist|little black book|plan|set up"/>
    <n v="116"/>
    <x v="0"/>
    <x v="0"/>
    <n v="35000000"/>
    <x v="2"/>
    <x v="44"/>
    <n v="35000000"/>
    <n v="20422207"/>
    <x v="784"/>
    <x v="784"/>
    <x v="4"/>
  </r>
  <r>
    <x v="601"/>
    <n v="65"/>
    <n v="8888355"/>
    <s v="Drama|Music"/>
    <s v="Chris Brown"/>
    <x v="785"/>
    <n v="7894"/>
    <s v="3 dimensional|box office flop|critically bashed|dancing"/>
    <n v="25"/>
    <x v="0"/>
    <x v="0"/>
    <n v="20000000"/>
    <x v="0"/>
    <x v="53"/>
    <n v="20000000"/>
    <n v="8888355"/>
    <x v="785"/>
    <x v="785"/>
    <x v="5"/>
  </r>
  <r>
    <x v="602"/>
    <n v="219"/>
    <n v="34531832"/>
    <s v="Biography|Drama|Sport"/>
    <s v="Will Smith"/>
    <x v="786"/>
    <n v="44788"/>
    <s v="chronic traumatic encephalopathy|concussion|football|football player|pathologist"/>
    <n v="138"/>
    <x v="0"/>
    <x v="2"/>
    <n v="35000000"/>
    <x v="1"/>
    <x v="17"/>
    <n v="44988999.999999903"/>
    <n v="44387216.852799997"/>
    <x v="786"/>
    <x v="786"/>
    <x v="2"/>
  </r>
  <r>
    <x v="603"/>
    <n v="140"/>
    <n v="50173190"/>
    <s v="Drama|Mystery|Sci-Fi"/>
    <s v="Kevin Spacey"/>
    <x v="787"/>
    <n v="148490"/>
    <s v="extraterrestrial|hospital|patient|planet|science"/>
    <n v="537"/>
    <x v="0"/>
    <x v="0"/>
    <n v="48000000"/>
    <x v="9"/>
    <x v="39"/>
    <n v="48000000"/>
    <n v="50173190"/>
    <x v="787"/>
    <x v="787"/>
    <x v="5"/>
  </r>
  <r>
    <x v="604"/>
    <n v="140"/>
    <n v="14888028"/>
    <s v="Adventure|Horror|Thriller"/>
    <s v="Eddie Cibrian"/>
    <x v="788"/>
    <n v="28606"/>
    <s v="cave|diver|diving|flare|parasite"/>
    <n v="262"/>
    <x v="0"/>
    <x v="0"/>
    <n v="30000000"/>
    <x v="25"/>
    <x v="37"/>
    <n v="30000000"/>
    <n v="14888028"/>
    <x v="788"/>
    <x v="788"/>
    <x v="0"/>
  </r>
  <r>
    <x v="605"/>
    <n v="158"/>
    <n v="2344847"/>
    <s v="Drama|Sport"/>
    <s v="Alice Braga"/>
    <x v="789"/>
    <n v="18561"/>
    <s v="bar|debt|fight|instructor|jujitsu"/>
    <n v="119"/>
    <x v="0"/>
    <x v="0"/>
    <n v="7000000"/>
    <x v="20"/>
    <x v="22"/>
    <n v="7000000"/>
    <n v="2344847"/>
    <x v="789"/>
    <x v="789"/>
    <x v="5"/>
  </r>
  <r>
    <x v="201"/>
    <n v="248"/>
    <n v="34293771"/>
    <s v="Action|Adventure|Biography|Drama|History|Romance|War"/>
    <s v="Anthony Hopkins"/>
    <x v="790"/>
    <n v="138863"/>
    <s v="ancient greece|conquest|greek|greek myth|king"/>
    <n v="1390"/>
    <x v="0"/>
    <x v="5"/>
    <n v="155000000"/>
    <x v="2"/>
    <x v="28"/>
    <n v="168134700"/>
    <n v="37199825.154540002"/>
    <x v="790"/>
    <x v="790"/>
    <x v="1"/>
  </r>
  <r>
    <x v="293"/>
    <n v="233"/>
    <n v="32774834"/>
    <s v="Action|Comedy"/>
    <s v="Jeremy Shada"/>
    <x v="791"/>
    <n v="136048"/>
    <s v="actor|arab stereotype|broadway|terrorist|vomiting"/>
    <n v="700"/>
    <x v="0"/>
    <x v="0"/>
    <n v="30000000"/>
    <x v="2"/>
    <x v="33"/>
    <n v="30000000"/>
    <n v="32774834"/>
    <x v="791"/>
    <x v="791"/>
    <x v="1"/>
  </r>
  <r>
    <x v="606"/>
    <n v="104"/>
    <n v="67962333"/>
    <s v="Comedy|Romance"/>
    <s v="Bernie Mac"/>
    <x v="792"/>
    <n v="33887"/>
    <s v="argument|engagement|family relationships|love|undressing"/>
    <n v="160"/>
    <x v="0"/>
    <x v="0"/>
    <n v="35000000"/>
    <x v="25"/>
    <x v="0"/>
    <n v="35000000"/>
    <n v="67962333"/>
    <x v="792"/>
    <x v="792"/>
    <x v="4"/>
  </r>
  <r>
    <x v="607"/>
    <n v="102"/>
    <n v="285761243"/>
    <s v="Comedy|Family"/>
    <s v="Macaulay Culkin"/>
    <x v="793"/>
    <n v="311075"/>
    <s v="airport|child protagonist|child swearing|christmas|home alone"/>
    <n v="305"/>
    <x v="0"/>
    <x v="0"/>
    <n v="18000000"/>
    <x v="32"/>
    <x v="2"/>
    <n v="18000000"/>
    <n v="285761243"/>
    <x v="793"/>
    <x v="793"/>
    <x v="4"/>
  </r>
  <r>
    <x v="608"/>
    <n v="98"/>
    <n v="57469179"/>
    <s v="Fantasy|Horror"/>
    <s v="Miko Hughes"/>
    <x v="794"/>
    <n v="63855"/>
    <s v="cat|cemetery|maine|secret|woods"/>
    <n v="248"/>
    <x v="0"/>
    <x v="0"/>
    <n v="11500000"/>
    <x v="26"/>
    <x v="14"/>
    <n v="11500000"/>
    <n v="57469179"/>
    <x v="794"/>
    <x v="794"/>
    <x v="9"/>
  </r>
  <r>
    <x v="97"/>
    <n v="80"/>
    <n v="50016394"/>
    <s v="Action|Adventure|Comedy|Fantasy"/>
    <s v="F. Murray Abraham"/>
    <x v="795"/>
    <n v="106528"/>
    <s v="action hero|hero|magic|ticket|video store"/>
    <n v="257"/>
    <x v="0"/>
    <x v="0"/>
    <n v="70000000"/>
    <x v="23"/>
    <x v="5"/>
    <n v="70000000"/>
    <n v="50016394"/>
    <x v="795"/>
    <x v="795"/>
    <x v="1"/>
  </r>
  <r>
    <x v="609"/>
    <n v="45"/>
    <n v="39399750"/>
    <s v="Adventure|Animation|Comedy|Family|Fantasy|Musical"/>
    <s v="Elizabeth Daily"/>
    <x v="796"/>
    <n v="5674"/>
    <s v="kid|oxygen|rugrats|trapped underwater|underwater"/>
    <n v="35"/>
    <x v="0"/>
    <x v="0"/>
    <n v="25000000"/>
    <x v="19"/>
    <x v="15"/>
    <n v="25000000"/>
    <n v="39399750"/>
    <x v="796"/>
    <x v="796"/>
    <x v="0"/>
  </r>
  <r>
    <x v="281"/>
    <n v="252"/>
    <n v="5923044"/>
    <s v="Comedy|Fantasy|Horror|Thriller"/>
    <s v="Ted Raimi"/>
    <x v="797"/>
    <n v="113451"/>
    <s v="cabin|cabin in the woods|demon|evil dead|woods"/>
    <n v="537"/>
    <x v="0"/>
    <x v="0"/>
    <n v="3600000"/>
    <x v="21"/>
    <x v="38"/>
    <n v="3600000"/>
    <n v="5923044"/>
    <x v="797"/>
    <x v="797"/>
    <x v="4"/>
  </r>
  <r>
    <x v="610"/>
    <n v="471"/>
    <n v="27296514"/>
    <s v="Biography|Drama"/>
    <s v="Matthew McConaughey"/>
    <x v="798"/>
    <n v="326494"/>
    <s v="drugs|fda|gay community|hiv|homophobia"/>
    <n v="340"/>
    <x v="0"/>
    <x v="0"/>
    <n v="5000000"/>
    <x v="0"/>
    <x v="3"/>
    <n v="5000000"/>
    <n v="27296514"/>
    <x v="798"/>
    <x v="798"/>
    <x v="2"/>
  </r>
  <r>
    <x v="611"/>
    <n v="180"/>
    <n v="145771527"/>
    <s v="Adventure|Animation|Comedy|Drama|Family|Fantasy|Sci-Fi"/>
    <s v="Tia Carrere"/>
    <x v="799"/>
    <n v="117212"/>
    <s v="alien|escape|fugitive|hawaii|social worker"/>
    <n v="367"/>
    <x v="0"/>
    <x v="0"/>
    <n v="80000000"/>
    <x v="13"/>
    <x v="33"/>
    <n v="80000000"/>
    <n v="145771527"/>
    <x v="799"/>
    <x v="799"/>
    <x v="0"/>
  </r>
  <r>
    <x v="182"/>
    <n v="447"/>
    <n v="225377"/>
    <s v="Drama|Romance"/>
    <s v="Isabelle Huppert"/>
    <x v="800"/>
    <n v="70382"/>
    <s v="aging|daughter|old couple|old love|stroke"/>
    <n v="190"/>
    <x v="4"/>
    <x v="8"/>
    <n v="8900000"/>
    <x v="28"/>
    <x v="19"/>
    <n v="9654186"/>
    <n v="244475.44698000001"/>
    <x v="800"/>
    <x v="800"/>
    <x v="5"/>
  </r>
  <r>
    <x v="612"/>
    <n v="18"/>
    <n v="54215416"/>
    <s v="Biography|Drama|Music"/>
    <s v="Esai Morales"/>
    <x v="801"/>
    <n v="21409"/>
    <s v="crash|hispanic|interracial relationship|interracial romance|racism"/>
    <n v="63"/>
    <x v="0"/>
    <x v="0"/>
    <n v="6500000"/>
    <x v="21"/>
    <x v="22"/>
    <n v="6500000"/>
    <n v="54215416"/>
    <x v="801"/>
    <x v="801"/>
    <x v="2"/>
  </r>
  <r>
    <x v="371"/>
    <n v="34"/>
    <n v="75078"/>
    <s v="Comedy"/>
    <s v="Anna Friel"/>
    <x v="802"/>
    <n v="1398"/>
    <s v="alopecia|belfast northern ireland|ireland|irish republican army|scalper"/>
    <n v="26"/>
    <x v="0"/>
    <x v="0"/>
    <n v="14000000"/>
    <x v="4"/>
    <x v="23"/>
    <n v="14000000"/>
    <n v="75078"/>
    <x v="802"/>
    <x v="802"/>
    <x v="4"/>
  </r>
  <r>
    <x v="592"/>
    <n v="85"/>
    <n v="15527125"/>
    <s v="Drama|Romance|Western"/>
    <s v="Matt Damon"/>
    <x v="803"/>
    <n v="11388"/>
    <s v="1940s|cowboy|mexico|railway station|texas"/>
    <n v="183"/>
    <x v="0"/>
    <x v="0"/>
    <n v="57000000"/>
    <x v="4"/>
    <x v="30"/>
    <n v="57000000"/>
    <n v="15527125"/>
    <x v="803"/>
    <x v="803"/>
    <x v="5"/>
  </r>
  <r>
    <x v="549"/>
    <n v="87"/>
    <n v="7262288"/>
    <s v="Comedy|Crime|Thriller"/>
    <s v="Zooey Deschanel"/>
    <x v="804"/>
    <n v="17307"/>
    <s v="airport|fbi agent|person in a car trunk|suitcase|suitcase bomb"/>
    <n v="186"/>
    <x v="0"/>
    <x v="0"/>
    <n v="40000000"/>
    <x v="13"/>
    <x v="20"/>
    <n v="40000000"/>
    <n v="7262288"/>
    <x v="804"/>
    <x v="804"/>
    <x v="4"/>
  </r>
  <r>
    <x v="613"/>
    <n v="59"/>
    <n v="17843379"/>
    <s v="Comedy|Drama|Romance"/>
    <s v="Stephen Collins"/>
    <x v="805"/>
    <n v="14904"/>
    <s v="centennial|girl|next door neighbor|prom|school"/>
    <n v="147"/>
    <x v="0"/>
    <x v="0"/>
    <n v="8000000"/>
    <x v="12"/>
    <x v="35"/>
    <n v="8000000"/>
    <n v="17843379"/>
    <x v="805"/>
    <x v="805"/>
    <x v="4"/>
  </r>
  <r>
    <x v="96"/>
    <n v="83"/>
    <n v="1040879"/>
    <s v="Comedy|Crime|Drama"/>
    <s v="Andrew Wilson"/>
    <x v="806"/>
    <n v="54478"/>
    <s v="caper|escapade|motel|robbery|texas"/>
    <n v="184"/>
    <x v="0"/>
    <x v="0"/>
    <n v="7000000"/>
    <x v="10"/>
    <x v="17"/>
    <n v="7000000"/>
    <n v="1040879"/>
    <x v="806"/>
    <x v="806"/>
    <x v="4"/>
  </r>
  <r>
    <x v="614"/>
    <n v="125"/>
    <n v="7825820"/>
    <s v="Crime|Mystery|Thriller"/>
    <s v="Robin Williams"/>
    <x v="807"/>
    <n v="13086"/>
    <s v="boy|radio show|social worker|telephone|wisconsin"/>
    <n v="156"/>
    <x v="0"/>
    <x v="0"/>
    <n v="4000000"/>
    <x v="7"/>
    <x v="0"/>
    <n v="4000000"/>
    <n v="7825820"/>
    <x v="807"/>
    <x v="807"/>
    <x v="3"/>
  </r>
  <r>
    <x v="615"/>
    <n v="225"/>
    <n v="114053579"/>
    <s v="Adventure|Animation|Comedy|Drama|Family"/>
    <s v="ChloÃ« Grace Moretz"/>
    <x v="808"/>
    <n v="146766"/>
    <s v="cat|dog|hamster|new york city|superpower"/>
    <n v="178"/>
    <x v="0"/>
    <x v="0"/>
    <n v="150000000"/>
    <x v="20"/>
    <x v="31"/>
    <n v="150000000"/>
    <n v="114053579"/>
    <x v="808"/>
    <x v="808"/>
    <x v="0"/>
  </r>
  <r>
    <x v="616"/>
    <n v="109"/>
    <n v="4040588"/>
    <s v="Comedy|Drama"/>
    <s v="Alan Rickman"/>
    <x v="809"/>
    <n v="12233"/>
    <s v="airport|california|flat tire|overalls|wine"/>
    <n v="89"/>
    <x v="0"/>
    <x v="0"/>
    <n v="5000000"/>
    <x v="20"/>
    <x v="22"/>
    <n v="5000000"/>
    <n v="4040588"/>
    <x v="809"/>
    <x v="809"/>
    <x v="4"/>
  </r>
  <r>
    <x v="106"/>
    <n v="61"/>
    <n v="10397365"/>
    <s v="Comedy|Mystery|Romance"/>
    <s v="Monica Potter"/>
    <x v="810"/>
    <n v="11693"/>
    <s v="apartment|fast motion scene|model|private investigation|suspected murder"/>
    <n v="104"/>
    <x v="0"/>
    <x v="0"/>
    <n v="14000000"/>
    <x v="9"/>
    <x v="26"/>
    <n v="14000000"/>
    <n v="10397365"/>
    <x v="810"/>
    <x v="810"/>
    <x v="4"/>
  </r>
  <r>
    <x v="227"/>
    <n v="120"/>
    <n v="23292105"/>
    <s v="Action|Fantasy|Horror|Thriller"/>
    <s v="Laura Ramsey"/>
    <x v="811"/>
    <n v="39541"/>
    <s v="family secret|friendship between men|magic|supernatural power|teenager"/>
    <n v="334"/>
    <x v="0"/>
    <x v="0"/>
    <n v="20000000"/>
    <x v="7"/>
    <x v="1"/>
    <n v="20000000"/>
    <n v="23292105"/>
    <x v="811"/>
    <x v="811"/>
    <x v="1"/>
  </r>
  <r>
    <x v="528"/>
    <n v="211"/>
    <n v="5792822"/>
    <s v="Drama|Romance"/>
    <s v="Vernon Dobtcheff"/>
    <x v="812"/>
    <n v="168398"/>
    <s v="book|bookstore|love|simultaneity|train"/>
    <n v="492"/>
    <x v="0"/>
    <x v="0"/>
    <n v="2700000"/>
    <x v="2"/>
    <x v="3"/>
    <n v="2700000"/>
    <n v="5792822"/>
    <x v="812"/>
    <x v="812"/>
    <x v="5"/>
  </r>
  <r>
    <x v="258"/>
    <n v="180"/>
    <n v="148383780"/>
    <s v="Comedy|Romance"/>
    <s v="Robert De Niro"/>
    <x v="813"/>
    <n v="85531"/>
    <s v="birthday|critically bashed|male nurse|nurse|suspicion"/>
    <n v="152"/>
    <x v="0"/>
    <x v="0"/>
    <n v="100000000"/>
    <x v="11"/>
    <x v="28"/>
    <n v="100000000"/>
    <n v="148383780"/>
    <x v="813"/>
    <x v="813"/>
    <x v="4"/>
  </r>
  <r>
    <x v="617"/>
    <n v="74"/>
    <n v="13350177"/>
    <s v="Drama|Horror|Thriller"/>
    <s v="Jessica Lowndes"/>
    <x v="814"/>
    <n v="7904"/>
    <s v="18th birthday|birthday|community center|resurrection|teenager"/>
    <n v="113"/>
    <x v="0"/>
    <x v="0"/>
    <n v="5000000"/>
    <x v="20"/>
    <x v="54"/>
    <n v="5000000"/>
    <n v="13350177"/>
    <x v="814"/>
    <x v="814"/>
    <x v="5"/>
  </r>
  <r>
    <x v="618"/>
    <n v="110"/>
    <n v="17803796"/>
    <s v="Comedy"/>
    <s v="Jon Heder"/>
    <x v="815"/>
    <n v="26100"/>
    <s v="paintball|paintball gun|pepper spray|tennis|what happened to epilogue"/>
    <n v="97"/>
    <x v="0"/>
    <x v="0"/>
    <n v="20000000"/>
    <x v="7"/>
    <x v="0"/>
    <n v="20000000"/>
    <n v="17803796"/>
    <x v="815"/>
    <x v="815"/>
    <x v="4"/>
  </r>
  <r>
    <x v="619"/>
    <n v="94"/>
    <n v="25178165"/>
    <s v="Drama|Romance"/>
    <s v="Keanu Reeves"/>
    <x v="816"/>
    <n v="70292"/>
    <s v="advertising|cancer|dog|san francisco california|terminal illness"/>
    <n v="274"/>
    <x v="0"/>
    <x v="0"/>
    <n v="40000000"/>
    <x v="9"/>
    <x v="21"/>
    <n v="40000000"/>
    <n v="25178165"/>
    <x v="816"/>
    <x v="816"/>
    <x v="5"/>
  </r>
  <r>
    <x v="9"/>
    <n v="28"/>
    <n v="5731103"/>
    <s v="Drama|History"/>
    <s v="Bernie Mac"/>
    <x v="817"/>
    <n v="4100"/>
    <s v="actor|bus|march|million man march|religion"/>
    <n v="35"/>
    <x v="0"/>
    <x v="0"/>
    <n v="2400000"/>
    <x v="10"/>
    <x v="22"/>
    <n v="2400000"/>
    <n v="5731103"/>
    <x v="817"/>
    <x v="817"/>
    <x v="5"/>
  </r>
  <r>
    <x v="620"/>
    <n v="257"/>
    <n v="187165546"/>
    <s v="Adventure|Animation|Comedy|Family|Fantasy"/>
    <s v="Ryan Reynolds"/>
    <x v="818"/>
    <n v="150618"/>
    <s v="cave|caveman|journey|strict father|survival"/>
    <n v="195"/>
    <x v="0"/>
    <x v="0"/>
    <n v="135000000"/>
    <x v="0"/>
    <x v="4"/>
    <n v="135000000"/>
    <n v="187165546"/>
    <x v="818"/>
    <x v="818"/>
    <x v="0"/>
  </r>
  <r>
    <x v="446"/>
    <n v="283"/>
    <n v="727883"/>
    <s v="Drama|Sci-Fi|Thriller"/>
    <s v="Jake Gyllenhaal"/>
    <x v="819"/>
    <n v="580999"/>
    <s v="1980s|death|insanity|parallel universe|time travel"/>
    <n v="2110"/>
    <x v="0"/>
    <x v="0"/>
    <n v="4500000"/>
    <x v="9"/>
    <x v="40"/>
    <n v="4500000"/>
    <n v="727883"/>
    <x v="819"/>
    <x v="819"/>
    <x v="5"/>
  </r>
  <r>
    <x v="130"/>
    <n v="166"/>
    <n v="57366262"/>
    <s v="Adventure|Drama|Thriller"/>
    <s v="Leonardo DiCaprio"/>
    <x v="820"/>
    <n v="400292"/>
    <s v="diamond|elephant|fisherman|rebel|sierra leone"/>
    <n v="657"/>
    <x v="0"/>
    <x v="5"/>
    <n v="100000000"/>
    <x v="7"/>
    <x v="3"/>
    <n v="108474000"/>
    <n v="62227479.041879997"/>
    <x v="820"/>
    <x v="820"/>
    <x v="0"/>
  </r>
  <r>
    <x v="482"/>
    <n v="231"/>
    <n v="89706988"/>
    <s v="Drama|Mystery|Thriller"/>
    <s v="Erika Christensen"/>
    <x v="821"/>
    <n v="126746"/>
    <s v="captain|flight|flight attendant|plane|search"/>
    <n v="600"/>
    <x v="0"/>
    <x v="0"/>
    <n v="55000000"/>
    <x v="25"/>
    <x v="5"/>
    <n v="55000000"/>
    <n v="89706988"/>
    <x v="821"/>
    <x v="821"/>
    <x v="5"/>
  </r>
  <r>
    <x v="618"/>
    <n v="123"/>
    <n v="74608545"/>
    <s v="Comedy"/>
    <s v="Will Ferrell"/>
    <x v="822"/>
    <n v="185258"/>
    <s v="college|fraternity|friend|house|party"/>
    <n v="404"/>
    <x v="0"/>
    <x v="0"/>
    <n v="24000000"/>
    <x v="19"/>
    <x v="33"/>
    <n v="24000000"/>
    <n v="74608545"/>
    <x v="822"/>
    <x v="822"/>
    <x v="4"/>
  </r>
  <r>
    <x v="621"/>
    <n v="59"/>
    <n v="35927406"/>
    <s v="Action|Adventure|Fantasy|Sci-Fi|Thriller"/>
    <s v="Brian Thompson"/>
    <x v="823"/>
    <n v="36363"/>
    <s v="alternate reality|battle|martial arts|mortal kombat|warrior"/>
    <n v="256"/>
    <x v="0"/>
    <x v="0"/>
    <n v="30000000"/>
    <x v="31"/>
    <x v="50"/>
    <n v="30000000"/>
    <n v="35927406"/>
    <x v="823"/>
    <x v="823"/>
    <x v="1"/>
  </r>
  <r>
    <x v="622"/>
    <n v="85"/>
    <n v="47887943"/>
    <s v="Adventure|Animation|Family|Musical"/>
    <s v="Haley Joel Osment"/>
    <x v="824"/>
    <n v="11634"/>
    <s v="dog|jungle|shot gun|tiger|village"/>
    <n v="58"/>
    <x v="0"/>
    <x v="0"/>
    <n v="20000000"/>
    <x v="19"/>
    <x v="26"/>
    <n v="20000000"/>
    <n v="47887943"/>
    <x v="824"/>
    <x v="824"/>
    <x v="0"/>
  </r>
  <r>
    <x v="132"/>
    <n v="385"/>
    <n v="260000000"/>
    <s v="Adventure|Drama|Thriller"/>
    <s v="Roy Scheider"/>
    <x v="825"/>
    <n v="412454"/>
    <s v="beach|blockbuster|fishing|great white shark|shark"/>
    <n v="962"/>
    <x v="0"/>
    <x v="0"/>
    <n v="8000000"/>
    <x v="51"/>
    <x v="3"/>
    <n v="8000000"/>
    <n v="260000000"/>
    <x v="825"/>
    <x v="825"/>
    <x v="0"/>
  </r>
  <r>
    <x v="623"/>
    <n v="166"/>
    <n v="37567440"/>
    <s v="Adventure|Fantasy"/>
    <s v="William Smith"/>
    <x v="826"/>
    <n v="113068"/>
    <s v="actual animal killed|cult|evil sorcerer|gladiator|warlord"/>
    <n v="337"/>
    <x v="0"/>
    <x v="0"/>
    <n v="20000000"/>
    <x v="42"/>
    <x v="31"/>
    <n v="20000000"/>
    <n v="37567440"/>
    <x v="826"/>
    <x v="826"/>
    <x v="0"/>
  </r>
  <r>
    <x v="195"/>
    <n v="152"/>
    <n v="4859475"/>
    <s v="Drama|Romance"/>
    <s v="Kirsten Dunst"/>
    <x v="827"/>
    <n v="116910"/>
    <s v="catholic|five sisters|isolation|school|suicide"/>
    <n v="520"/>
    <x v="0"/>
    <x v="0"/>
    <n v="6000000"/>
    <x v="12"/>
    <x v="33"/>
    <n v="6000000"/>
    <n v="4859475"/>
    <x v="827"/>
    <x v="827"/>
    <x v="5"/>
  </r>
  <r>
    <x v="187"/>
    <n v="206"/>
    <n v="30651422"/>
    <s v="Adventure|Comedy|Drama|Fantasy"/>
    <s v="Matt Damon"/>
    <x v="828"/>
    <n v="181737"/>
    <s v="abortion|abortion clinic|angel|church|clinic"/>
    <n v="1015"/>
    <x v="0"/>
    <x v="0"/>
    <n v="10000000"/>
    <x v="12"/>
    <x v="39"/>
    <n v="10000000"/>
    <n v="30651422"/>
    <x v="828"/>
    <x v="828"/>
    <x v="0"/>
  </r>
  <r>
    <x v="624"/>
    <n v="167"/>
    <n v="35143332"/>
    <s v="Horror"/>
    <s v="Nicki Aycox"/>
    <x v="829"/>
    <n v="45102"/>
    <s v="cheerleader|farmer|fear|high school basketball|nightmare"/>
    <n v="316"/>
    <x v="0"/>
    <x v="0"/>
    <n v="17000000"/>
    <x v="19"/>
    <x v="15"/>
    <n v="17000000"/>
    <n v="35143332"/>
    <x v="829"/>
    <x v="829"/>
    <x v="6"/>
  </r>
  <r>
    <x v="625"/>
    <n v="414"/>
    <n v="14938570"/>
    <s v="Crime|Thriller"/>
    <s v="Brad Pitt"/>
    <x v="830"/>
    <n v="111625"/>
    <s v="exploding car|hit by a car|poker game|punched in the face|shot to death"/>
    <n v="369"/>
    <x v="0"/>
    <x v="0"/>
    <n v="15000000"/>
    <x v="28"/>
    <x v="5"/>
    <n v="15000000"/>
    <n v="14938570"/>
    <x v="830"/>
    <x v="830"/>
    <x v="3"/>
  </r>
  <r>
    <x v="415"/>
    <n v="175"/>
    <n v="76806312"/>
    <s v="Comedy|Romance"/>
    <s v="Judy Greer"/>
    <x v="831"/>
    <n v="124501"/>
    <s v="boss|bridesmaid|friend|love|wedding"/>
    <n v="154"/>
    <x v="0"/>
    <x v="0"/>
    <n v="30000000"/>
    <x v="20"/>
    <x v="7"/>
    <n v="30000000"/>
    <n v="76806312"/>
    <x v="831"/>
    <x v="831"/>
    <x v="4"/>
  </r>
  <r>
    <x v="626"/>
    <n v="16"/>
    <n v="700000"/>
    <s v="Comedy|Fantasy|Sci-Fi"/>
    <s v="Christian Clavier"/>
    <x v="832"/>
    <n v="24438"/>
    <s v="distant past|future time travel|nobleman|squire|trapped in the past"/>
    <n v="78"/>
    <x v="4"/>
    <x v="8"/>
    <n v="50000000"/>
    <x v="23"/>
    <x v="16"/>
    <n v="54237000"/>
    <n v="759318"/>
    <x v="832"/>
    <x v="832"/>
    <x v="4"/>
  </r>
  <r>
    <x v="627"/>
    <n v="45"/>
    <n v="6420319"/>
    <s v="Drama|War"/>
    <s v="Tom Wilkinson"/>
    <x v="833"/>
    <n v="15978"/>
    <s v=""/>
    <n v="122"/>
    <x v="0"/>
    <x v="13"/>
    <n v="20000000"/>
    <x v="1"/>
    <x v="39"/>
    <n v="1084093.8"/>
    <n v="348011.40109611"/>
    <x v="833"/>
    <x v="833"/>
    <x v="5"/>
  </r>
  <r>
    <x v="156"/>
    <n v="269"/>
    <n v="66636385"/>
    <s v="Biography|Comedy|Drama|History"/>
    <s v="Philip Seymour Hoffman"/>
    <x v="834"/>
    <n v="88451"/>
    <s v="afghanistan|arms dealer|based on true story|cia|texas"/>
    <n v="289"/>
    <x v="0"/>
    <x v="0"/>
    <n v="75000000"/>
    <x v="15"/>
    <x v="17"/>
    <n v="75000000"/>
    <n v="66636385"/>
    <x v="834"/>
    <x v="834"/>
    <x v="2"/>
  </r>
  <r>
    <x v="415"/>
    <n v="224"/>
    <n v="163947053"/>
    <s v="Comedy|Drama|Romance"/>
    <s v="Ryan Reynolds"/>
    <x v="835"/>
    <n v="227824"/>
    <s v="alaska|deportation|father son relationship|male objectification|sitka alaska"/>
    <n v="273"/>
    <x v="0"/>
    <x v="0"/>
    <n v="40000000"/>
    <x v="16"/>
    <x v="21"/>
    <n v="40000000"/>
    <n v="163947053"/>
    <x v="835"/>
    <x v="835"/>
    <x v="4"/>
  </r>
  <r>
    <x v="28"/>
    <n v="156"/>
    <n v="147637474"/>
    <s v="Comedy|Drama|Romance"/>
    <s v="Lupe Ontiveros"/>
    <x v="836"/>
    <n v="224671"/>
    <s v="dog|friendship|neighbor|unlikely friendship|writer"/>
    <n v="470"/>
    <x v="0"/>
    <x v="0"/>
    <n v="50000000"/>
    <x v="31"/>
    <x v="9"/>
    <n v="50000000"/>
    <n v="147637474"/>
    <x v="836"/>
    <x v="836"/>
    <x v="4"/>
  </r>
  <r>
    <x v="628"/>
    <n v="261"/>
    <n v="16901126"/>
    <s v="Crime|Horror"/>
    <s v="Sid Haig"/>
    <x v="837"/>
    <n v="76267"/>
    <s v="escape|police|road trip|sheriff|texas"/>
    <n v="687"/>
    <x v="0"/>
    <x v="0"/>
    <n v="7000000"/>
    <x v="25"/>
    <x v="31"/>
    <n v="7000000"/>
    <n v="16901126"/>
    <x v="837"/>
    <x v="837"/>
    <x v="3"/>
  </r>
  <r>
    <x v="547"/>
    <n v="271"/>
    <n v="28747570"/>
    <s v="Biography|Crime|Drama"/>
    <s v="Philip Seymour Hoffman"/>
    <x v="838"/>
    <n v="100571"/>
    <s v="book|holcomb kansas|kansas|killer|truman capote"/>
    <n v="416"/>
    <x v="0"/>
    <x v="9"/>
    <n v="7000000"/>
    <x v="25"/>
    <x v="39"/>
    <n v="5063835"/>
    <n v="20796135.875849999"/>
    <x v="838"/>
    <x v="838"/>
    <x v="2"/>
  </r>
  <r>
    <x v="202"/>
    <n v="242"/>
    <n v="2035566"/>
    <s v="Biography|Comedy|Crime|Drama|Romance"/>
    <s v="Dameon Clarke"/>
    <x v="839"/>
    <n v="77305"/>
    <s v="character name in title|con artist|fraud|gay|prison break"/>
    <n v="162"/>
    <x v="0"/>
    <x v="8"/>
    <n v="13000000"/>
    <x v="16"/>
    <x v="14"/>
    <n v="14101620"/>
    <n v="2208059.8628400001"/>
    <x v="839"/>
    <x v="839"/>
    <x v="2"/>
  </r>
  <r>
    <x v="629"/>
    <n v="102"/>
    <n v="1500000"/>
    <s v="Adventure|Drama|Western"/>
    <s v="Jeff Bridges"/>
    <x v="840"/>
    <n v="9830"/>
    <s v="1890s|hired gun|immigrant|johnson county war|sheriff"/>
    <n v="189"/>
    <x v="0"/>
    <x v="0"/>
    <n v="44000000"/>
    <x v="52"/>
    <x v="22"/>
    <n v="44000000"/>
    <n v="1500000"/>
    <x v="840"/>
    <x v="840"/>
    <x v="0"/>
  </r>
  <r>
    <x v="207"/>
    <n v="76"/>
    <n v="42168445"/>
    <s v="Comedy|Drama|Romance"/>
    <s v="Mo'Nique"/>
    <x v="841"/>
    <n v="10791"/>
    <s v="african american protagonist|comma in title|four word title|name in title|talk show host"/>
    <n v="39"/>
    <x v="0"/>
    <x v="0"/>
    <n v="35000000"/>
    <x v="20"/>
    <x v="1"/>
    <n v="35000000"/>
    <n v="42168445"/>
    <x v="841"/>
    <x v="841"/>
    <x v="4"/>
  </r>
  <r>
    <x v="630"/>
    <n v="99"/>
    <n v="24430272"/>
    <s v="Comedy|Romance"/>
    <s v="Judith Chapman"/>
    <x v="842"/>
    <n v="46158"/>
    <s v="female removes her clothes|roommate|voyeur|voyeurism|wedding"/>
    <n v="403"/>
    <x v="0"/>
    <x v="0"/>
    <n v="43000000"/>
    <x v="13"/>
    <x v="37"/>
    <n v="43000000"/>
    <n v="24430272"/>
    <x v="842"/>
    <x v="842"/>
    <x v="4"/>
  </r>
  <r>
    <x v="77"/>
    <n v="181"/>
    <n v="60874615"/>
    <s v="Adventure|Sci-Fi|Thriller"/>
    <s v="Don Cheadle"/>
    <x v="843"/>
    <n v="60467"/>
    <s v="astronaut|mars|mars the planet|outer space|zero gravity"/>
    <n v="949"/>
    <x v="0"/>
    <x v="0"/>
    <n v="90000000"/>
    <x v="4"/>
    <x v="15"/>
    <n v="90000000"/>
    <n v="60874615"/>
    <x v="843"/>
    <x v="843"/>
    <x v="0"/>
  </r>
  <r>
    <x v="631"/>
    <n v="55"/>
    <n v="57176582"/>
    <s v="Comedy"/>
    <s v="John Witherspoon"/>
    <x v="844"/>
    <n v="27492"/>
    <s v="african american|flashback|marijuana joint|porn magazine|suburb"/>
    <n v="84"/>
    <x v="0"/>
    <x v="0"/>
    <n v="9500000"/>
    <x v="4"/>
    <x v="7"/>
    <n v="9500000"/>
    <n v="57176582"/>
    <x v="844"/>
    <x v="844"/>
    <x v="4"/>
  </r>
  <r>
    <x v="632"/>
    <n v="279"/>
    <n v="58700247"/>
    <s v="Drama|Romance"/>
    <s v="Robert Pattinson"/>
    <x v="845"/>
    <n v="95367"/>
    <s v="circus|circus vargas|elephant|fear|train"/>
    <n v="260"/>
    <x v="0"/>
    <x v="0"/>
    <n v="38000000"/>
    <x v="22"/>
    <x v="31"/>
    <n v="38000000"/>
    <n v="58700247"/>
    <x v="845"/>
    <x v="845"/>
    <x v="5"/>
  </r>
  <r>
    <x v="539"/>
    <n v="72"/>
    <n v="8326035"/>
    <s v="Action|Comedy|Crime"/>
    <s v="Miguel Ferrer"/>
    <x v="846"/>
    <n v="21933"/>
    <s v="buddy comedy|criminal|gun smuggling|mistaken identity|salesman"/>
    <n v="76"/>
    <x v="0"/>
    <x v="5"/>
    <n v="33000000"/>
    <x v="25"/>
    <x v="28"/>
    <n v="35796420"/>
    <n v="9031583.2059000004"/>
    <x v="846"/>
    <x v="846"/>
    <x v="1"/>
  </r>
  <r>
    <x v="128"/>
    <n v="117"/>
    <n v="126203320"/>
    <s v="Comedy|Romance"/>
    <s v="Steve Buscemi"/>
    <x v="847"/>
    <n v="110432"/>
    <s v="abbreviation in title|reporter|small town|sudden wealth|unknowing heir"/>
    <n v="309"/>
    <x v="0"/>
    <x v="0"/>
    <n v="50000000"/>
    <x v="13"/>
    <x v="30"/>
    <n v="50000000"/>
    <n v="126203320"/>
    <x v="847"/>
    <x v="847"/>
    <x v="4"/>
  </r>
  <r>
    <x v="633"/>
    <n v="120"/>
    <n v="43650000"/>
    <s v="Crime|Drama|Musical|Romance|Thriller"/>
    <s v="Rita Moreno"/>
    <x v="848"/>
    <n v="71919"/>
    <s v="dance|gang|new york city|puerto rican|tragedy"/>
    <n v="316"/>
    <x v="0"/>
    <x v="0"/>
    <n v="6000000"/>
    <x v="54"/>
    <x v="10"/>
    <n v="6000000"/>
    <n v="43650000"/>
    <x v="848"/>
    <x v="848"/>
    <x v="3"/>
  </r>
  <r>
    <x v="634"/>
    <n v="228"/>
    <n v="47553512"/>
    <s v="Action|Thriller"/>
    <s v="Matt Walsh"/>
    <x v="849"/>
    <n v="54101"/>
    <s v="danger|graduation|storm|teenage boy|tornado"/>
    <n v="210"/>
    <x v="0"/>
    <x v="0"/>
    <n v="50000000"/>
    <x v="27"/>
    <x v="30"/>
    <n v="50000000"/>
    <n v="47553512"/>
    <x v="849"/>
    <x v="849"/>
    <x v="1"/>
  </r>
  <r>
    <x v="635"/>
    <n v="119"/>
    <n v="116724075"/>
    <s v="Drama|Music"/>
    <s v="Mekhi Phifer"/>
    <x v="850"/>
    <n v="187181"/>
    <s v="competition|contest|friend|self expression|white rapper"/>
    <n v="564"/>
    <x v="0"/>
    <x v="0"/>
    <n v="41000000"/>
    <x v="13"/>
    <x v="16"/>
    <n v="41000000"/>
    <n v="116724075"/>
    <x v="850"/>
    <x v="850"/>
    <x v="5"/>
  </r>
  <r>
    <x v="297"/>
    <n v="517"/>
    <n v="102515793"/>
    <s v="Crime|Drama|Mystery|Thriller"/>
    <s v="Robin Wright"/>
    <x v="851"/>
    <n v="330152"/>
    <s v="computer hacker|hacker|investigation|journalist|punk"/>
    <n v="632"/>
    <x v="0"/>
    <x v="0"/>
    <n v="90000000"/>
    <x v="22"/>
    <x v="38"/>
    <n v="90000000"/>
    <n v="102515793"/>
    <x v="851"/>
    <x v="851"/>
    <x v="3"/>
  </r>
  <r>
    <x v="636"/>
    <n v="415"/>
    <n v="209019489"/>
    <s v="Action|Adventure|Crime|Mystery|Thriller"/>
    <s v="Robert Downey Jr."/>
    <x v="852"/>
    <n v="477300"/>
    <s v="black magic|bridge construction|professor moriarty|scotland yard inspector|sherlock holmes"/>
    <n v="621"/>
    <x v="0"/>
    <x v="0"/>
    <n v="90000000"/>
    <x v="16"/>
    <x v="10"/>
    <n v="90000000"/>
    <n v="209019489"/>
    <x v="852"/>
    <x v="852"/>
    <x v="1"/>
  </r>
  <r>
    <x v="637"/>
    <n v="325"/>
    <n v="16300302"/>
    <s v="Comedy|Drama"/>
    <s v="Charlize Theron"/>
    <x v="853"/>
    <n v="64682"/>
    <s v="car damage|computer printer|female band|fingernail polish|narcissism"/>
    <n v="203"/>
    <x v="0"/>
    <x v="0"/>
    <n v="12000000"/>
    <x v="22"/>
    <x v="23"/>
    <n v="12000000"/>
    <n v="16300302"/>
    <x v="853"/>
    <x v="853"/>
    <x v="4"/>
  </r>
  <r>
    <x v="9"/>
    <n v="23"/>
    <n v="16153600"/>
    <s v="Drama|Music|Romance"/>
    <s v="Denzel Washington"/>
    <x v="854"/>
    <n v="8295"/>
    <s v="comeback|friend|jazz|stage|trumpet"/>
    <n v="30"/>
    <x v="0"/>
    <x v="0"/>
    <n v="10000000"/>
    <x v="32"/>
    <x v="20"/>
    <n v="10000000"/>
    <n v="16153600"/>
    <x v="854"/>
    <x v="854"/>
    <x v="5"/>
  </r>
  <r>
    <x v="203"/>
    <n v="147"/>
    <n v="82226474"/>
    <s v="Adventure|Comedy|Crime|Family|Mystery"/>
    <s v="Roger Rees"/>
    <x v="855"/>
    <n v="65499"/>
    <s v="diamond|france|investigation|pink panther|soccer"/>
    <n v="424"/>
    <x v="0"/>
    <x v="0"/>
    <n v="65000000"/>
    <x v="7"/>
    <x v="15"/>
    <n v="65000000"/>
    <n v="82226474"/>
    <x v="855"/>
    <x v="855"/>
    <x v="0"/>
  </r>
  <r>
    <x v="638"/>
    <n v="361"/>
    <n v="64423650"/>
    <s v="Horror|Sci-Fi|Thriller"/>
    <s v="Rhys Wakefield"/>
    <x v="856"/>
    <n v="139329"/>
    <s v="class differences|killing spree|one night|suburb|violence"/>
    <n v="578"/>
    <x v="0"/>
    <x v="0"/>
    <n v="3000000"/>
    <x v="0"/>
    <x v="35"/>
    <n v="3000000"/>
    <n v="64423650"/>
    <x v="856"/>
    <x v="856"/>
    <x v="6"/>
  </r>
  <r>
    <x v="639"/>
    <n v="41"/>
    <n v="22551000"/>
    <s v="Comedy|Drama|Romance"/>
    <s v="Keanu Reeves"/>
    <x v="857"/>
    <n v="37269"/>
    <s v="16th century|bachelor|dishonor|masquerade party|wedding"/>
    <n v="165"/>
    <x v="0"/>
    <x v="2"/>
    <n v="8000000"/>
    <x v="23"/>
    <x v="39"/>
    <n v="10283199.999999899"/>
    <n v="28987055.399999999"/>
    <x v="857"/>
    <x v="857"/>
    <x v="4"/>
  </r>
  <r>
    <x v="640"/>
    <n v="66"/>
    <n v="14114488"/>
    <s v="Horror|Thriller"/>
    <s v="Tom Skerritt"/>
    <x v="858"/>
    <n v="13190"/>
    <s v="aunt niece relationship|brother sister relationship|building|father daughter relationship|mirror"/>
    <n v="114"/>
    <x v="0"/>
    <x v="0"/>
    <n v="10500000"/>
    <x v="34"/>
    <x v="47"/>
    <n v="10500000"/>
    <n v="14114488"/>
    <x v="858"/>
    <x v="858"/>
    <x v="6"/>
  </r>
  <r>
    <x v="641"/>
    <n v="18"/>
    <n v="379643"/>
    <s v="Drama"/>
    <s v="Henry Thomas"/>
    <x v="859"/>
    <n v="1573"/>
    <s v="1850s|christian film|dark secret|funeral|sin eater"/>
    <n v="29"/>
    <x v="0"/>
    <x v="0"/>
    <n v="2200000"/>
    <x v="15"/>
    <x v="0"/>
    <n v="2200000"/>
    <n v="379643"/>
    <x v="859"/>
    <x v="859"/>
    <x v="5"/>
  </r>
  <r>
    <x v="642"/>
    <n v="37"/>
    <n v="49121934"/>
    <s v="Comedy|Drama|Romance"/>
    <s v="Mekhi Phifer"/>
    <x v="860"/>
    <n v="6528"/>
    <s v="christmas|family home|musician|piano|secret"/>
    <n v="32"/>
    <x v="0"/>
    <x v="0"/>
    <n v="13000000"/>
    <x v="15"/>
    <x v="7"/>
    <n v="13000000"/>
    <n v="49121934"/>
    <x v="860"/>
    <x v="860"/>
    <x v="4"/>
  </r>
  <r>
    <x v="19"/>
    <n v="191"/>
    <n v="83906114"/>
    <s v="Comedy|Romance"/>
    <s v="Don Johnson"/>
    <x v="861"/>
    <n v="104481"/>
    <s v="beach house|blonde bombshell|cheating husband|revenge|wife meets mistress"/>
    <n v="189"/>
    <x v="0"/>
    <x v="0"/>
    <n v="40000000"/>
    <x v="27"/>
    <x v="11"/>
    <n v="40000000"/>
    <n v="83906114"/>
    <x v="861"/>
    <x v="861"/>
    <x v="4"/>
  </r>
  <r>
    <x v="409"/>
    <n v="105"/>
    <n v="8355815"/>
    <s v="Comedy|Crime|Drama|Thriller"/>
    <s v="Robin Williams"/>
    <x v="862"/>
    <n v="34730"/>
    <s v="children|children's tv show|money|revenge|scandal"/>
    <n v="341"/>
    <x v="0"/>
    <x v="2"/>
    <n v="55000000"/>
    <x v="13"/>
    <x v="24"/>
    <n v="70697000"/>
    <n v="10740564.601"/>
    <x v="862"/>
    <x v="862"/>
    <x v="4"/>
  </r>
  <r>
    <x v="643"/>
    <n v="70"/>
    <n v="27663982"/>
    <s v="Horror|Sci-Fi|Thriller"/>
    <s v="Marlon Brando"/>
    <x v="863"/>
    <n v="26051"/>
    <s v="animal experimentation|chimera|island|jungle|mutant"/>
    <n v="164"/>
    <x v="0"/>
    <x v="0"/>
    <n v="40000000"/>
    <x v="10"/>
    <x v="8"/>
    <n v="40000000"/>
    <n v="27663982"/>
    <x v="863"/>
    <x v="863"/>
    <x v="6"/>
  </r>
  <r>
    <x v="546"/>
    <n v="134"/>
    <n v="32598931"/>
    <s v="Action|Drama|Thriller"/>
    <s v="Pamela Reed"/>
    <x v="864"/>
    <n v="49300"/>
    <s v="jungle|pipeline|prisoner|ransom|south america"/>
    <n v="265"/>
    <x v="0"/>
    <x v="0"/>
    <n v="65000000"/>
    <x v="4"/>
    <x v="5"/>
    <n v="65000000"/>
    <n v="32598931"/>
    <x v="864"/>
    <x v="864"/>
    <x v="1"/>
  </r>
  <r>
    <x v="644"/>
    <n v="44"/>
    <n v="36696761"/>
    <s v="Animation|Comedy|Family|Mystery|Sci-Fi"/>
    <s v="Diedrich Bader"/>
    <x v="865"/>
    <n v="6808"/>
    <s v="friend|principal|summer|summer camp|summer vacation"/>
    <n v="38"/>
    <x v="0"/>
    <x v="0"/>
    <n v="23000000"/>
    <x v="9"/>
    <x v="20"/>
    <n v="23000000"/>
    <n v="36696761"/>
    <x v="865"/>
    <x v="865"/>
    <x v="8"/>
  </r>
  <r>
    <x v="645"/>
    <n v="61"/>
    <n v="19959"/>
    <s v="Drama"/>
    <s v="Alice Olivia Clarke"/>
    <x v="866"/>
    <n v="3579"/>
    <s v="bar|bartender|death|heart attack|mentor protege relationship"/>
    <n v="14"/>
    <x v="0"/>
    <x v="20"/>
    <n v="3800000"/>
    <x v="16"/>
    <x v="31"/>
    <n v="27572.19542"/>
    <n v="144.81932852310001"/>
    <x v="866"/>
    <x v="866"/>
    <x v="5"/>
  </r>
  <r>
    <x v="112"/>
    <n v="335"/>
    <n v="10137502"/>
    <s v="Adventure|Biography|Drama|Thriller"/>
    <s v="Joseph Gordon-Levitt"/>
    <x v="867"/>
    <n v="77394"/>
    <s v="1970s|based on true story|new york city|skyscraper|tightrope walker"/>
    <n v="195"/>
    <x v="0"/>
    <x v="0"/>
    <n v="35000000"/>
    <x v="1"/>
    <x v="39"/>
    <n v="35000000"/>
    <n v="10137502"/>
    <x v="867"/>
    <x v="867"/>
    <x v="0"/>
  </r>
  <r>
    <x v="646"/>
    <n v="167"/>
    <n v="24800000"/>
    <s v="Action|Adventure|Thriller"/>
    <s v="Robert Shaw"/>
    <x v="868"/>
    <n v="89403"/>
    <s v="assassin|british agent|british secret service|decoder|russian"/>
    <n v="358"/>
    <x v="0"/>
    <x v="2"/>
    <n v="2000000"/>
    <x v="41"/>
    <x v="2"/>
    <n v="2570799.9999999902"/>
    <n v="31877919.999999899"/>
    <x v="868"/>
    <x v="868"/>
    <x v="1"/>
  </r>
  <r>
    <x v="647"/>
    <n v="72"/>
    <n v="5018450"/>
    <s v="Comedy|Fantasy|Romance"/>
    <s v="Harold Perrineau"/>
    <x v="869"/>
    <n v="8546"/>
    <s v="cross dresser|food|friend|motion sickness|restaurant"/>
    <n v="86"/>
    <x v="0"/>
    <x v="0"/>
    <n v="8000000"/>
    <x v="4"/>
    <x v="1"/>
    <n v="8000000"/>
    <n v="5018450"/>
    <x v="869"/>
    <x v="869"/>
    <x v="4"/>
  </r>
  <r>
    <x v="111"/>
    <n v="140"/>
    <n v="106807667"/>
    <s v="Action|Comedy|Crime|Romance"/>
    <s v="Candice Bergen"/>
    <x v="870"/>
    <n v="137377"/>
    <s v="beauty pageant|fbi|female agent|pageant|undercover"/>
    <n v="370"/>
    <x v="0"/>
    <x v="0"/>
    <n v="45000000"/>
    <x v="4"/>
    <x v="5"/>
    <n v="45000000"/>
    <n v="106807667"/>
    <x v="870"/>
    <x v="870"/>
    <x v="1"/>
  </r>
  <r>
    <x v="648"/>
    <n v="144"/>
    <n v="49875589"/>
    <s v="Action|Adventure|Drama|History|War"/>
    <s v="David Oyelowo"/>
    <x v="871"/>
    <n v="28807"/>
    <s v="african american|battle|italy|tuskegee airmen|world war two"/>
    <n v="273"/>
    <x v="0"/>
    <x v="0"/>
    <n v="58000000"/>
    <x v="28"/>
    <x v="0"/>
    <n v="58000000"/>
    <n v="49875589"/>
    <x v="871"/>
    <x v="871"/>
    <x v="1"/>
  </r>
  <r>
    <x v="231"/>
    <n v="110"/>
    <n v="78745923"/>
    <s v="Drama|Fantasy|Romance"/>
    <s v="Nicolas Cage"/>
    <x v="872"/>
    <n v="94407"/>
    <s v="angel|doctor|fall|heart surgeon|hospital"/>
    <n v="322"/>
    <x v="0"/>
    <x v="5"/>
    <n v="55000000"/>
    <x v="6"/>
    <x v="21"/>
    <n v="59660700"/>
    <n v="85418852.515019998"/>
    <x v="872"/>
    <x v="872"/>
    <x v="5"/>
  </r>
  <r>
    <x v="244"/>
    <n v="287"/>
    <n v="128067808"/>
    <s v="Action|Drama|Romance"/>
    <s v="Chen Chang"/>
    <x v="873"/>
    <n v="217740"/>
    <s v="bare midriff|china|magical realism|martial arts|sword"/>
    <n v="1641"/>
    <x v="15"/>
    <x v="21"/>
    <n v="15000000"/>
    <x v="4"/>
    <x v="19"/>
    <n v="458184.6"/>
    <n v="3911913.1587571199"/>
    <x v="873"/>
    <x v="873"/>
    <x v="1"/>
  </r>
  <r>
    <x v="595"/>
    <n v="217"/>
    <n v="109243478"/>
    <s v="Comedy|Romance"/>
    <s v="Steve Carell"/>
    <x v="874"/>
    <n v="313797"/>
    <s v="40 year old|car accident|cheating on girlfriend|collection|porno movie"/>
    <n v="546"/>
    <x v="0"/>
    <x v="0"/>
    <n v="26000000"/>
    <x v="25"/>
    <x v="17"/>
    <n v="26000000"/>
    <n v="109243478"/>
    <x v="874"/>
    <x v="874"/>
    <x v="4"/>
  </r>
  <r>
    <x v="649"/>
    <n v="26"/>
    <n v="133778"/>
    <s v="Documentary|Sport"/>
    <s v="Tommy Sheppard"/>
    <x v="875"/>
    <n v="3086"/>
    <s v="basketball|basketball team|grateful dead|lithuanian|olympics"/>
    <n v="9"/>
    <x v="0"/>
    <x v="0"/>
    <n v="500000"/>
    <x v="28"/>
    <x v="25"/>
    <n v="500000"/>
    <n v="133778"/>
    <x v="875"/>
    <x v="875"/>
    <x v="7"/>
  </r>
  <r>
    <x v="430"/>
    <n v="152"/>
    <n v="8129455"/>
    <s v="Action|Adventure|Comedy|Crime"/>
    <s v="Daniel Kaluuya"/>
    <x v="876"/>
    <n v="89568"/>
    <s v="assassin|chinese|conspiracy|gadget|premier"/>
    <n v="142"/>
    <x v="0"/>
    <x v="0"/>
    <n v="45000000"/>
    <x v="22"/>
    <x v="23"/>
    <n v="45000000"/>
    <n v="8129455"/>
    <x v="876"/>
    <x v="876"/>
    <x v="1"/>
  </r>
  <r>
    <x v="225"/>
    <n v="217"/>
    <n v="28501651"/>
    <s v="Drama|Thriller"/>
    <s v="Natalie Portman"/>
    <x v="244"/>
    <n v="88037"/>
    <s v="afghanistan|death of soldier|presumed dead|prisoner|war trauma"/>
    <n v="201"/>
    <x v="0"/>
    <x v="0"/>
    <n v="26000000"/>
    <x v="16"/>
    <x v="17"/>
    <n v="26000000"/>
    <n v="28501651"/>
    <x v="244"/>
    <x v="244"/>
    <x v="5"/>
  </r>
  <r>
    <x v="97"/>
    <n v="85"/>
    <n v="32694788"/>
    <s v="Action|Adventure|History"/>
    <s v="Tony Curran"/>
    <x v="877"/>
    <n v="101411"/>
    <s v="arab|battle|combat|viking|warrior"/>
    <n v="546"/>
    <x v="0"/>
    <x v="0"/>
    <n v="85000000"/>
    <x v="12"/>
    <x v="14"/>
    <n v="85000000"/>
    <n v="32694788"/>
    <x v="877"/>
    <x v="877"/>
    <x v="1"/>
  </r>
  <r>
    <x v="650"/>
    <n v="275"/>
    <n v="44134898"/>
    <s v="Comedy|Drama"/>
    <s v="Bill Murray"/>
    <x v="878"/>
    <n v="72803"/>
    <s v="bullying|grumpy old man|school presentation|stroke|stroke recovery"/>
    <n v="171"/>
    <x v="0"/>
    <x v="0"/>
    <n v="13000000"/>
    <x v="27"/>
    <x v="4"/>
    <n v="13000000"/>
    <n v="44134898"/>
    <x v="878"/>
    <x v="878"/>
    <x v="4"/>
  </r>
  <r>
    <x v="18"/>
    <n v="31"/>
    <n v="623374"/>
    <s v="Action|Adventure|Drama|Thriller|Western"/>
    <s v="Tom Skerritt"/>
    <x v="879"/>
    <n v="4757"/>
    <s v="army|mexican|orphan|texas|texas ranger"/>
    <n v="67"/>
    <x v="0"/>
    <x v="0"/>
    <n v="38000000"/>
    <x v="9"/>
    <x v="44"/>
    <n v="38000000"/>
    <n v="623374"/>
    <x v="879"/>
    <x v="879"/>
    <x v="1"/>
  </r>
  <r>
    <x v="26"/>
    <n v="242"/>
    <n v="103001286"/>
    <s v="Horror|Mystery"/>
    <s v="David Arquette"/>
    <x v="880"/>
    <n v="222018"/>
    <s v="mask|mystery killer|slasher|teenage girl|telephone"/>
    <n v="869"/>
    <x v="0"/>
    <x v="0"/>
    <n v="15000000"/>
    <x v="10"/>
    <x v="33"/>
    <n v="15000000"/>
    <n v="103001286"/>
    <x v="880"/>
    <x v="880"/>
    <x v="6"/>
  </r>
  <r>
    <x v="651"/>
    <n v="187"/>
    <n v="106793915"/>
    <s v="Adventure|Animation|Comedy|Drama|Family"/>
    <s v="Imelda Staunton"/>
    <x v="881"/>
    <n v="140499"/>
    <s v="chicken|escape|farm|freedom|rooster"/>
    <n v="358"/>
    <x v="0"/>
    <x v="2"/>
    <n v="45000000"/>
    <x v="4"/>
    <x v="16"/>
    <n v="57842999.999999903"/>
    <n v="137272898.34099999"/>
    <x v="881"/>
    <x v="881"/>
    <x v="0"/>
  </r>
  <r>
    <x v="652"/>
    <n v="218"/>
    <n v="80021740"/>
    <s v="Adventure|Comedy|Family|Fantasy|Horror"/>
    <s v="Odeya Rush"/>
    <x v="882"/>
    <n v="47988"/>
    <s v="based on book|blob|ferris wheel|manuscript|monster"/>
    <n v="154"/>
    <x v="0"/>
    <x v="0"/>
    <n v="58000000"/>
    <x v="1"/>
    <x v="24"/>
    <n v="58000000"/>
    <n v="80021740"/>
    <x v="882"/>
    <x v="882"/>
    <x v="0"/>
  </r>
  <r>
    <x v="653"/>
    <n v="165"/>
    <n v="30513940"/>
    <s v="Biography|Drama|Music"/>
    <s v="Tika Sumpter"/>
    <x v="883"/>
    <n v="15843"/>
    <s v="1970s|1980s|african american|breaking the fourth wall|mother son relationship"/>
    <n v="104"/>
    <x v="0"/>
    <x v="0"/>
    <n v="30000000"/>
    <x v="27"/>
    <x v="31"/>
    <n v="30000000"/>
    <n v="30513940"/>
    <x v="883"/>
    <x v="883"/>
    <x v="2"/>
  </r>
  <r>
    <x v="654"/>
    <n v="1"/>
    <n v="610991"/>
    <s v="Drama|Romance"/>
    <s v="Karisma Kapoor"/>
    <x v="884"/>
    <n v="2715"/>
    <s v="mumbai riots|politician|riot|suicide|tragic event"/>
    <n v="19"/>
    <x v="5"/>
    <x v="10"/>
    <n v="1000000"/>
    <x v="4"/>
    <x v="5"/>
    <n v="11941.46"/>
    <n v="7296.1245868599999"/>
    <x v="884"/>
    <x v="884"/>
    <x v="5"/>
  </r>
  <r>
    <x v="655"/>
    <n v="251"/>
    <n v="104007828"/>
    <s v="Horror"/>
    <s v="Johanna Braddy"/>
    <x v="885"/>
    <n v="76828"/>
    <s v="animate object|imaginary friend|reference to macgyver|whispering|woman wearing only a man's shirt"/>
    <n v="314"/>
    <x v="0"/>
    <x v="0"/>
    <n v="5000000"/>
    <x v="22"/>
    <x v="30"/>
    <n v="5000000"/>
    <n v="104007828"/>
    <x v="885"/>
    <x v="885"/>
    <x v="6"/>
  </r>
  <r>
    <x v="656"/>
    <n v="70"/>
    <n v="97360069"/>
    <s v="Action|Adventure|Comedy|Family|Sci-Fi"/>
    <s v="Matthew Broderick"/>
    <x v="886"/>
    <n v="36491"/>
    <s v="actor playing multiple roles|claw|gadget|inspector|police"/>
    <n v="231"/>
    <x v="0"/>
    <x v="0"/>
    <n v="75000000"/>
    <x v="12"/>
    <x v="13"/>
    <n v="75000000"/>
    <n v="97360069"/>
    <x v="886"/>
    <x v="886"/>
    <x v="1"/>
  </r>
  <r>
    <x v="657"/>
    <n v="40"/>
    <n v="17278980"/>
    <s v="Comedy|Crime"/>
    <s v="Dave Chappelle"/>
    <x v="887"/>
    <n v="48225"/>
    <s v="bail|diabetic|friend|jail|pharmaceutical lab"/>
    <n v="164"/>
    <x v="0"/>
    <x v="0"/>
    <n v="8000000"/>
    <x v="6"/>
    <x v="21"/>
    <n v="8000000"/>
    <n v="17278980"/>
    <x v="887"/>
    <x v="887"/>
    <x v="4"/>
  </r>
  <r>
    <x v="658"/>
    <n v="118"/>
    <n v="55747724"/>
    <s v="Adventure|Animation|Comedy|Family"/>
    <s v="Amy Poehler"/>
    <x v="888"/>
    <n v="18042"/>
    <s v="chipmunk|hunting dog|sabotage|thanksgiving|turkey the bird"/>
    <n v="73"/>
    <x v="0"/>
    <x v="0"/>
    <n v="55000000"/>
    <x v="0"/>
    <x v="0"/>
    <n v="55000000"/>
    <n v="55747724"/>
    <x v="888"/>
    <x v="888"/>
    <x v="0"/>
  </r>
  <r>
    <x v="659"/>
    <n v="151"/>
    <n v="3885134"/>
    <s v="Comedy|Drama"/>
    <s v="Najarra Townsend"/>
    <x v="889"/>
    <n v="31130"/>
    <s v="fellatio|seven word title|shoe salesman|title directed by female|written by director"/>
    <n v="243"/>
    <x v="0"/>
    <x v="0"/>
    <n v="2000000"/>
    <x v="25"/>
    <x v="39"/>
    <n v="2000000"/>
    <n v="3885134"/>
    <x v="889"/>
    <x v="889"/>
    <x v="4"/>
  </r>
  <r>
    <x v="434"/>
    <n v="125"/>
    <n v="20113965"/>
    <s v="Biography|Drama|Romance"/>
    <s v="Ted Danson"/>
    <x v="890"/>
    <n v="15231"/>
    <s v="arctic circle|reporter|small town|volunteer|whale"/>
    <n v="66"/>
    <x v="0"/>
    <x v="0"/>
    <n v="40000000"/>
    <x v="28"/>
    <x v="20"/>
    <n v="40000000"/>
    <n v="20113965"/>
    <x v="890"/>
    <x v="890"/>
    <x v="2"/>
  </r>
  <r>
    <x v="660"/>
    <n v="55"/>
    <n v="33000000"/>
    <s v="Action|Comedy|Drama|Music"/>
    <s v="Mike Starr"/>
    <x v="891"/>
    <n v="9424"/>
    <s v="cult film|kung fu|kung fu classic|martial arts|title spoken by character"/>
    <n v="109"/>
    <x v="0"/>
    <x v="0"/>
    <n v="10000000"/>
    <x v="37"/>
    <x v="31"/>
    <n v="10000000"/>
    <n v="33000000"/>
    <x v="891"/>
    <x v="891"/>
    <x v="1"/>
  </r>
  <r>
    <x v="574"/>
    <n v="40"/>
    <n v="25052000"/>
    <s v="Adventure|Biography|Crime|Drama|Western"/>
    <s v="Dennis Quaid"/>
    <x v="892"/>
    <n v="35314"/>
    <s v="historically inaccurate|name calling|penis slur|vomiting|wyatt earp"/>
    <n v="145"/>
    <x v="0"/>
    <x v="0"/>
    <n v="63000000"/>
    <x v="5"/>
    <x v="14"/>
    <n v="63000000"/>
    <n v="25052000"/>
    <x v="892"/>
    <x v="892"/>
    <x v="0"/>
  </r>
  <r>
    <x v="187"/>
    <n v="174"/>
    <n v="24138847"/>
    <s v="Comedy"/>
    <s v="Ethan Suplee"/>
    <x v="893"/>
    <n v="114797"/>
    <s v="fast food|fast food restaurant|new jersey|quick stop|restaurant"/>
    <n v="472"/>
    <x v="0"/>
    <x v="0"/>
    <n v="5000000"/>
    <x v="7"/>
    <x v="39"/>
    <n v="5000000"/>
    <n v="24138847"/>
    <x v="893"/>
    <x v="893"/>
    <x v="4"/>
  </r>
  <r>
    <x v="661"/>
    <n v="21"/>
    <n v="277233"/>
    <s v="Comedy|Romance"/>
    <s v="Derick Martini"/>
    <x v="894"/>
    <n v="2631"/>
    <s v="accountant|actor|animal in title|mail carrier|single parent"/>
    <n v="26"/>
    <x v="0"/>
    <x v="0"/>
    <n v="40000"/>
    <x v="12"/>
    <x v="10"/>
    <n v="40000"/>
    <n v="277233"/>
    <x v="894"/>
    <x v="894"/>
    <x v="4"/>
  </r>
  <r>
    <x v="162"/>
    <n v="31"/>
    <n v="47329"/>
    <s v="Drama"/>
    <s v="Raymond J. Barry"/>
    <x v="895"/>
    <n v="1661"/>
    <s v="conspiracy theory|kennedy assassination|mock documentary|paranoia"/>
    <n v="31"/>
    <x v="0"/>
    <x v="0"/>
    <n v="750000"/>
    <x v="13"/>
    <x v="14"/>
    <n v="750000"/>
    <n v="47329"/>
    <x v="895"/>
    <x v="895"/>
    <x v="5"/>
  </r>
  <r>
    <x v="6"/>
    <n v="596"/>
    <n v="54116191"/>
    <s v="Crime|Drama|Mystery|Thriller|Western"/>
    <s v="Craig Stark"/>
    <x v="896"/>
    <n v="272839"/>
    <s v="blizzard|blood vomiting|bounty hunter|murder|shot in the crotch"/>
    <n v="1018"/>
    <x v="0"/>
    <x v="0"/>
    <n v="44000000"/>
    <x v="1"/>
    <x v="19"/>
    <n v="44000000"/>
    <n v="54116191"/>
    <x v="896"/>
    <x v="896"/>
    <x v="3"/>
  </r>
  <r>
    <x v="380"/>
    <n v="199"/>
    <n v="11538204"/>
    <s v="Crime|Drama|History"/>
    <s v="Robin Wright"/>
    <x v="897"/>
    <n v="23696"/>
    <s v="john wilkes booth|lawyer|lincoln assassination|trial|truth"/>
    <n v="135"/>
    <x v="0"/>
    <x v="0"/>
    <n v="25000000"/>
    <x v="11"/>
    <x v="16"/>
    <n v="25000000"/>
    <n v="11538204"/>
    <x v="897"/>
    <x v="897"/>
    <x v="3"/>
  </r>
  <r>
    <x v="193"/>
    <n v="64"/>
    <n v="67823573"/>
    <s v="Action|Drama|Thriller"/>
    <s v="Kevin Spacey"/>
    <x v="898"/>
    <n v="91176"/>
    <s v="disease|epidemic|monkey|quarantine|virus"/>
    <n v="130"/>
    <x v="0"/>
    <x v="0"/>
    <n v="50000000"/>
    <x v="33"/>
    <x v="14"/>
    <n v="50000000"/>
    <n v="67823573"/>
    <x v="898"/>
    <x v="898"/>
    <x v="1"/>
  </r>
  <r>
    <x v="261"/>
    <n v="27"/>
    <n v="9286314"/>
    <s v="Action|Crime|Drama|Thriller"/>
    <s v="Brian Bosworth"/>
    <x v="899"/>
    <n v="4972"/>
    <s v="biker|biker gang|fbi|mississippi|undercover"/>
    <n v="62"/>
    <x v="0"/>
    <x v="0"/>
    <n v="17000000"/>
    <x v="38"/>
    <x v="0"/>
    <n v="17000000"/>
    <n v="9286314"/>
    <x v="899"/>
    <x v="899"/>
    <x v="1"/>
  </r>
  <r>
    <x v="302"/>
    <n v="81"/>
    <n v="13596911"/>
    <s v="Action|Adventure|Animation|Comedy|Crime|Family|Fantasy"/>
    <s v="Ron Howard"/>
    <x v="900"/>
    <n v="25572"/>
    <s v="blood|body|egg|virus|white blood cell"/>
    <n v="123"/>
    <x v="0"/>
    <x v="0"/>
    <n v="70000000"/>
    <x v="9"/>
    <x v="5"/>
    <n v="70000000"/>
    <n v="13596911"/>
    <x v="900"/>
    <x v="900"/>
    <x v="1"/>
  </r>
  <r>
    <x v="662"/>
    <n v="169"/>
    <n v="13998282"/>
    <s v="Action|Drama|Fantasy|Mystery|Thriller"/>
    <s v="Nicolas Cage"/>
    <x v="901"/>
    <n v="24854"/>
    <s v="bible quote|chaos|faith|riot|shrine"/>
    <n v="374"/>
    <x v="0"/>
    <x v="0"/>
    <n v="16000000"/>
    <x v="27"/>
    <x v="61"/>
    <n v="16000000"/>
    <n v="13998282"/>
    <x v="901"/>
    <x v="901"/>
    <x v="1"/>
  </r>
  <r>
    <x v="460"/>
    <n v="161"/>
    <n v="67061228"/>
    <s v="Action|Comedy|Romance"/>
    <s v="Gerard Butler"/>
    <x v="902"/>
    <n v="96565"/>
    <s v="bounty hunter|death|murder|police officer|reporter"/>
    <n v="135"/>
    <x v="0"/>
    <x v="0"/>
    <n v="40000000"/>
    <x v="11"/>
    <x v="28"/>
    <n v="40000000"/>
    <n v="67061228"/>
    <x v="902"/>
    <x v="902"/>
    <x v="1"/>
  </r>
  <r>
    <x v="306"/>
    <n v="345"/>
    <n v="75754670"/>
    <s v="Action|Adventure|Fantasy|Horror|Sci-Fi"/>
    <s v="Seth MacFarlane"/>
    <x v="903"/>
    <n v="208422"/>
    <s v="creature|elf|prince|rebellion|superhero"/>
    <n v="342"/>
    <x v="0"/>
    <x v="0"/>
    <n v="85000000"/>
    <x v="20"/>
    <x v="16"/>
    <n v="85000000"/>
    <n v="75754670"/>
    <x v="903"/>
    <x v="903"/>
    <x v="1"/>
  </r>
  <r>
    <x v="9"/>
    <n v="25"/>
    <n v="13640000"/>
    <s v="Comedy|Drama"/>
    <s v="Alfre Woodard"/>
    <x v="904"/>
    <n v="6011"/>
    <s v="argument|birthday|bully|coming of age|semi autobiographical"/>
    <n v="39"/>
    <x v="0"/>
    <x v="0"/>
    <n v="14000000"/>
    <x v="5"/>
    <x v="31"/>
    <n v="14000000"/>
    <n v="13640000"/>
    <x v="904"/>
    <x v="904"/>
    <x v="4"/>
  </r>
  <r>
    <x v="663"/>
    <n v="145"/>
    <n v="60269340"/>
    <s v="Comedy|Romance"/>
    <s v="Tina Fey"/>
    <x v="905"/>
    <n v="34079"/>
    <s v="baby|book|cartoon on tv|female protagonist|male anorexia"/>
    <n v="97"/>
    <x v="0"/>
    <x v="0"/>
    <n v="30000000"/>
    <x v="20"/>
    <x v="11"/>
    <n v="30000000"/>
    <n v="60269340"/>
    <x v="905"/>
    <x v="905"/>
    <x v="4"/>
  </r>
  <r>
    <x v="254"/>
    <n v="65"/>
    <n v="50668906"/>
    <s v="Biography|Drama|Sport"/>
    <s v="Denzel Washington"/>
    <x v="906"/>
    <n v="76016"/>
    <s v="african american|book|boxer|boxing|murder"/>
    <n v="265"/>
    <x v="0"/>
    <x v="0"/>
    <n v="38000000"/>
    <x v="12"/>
    <x v="10"/>
    <n v="38000000"/>
    <n v="50668906"/>
    <x v="906"/>
    <x v="906"/>
    <x v="2"/>
  </r>
  <r>
    <x v="664"/>
    <n v="21"/>
    <n v="2315683"/>
    <s v="Adventure|Crime|Drama|Romance"/>
    <s v="Victor Wong"/>
    <x v="907"/>
    <n v="4081"/>
    <s v="china|missionary|opium|villain|year 1937"/>
    <n v="28"/>
    <x v="0"/>
    <x v="2"/>
    <n v="17000000"/>
    <x v="18"/>
    <x v="62"/>
    <n v="21851799.999999899"/>
    <n v="2976578.9281999902"/>
    <x v="907"/>
    <x v="907"/>
    <x v="0"/>
  </r>
  <r>
    <x v="31"/>
    <n v="185"/>
    <n v="306124059"/>
    <s v="Action|Adventure|Sci-Fi"/>
    <s v="Will Smith"/>
    <x v="908"/>
    <n v="430055"/>
    <s v="alien|area 51|military|spacecraft|spaceship"/>
    <n v="856"/>
    <x v="0"/>
    <x v="0"/>
    <n v="75000000"/>
    <x v="10"/>
    <x v="31"/>
    <n v="75000000"/>
    <n v="306124059"/>
    <x v="908"/>
    <x v="908"/>
    <x v="1"/>
  </r>
  <r>
    <x v="665"/>
    <n v="46"/>
    <n v="20998709"/>
    <s v="Adventure|Drama|Family"/>
    <s v="Alison Lohman"/>
    <x v="909"/>
    <n v="6095"/>
    <s v="father son relationship|horse|horse ranch|ranch|wild mustang"/>
    <n v="76"/>
    <x v="0"/>
    <x v="0"/>
    <n v="15000000"/>
    <x v="7"/>
    <x v="5"/>
    <n v="15000000"/>
    <n v="20998709"/>
    <x v="909"/>
    <x v="909"/>
    <x v="0"/>
  </r>
  <r>
    <x v="666"/>
    <n v="45"/>
    <n v="18081626"/>
    <s v="Animation|Family|Fantasy|Mystery"/>
    <s v="Kath Soucie"/>
    <x v="910"/>
    <n v="4180"/>
    <s v="creature|forest|mother son relationship|rabbit|winnie the pooh"/>
    <n v="32"/>
    <x v="0"/>
    <x v="0"/>
    <n v="20000000"/>
    <x v="25"/>
    <x v="24"/>
    <n v="20000000"/>
    <n v="18081626"/>
    <x v="910"/>
    <x v="910"/>
    <x v="8"/>
  </r>
  <r>
    <x v="667"/>
    <n v="168"/>
    <n v="24127895"/>
    <s v="Crime|Drama|Thriller"/>
    <s v="Nicolas Cage"/>
    <x v="911"/>
    <n v="248123"/>
    <s v="1980s|arms dealer|immorality|ukrainian|warlord"/>
    <n v="437"/>
    <x v="0"/>
    <x v="0"/>
    <n v="50000000"/>
    <x v="25"/>
    <x v="10"/>
    <n v="50000000"/>
    <n v="24127895"/>
    <x v="911"/>
    <x v="911"/>
    <x v="3"/>
  </r>
  <r>
    <x v="668"/>
    <n v="38"/>
    <n v="25571351"/>
    <s v="Adventure|Animation|Comedy|Drama|Family|Musical"/>
    <s v="Phil Vischer"/>
    <x v="912"/>
    <n v="3135"/>
    <s v="anthropomorphism|pirate|pirate ship|tomato|whale"/>
    <n v="78"/>
    <x v="0"/>
    <x v="0"/>
    <n v="14000000"/>
    <x v="13"/>
    <x v="14"/>
    <n v="14000000"/>
    <n v="25571351"/>
    <x v="912"/>
    <x v="912"/>
    <x v="0"/>
  </r>
  <r>
    <x v="509"/>
    <n v="173"/>
    <n v="176781728"/>
    <s v="Action|Drama|Romance"/>
    <s v="Tom Cruise"/>
    <x v="913"/>
    <n v="219171"/>
    <s v="flying|gay subtext|machismo|male objectification|pilot"/>
    <n v="388"/>
    <x v="0"/>
    <x v="0"/>
    <n v="15000000"/>
    <x v="18"/>
    <x v="31"/>
    <n v="15000000"/>
    <n v="176781728"/>
    <x v="913"/>
    <x v="913"/>
    <x v="1"/>
  </r>
  <r>
    <x v="197"/>
    <n v="349"/>
    <n v="61094903"/>
    <s v="Action|Mystery|Thriller"/>
    <s v="Liam Neeson"/>
    <x v="914"/>
    <n v="210542"/>
    <s v="agriculture|airport|amnesia|nurse|scientist"/>
    <n v="332"/>
    <x v="0"/>
    <x v="2"/>
    <n v="30000000"/>
    <x v="22"/>
    <x v="31"/>
    <n v="38562000"/>
    <n v="78531388.316199899"/>
    <x v="914"/>
    <x v="914"/>
    <x v="1"/>
  </r>
  <r>
    <x v="435"/>
    <n v="77"/>
    <n v="38624000"/>
    <s v="Comedy|Sport"/>
    <s v="Adam Sandler"/>
    <x v="915"/>
    <n v="156143"/>
    <s v="golf|golf ball|golfer|grandmother's house|tournament"/>
    <n v="289"/>
    <x v="0"/>
    <x v="0"/>
    <n v="12000000"/>
    <x v="10"/>
    <x v="16"/>
    <n v="12000000"/>
    <n v="38624000"/>
    <x v="915"/>
    <x v="915"/>
    <x v="4"/>
  </r>
  <r>
    <x v="227"/>
    <n v="127"/>
    <n v="4476235"/>
    <s v="Crime|Horror|Mystery|Thriller"/>
    <s v="LL Cool J"/>
    <x v="916"/>
    <n v="49405"/>
    <s v="fbi|group|island|serial killer|training"/>
    <n v="226"/>
    <x v="0"/>
    <x v="0"/>
    <n v="27000000"/>
    <x v="2"/>
    <x v="24"/>
    <n v="27000000"/>
    <n v="4476235"/>
    <x v="916"/>
    <x v="916"/>
    <x v="3"/>
  </r>
  <r>
    <x v="669"/>
    <n v="44"/>
    <n v="11030963"/>
    <s v="Biography|Drama|Thriller|War"/>
    <s v="Alan Rickman"/>
    <x v="917"/>
    <n v="24145"/>
    <s v="ireland|irish|irish civil war|irish free state|sinn fein"/>
    <n v="93"/>
    <x v="0"/>
    <x v="2"/>
    <n v="28000000"/>
    <x v="10"/>
    <x v="17"/>
    <n v="35991200"/>
    <n v="14179199.8402"/>
    <x v="917"/>
    <x v="917"/>
    <x v="2"/>
  </r>
  <r>
    <x v="670"/>
    <n v="85"/>
    <n v="671240"/>
    <s v="Comedy|Drama|Romance"/>
    <s v="Celia Imrie"/>
    <x v="918"/>
    <n v="23023"/>
    <s v="florist|friend|friendship|lesbian|love"/>
    <n v="149"/>
    <x v="0"/>
    <x v="2"/>
    <n v="7900000"/>
    <x v="25"/>
    <x v="31"/>
    <n v="10154659.999999899"/>
    <n v="862811.89599999995"/>
    <x v="918"/>
    <x v="918"/>
    <x v="4"/>
  </r>
  <r>
    <x v="671"/>
    <n v="84"/>
    <n v="66941559"/>
    <s v="Adventure|Comedy|Family"/>
    <s v="Ioan Gruffudd"/>
    <x v="919"/>
    <n v="26413"/>
    <s v="dog|parole|parole officer|prison|puppy"/>
    <n v="77"/>
    <x v="0"/>
    <x v="0"/>
    <n v="85000000"/>
    <x v="4"/>
    <x v="45"/>
    <n v="85000000"/>
    <n v="66941559"/>
    <x v="919"/>
    <x v="919"/>
    <x v="0"/>
  </r>
  <r>
    <x v="672"/>
    <n v="644"/>
    <n v="652177271"/>
    <s v="Action|Adventure|Sci-Fi|Thriller"/>
    <s v="Bryce Dallas Howard"/>
    <x v="920"/>
    <n v="418214"/>
    <s v="dinosaur|disaster film|experiment gone wrong|jurassic park|velociraptor"/>
    <n v="1290"/>
    <x v="0"/>
    <x v="0"/>
    <n v="150000000"/>
    <x v="1"/>
    <x v="16"/>
    <n v="150000000"/>
    <n v="652177271"/>
    <x v="920"/>
    <x v="920"/>
    <x v="1"/>
  </r>
  <r>
    <x v="486"/>
    <n v="96"/>
    <n v="31054924"/>
    <s v="Drama|Mystery|Romance"/>
    <s v="Harrison Ford"/>
    <x v="921"/>
    <n v="17025"/>
    <s v="death|plane crash|police|police sergeant|politician"/>
    <n v="290"/>
    <x v="0"/>
    <x v="0"/>
    <n v="64000000"/>
    <x v="12"/>
    <x v="37"/>
    <n v="64000000"/>
    <n v="31054924"/>
    <x v="921"/>
    <x v="921"/>
    <x v="5"/>
  </r>
  <r>
    <x v="673"/>
    <n v="64"/>
    <n v="23209440"/>
    <s v="Drama"/>
    <s v="Meryl Streep"/>
    <x v="922"/>
    <n v="9283"/>
    <s v="cancer|job|love|new york|professor"/>
    <n v="112"/>
    <x v="0"/>
    <x v="0"/>
    <n v="30000000"/>
    <x v="6"/>
    <x v="16"/>
    <n v="30000000"/>
    <n v="23209440"/>
    <x v="922"/>
    <x v="922"/>
    <x v="5"/>
  </r>
  <r>
    <x v="215"/>
    <n v="46"/>
    <n v="63231524"/>
    <s v="Comedy|Drama|Romance"/>
    <s v="Boris Kodjoe"/>
    <x v="923"/>
    <n v="8962"/>
    <s v="cross dressing|family reunion|madea series|reflective|sister sister relationship"/>
    <n v="137"/>
    <x v="0"/>
    <x v="0"/>
    <n v="6000000"/>
    <x v="7"/>
    <x v="53"/>
    <n v="6000000"/>
    <n v="63231524"/>
    <x v="923"/>
    <x v="923"/>
    <x v="4"/>
  </r>
  <r>
    <x v="674"/>
    <n v="97"/>
    <n v="23650000"/>
    <s v="Drama|Romance|War"/>
    <s v="Myrna Loy"/>
    <x v="924"/>
    <n v="40359"/>
    <s v="love|pity|readjusting to civilian life|veteran|world war two veteran"/>
    <n v="235"/>
    <x v="0"/>
    <x v="0"/>
    <n v="2100000"/>
    <x v="55"/>
    <x v="40"/>
    <n v="2100000"/>
    <n v="23650000"/>
    <x v="924"/>
    <x v="924"/>
    <x v="5"/>
  </r>
  <r>
    <x v="29"/>
    <n v="216"/>
    <n v="73343413"/>
    <s v="Crime|Drama|Thriller"/>
    <s v="Gerard Butler"/>
    <x v="925"/>
    <n v="217480"/>
    <s v="attorney|deal|district attorney|investigation|justice"/>
    <n v="429"/>
    <x v="0"/>
    <x v="0"/>
    <n v="50000000"/>
    <x v="16"/>
    <x v="39"/>
    <n v="50000000"/>
    <n v="73343413"/>
    <x v="925"/>
    <x v="925"/>
    <x v="3"/>
  </r>
  <r>
    <x v="675"/>
    <n v="98"/>
    <n v="22264487"/>
    <s v="Comedy"/>
    <s v="Carlos Ponce"/>
    <x v="926"/>
    <n v="41239"/>
    <s v="dolphin|gigolo|pimp|serial killer|villain arrested"/>
    <n v="166"/>
    <x v="0"/>
    <x v="0"/>
    <n v="22000000"/>
    <x v="25"/>
    <x v="34"/>
    <n v="22000000"/>
    <n v="22264487"/>
    <x v="926"/>
    <x v="926"/>
    <x v="4"/>
  </r>
  <r>
    <x v="676"/>
    <n v="142"/>
    <n v="93607673"/>
    <s v="Comedy|Romance"/>
    <s v="Julia Roberts"/>
    <x v="927"/>
    <n v="47573"/>
    <s v="actor|love|movie star|press|publicist"/>
    <n v="343"/>
    <x v="0"/>
    <x v="0"/>
    <n v="48000000"/>
    <x v="9"/>
    <x v="35"/>
    <n v="48000000"/>
    <n v="93607673"/>
    <x v="927"/>
    <x v="927"/>
    <x v="4"/>
  </r>
  <r>
    <x v="677"/>
    <n v="113"/>
    <n v="19406406"/>
    <s v="Documentary|Drama"/>
    <s v="Pedro ArmendÃ¡riz Jr."/>
    <x v="928"/>
    <n v="7630"/>
    <s v="damselfish|ocean habitat|ocean life|razorfish|spider crab"/>
    <n v="42"/>
    <x v="4"/>
    <x v="8"/>
    <n v="40000000"/>
    <x v="16"/>
    <x v="38"/>
    <n v="43389600"/>
    <n v="21050904.844439998"/>
    <x v="928"/>
    <x v="928"/>
    <x v="7"/>
  </r>
  <r>
    <x v="678"/>
    <n v="151"/>
    <n v="24375436"/>
    <s v="Action|Crime|Drama|Thriller"/>
    <s v="Robert De Niro"/>
    <x v="929"/>
    <n v="42547"/>
    <s v="criminal|detective|fire|homicide|media"/>
    <n v="265"/>
    <x v="0"/>
    <x v="0"/>
    <n v="42000000"/>
    <x v="9"/>
    <x v="7"/>
    <n v="42000000"/>
    <n v="24375436"/>
    <x v="929"/>
    <x v="929"/>
    <x v="1"/>
  </r>
  <r>
    <x v="241"/>
    <n v="63"/>
    <n v="11631245"/>
    <s v="Action|Adventure|Family|Sci-Fi"/>
    <s v="Kevin Zegers"/>
    <x v="930"/>
    <n v="15015"/>
    <s v="bruise|female hero|super strength|superhero|teenage superhero"/>
    <n v="113"/>
    <x v="0"/>
    <x v="0"/>
    <n v="35000000"/>
    <x v="7"/>
    <x v="32"/>
    <n v="35000000"/>
    <n v="11631245"/>
    <x v="930"/>
    <x v="930"/>
    <x v="1"/>
  </r>
  <r>
    <x v="679"/>
    <n v="280"/>
    <n v="81257500"/>
    <s v="Comedy"/>
    <s v="Liam Neeson"/>
    <x v="931"/>
    <n v="117739"/>
    <s v="baby|f word|fight|lawyer|marriage"/>
    <n v="229"/>
    <x v="0"/>
    <x v="0"/>
    <n v="68000000"/>
    <x v="1"/>
    <x v="24"/>
    <n v="68000000"/>
    <n v="81257500"/>
    <x v="931"/>
    <x v="931"/>
    <x v="4"/>
  </r>
  <r>
    <x v="40"/>
    <n v="295"/>
    <n v="53574088"/>
    <s v="Adventure|Crime|Drama|Western"/>
    <s v="Christian Bale"/>
    <x v="932"/>
    <n v="237872"/>
    <s v="outlaw|rancher|small western town|stagecoach|train"/>
    <n v="560"/>
    <x v="0"/>
    <x v="0"/>
    <n v="55000000"/>
    <x v="15"/>
    <x v="38"/>
    <n v="55000000"/>
    <n v="53574088"/>
    <x v="932"/>
    <x v="932"/>
    <x v="0"/>
  </r>
  <r>
    <x v="680"/>
    <n v="150"/>
    <n v="19719930"/>
    <s v="Crime|Drama|Mystery|Thriller"/>
    <s v="Costas Mandylor"/>
    <x v="933"/>
    <n v="42621"/>
    <s v="nevada|pledge|police|porcupine|search"/>
    <n v="531"/>
    <x v="0"/>
    <x v="0"/>
    <n v="45000000"/>
    <x v="9"/>
    <x v="22"/>
    <n v="45000000"/>
    <n v="19719930"/>
    <x v="933"/>
    <x v="933"/>
    <x v="3"/>
  </r>
  <r>
    <x v="681"/>
    <n v="184"/>
    <n v="19316646"/>
    <s v="Crime|Thriller"/>
    <s v="Justin Timberlake"/>
    <x v="934"/>
    <n v="52069"/>
    <s v="costa rica|fbi agent|gambling|money|online gambling"/>
    <n v="95"/>
    <x v="0"/>
    <x v="0"/>
    <n v="30000000"/>
    <x v="0"/>
    <x v="15"/>
    <n v="30000000"/>
    <n v="19316646"/>
    <x v="934"/>
    <x v="934"/>
    <x v="3"/>
  </r>
  <r>
    <x v="682"/>
    <n v="131"/>
    <n v="16284360"/>
    <s v="Comedy|Drama"/>
    <s v="Madeline Carroll"/>
    <x v="935"/>
    <n v="15079"/>
    <s v="ballot|election|new mexico|vote|voting"/>
    <n v="79"/>
    <x v="0"/>
    <x v="0"/>
    <n v="21000000"/>
    <x v="20"/>
    <x v="7"/>
    <n v="21000000"/>
    <n v="16284360"/>
    <x v="935"/>
    <x v="935"/>
    <x v="4"/>
  </r>
  <r>
    <x v="683"/>
    <n v="162"/>
    <n v="80014842"/>
    <s v="Drama|Romance|War"/>
    <s v="Channing Tatum"/>
    <x v="936"/>
    <n v="104356"/>
    <s v="army|coin collector|love|surfboard|u.s. army"/>
    <n v="186"/>
    <x v="0"/>
    <x v="0"/>
    <n v="25000000"/>
    <x v="11"/>
    <x v="23"/>
    <n v="25000000"/>
    <n v="80014842"/>
    <x v="936"/>
    <x v="936"/>
    <x v="5"/>
  </r>
  <r>
    <x v="574"/>
    <n v="46"/>
    <n v="33200000"/>
    <s v="Action|Crime|Drama|Western"/>
    <s v="Scott Glenn"/>
    <x v="937"/>
    <n v="28247"/>
    <s v="1880s|kiss|small town|table broken in fight|wild west"/>
    <n v="149"/>
    <x v="0"/>
    <x v="0"/>
    <n v="26000000"/>
    <x v="37"/>
    <x v="33"/>
    <n v="26000000"/>
    <n v="33200000"/>
    <x v="937"/>
    <x v="937"/>
    <x v="1"/>
  </r>
  <r>
    <x v="353"/>
    <n v="72"/>
    <n v="70360285"/>
    <s v="Action|Adventure|Fantasy|Sci-Fi|Thriller"/>
    <s v="Christopher Lambert"/>
    <x v="938"/>
    <n v="81783"/>
    <s v="based on video game|island|mortal kombat|tournament|warrior"/>
    <n v="283"/>
    <x v="0"/>
    <x v="0"/>
    <n v="18000000"/>
    <x v="33"/>
    <x v="30"/>
    <n v="18000000"/>
    <n v="70360285"/>
    <x v="938"/>
    <x v="938"/>
    <x v="1"/>
  </r>
  <r>
    <x v="684"/>
    <n v="241"/>
    <n v="32721635"/>
    <s v="Crime|Horror|Thriller"/>
    <s v="Tony Goldwyn"/>
    <x v="939"/>
    <n v="67824"/>
    <s v="kidnapping|lake|microwave oven|psychopath|woods"/>
    <n v="279"/>
    <x v="0"/>
    <x v="0"/>
    <n v="15000000"/>
    <x v="16"/>
    <x v="14"/>
    <n v="15000000"/>
    <n v="32721635"/>
    <x v="939"/>
    <x v="939"/>
    <x v="3"/>
  </r>
  <r>
    <x v="685"/>
    <n v="167"/>
    <n v="11956207"/>
    <s v="Horror|Mystery"/>
    <s v="Julian Morris"/>
    <x v="940"/>
    <n v="24012"/>
    <s v="prank gone wrong|scantily clad female|shotgun|sorority house|stabbed in the neck"/>
    <n v="126"/>
    <x v="0"/>
    <x v="0"/>
    <n v="16000000"/>
    <x v="16"/>
    <x v="37"/>
    <n v="16000000"/>
    <n v="11956207"/>
    <x v="940"/>
    <x v="940"/>
    <x v="6"/>
  </r>
  <r>
    <x v="686"/>
    <n v="104"/>
    <n v="453079"/>
    <s v="Comedy"/>
    <s v="Lynn Cohen"/>
    <x v="941"/>
    <n v="4124"/>
    <s v="co worker|escort|magazine|teacher|writer"/>
    <n v="29"/>
    <x v="0"/>
    <x v="0"/>
    <n v="7000000"/>
    <x v="11"/>
    <x v="0"/>
    <n v="7000000"/>
    <n v="453079"/>
    <x v="941"/>
    <x v="941"/>
    <x v="4"/>
  </r>
  <r>
    <x v="687"/>
    <n v="203"/>
    <n v="110175871"/>
    <s v="Horror|Mystery|Thriller"/>
    <s v="Sarah Michelle Gellar"/>
    <x v="942"/>
    <n v="115050"/>
    <s v="american|curse|japan|nurse|rage"/>
    <n v="911"/>
    <x v="0"/>
    <x v="0"/>
    <n v="10000000"/>
    <x v="2"/>
    <x v="0"/>
    <n v="10000000"/>
    <n v="110175871"/>
    <x v="942"/>
    <x v="942"/>
    <x v="6"/>
  </r>
  <r>
    <x v="628"/>
    <n v="220"/>
    <n v="33386128"/>
    <s v="Horror"/>
    <s v="Scout Taylor-Compton"/>
    <x v="943"/>
    <n v="36372"/>
    <s v="halloween|hospital|michael myers|rampage|vomiting"/>
    <n v="491"/>
    <x v="0"/>
    <x v="0"/>
    <n v="15000000"/>
    <x v="16"/>
    <x v="18"/>
    <n v="15000000"/>
    <n v="33386128"/>
    <x v="943"/>
    <x v="943"/>
    <x v="6"/>
  </r>
  <r>
    <x v="688"/>
    <n v="158"/>
    <n v="16930884"/>
    <s v="Crime|Drama|Mystery|Thriller"/>
    <s v="Al Pacino"/>
    <x v="944"/>
    <n v="65628"/>
    <s v="death|fbi|forensics|murder|serial killer"/>
    <n v="262"/>
    <x v="0"/>
    <x v="0"/>
    <n v="30000000"/>
    <x v="15"/>
    <x v="0"/>
    <n v="30000000"/>
    <n v="16930884"/>
    <x v="944"/>
    <x v="944"/>
    <x v="3"/>
  </r>
  <r>
    <x v="689"/>
    <n v="81"/>
    <n v="447750"/>
    <s v="Crime|Drama|Thriller"/>
    <s v="Omar Epps"/>
    <x v="945"/>
    <n v="18520"/>
    <s v="gang|gangster|subjective camera|written and directed by cast member|yakuza"/>
    <n v="133"/>
    <x v="0"/>
    <x v="0"/>
    <n v="10000000"/>
    <x v="4"/>
    <x v="33"/>
    <n v="10000000"/>
    <n v="447750"/>
    <x v="945"/>
    <x v="945"/>
    <x v="3"/>
  </r>
  <r>
    <x v="690"/>
    <n v="28"/>
    <n v="19421271"/>
    <s v="Animation|Comedy|Family"/>
    <s v="Frank Welker"/>
    <x v="946"/>
    <n v="2448"/>
    <s v="dance|friend|monster|reference to batman|valentine"/>
    <n v="18"/>
    <x v="0"/>
    <x v="0"/>
    <n v="5000000"/>
    <x v="12"/>
    <x v="53"/>
    <n v="5000000"/>
    <n v="19421271"/>
    <x v="946"/>
    <x v="946"/>
    <x v="8"/>
  </r>
  <r>
    <x v="371"/>
    <n v="76"/>
    <n v="12181484"/>
    <s v="Comedy"/>
    <s v="Amy Poehler"/>
    <x v="947"/>
    <n v="26390"/>
    <s v="best friend|dog|envy|jealousy|neighbor"/>
    <n v="176"/>
    <x v="0"/>
    <x v="0"/>
    <n v="40000000"/>
    <x v="2"/>
    <x v="45"/>
    <n v="40000000"/>
    <n v="12181484"/>
    <x v="947"/>
    <x v="947"/>
    <x v="4"/>
  </r>
  <r>
    <x v="691"/>
    <n v="128"/>
    <n v="3076425"/>
    <s v="Comedy|Crime|Musical|Romance"/>
    <s v="Catherine Deneuve"/>
    <x v="948"/>
    <n v="23660"/>
    <s v="cook|industrialist|secret|snowstorm|suspect"/>
    <n v="162"/>
    <x v="4"/>
    <x v="8"/>
    <n v="8000000"/>
    <x v="13"/>
    <x v="17"/>
    <n v="8677920"/>
    <n v="3337121.2544999998"/>
    <x v="948"/>
    <x v="948"/>
    <x v="4"/>
  </r>
  <r>
    <x v="607"/>
    <n v="217"/>
    <n v="88761720"/>
    <s v="Adventure|Family|Fantasy"/>
    <s v="Logan Lerman"/>
    <x v="949"/>
    <n v="141179"/>
    <s v="greek|lightning|lightning bolt|poseidon|teenager"/>
    <n v="419"/>
    <x v="0"/>
    <x v="2"/>
    <n v="95000000"/>
    <x v="11"/>
    <x v="0"/>
    <n v="122112999.999999"/>
    <n v="114094314.887999"/>
    <x v="949"/>
    <x v="949"/>
    <x v="0"/>
  </r>
  <r>
    <x v="476"/>
    <n v="42"/>
    <n v="60008303"/>
    <s v="Adventure|Comedy|Family"/>
    <s v="Chris Elliott"/>
    <x v="950"/>
    <n v="9285"/>
    <s v="meteorologist|snow|snowed in|snowplow|weather"/>
    <n v="91"/>
    <x v="0"/>
    <x v="0"/>
    <n v="13000000"/>
    <x v="4"/>
    <x v="18"/>
    <n v="13000000"/>
    <n v="60008303"/>
    <x v="950"/>
    <x v="950"/>
    <x v="0"/>
  </r>
  <r>
    <x v="10"/>
    <n v="265"/>
    <n v="187670866"/>
    <s v="Action|Drama|Romance"/>
    <s v="Djimon Hounsou"/>
    <x v="951"/>
    <n v="982637"/>
    <s v="battlefield|blood|combat|gladiator|roman empire"/>
    <n v="2368"/>
    <x v="0"/>
    <x v="0"/>
    <n v="103000000"/>
    <x v="4"/>
    <x v="59"/>
    <n v="103000000"/>
    <n v="187670866"/>
    <x v="951"/>
    <x v="951"/>
    <x v="1"/>
  </r>
  <r>
    <x v="142"/>
    <n v="114"/>
    <n v="21009180"/>
    <s v="Action|Adventure|Drama|Thriller"/>
    <s v="Dennis Quaid"/>
    <x v="952"/>
    <n v="45815"/>
    <s v="captain|desert|rescue|stranded|survivor"/>
    <n v="222"/>
    <x v="0"/>
    <x v="0"/>
    <n v="45000000"/>
    <x v="2"/>
    <x v="7"/>
    <n v="45000000"/>
    <n v="21009180"/>
    <x v="952"/>
    <x v="952"/>
    <x v="1"/>
  </r>
  <r>
    <x v="692"/>
    <n v="113"/>
    <n v="1891821"/>
    <s v="Action|Adventure|Horror|Sci-Fi|Thriller"/>
    <s v="David Oyelowo"/>
    <x v="953"/>
    <n v="16474"/>
    <s v="butterfly|hunter|time|time travel|wave"/>
    <n v="301"/>
    <x v="0"/>
    <x v="2"/>
    <n v="52000000"/>
    <x v="25"/>
    <x v="32"/>
    <n v="66840799.999999903"/>
    <n v="2431746.7133999998"/>
    <x v="953"/>
    <x v="953"/>
    <x v="1"/>
  </r>
  <r>
    <x v="353"/>
    <n v="172"/>
    <n v="26616590"/>
    <s v="Horror|Sci-Fi|Thriller"/>
    <s v="Sean Pertwee"/>
    <x v="954"/>
    <n v="120416"/>
    <s v="solar system|space|spaceship|starship|year 2047"/>
    <n v="857"/>
    <x v="0"/>
    <x v="2"/>
    <n v="60000000"/>
    <x v="31"/>
    <x v="21"/>
    <n v="77124000"/>
    <n v="34212964.785999998"/>
    <x v="954"/>
    <x v="954"/>
    <x v="6"/>
  </r>
  <r>
    <x v="693"/>
    <n v="65"/>
    <n v="16247775"/>
    <s v="Comedy|Family|Romance"/>
    <s v="Ben Feldman"/>
    <x v="955"/>
    <n v="23527"/>
    <s v="e mail|moving|perfect man|secret admirer|suitor"/>
    <n v="104"/>
    <x v="0"/>
    <x v="0"/>
    <n v="25000000"/>
    <x v="25"/>
    <x v="28"/>
    <n v="25000000"/>
    <n v="16247775"/>
    <x v="955"/>
    <x v="955"/>
    <x v="4"/>
  </r>
  <r>
    <x v="509"/>
    <n v="82"/>
    <n v="91400000"/>
    <s v="Action|Drama|Thriller|War"/>
    <s v="Denzel Washington"/>
    <x v="956"/>
    <n v="81026"/>
    <s v="alabama|mutiny|order|radio|submarine"/>
    <n v="194"/>
    <x v="0"/>
    <x v="0"/>
    <n v="53000000"/>
    <x v="33"/>
    <x v="4"/>
    <n v="53000000"/>
    <n v="91400000"/>
    <x v="956"/>
    <x v="956"/>
    <x v="1"/>
  </r>
  <r>
    <x v="694"/>
    <n v="175"/>
    <n v="17176900"/>
    <s v="Action|Adventure|Fantasy"/>
    <s v="Jeff Bridges"/>
    <x v="957"/>
    <n v="54501"/>
    <s v="apprentice|demon|exorcism|master apprentice relationship|witch"/>
    <n v="154"/>
    <x v="0"/>
    <x v="0"/>
    <n v="95000000"/>
    <x v="27"/>
    <x v="28"/>
    <n v="95000000"/>
    <n v="17176900"/>
    <x v="957"/>
    <x v="957"/>
    <x v="1"/>
  </r>
  <r>
    <x v="695"/>
    <n v="90"/>
    <n v="1071240"/>
    <s v="Biography|Drama"/>
    <s v="Colin Firth"/>
    <x v="958"/>
    <n v="3571"/>
    <s v="cancer|children|death|terminal cancer|time"/>
    <n v="34"/>
    <x v="0"/>
    <x v="2"/>
    <n v="8000000"/>
    <x v="15"/>
    <x v="31"/>
    <n v="10283199.999999899"/>
    <n v="1376971.8959999999"/>
    <x v="958"/>
    <x v="958"/>
    <x v="2"/>
  </r>
  <r>
    <x v="696"/>
    <n v="107"/>
    <n v="12282677"/>
    <s v="Comedy|Sci-Fi"/>
    <s v="Adam Scott"/>
    <x v="959"/>
    <n v="28159"/>
    <s v="acid trip|gameshow|hot tub|time lord|time machine"/>
    <n v="96"/>
    <x v="0"/>
    <x v="0"/>
    <n v="14000000"/>
    <x v="1"/>
    <x v="37"/>
    <n v="14000000"/>
    <n v="12282677"/>
    <x v="959"/>
    <x v="959"/>
    <x v="4"/>
  </r>
  <r>
    <x v="281"/>
    <n v="291"/>
    <n v="403706375"/>
    <s v="Action|Adventure|Fantasy|Romance"/>
    <s v="J.K. Simmons"/>
    <x v="960"/>
    <n v="544665"/>
    <s v="evil|goblin|spider|spider man|superhero"/>
    <n v="2012"/>
    <x v="0"/>
    <x v="0"/>
    <n v="139000000"/>
    <x v="13"/>
    <x v="4"/>
    <n v="139000000"/>
    <n v="403706375"/>
    <x v="960"/>
    <x v="960"/>
    <x v="1"/>
  </r>
  <r>
    <x v="697"/>
    <n v="66"/>
    <n v="4273372"/>
    <s v="Drama|Music|Romance"/>
    <s v="Mariah Carey"/>
    <x v="961"/>
    <n v="19412"/>
    <s v="cult film|disc jockey|female protagonist|music business|one word title"/>
    <n v="308"/>
    <x v="0"/>
    <x v="0"/>
    <n v="22000000"/>
    <x v="9"/>
    <x v="63"/>
    <n v="22000000"/>
    <n v="4273372"/>
    <x v="961"/>
    <x v="961"/>
    <x v="5"/>
  </r>
  <r>
    <x v="101"/>
    <n v="131"/>
    <n v="44793200"/>
    <s v="Action|Fantasy|Horror|Thriller"/>
    <s v="John Saxon"/>
    <x v="962"/>
    <n v="49820"/>
    <s v="dream|freddy krueger|killer|nightmare|springwood ohio"/>
    <n v="311"/>
    <x v="0"/>
    <x v="0"/>
    <n v="4500000"/>
    <x v="21"/>
    <x v="14"/>
    <n v="4500000"/>
    <n v="44793200"/>
    <x v="962"/>
    <x v="962"/>
    <x v="1"/>
  </r>
  <r>
    <x v="636"/>
    <n v="71"/>
    <n v="598645"/>
    <s v="Comedy|Romance"/>
    <s v="Bruce Greenwood"/>
    <x v="963"/>
    <n v="13145"/>
    <s v="island|sailor|storm|stranded|vacation"/>
    <n v="215"/>
    <x v="0"/>
    <x v="2"/>
    <n v="10000000"/>
    <x v="13"/>
    <x v="12"/>
    <n v="12853999.999999899"/>
    <n v="769498.28299999901"/>
    <x v="963"/>
    <x v="963"/>
    <x v="4"/>
  </r>
  <r>
    <x v="396"/>
    <n v="98"/>
    <n v="33643461"/>
    <s v="Comedy|Family"/>
    <s v="Emma Stone"/>
    <x v="964"/>
    <n v="11257"/>
    <s v="dog|great dane|rivalry|talking animal|talking cat"/>
    <n v="65"/>
    <x v="0"/>
    <x v="0"/>
    <n v="50000000"/>
    <x v="11"/>
    <x v="32"/>
    <n v="50000000"/>
    <n v="33643461"/>
    <x v="964"/>
    <x v="964"/>
    <x v="4"/>
  </r>
  <r>
    <x v="698"/>
    <n v="75"/>
    <n v="22734486"/>
    <s v="Comedy"/>
    <s v="Kevin Grevioux"/>
    <x v="965"/>
    <n v="11815"/>
    <s v="dental braces|dental headgear|former child star|panties|white panties"/>
    <n v="117"/>
    <x v="0"/>
    <x v="0"/>
    <n v="17000000"/>
    <x v="19"/>
    <x v="15"/>
    <n v="17000000"/>
    <n v="22734486"/>
    <x v="965"/>
    <x v="965"/>
    <x v="4"/>
  </r>
  <r>
    <x v="236"/>
    <n v="160"/>
    <n v="15483540"/>
    <s v="Adventure|Mystery|Thriller"/>
    <s v="Chris Hemsworth"/>
    <x v="966"/>
    <n v="56338"/>
    <s v="cliff|hawaii|island|newlywed|waterfall"/>
    <n v="215"/>
    <x v="0"/>
    <x v="0"/>
    <n v="14000000"/>
    <x v="16"/>
    <x v="20"/>
    <n v="14000000"/>
    <n v="15483540"/>
    <x v="966"/>
    <x v="966"/>
    <x v="0"/>
  </r>
  <r>
    <x v="699"/>
    <n v="114"/>
    <n v="1325073"/>
    <s v="Comedy|Drama"/>
    <s v="Kelli Garner"/>
    <x v="967"/>
    <n v="18762"/>
    <s v="attention deficit disorder|debate|drugs|psychologist|school"/>
    <n v="91"/>
    <x v="0"/>
    <x v="0"/>
    <n v="4000000"/>
    <x v="25"/>
    <x v="14"/>
    <n v="4000000"/>
    <n v="1325073"/>
    <x v="967"/>
    <x v="967"/>
    <x v="4"/>
  </r>
  <r>
    <x v="700"/>
    <n v="71"/>
    <n v="7417210"/>
    <s v="Drama"/>
    <s v="Rosario Dawson"/>
    <x v="968"/>
    <n v="59041"/>
    <s v="coming of age|marijuana|rape|virgin|weed"/>
    <n v="408"/>
    <x v="0"/>
    <x v="0"/>
    <n v="1500000"/>
    <x v="33"/>
    <x v="16"/>
    <n v="1500000"/>
    <n v="7417210"/>
    <x v="968"/>
    <x v="968"/>
    <x v="5"/>
  </r>
  <r>
    <x v="112"/>
    <n v="111"/>
    <n v="87666629"/>
    <s v="Adventure|Comedy|Sci-Fi|Western"/>
    <s v="Lea Thompson"/>
    <x v="969"/>
    <n v="283480"/>
    <s v="band|dog|letter|time machine|tombstone"/>
    <n v="263"/>
    <x v="0"/>
    <x v="0"/>
    <n v="40000000"/>
    <x v="32"/>
    <x v="39"/>
    <n v="40000000"/>
    <n v="87666629"/>
    <x v="969"/>
    <x v="969"/>
    <x v="0"/>
  </r>
  <r>
    <x v="132"/>
    <n v="470"/>
    <n v="317011114"/>
    <s v="Action|Adventure|Fantasy"/>
    <s v="Harrison Ford"/>
    <x v="970"/>
    <n v="333847"/>
    <s v="cult figure|femme fatale|indiana jones|unsubtitled foreign language|year 1957"/>
    <n v="2054"/>
    <x v="0"/>
    <x v="0"/>
    <n v="185000000"/>
    <x v="20"/>
    <x v="5"/>
    <n v="185000000"/>
    <n v="317011114"/>
    <x v="970"/>
    <x v="970"/>
    <x v="1"/>
  </r>
  <r>
    <x v="531"/>
    <n v="209"/>
    <n v="65948711"/>
    <s v="Drama|Mystery|Sci-Fi|Thriller"/>
    <s v="Denzel Washington"/>
    <x v="971"/>
    <n v="86422"/>
    <s v="brainwashed assassin|conspiracy|critically acclaimed|mother son relationship|soldier"/>
    <n v="363"/>
    <x v="0"/>
    <x v="0"/>
    <n v="80000000"/>
    <x v="2"/>
    <x v="14"/>
    <n v="80000000"/>
    <n v="65948711"/>
    <x v="971"/>
    <x v="971"/>
    <x v="5"/>
  </r>
  <r>
    <x v="701"/>
    <n v="252"/>
    <n v="3325638"/>
    <s v="Comedy|Crime|Drama|Sci-Fi"/>
    <s v="Frank Langella"/>
    <x v="972"/>
    <n v="52509"/>
    <s v="burglary|dementia|near future|robot|thief"/>
    <n v="84"/>
    <x v="0"/>
    <x v="0"/>
    <n v="2500000"/>
    <x v="28"/>
    <x v="17"/>
    <n v="2500000"/>
    <n v="3325638"/>
    <x v="972"/>
    <x v="972"/>
    <x v="4"/>
  </r>
  <r>
    <x v="702"/>
    <n v="79"/>
    <n v="66600000"/>
    <s v="Comedy|Drama|Family"/>
    <s v="Miriam Margolyes"/>
    <x v="973"/>
    <n v="94435"/>
    <s v="dog|farmer|pig|sheep|sheepdog"/>
    <n v="182"/>
    <x v="0"/>
    <x v="3"/>
    <n v="30000000"/>
    <x v="33"/>
    <x v="22"/>
    <n v="19616400"/>
    <n v="43548408"/>
    <x v="973"/>
    <x v="973"/>
    <x v="4"/>
  </r>
  <r>
    <x v="703"/>
    <n v="52"/>
    <n v="27457409"/>
    <s v="Comedy|Drama"/>
    <s v="Julie Benz"/>
    <x v="974"/>
    <n v="3198"/>
    <s v="african american|commitment|friend|friendship|playboy"/>
    <n v="43"/>
    <x v="0"/>
    <x v="0"/>
    <n v="6000000"/>
    <x v="9"/>
    <x v="23"/>
    <n v="6000000"/>
    <n v="27457409"/>
    <x v="974"/>
    <x v="974"/>
    <x v="4"/>
  </r>
  <r>
    <x v="74"/>
    <n v="222"/>
    <n v="63910583"/>
    <s v="Comedy|Romance"/>
    <s v="Robert De Niro"/>
    <x v="975"/>
    <n v="106755"/>
    <s v="bachelor party|bloody mary the drink|bouncer|brooklyn new york city|vegas"/>
    <n v="173"/>
    <x v="0"/>
    <x v="0"/>
    <n v="28000000"/>
    <x v="0"/>
    <x v="14"/>
    <n v="28000000"/>
    <n v="63910583"/>
    <x v="975"/>
    <x v="975"/>
    <x v="4"/>
  </r>
  <r>
    <x v="704"/>
    <n v="97"/>
    <n v="28995450"/>
    <s v="Comedy|Family|Fantasy"/>
    <s v="Daniel Mays"/>
    <x v="976"/>
    <n v="19230"/>
    <s v="farm|magic|mother daughter relationship|overalls|title directed by female"/>
    <n v="59"/>
    <x v="0"/>
    <x v="2"/>
    <n v="35000000"/>
    <x v="11"/>
    <x v="7"/>
    <n v="44988999.999999903"/>
    <n v="37270751.43"/>
    <x v="976"/>
    <x v="976"/>
    <x v="4"/>
  </r>
  <r>
    <x v="705"/>
    <n v="60"/>
    <n v="4091"/>
    <s v="Adventure|Animation|Comedy|Family|Fantasy"/>
    <s v="Kyle Hebert"/>
    <x v="977"/>
    <n v="4265"/>
    <s v=""/>
    <n v="16"/>
    <x v="0"/>
    <x v="16"/>
    <n v="34000000"/>
    <x v="0"/>
    <x v="23"/>
    <n v="36881160"/>
    <n v="4437.6713399999999"/>
    <x v="977"/>
    <x v="977"/>
    <x v="0"/>
  </r>
  <r>
    <x v="706"/>
    <n v="42"/>
    <n v="175370"/>
    <s v="Comedy"/>
    <s v="Bruce Willis"/>
    <x v="978"/>
    <n v="6884"/>
    <s v="breakfast|manitoba|science fiction writer|suicide|writer"/>
    <n v="133"/>
    <x v="0"/>
    <x v="0"/>
    <n v="12000000"/>
    <x v="12"/>
    <x v="34"/>
    <n v="12000000"/>
    <n v="175370"/>
    <x v="978"/>
    <x v="978"/>
    <x v="4"/>
  </r>
  <r>
    <x v="533"/>
    <n v="202"/>
    <n v="16264475"/>
    <s v="Biography|Drama|History|War"/>
    <s v="Eddie Redmayne"/>
    <x v="979"/>
    <n v="54787"/>
    <s v="court|intrigue|queen|spain|virgin"/>
    <n v="216"/>
    <x v="0"/>
    <x v="2"/>
    <n v="55000000"/>
    <x v="15"/>
    <x v="31"/>
    <n v="70697000"/>
    <n v="20906356.164999999"/>
    <x v="979"/>
    <x v="979"/>
    <x v="2"/>
  </r>
  <r>
    <x v="707"/>
    <n v="73"/>
    <n v="195888"/>
    <s v="Drama|Romance|War"/>
    <s v="Marcell Nagy"/>
    <x v="980"/>
    <n v="5603"/>
    <s v="bus|death|gay slur|hatred|jewish"/>
    <n v="45"/>
    <x v="16"/>
    <x v="22"/>
    <n v="2500000000"/>
    <x v="25"/>
    <x v="17"/>
    <n v="6908935"/>
    <n v="541.35098371200002"/>
    <x v="980"/>
    <x v="980"/>
    <x v="5"/>
  </r>
  <r>
    <x v="112"/>
    <n v="221"/>
    <n v="233630478"/>
    <s v="Adventure|Drama|Romance"/>
    <s v="Tom Hanks"/>
    <x v="981"/>
    <n v="394317"/>
    <s v="christmas|island|love|survival|talking to inanimate object"/>
    <n v="1051"/>
    <x v="0"/>
    <x v="0"/>
    <n v="90000000"/>
    <x v="4"/>
    <x v="9"/>
    <n v="90000000"/>
    <n v="233630478"/>
    <x v="981"/>
    <x v="981"/>
    <x v="0"/>
  </r>
  <r>
    <x v="578"/>
    <n v="235"/>
    <n v="72266306"/>
    <s v="Crime|Drama|Mystery|Thriller"/>
    <s v="Dennis Quaid"/>
    <x v="982"/>
    <n v="127528"/>
    <s v="explosion|multiple perspectives|president|secret service|shooting"/>
    <n v="422"/>
    <x v="0"/>
    <x v="0"/>
    <n v="40000000"/>
    <x v="20"/>
    <x v="14"/>
    <n v="40000000"/>
    <n v="72266306"/>
    <x v="982"/>
    <x v="982"/>
    <x v="3"/>
  </r>
  <r>
    <x v="32"/>
    <n v="230"/>
    <n v="180011740"/>
    <s v="Action|Adventure|Sci-Fi|Thriller"/>
    <s v="Cary-Hiroyuki Tagawa"/>
    <x v="983"/>
    <n v="177729"/>
    <s v="astronaut|cage|planet|wilhelm scream|year 2029"/>
    <n v="1368"/>
    <x v="0"/>
    <x v="0"/>
    <n v="100000000"/>
    <x v="9"/>
    <x v="35"/>
    <n v="100000000"/>
    <n v="180011740"/>
    <x v="983"/>
    <x v="983"/>
    <x v="1"/>
  </r>
  <r>
    <x v="708"/>
    <n v="76"/>
    <n v="349618"/>
    <s v="Horror"/>
    <s v="John Amos"/>
    <x v="984"/>
    <n v="4302"/>
    <s v="black cat|cat|evil|photographer|undead"/>
    <n v="45"/>
    <x v="0"/>
    <x v="1"/>
    <n v="9000000"/>
    <x v="32"/>
    <x v="7"/>
    <n v="9762660"/>
    <n v="379244.62932000001"/>
    <x v="984"/>
    <x v="984"/>
    <x v="6"/>
  </r>
  <r>
    <x v="106"/>
    <n v="198"/>
    <n v="71148699"/>
    <s v="Adventure|Family|Fantasy"/>
    <s v="Martin Short"/>
    <x v="985"/>
    <n v="68935"/>
    <s v="actor playing multiple roles|brownie the creature|closing credits sequence|family relationships|magical creature"/>
    <n v="125"/>
    <x v="0"/>
    <x v="0"/>
    <n v="90000000"/>
    <x v="20"/>
    <x v="14"/>
    <n v="90000000"/>
    <n v="71148699"/>
    <x v="985"/>
    <x v="985"/>
    <x v="0"/>
  </r>
  <r>
    <x v="709"/>
    <n v="128"/>
    <n v="27796042"/>
    <s v="Drama|Romance"/>
    <s v="Martin Landau"/>
    <x v="986"/>
    <n v="45031"/>
    <s v="amnesia|california|communist|small town|writer"/>
    <n v="376"/>
    <x v="0"/>
    <x v="0"/>
    <n v="72000000"/>
    <x v="9"/>
    <x v="31"/>
    <n v="72000000"/>
    <n v="27796042"/>
    <x v="986"/>
    <x v="986"/>
    <x v="5"/>
  </r>
  <r>
    <x v="710"/>
    <n v="187"/>
    <n v="51396781"/>
    <s v="Drama|History|War"/>
    <s v="Bob Hoskins"/>
    <x v="987"/>
    <n v="188887"/>
    <s v="battle|german|russian|sniper|stalingrad"/>
    <n v="662"/>
    <x v="0"/>
    <x v="0"/>
    <n v="68000000"/>
    <x v="9"/>
    <x v="10"/>
    <n v="68000000"/>
    <n v="51396781"/>
    <x v="987"/>
    <x v="987"/>
    <x v="5"/>
  </r>
  <r>
    <x v="711"/>
    <n v="121"/>
    <n v="16699684"/>
    <s v="Comedy|Romance"/>
    <s v="J.K. Simmons"/>
    <x v="988"/>
    <n v="17461"/>
    <s v="love|manufacturing|minnesota|plant|small town"/>
    <n v="78"/>
    <x v="0"/>
    <x v="0"/>
    <n v="8000000"/>
    <x v="16"/>
    <x v="15"/>
    <n v="8000000"/>
    <n v="16699684"/>
    <x v="988"/>
    <x v="988"/>
    <x v="4"/>
  </r>
  <r>
    <x v="712"/>
    <n v="77"/>
    <n v="10134754"/>
    <s v="Animation|Comedy|Family"/>
    <s v="Amy Poehler"/>
    <x v="989"/>
    <n v="9682"/>
    <s v="3 dimensional|box office flop|critically bashed|red riding hood|wolf"/>
    <n v="38"/>
    <x v="0"/>
    <x v="0"/>
    <n v="30000000"/>
    <x v="22"/>
    <x v="45"/>
    <n v="30000000"/>
    <n v="10134754"/>
    <x v="989"/>
    <x v="989"/>
    <x v="8"/>
  </r>
  <r>
    <x v="10"/>
    <n v="300"/>
    <n v="130127620"/>
    <s v="Biography|Crime|Drama"/>
    <s v="Denzel Washington"/>
    <x v="990"/>
    <n v="324671"/>
    <s v="death|heroin|popcorn|smuggling|vietnam"/>
    <n v="458"/>
    <x v="0"/>
    <x v="0"/>
    <n v="100000000"/>
    <x v="15"/>
    <x v="38"/>
    <n v="100000000"/>
    <n v="130127620"/>
    <x v="990"/>
    <x v="990"/>
    <x v="2"/>
  </r>
  <r>
    <x v="658"/>
    <n v="178"/>
    <n v="10539414"/>
    <s v="Action|Drama|Fantasy|Thriller|Western"/>
    <s v="Michael Fassbender"/>
    <x v="991"/>
    <n v="45729"/>
    <s v="confederate|death|independence day|military|terrorist"/>
    <n v="176"/>
    <x v="0"/>
    <x v="0"/>
    <n v="47000000"/>
    <x v="11"/>
    <x v="27"/>
    <n v="47000000"/>
    <n v="10539414"/>
    <x v="991"/>
    <x v="991"/>
    <x v="1"/>
  </r>
  <r>
    <x v="274"/>
    <n v="223"/>
    <n v="76600000"/>
    <s v="Fantasy|Horror"/>
    <s v="Heather O'Rourke"/>
    <x v="992"/>
    <n v="105446"/>
    <s v="ghost|haunted|haunting|house|paranormal investigator"/>
    <n v="321"/>
    <x v="0"/>
    <x v="0"/>
    <n v="10700000"/>
    <x v="42"/>
    <x v="39"/>
    <n v="10700000"/>
    <n v="76600000"/>
    <x v="992"/>
    <x v="992"/>
    <x v="9"/>
  </r>
  <r>
    <x v="319"/>
    <n v="287"/>
    <n v="54557348"/>
    <s v="Crime|Drama|Thriller"/>
    <s v="Don Cheadle"/>
    <x v="993"/>
    <n v="361169"/>
    <s v="race relations|racism|racist|social problem|stereotype"/>
    <n v="1624"/>
    <x v="0"/>
    <x v="5"/>
    <n v="6500000"/>
    <x v="2"/>
    <x v="19"/>
    <n v="7050810"/>
    <n v="59180537.669519998"/>
    <x v="993"/>
    <x v="993"/>
    <x v="3"/>
  </r>
  <r>
    <x v="187"/>
    <n v="254"/>
    <n v="1821983"/>
    <s v="Comedy|Drama|Horror"/>
    <s v="Johnny Depp"/>
    <x v="994"/>
    <n v="31089"/>
    <s v="canada|human becoming an animal|mad scientist|part of trilogy|walrus"/>
    <n v="261"/>
    <x v="0"/>
    <x v="0"/>
    <n v="3000000"/>
    <x v="27"/>
    <x v="26"/>
    <n v="3000000"/>
    <n v="1821983"/>
    <x v="994"/>
    <x v="994"/>
    <x v="4"/>
  </r>
  <r>
    <x v="713"/>
    <n v="140"/>
    <n v="4535117"/>
    <s v="Action|Adventure|Fantasy|Thriller"/>
    <s v="Jason Statham"/>
    <x v="995"/>
    <n v="38398"/>
    <s v="farmer|king|krug|rescue|wizard"/>
    <n v="368"/>
    <x v="0"/>
    <x v="5"/>
    <n v="60000000"/>
    <x v="15"/>
    <x v="54"/>
    <n v="65084400"/>
    <n v="4919422.81458"/>
    <x v="995"/>
    <x v="995"/>
    <x v="1"/>
  </r>
  <r>
    <x v="26"/>
    <n v="195"/>
    <n v="101334374"/>
    <s v="Horror|Mystery"/>
    <s v="Omar Epps"/>
    <x v="996"/>
    <n v="124941"/>
    <s v="college|ghostface|killer|killing spree|murder"/>
    <n v="488"/>
    <x v="0"/>
    <x v="0"/>
    <n v="24000000"/>
    <x v="31"/>
    <x v="7"/>
    <n v="24000000"/>
    <n v="101334374"/>
    <x v="996"/>
    <x v="996"/>
    <x v="6"/>
  </r>
  <r>
    <x v="84"/>
    <n v="100"/>
    <n v="53955614"/>
    <s v="Action|Adventure|Comedy|Family|Sci-Fi"/>
    <s v="Kirsten Dunst"/>
    <x v="997"/>
    <n v="77415"/>
    <s v="action figure|battle|computer|military|toy"/>
    <n v="139"/>
    <x v="0"/>
    <x v="0"/>
    <n v="40000000"/>
    <x v="6"/>
    <x v="7"/>
    <n v="40000000"/>
    <n v="53955614"/>
    <x v="997"/>
    <x v="997"/>
    <x v="1"/>
  </r>
  <r>
    <x v="66"/>
    <n v="371"/>
    <n v="78031620"/>
    <s v="Drama|War"/>
    <s v="Bill Murray"/>
    <x v="998"/>
    <n v="102248"/>
    <s v="art|art expert|nazi stolen art|soldier|world war two"/>
    <n v="403"/>
    <x v="0"/>
    <x v="0"/>
    <n v="70000000"/>
    <x v="27"/>
    <x v="7"/>
    <n v="70000000"/>
    <n v="78031620"/>
    <x v="998"/>
    <x v="998"/>
    <x v="5"/>
  </r>
  <r>
    <x v="95"/>
    <n v="56"/>
    <n v="2600000"/>
    <s v="Drama|War"/>
    <s v="Robert Downey Jr."/>
    <x v="999"/>
    <n v="11612"/>
    <s v="1930s|abuse of power|england|king|murder"/>
    <n v="88"/>
    <x v="0"/>
    <x v="2"/>
    <n v="6000000"/>
    <x v="33"/>
    <x v="2"/>
    <n v="7712399.9999999898"/>
    <n v="3342039.9999999902"/>
    <x v="999"/>
    <x v="999"/>
    <x v="5"/>
  </r>
  <r>
    <x v="652"/>
    <n v="218"/>
    <n v="80021740"/>
    <s v="Adventure|Comedy|Family|Fantasy|Horror"/>
    <s v="Odeya Rush"/>
    <x v="882"/>
    <n v="47968"/>
    <s v="based on book|blob|ferris wheel|manuscript|monster"/>
    <n v="154"/>
    <x v="0"/>
    <x v="0"/>
    <n v="58000000"/>
    <x v="1"/>
    <x v="24"/>
    <n v="58000000"/>
    <n v="80021740"/>
    <x v="882"/>
    <x v="882"/>
    <x v="0"/>
  </r>
  <r>
    <x v="714"/>
    <n v="113"/>
    <n v="44469602"/>
    <s v="Biography|Drama|Sport"/>
    <s v="Morgan Saylor"/>
    <x v="1000"/>
    <n v="23480"/>
    <s v="coach|high school|place name in title|school|student"/>
    <n v="83"/>
    <x v="0"/>
    <x v="0"/>
    <n v="17000000"/>
    <x v="1"/>
    <x v="39"/>
    <n v="17000000"/>
    <n v="44469602"/>
    <x v="1000"/>
    <x v="1000"/>
    <x v="2"/>
  </r>
  <r>
    <x v="715"/>
    <n v="229"/>
    <n v="3073392"/>
    <s v="Drama|Mystery|Sci-Fi|Thriller"/>
    <s v="Don McKellar"/>
    <x v="1001"/>
    <n v="59462"/>
    <s v="blindness|epidemic|hospital|pubic hair|quarantine"/>
    <n v="300"/>
    <x v="0"/>
    <x v="9"/>
    <n v="25000000"/>
    <x v="20"/>
    <x v="14"/>
    <n v="18085125"/>
    <n v="2223307.1397599899"/>
    <x v="1001"/>
    <x v="1001"/>
    <x v="5"/>
  </r>
  <r>
    <x v="419"/>
    <n v="52"/>
    <n v="7881335"/>
    <s v="Comedy|Crime|Thriller"/>
    <s v="Kathleen Turner"/>
    <x v="1002"/>
    <n v="21212"/>
    <s v="dentist|housewife|howie scream|murder|perfection"/>
    <n v="107"/>
    <x v="0"/>
    <x v="0"/>
    <n v="13000000"/>
    <x v="5"/>
    <x v="21"/>
    <n v="13000000"/>
    <n v="7881335"/>
    <x v="1002"/>
    <x v="1002"/>
    <x v="4"/>
  </r>
  <r>
    <x v="716"/>
    <n v="129"/>
    <n v="40041683"/>
    <s v="Comedy|Fantasy"/>
    <s v="Essence Atkins"/>
    <x v="1003"/>
    <n v="34620"/>
    <s v="hamburger|parody|priest|psychic|woman in a bikini"/>
    <n v="107"/>
    <x v="0"/>
    <x v="0"/>
    <n v="2500000"/>
    <x v="0"/>
    <x v="37"/>
    <n v="2500000"/>
    <n v="40041683"/>
    <x v="1003"/>
    <x v="1003"/>
    <x v="4"/>
  </r>
  <r>
    <x v="501"/>
    <n v="121"/>
    <n v="108200000"/>
    <s v="Action|Adventure|Romance|Sci-Fi"/>
    <s v="Margot Kidder"/>
    <x v="1004"/>
    <n v="76331"/>
    <s v="alien invasion|based on comic book|flying superhero|phantom zone|revenge"/>
    <n v="269"/>
    <x v="0"/>
    <x v="0"/>
    <n v="54000000"/>
    <x v="52"/>
    <x v="22"/>
    <n v="54000000"/>
    <n v="108200000"/>
    <x v="1004"/>
    <x v="1004"/>
    <x v="1"/>
  </r>
  <r>
    <x v="717"/>
    <n v="66"/>
    <n v="11835"/>
    <s v="Comedy|Drama|Romance"/>
    <s v="Ingvar Eggert SigurÃ°sson"/>
    <x v="1005"/>
    <n v="1920"/>
    <s v="barbed wire|barbed wire fence|horse|nature|snowstorm"/>
    <n v="7"/>
    <x v="17"/>
    <x v="20"/>
    <n v="10000000"/>
    <x v="0"/>
    <x v="31"/>
    <n v="72558.409"/>
    <n v="85.872877051499998"/>
    <x v="1005"/>
    <x v="1005"/>
    <x v="4"/>
  </r>
  <r>
    <x v="718"/>
    <n v="148"/>
    <n v="84518155"/>
    <s v="Comedy"/>
    <s v="Gary Cole"/>
    <x v="1006"/>
    <n v="35965"/>
    <s v="alcoholic|grandmother|highway travel|niagara falls|on the road"/>
    <n v="144"/>
    <x v="0"/>
    <x v="0"/>
    <n v="20000000"/>
    <x v="27"/>
    <x v="18"/>
    <n v="20000000"/>
    <n v="84518155"/>
    <x v="1006"/>
    <x v="1006"/>
    <x v="4"/>
  </r>
  <r>
    <x v="719"/>
    <n v="141"/>
    <n v="89296573"/>
    <s v="Adventure|Animation|Comedy|Family|Fantasy"/>
    <s v="Eartha Kitt"/>
    <x v="1007"/>
    <n v="128285"/>
    <s v="antidote|disney|emperor|first part|llama"/>
    <n v="297"/>
    <x v="0"/>
    <x v="0"/>
    <n v="100000000"/>
    <x v="4"/>
    <x v="4"/>
    <n v="100000000"/>
    <n v="89296573"/>
    <x v="1007"/>
    <x v="1007"/>
    <x v="0"/>
  </r>
  <r>
    <x v="532"/>
    <n v="279"/>
    <n v="79948113"/>
    <s v="Drama|Mystery|Sci-Fi|Thriller"/>
    <s v="Nicolas Cage"/>
    <x v="1008"/>
    <n v="186879"/>
    <s v="disaster|end of the world|number|student|time capsule"/>
    <n v="791"/>
    <x v="0"/>
    <x v="0"/>
    <n v="50000000"/>
    <x v="16"/>
    <x v="5"/>
    <n v="50000000"/>
    <n v="79948113"/>
    <x v="1008"/>
    <x v="1008"/>
    <x v="5"/>
  </r>
  <r>
    <x v="115"/>
    <n v="109"/>
    <n v="153620822"/>
    <s v="Comedy|Drama|Romance|Sport"/>
    <s v="Tom Cruise"/>
    <x v="1009"/>
    <n v="189923"/>
    <s v="agent|career|client|fiance|sports agent"/>
    <n v="318"/>
    <x v="0"/>
    <x v="0"/>
    <n v="50000000"/>
    <x v="10"/>
    <x v="4"/>
    <n v="50000000"/>
    <n v="153620822"/>
    <x v="1009"/>
    <x v="1009"/>
    <x v="4"/>
  </r>
  <r>
    <x v="720"/>
    <n v="50"/>
    <n v="20380"/>
    <s v="Comedy|Drama|Fantasy|Music|Romance"/>
    <s v="Stephen Graham"/>
    <x v="1010"/>
    <n v="7519"/>
    <s v="commercial|dream|dreaming|girl|new york city"/>
    <n v="39"/>
    <x v="0"/>
    <x v="0"/>
    <n v="15000000"/>
    <x v="15"/>
    <x v="0"/>
    <n v="15000000"/>
    <n v="20380"/>
    <x v="1010"/>
    <x v="1010"/>
    <x v="4"/>
  </r>
  <r>
    <x v="721"/>
    <n v="535"/>
    <n v="13092000"/>
    <s v="Drama|Music"/>
    <s v="J.K. Simmons"/>
    <x v="1011"/>
    <n v="399138"/>
    <s v="conservatory|drummer|emotional abuse|music school|obsession"/>
    <n v="731"/>
    <x v="0"/>
    <x v="0"/>
    <n v="3300000"/>
    <x v="27"/>
    <x v="59"/>
    <n v="3300000"/>
    <n v="13092000"/>
    <x v="1011"/>
    <x v="1011"/>
    <x v="5"/>
  </r>
  <r>
    <x v="722"/>
    <n v="252"/>
    <n v="17544812"/>
    <s v="Horror"/>
    <s v="Jay Hernandez"/>
    <x v="1012"/>
    <n v="69989"/>
    <s v="american|hostel|slovakia|torture|train"/>
    <n v="384"/>
    <x v="0"/>
    <x v="0"/>
    <n v="10000000"/>
    <x v="15"/>
    <x v="26"/>
    <n v="10000000"/>
    <n v="17544812"/>
    <x v="1012"/>
    <x v="1012"/>
    <x v="6"/>
  </r>
  <r>
    <x v="723"/>
    <n v="98"/>
    <n v="44606335"/>
    <s v="Drama|Fantasy|Romance"/>
    <s v="Anthony Hopkins"/>
    <x v="1013"/>
    <n v="169023"/>
    <s v="birthday|death|death personified|fear of death|wealth"/>
    <n v="703"/>
    <x v="0"/>
    <x v="0"/>
    <n v="90000000"/>
    <x v="6"/>
    <x v="17"/>
    <n v="90000000"/>
    <n v="44606335"/>
    <x v="1013"/>
    <x v="1013"/>
    <x v="5"/>
  </r>
  <r>
    <x v="482"/>
    <n v="263"/>
    <n v="129995817"/>
    <s v="Adventure|Sci-Fi|Thriller"/>
    <s v="Kate Winslet"/>
    <x v="1014"/>
    <n v="154621"/>
    <s v="action heroine|falling from height|mind control|trainhopping|truth serum"/>
    <n v="258"/>
    <x v="0"/>
    <x v="0"/>
    <n v="110000000"/>
    <x v="1"/>
    <x v="23"/>
    <n v="110000000"/>
    <n v="129995817"/>
    <x v="1014"/>
    <x v="1014"/>
    <x v="0"/>
  </r>
  <r>
    <x v="724"/>
    <n v="119"/>
    <n v="66950483"/>
    <s v="Comedy|Family"/>
    <s v="Bella Thorne"/>
    <x v="1015"/>
    <n v="29738"/>
    <s v="bad day|based on book|birthday|job interview|long title"/>
    <n v="85"/>
    <x v="0"/>
    <x v="0"/>
    <n v="28000000"/>
    <x v="27"/>
    <x v="5"/>
    <n v="28000000"/>
    <n v="66950483"/>
    <x v="1015"/>
    <x v="1015"/>
    <x v="4"/>
  </r>
  <r>
    <x v="725"/>
    <n v="21"/>
    <n v="5005"/>
    <s v="Drama"/>
    <s v="Tom Everett Scott"/>
    <x v="1016"/>
    <n v="2280"/>
    <s v="boarding school|coming of age|female friendship|lesbian|new england"/>
    <n v="14"/>
    <x v="0"/>
    <x v="0"/>
    <n v="3000000"/>
    <x v="16"/>
    <x v="0"/>
    <n v="3000000"/>
    <n v="5005"/>
    <x v="1016"/>
    <x v="1016"/>
    <x v="5"/>
  </r>
  <r>
    <x v="726"/>
    <n v="38"/>
    <n v="860002"/>
    <s v="Adventure|Drama|Family"/>
    <s v="Eamonn Walker"/>
    <x v="1017"/>
    <n v="6454"/>
    <s v="africa|bed|boy|cheetah|south africa"/>
    <n v="43"/>
    <x v="0"/>
    <x v="0"/>
    <n v="12000000"/>
    <x v="25"/>
    <x v="4"/>
    <n v="12000000"/>
    <n v="860002"/>
    <x v="1017"/>
    <x v="1017"/>
    <x v="0"/>
  </r>
  <r>
    <x v="727"/>
    <n v="220"/>
    <n v="64255243"/>
    <s v="Drama|Horror|Mystery|Thriller"/>
    <s v="Jimmy Bennett"/>
    <x v="1018"/>
    <n v="80903"/>
    <s v="ghost|haunted house|murder|nightmare|priest"/>
    <n v="518"/>
    <x v="0"/>
    <x v="0"/>
    <n v="19000000"/>
    <x v="25"/>
    <x v="11"/>
    <n v="19000000"/>
    <n v="64255243"/>
    <x v="1018"/>
    <x v="1018"/>
    <x v="5"/>
  </r>
  <r>
    <x v="728"/>
    <n v="81"/>
    <n v="50189179"/>
    <s v="Action|Comedy|Sci-Fi"/>
    <s v="Romany Malco"/>
    <x v="1019"/>
    <n v="61966"/>
    <s v="chauffeur|hospital|secret agent|spying|tuxedo"/>
    <n v="207"/>
    <x v="0"/>
    <x v="0"/>
    <n v="60000000"/>
    <x v="13"/>
    <x v="1"/>
    <n v="60000000"/>
    <n v="50189179"/>
    <x v="1019"/>
    <x v="1019"/>
    <x v="1"/>
  </r>
  <r>
    <x v="465"/>
    <n v="166"/>
    <n v="191796233"/>
    <s v="Adventure|Animation|Comedy|Family|Fantasy"/>
    <s v="Tom Hanks"/>
    <x v="1020"/>
    <n v="623757"/>
    <s v="claw crane|cowboy|jealousy|rivalry|toy"/>
    <n v="391"/>
    <x v="0"/>
    <x v="0"/>
    <n v="30000000"/>
    <x v="33"/>
    <x v="36"/>
    <n v="30000000"/>
    <n v="191796233"/>
    <x v="1020"/>
    <x v="1020"/>
    <x v="0"/>
  </r>
  <r>
    <x v="729"/>
    <n v="25"/>
    <n v="10696"/>
    <s v="Crime|Thriller"/>
    <s v="Glenn Plummer"/>
    <x v="1021"/>
    <n v="10771"/>
    <s v="bar|strip club|stripper|texas hold 'em|thong"/>
    <n v="65"/>
    <x v="0"/>
    <x v="0"/>
    <n v="6800000"/>
    <x v="19"/>
    <x v="24"/>
    <n v="6800000"/>
    <n v="10696"/>
    <x v="1021"/>
    <x v="1021"/>
    <x v="3"/>
  </r>
  <r>
    <x v="730"/>
    <n v="750"/>
    <n v="304360277"/>
    <s v="Action|Adventure|Thriller"/>
    <s v="Albert Finney"/>
    <x v="1022"/>
    <n v="522030"/>
    <s v="brawl|childhood home|computer cracker|intelligence agency|terrorist cell"/>
    <n v="1498"/>
    <x v="0"/>
    <x v="2"/>
    <n v="200000000"/>
    <x v="28"/>
    <x v="38"/>
    <n v="257079999.99999899"/>
    <n v="391224700.05579901"/>
    <x v="1022"/>
    <x v="1022"/>
    <x v="1"/>
  </r>
  <r>
    <x v="6"/>
    <n v="304"/>
    <n v="66207920"/>
    <s v="Action|Crime|Drama|Thriller"/>
    <s v="Vivica A. Fox"/>
    <x v="1023"/>
    <n v="512749"/>
    <s v="assassin|assassination|bride|death|vengeance"/>
    <n v="935"/>
    <x v="0"/>
    <x v="0"/>
    <n v="30000000"/>
    <x v="2"/>
    <x v="3"/>
    <n v="30000000"/>
    <n v="66207920"/>
    <x v="1023"/>
    <x v="1023"/>
    <x v="1"/>
  </r>
  <r>
    <x v="731"/>
    <n v="41"/>
    <n v="1602466"/>
    <s v="Action|Drama|Romance|Thriller"/>
    <s v="BÃ¡rbara Mori"/>
    <x v="1024"/>
    <n v="9673"/>
    <s v="casino|desert|love|suicide|tragic event"/>
    <n v="106"/>
    <x v="0"/>
    <x v="10"/>
    <n v="600000000"/>
    <x v="11"/>
    <x v="11"/>
    <n v="7164876"/>
    <n v="19135.783640360001"/>
    <x v="1024"/>
    <x v="1024"/>
    <x v="1"/>
  </r>
  <r>
    <x v="732"/>
    <n v="181"/>
    <n v="25000000"/>
    <s v="Comedy|Music|Romance"/>
    <s v="Nehemiah Persoff"/>
    <x v="1025"/>
    <n v="175196"/>
    <s v="all girl band|band|cross dressing|musician|yacht"/>
    <n v="350"/>
    <x v="0"/>
    <x v="0"/>
    <n v="2883848"/>
    <x v="56"/>
    <x v="36"/>
    <n v="2883848"/>
    <n v="25000000"/>
    <x v="1025"/>
    <x v="1025"/>
    <x v="4"/>
  </r>
  <r>
    <x v="324"/>
    <n v="309"/>
    <n v="18656400"/>
    <s v="Drama"/>
    <s v="Kristen Stewart"/>
    <x v="1026"/>
    <n v="86077"/>
    <s v="alzheimer's disease|bechdel test passed|linguistics professor|new york city|reference to angels in america the play"/>
    <n v="195"/>
    <x v="0"/>
    <x v="0"/>
    <n v="5000000"/>
    <x v="27"/>
    <x v="2"/>
    <n v="5000000"/>
    <n v="18656400"/>
    <x v="1026"/>
    <x v="1026"/>
    <x v="5"/>
  </r>
  <r>
    <x v="106"/>
    <n v="159"/>
    <n v="86049418"/>
    <s v="Comedy"/>
    <s v="Tina Fey"/>
    <x v="1027"/>
    <n v="245989"/>
    <s v="bully|clique|high school|high school girl|secret"/>
    <n v="554"/>
    <x v="0"/>
    <x v="0"/>
    <n v="17000000"/>
    <x v="2"/>
    <x v="16"/>
    <n v="17000000"/>
    <n v="86049418"/>
    <x v="1027"/>
    <x v="1027"/>
    <x v="4"/>
  </r>
  <r>
    <x v="733"/>
    <n v="44"/>
    <n v="11466088"/>
    <s v="Action|Thriller"/>
    <s v="Hector Elizondo"/>
    <x v="1028"/>
    <n v="8983"/>
    <s v="airplane|christmas|marshal|pilot|u.s. marshal"/>
    <n v="84"/>
    <x v="0"/>
    <x v="0"/>
    <n v="71000000"/>
    <x v="31"/>
    <x v="27"/>
    <n v="71000000"/>
    <n v="11466088"/>
    <x v="1028"/>
    <x v="1028"/>
    <x v="1"/>
  </r>
  <r>
    <x v="734"/>
    <n v="84"/>
    <n v="16929123"/>
    <s v="Drama|Romance"/>
    <s v="Kirsten Dunst"/>
    <x v="1029"/>
    <n v="21406"/>
    <s v="congressman|high school|latino|pacific palisades|school"/>
    <n v="169"/>
    <x v="0"/>
    <x v="0"/>
    <n v="14000000"/>
    <x v="9"/>
    <x v="20"/>
    <n v="14000000"/>
    <n v="16929123"/>
    <x v="1029"/>
    <x v="1029"/>
    <x v="5"/>
  </r>
  <r>
    <x v="6"/>
    <n v="765"/>
    <n v="162804648"/>
    <s v="Drama|Western"/>
    <s v="Leonardo DiCaprio"/>
    <x v="1030"/>
    <n v="955174"/>
    <s v="dynamite|historically inaccurate|ku klux klan|n word|slavery"/>
    <n v="1193"/>
    <x v="0"/>
    <x v="0"/>
    <n v="100000000"/>
    <x v="28"/>
    <x v="59"/>
    <n v="100000000"/>
    <n v="162804648"/>
    <x v="1030"/>
    <x v="1030"/>
    <x v="5"/>
  </r>
  <r>
    <x v="735"/>
    <n v="131"/>
    <n v="2360184"/>
    <s v="Comedy|Drama"/>
    <s v="Oliver Platt"/>
    <x v="1031"/>
    <n v="18035"/>
    <s v="apartment|oven|stove|thanksgiving|thanksgiving dinner"/>
    <n v="177"/>
    <x v="0"/>
    <x v="0"/>
    <n v="300000"/>
    <x v="19"/>
    <x v="17"/>
    <n v="300000"/>
    <n v="2360184"/>
    <x v="1031"/>
    <x v="1031"/>
    <x v="4"/>
  </r>
  <r>
    <x v="736"/>
    <n v="37"/>
    <n v="13903262"/>
    <s v="Comedy|Sport"/>
    <s v="Lee Majors"/>
    <x v="1032"/>
    <n v="14656"/>
    <s v="alaska|mountain|ski resort|snowboard|snowboarding"/>
    <n v="90"/>
    <x v="0"/>
    <x v="0"/>
    <n v="11000000"/>
    <x v="9"/>
    <x v="23"/>
    <n v="11000000"/>
    <n v="13903262"/>
    <x v="1032"/>
    <x v="1032"/>
    <x v="4"/>
  </r>
  <r>
    <x v="683"/>
    <n v="152"/>
    <n v="71309760"/>
    <s v="Drama|Romance"/>
    <s v="Lena Olin"/>
    <x v="1033"/>
    <n v="150308"/>
    <s v="chocolate|chocolate shop|food|france|village"/>
    <n v="498"/>
    <x v="0"/>
    <x v="2"/>
    <n v="25000000"/>
    <x v="4"/>
    <x v="4"/>
    <n v="32134999.999999899"/>
    <n v="91661565.503999993"/>
    <x v="1033"/>
    <x v="1033"/>
    <x v="5"/>
  </r>
  <r>
    <x v="301"/>
    <n v="117"/>
    <n v="30063805"/>
    <s v="Drama|Fantasy|Mystery|Romance|Thriller"/>
    <s v="Joe Morton"/>
    <x v="1034"/>
    <n v="31788"/>
    <s v="death|doctor|grave|patient|venezuela"/>
    <n v="243"/>
    <x v="0"/>
    <x v="0"/>
    <n v="60000000"/>
    <x v="13"/>
    <x v="7"/>
    <n v="60000000"/>
    <n v="30063805"/>
    <x v="1034"/>
    <x v="1034"/>
    <x v="5"/>
  </r>
  <r>
    <x v="165"/>
    <n v="23"/>
    <n v="2223990"/>
    <s v="Comedy|Documentary"/>
    <s v="Eddie Griffin"/>
    <x v="1035"/>
    <n v="761"/>
    <s v="african american|family relationships|stand up comedian|stand up comedy"/>
    <n v="14"/>
    <x v="0"/>
    <x v="0"/>
    <n v="3000000"/>
    <x v="19"/>
    <x v="14"/>
    <n v="3000000"/>
    <n v="2223990"/>
    <x v="1035"/>
    <x v="1035"/>
    <x v="4"/>
  </r>
  <r>
    <x v="118"/>
    <n v="233"/>
    <n v="75072454"/>
    <s v="Drama|Horror|Thriller"/>
    <s v="Tom Wilkinson"/>
    <x v="1036"/>
    <n v="96569"/>
    <s v="death|demonic possession|exorcism|lawyer|priest"/>
    <n v="522"/>
    <x v="0"/>
    <x v="0"/>
    <n v="20000000"/>
    <x v="25"/>
    <x v="21"/>
    <n v="20000000"/>
    <n v="75072454"/>
    <x v="1036"/>
    <x v="1036"/>
    <x v="5"/>
  </r>
  <r>
    <x v="320"/>
    <n v="156"/>
    <n v="12469811"/>
    <s v="Comedy|Drama"/>
    <s v="Nicolas Cage"/>
    <x v="1037"/>
    <n v="69172"/>
    <s v="corndog|failure|funeral in the rain|new york city|weatherman"/>
    <n v="316"/>
    <x v="0"/>
    <x v="0"/>
    <n v="22000000"/>
    <x v="25"/>
    <x v="14"/>
    <n v="22000000"/>
    <n v="12469811"/>
    <x v="1037"/>
    <x v="1037"/>
    <x v="4"/>
  </r>
  <r>
    <x v="737"/>
    <n v="340"/>
    <n v="117528646"/>
    <s v="Comedy|Crime"/>
    <s v="Kevin Spacey"/>
    <x v="1038"/>
    <n v="353442"/>
    <s v="black comedy|boss|chemical company|dental assistant|murder"/>
    <n v="387"/>
    <x v="0"/>
    <x v="0"/>
    <n v="35000000"/>
    <x v="22"/>
    <x v="31"/>
    <n v="35000000"/>
    <n v="117528646"/>
    <x v="1038"/>
    <x v="1038"/>
    <x v="4"/>
  </r>
  <r>
    <x v="738"/>
    <n v="37"/>
    <n v="7059537"/>
    <s v="Comedy"/>
    <s v="Mo'Nique"/>
    <x v="1039"/>
    <n v="8279"/>
    <s v="female protagonist|size positive|thin|title directed by female|wet dream"/>
    <n v="101"/>
    <x v="0"/>
    <x v="0"/>
    <n v="3000000"/>
    <x v="7"/>
    <x v="62"/>
    <n v="3000000"/>
    <n v="7059537"/>
    <x v="1039"/>
    <x v="1039"/>
    <x v="4"/>
  </r>
  <r>
    <x v="739"/>
    <n v="15"/>
    <n v="800000"/>
    <s v="Adventure|Fantasy"/>
    <s v="Michael Berryman"/>
    <x v="1040"/>
    <n v="2308"/>
    <s v="bare breasts|comic relief|dragon|gladiator|harem"/>
    <n v="35"/>
    <x v="0"/>
    <x v="0"/>
    <n v="4000000"/>
    <x v="21"/>
    <x v="45"/>
    <n v="4000000"/>
    <n v="800000"/>
    <x v="1040"/>
    <x v="1040"/>
    <x v="0"/>
  </r>
  <r>
    <x v="32"/>
    <n v="325"/>
    <n v="14479776"/>
    <s v="Biography|Crime|Drama|Romance"/>
    <s v="Christoph Waltz"/>
    <x v="1041"/>
    <n v="55539"/>
    <s v="1950s|abusive husband|artist|painting|secret"/>
    <n v="147"/>
    <x v="0"/>
    <x v="0"/>
    <n v="10000000"/>
    <x v="27"/>
    <x v="16"/>
    <n v="10000000"/>
    <n v="14479776"/>
    <x v="1041"/>
    <x v="1041"/>
    <x v="2"/>
  </r>
  <r>
    <x v="740"/>
    <n v="224"/>
    <n v="45063889"/>
    <s v="Drama|Horror|Sci-Fi|Thriller"/>
    <s v="Noah Huntley"/>
    <x v="1042"/>
    <n v="297250"/>
    <s v="laboratory|london england|military|virus|zombie apocalypse"/>
    <n v="1441"/>
    <x v="0"/>
    <x v="2"/>
    <n v="8000000"/>
    <x v="13"/>
    <x v="10"/>
    <n v="10283199.999999899"/>
    <n v="57925122.920599997"/>
    <x v="1042"/>
    <x v="1042"/>
    <x v="5"/>
  </r>
  <r>
    <x v="741"/>
    <n v="24"/>
    <n v="6448817"/>
    <s v="Action|Adventure|Fantasy"/>
    <s v="Marley Shelton"/>
    <x v="1043"/>
    <n v="2189"/>
    <s v="anthropomorphic animal|football|kangaroo|sword and sorcery|water boy"/>
    <n v="31"/>
    <x v="0"/>
    <x v="0"/>
    <n v="35000000"/>
    <x v="31"/>
    <x v="34"/>
    <n v="35000000"/>
    <n v="6448817"/>
    <x v="1043"/>
    <x v="1043"/>
    <x v="1"/>
  </r>
  <r>
    <x v="742"/>
    <n v="74"/>
    <n v="16323969"/>
    <s v="Comedy|Crime|Thriller"/>
    <s v="Bruce Willis"/>
    <x v="1044"/>
    <n v="45775"/>
    <s v="dentist|face slap|flashback|hitman|killing an animal"/>
    <n v="112"/>
    <x v="0"/>
    <x v="0"/>
    <n v="40000000"/>
    <x v="2"/>
    <x v="28"/>
    <n v="40000000"/>
    <n v="16323969"/>
    <x v="1044"/>
    <x v="1044"/>
    <x v="4"/>
  </r>
  <r>
    <x v="302"/>
    <n v="109"/>
    <n v="70836296"/>
    <s v="Comedy|Drama|Fantasy|Romance"/>
    <s v="Jason Alexander"/>
    <x v="1045"/>
    <n v="109445"/>
    <s v="dying|friend|inner beauty|love|self help guru"/>
    <n v="426"/>
    <x v="0"/>
    <x v="0"/>
    <n v="40000000"/>
    <x v="9"/>
    <x v="0"/>
    <n v="40000000"/>
    <n v="70836296"/>
    <x v="1045"/>
    <x v="1045"/>
    <x v="4"/>
  </r>
  <r>
    <x v="743"/>
    <n v="359"/>
    <n v="1729969"/>
    <s v="Drama|Thriller"/>
    <s v="Katy Mixon"/>
    <x v="1046"/>
    <n v="68211"/>
    <s v="ambiguous ending|firefly|mysterious event|schizophrenia|storm"/>
    <n v="219"/>
    <x v="0"/>
    <x v="0"/>
    <n v="5000000"/>
    <x v="22"/>
    <x v="39"/>
    <n v="5000000"/>
    <n v="1729969"/>
    <x v="1046"/>
    <x v="1046"/>
    <x v="5"/>
  </r>
  <r>
    <x v="744"/>
    <n v="209"/>
    <n v="57386369"/>
    <s v="Drama|Musical|Romance"/>
    <s v="Jim Broadbent"/>
    <x v="1047"/>
    <n v="224013"/>
    <s v="death of main character|eiffel tower paris|jealousy|tragedy|two suitors"/>
    <n v="2319"/>
    <x v="0"/>
    <x v="0"/>
    <n v="52500000"/>
    <x v="9"/>
    <x v="10"/>
    <n v="52500000"/>
    <n v="57386369"/>
    <x v="1047"/>
    <x v="1047"/>
    <x v="5"/>
  </r>
  <r>
    <x v="608"/>
    <n v="49"/>
    <n v="5217498"/>
    <s v="Drama|Mystery|Thriller"/>
    <s v="Matthew Settle"/>
    <x v="1048"/>
    <n v="3668"/>
    <s v="clique|country club|female protagonist|lip gloss|title directed by female"/>
    <n v="85"/>
    <x v="0"/>
    <x v="0"/>
    <n v="15000000"/>
    <x v="4"/>
    <x v="34"/>
    <n v="15000000"/>
    <n v="5217498"/>
    <x v="1048"/>
    <x v="1048"/>
    <x v="5"/>
  </r>
  <r>
    <x v="745"/>
    <n v="43"/>
    <n v="100768056"/>
    <s v="Crime|Drama|Mystery|Thriller"/>
    <s v="Denzel Washington"/>
    <x v="1049"/>
    <n v="59569"/>
    <s v="college professor|fbi|president|professor|supreme court"/>
    <n v="89"/>
    <x v="0"/>
    <x v="0"/>
    <n v="45000000"/>
    <x v="23"/>
    <x v="20"/>
    <n v="45000000"/>
    <n v="100768056"/>
    <x v="1049"/>
    <x v="1049"/>
    <x v="3"/>
  </r>
  <r>
    <x v="201"/>
    <n v="82"/>
    <n v="35183792"/>
    <s v="Biography|Drama|Music|Musical"/>
    <s v="Michael Wincott"/>
    <x v="1050"/>
    <n v="68159"/>
    <s v="death|paris france|rock band|singer|the doors"/>
    <n v="209"/>
    <x v="0"/>
    <x v="0"/>
    <n v="38000000"/>
    <x v="38"/>
    <x v="33"/>
    <n v="38000000"/>
    <n v="35183792"/>
    <x v="1050"/>
    <x v="1050"/>
    <x v="2"/>
  </r>
  <r>
    <x v="746"/>
    <n v="214"/>
    <n v="9528092"/>
    <s v="Biography|Drama|Thriller"/>
    <s v="Naomi Watts"/>
    <x v="1051"/>
    <n v="38513"/>
    <s v="bush administration|cia|interview|iraq|new york times"/>
    <n v="127"/>
    <x v="0"/>
    <x v="0"/>
    <n v="22000000"/>
    <x v="11"/>
    <x v="22"/>
    <n v="22000000"/>
    <n v="9528092"/>
    <x v="1051"/>
    <x v="1051"/>
    <x v="2"/>
  </r>
  <r>
    <x v="596"/>
    <n v="91"/>
    <n v="34872293"/>
    <s v="Comedy|Fantasy|Horror|Thriller"/>
    <s v="Johnny Depp"/>
    <x v="1052"/>
    <n v="30765"/>
    <s v="dark comedy|dream|freddy krueger|nightmare|serial murder"/>
    <n v="252"/>
    <x v="0"/>
    <x v="0"/>
    <n v="8500000"/>
    <x v="38"/>
    <x v="18"/>
    <n v="8500000"/>
    <n v="34872293"/>
    <x v="1052"/>
    <x v="1052"/>
    <x v="4"/>
  </r>
  <r>
    <x v="197"/>
    <n v="186"/>
    <n v="54257433"/>
    <s v="Drama|Horror|Thriller"/>
    <s v="Ã“scar Jaenada"/>
    <x v="1053"/>
    <n v="12983"/>
    <s v="beach|island|mexico|prey|trapped"/>
    <n v="139"/>
    <x v="0"/>
    <x v="0"/>
    <n v="17000000"/>
    <x v="24"/>
    <x v="22"/>
    <n v="17000000"/>
    <n v="54257433"/>
    <x v="1053"/>
    <x v="1053"/>
    <x v="5"/>
  </r>
  <r>
    <x v="747"/>
    <n v="22"/>
    <n v="9821335"/>
    <s v="Comedy"/>
    <s v="Mo'Nique"/>
    <x v="1054"/>
    <n v="1415"/>
    <s v="adult diaper|diaper|digit in title|dream|sawed off shotgun"/>
    <n v="10"/>
    <x v="0"/>
    <x v="0"/>
    <n v="6000000"/>
    <x v="4"/>
    <x v="56"/>
    <n v="6000000"/>
    <n v="9821335"/>
    <x v="1054"/>
    <x v="1054"/>
    <x v="4"/>
  </r>
  <r>
    <x v="748"/>
    <n v="177"/>
    <n v="55291815"/>
    <s v="Comedy"/>
    <s v="ChloÃ« Grace Moretz"/>
    <x v="1055"/>
    <n v="28041"/>
    <s v="bare chested male|gay|gay best friend|gay man|gay marriage proposal"/>
    <n v="111"/>
    <x v="0"/>
    <x v="0"/>
    <n v="35000000"/>
    <x v="24"/>
    <x v="11"/>
    <n v="35000000"/>
    <n v="55291815"/>
    <x v="1055"/>
    <x v="1055"/>
    <x v="4"/>
  </r>
  <r>
    <x v="181"/>
    <n v="237"/>
    <n v="215397307"/>
    <s v="Action|Adventure|Thriller"/>
    <s v="Tom Cruise"/>
    <x v="1056"/>
    <n v="242188"/>
    <s v="cure|mission|terrorist|thief|virus"/>
    <n v="1426"/>
    <x v="0"/>
    <x v="0"/>
    <n v="125000000"/>
    <x v="4"/>
    <x v="7"/>
    <n v="125000000"/>
    <n v="215397307"/>
    <x v="1056"/>
    <x v="1056"/>
    <x v="1"/>
  </r>
  <r>
    <x v="749"/>
    <n v="17"/>
    <n v="7826"/>
    <s v="Comedy|Documentary"/>
    <s v="Robin Williams"/>
    <x v="1057"/>
    <n v="132"/>
    <s v="las vegas nevada|museum|reference to mr. rogers|reference to vincent van gogh|talking about suicide"/>
    <n v="2"/>
    <x v="0"/>
    <x v="0"/>
    <n v="1200000"/>
    <x v="15"/>
    <x v="5"/>
    <n v="1200000"/>
    <n v="7826"/>
    <x v="1057"/>
    <x v="1057"/>
    <x v="4"/>
  </r>
  <r>
    <x v="618"/>
    <n v="103"/>
    <n v="68525609"/>
    <s v="Comedy"/>
    <s v="Ethan Suplee"/>
    <x v="1058"/>
    <n v="132963"/>
    <s v="blonde|college|friend|highway travel|road trip"/>
    <n v="302"/>
    <x v="0"/>
    <x v="0"/>
    <n v="15600000"/>
    <x v="4"/>
    <x v="20"/>
    <n v="15600000"/>
    <n v="68525609"/>
    <x v="1058"/>
    <x v="1058"/>
    <x v="4"/>
  </r>
  <r>
    <x v="508"/>
    <n v="417"/>
    <n v="40247512"/>
    <s v="Action|Drama|Thriller"/>
    <s v="Jessica Barden"/>
    <x v="1059"/>
    <n v="159198"/>
    <s v="assassin|female warrior|martial arts|playground|training"/>
    <n v="438"/>
    <x v="0"/>
    <x v="0"/>
    <n v="30000000"/>
    <x v="22"/>
    <x v="22"/>
    <n v="30000000"/>
    <n v="40247512"/>
    <x v="1059"/>
    <x v="1059"/>
    <x v="1"/>
  </r>
  <r>
    <x v="616"/>
    <n v="1"/>
    <n v="333658"/>
    <s v="Comedy|Family|Musical|Romance|Short"/>
    <s v="William Hurt"/>
    <x v="1060"/>
    <n v="97"/>
    <s v="student film|wonder years"/>
    <n v="2"/>
    <x v="0"/>
    <x v="0"/>
    <n v="34000"/>
    <x v="32"/>
    <x v="17"/>
    <n v="34000"/>
    <n v="333658"/>
    <x v="1060"/>
    <x v="1060"/>
    <x v="4"/>
  </r>
  <r>
    <x v="10"/>
    <n v="314"/>
    <n v="65007045"/>
    <s v="Action|Adventure|Drama"/>
    <s v="Christian Bale"/>
    <x v="1061"/>
    <n v="128682"/>
    <s v="egypt|exodus|moses|pharaoh|plague"/>
    <n v="657"/>
    <x v="0"/>
    <x v="2"/>
    <n v="140000000"/>
    <x v="27"/>
    <x v="7"/>
    <n v="179955999.99999899"/>
    <n v="83560055.642999902"/>
    <x v="1061"/>
    <x v="1061"/>
    <x v="1"/>
  </r>
  <r>
    <x v="539"/>
    <n v="44"/>
    <n v="13264986"/>
    <s v="Action|Western"/>
    <s v="Gregory Smith"/>
    <x v="1062"/>
    <n v="12077"/>
    <s v="legend|old west|outlaw|railroad|stealing from the rich"/>
    <n v="162"/>
    <x v="0"/>
    <x v="0"/>
    <n v="35000000"/>
    <x v="9"/>
    <x v="11"/>
    <n v="35000000"/>
    <n v="13264986"/>
    <x v="1062"/>
    <x v="1062"/>
    <x v="1"/>
  </r>
  <r>
    <x v="60"/>
    <n v="284"/>
    <n v="42272747"/>
    <s v="Drama|Fantasy|Mystery|Thriller"/>
    <s v="Bryce Dallas Howard"/>
    <x v="1063"/>
    <n v="78635"/>
    <s v="apartment|bedtime story|eagle|stuttering|swimming pool"/>
    <n v="1040"/>
    <x v="0"/>
    <x v="0"/>
    <n v="70000000"/>
    <x v="7"/>
    <x v="15"/>
    <n v="70000000"/>
    <n v="42272747"/>
    <x v="1063"/>
    <x v="1063"/>
    <x v="5"/>
  </r>
  <r>
    <x v="750"/>
    <n v="37"/>
    <n v="15062898"/>
    <s v="Comedy"/>
    <s v="Alyson Hannigan"/>
    <x v="1064"/>
    <n v="11729"/>
    <s v="college|college roommate|party|roommate|student"/>
    <n v="106"/>
    <x v="0"/>
    <x v="0"/>
    <n v="14000000"/>
    <x v="6"/>
    <x v="11"/>
    <n v="14000000"/>
    <n v="15062898"/>
    <x v="1064"/>
    <x v="1064"/>
    <x v="4"/>
  </r>
  <r>
    <x v="751"/>
    <n v="78"/>
    <n v="198407"/>
    <s v="Drama"/>
    <s v="Brad William Henke"/>
    <x v="1065"/>
    <n v="10282"/>
    <s v="ex convict|halfway house|nipples visible through clothing|orgasm|parole officer"/>
    <n v="78"/>
    <x v="0"/>
    <x v="0"/>
    <n v="2000000"/>
    <x v="7"/>
    <x v="14"/>
    <n v="2000000"/>
    <n v="198407"/>
    <x v="1065"/>
    <x v="1065"/>
    <x v="5"/>
  </r>
  <r>
    <x v="212"/>
    <n v="196"/>
    <n v="21197315"/>
    <s v="Horror|Mystery|Thriller"/>
    <s v="Ben Feldman"/>
    <x v="1066"/>
    <n v="49948"/>
    <s v="archeologist|catacomb|found footage|paris france|philosopher's stone"/>
    <n v="211"/>
    <x v="0"/>
    <x v="0"/>
    <n v="5000000"/>
    <x v="27"/>
    <x v="7"/>
    <n v="5000000"/>
    <n v="21197315"/>
    <x v="1066"/>
    <x v="1066"/>
    <x v="6"/>
  </r>
  <r>
    <x v="366"/>
    <n v="275"/>
    <n v="16684352"/>
    <s v="Comedy|Romance"/>
    <s v="Ornella Muti"/>
    <x v="1067"/>
    <n v="67893"/>
    <s v="architect|celebrity|prostitute|shower|tourist"/>
    <n v="163"/>
    <x v="0"/>
    <x v="0"/>
    <n v="17000000"/>
    <x v="28"/>
    <x v="23"/>
    <n v="17000000"/>
    <n v="16684352"/>
    <x v="1067"/>
    <x v="1067"/>
    <x v="4"/>
  </r>
  <r>
    <x v="752"/>
    <n v="185"/>
    <n v="26583369"/>
    <s v="Horror|Mystery|Thriller"/>
    <s v="Eoin Macken"/>
    <x v="1068"/>
    <n v="20837"/>
    <s v="forest|japan|suicide|suicide forest|supernatural"/>
    <n v="127"/>
    <x v="0"/>
    <x v="0"/>
    <n v="10000000"/>
    <x v="24"/>
    <x v="45"/>
    <n v="10000000"/>
    <n v="26583369"/>
    <x v="1068"/>
    <x v="1068"/>
    <x v="6"/>
  </r>
  <r>
    <x v="753"/>
    <n v="225"/>
    <n v="92401"/>
    <s v="Horror|Thriller"/>
    <s v="Sarah Butler"/>
    <x v="1069"/>
    <n v="56402"/>
    <s v="horror movie remake|rape|rape and revenge|rape victim|revenge"/>
    <n v="209"/>
    <x v="0"/>
    <x v="0"/>
    <n v="2000000"/>
    <x v="11"/>
    <x v="23"/>
    <n v="2000000"/>
    <n v="92401"/>
    <x v="1069"/>
    <x v="1069"/>
    <x v="6"/>
  </r>
  <r>
    <x v="472"/>
    <n v="123"/>
    <n v="74484168"/>
    <s v="Action|Crime|Drama|Mystery|Thriller"/>
    <s v="Josh Charles"/>
    <x v="1070"/>
    <n v="109894"/>
    <s v="bare butt|corrupt police|four brothers|funeral|murder"/>
    <n v="340"/>
    <x v="0"/>
    <x v="0"/>
    <n v="45000000"/>
    <x v="25"/>
    <x v="31"/>
    <n v="45000000"/>
    <n v="74484168"/>
    <x v="1070"/>
    <x v="1070"/>
    <x v="1"/>
  </r>
  <r>
    <x v="410"/>
    <n v="90"/>
    <n v="58800000"/>
    <s v="Biography|Drama|Sport"/>
    <s v="Alice Krige"/>
    <x v="1071"/>
    <n v="40511"/>
    <s v="athlete|jew|missionary|olympic games|race"/>
    <n v="213"/>
    <x v="0"/>
    <x v="2"/>
    <n v="5500000"/>
    <x v="43"/>
    <x v="33"/>
    <n v="7069699.9999999898"/>
    <n v="75581520"/>
    <x v="1071"/>
    <x v="1071"/>
    <x v="2"/>
  </r>
  <r>
    <x v="754"/>
    <n v="136"/>
    <n v="4681503"/>
    <s v="Comedy|Drama"/>
    <s v="Kieran Culkin"/>
    <x v="1072"/>
    <n v="29058"/>
    <s v="boy|mistress|money|schizophrenic|school"/>
    <n v="238"/>
    <x v="0"/>
    <x v="0"/>
    <n v="9000000"/>
    <x v="13"/>
    <x v="16"/>
    <n v="9000000"/>
    <n v="4681503"/>
    <x v="1072"/>
    <x v="1072"/>
    <x v="4"/>
  </r>
  <r>
    <x v="355"/>
    <n v="192"/>
    <n v="16248701"/>
    <s v="Drama"/>
    <s v="Naomi Watts"/>
    <x v="1073"/>
    <n v="189683"/>
    <s v="accident|faith|love|mathematician|nonlinear timeline"/>
    <n v="559"/>
    <x v="0"/>
    <x v="0"/>
    <n v="20000000"/>
    <x v="19"/>
    <x v="9"/>
    <n v="20000000"/>
    <n v="16248701"/>
    <x v="1073"/>
    <x v="1073"/>
    <x v="5"/>
  </r>
  <r>
    <x v="639"/>
    <n v="313"/>
    <n v="50549107"/>
    <s v="Action|Drama|Thriller"/>
    <s v="Colm Feore"/>
    <x v="1074"/>
    <n v="99035"/>
    <s v="covert analyst|marine|russian|spy|stock market"/>
    <n v="289"/>
    <x v="0"/>
    <x v="0"/>
    <n v="60000000"/>
    <x v="27"/>
    <x v="5"/>
    <n v="60000000"/>
    <n v="50549107"/>
    <x v="1074"/>
    <x v="1074"/>
    <x v="1"/>
  </r>
  <r>
    <x v="755"/>
    <n v="264"/>
    <n v="84749884"/>
    <s v="Horror"/>
    <s v="Sprague Grayden"/>
    <x v="1075"/>
    <n v="82133"/>
    <s v="california|carlsbad california|house|nanny|security camera"/>
    <n v="359"/>
    <x v="0"/>
    <x v="0"/>
    <n v="3000000"/>
    <x v="11"/>
    <x v="35"/>
    <n v="3000000"/>
    <n v="84749884"/>
    <x v="1075"/>
    <x v="1075"/>
    <x v="6"/>
  </r>
  <r>
    <x v="756"/>
    <n v="84"/>
    <n v="36581633"/>
    <s v="Biography|Crime|Drama"/>
    <s v="Hunter Parrish"/>
    <x v="1076"/>
    <n v="52533"/>
    <s v="gang violence|high school|journal|marriage|teacher"/>
    <n v="235"/>
    <x v="0"/>
    <x v="5"/>
    <n v="21000000"/>
    <x v="15"/>
    <x v="2"/>
    <n v="22779540"/>
    <n v="39681560.580420002"/>
    <x v="1076"/>
    <x v="1076"/>
    <x v="2"/>
  </r>
  <r>
    <x v="669"/>
    <n v="20"/>
    <n v="10555348"/>
    <s v="Comedy|Crime"/>
    <s v="Robert De Niro"/>
    <x v="1077"/>
    <n v="17349"/>
    <s v="con|convict|escape|police|priest"/>
    <n v="42"/>
    <x v="0"/>
    <x v="0"/>
    <n v="20000000"/>
    <x v="26"/>
    <x v="11"/>
    <n v="20000000"/>
    <n v="10555348"/>
    <x v="1077"/>
    <x v="1077"/>
    <x v="4"/>
  </r>
  <r>
    <x v="299"/>
    <n v="191"/>
    <n v="118153533"/>
    <s v="Comedy|Sport"/>
    <s v="Will Ferrell"/>
    <x v="1078"/>
    <n v="129995"/>
    <s v="competition|fight|ice|jock strap|nintendo game boy advance"/>
    <n v="246"/>
    <x v="0"/>
    <x v="0"/>
    <n v="61000000"/>
    <x v="15"/>
    <x v="23"/>
    <n v="61000000"/>
    <n v="118153533"/>
    <x v="1078"/>
    <x v="1078"/>
    <x v="4"/>
  </r>
  <r>
    <x v="457"/>
    <n v="156"/>
    <n v="24343673"/>
    <s v="Drama|Fantasy|Musical|Romance"/>
    <s v="Jim Sturgess"/>
    <x v="564"/>
    <n v="91860"/>
    <s v="anti war|liverpool|love|protest|song"/>
    <n v="524"/>
    <x v="0"/>
    <x v="0"/>
    <n v="45000000"/>
    <x v="15"/>
    <x v="39"/>
    <n v="45000000"/>
    <n v="24343673"/>
    <x v="564"/>
    <x v="564"/>
    <x v="5"/>
  </r>
  <r>
    <x v="757"/>
    <n v="432"/>
    <n v="209364921"/>
    <s v="Action|Adventure|Thriller"/>
    <s v="Tom Cruise"/>
    <x v="1079"/>
    <n v="365104"/>
    <s v="dubai|kremlin|race against time|russian|terrorist"/>
    <n v="512"/>
    <x v="0"/>
    <x v="0"/>
    <n v="145000000"/>
    <x v="22"/>
    <x v="39"/>
    <n v="145000000"/>
    <n v="209364921"/>
    <x v="1079"/>
    <x v="1079"/>
    <x v="1"/>
  </r>
  <r>
    <x v="330"/>
    <n v="28"/>
    <n v="1508689"/>
    <s v="Drama|Romance"/>
    <s v="Tom Wilkinson"/>
    <x v="1080"/>
    <n v="5648"/>
    <s v="australia|church|glass|inheritance|wager"/>
    <n v="50"/>
    <x v="0"/>
    <x v="0"/>
    <n v="16000000"/>
    <x v="31"/>
    <x v="21"/>
    <n v="16000000"/>
    <n v="1508689"/>
    <x v="1080"/>
    <x v="1080"/>
    <x v="5"/>
  </r>
  <r>
    <x v="758"/>
    <n v="113"/>
    <n v="15738632"/>
    <s v="Action|Comedy|Crime|Thriller"/>
    <s v="Jon Lovitz"/>
    <x v="1081"/>
    <n v="38076"/>
    <s v="casino|elvis impersonator|gun|heist|rascal"/>
    <n v="399"/>
    <x v="0"/>
    <x v="0"/>
    <n v="42000000"/>
    <x v="9"/>
    <x v="0"/>
    <n v="42000000"/>
    <n v="15738632"/>
    <x v="1081"/>
    <x v="1081"/>
    <x v="1"/>
  </r>
  <r>
    <x v="759"/>
    <n v="193"/>
    <n v="176387405"/>
    <s v="Adventure|Animation|Comedy|Family"/>
    <s v="Goran Visnjic"/>
    <x v="1082"/>
    <n v="328159"/>
    <s v="baby|ice|ice age|sleeping|sloth"/>
    <n v="467"/>
    <x v="0"/>
    <x v="0"/>
    <n v="59000000"/>
    <x v="13"/>
    <x v="10"/>
    <n v="59000000"/>
    <n v="176387405"/>
    <x v="1082"/>
    <x v="1082"/>
    <x v="0"/>
  </r>
  <r>
    <x v="760"/>
    <n v="116"/>
    <n v="78651430"/>
    <s v="Drama|Romance|War"/>
    <s v="Colin Firth"/>
    <x v="1083"/>
    <n v="142067"/>
    <s v="church|english|flashback|nurse|patient"/>
    <n v="457"/>
    <x v="0"/>
    <x v="0"/>
    <n v="27000000"/>
    <x v="10"/>
    <x v="39"/>
    <n v="27000000"/>
    <n v="78651430"/>
    <x v="1083"/>
    <x v="1083"/>
    <x v="5"/>
  </r>
  <r>
    <x v="761"/>
    <n v="78"/>
    <n v="304124"/>
    <s v="Drama"/>
    <s v="MÃ­a Maestro"/>
    <x v="1084"/>
    <n v="2720"/>
    <s v="16 year old|doctor|hotel|tinnitus|title directed by female"/>
    <n v="37"/>
    <x v="9"/>
    <x v="17"/>
    <n v="1400000"/>
    <x v="2"/>
    <x v="21"/>
    <n v="1506.1998000000001"/>
    <n v="327.19393426800002"/>
    <x v="1084"/>
    <x v="1084"/>
    <x v="5"/>
  </r>
  <r>
    <x v="589"/>
    <n v="486"/>
    <n v="206360018"/>
    <s v="Action|Adventure|Fantasy"/>
    <s v="Chris Hemsworth"/>
    <x v="1085"/>
    <n v="414070"/>
    <s v="arrest|portal|thor|warrior|weapon"/>
    <n v="532"/>
    <x v="0"/>
    <x v="0"/>
    <n v="170000000"/>
    <x v="0"/>
    <x v="17"/>
    <n v="170000000"/>
    <n v="206360018"/>
    <x v="1085"/>
    <x v="1085"/>
    <x v="1"/>
  </r>
  <r>
    <x v="408"/>
    <n v="94"/>
    <n v="52580895"/>
    <s v="Comedy|Family|Romance|Sport"/>
    <s v="Josh Hutcherson"/>
    <x v="1086"/>
    <n v="30255"/>
    <s v="book|child|slapstick comedy|soccer|suburb"/>
    <n v="118"/>
    <x v="0"/>
    <x v="0"/>
    <n v="45000000"/>
    <x v="25"/>
    <x v="15"/>
    <n v="45000000"/>
    <n v="52580895"/>
    <x v="1086"/>
    <x v="1086"/>
    <x v="4"/>
  </r>
  <r>
    <x v="333"/>
    <n v="83"/>
    <n v="60491560"/>
    <s v="Crime|Drama|Mystery|Thriller"/>
    <s v="Morgan Freeman"/>
    <x v="1087"/>
    <n v="50653"/>
    <s v="detective|kidnapping|punching a heavy bag|serial killer|tied to a tree"/>
    <n v="143"/>
    <x v="0"/>
    <x v="0"/>
    <n v="27000000"/>
    <x v="31"/>
    <x v="14"/>
    <n v="27000000"/>
    <n v="60491560"/>
    <x v="1087"/>
    <x v="1087"/>
    <x v="3"/>
  </r>
  <r>
    <x v="762"/>
    <n v="406"/>
    <n v="400736600"/>
    <s v="Adventure|Animation|Comedy|Family|Fantasy|Musical"/>
    <s v="Josh Gad"/>
    <x v="1088"/>
    <n v="421658"/>
    <s v="magic|sister love|sister sister relationship|snow|snowman"/>
    <n v="904"/>
    <x v="0"/>
    <x v="0"/>
    <n v="150000000"/>
    <x v="0"/>
    <x v="10"/>
    <n v="150000000"/>
    <n v="400736600"/>
    <x v="1088"/>
    <x v="1088"/>
    <x v="0"/>
  </r>
  <r>
    <x v="763"/>
    <n v="158"/>
    <n v="19472057"/>
    <s v="Horror|Thriller"/>
    <s v="Tony Goldwyn"/>
    <x v="1089"/>
    <n v="25332"/>
    <s v="actual animal killed|death|jason voorhees|slasher flick|teen horror"/>
    <n v="307"/>
    <x v="0"/>
    <x v="0"/>
    <n v="3000000"/>
    <x v="18"/>
    <x v="0"/>
    <n v="3000000"/>
    <n v="19472057"/>
    <x v="1089"/>
    <x v="1089"/>
    <x v="6"/>
  </r>
  <r>
    <x v="764"/>
    <n v="61"/>
    <n v="59696176"/>
    <s v="Biography|Drama|History"/>
    <s v="Roma Downey"/>
    <x v="1090"/>
    <n v="15448"/>
    <s v="bare chested male bondage|crucifixion|loincloth|reference to god|resurrection"/>
    <n v="174"/>
    <x v="0"/>
    <x v="0"/>
    <n v="22000000"/>
    <x v="27"/>
    <x v="15"/>
    <n v="22000000"/>
    <n v="59696176"/>
    <x v="1090"/>
    <x v="1090"/>
    <x v="2"/>
  </r>
  <r>
    <x v="694"/>
    <n v="30"/>
    <n v="77231"/>
    <s v="Drama|History|War"/>
    <s v="Jay Hernandez"/>
    <x v="1091"/>
    <n v="3322"/>
    <s v="1800s|kazakhstan|nomad"/>
    <n v="32"/>
    <x v="18"/>
    <x v="8"/>
    <n v="25000000"/>
    <x v="25"/>
    <x v="11"/>
    <n v="27118500"/>
    <n v="83775.554940000002"/>
    <x v="1091"/>
    <x v="1091"/>
    <x v="5"/>
  </r>
  <r>
    <x v="415"/>
    <n v="107"/>
    <n v="65269010"/>
    <s v="Crime|Drama|Music|Romance"/>
    <s v="Channing Tatum"/>
    <x v="1092"/>
    <n v="90938"/>
    <s v="dance|dancer|school|showcase|student"/>
    <n v="271"/>
    <x v="0"/>
    <x v="0"/>
    <n v="12000000"/>
    <x v="7"/>
    <x v="20"/>
    <n v="12000000"/>
    <n v="65269010"/>
    <x v="1092"/>
    <x v="1092"/>
    <x v="3"/>
  </r>
  <r>
    <x v="765"/>
    <n v="194"/>
    <n v="261481"/>
    <s v="Drama|Romance|Sci-Fi"/>
    <s v="Li Gong"/>
    <x v="1093"/>
    <n v="41496"/>
    <s v="number in title|train|woman slaps a man|woman slaps man|written by director"/>
    <n v="210"/>
    <x v="2"/>
    <x v="4"/>
    <n v="12000000"/>
    <x v="2"/>
    <x v="2"/>
    <n v="1537131.5999999901"/>
    <n v="33494.225658299998"/>
    <x v="1093"/>
    <x v="1093"/>
    <x v="5"/>
  </r>
  <r>
    <x v="766"/>
    <n v="38"/>
    <n v="206400"/>
    <s v="Comedy|Crime|Drama|Romance|Thriller"/>
    <s v="Sandrine Kiberlain"/>
    <x v="1094"/>
    <n v="1439"/>
    <s v="child|criminal|death|depression|novelist"/>
    <n v="26"/>
    <x v="4"/>
    <x v="8"/>
    <n v="50000000"/>
    <x v="9"/>
    <x v="31"/>
    <n v="54237000"/>
    <n v="223890.33600000001"/>
    <x v="1094"/>
    <x v="1094"/>
    <x v="4"/>
  </r>
  <r>
    <x v="767"/>
    <n v="38"/>
    <n v="13555988"/>
    <s v="Adventure|Comedy|Family|Fantasy"/>
    <s v="Richard E. Grant"/>
    <x v="1095"/>
    <n v="7242"/>
    <s v="boy|pushed off a cliff|rat|secret passage|vampire"/>
    <n v="38"/>
    <x v="0"/>
    <x v="5"/>
    <n v="22000000"/>
    <x v="4"/>
    <x v="35"/>
    <n v="23864280"/>
    <n v="14704722.423119999"/>
    <x v="1095"/>
    <x v="1095"/>
    <x v="0"/>
  </r>
  <r>
    <x v="118"/>
    <n v="276"/>
    <n v="79363785"/>
    <s v="Drama|Sci-Fi|Thriller"/>
    <s v="Keanu Reeves"/>
    <x v="1096"/>
    <n v="139426"/>
    <s v="alien|earth|giant robot|military|scientist"/>
    <n v="698"/>
    <x v="0"/>
    <x v="0"/>
    <n v="80000000"/>
    <x v="20"/>
    <x v="28"/>
    <n v="80000000"/>
    <n v="79363785"/>
    <x v="1096"/>
    <x v="1096"/>
    <x v="5"/>
  </r>
  <r>
    <x v="768"/>
    <n v="77"/>
    <n v="1943649"/>
    <s v="Comedy|Crime|Romance"/>
    <s v="Ally Walker"/>
    <x v="1097"/>
    <n v="8697"/>
    <s v="banker|beauty pageant|escaped convict|gay|pageant"/>
    <n v="122"/>
    <x v="0"/>
    <x v="0"/>
    <n v="1700000"/>
    <x v="12"/>
    <x v="23"/>
    <n v="1700000"/>
    <n v="1943649"/>
    <x v="1097"/>
    <x v="1097"/>
    <x v="4"/>
  </r>
  <r>
    <x v="769"/>
    <n v="181"/>
    <n v="6000000"/>
    <s v="Adventure|Biography|Drama|History|War"/>
    <s v="Claude Rains"/>
    <x v="1098"/>
    <n v="192775"/>
    <s v="arab|british military|desert|ottoman empire|t.e. lawrence"/>
    <n v="559"/>
    <x v="0"/>
    <x v="2"/>
    <n v="15000000"/>
    <x v="57"/>
    <x v="25"/>
    <n v="19281000"/>
    <n v="7712399.9999999898"/>
    <x v="1098"/>
    <x v="1098"/>
    <x v="0"/>
  </r>
  <r>
    <x v="770"/>
    <n v="45"/>
    <n v="2800000"/>
    <s v="Comedy"/>
    <s v="Ivana Milicevic"/>
    <x v="1099"/>
    <n v="4377"/>
    <s v="black comedy|marriage|marriage proposal|not taking no for an answer|obsessive woman"/>
    <n v="85"/>
    <x v="0"/>
    <x v="0"/>
    <n v="4000000"/>
    <x v="12"/>
    <x v="30"/>
    <n v="4000000"/>
    <n v="2800000"/>
    <x v="1099"/>
    <x v="1099"/>
    <x v="4"/>
  </r>
  <r>
    <x v="43"/>
    <n v="165"/>
    <n v="6109075"/>
    <s v="Biography|Drama"/>
    <s v="Alessandro Nivola"/>
    <x v="1100"/>
    <n v="32003"/>
    <s v="baron|fashion|hat|nickname|orphanage"/>
    <n v="65"/>
    <x v="4"/>
    <x v="8"/>
    <n v="19430000"/>
    <x v="16"/>
    <x v="21"/>
    <n v="21076498.199999999"/>
    <n v="6626758.0154999997"/>
    <x v="1100"/>
    <x v="1100"/>
    <x v="2"/>
  </r>
  <r>
    <x v="771"/>
    <n v="185"/>
    <n v="30857814"/>
    <s v="Adventure|Family|Fantasy|Romance"/>
    <s v="Robin Wright"/>
    <x v="1101"/>
    <n v="294163"/>
    <s v="fairy tale|giant|pirate|princess|true love"/>
    <n v="718"/>
    <x v="0"/>
    <x v="0"/>
    <n v="16000000"/>
    <x v="21"/>
    <x v="40"/>
    <n v="16000000"/>
    <n v="30857814"/>
    <x v="1101"/>
    <x v="1101"/>
    <x v="0"/>
  </r>
  <r>
    <x v="772"/>
    <n v="279"/>
    <n v="258113"/>
    <s v="Crime|Drama|Thriller"/>
    <s v="Devin Ratray"/>
    <x v="1102"/>
    <n v="42678"/>
    <s v="blood splatter|car|neo noir|vengeance|vomiting"/>
    <n v="135"/>
    <x v="0"/>
    <x v="0"/>
    <n v="1066167"/>
    <x v="0"/>
    <x v="17"/>
    <n v="1066167"/>
    <n v="258113"/>
    <x v="1102"/>
    <x v="1102"/>
    <x v="3"/>
  </r>
  <r>
    <x v="345"/>
    <n v="318"/>
    <n v="47000000"/>
    <s v="Horror|Thriller"/>
    <s v="Jamie Lee Curtis"/>
    <x v="1103"/>
    <n v="157863"/>
    <s v="halloween|masked killer|michael myers|slasher|trick or treat"/>
    <n v="1191"/>
    <x v="0"/>
    <x v="0"/>
    <n v="300000"/>
    <x v="44"/>
    <x v="19"/>
    <n v="300000"/>
    <n v="47000000"/>
    <x v="1103"/>
    <x v="1103"/>
    <x v="6"/>
  </r>
  <r>
    <x v="180"/>
    <n v="396"/>
    <n v="318759914"/>
    <s v="Action|Adventure|Sci-Fi"/>
    <s v="Zack Ward"/>
    <x v="1104"/>
    <n v="513158"/>
    <s v="alien contact|autobot|decepticon|robot vs. robot|teenage hero"/>
    <n v="1782"/>
    <x v="0"/>
    <x v="0"/>
    <n v="150000000"/>
    <x v="15"/>
    <x v="17"/>
    <n v="150000000"/>
    <n v="318759914"/>
    <x v="1104"/>
    <x v="1104"/>
    <x v="1"/>
  </r>
  <r>
    <x v="773"/>
    <n v="36"/>
    <n v="4063"/>
    <s v="Drama|Mystery|Romance|Thriller"/>
    <s v="Saad Siddiqui"/>
    <x v="1105"/>
    <n v="2086"/>
    <s v=""/>
    <n v="20"/>
    <x v="0"/>
    <x v="9"/>
    <n v="4000000"/>
    <x v="28"/>
    <x v="44"/>
    <n v="2893620"/>
    <n v="2939.1945149999901"/>
    <x v="1105"/>
    <x v="1105"/>
    <x v="5"/>
  </r>
  <r>
    <x v="774"/>
    <n v="108"/>
    <n v="108244774"/>
    <s v="Comedy|Family|Romance"/>
    <s v="Anne Hathaway"/>
    <x v="1106"/>
    <n v="94049"/>
    <s v="cinderella story|fish out of water|makeover|manners|princess"/>
    <n v="301"/>
    <x v="0"/>
    <x v="0"/>
    <n v="37000000"/>
    <x v="9"/>
    <x v="5"/>
    <n v="37000000"/>
    <n v="108244774"/>
    <x v="1106"/>
    <x v="1106"/>
    <x v="4"/>
  </r>
  <r>
    <x v="415"/>
    <n v="147"/>
    <n v="37101011"/>
    <s v="Comedy|Drama"/>
    <s v="Miriam Margolyes"/>
    <x v="1107"/>
    <n v="30394"/>
    <s v="cross country|love|mother son relationship|on the road|trip"/>
    <n v="103"/>
    <x v="0"/>
    <x v="0"/>
    <n v="40000000"/>
    <x v="28"/>
    <x v="30"/>
    <n v="40000000"/>
    <n v="37101011"/>
    <x v="1107"/>
    <x v="1107"/>
    <x v="4"/>
  </r>
  <r>
    <x v="775"/>
    <n v="159"/>
    <n v="2926565"/>
    <s v="Comedy|Drama"/>
    <s v="Anjelica Huston"/>
    <x v="1108"/>
    <n v="28573"/>
    <s v="choking|friend|hospital|restaurant|scam"/>
    <n v="72"/>
    <x v="0"/>
    <x v="0"/>
    <n v="3000000"/>
    <x v="20"/>
    <x v="20"/>
    <n v="3000000"/>
    <n v="2926565"/>
    <x v="1108"/>
    <x v="1108"/>
    <x v="4"/>
  </r>
  <r>
    <x v="776"/>
    <n v="81"/>
    <n v="12693621"/>
    <s v="Horror|Mystery|Thriller"/>
    <s v="Alexander Gould"/>
    <x v="1109"/>
    <n v="10885"/>
    <s v="darkness|friend|kiss|nightmare|suicide"/>
    <n v="271"/>
    <x v="0"/>
    <x v="0"/>
    <n v="17000000"/>
    <x v="13"/>
    <x v="45"/>
    <n v="17000000"/>
    <n v="12693621"/>
    <x v="1109"/>
    <x v="1109"/>
    <x v="6"/>
  </r>
  <r>
    <x v="777"/>
    <n v="50"/>
    <n v="2221994"/>
    <s v="Action|Drama|Sci-Fi|Thriller"/>
    <s v="Jim Broadbent"/>
    <x v="1110"/>
    <n v="11747"/>
    <s v="boy|greenland|neighbor|roof|snow"/>
    <n v="99"/>
    <x v="0"/>
    <x v="23"/>
    <n v="35000000"/>
    <x v="31"/>
    <x v="24"/>
    <n v="5086987.4999999898"/>
    <n v="322950.16294499999"/>
    <x v="1110"/>
    <x v="1110"/>
    <x v="1"/>
  </r>
  <r>
    <x v="514"/>
    <n v="16"/>
    <n v="49851591"/>
    <s v="Comedy|Crime|Romance"/>
    <s v="Brian Dennehy"/>
    <x v="1111"/>
    <n v="7900"/>
    <s v="judicial|judiciary|lawyer|murder|painting"/>
    <n v="34"/>
    <x v="0"/>
    <x v="0"/>
    <n v="40000000"/>
    <x v="18"/>
    <x v="0"/>
    <n v="40000000"/>
    <n v="49851591"/>
    <x v="1111"/>
    <x v="1111"/>
    <x v="4"/>
  </r>
  <r>
    <x v="466"/>
    <n v="304"/>
    <n v="116631310"/>
    <s v="Biography|Drama"/>
    <s v="Alex Pettyfer"/>
    <x v="1112"/>
    <n v="87665"/>
    <s v="butler|civil rights|hotel|president|white house"/>
    <n v="323"/>
    <x v="0"/>
    <x v="0"/>
    <n v="30000000"/>
    <x v="0"/>
    <x v="33"/>
    <n v="30000000"/>
    <n v="116631310"/>
    <x v="1112"/>
    <x v="1112"/>
    <x v="2"/>
  </r>
  <r>
    <x v="778"/>
    <n v="37"/>
    <n v="17292381"/>
    <s v="Comedy|Crime|Family"/>
    <s v="Noel Fisher"/>
    <x v="1113"/>
    <n v="5794"/>
    <s v="bully|moving|principal|revenge|school"/>
    <n v="69"/>
    <x v="0"/>
    <x v="0"/>
    <n v="12000000"/>
    <x v="9"/>
    <x v="1"/>
    <n v="12000000"/>
    <n v="17292381"/>
    <x v="1113"/>
    <x v="1113"/>
    <x v="4"/>
  </r>
  <r>
    <x v="779"/>
    <n v="148"/>
    <n v="27854896"/>
    <s v="Drama|Fantasy|Romance"/>
    <s v="Alex Pettyfer"/>
    <x v="1114"/>
    <n v="64190"/>
    <s v="love|maid|newscaster|student|tutor"/>
    <n v="129"/>
    <x v="0"/>
    <x v="0"/>
    <n v="17000000"/>
    <x v="22"/>
    <x v="15"/>
    <n v="17000000"/>
    <n v="27854896"/>
    <x v="1114"/>
    <x v="1114"/>
    <x v="5"/>
  </r>
  <r>
    <x v="780"/>
    <n v="18"/>
    <n v="71904"/>
    <s v="Comedy|Drama|Family"/>
    <s v="Katharine Ross"/>
    <x v="1115"/>
    <n v="806"/>
    <s v="dolphin|island|research|tourist|town"/>
    <n v="18"/>
    <x v="0"/>
    <x v="0"/>
    <n v="2500000"/>
    <x v="7"/>
    <x v="35"/>
    <n v="2500000"/>
    <n v="71904"/>
    <x v="1115"/>
    <x v="1115"/>
    <x v="4"/>
  </r>
  <r>
    <x v="781"/>
    <n v="92"/>
    <n v="30306281"/>
    <s v="Comedy|Drama"/>
    <s v="Erika Christensen"/>
    <x v="1116"/>
    <n v="12388"/>
    <s v="bartender|groupie|lawyer|road trip|writer"/>
    <n v="147"/>
    <x v="0"/>
    <x v="0"/>
    <n v="10000000"/>
    <x v="13"/>
    <x v="15"/>
    <n v="10000000"/>
    <n v="30306281"/>
    <x v="1116"/>
    <x v="1116"/>
    <x v="4"/>
  </r>
  <r>
    <x v="782"/>
    <n v="16"/>
    <n v="15278"/>
    <s v="Drama|Fantasy|Sci-Fi"/>
    <s v="Gavin MacLeod"/>
    <x v="1117"/>
    <n v="1742"/>
    <s v="bible|christian propaganda|christianity|time machine|zealot"/>
    <n v="158"/>
    <x v="0"/>
    <x v="0"/>
    <n v="825000"/>
    <x v="13"/>
    <x v="15"/>
    <n v="825000"/>
    <n v="15278"/>
    <x v="1117"/>
    <x v="1117"/>
    <x v="5"/>
  </r>
  <r>
    <x v="783"/>
    <n v="350"/>
    <n v="191449475"/>
    <s v="Drama|Fantasy|Romance"/>
    <s v="Kristen Stewart"/>
    <x v="1118"/>
    <n v="348007"/>
    <s v="blood|high school|love|school|vampire"/>
    <n v="1535"/>
    <x v="0"/>
    <x v="0"/>
    <n v="37000000"/>
    <x v="20"/>
    <x v="44"/>
    <n v="37000000"/>
    <n v="191449475"/>
    <x v="1118"/>
    <x v="1118"/>
    <x v="5"/>
  </r>
  <r>
    <x v="11"/>
    <n v="68"/>
    <n v="3064356"/>
    <s v="Drama|Romance"/>
    <s v="Miguel Ferrer"/>
    <x v="1119"/>
    <n v="3433"/>
    <s v="african american|business|coastline|florida|real estate"/>
    <n v="81"/>
    <x v="0"/>
    <x v="0"/>
    <n v="5600000"/>
    <x v="13"/>
    <x v="31"/>
    <n v="5600000"/>
    <n v="3064356"/>
    <x v="1119"/>
    <x v="1119"/>
    <x v="5"/>
  </r>
  <r>
    <x v="784"/>
    <n v="59"/>
    <n v="108360000"/>
    <s v="Adventure|Comedy"/>
    <s v="Bruce Spence"/>
    <x v="1120"/>
    <n v="160321"/>
    <s v="africa|bat|hawaiian shirt|pregnancy|pregnant"/>
    <n v="178"/>
    <x v="0"/>
    <x v="0"/>
    <n v="30000000"/>
    <x v="33"/>
    <x v="23"/>
    <n v="30000000"/>
    <n v="108360000"/>
    <x v="1120"/>
    <x v="1120"/>
    <x v="0"/>
  </r>
  <r>
    <x v="785"/>
    <n v="372"/>
    <n v="35286428"/>
    <s v="Drama|Sci-Fi|Thriller"/>
    <s v="Charlie Hunnam"/>
    <x v="1121"/>
    <n v="361767"/>
    <s v="chaos|england|long take|survival|violence"/>
    <n v="1206"/>
    <x v="0"/>
    <x v="0"/>
    <n v="76000000"/>
    <x v="7"/>
    <x v="19"/>
    <n v="76000000"/>
    <n v="35286428"/>
    <x v="1121"/>
    <x v="1121"/>
    <x v="5"/>
  </r>
  <r>
    <x v="77"/>
    <n v="33"/>
    <n v="21370057"/>
    <s v="Crime|Drama|Thriller"/>
    <s v="Steven Bauer"/>
    <x v="1122"/>
    <n v="9903"/>
    <s v="hitchcockian|long tracking shot|psychologist|psychology|wig"/>
    <n v="80"/>
    <x v="0"/>
    <x v="0"/>
    <n v="12000000"/>
    <x v="8"/>
    <x v="11"/>
    <n v="12000000"/>
    <n v="21370057"/>
    <x v="1122"/>
    <x v="1122"/>
    <x v="3"/>
  </r>
  <r>
    <x v="111"/>
    <n v="82"/>
    <n v="14469428"/>
    <s v="Comedy|Romance"/>
    <s v="Rip Torn"/>
    <x v="1123"/>
    <n v="10667"/>
    <s v="mayor|pink panties|upskirt|white panties|yellow panties"/>
    <n v="95"/>
    <x v="0"/>
    <x v="0"/>
    <n v="26000000"/>
    <x v="2"/>
    <x v="44"/>
    <n v="26000000"/>
    <n v="14469428"/>
    <x v="1123"/>
    <x v="1123"/>
    <x v="4"/>
  </r>
  <r>
    <x v="786"/>
    <n v="53"/>
    <n v="14873"/>
    <s v="Adventure|War|Western"/>
    <s v="James Coburn"/>
    <x v="1124"/>
    <n v="5294"/>
    <s v="apache|apache indian|confederate|mexico|scout"/>
    <n v="67"/>
    <x v="0"/>
    <x v="0"/>
    <n v="3800000"/>
    <x v="29"/>
    <x v="22"/>
    <n v="3800000"/>
    <n v="14873"/>
    <x v="1124"/>
    <x v="1124"/>
    <x v="0"/>
  </r>
  <r>
    <x v="787"/>
    <n v="14"/>
    <n v="4584"/>
    <s v="Comedy|Drama"/>
    <s v="Kerry BishÃ©"/>
    <x v="1125"/>
    <n v="1338"/>
    <s v="written and directed by cast member"/>
    <n v="14"/>
    <x v="0"/>
    <x v="0"/>
    <n v="9000"/>
    <x v="22"/>
    <x v="24"/>
    <n v="9000"/>
    <n v="4584"/>
    <x v="1125"/>
    <x v="1125"/>
    <x v="4"/>
  </r>
  <r>
    <x v="788"/>
    <n v="132"/>
    <n v="75600000"/>
    <s v="Biography|Drama|History|War"/>
    <s v="Mhairi Calvey"/>
    <x v="1126"/>
    <n v="736638"/>
    <s v="14th century|legend|revolt|scotland|tyranny"/>
    <n v="1065"/>
    <x v="0"/>
    <x v="0"/>
    <n v="72000000"/>
    <x v="33"/>
    <x v="25"/>
    <n v="72000000"/>
    <n v="75600000"/>
    <x v="1126"/>
    <x v="1126"/>
    <x v="2"/>
  </r>
  <r>
    <x v="346"/>
    <n v="110"/>
    <n v="66676062"/>
    <s v="Crime|Drama"/>
    <s v="Al Pacino"/>
    <x v="1127"/>
    <n v="267980"/>
    <s v="1970s|family relationships|mob hit|opera|repeating history"/>
    <n v="545"/>
    <x v="0"/>
    <x v="0"/>
    <n v="54000000"/>
    <x v="32"/>
    <x v="10"/>
    <n v="54000000"/>
    <n v="66676062"/>
    <x v="1127"/>
    <x v="1127"/>
    <x v="3"/>
  </r>
  <r>
    <x v="405"/>
    <n v="221"/>
    <n v="66466372"/>
    <s v="Horror"/>
    <s v="Krista Allen"/>
    <x v="1128"/>
    <n v="75345"/>
    <s v="attempted suicide|car crash|collapsing scaffold|overflowing bathtub|tooth knocked out"/>
    <n v="290"/>
    <x v="0"/>
    <x v="0"/>
    <n v="40000000"/>
    <x v="16"/>
    <x v="44"/>
    <n v="40000000"/>
    <n v="66466372"/>
    <x v="1128"/>
    <x v="1128"/>
    <x v="6"/>
  </r>
  <r>
    <x v="789"/>
    <n v="242"/>
    <n v="4443403"/>
    <s v="Animation|Biography|Drama|War"/>
    <s v="Catherine Deneuve"/>
    <x v="1129"/>
    <n v="70194"/>
    <s v="dream|girl|iran|islamic revolution|revolution"/>
    <n v="158"/>
    <x v="4"/>
    <x v="8"/>
    <n v="7300000"/>
    <x v="15"/>
    <x v="3"/>
    <n v="7918602"/>
    <n v="4819936.9702199996"/>
    <x v="1129"/>
    <x v="1129"/>
    <x v="8"/>
  </r>
  <r>
    <x v="790"/>
    <n v="11"/>
    <n v="4692814"/>
    <s v="Comedy"/>
    <s v="Barry Corbin"/>
    <x v="1130"/>
    <n v="2870"/>
    <s v="hold up|hostage|stockholm syndrome|swat team|vegetarian"/>
    <n v="34"/>
    <x v="0"/>
    <x v="0"/>
    <n v="8000000"/>
    <x v="12"/>
    <x v="37"/>
    <n v="8000000"/>
    <n v="4692814"/>
    <x v="1130"/>
    <x v="1130"/>
    <x v="4"/>
  </r>
  <r>
    <x v="791"/>
    <n v="90"/>
    <n v="12801190"/>
    <s v="Action|Adventure|Fantasy|Sci-Fi"/>
    <s v="Christopher Lambert"/>
    <x v="1131"/>
    <n v="16340"/>
    <s v="battle|explosion|immortal|revenge|sequel to cult film"/>
    <n v="355"/>
    <x v="0"/>
    <x v="0"/>
    <n v="15000000"/>
    <x v="4"/>
    <x v="34"/>
    <n v="15000000"/>
    <n v="12801190"/>
    <x v="1131"/>
    <x v="1131"/>
    <x v="1"/>
  </r>
  <r>
    <x v="227"/>
    <n v="94"/>
    <n v="33328051"/>
    <s v="Action|Crime|Drama|Mystery|Thriller"/>
    <s v="Melina Kanakaredes"/>
    <x v="1132"/>
    <n v="60508"/>
    <s v="amnesia|chase|foot chase|strong female character|vomiting"/>
    <n v="285"/>
    <x v="0"/>
    <x v="0"/>
    <n v="65000000"/>
    <x v="10"/>
    <x v="21"/>
    <n v="65000000"/>
    <n v="33328051"/>
    <x v="1132"/>
    <x v="1132"/>
    <x v="1"/>
  </r>
  <r>
    <x v="158"/>
    <n v="192"/>
    <n v="46836394"/>
    <s v="Biography|Crime|Drama"/>
    <s v="Robert De Niro"/>
    <x v="1133"/>
    <n v="728685"/>
    <s v="betrayal|gangster|mafia|organized crime|robbery"/>
    <n v="989"/>
    <x v="0"/>
    <x v="0"/>
    <n v="25000000"/>
    <x v="32"/>
    <x v="48"/>
    <n v="25000000"/>
    <n v="46836394"/>
    <x v="1133"/>
    <x v="1133"/>
    <x v="2"/>
  </r>
  <r>
    <x v="792"/>
    <n v="31"/>
    <n v="5654777"/>
    <s v="Action|Comedy|Crime|Drama|Thriller"/>
    <s v="Cheech Marin"/>
    <x v="1134"/>
    <n v="4875"/>
    <s v="police|private school|shootout|undercover|wigger"/>
    <n v="26"/>
    <x v="0"/>
    <x v="0"/>
    <n v="25000000"/>
    <x v="25"/>
    <x v="13"/>
    <n v="25000000"/>
    <n v="5654777"/>
    <x v="1134"/>
    <x v="1134"/>
    <x v="1"/>
  </r>
  <r>
    <x v="793"/>
    <n v="21"/>
    <n v="212285"/>
    <s v="Comedy|Romance"/>
    <s v="Radha Mitchell"/>
    <x v="1135"/>
    <n v="1727"/>
    <s v="film school|love|medical student|student|university"/>
    <n v="21"/>
    <x v="0"/>
    <x v="3"/>
    <n v="250000"/>
    <x v="10"/>
    <x v="24"/>
    <n v="163470"/>
    <n v="138808.91579999999"/>
    <x v="1135"/>
    <x v="1135"/>
    <x v="4"/>
  </r>
  <r>
    <x v="794"/>
    <n v="180"/>
    <n v="51097664"/>
    <s v="Drama|Horror|Mystery|Thriller"/>
    <s v="Robert De Niro"/>
    <x v="1136"/>
    <n v="70205"/>
    <s v="bathtub|psychologist|pushed out a window|smothered with a pillow|telescope"/>
    <n v="450"/>
    <x v="0"/>
    <x v="0"/>
    <n v="30000000"/>
    <x v="25"/>
    <x v="0"/>
    <n v="30000000"/>
    <n v="51097664"/>
    <x v="1136"/>
    <x v="1136"/>
    <x v="5"/>
  </r>
  <r>
    <x v="215"/>
    <n v="31"/>
    <n v="65623128"/>
    <s v="Comedy|Crime|Drama"/>
    <s v="John Amos"/>
    <x v="1137"/>
    <n v="7354"/>
    <s v="critically bashed|culture shock|interracial relationship|madea series|ponzi scheme"/>
    <n v="50"/>
    <x v="0"/>
    <x v="0"/>
    <n v="20000000"/>
    <x v="28"/>
    <x v="45"/>
    <n v="20000000"/>
    <n v="65623128"/>
    <x v="1137"/>
    <x v="1137"/>
    <x v="4"/>
  </r>
  <r>
    <x v="795"/>
    <n v="166"/>
    <n v="69772969"/>
    <s v="Action|Crime|Thriller"/>
    <s v="Hugh Jackman"/>
    <x v="1138"/>
    <n v="155532"/>
    <s v="computer|secret agent|terrorism|told in flashback|wearing a sound wire"/>
    <n v="543"/>
    <x v="0"/>
    <x v="0"/>
    <n v="80000000"/>
    <x v="9"/>
    <x v="20"/>
    <n v="80000000"/>
    <n v="69772969"/>
    <x v="1138"/>
    <x v="1138"/>
    <x v="1"/>
  </r>
  <r>
    <x v="16"/>
    <n v="12"/>
    <n v="4700361"/>
    <s v="Drama"/>
    <s v="Hayden Christensen"/>
    <x v="1139"/>
    <n v="2047"/>
    <s v="heaven|hospital|praying|pronounced dead|recovery"/>
    <n v="29"/>
    <x v="0"/>
    <x v="0"/>
    <n v="5000000"/>
    <x v="1"/>
    <x v="34"/>
    <n v="5000000"/>
    <n v="4700361"/>
    <x v="1139"/>
    <x v="1139"/>
    <x v="5"/>
  </r>
  <r>
    <x v="32"/>
    <n v="526"/>
    <n v="79711678"/>
    <s v="Comedy|Fantasy|Horror"/>
    <s v="Johnny Depp"/>
    <x v="1140"/>
    <n v="199039"/>
    <s v="camera shot of feet|cartoon on tv|female stockinged feet|female stockinged soles|foot closeup"/>
    <n v="479"/>
    <x v="0"/>
    <x v="0"/>
    <n v="100000000"/>
    <x v="28"/>
    <x v="5"/>
    <n v="100000000"/>
    <n v="79711678"/>
    <x v="1140"/>
    <x v="1140"/>
    <x v="4"/>
  </r>
  <r>
    <x v="796"/>
    <n v="261"/>
    <n v="55942830"/>
    <s v="Action|Drama|Fantasy|Horror|War"/>
    <s v="Dominic Cooper"/>
    <x v="1141"/>
    <n v="138582"/>
    <s v="death of wife|dracula|tarantula|turk|vampire"/>
    <n v="423"/>
    <x v="0"/>
    <x v="0"/>
    <n v="70000000"/>
    <x v="27"/>
    <x v="23"/>
    <n v="70000000"/>
    <n v="55942830"/>
    <x v="1141"/>
    <x v="1141"/>
    <x v="1"/>
  </r>
  <r>
    <x v="625"/>
    <n v="273"/>
    <n v="3904982"/>
    <s v="Biography|Crime|Drama|History|Western"/>
    <s v="Brad Pitt"/>
    <x v="1142"/>
    <n v="136104"/>
    <s v="long title|outlaw|robbery|train|train robbery"/>
    <n v="415"/>
    <x v="0"/>
    <x v="0"/>
    <n v="30000000"/>
    <x v="15"/>
    <x v="2"/>
    <n v="30000000"/>
    <n v="3904982"/>
    <x v="1142"/>
    <x v="1142"/>
    <x v="2"/>
  </r>
  <r>
    <x v="797"/>
    <n v="177"/>
    <n v="4157491"/>
    <s v="Crime|Drama|Musical"/>
    <s v="Catherine Deneuve"/>
    <x v="1143"/>
    <n v="79330"/>
    <s v="ends with quotation|execution|factory|women's prison|year 1964"/>
    <n v="690"/>
    <x v="0"/>
    <x v="23"/>
    <n v="12800000"/>
    <x v="4"/>
    <x v="3"/>
    <n v="1860383.99999999"/>
    <n v="604260.13566749997"/>
    <x v="1143"/>
    <x v="1143"/>
    <x v="3"/>
  </r>
  <r>
    <x v="12"/>
    <n v="321"/>
    <n v="67631157"/>
    <s v="Action|Romance|Thriller"/>
    <s v="Johnny Depp"/>
    <x v="12"/>
    <n v="176598"/>
    <s v="police surveillance|surveillance van|tailing a suspect|tourist|venice italy"/>
    <n v="374"/>
    <x v="0"/>
    <x v="0"/>
    <n v="100000000"/>
    <x v="11"/>
    <x v="11"/>
    <n v="100000000"/>
    <n v="67631157"/>
    <x v="12"/>
    <x v="12"/>
    <x v="1"/>
  </r>
  <r>
    <x v="798"/>
    <n v="80"/>
    <n v="48423368"/>
    <s v="Adventure|Animation|Family|Fantasy"/>
    <s v="Roger Rees"/>
    <x v="1144"/>
    <n v="13324"/>
    <s v="1940s|gang that lives together|outlaw gang|rescue|sequel"/>
    <n v="79"/>
    <x v="0"/>
    <x v="0"/>
    <n v="20000000"/>
    <x v="13"/>
    <x v="30"/>
    <n v="20000000"/>
    <n v="48423368"/>
    <x v="1144"/>
    <x v="1144"/>
    <x v="0"/>
  </r>
  <r>
    <x v="799"/>
    <n v="298"/>
    <n v="126149655"/>
    <s v="Action|Crime|Mystery|Thriller"/>
    <s v="Denzel Washington"/>
    <x v="1145"/>
    <n v="166693"/>
    <s v="cia|cia agent|consulate|on the run|safe house"/>
    <n v="276"/>
    <x v="0"/>
    <x v="0"/>
    <n v="85000000"/>
    <x v="28"/>
    <x v="22"/>
    <n v="85000000"/>
    <n v="126149655"/>
    <x v="1145"/>
    <x v="1145"/>
    <x v="1"/>
  </r>
  <r>
    <x v="643"/>
    <n v="149"/>
    <n v="41609593"/>
    <s v="Action|Adventure|Crime|Thriller"/>
    <s v="Robert De Niro"/>
    <x v="1146"/>
    <n v="145422"/>
    <s v="case|ex kgb|ronin|russian|suitcase"/>
    <n v="572"/>
    <x v="0"/>
    <x v="2"/>
    <n v="55000000"/>
    <x v="6"/>
    <x v="4"/>
    <n v="70697000"/>
    <n v="53484970.842199899"/>
    <x v="1146"/>
    <x v="1146"/>
    <x v="1"/>
  </r>
  <r>
    <x v="744"/>
    <n v="106"/>
    <n v="46338728"/>
    <s v="Drama|Romance"/>
    <s v="Leonardo DiCaprio"/>
    <x v="1147"/>
    <n v="167750"/>
    <s v="hawaiian shirt|love|shakespeare adaptation|shakespeare play|star crossed lovers"/>
    <n v="506"/>
    <x v="0"/>
    <x v="0"/>
    <n v="14500000"/>
    <x v="10"/>
    <x v="22"/>
    <n v="14500000"/>
    <n v="46338728"/>
    <x v="1147"/>
    <x v="1147"/>
    <x v="5"/>
  </r>
  <r>
    <x v="800"/>
    <n v="74"/>
    <n v="29302097"/>
    <s v="Comedy|Family|Music|Romance"/>
    <s v="Adam Garcia"/>
    <x v="1148"/>
    <n v="23408"/>
    <s v="band|friend|new york city|suburb|teenager"/>
    <n v="105"/>
    <x v="0"/>
    <x v="5"/>
    <n v="15000000"/>
    <x v="2"/>
    <x v="34"/>
    <n v="16271100"/>
    <n v="31785156.699779999"/>
    <x v="1148"/>
    <x v="1148"/>
    <x v="4"/>
  </r>
  <r>
    <x v="801"/>
    <n v="23"/>
    <n v="19348"/>
    <s v="Comedy|Drama"/>
    <s v="Jeff Bridges"/>
    <x v="1149"/>
    <n v="2941"/>
    <s v="american south|baseball|farmland|motel|road trip"/>
    <n v="11"/>
    <x v="0"/>
    <x v="0"/>
    <n v="10000000"/>
    <x v="16"/>
    <x v="28"/>
    <n v="10000000"/>
    <n v="19348"/>
    <x v="1149"/>
    <x v="1149"/>
    <x v="4"/>
  </r>
  <r>
    <x v="802"/>
    <n v="49"/>
    <n v="3071947"/>
    <s v="Comedy|Crime|Thriller"/>
    <s v="Julie Benz"/>
    <x v="1150"/>
    <n v="18711"/>
    <s v="best friend|bitch|friend|popular girl|prom"/>
    <n v="183"/>
    <x v="0"/>
    <x v="0"/>
    <n v="3500000"/>
    <x v="12"/>
    <x v="26"/>
    <n v="3500000"/>
    <n v="3071947"/>
    <x v="1150"/>
    <x v="1150"/>
    <x v="4"/>
  </r>
  <r>
    <x v="774"/>
    <n v="77"/>
    <n v="95149435"/>
    <s v="Comedy|Family|Romance"/>
    <s v="Anne Hathaway"/>
    <x v="1151"/>
    <n v="53687"/>
    <s v="coronation|horse|princess|queen|side saddle"/>
    <n v="152"/>
    <x v="0"/>
    <x v="0"/>
    <n v="40000000"/>
    <x v="2"/>
    <x v="35"/>
    <n v="40000000"/>
    <n v="95149435"/>
    <x v="1151"/>
    <x v="1151"/>
    <x v="4"/>
  </r>
  <r>
    <x v="803"/>
    <n v="205"/>
    <n v="611709"/>
    <s v="Comedy|Drama"/>
    <s v="Jean-Pierre LÃ©aud"/>
    <x v="1152"/>
    <n v="15267"/>
    <s v="bar|container|illegal immigrant|neighbor|shoe shiner"/>
    <n v="41"/>
    <x v="4"/>
    <x v="24"/>
    <n v="3850000"/>
    <x v="22"/>
    <x v="33"/>
    <n v="4176249"/>
    <n v="663545.22065999999"/>
    <x v="1152"/>
    <x v="1152"/>
    <x v="4"/>
  </r>
  <r>
    <x v="804"/>
    <n v="173"/>
    <n v="137340146"/>
    <s v="Comedy|Drama|Fantasy|Romance"/>
    <s v="Adam Sandler"/>
    <x v="1153"/>
    <n v="246492"/>
    <s v="architect|frozen time|obese man|remote control|stopped time"/>
    <n v="685"/>
    <x v="0"/>
    <x v="0"/>
    <n v="70000000"/>
    <x v="7"/>
    <x v="24"/>
    <n v="70000000"/>
    <n v="137340146"/>
    <x v="1153"/>
    <x v="1153"/>
    <x v="4"/>
  </r>
  <r>
    <x v="805"/>
    <n v="140"/>
    <n v="67286731"/>
    <s v="Action|Adventure|Western"/>
    <s v="J.K. Simmons"/>
    <x v="1154"/>
    <n v="67856"/>
    <s v="arab|cowboy|horse|race|sheik"/>
    <n v="345"/>
    <x v="0"/>
    <x v="0"/>
    <n v="100000000"/>
    <x v="2"/>
    <x v="21"/>
    <n v="100000000"/>
    <n v="67286731"/>
    <x v="1154"/>
    <x v="1154"/>
    <x v="1"/>
  </r>
  <r>
    <x v="806"/>
    <n v="47"/>
    <n v="75727"/>
    <s v="Drama|Romance|Sci-Fi|Thriller"/>
    <s v="Leonor Varela"/>
    <x v="1155"/>
    <n v="5699"/>
    <s v="computer|future|mexican immigrant|network|wilhelm scream"/>
    <n v="40"/>
    <x v="9"/>
    <x v="0"/>
    <n v="2500000"/>
    <x v="20"/>
    <x v="0"/>
    <n v="2500000"/>
    <n v="75727"/>
    <x v="1155"/>
    <x v="1155"/>
    <x v="5"/>
  </r>
  <r>
    <x v="371"/>
    <n v="108"/>
    <n v="36976367"/>
    <s v="Drama|Mystery|Sci-Fi|Thriller"/>
    <s v="Peter Coyote"/>
    <x v="1156"/>
    <n v="81611"/>
    <s v="manifestation|ocean|spacecraft|spaceship|sphere"/>
    <n v="274"/>
    <x v="0"/>
    <x v="0"/>
    <n v="75000000"/>
    <x v="6"/>
    <x v="11"/>
    <n v="75000000"/>
    <n v="36976367"/>
    <x v="1156"/>
    <x v="1156"/>
    <x v="5"/>
  </r>
  <r>
    <x v="399"/>
    <n v="29"/>
    <n v="12996"/>
    <s v="Action|Comedy|Fantasy|Sci-Fi"/>
    <s v="Judy Greer"/>
    <x v="1157"/>
    <n v="1938"/>
    <s v="action figure|press conference|superhero|superhero team|toy"/>
    <n v="54"/>
    <x v="0"/>
    <x v="0"/>
    <n v="1000000"/>
    <x v="4"/>
    <x v="11"/>
    <n v="1000000"/>
    <n v="12996"/>
    <x v="1157"/>
    <x v="1157"/>
    <x v="1"/>
  </r>
  <r>
    <x v="807"/>
    <n v="172"/>
    <n v="31397498"/>
    <s v="Horror|Mystery"/>
    <s v="ChloÃ« Grace Moretz"/>
    <x v="1158"/>
    <n v="44130"/>
    <s v="cellular memory|eye|eye transplant|seeing dead people|violinist"/>
    <n v="156"/>
    <x v="0"/>
    <x v="0"/>
    <n v="12000000"/>
    <x v="20"/>
    <x v="26"/>
    <n v="12000000"/>
    <n v="31397498"/>
    <x v="1158"/>
    <x v="1158"/>
    <x v="6"/>
  </r>
  <r>
    <x v="808"/>
    <n v="119"/>
    <n v="1339152"/>
    <s v="Adventure|Animation|Drama|Family|Fantasy"/>
    <s v="Jeff Bridges"/>
    <x v="1159"/>
    <n v="28276"/>
    <s v="aviator|based on book|girl|little girl|the little prince"/>
    <n v="64"/>
    <x v="0"/>
    <x v="8"/>
    <n v="81200000"/>
    <x v="1"/>
    <x v="38"/>
    <n v="88080888"/>
    <n v="1452631.7404799999"/>
    <x v="1159"/>
    <x v="1159"/>
    <x v="0"/>
  </r>
  <r>
    <x v="809"/>
    <n v="147"/>
    <n v="52937130"/>
    <s v="Biography|Crime|Drama"/>
    <s v="Johnny Depp"/>
    <x v="1160"/>
    <n v="198066"/>
    <s v="1960s|1970s|california|cocaine|wealth"/>
    <n v="426"/>
    <x v="0"/>
    <x v="0"/>
    <n v="30000000"/>
    <x v="9"/>
    <x v="10"/>
    <n v="30000000"/>
    <n v="52937130"/>
    <x v="1160"/>
    <x v="1160"/>
    <x v="2"/>
  </r>
  <r>
    <x v="395"/>
    <n v="433"/>
    <n v="126546825"/>
    <s v="Action|Sci-Fi|Thriller"/>
    <s v="Scarlett Johansson"/>
    <x v="1161"/>
    <n v="327367"/>
    <s v="brain capacity|drugs|fictional drug|one woman army|tough girl"/>
    <n v="918"/>
    <x v="0"/>
    <x v="8"/>
    <n v="40000000"/>
    <x v="27"/>
    <x v="24"/>
    <n v="43389600"/>
    <n v="137270402.95050001"/>
    <x v="1161"/>
    <x v="1161"/>
    <x v="1"/>
  </r>
  <r>
    <x v="810"/>
    <n v="79"/>
    <n v="34099640"/>
    <s v="Drama|Family|Sport"/>
    <s v="Clint Howard"/>
    <x v="1162"/>
    <n v="16651"/>
    <s v="1940s|dog|mississippi|puppy|veteran"/>
    <n v="149"/>
    <x v="0"/>
    <x v="0"/>
    <n v="5000000"/>
    <x v="4"/>
    <x v="16"/>
    <n v="5000000"/>
    <n v="34099640"/>
    <x v="1162"/>
    <x v="1162"/>
    <x v="5"/>
  </r>
  <r>
    <x v="808"/>
    <n v="266"/>
    <n v="215395021"/>
    <s v="Action|Adventure|Animation|Comedy|Family"/>
    <s v="Angelina Jolie Pitt"/>
    <x v="1163"/>
    <n v="307029"/>
    <s v="kung fu|kung fu master|master|panda|snow leopard"/>
    <n v="360"/>
    <x v="0"/>
    <x v="0"/>
    <n v="130000000"/>
    <x v="20"/>
    <x v="10"/>
    <n v="130000000"/>
    <n v="215395021"/>
    <x v="1163"/>
    <x v="1163"/>
    <x v="1"/>
  </r>
  <r>
    <x v="811"/>
    <n v="408"/>
    <n v="51533608"/>
    <s v="Action|Adventure|Drama|Thriller"/>
    <s v="Liam Neeson"/>
    <x v="1164"/>
    <n v="203111"/>
    <s v="alaska|leadership|snow|survival|wilderness"/>
    <n v="755"/>
    <x v="0"/>
    <x v="0"/>
    <n v="25000000"/>
    <x v="22"/>
    <x v="22"/>
    <n v="25000000"/>
    <n v="51533608"/>
    <x v="1164"/>
    <x v="1164"/>
    <x v="1"/>
  </r>
  <r>
    <x v="812"/>
    <n v="190"/>
    <n v="25117498"/>
    <s v="Horror|Thriller"/>
    <s v="Stephen Rea"/>
    <x v="1165"/>
    <n v="37412"/>
    <s v="biblical plague|louisiana|missionary|plague|small town"/>
    <n v="178"/>
    <x v="0"/>
    <x v="0"/>
    <n v="40000000"/>
    <x v="15"/>
    <x v="35"/>
    <n v="40000000"/>
    <n v="25117498"/>
    <x v="1165"/>
    <x v="1165"/>
    <x v="6"/>
  </r>
  <r>
    <x v="813"/>
    <n v="43"/>
    <n v="226792"/>
    <s v="Action|Comedy|Drama"/>
    <s v="Minnie Driver"/>
    <x v="1166"/>
    <n v="3080"/>
    <s v="attempted murder|blackmail|diver's watch|nurse|satire"/>
    <n v="44"/>
    <x v="0"/>
    <x v="2"/>
    <n v="10000000"/>
    <x v="9"/>
    <x v="5"/>
    <n v="12853999.999999899"/>
    <n v="291518.43679999898"/>
    <x v="1166"/>
    <x v="1166"/>
    <x v="1"/>
  </r>
  <r>
    <x v="814"/>
    <n v="119"/>
    <n v="183875760"/>
    <s v="Action|Adventure|Crime|Drama|Mystery|Thriller"/>
    <s v="Harrison Ford"/>
    <x v="1167"/>
    <n v="213668"/>
    <s v="hospital|on the run|one armed man|surgeon|u.s. marshal"/>
    <n v="270"/>
    <x v="0"/>
    <x v="0"/>
    <n v="44000000"/>
    <x v="23"/>
    <x v="38"/>
    <n v="44000000"/>
    <n v="183875760"/>
    <x v="1167"/>
    <x v="1167"/>
    <x v="1"/>
  </r>
  <r>
    <x v="815"/>
    <n v="129"/>
    <n v="86300000"/>
    <s v="Comedy"/>
    <s v="Madeline Kahn"/>
    <x v="1168"/>
    <n v="112671"/>
    <s v="assistant|castle|experiment|frankenstein's monster|scientist"/>
    <n v="315"/>
    <x v="0"/>
    <x v="0"/>
    <n v="2800000"/>
    <x v="48"/>
    <x v="3"/>
    <n v="2800000"/>
    <n v="86300000"/>
    <x v="1168"/>
    <x v="1168"/>
    <x v="4"/>
  </r>
  <r>
    <x v="403"/>
    <n v="248"/>
    <n v="20275446"/>
    <s v="Action|Crime|Thriller"/>
    <s v="Joseph Gordon-Levitt"/>
    <x v="1169"/>
    <n v="95274"/>
    <s v="chase|courier|delivery|envelope|police"/>
    <n v="178"/>
    <x v="0"/>
    <x v="0"/>
    <n v="35000000"/>
    <x v="28"/>
    <x v="20"/>
    <n v="35000000"/>
    <n v="20275446"/>
    <x v="1169"/>
    <x v="1169"/>
    <x v="1"/>
  </r>
  <r>
    <x v="180"/>
    <n v="366"/>
    <n v="402076689"/>
    <s v="Action|Adventure|Sci-Fi"/>
    <s v="Glenn Morshower"/>
    <x v="1170"/>
    <n v="323207"/>
    <s v="autobot|decepticon|machine|sun|symbol"/>
    <n v="1439"/>
    <x v="0"/>
    <x v="0"/>
    <n v="200000000"/>
    <x v="16"/>
    <x v="11"/>
    <n v="200000000"/>
    <n v="402076689"/>
    <x v="1170"/>
    <x v="1170"/>
    <x v="1"/>
  </r>
  <r>
    <x v="816"/>
    <n v="178"/>
    <n v="45670855"/>
    <s v="Horror|Mystery"/>
    <s v="Costas Mandylor"/>
    <x v="1171"/>
    <n v="67978"/>
    <s v="blood splatter|self help guru|sequel|support group|survivor"/>
    <n v="279"/>
    <x v="0"/>
    <x v="9"/>
    <n v="20000000"/>
    <x v="11"/>
    <x v="15"/>
    <n v="14468100"/>
    <n v="33038524.861274999"/>
    <x v="1171"/>
    <x v="1171"/>
    <x v="6"/>
  </r>
  <r>
    <x v="493"/>
    <n v="46"/>
    <n v="5600000"/>
    <s v="Drama|Horror|Romance|Thriller"/>
    <s v="Julia Roberts"/>
    <x v="1172"/>
    <n v="11913"/>
    <s v="19th century|butler|housemaid|laboratory|servant"/>
    <n v="97"/>
    <x v="0"/>
    <x v="0"/>
    <n v="47000000"/>
    <x v="10"/>
    <x v="30"/>
    <n v="47000000"/>
    <n v="5600000"/>
    <x v="1172"/>
    <x v="1172"/>
    <x v="5"/>
  </r>
  <r>
    <x v="817"/>
    <n v="68"/>
    <n v="11227940"/>
    <s v="Action|Adventure|Comedy|Drama|Thriller"/>
    <s v="David Paymer"/>
    <x v="1173"/>
    <n v="8367"/>
    <s v="colonel|ice|ice cream truck|military|u.s. army"/>
    <n v="94"/>
    <x v="0"/>
    <x v="0"/>
    <n v="34000000"/>
    <x v="12"/>
    <x v="44"/>
    <n v="34000000"/>
    <n v="11227940"/>
    <x v="1173"/>
    <x v="1173"/>
    <x v="1"/>
  </r>
  <r>
    <x v="683"/>
    <n v="107"/>
    <n v="8535575"/>
    <s v="Drama"/>
    <s v="Morgan Freeman"/>
    <x v="1174"/>
    <n v="24033"/>
    <s v="abusive boyfriend|bear|car accident|ranch|wyoming"/>
    <n v="152"/>
    <x v="0"/>
    <x v="0"/>
    <n v="30000000"/>
    <x v="25"/>
    <x v="16"/>
    <n v="30000000"/>
    <n v="8535575"/>
    <x v="1174"/>
    <x v="1174"/>
    <x v="5"/>
  </r>
  <r>
    <x v="818"/>
    <n v="65"/>
    <n v="4734235"/>
    <s v="Comedy|Drama|Music"/>
    <s v="Lochlyn Munro"/>
    <x v="1175"/>
    <n v="8217"/>
    <s v="convict|karaoke|middle america|salesman|singer"/>
    <n v="123"/>
    <x v="0"/>
    <x v="0"/>
    <n v="15000000"/>
    <x v="4"/>
    <x v="11"/>
    <n v="15000000"/>
    <n v="4734235"/>
    <x v="1175"/>
    <x v="1175"/>
    <x v="4"/>
  </r>
  <r>
    <x v="819"/>
    <n v="119"/>
    <n v="6601079"/>
    <s v="Comedy|Drama|Musical|Romance"/>
    <s v="Indira Varma"/>
    <x v="1176"/>
    <n v="17436"/>
    <s v="bollywood|india|jane austen|london england|travel"/>
    <n v="276"/>
    <x v="0"/>
    <x v="2"/>
    <n v="7000000"/>
    <x v="2"/>
    <x v="5"/>
    <n v="8997800"/>
    <n v="8485026.9465999994"/>
    <x v="1176"/>
    <x v="1176"/>
    <x v="4"/>
  </r>
  <r>
    <x v="820"/>
    <n v="67"/>
    <n v="23091"/>
    <s v="Drama|Romance|War"/>
    <s v="Viggo Mortensen"/>
    <x v="1177"/>
    <n v="5664"/>
    <s v="censorship|children|corpse|heil hitler|suffering"/>
    <n v="42"/>
    <x v="0"/>
    <x v="2"/>
    <n v="15000000"/>
    <x v="20"/>
    <x v="5"/>
    <n v="19281000"/>
    <n v="29681.171399999901"/>
    <x v="1177"/>
    <x v="1177"/>
    <x v="5"/>
  </r>
  <r>
    <x v="366"/>
    <n v="278"/>
    <n v="23089926"/>
    <s v="Drama|Romance|Thriller"/>
    <s v="Scarlett Johansson"/>
    <x v="1178"/>
    <n v="166269"/>
    <s v="extramarital affair|infidelity|irony of fate|surprise ending|tennis"/>
    <n v="735"/>
    <x v="0"/>
    <x v="2"/>
    <n v="15000000"/>
    <x v="25"/>
    <x v="9"/>
    <n v="19281000"/>
    <n v="29679790.880399998"/>
    <x v="1178"/>
    <x v="1178"/>
    <x v="5"/>
  </r>
  <r>
    <x v="821"/>
    <n v="129"/>
    <n v="60507228"/>
    <s v="Animation|Family|Fantasy|Music"/>
    <s v="Quincy Jones"/>
    <x v="1179"/>
    <n v="27543"/>
    <s v="abstract|ark|disney|fairy tale|piano"/>
    <n v="186"/>
    <x v="0"/>
    <x v="0"/>
    <n v="80000000"/>
    <x v="12"/>
    <x v="4"/>
    <n v="80000000"/>
    <n v="60507228"/>
    <x v="1179"/>
    <x v="1179"/>
    <x v="8"/>
  </r>
  <r>
    <x v="104"/>
    <n v="486"/>
    <n v="318298180"/>
    <s v="Action|Adventure|Sci-Fi"/>
    <s v="Robert Downey Jr."/>
    <x v="1180"/>
    <n v="696338"/>
    <s v="afghanistan|billionaire|inventor|playboy|u.s. air force"/>
    <n v="1055"/>
    <x v="0"/>
    <x v="0"/>
    <n v="140000000"/>
    <x v="20"/>
    <x v="19"/>
    <n v="140000000"/>
    <n v="318298180"/>
    <x v="1180"/>
    <x v="1180"/>
    <x v="1"/>
  </r>
  <r>
    <x v="60"/>
    <n v="280"/>
    <n v="131564731"/>
    <s v="Action|Adventure|Family|Fantasy"/>
    <s v="Seychelle Gabriel"/>
    <x v="1181"/>
    <n v="118951"/>
    <s v="avatar|fire|kingdom|tribe|water"/>
    <n v="1382"/>
    <x v="0"/>
    <x v="0"/>
    <n v="150000000"/>
    <x v="11"/>
    <x v="32"/>
    <n v="150000000"/>
    <n v="131564731"/>
    <x v="1181"/>
    <x v="1181"/>
    <x v="1"/>
  </r>
  <r>
    <x v="822"/>
    <n v="389"/>
    <n v="1738692"/>
    <s v="Drama|Thriller"/>
    <s v="Ezra Miller"/>
    <x v="1182"/>
    <n v="95529"/>
    <s v="archery|defiance|mental illness|psychopath|toilet training"/>
    <n v="301"/>
    <x v="0"/>
    <x v="2"/>
    <n v="7000000"/>
    <x v="22"/>
    <x v="2"/>
    <n v="8997800"/>
    <n v="2234914.6967999898"/>
    <x v="1182"/>
    <x v="1182"/>
    <x v="5"/>
  </r>
  <r>
    <x v="823"/>
    <n v="98"/>
    <n v="1647780"/>
    <s v="Drama"/>
    <s v="Ulrich Thomsen"/>
    <x v="1183"/>
    <n v="65951"/>
    <s v="dogme 95|family secret|haunted by the past|secret|speech"/>
    <n v="258"/>
    <x v="19"/>
    <x v="23"/>
    <n v="1300000"/>
    <x v="6"/>
    <x v="40"/>
    <n v="188945.24999999901"/>
    <n v="239492.46464999899"/>
    <x v="1183"/>
    <x v="1183"/>
    <x v="5"/>
  </r>
  <r>
    <x v="824"/>
    <n v="234"/>
    <n v="47456450"/>
    <s v="Action|Drama|Thriller"/>
    <s v="Jennifer Garner"/>
    <x v="1184"/>
    <n v="101386"/>
    <s v="al qaeda|bomb making|fbi|saudi arabia|stabbed in the crotch"/>
    <n v="289"/>
    <x v="0"/>
    <x v="0"/>
    <n v="70000000"/>
    <x v="15"/>
    <x v="17"/>
    <n v="70000000"/>
    <n v="47456450"/>
    <x v="1184"/>
    <x v="1184"/>
    <x v="1"/>
  </r>
  <r>
    <x v="825"/>
    <n v="116"/>
    <n v="6002756"/>
    <s v="Biography|Drama|Sport"/>
    <s v="Gerard Butler"/>
    <x v="1185"/>
    <n v="24997"/>
    <s v="box office flop|no opening credits|surfing|two word title|year 1987"/>
    <n v="75"/>
    <x v="0"/>
    <x v="0"/>
    <n v="20000000"/>
    <x v="28"/>
    <x v="33"/>
    <n v="20000000"/>
    <n v="6002756"/>
    <x v="1185"/>
    <x v="1185"/>
    <x v="2"/>
  </r>
  <r>
    <x v="182"/>
    <n v="292"/>
    <n v="2222647"/>
    <s v="Drama|Mystery"/>
    <s v="Ulrich Tukur"/>
    <x v="1186"/>
    <n v="52958"/>
    <s v="children|doctor|mysterious event|pastor|small village"/>
    <n v="193"/>
    <x v="7"/>
    <x v="5"/>
    <n v="12000000"/>
    <x v="16"/>
    <x v="38"/>
    <n v="13016880"/>
    <n v="2410994.10678"/>
    <x v="1186"/>
    <x v="1186"/>
    <x v="5"/>
  </r>
  <r>
    <x v="826"/>
    <n v="272"/>
    <n v="703002"/>
    <s v="Action|Comedy|Thriller"/>
    <s v="Gregory Smith"/>
    <x v="1187"/>
    <n v="37495"/>
    <s v="hobo|pedophile|rampage|shotgun|vigilante"/>
    <n v="230"/>
    <x v="0"/>
    <x v="9"/>
    <n v="3000000"/>
    <x v="22"/>
    <x v="7"/>
    <n v="2170215"/>
    <n v="508555.16180999897"/>
    <x v="1187"/>
    <x v="1187"/>
    <x v="1"/>
  </r>
  <r>
    <x v="292"/>
    <n v="122"/>
    <n v="36874745"/>
    <s v="Action|Adventure|Drama|Mystery"/>
    <s v="Peter Firth"/>
    <x v="1188"/>
    <n v="12276"/>
    <s v="biblical|crucifixion|judea|resurrection|roman soldier"/>
    <n v="117"/>
    <x v="0"/>
    <x v="0"/>
    <n v="20000000"/>
    <x v="24"/>
    <x v="23"/>
    <n v="20000000"/>
    <n v="36874745"/>
    <x v="1188"/>
    <x v="1188"/>
    <x v="1"/>
  </r>
  <r>
    <x v="493"/>
    <n v="280"/>
    <n v="56437947"/>
    <s v="Biography|Drama"/>
    <s v="Roger Allam"/>
    <x v="1189"/>
    <n v="85333"/>
    <s v="monarchy|prime minister|princess diana|queen|speech"/>
    <n v="421"/>
    <x v="0"/>
    <x v="2"/>
    <n v="9800000"/>
    <x v="7"/>
    <x v="4"/>
    <n v="12596919.999999899"/>
    <n v="72545337.073799998"/>
    <x v="1189"/>
    <x v="1189"/>
    <x v="2"/>
  </r>
  <r>
    <x v="827"/>
    <n v="517"/>
    <n v="180191634"/>
    <s v="Action|Adventure|Comedy|Sci-Fi"/>
    <s v="Judy Greer"/>
    <x v="1190"/>
    <n v="313866"/>
    <s v="ant|chinatown san francisco|heist|sabotage|vault"/>
    <n v="549"/>
    <x v="0"/>
    <x v="0"/>
    <n v="130000000"/>
    <x v="1"/>
    <x v="39"/>
    <n v="130000000"/>
    <n v="180191634"/>
    <x v="1190"/>
    <x v="1190"/>
    <x v="1"/>
  </r>
  <r>
    <x v="693"/>
    <n v="69"/>
    <n v="51431160"/>
    <s v="Comedy|Family|Romance"/>
    <s v="Dan Byrd"/>
    <x v="1191"/>
    <n v="62861"/>
    <s v="cinderella story|correspondence|evil step mother|female protagonist|teenage girl"/>
    <n v="232"/>
    <x v="0"/>
    <x v="0"/>
    <n v="20000000"/>
    <x v="2"/>
    <x v="0"/>
    <n v="20000000"/>
    <n v="51431160"/>
    <x v="1191"/>
    <x v="1191"/>
    <x v="4"/>
  </r>
  <r>
    <x v="62"/>
    <n v="394"/>
    <n v="18934858"/>
    <s v="Action|Thriller"/>
    <s v="Channing Tatum"/>
    <x v="1192"/>
    <n v="72646"/>
    <s v="die hard scenario|one woman army|rescue|soldier|super soldier"/>
    <n v="397"/>
    <x v="0"/>
    <x v="7"/>
    <n v="23000000"/>
    <x v="22"/>
    <x v="30"/>
    <n v="24949020"/>
    <n v="20539397.866920002"/>
    <x v="1192"/>
    <x v="1192"/>
    <x v="1"/>
  </r>
  <r>
    <x v="607"/>
    <n v="93"/>
    <n v="58220776"/>
    <s v="Comedy|Drama|Sci-Fi"/>
    <s v="Robin Williams"/>
    <x v="1193"/>
    <n v="87785"/>
    <s v="23rd century|android|artificial intelligence|dual role|robot"/>
    <n v="362"/>
    <x v="0"/>
    <x v="0"/>
    <n v="100000000"/>
    <x v="12"/>
    <x v="22"/>
    <n v="100000000"/>
    <n v="58220776"/>
    <x v="1193"/>
    <x v="1193"/>
    <x v="4"/>
  </r>
  <r>
    <x v="574"/>
    <n v="65"/>
    <n v="4554569"/>
    <s v="Comedy|Drama"/>
    <s v="Zooey Deschanel"/>
    <x v="1194"/>
    <n v="8134"/>
    <s v="college|drugs|patient|psychologist|secret"/>
    <n v="123"/>
    <x v="0"/>
    <x v="0"/>
    <n v="28000000"/>
    <x v="12"/>
    <x v="31"/>
    <n v="28000000"/>
    <n v="4554569"/>
    <x v="1194"/>
    <x v="1194"/>
    <x v="4"/>
  </r>
  <r>
    <x v="828"/>
    <n v="223"/>
    <n v="7455447"/>
    <s v="Comedy|Drama|Romance"/>
    <s v="Matt Walsh"/>
    <x v="1195"/>
    <n v="29967"/>
    <s v="21 year old|forename as title|musician|party|rearview mirror"/>
    <n v="126"/>
    <x v="0"/>
    <x v="0"/>
    <n v="7000000"/>
    <x v="11"/>
    <x v="23"/>
    <n v="7000000"/>
    <n v="7455447"/>
    <x v="1195"/>
    <x v="1195"/>
    <x v="4"/>
  </r>
  <r>
    <x v="346"/>
    <n v="91"/>
    <n v="45856732"/>
    <s v="Crime|Drama|Thriller"/>
    <s v="Matt Damon"/>
    <x v="1196"/>
    <n v="46221"/>
    <s v="courtroom|domestic violence|insurance company|lawyer|underdog"/>
    <n v="141"/>
    <x v="0"/>
    <x v="0"/>
    <n v="40000000"/>
    <x v="31"/>
    <x v="17"/>
    <n v="40000000"/>
    <n v="45856732"/>
    <x v="1196"/>
    <x v="1196"/>
    <x v="3"/>
  </r>
  <r>
    <x v="829"/>
    <n v="79"/>
    <n v="3287435"/>
    <s v="Drama"/>
    <s v="Matthew McConaughey"/>
    <x v="1197"/>
    <n v="8603"/>
    <s v="attorney|happiness|house cleaner|physics|professor"/>
    <n v="115"/>
    <x v="0"/>
    <x v="0"/>
    <n v="4500000"/>
    <x v="9"/>
    <x v="17"/>
    <n v="4500000"/>
    <n v="3287435"/>
    <x v="1197"/>
    <x v="1197"/>
    <x v="5"/>
  </r>
  <r>
    <x v="830"/>
    <n v="95"/>
    <n v="17951431"/>
    <s v="Crime|Drama|Mystery|Thriller"/>
    <s v="Chris Noth"/>
    <x v="1198"/>
    <n v="25462"/>
    <s v="car|car accident|death|friend|glass"/>
    <n v="200"/>
    <x v="0"/>
    <x v="0"/>
    <n v="30000000"/>
    <x v="9"/>
    <x v="30"/>
    <n v="30000000"/>
    <n v="17951431"/>
    <x v="1198"/>
    <x v="1198"/>
    <x v="3"/>
  </r>
  <r>
    <x v="160"/>
    <n v="91"/>
    <n v="21569041"/>
    <s v="Drama"/>
    <s v="Jennifer Ehle"/>
    <x v="1199"/>
    <n v="8058"/>
    <s v="color in title"/>
    <n v="57"/>
    <x v="0"/>
    <x v="0"/>
    <n v="9000000"/>
    <x v="27"/>
    <x v="14"/>
    <n v="9000000"/>
    <n v="21569041"/>
    <x v="1199"/>
    <x v="1199"/>
    <x v="5"/>
  </r>
  <r>
    <x v="831"/>
    <n v="96"/>
    <n v="63319509"/>
    <s v="Comedy|Romance"/>
    <s v="Paul Walker"/>
    <x v="1200"/>
    <n v="67115"/>
    <s v="bet|friend|high school|prom|prom queen"/>
    <n v="389"/>
    <x v="0"/>
    <x v="0"/>
    <n v="10000000"/>
    <x v="12"/>
    <x v="30"/>
    <n v="10000000"/>
    <n v="63319509"/>
    <x v="1200"/>
    <x v="1200"/>
    <x v="4"/>
  </r>
  <r>
    <x v="832"/>
    <n v="11"/>
    <n v="34746109"/>
    <s v="Comedy|Crime|Drama|Romance|Thriller"/>
    <s v="Faizon Love"/>
    <x v="1201"/>
    <n v="3122"/>
    <s v="african american|dating|independent film|irreverence|revenge"/>
    <n v="14"/>
    <x v="0"/>
    <x v="0"/>
    <n v="8000000"/>
    <x v="10"/>
    <x v="15"/>
    <n v="8000000"/>
    <n v="34746109"/>
    <x v="1201"/>
    <x v="1201"/>
    <x v="4"/>
  </r>
  <r>
    <x v="833"/>
    <n v="273"/>
    <n v="39462438"/>
    <s v="Drama|Music|Romance"/>
    <s v="Jeff Bridges"/>
    <x v="1202"/>
    <n v="67760"/>
    <s v="country music|country western singer|journalist|musician|singer"/>
    <n v="226"/>
    <x v="0"/>
    <x v="0"/>
    <n v="7000000"/>
    <x v="16"/>
    <x v="4"/>
    <n v="7000000"/>
    <n v="39462438"/>
    <x v="1202"/>
    <x v="1202"/>
    <x v="5"/>
  </r>
  <r>
    <x v="783"/>
    <n v="291"/>
    <n v="37652565"/>
    <s v="Fantasy|Horror|Mystery|Thriller"/>
    <s v="Gary Oldman"/>
    <x v="1203"/>
    <n v="91151"/>
    <s v="death|forest|love|werewolf|werewolf bite"/>
    <n v="283"/>
    <x v="0"/>
    <x v="0"/>
    <n v="42000000"/>
    <x v="22"/>
    <x v="26"/>
    <n v="42000000"/>
    <n v="37652565"/>
    <x v="1203"/>
    <x v="1203"/>
    <x v="9"/>
  </r>
  <r>
    <x v="834"/>
    <n v="4"/>
    <n v="425899"/>
    <s v="Documentary"/>
    <s v="Bill Farmer"/>
    <x v="1204"/>
    <n v="1123"/>
    <s v=""/>
    <n v="31"/>
    <x v="0"/>
    <x v="0"/>
    <n v="400000"/>
    <x v="11"/>
    <x v="37"/>
    <n v="400000"/>
    <n v="425899"/>
    <x v="1204"/>
    <x v="1204"/>
    <x v="7"/>
  </r>
  <r>
    <x v="89"/>
    <n v="194"/>
    <n v="213079163"/>
    <s v="Action|Comedy|Crime"/>
    <s v="Verne Troyer"/>
    <x v="1205"/>
    <n v="162909"/>
    <s v="fem bot|prison|seductive fembot|spy|time travel"/>
    <n v="795"/>
    <x v="0"/>
    <x v="0"/>
    <n v="63000000"/>
    <x v="13"/>
    <x v="5"/>
    <n v="63000000"/>
    <n v="213079163"/>
    <x v="1205"/>
    <x v="1205"/>
    <x v="1"/>
  </r>
  <r>
    <x v="835"/>
    <n v="30"/>
    <n v="4958"/>
    <s v="Action|Crime|Drama"/>
    <s v="Rapulana Seiphemo"/>
    <x v="1206"/>
    <n v="9689"/>
    <s v="carjacking|drug lord|johannesburg south africa|police|post apartheid"/>
    <n v="23"/>
    <x v="0"/>
    <x v="25"/>
    <n v="2000000"/>
    <x v="20"/>
    <x v="38"/>
    <n v="108869"/>
    <n v="269.88625100000002"/>
    <x v="1206"/>
    <x v="1206"/>
    <x v="1"/>
  </r>
  <r>
    <x v="836"/>
    <n v="224"/>
    <n v="1818681"/>
    <s v="Action|Crime|Drama|Thriller"/>
    <s v="Joseph Gilgun"/>
    <x v="1207"/>
    <n v="74435"/>
    <s v="bayonet|death|police|self defense|widower"/>
    <n v="224"/>
    <x v="0"/>
    <x v="2"/>
    <n v="7300000"/>
    <x v="16"/>
    <x v="33"/>
    <n v="9383420"/>
    <n v="2337732.5573999998"/>
    <x v="1207"/>
    <x v="1207"/>
    <x v="1"/>
  </r>
  <r>
    <x v="111"/>
    <n v="140"/>
    <n v="105807520"/>
    <s v="Comedy|Romance"/>
    <s v="Matthew McConaughey"/>
    <x v="1208"/>
    <n v="156717"/>
    <s v="advertising executive|diamond|magazine|party|wager"/>
    <n v="357"/>
    <x v="0"/>
    <x v="0"/>
    <n v="50000000"/>
    <x v="19"/>
    <x v="24"/>
    <n v="50000000"/>
    <n v="105807520"/>
    <x v="1208"/>
    <x v="1208"/>
    <x v="4"/>
  </r>
  <r>
    <x v="837"/>
    <n v="405"/>
    <n v="83299761"/>
    <s v="Biography|Comedy|Drama|History|Music"/>
    <s v="Tom Hanks"/>
    <x v="1209"/>
    <n v="117719"/>
    <s v="author|disney|loss of father|reference to walt disney|suppression of emotion"/>
    <n v="306"/>
    <x v="0"/>
    <x v="0"/>
    <n v="35000000"/>
    <x v="0"/>
    <x v="2"/>
    <n v="35000000"/>
    <n v="83299761"/>
    <x v="1209"/>
    <x v="1209"/>
    <x v="2"/>
  </r>
  <r>
    <x v="838"/>
    <n v="112"/>
    <n v="39737645"/>
    <s v="Adventure|Comedy"/>
    <s v="David Carradine"/>
    <x v="1210"/>
    <n v="89687"/>
    <s v="chocolate|chocolate factory|factory|orphan|student"/>
    <n v="666"/>
    <x v="0"/>
    <x v="0"/>
    <n v="20000000"/>
    <x v="15"/>
    <x v="49"/>
    <n v="20000000"/>
    <n v="39737645"/>
    <x v="1210"/>
    <x v="1210"/>
    <x v="0"/>
  </r>
  <r>
    <x v="579"/>
    <n v="163"/>
    <n v="43095600"/>
    <s v="Action|Crime|Thriller"/>
    <s v="Jason Statham"/>
    <x v="1211"/>
    <n v="156267"/>
    <s v="driver|french|kidnapping|police|sequel"/>
    <n v="340"/>
    <x v="0"/>
    <x v="8"/>
    <n v="32000000"/>
    <x v="25"/>
    <x v="23"/>
    <n v="34711680"/>
    <n v="46747521.144000001"/>
    <x v="1211"/>
    <x v="1211"/>
    <x v="1"/>
  </r>
  <r>
    <x v="839"/>
    <n v="66"/>
    <n v="652526"/>
    <s v="Action|Adventure|Family|Thriller"/>
    <s v="Alex Pettyfer"/>
    <x v="1212"/>
    <n v="20201"/>
    <s v="14 year old|british|gadget|spy|training"/>
    <n v="187"/>
    <x v="0"/>
    <x v="5"/>
    <n v="40000000"/>
    <x v="7"/>
    <x v="37"/>
    <n v="43389600"/>
    <n v="707821.05324000004"/>
    <x v="1212"/>
    <x v="1212"/>
    <x v="1"/>
  </r>
  <r>
    <x v="759"/>
    <n v="203"/>
    <n v="107515297"/>
    <s v="Adventure|Animation|Family|Fantasy"/>
    <s v="Josh Hutcherson"/>
    <x v="1213"/>
    <n v="85833"/>
    <s v="father daughter relationship|forest|miniature person|shrinking|sword and fantasy"/>
    <n v="113"/>
    <x v="0"/>
    <x v="0"/>
    <n v="100000000"/>
    <x v="0"/>
    <x v="21"/>
    <n v="100000000"/>
    <n v="107515297"/>
    <x v="1213"/>
    <x v="1213"/>
    <x v="0"/>
  </r>
  <r>
    <x v="669"/>
    <n v="123"/>
    <n v="548934"/>
    <s v="Drama|Mystery|Romance"/>
    <s v="Tony Curran"/>
    <x v="1214"/>
    <n v="16863"/>
    <s v="celtic mythology|cottage|fisherman|irish|selkie"/>
    <n v="57"/>
    <x v="0"/>
    <x v="7"/>
    <n v="12000000"/>
    <x v="16"/>
    <x v="22"/>
    <n v="13016880"/>
    <n v="595450.66715999995"/>
    <x v="1214"/>
    <x v="1214"/>
    <x v="5"/>
  </r>
  <r>
    <x v="744"/>
    <n v="245"/>
    <n v="49551662"/>
    <s v="Adventure|Drama|Romance|War"/>
    <s v="Essie Davis"/>
    <x v="1215"/>
    <n v="102338"/>
    <s v="australia|cattle|darwin|drover|japanese"/>
    <n v="450"/>
    <x v="0"/>
    <x v="3"/>
    <n v="130000000"/>
    <x v="20"/>
    <x v="14"/>
    <n v="85004400"/>
    <n v="32400840.74856"/>
    <x v="1215"/>
    <x v="1215"/>
    <x v="0"/>
  </r>
  <r>
    <x v="509"/>
    <n v="81"/>
    <n v="111544445"/>
    <s v="Action|Crime|Drama|Mystery|Thriller"/>
    <s v="Will Smith"/>
    <x v="1216"/>
    <n v="188116"/>
    <s v="congressman|lawyer|nsa|on the run|surveillance"/>
    <n v="415"/>
    <x v="0"/>
    <x v="0"/>
    <n v="90000000"/>
    <x v="6"/>
    <x v="4"/>
    <n v="90000000"/>
    <n v="111544445"/>
    <x v="1216"/>
    <x v="1216"/>
    <x v="1"/>
  </r>
  <r>
    <x v="840"/>
    <n v="165"/>
    <n v="4857376"/>
    <s v="Comedy|Drama|Romance"/>
    <s v="Steve Buscemi"/>
    <x v="1217"/>
    <n v="63084"/>
    <s v="baby|divorce|oscar wilde|pigalle|tourist"/>
    <n v="123"/>
    <x v="4"/>
    <x v="8"/>
    <n v="13000000"/>
    <x v="7"/>
    <x v="4"/>
    <n v="14101620"/>
    <n v="5268990.0422400003"/>
    <x v="1217"/>
    <x v="1217"/>
    <x v="4"/>
  </r>
  <r>
    <x v="490"/>
    <n v="92"/>
    <n v="768045"/>
    <s v="Drama|History|War"/>
    <s v="James Nesbitt"/>
    <x v="1218"/>
    <n v="19732"/>
    <s v="civil rights|irish|march|northern ireland|protest march"/>
    <n v="120"/>
    <x v="0"/>
    <x v="2"/>
    <n v="2000000"/>
    <x v="13"/>
    <x v="9"/>
    <n v="2570799.9999999902"/>
    <n v="987245.04299999995"/>
    <x v="1218"/>
    <x v="1218"/>
    <x v="5"/>
  </r>
  <r>
    <x v="841"/>
    <n v="148"/>
    <n v="31655091"/>
    <s v="Drama|Music"/>
    <s v="Robin Williams"/>
    <x v="1219"/>
    <n v="87331"/>
    <s v="baby|cellist|genius|prodigy|rhapsody"/>
    <n v="364"/>
    <x v="0"/>
    <x v="0"/>
    <n v="30000000"/>
    <x v="15"/>
    <x v="2"/>
    <n v="30000000"/>
    <n v="31655091"/>
    <x v="1219"/>
    <x v="1219"/>
    <x v="5"/>
  </r>
  <r>
    <x v="247"/>
    <n v="165"/>
    <n v="177343675"/>
    <s v="Adventure|Animation|Comedy|Family|Fantasy|Sci-Fi"/>
    <s v="Jim Parsons"/>
    <x v="274"/>
    <n v="70133"/>
    <s v="alien friendship|alien invasion|australia|flying car|mother daughter relationship"/>
    <n v="214"/>
    <x v="0"/>
    <x v="0"/>
    <n v="135000000"/>
    <x v="1"/>
    <x v="21"/>
    <n v="135000000"/>
    <n v="177343675"/>
    <x v="274"/>
    <x v="274"/>
    <x v="0"/>
  </r>
  <r>
    <x v="469"/>
    <n v="197"/>
    <n v="12995673"/>
    <s v="Comedy|Documentary|War"/>
    <s v="Bill Maher"/>
    <x v="1220"/>
    <n v="52286"/>
    <s v="catholic|christian|jew|muslim|religion"/>
    <n v="345"/>
    <x v="0"/>
    <x v="0"/>
    <n v="2500000"/>
    <x v="20"/>
    <x v="9"/>
    <n v="2500000"/>
    <n v="12995673"/>
    <x v="1220"/>
    <x v="1220"/>
    <x v="4"/>
  </r>
  <r>
    <x v="332"/>
    <n v="141"/>
    <n v="71069884"/>
    <s v="Crime|Drama|Thriller"/>
    <s v="Robert De Niro"/>
    <x v="1221"/>
    <n v="101899"/>
    <s v="partner|running|scepter|surveillance|thief"/>
    <n v="445"/>
    <x v="0"/>
    <x v="0"/>
    <n v="68000000"/>
    <x v="9"/>
    <x v="22"/>
    <n v="68000000"/>
    <n v="71069884"/>
    <x v="1221"/>
    <x v="1221"/>
    <x v="3"/>
  </r>
  <r>
    <x v="842"/>
    <n v="73"/>
    <n v="100675"/>
    <s v="Documentary"/>
    <s v="Greg Crowe"/>
    <x v="1222"/>
    <n v="5695"/>
    <s v="cheating|economics|experiment|human nature|sumo wrestling"/>
    <n v="23"/>
    <x v="0"/>
    <x v="0"/>
    <n v="3000000"/>
    <x v="11"/>
    <x v="24"/>
    <n v="3000000"/>
    <n v="100675"/>
    <x v="1222"/>
    <x v="1222"/>
    <x v="7"/>
  </r>
  <r>
    <x v="385"/>
    <n v="81"/>
    <n v="112935"/>
    <s v="Drama"/>
    <s v="Lesley Manville"/>
    <x v="1223"/>
    <n v="8161"/>
    <s v="love|neighbor|single parent|supermarket|working class"/>
    <n v="94"/>
    <x v="0"/>
    <x v="2"/>
    <n v="9000000"/>
    <x v="13"/>
    <x v="10"/>
    <n v="11568599.999999899"/>
    <n v="145166.64899999899"/>
    <x v="1223"/>
    <x v="1223"/>
    <x v="5"/>
  </r>
  <r>
    <x v="843"/>
    <n v="68"/>
    <n v="117190"/>
    <s v="Action|Comedy|Crime"/>
    <s v="Rupert Grint"/>
    <x v="1224"/>
    <n v="29994"/>
    <s v="apprentice|assassin|hitman|kleptomaniac|thief"/>
    <n v="86"/>
    <x v="0"/>
    <x v="2"/>
    <n v="8000000"/>
    <x v="11"/>
    <x v="31"/>
    <n v="10283199.999999899"/>
    <n v="150636.02599999899"/>
    <x v="1224"/>
    <x v="1224"/>
    <x v="1"/>
  </r>
  <r>
    <x v="469"/>
    <n v="288"/>
    <n v="59992760"/>
    <s v="Comedy"/>
    <s v="Bono"/>
    <x v="1225"/>
    <n v="119622"/>
    <s v="austrian|fame|fashion|gay lead character|mockumentary"/>
    <n v="396"/>
    <x v="0"/>
    <x v="0"/>
    <n v="42000000"/>
    <x v="16"/>
    <x v="30"/>
    <n v="42000000"/>
    <n v="59992760"/>
    <x v="1225"/>
    <x v="1225"/>
    <x v="4"/>
  </r>
  <r>
    <x v="844"/>
    <n v="195"/>
    <n v="12055108"/>
    <s v="Comedy|Drama"/>
    <s v="Clifton Collins Jr."/>
    <x v="1226"/>
    <n v="61151"/>
    <s v="business|crime scene cleanup|private school|school|sister sister relationship"/>
    <n v="134"/>
    <x v="0"/>
    <x v="0"/>
    <n v="8000000"/>
    <x v="20"/>
    <x v="31"/>
    <n v="8000000"/>
    <n v="12055108"/>
    <x v="1226"/>
    <x v="1226"/>
    <x v="4"/>
  </r>
  <r>
    <x v="845"/>
    <n v="264"/>
    <n v="49122319"/>
    <s v="Horror|Thriller"/>
    <s v="Kyra Sedgwick"/>
    <x v="1227"/>
    <n v="47169"/>
    <s v="basketball coach|box|jewish|rabbi|yard sale"/>
    <n v="162"/>
    <x v="0"/>
    <x v="0"/>
    <n v="14000000"/>
    <x v="28"/>
    <x v="0"/>
    <n v="14000000"/>
    <n v="49122319"/>
    <x v="1227"/>
    <x v="1227"/>
    <x v="6"/>
  </r>
  <r>
    <x v="846"/>
    <n v="39"/>
    <n v="2557668"/>
    <s v="Crime|Drama|Thriller"/>
    <s v="David Oyelowo"/>
    <x v="1228"/>
    <n v="3911"/>
    <s v="auto theft|based on true story|drug addict|kidnapping|violence"/>
    <n v="22"/>
    <x v="0"/>
    <x v="0"/>
    <n v="2000000"/>
    <x v="1"/>
    <x v="1"/>
    <n v="2000000"/>
    <n v="2557668"/>
    <x v="1228"/>
    <x v="1228"/>
    <x v="3"/>
  </r>
  <r>
    <x v="48"/>
    <n v="211"/>
    <n v="216366733"/>
    <s v="Adventure|Animation|Comedy|Family"/>
    <s v="Jada Pinkett Smith"/>
    <x v="1229"/>
    <n v="119213"/>
    <s v="animal|circus|island name in title|lemur|penguin"/>
    <n v="154"/>
    <x v="0"/>
    <x v="0"/>
    <n v="145000000"/>
    <x v="28"/>
    <x v="31"/>
    <n v="145000000"/>
    <n v="216366733"/>
    <x v="1229"/>
    <x v="1229"/>
    <x v="0"/>
  </r>
  <r>
    <x v="847"/>
    <n v="26"/>
    <n v="32230907"/>
    <s v="Comedy|Documentary"/>
    <s v="David Jason Perez"/>
    <x v="1230"/>
    <n v="6062"/>
    <s v="lying|montreal|reference to twitter|reference to youtube|toronto"/>
    <n v="30"/>
    <x v="0"/>
    <x v="0"/>
    <n v="2500000"/>
    <x v="0"/>
    <x v="21"/>
    <n v="2500000"/>
    <n v="32230907"/>
    <x v="1230"/>
    <x v="1230"/>
    <x v="4"/>
  </r>
  <r>
    <x v="848"/>
    <n v="224"/>
    <n v="10640645"/>
    <s v="Action|Crime|Drama|Mystery|Thriller"/>
    <s v="Ray Winstone"/>
    <x v="1231"/>
    <n v="28429"/>
    <s v="assassination|blood vomiting|death|hit squad|mercenary"/>
    <n v="110"/>
    <x v="0"/>
    <x v="0"/>
    <n v="40000000"/>
    <x v="1"/>
    <x v="30"/>
    <n v="40000000"/>
    <n v="10640645"/>
    <x v="1231"/>
    <x v="1231"/>
    <x v="1"/>
  </r>
  <r>
    <x v="391"/>
    <n v="29"/>
    <n v="41067398"/>
    <s v="Action|Comedy|Crime|Thriller"/>
    <s v="Heather Locklear"/>
    <x v="1232"/>
    <n v="22748"/>
    <s v="blood splatter|fistfight|murder|police|prison bus"/>
    <n v="41"/>
    <x v="0"/>
    <x v="0"/>
    <n v="25000000"/>
    <x v="31"/>
    <x v="7"/>
    <n v="25000000"/>
    <n v="41067398"/>
    <x v="1232"/>
    <x v="1232"/>
    <x v="1"/>
  </r>
  <r>
    <x v="61"/>
    <n v="215"/>
    <n v="101111837"/>
    <s v="Action|Mystery|Thriller"/>
    <s v="Rosario Dawson"/>
    <x v="1233"/>
    <n v="150764"/>
    <s v="audio surveillance|death|pentagon|technology|twin brother"/>
    <n v="318"/>
    <x v="0"/>
    <x v="0"/>
    <n v="80000000"/>
    <x v="20"/>
    <x v="14"/>
    <n v="80000000"/>
    <n v="101111837"/>
    <x v="1233"/>
    <x v="1233"/>
    <x v="1"/>
  </r>
  <r>
    <x v="849"/>
    <n v="68"/>
    <n v="72413"/>
    <s v="Action|Adventure|Drama|History"/>
    <s v="Si Won Choi"/>
    <x v="1234"/>
    <n v="11584"/>
    <s v="child fugitive|final battle|martial art|silk road|sword"/>
    <n v="86"/>
    <x v="15"/>
    <x v="6"/>
    <n v="65000000"/>
    <x v="1"/>
    <x v="7"/>
    <n v="8988453.5"/>
    <n v="10013.5520506999"/>
    <x v="1234"/>
    <x v="1234"/>
    <x v="1"/>
  </r>
  <r>
    <x v="189"/>
    <n v="525"/>
    <n v="70496802"/>
    <s v="Action|Drama|Thriller"/>
    <s v="Natalie Portman"/>
    <x v="1235"/>
    <n v="791783"/>
    <s v="dystopia|freedom|government|revolution|terrorist"/>
    <n v="2042"/>
    <x v="0"/>
    <x v="0"/>
    <n v="54000000"/>
    <x v="25"/>
    <x v="60"/>
    <n v="54000000"/>
    <n v="70496802"/>
    <x v="1235"/>
    <x v="1235"/>
    <x v="1"/>
  </r>
  <r>
    <x v="850"/>
    <n v="299"/>
    <n v="183132370"/>
    <s v="Adventure|Animation|Comedy"/>
    <s v="Albert Brooks"/>
    <x v="1236"/>
    <n v="259083"/>
    <s v="alaska|dome|lake|pig|the simpsons"/>
    <n v="763"/>
    <x v="0"/>
    <x v="0"/>
    <n v="75000000"/>
    <x v="15"/>
    <x v="39"/>
    <n v="75000000"/>
    <n v="183132370"/>
    <x v="1236"/>
    <x v="1236"/>
    <x v="0"/>
  </r>
  <r>
    <x v="851"/>
    <n v="153"/>
    <n v="269061"/>
    <s v="Action|Adventure|Drama"/>
    <s v="Takashi Shimura"/>
    <x v="1237"/>
    <n v="229012"/>
    <s v="16th century|battle|japan|practice|samurai"/>
    <n v="596"/>
    <x v="8"/>
    <x v="15"/>
    <n v="2000000"/>
    <x v="58"/>
    <x v="48"/>
    <n v="12993.2"/>
    <n v="1747.9816926000001"/>
    <x v="1237"/>
    <x v="1237"/>
    <x v="1"/>
  </r>
  <r>
    <x v="325"/>
    <n v="103"/>
    <n v="8742261"/>
    <s v="Action|Crime|Drama|Mystery|Thriller"/>
    <s v="Chris Klein"/>
    <x v="1238"/>
    <n v="19824"/>
    <s v="chun li|crime fighter|gangster|mobster|rescue"/>
    <n v="179"/>
    <x v="0"/>
    <x v="9"/>
    <n v="18000000"/>
    <x v="16"/>
    <x v="50"/>
    <n v="13021290"/>
    <n v="6324195.318705"/>
    <x v="1238"/>
    <x v="1238"/>
    <x v="1"/>
  </r>
  <r>
    <x v="177"/>
    <n v="245"/>
    <n v="139259759"/>
    <s v="Action|Sci-Fi"/>
    <s v="Essie Davis"/>
    <x v="1239"/>
    <n v="364948"/>
    <s v="battle|epic|fight|future|machine"/>
    <n v="2121"/>
    <x v="0"/>
    <x v="3"/>
    <n v="150000000"/>
    <x v="19"/>
    <x v="21"/>
    <n v="98082000"/>
    <n v="91059171.214919999"/>
    <x v="1239"/>
    <x v="1239"/>
    <x v="1"/>
  </r>
  <r>
    <x v="528"/>
    <n v="160"/>
    <n v="1186957"/>
    <s v="Drama"/>
    <s v="Zoe Kazan"/>
    <x v="1240"/>
    <n v="9264"/>
    <s v="high school|mercury theatre|opening night|school|theatre"/>
    <n v="69"/>
    <x v="0"/>
    <x v="2"/>
    <n v="25000000"/>
    <x v="20"/>
    <x v="22"/>
    <n v="32134999.999999899"/>
    <n v="1525714.52779999"/>
    <x v="1240"/>
    <x v="1240"/>
    <x v="5"/>
  </r>
  <r>
    <x v="267"/>
    <n v="359"/>
    <n v="380262555"/>
    <s v="Action|Adventure|Fantasy|Sci-Fi"/>
    <s v="Natalie Portman"/>
    <x v="1241"/>
    <n v="520104"/>
    <s v="elongated cry of no|friends become enemies|kicked in the butt|robotic midwife|vision"/>
    <n v="3286"/>
    <x v="0"/>
    <x v="0"/>
    <n v="113000000"/>
    <x v="25"/>
    <x v="10"/>
    <n v="113000000"/>
    <n v="380262555"/>
    <x v="1241"/>
    <x v="1241"/>
    <x v="1"/>
  </r>
  <r>
    <x v="509"/>
    <n v="142"/>
    <n v="26871"/>
    <s v="Action|Crime|Thriller"/>
    <s v="Brad Pitt"/>
    <x v="1242"/>
    <n v="121259"/>
    <s v="china|cia|cold war|friendship|retirement"/>
    <n v="361"/>
    <x v="0"/>
    <x v="5"/>
    <n v="92000000"/>
    <x v="9"/>
    <x v="16"/>
    <n v="99796080"/>
    <n v="29148.04854"/>
    <x v="1242"/>
    <x v="1242"/>
    <x v="1"/>
  </r>
  <r>
    <x v="852"/>
    <n v="54"/>
    <n v="42019483"/>
    <s v="Drama|Family"/>
    <s v="Morgan Freeman"/>
    <x v="1243"/>
    <n v="6069"/>
    <s v="dolphin|latex gloves|medical scrubs|purple gloves|turtle"/>
    <n v="33"/>
    <x v="0"/>
    <x v="0"/>
    <n v="36000000"/>
    <x v="27"/>
    <x v="24"/>
    <n v="36000000"/>
    <n v="42019483"/>
    <x v="1243"/>
    <x v="1243"/>
    <x v="5"/>
  </r>
  <r>
    <x v="853"/>
    <n v="41"/>
    <n v="398420"/>
    <s v="Crime|Drama"/>
    <s v="Jerry Ferrara"/>
    <x v="1244"/>
    <n v="5049"/>
    <s v="1980s|friend|friendship|loyalty|mafia"/>
    <n v="48"/>
    <x v="0"/>
    <x v="0"/>
    <n v="8000000"/>
    <x v="15"/>
    <x v="24"/>
    <n v="8000000"/>
    <n v="398420"/>
    <x v="1244"/>
    <x v="1244"/>
    <x v="3"/>
  </r>
  <r>
    <x v="201"/>
    <n v="297"/>
    <n v="52474616"/>
    <s v="Drama"/>
    <s v="Frank Langella"/>
    <x v="1245"/>
    <n v="84118"/>
    <s v="corporate greed|crisis|economy|greed|mentor"/>
    <n v="245"/>
    <x v="0"/>
    <x v="0"/>
    <n v="70000000"/>
    <x v="11"/>
    <x v="23"/>
    <n v="70000000"/>
    <n v="52474616"/>
    <x v="1245"/>
    <x v="1245"/>
    <x v="5"/>
  </r>
  <r>
    <x v="854"/>
    <n v="97"/>
    <n v="6373693"/>
    <s v="Comedy|Romance"/>
    <s v="J.K. Simmons"/>
    <x v="1246"/>
    <n v="11498"/>
    <s v="graduation|graduation speech|title directed by female|tv studio|unemployment"/>
    <n v="53"/>
    <x v="0"/>
    <x v="0"/>
    <n v="15000000"/>
    <x v="16"/>
    <x v="1"/>
    <n v="15000000"/>
    <n v="6373693"/>
    <x v="1246"/>
    <x v="1246"/>
    <x v="4"/>
  </r>
  <r>
    <x v="843"/>
    <n v="23"/>
    <n v="30400000"/>
    <s v="Comedy"/>
    <s v="Austin Pendleton"/>
    <x v="1247"/>
    <n v="17810"/>
    <s v="greenland|military|revenge|soldier|u.s. soldier"/>
    <n v="73"/>
    <x v="0"/>
    <x v="0"/>
    <n v="39000000"/>
    <x v="10"/>
    <x v="35"/>
    <n v="39000000"/>
    <n v="30400000"/>
    <x v="1247"/>
    <x v="1247"/>
    <x v="4"/>
  </r>
  <r>
    <x v="855"/>
    <n v="93"/>
    <n v="15519841"/>
    <s v="Adventure|Animation|Comedy|Family|Fantasy"/>
    <s v="Sarah Michelle Gellar"/>
    <x v="1248"/>
    <n v="8693"/>
    <s v="apostrophe in title|cinderella|first of series|punctuation in title|three word title"/>
    <n v="71"/>
    <x v="0"/>
    <x v="0"/>
    <n v="47000000"/>
    <x v="7"/>
    <x v="47"/>
    <n v="47000000"/>
    <n v="15519841"/>
    <x v="1248"/>
    <x v="1248"/>
    <x v="0"/>
  </r>
  <r>
    <x v="856"/>
    <n v="579"/>
    <n v="363024263"/>
    <s v="Action|Adventure|Comedy|Romance|Sci-Fi"/>
    <s v="Ryan Reynolds"/>
    <x v="1249"/>
    <n v="479047"/>
    <s v="based on comic book|breaking the fourth wall|mercenary|mutant|self healing"/>
    <n v="1058"/>
    <x v="0"/>
    <x v="0"/>
    <n v="58000000"/>
    <x v="24"/>
    <x v="40"/>
    <n v="58000000"/>
    <n v="363024263"/>
    <x v="1249"/>
    <x v="1249"/>
    <x v="1"/>
  </r>
  <r>
    <x v="857"/>
    <n v="145"/>
    <n v="124590960"/>
    <s v="Comedy|Drama|Romance"/>
    <s v="Keanu Reeves"/>
    <x v="1250"/>
    <n v="91092"/>
    <s v="beach|dating|doctor|heart attack|weekend"/>
    <n v="402"/>
    <x v="0"/>
    <x v="0"/>
    <n v="80000000"/>
    <x v="19"/>
    <x v="21"/>
    <n v="80000000"/>
    <n v="124590960"/>
    <x v="1250"/>
    <x v="1250"/>
    <x v="4"/>
  </r>
  <r>
    <x v="362"/>
    <n v="141"/>
    <n v="117235247"/>
    <s v="Drama|Sport"/>
    <s v="Sylvester Stallone"/>
    <x v="1251"/>
    <n v="375240"/>
    <s v="boxer|hometown hero|philadelphia pennsylvania|protective male|training"/>
    <n v="542"/>
    <x v="0"/>
    <x v="0"/>
    <n v="960000"/>
    <x v="59"/>
    <x v="40"/>
    <n v="960000"/>
    <n v="117235247"/>
    <x v="1251"/>
    <x v="1251"/>
    <x v="5"/>
  </r>
  <r>
    <x v="493"/>
    <n v="354"/>
    <n v="37707719"/>
    <s v="Biography|Drama"/>
    <s v="Steve Coogan"/>
    <x v="1252"/>
    <n v="76094"/>
    <s v="catholic|convent|gay love|gay relationship|irish adoption board"/>
    <n v="233"/>
    <x v="0"/>
    <x v="2"/>
    <n v="12000000"/>
    <x v="0"/>
    <x v="10"/>
    <n v="15424799.999999899"/>
    <n v="48469502.002599902"/>
    <x v="1252"/>
    <x v="1252"/>
    <x v="2"/>
  </r>
  <r>
    <x v="858"/>
    <n v="2"/>
    <n v="96734"/>
    <s v="Action|Drama"/>
    <s v="Matthew Ziff"/>
    <x v="1253"/>
    <n v="606"/>
    <s v="family relationships|loss of mother|san diego california|single mother|suicide attempt"/>
    <n v="5"/>
    <x v="0"/>
    <x v="0"/>
    <n v="1000000"/>
    <x v="28"/>
    <x v="15"/>
    <n v="1000000"/>
    <n v="96734"/>
    <x v="1253"/>
    <x v="1253"/>
    <x v="1"/>
  </r>
  <r>
    <x v="859"/>
    <n v="265"/>
    <n v="41777564"/>
    <s v="Horror"/>
    <s v="Dan Byrd"/>
    <x v="1254"/>
    <n v="129719"/>
    <s v="desert|horror movie remake|murder of family|rape|slasher"/>
    <n v="855"/>
    <x v="0"/>
    <x v="0"/>
    <n v="15000000"/>
    <x v="7"/>
    <x v="24"/>
    <n v="15000000"/>
    <n v="41777564"/>
    <x v="1254"/>
    <x v="1254"/>
    <x v="6"/>
  </r>
  <r>
    <x v="420"/>
    <n v="300"/>
    <n v="7757130"/>
    <s v="Comedy|Crime|Drama"/>
    <s v="Elizabeth Berrington"/>
    <x v="1255"/>
    <n v="307639"/>
    <s v="bruges|bullet|hope|irish|tourist"/>
    <n v="513"/>
    <x v="0"/>
    <x v="2"/>
    <n v="15000000"/>
    <x v="20"/>
    <x v="3"/>
    <n v="19281000"/>
    <n v="9971014.9019999895"/>
    <x v="1255"/>
    <x v="1255"/>
    <x v="4"/>
  </r>
  <r>
    <x v="507"/>
    <n v="180"/>
    <n v="143151473"/>
    <s v="Comedy|Drama|Family"/>
    <s v="Eric Dane"/>
    <x v="1256"/>
    <n v="116681"/>
    <s v="box office hit|dog|dog movie|florida|pet name in title"/>
    <n v="320"/>
    <x v="0"/>
    <x v="0"/>
    <n v="60000000"/>
    <x v="20"/>
    <x v="17"/>
    <n v="60000000"/>
    <n v="143151473"/>
    <x v="1256"/>
    <x v="1256"/>
    <x v="4"/>
  </r>
  <r>
    <x v="860"/>
    <n v="50"/>
    <n v="2000000"/>
    <s v="Adventure|Horror|Thriller"/>
    <s v="Tippi Hedren"/>
    <x v="1257"/>
    <n v="1275"/>
    <s v="chase|dead man|jungle|killing a lion|killing a tiger"/>
    <n v="27"/>
    <x v="0"/>
    <x v="0"/>
    <n v="17000000"/>
    <x v="43"/>
    <x v="24"/>
    <n v="17000000"/>
    <n v="2000000"/>
    <x v="1257"/>
    <x v="1257"/>
    <x v="0"/>
  </r>
  <r>
    <x v="861"/>
    <n v="34"/>
    <n v="231417"/>
    <s v="Comedy|Crime|Thriller"/>
    <s v="Isabelle Huppert"/>
    <x v="1258"/>
    <n v="1649"/>
    <s v="con|con artist|money|scam|sils maria"/>
    <n v="21"/>
    <x v="4"/>
    <x v="8"/>
    <n v="60000000"/>
    <x v="31"/>
    <x v="14"/>
    <n v="65084400"/>
    <n v="251027.27658000001"/>
    <x v="1258"/>
    <x v="1258"/>
    <x v="4"/>
  </r>
  <r>
    <x v="862"/>
    <n v="119"/>
    <n v="56044241"/>
    <s v="Comedy|Fantasy|Romance"/>
    <s v="Jennifer Garner"/>
    <x v="1259"/>
    <n v="122187"/>
    <s v="13 year old|13th birthday|30 year old|wish|year 1987"/>
    <n v="339"/>
    <x v="0"/>
    <x v="0"/>
    <n v="37000000"/>
    <x v="2"/>
    <x v="7"/>
    <n v="37000000"/>
    <n v="56044241"/>
    <x v="1259"/>
    <x v="1259"/>
    <x v="4"/>
  </r>
  <r>
    <x v="863"/>
    <n v="124"/>
    <n v="85433"/>
    <s v="Crime|Drama|Mystery|Romance"/>
    <s v="Jim Sturgess"/>
    <x v="1260"/>
    <n v="69676"/>
    <s v="antique|art|heiress|older man younger woman relationship|plot twist"/>
    <n v="131"/>
    <x v="0"/>
    <x v="1"/>
    <n v="13500000"/>
    <x v="0"/>
    <x v="38"/>
    <n v="14643990"/>
    <n v="92672.592420000001"/>
    <x v="1260"/>
    <x v="1260"/>
    <x v="3"/>
  </r>
  <r>
    <x v="864"/>
    <n v="134"/>
    <n v="22452209"/>
    <s v="Comedy|Drama|Musical|Romance"/>
    <s v="Kelsey Grammer"/>
    <x v="1261"/>
    <n v="14062"/>
    <s v="new york|performing arts|school|student|teacher"/>
    <n v="82"/>
    <x v="0"/>
    <x v="0"/>
    <n v="18000000"/>
    <x v="16"/>
    <x v="53"/>
    <n v="18000000"/>
    <n v="22452209"/>
    <x v="1261"/>
    <x v="1261"/>
    <x v="4"/>
  </r>
  <r>
    <x v="743"/>
    <n v="368"/>
    <n v="21589307"/>
    <s v="Drama"/>
    <s v="Matthew McConaughey"/>
    <x v="1262"/>
    <n v="135286"/>
    <s v="14 year old|boat|bounty hunter|boy|river"/>
    <n v="261"/>
    <x v="0"/>
    <x v="0"/>
    <n v="10000000"/>
    <x v="28"/>
    <x v="39"/>
    <n v="10000000"/>
    <n v="21589307"/>
    <x v="1262"/>
    <x v="1262"/>
    <x v="5"/>
  </r>
  <r>
    <x v="122"/>
    <n v="161"/>
    <n v="138339411"/>
    <s v="Drama"/>
    <s v="Robin Williams"/>
    <x v="1263"/>
    <n v="604904"/>
    <s v="friend|genius|janitor|loss of wife|professor"/>
    <n v="682"/>
    <x v="0"/>
    <x v="0"/>
    <n v="10000000"/>
    <x v="31"/>
    <x v="36"/>
    <n v="10000000"/>
    <n v="138339411"/>
    <x v="1263"/>
    <x v="1263"/>
    <x v="5"/>
  </r>
  <r>
    <x v="865"/>
    <n v="107"/>
    <n v="1134049"/>
    <s v="Documentary|History"/>
    <s v="John F. Kennedy"/>
    <x v="1264"/>
    <n v="5475"/>
    <s v="1960s|astronaut|moon|nasa|spacecraft accident"/>
    <n v="44"/>
    <x v="0"/>
    <x v="2"/>
    <n v="2000000"/>
    <x v="15"/>
    <x v="40"/>
    <n v="2570799.9999999902"/>
    <n v="1457706.5845999999"/>
    <x v="1264"/>
    <x v="1264"/>
    <x v="7"/>
  </r>
  <r>
    <x v="471"/>
    <n v="98"/>
    <n v="48814909"/>
    <s v="Biography|Drama"/>
    <s v="Robert De Niro"/>
    <x v="1265"/>
    <n v="89424"/>
    <s v="african american|amputee|navy|racial discrimination|racism"/>
    <n v="224"/>
    <x v="0"/>
    <x v="0"/>
    <n v="32000000"/>
    <x v="4"/>
    <x v="33"/>
    <n v="32000000"/>
    <n v="48814909"/>
    <x v="1265"/>
    <x v="1265"/>
    <x v="2"/>
  </r>
  <r>
    <x v="723"/>
    <n v="131"/>
    <n v="5660084"/>
    <s v="Comedy|Crime|Romance"/>
    <s v="Todd Giebenhain"/>
    <x v="1266"/>
    <n v="41620"/>
    <s v="gangster|hospital|lesbian|mob|thug"/>
    <n v="418"/>
    <x v="0"/>
    <x v="0"/>
    <n v="54000000"/>
    <x v="19"/>
    <x v="64"/>
    <n v="54000000"/>
    <n v="5660084"/>
    <x v="1266"/>
    <x v="1266"/>
    <x v="4"/>
  </r>
  <r>
    <x v="866"/>
    <n v="136"/>
    <n v="71844424"/>
    <s v="Documentary|Music"/>
    <s v="Misha Gabriel Hamilton"/>
    <x v="1267"/>
    <n v="33158"/>
    <s v="2000s|box office hit|comeback|rehearsal|year 2009"/>
    <n v="223"/>
    <x v="0"/>
    <x v="0"/>
    <n v="60000000"/>
    <x v="16"/>
    <x v="4"/>
    <n v="60000000"/>
    <n v="71844424"/>
    <x v="1267"/>
    <x v="1267"/>
    <x v="7"/>
  </r>
  <r>
    <x v="152"/>
    <n v="112"/>
    <n v="2706659"/>
    <s v="Comedy|Drama"/>
    <s v="Dominic Cooper"/>
    <x v="1268"/>
    <n v="17770"/>
    <s v="gay|headmaster|oxford|school|teacher"/>
    <n v="172"/>
    <x v="0"/>
    <x v="2"/>
    <n v="2000000"/>
    <x v="7"/>
    <x v="31"/>
    <n v="2570799.9999999902"/>
    <n v="3479139.4785999898"/>
    <x v="1268"/>
    <x v="1268"/>
    <x v="4"/>
  </r>
  <r>
    <x v="867"/>
    <n v="134"/>
    <n v="51600000"/>
    <s v="Biography|Drama|History|Music"/>
    <s v="Jeffrey Jones"/>
    <x v="1269"/>
    <n v="270790"/>
    <s v="1800s|classical composer|composer|first person narration|opera"/>
    <n v="549"/>
    <x v="0"/>
    <x v="0"/>
    <n v="18000000"/>
    <x v="17"/>
    <x v="36"/>
    <n v="18000000"/>
    <n v="51600000"/>
    <x v="1269"/>
    <x v="1269"/>
    <x v="2"/>
  </r>
  <r>
    <x v="868"/>
    <n v="208"/>
    <n v="2694973"/>
    <s v="Drama"/>
    <s v="Ryan Gosling"/>
    <x v="1270"/>
    <n v="70885"/>
    <s v="bathroom|classroom|dialectics|drugs|student"/>
    <n v="189"/>
    <x v="0"/>
    <x v="0"/>
    <n v="700000"/>
    <x v="7"/>
    <x v="33"/>
    <n v="700000"/>
    <n v="2694973"/>
    <x v="1270"/>
    <x v="1270"/>
    <x v="5"/>
  </r>
  <r>
    <x v="869"/>
    <n v="117"/>
    <n v="36200000"/>
    <s v="Action|Adventure|Sci-Fi|Thriller"/>
    <s v="Tina Turner"/>
    <x v="1271"/>
    <n v="101840"/>
    <s v="arena|desert|fight|mad max|post apocalypse"/>
    <n v="193"/>
    <x v="0"/>
    <x v="3"/>
    <n v="12305523"/>
    <x v="37"/>
    <x v="5"/>
    <n v="8046335.3792399997"/>
    <n v="23670456"/>
    <x v="1271"/>
    <x v="1271"/>
    <x v="1"/>
  </r>
  <r>
    <x v="514"/>
    <n v="147"/>
    <n v="22526144"/>
    <s v="Comedy|Romance|Sci-Fi"/>
    <s v="Rainn Wilson"/>
    <x v="1272"/>
    <n v="53884"/>
    <s v="architect|boyfriend girlfriend relationship|superhero|superhero spoof|supernatural power"/>
    <n v="203"/>
    <x v="0"/>
    <x v="0"/>
    <n v="30000000"/>
    <x v="7"/>
    <x v="37"/>
    <n v="30000000"/>
    <n v="22526144"/>
    <x v="1272"/>
    <x v="1272"/>
    <x v="4"/>
  </r>
  <r>
    <x v="9"/>
    <n v="202"/>
    <n v="13060843"/>
    <s v="Drama"/>
    <s v="Philip Seymour Hoffman"/>
    <x v="1273"/>
    <n v="149528"/>
    <s v="bar|dream|drug dealing|nightclub|widower"/>
    <n v="454"/>
    <x v="0"/>
    <x v="0"/>
    <n v="15000000"/>
    <x v="13"/>
    <x v="9"/>
    <n v="15000000"/>
    <n v="13060843"/>
    <x v="1273"/>
    <x v="1273"/>
    <x v="5"/>
  </r>
  <r>
    <x v="870"/>
    <n v="65"/>
    <n v="2300000"/>
    <s v="Comedy|Musical|Romance"/>
    <s v="Ginger Rogers"/>
    <x v="1274"/>
    <n v="7921"/>
    <s v="chorus girl|chorus line|director|gala premiere|song"/>
    <n v="97"/>
    <x v="0"/>
    <x v="0"/>
    <n v="439000"/>
    <x v="60"/>
    <x v="9"/>
    <n v="439000"/>
    <n v="2300000"/>
    <x v="1274"/>
    <x v="1274"/>
    <x v="4"/>
  </r>
  <r>
    <x v="325"/>
    <n v="237"/>
    <n v="28031250"/>
    <s v="Action|Adventure|Horror|Sci-Fi"/>
    <s v="Dwayne Johnson"/>
    <x v="1275"/>
    <n v="88146"/>
    <s v="commando unit|extra chromosome|first person shooter|special forces|teleportation"/>
    <n v="814"/>
    <x v="0"/>
    <x v="2"/>
    <n v="60000000"/>
    <x v="25"/>
    <x v="44"/>
    <n v="77124000"/>
    <n v="36031368.75"/>
    <x v="1275"/>
    <x v="1275"/>
    <x v="1"/>
  </r>
  <r>
    <x v="825"/>
    <n v="197"/>
    <n v="126930660"/>
    <s v="Action|Adventure|Thriller"/>
    <s v="Colin Salmon"/>
    <x v="1276"/>
    <n v="157519"/>
    <s v="british|oil|scientist|terrorist|tycoon"/>
    <n v="683"/>
    <x v="0"/>
    <x v="2"/>
    <n v="135000000"/>
    <x v="12"/>
    <x v="24"/>
    <n v="173528999.99999899"/>
    <n v="163156670.36399999"/>
    <x v="1276"/>
    <x v="1276"/>
    <x v="1"/>
  </r>
  <r>
    <x v="71"/>
    <n v="89"/>
    <n v="43426961"/>
    <s v="Action|Drama|Thriller|War"/>
    <s v="Bruce Willis"/>
    <x v="1277"/>
    <n v="93494"/>
    <s v="dictator|doctor|jungle|rebel|refugee"/>
    <n v="394"/>
    <x v="0"/>
    <x v="0"/>
    <n v="70000000"/>
    <x v="19"/>
    <x v="14"/>
    <n v="70000000"/>
    <n v="43426961"/>
    <x v="1277"/>
    <x v="1277"/>
    <x v="1"/>
  </r>
  <r>
    <x v="131"/>
    <n v="61"/>
    <n v="30306268"/>
    <s v="Action|Crime|Thriller"/>
    <s v="Muse Watson"/>
    <x v="1278"/>
    <n v="62981"/>
    <s v="assassin|floppy disk|modem|rival|russian"/>
    <n v="84"/>
    <x v="0"/>
    <x v="8"/>
    <n v="50000000"/>
    <x v="33"/>
    <x v="23"/>
    <n v="54237000"/>
    <n v="32874421.150320001"/>
    <x v="1278"/>
    <x v="1278"/>
    <x v="1"/>
  </r>
  <r>
    <x v="36"/>
    <n v="354"/>
    <n v="134520804"/>
    <s v="Action|Adventure|Thriller"/>
    <s v="Bruce Willis"/>
    <x v="1279"/>
    <n v="336235"/>
    <s v="fbi|hacker|independence day|police|terrorist"/>
    <n v="782"/>
    <x v="0"/>
    <x v="0"/>
    <n v="110000000"/>
    <x v="15"/>
    <x v="33"/>
    <n v="110000000"/>
    <n v="134520804"/>
    <x v="1279"/>
    <x v="1279"/>
    <x v="1"/>
  </r>
  <r>
    <x v="824"/>
    <n v="319"/>
    <n v="125069696"/>
    <s v="Action|Biography|Drama|Thriller|War"/>
    <s v="Jerry Ferrara"/>
    <x v="1280"/>
    <n v="203963"/>
    <s v="courage|navy seal|outnumbered|shot multiple times|survival"/>
    <n v="420"/>
    <x v="0"/>
    <x v="0"/>
    <n v="40000000"/>
    <x v="0"/>
    <x v="10"/>
    <n v="40000000"/>
    <n v="125069696"/>
    <x v="1280"/>
    <x v="1280"/>
    <x v="1"/>
  </r>
  <r>
    <x v="871"/>
    <n v="157"/>
    <n v="115648585"/>
    <s v="Biography|Drama|Sport"/>
    <s v="Ryan Gosling"/>
    <x v="1281"/>
    <n v="160776"/>
    <s v="american football|based on true story|head coach|high school|school"/>
    <n v="402"/>
    <x v="0"/>
    <x v="0"/>
    <n v="30000000"/>
    <x v="4"/>
    <x v="38"/>
    <n v="30000000"/>
    <n v="115648585"/>
    <x v="1281"/>
    <x v="1281"/>
    <x v="2"/>
  </r>
  <r>
    <x v="872"/>
    <n v="116"/>
    <n v="36833473"/>
    <s v="Action|Crime|Drama|Thriller"/>
    <s v="Jet Li"/>
    <x v="1282"/>
    <n v="53126"/>
    <s v="action hero|chinese|forced prostitution|one man army|title spoken by character"/>
    <n v="254"/>
    <x v="0"/>
    <x v="8"/>
    <n v="25000000"/>
    <x v="9"/>
    <x v="14"/>
    <n v="27118500"/>
    <n v="39954741.502020001"/>
    <x v="1282"/>
    <x v="1282"/>
    <x v="1"/>
  </r>
  <r>
    <x v="873"/>
    <n v="115"/>
    <n v="1050445"/>
    <s v="Drama|History|Music|Romance|War"/>
    <s v="Gary Lewis"/>
    <x v="1283"/>
    <n v="21394"/>
    <s v="christmas|no man's land|soldier|trench|world war one"/>
    <n v="147"/>
    <x v="4"/>
    <x v="8"/>
    <n v="22000000"/>
    <x v="25"/>
    <x v="38"/>
    <n v="23864280"/>
    <n v="1139459.7093"/>
    <x v="1283"/>
    <x v="1283"/>
    <x v="5"/>
  </r>
  <r>
    <x v="514"/>
    <n v="97"/>
    <n v="74329966"/>
    <s v="Action|Adventure|Comedy|Romance"/>
    <s v="Harrison Ford"/>
    <x v="1284"/>
    <n v="60910"/>
    <s v="airplane|island|pilot|storm|thunderstorm"/>
    <n v="164"/>
    <x v="0"/>
    <x v="0"/>
    <n v="70000000"/>
    <x v="6"/>
    <x v="35"/>
    <n v="70000000"/>
    <n v="74329966"/>
    <x v="1284"/>
    <x v="1284"/>
    <x v="1"/>
  </r>
  <r>
    <x v="391"/>
    <n v="245"/>
    <n v="72660029"/>
    <s v="Action|Adventure"/>
    <s v="Dwayne Johnson"/>
    <x v="1285"/>
    <n v="115687"/>
    <s v="army|greek mythology|hercules|king|mercenary"/>
    <n v="269"/>
    <x v="0"/>
    <x v="0"/>
    <n v="100000000"/>
    <x v="27"/>
    <x v="11"/>
    <n v="100000000"/>
    <n v="72660029"/>
    <x v="1285"/>
    <x v="1285"/>
    <x v="1"/>
  </r>
  <r>
    <x v="407"/>
    <n v="273"/>
    <n v="34126138"/>
    <s v="Drama|Fantasy|Romance|Sci-Fi"/>
    <s v="Kate Winslet"/>
    <x v="1286"/>
    <n v="666937"/>
    <s v="borderline personality disorder|loneliness|memory|playing against type|retrograde narrative"/>
    <n v="1514"/>
    <x v="0"/>
    <x v="0"/>
    <n v="20000000"/>
    <x v="2"/>
    <x v="36"/>
    <n v="20000000"/>
    <n v="34126138"/>
    <x v="1286"/>
    <x v="1286"/>
    <x v="5"/>
  </r>
  <r>
    <x v="5"/>
    <n v="40"/>
    <n v="25482931"/>
    <s v="Action|Comedy|Crime|Thriller"/>
    <s v="Mike Epps"/>
    <x v="1287"/>
    <n v="9693"/>
    <s v="black comedy|bounty hunter|diamond|machismo|money"/>
    <n v="33"/>
    <x v="0"/>
    <x v="0"/>
    <n v="14000000"/>
    <x v="13"/>
    <x v="35"/>
    <n v="14000000"/>
    <n v="25482931"/>
    <x v="1287"/>
    <x v="1287"/>
    <x v="1"/>
  </r>
  <r>
    <x v="874"/>
    <n v="145"/>
    <n v="4930798"/>
    <s v="Horror|Thriller"/>
    <s v="Julianna Guill"/>
    <x v="1288"/>
    <n v="16268"/>
    <s v="e mail|evil spirit|experiment|fear|supernatural"/>
    <n v="108"/>
    <x v="0"/>
    <x v="0"/>
    <n v="17000000"/>
    <x v="28"/>
    <x v="13"/>
    <n v="17000000"/>
    <n v="4930798"/>
    <x v="1288"/>
    <x v="1288"/>
    <x v="6"/>
  </r>
  <r>
    <x v="194"/>
    <n v="223"/>
    <n v="170684505"/>
    <s v="Comedy|Crime|Musical"/>
    <s v="Colm Feore"/>
    <x v="1289"/>
    <n v="172080"/>
    <s v="fame|jail|jazz age|murder|vaudeville"/>
    <n v="1017"/>
    <x v="0"/>
    <x v="0"/>
    <n v="45000000"/>
    <x v="13"/>
    <x v="33"/>
    <n v="45000000"/>
    <n v="170684505"/>
    <x v="1289"/>
    <x v="1289"/>
    <x v="4"/>
  </r>
  <r>
    <x v="50"/>
    <n v="62"/>
    <n v="69148997"/>
    <s v="Comedy|Crime"/>
    <s v="Busy Philipps"/>
    <x v="1290"/>
    <n v="98794"/>
    <s v="african american|crossdresser|fbi|undercover|vomiting"/>
    <n v="251"/>
    <x v="0"/>
    <x v="0"/>
    <n v="37000000"/>
    <x v="2"/>
    <x v="26"/>
    <n v="37000000"/>
    <n v="69148997"/>
    <x v="1290"/>
    <x v="1290"/>
    <x v="4"/>
  </r>
  <r>
    <x v="875"/>
    <n v="232"/>
    <n v="371897"/>
    <s v="Drama"/>
    <s v="Nicolas Cage"/>
    <x v="1291"/>
    <n v="36494"/>
    <s v="alcoholic|cigarette smoking|father son relationship|teenage boy|woods"/>
    <n v="118"/>
    <x v="0"/>
    <x v="0"/>
    <n v="4000000"/>
    <x v="0"/>
    <x v="31"/>
    <n v="4000000"/>
    <n v="371897"/>
    <x v="1291"/>
    <x v="1291"/>
    <x v="5"/>
  </r>
  <r>
    <x v="876"/>
    <n v="16"/>
    <n v="2833383"/>
    <s v="Drama|Music"/>
    <s v="Noel Gugliemi"/>
    <x v="1292"/>
    <n v="910"/>
    <s v=""/>
    <n v="11"/>
    <x v="0"/>
    <x v="0"/>
    <n v="427000"/>
    <x v="28"/>
    <x v="35"/>
    <n v="427000"/>
    <n v="2833383"/>
    <x v="1292"/>
    <x v="1292"/>
    <x v="5"/>
  </r>
  <r>
    <x v="877"/>
    <n v="28"/>
    <n v="16118077"/>
    <s v="Drama"/>
    <s v="Dianne Wiest"/>
    <x v="1293"/>
    <n v="5817"/>
    <s v="estranged wife|fashion show|magazine|new york city|writer"/>
    <n v="37"/>
    <x v="0"/>
    <x v="0"/>
    <n v="25000000"/>
    <x v="34"/>
    <x v="15"/>
    <n v="25000000"/>
    <n v="16118077"/>
    <x v="1293"/>
    <x v="1293"/>
    <x v="5"/>
  </r>
  <r>
    <x v="32"/>
    <n v="276"/>
    <n v="206456431"/>
    <s v="Adventure|Comedy|Family|Fantasy"/>
    <s v="Johnny Depp"/>
    <x v="1294"/>
    <n v="320284"/>
    <s v="chocolate|diminution|miniaturization|physical flexability|ticket"/>
    <n v="1361"/>
    <x v="0"/>
    <x v="0"/>
    <n v="150000000"/>
    <x v="25"/>
    <x v="21"/>
    <n v="150000000"/>
    <n v="206456431"/>
    <x v="1294"/>
    <x v="1294"/>
    <x v="0"/>
  </r>
  <r>
    <x v="871"/>
    <n v="258"/>
    <n v="17120019"/>
    <s v="Action|Crime|Thriller"/>
    <s v="Jason Statham"/>
    <x v="1295"/>
    <n v="83097"/>
    <s v="bodyguard|gang war|russian|russian mafia|triad"/>
    <n v="134"/>
    <x v="0"/>
    <x v="0"/>
    <n v="30000000"/>
    <x v="28"/>
    <x v="20"/>
    <n v="30000000"/>
    <n v="17120019"/>
    <x v="1295"/>
    <x v="1295"/>
    <x v="1"/>
  </r>
  <r>
    <x v="340"/>
    <n v="703"/>
    <n v="623279547"/>
    <s v="Action|Adventure|Sci-Fi"/>
    <s v="Chris Hemsworth"/>
    <x v="1296"/>
    <n v="995415"/>
    <s v="alien invasion|assassin|battle|iron man|soldier"/>
    <n v="1722"/>
    <x v="0"/>
    <x v="0"/>
    <n v="220000000"/>
    <x v="28"/>
    <x v="40"/>
    <n v="220000000"/>
    <n v="623279547"/>
    <x v="1296"/>
    <x v="1296"/>
    <x v="1"/>
  </r>
  <r>
    <x v="91"/>
    <n v="98"/>
    <n v="43905746"/>
    <s v="Action|Sci-Fi|Thriller"/>
    <s v="Jason Statham"/>
    <x v="1297"/>
    <n v="77684"/>
    <s v="fight|multiverse|police|police officer|prison"/>
    <n v="294"/>
    <x v="0"/>
    <x v="0"/>
    <n v="49000000"/>
    <x v="9"/>
    <x v="0"/>
    <n v="49000000"/>
    <n v="43905746"/>
    <x v="1297"/>
    <x v="1297"/>
    <x v="1"/>
  </r>
  <r>
    <x v="878"/>
    <n v="298"/>
    <n v="24042490"/>
    <s v="Fantasy|Horror|Thriller"/>
    <s v="Bailee Madison"/>
    <x v="1298"/>
    <n v="40776"/>
    <s v="basement|creature|disappearance|interior designer|mansion"/>
    <n v="250"/>
    <x v="0"/>
    <x v="0"/>
    <n v="25000000"/>
    <x v="11"/>
    <x v="15"/>
    <n v="25000000"/>
    <n v="24042490"/>
    <x v="1298"/>
    <x v="1298"/>
    <x v="9"/>
  </r>
  <r>
    <x v="879"/>
    <n v="276"/>
    <n v="51019112"/>
    <s v="Adventure|Comedy|Sci-Fi"/>
    <s v="Zooey Deschanel"/>
    <x v="1299"/>
    <n v="155745"/>
    <s v="alien|friend|galaxy|hyperspace|spaceship"/>
    <n v="1053"/>
    <x v="0"/>
    <x v="0"/>
    <n v="50000000"/>
    <x v="25"/>
    <x v="22"/>
    <n v="50000000"/>
    <n v="51019112"/>
    <x v="1299"/>
    <x v="1299"/>
    <x v="0"/>
  </r>
  <r>
    <x v="880"/>
    <n v="270"/>
    <n v="20981633"/>
    <s v="Drama|Mystery|Sci-Fi|Thriller"/>
    <s v="Mitch Pileggi"/>
    <x v="1300"/>
    <n v="78256"/>
    <s v="fbi|priest|psychic|psychic vision|staff physician"/>
    <n v="492"/>
    <x v="0"/>
    <x v="0"/>
    <n v="30000000"/>
    <x v="20"/>
    <x v="0"/>
    <n v="30000000"/>
    <n v="20981633"/>
    <x v="1300"/>
    <x v="1300"/>
    <x v="5"/>
  </r>
  <r>
    <x v="130"/>
    <n v="60"/>
    <n v="26830000"/>
    <s v="Drama|History|War"/>
    <s v="Denzel Washington"/>
    <x v="133"/>
    <n v="101889"/>
    <s v="army|black soldier|military uniform|prejudice|u.s. civil war"/>
    <n v="365"/>
    <x v="0"/>
    <x v="0"/>
    <n v="18000000"/>
    <x v="26"/>
    <x v="19"/>
    <n v="18000000"/>
    <n v="26830000"/>
    <x v="133"/>
    <x v="133"/>
    <x v="5"/>
  </r>
  <r>
    <x v="881"/>
    <n v="75"/>
    <n v="13558739"/>
    <s v="Comedy"/>
    <s v="Shannon Elizabeth"/>
    <x v="1301"/>
    <n v="15427"/>
    <s v="box office flop|critically bashed|dominatrix|friend|money"/>
    <n v="121"/>
    <x v="0"/>
    <x v="0"/>
    <n v="11000000"/>
    <x v="9"/>
    <x v="1"/>
    <n v="11000000"/>
    <n v="13558739"/>
    <x v="1301"/>
    <x v="1301"/>
    <x v="4"/>
  </r>
  <r>
    <x v="259"/>
    <n v="299"/>
    <n v="296623634"/>
    <s v="Adventure|Drama|Fantasy|Romance"/>
    <s v="Robert Pattinson"/>
    <x v="1302"/>
    <n v="220758"/>
    <s v="forks washington|protecting a woman|title same as book|vampire|werewolf"/>
    <n v="919"/>
    <x v="0"/>
    <x v="0"/>
    <n v="50000000"/>
    <x v="16"/>
    <x v="34"/>
    <n v="50000000"/>
    <n v="296623634"/>
    <x v="1302"/>
    <x v="1302"/>
    <x v="0"/>
  </r>
  <r>
    <x v="882"/>
    <n v="733"/>
    <n v="291021565"/>
    <s v="Action|Adventure|Fantasy|Sci-Fi"/>
    <s v="Henry Cavill"/>
    <x v="1303"/>
    <n v="548573"/>
    <s v="based on comic book|british actor playing american character|final battle|origin of hero|reboot"/>
    <n v="2536"/>
    <x v="0"/>
    <x v="0"/>
    <n v="225000000"/>
    <x v="0"/>
    <x v="33"/>
    <n v="225000000"/>
    <n v="291021565"/>
    <x v="1303"/>
    <x v="1303"/>
    <x v="1"/>
  </r>
  <r>
    <x v="333"/>
    <n v="203"/>
    <n v="19783777"/>
    <s v="Action|Crime|Drama|Thriller"/>
    <s v="Jason Statham"/>
    <x v="1304"/>
    <n v="82804"/>
    <s v="biker|biker gang|dea|dea agent|fight"/>
    <n v="154"/>
    <x v="0"/>
    <x v="0"/>
    <n v="22000000"/>
    <x v="0"/>
    <x v="20"/>
    <n v="22000000"/>
    <n v="19783777"/>
    <x v="1304"/>
    <x v="1304"/>
    <x v="1"/>
  </r>
  <r>
    <x v="54"/>
    <n v="426"/>
    <n v="70235322"/>
    <s v="Biography|Comedy|Drama|History"/>
    <s v="Ryan Gosling"/>
    <x v="1305"/>
    <n v="182983"/>
    <s v="bank|banking|finance|fraud|mortgage"/>
    <n v="374"/>
    <x v="0"/>
    <x v="0"/>
    <n v="28000000"/>
    <x v="1"/>
    <x v="38"/>
    <n v="28000000"/>
    <n v="70235322"/>
    <x v="1305"/>
    <x v="1305"/>
    <x v="2"/>
  </r>
  <r>
    <x v="883"/>
    <n v="145"/>
    <n v="137748063"/>
    <s v="Adventure|Animation|Family|Thriller"/>
    <s v="Alfre Woodard"/>
    <x v="1306"/>
    <n v="38438"/>
    <s v="egg|iguanodon|lemur|meteor|nesting grounds"/>
    <n v="241"/>
    <x v="0"/>
    <x v="0"/>
    <n v="127500000"/>
    <x v="4"/>
    <x v="20"/>
    <n v="127500000"/>
    <n v="137748063"/>
    <x v="1306"/>
    <x v="1306"/>
    <x v="0"/>
  </r>
  <r>
    <x v="884"/>
    <n v="98"/>
    <n v="23393765"/>
    <s v="Drama|Romance"/>
    <s v="Alex Pettyfer"/>
    <x v="1307"/>
    <n v="31323"/>
    <s v="brother sister relationship|high school graduation|love|sparkler|unfaithful husband"/>
    <n v="76"/>
    <x v="0"/>
    <x v="0"/>
    <n v="20000000"/>
    <x v="27"/>
    <x v="23"/>
    <n v="20000000"/>
    <n v="23393765"/>
    <x v="1307"/>
    <x v="1307"/>
    <x v="5"/>
  </r>
  <r>
    <x v="83"/>
    <n v="160"/>
    <n v="125332007"/>
    <s v="Action|Adventure|Thriller"/>
    <s v="Vincent Schiavelli"/>
    <x v="1308"/>
    <n v="149680"/>
    <s v="ex boyfriend ex girlfriend relationship|media tycoon|megalomaniac|official james bond series|world war three"/>
    <n v="328"/>
    <x v="0"/>
    <x v="2"/>
    <n v="110000000"/>
    <x v="31"/>
    <x v="20"/>
    <n v="141394000"/>
    <n v="161101761.79779899"/>
    <x v="1308"/>
    <x v="1308"/>
    <x v="1"/>
  </r>
  <r>
    <x v="885"/>
    <n v="124"/>
    <n v="56684819"/>
    <s v="Action|Adventure|Sci-Fi"/>
    <s v="Mark Addy"/>
    <x v="1309"/>
    <n v="103787"/>
    <s v="hunter|scientist|time machine|time travel|time travel romance"/>
    <n v="615"/>
    <x v="0"/>
    <x v="0"/>
    <n v="80000000"/>
    <x v="13"/>
    <x v="0"/>
    <n v="80000000"/>
    <n v="56684819"/>
    <x v="1309"/>
    <x v="1309"/>
    <x v="1"/>
  </r>
  <r>
    <x v="294"/>
    <n v="121"/>
    <n v="62700000"/>
    <s v="Action|Adventure|Sci-Fi|Thriller"/>
    <s v="Desmond Llewelyn"/>
    <x v="1310"/>
    <n v="69534"/>
    <s v="astronaut|dog|official james bond series|space shuttle|space shuttle transported on a 747"/>
    <n v="294"/>
    <x v="0"/>
    <x v="2"/>
    <n v="34000000"/>
    <x v="36"/>
    <x v="23"/>
    <n v="43703599.999999903"/>
    <n v="80594579.999999896"/>
    <x v="1310"/>
    <x v="1310"/>
    <x v="1"/>
  </r>
  <r>
    <x v="291"/>
    <n v="348"/>
    <n v="190871240"/>
    <s v="Action|Adventure|Comedy|Sci-Fi"/>
    <s v="Noel Fisher"/>
    <x v="327"/>
    <n v="167085"/>
    <s v="18 wheeler|mutant|ninja|sewer|turtle"/>
    <n v="491"/>
    <x v="0"/>
    <x v="0"/>
    <n v="125000000"/>
    <x v="27"/>
    <x v="0"/>
    <n v="125000000"/>
    <n v="190871240"/>
    <x v="327"/>
    <x v="327"/>
    <x v="1"/>
  </r>
  <r>
    <x v="886"/>
    <n v="38"/>
    <n v="594904"/>
    <s v="Comedy|Drama"/>
    <s v="Jason Marsden"/>
    <x v="1311"/>
    <n v="2582"/>
    <s v="church|college|color in title|philosophy|texas"/>
    <n v="89"/>
    <x v="0"/>
    <x v="0"/>
    <n v="1200000"/>
    <x v="28"/>
    <x v="11"/>
    <n v="1200000"/>
    <n v="594904"/>
    <x v="1311"/>
    <x v="1311"/>
    <x v="4"/>
  </r>
  <r>
    <x v="472"/>
    <n v="150"/>
    <n v="127083765"/>
    <s v="Action|Crime|Thriller"/>
    <s v="Paul Walker"/>
    <x v="1312"/>
    <n v="191912"/>
    <s v="bust|racing|shotgun|street racing|undercover agent"/>
    <n v="370"/>
    <x v="0"/>
    <x v="0"/>
    <n v="76000000"/>
    <x v="19"/>
    <x v="0"/>
    <n v="76000000"/>
    <n v="127083765"/>
    <x v="1312"/>
    <x v="1312"/>
    <x v="1"/>
  </r>
  <r>
    <x v="181"/>
    <n v="152"/>
    <n v="40911830"/>
    <s v="Action|Drama|War"/>
    <s v="Nicolas Cage"/>
    <x v="1313"/>
    <n v="55994"/>
    <s v="code|duty|steel helmet|u.s. marine|u.s. soldier"/>
    <n v="454"/>
    <x v="0"/>
    <x v="0"/>
    <n v="115000000"/>
    <x v="13"/>
    <x v="11"/>
    <n v="115000000"/>
    <n v="40911830"/>
    <x v="1313"/>
    <x v="1313"/>
    <x v="1"/>
  </r>
  <r>
    <x v="887"/>
    <n v="308"/>
    <n v="19059018"/>
    <s v="Action|Fantasy|Sci-Fi|Thriller"/>
    <s v="Caitlin Stasey"/>
    <x v="1314"/>
    <n v="65709"/>
    <s v="army|creature|demon|frankenstein|gargoyle"/>
    <n v="194"/>
    <x v="0"/>
    <x v="3"/>
    <n v="65000000"/>
    <x v="27"/>
    <x v="37"/>
    <n v="42502200"/>
    <n v="12462310.68984"/>
    <x v="1314"/>
    <x v="1314"/>
    <x v="1"/>
  </r>
  <r>
    <x v="888"/>
    <n v="41"/>
    <n v="76501438"/>
    <s v="Adventure|Animation|Comedy|Family|Romance"/>
    <s v="Elizabeth Daily"/>
    <x v="1315"/>
    <n v="8146"/>
    <s v="amusement park|baby|france|paris france|villain"/>
    <n v="49"/>
    <x v="0"/>
    <x v="5"/>
    <n v="30000000"/>
    <x v="4"/>
    <x v="7"/>
    <n v="32542200"/>
    <n v="82984169.856120005"/>
    <x v="1315"/>
    <x v="1315"/>
    <x v="0"/>
  </r>
  <r>
    <x v="62"/>
    <n v="186"/>
    <n v="183405771"/>
    <s v="Crime|Thriller"/>
    <s v="Brad Pitt"/>
    <x v="1316"/>
    <n v="402645"/>
    <s v="card dealer|casino|criminal mastermind|recruiting|ulcer"/>
    <n v="845"/>
    <x v="0"/>
    <x v="0"/>
    <n v="85000000"/>
    <x v="9"/>
    <x v="38"/>
    <n v="85000000"/>
    <n v="183405771"/>
    <x v="1316"/>
    <x v="1316"/>
    <x v="3"/>
  </r>
  <r>
    <x v="223"/>
    <n v="59"/>
    <n v="2073984"/>
    <s v="Drama|Romance"/>
    <s v="Victor Rasuk"/>
    <x v="1317"/>
    <n v="4743"/>
    <s v="based on short film|manhattan new york city|urination|vomiting|watching television"/>
    <n v="135"/>
    <x v="0"/>
    <x v="8"/>
    <n v="800000"/>
    <x v="13"/>
    <x v="33"/>
    <n v="867792"/>
    <n v="2249733.4041599999"/>
    <x v="1317"/>
    <x v="1317"/>
    <x v="5"/>
  </r>
  <r>
    <x v="889"/>
    <n v="82"/>
    <n v="36037909"/>
    <s v="Comedy|Drama"/>
    <s v="Adam Arkin"/>
    <x v="1318"/>
    <n v="10132"/>
    <s v="actress|clown costume|magazine|party planner|soap opera actress"/>
    <n v="130"/>
    <x v="0"/>
    <x v="5"/>
    <n v="60000000"/>
    <x v="4"/>
    <x v="27"/>
    <n v="65084400"/>
    <n v="39091761.408660002"/>
    <x v="1318"/>
    <x v="1318"/>
    <x v="4"/>
  </r>
  <r>
    <x v="353"/>
    <n v="228"/>
    <n v="20315324"/>
    <s v="Action|Adventure|Romance"/>
    <s v="Milla Jovovich"/>
    <x v="1319"/>
    <n v="88542"/>
    <s v="box office flop|cardinal richelieu|critically bashed|duel|musketeer"/>
    <n v="254"/>
    <x v="0"/>
    <x v="5"/>
    <n v="75000000"/>
    <x v="22"/>
    <x v="30"/>
    <n v="81355500"/>
    <n v="22036844.55576"/>
    <x v="1319"/>
    <x v="1319"/>
    <x v="1"/>
  </r>
  <r>
    <x v="862"/>
    <n v="159"/>
    <n v="53021560"/>
    <s v="Comedy|Drama|Romance"/>
    <s v="Vanessa Redgrave"/>
    <x v="1320"/>
    <n v="74630"/>
    <s v="chick flick|female protagonist|italian stereotype|man in a swimsuit|verona italy"/>
    <n v="156"/>
    <x v="0"/>
    <x v="0"/>
    <n v="30000000"/>
    <x v="11"/>
    <x v="20"/>
    <n v="30000000"/>
    <n v="53021560"/>
    <x v="1320"/>
    <x v="1320"/>
    <x v="4"/>
  </r>
  <r>
    <x v="730"/>
    <n v="323"/>
    <n v="22877808"/>
    <s v="Drama|Romance"/>
    <s v="Leonardo DiCaprio"/>
    <x v="1321"/>
    <n v="152591"/>
    <s v="based on novel|children|connecticut|suburb|work"/>
    <n v="414"/>
    <x v="0"/>
    <x v="0"/>
    <n v="35000000"/>
    <x v="20"/>
    <x v="4"/>
    <n v="35000000"/>
    <n v="22877808"/>
    <x v="1321"/>
    <x v="1321"/>
    <x v="5"/>
  </r>
  <r>
    <x v="890"/>
    <n v="82"/>
    <n v="91443253"/>
    <s v="Biography|Drama"/>
    <s v="Jacob Vargas"/>
    <x v="1322"/>
    <n v="21034"/>
    <s v="based on true story|christ|christian|near death experience|pastor"/>
    <n v="153"/>
    <x v="0"/>
    <x v="0"/>
    <n v="12000000"/>
    <x v="27"/>
    <x v="30"/>
    <n v="12000000"/>
    <n v="91443253"/>
    <x v="1322"/>
    <x v="1322"/>
    <x v="2"/>
  </r>
  <r>
    <x v="891"/>
    <n v="546"/>
    <n v="16377274"/>
    <s v="Drama"/>
    <s v="Mike Howard"/>
    <x v="1323"/>
    <n v="105144"/>
    <s v="drifter|past life regression|psychological testing|right hand man|scientology"/>
    <n v="405"/>
    <x v="0"/>
    <x v="0"/>
    <n v="32000000"/>
    <x v="28"/>
    <x v="17"/>
    <n v="32000000"/>
    <n v="16377274"/>
    <x v="1323"/>
    <x v="1323"/>
    <x v="5"/>
  </r>
  <r>
    <x v="184"/>
    <n v="84"/>
    <n v="41895491"/>
    <s v="Comedy|Drama|Fantasy"/>
    <s v="Jeff Bridges"/>
    <x v="1324"/>
    <n v="63274"/>
    <s v="friendship|holy grail|massacre|redemption|video store"/>
    <n v="170"/>
    <x v="0"/>
    <x v="0"/>
    <n v="24000000"/>
    <x v="38"/>
    <x v="10"/>
    <n v="24000000"/>
    <n v="41895491"/>
    <x v="1324"/>
    <x v="1324"/>
    <x v="4"/>
  </r>
  <r>
    <x v="33"/>
    <n v="204"/>
    <n v="38400000"/>
    <s v="Action|Sci-Fi"/>
    <s v="Michael Biehn"/>
    <x v="1325"/>
    <n v="600266"/>
    <s v="cyborg|future war|robot|shootout in a police station|urban setting"/>
    <n v="692"/>
    <x v="0"/>
    <x v="2"/>
    <n v="6500000"/>
    <x v="17"/>
    <x v="40"/>
    <n v="8355099.9999999898"/>
    <n v="49359359.999999903"/>
    <x v="1325"/>
    <x v="1325"/>
    <x v="1"/>
  </r>
  <r>
    <x v="254"/>
    <n v="66"/>
    <n v="50000000"/>
    <s v="Drama|Family|Musical|Romance"/>
    <s v="Topol"/>
    <x v="1326"/>
    <n v="29839"/>
    <s v="immigration|jewish|pogrom|tradition|tradition versus modernity"/>
    <n v="150"/>
    <x v="0"/>
    <x v="0"/>
    <n v="9000000"/>
    <x v="40"/>
    <x v="3"/>
    <n v="9000000"/>
    <n v="50000000"/>
    <x v="1326"/>
    <x v="1326"/>
    <x v="5"/>
  </r>
  <r>
    <x v="892"/>
    <n v="19"/>
    <n v="27979400"/>
    <s v="Action|Comedy|Crime"/>
    <s v="Jon Lovitz"/>
    <x v="1327"/>
    <n v="37611"/>
    <s v="cookie|detective|microfilm|parody|sergeant"/>
    <n v="72"/>
    <x v="0"/>
    <x v="0"/>
    <n v="8200000"/>
    <x v="23"/>
    <x v="7"/>
    <n v="8200000"/>
    <n v="27979400"/>
    <x v="1327"/>
    <x v="1327"/>
    <x v="1"/>
  </r>
  <r>
    <x v="893"/>
    <n v="135"/>
    <n v="3432342"/>
    <s v="Comedy|Crime|Drama|Mystery|Romance"/>
    <s v="Marie-JosÃ©e Croze"/>
    <x v="1328"/>
    <n v="24921"/>
    <s v="cancer|dying|friend|money|socialist"/>
    <n v="166"/>
    <x v="4"/>
    <x v="9"/>
    <n v="6000000"/>
    <x v="19"/>
    <x v="9"/>
    <n v="4340430"/>
    <n v="2482973.36450999"/>
    <x v="1328"/>
    <x v="1328"/>
    <x v="4"/>
  </r>
  <r>
    <x v="894"/>
    <n v="33"/>
    <n v="4109095"/>
    <s v="Crime|Drama|History|Romance"/>
    <s v="Indira Varma"/>
    <x v="1329"/>
    <n v="8239"/>
    <s v="courtesan|friend|kama sutra|seduction|wedding"/>
    <n v="92"/>
    <x v="0"/>
    <x v="0"/>
    <n v="3000000"/>
    <x v="10"/>
    <x v="11"/>
    <n v="3000000"/>
    <n v="4109095"/>
    <x v="1329"/>
    <x v="1329"/>
    <x v="3"/>
  </r>
  <r>
    <x v="357"/>
    <n v="350"/>
    <n v="179883016"/>
    <s v="Action|Adventure|Fantasy|Sci-Fi|Thriller"/>
    <s v="Hugh Jackman"/>
    <x v="1330"/>
    <n v="361924"/>
    <s v="army|civil war|claw fight|commando|wolverine the character"/>
    <n v="641"/>
    <x v="0"/>
    <x v="0"/>
    <n v="150000000"/>
    <x v="16"/>
    <x v="21"/>
    <n v="150000000"/>
    <n v="179883016"/>
    <x v="1330"/>
    <x v="1330"/>
    <x v="1"/>
  </r>
  <r>
    <x v="895"/>
    <n v="23"/>
    <n v="25842000"/>
    <s v="Biography|Drama|Romance"/>
    <s v="Anthony Hopkins"/>
    <x v="1331"/>
    <n v="13455"/>
    <s v="author|book|england|friend|oxford"/>
    <n v="87"/>
    <x v="0"/>
    <x v="2"/>
    <n v="22000000"/>
    <x v="23"/>
    <x v="39"/>
    <n v="28278799.999999899"/>
    <n v="33217306.7999999"/>
    <x v="1331"/>
    <x v="1331"/>
    <x v="2"/>
  </r>
  <r>
    <x v="403"/>
    <n v="210"/>
    <n v="13214030"/>
    <s v="Comedy|Drama|Fantasy|Romance"/>
    <s v="Aasif Mandvi"/>
    <x v="1332"/>
    <n v="60516"/>
    <s v="bouquet of roses|bright light|cardiopulmonary resuscitation|ghost|white rose"/>
    <n v="147"/>
    <x v="0"/>
    <x v="0"/>
    <n v="20000000"/>
    <x v="20"/>
    <x v="21"/>
    <n v="20000000"/>
    <n v="13214030"/>
    <x v="1332"/>
    <x v="1332"/>
    <x v="4"/>
  </r>
  <r>
    <x v="896"/>
    <n v="106"/>
    <n v="128978"/>
    <s v="Action|Drama|History|Romance|War"/>
    <s v="Jet Li"/>
    <x v="1333"/>
    <n v="22897"/>
    <s v="assassination|blood brother|dynasty|general|stabbing a woman"/>
    <n v="61"/>
    <x v="15"/>
    <x v="4"/>
    <n v="40000000"/>
    <x v="15"/>
    <x v="17"/>
    <n v="5123772"/>
    <n v="16521.346625399899"/>
    <x v="1333"/>
    <x v="1333"/>
    <x v="1"/>
  </r>
  <r>
    <x v="897"/>
    <n v="459"/>
    <n v="80034302"/>
    <s v="Action|Adventure|Horror|Sci-Fi"/>
    <s v="Mike Vogel"/>
    <x v="1334"/>
    <n v="296787"/>
    <s v="brooklyn new york city|found footage|night vision|statue of liberty new york city|subway tunnel"/>
    <n v="2192"/>
    <x v="0"/>
    <x v="0"/>
    <n v="25000000"/>
    <x v="20"/>
    <x v="16"/>
    <n v="25000000"/>
    <n v="80034302"/>
    <x v="1334"/>
    <x v="1334"/>
    <x v="1"/>
  </r>
  <r>
    <x v="183"/>
    <n v="355"/>
    <n v="40983001"/>
    <s v="Crime|Drama|Thriller"/>
    <s v="Jake Gyllenhaal"/>
    <x v="1335"/>
    <n v="181025"/>
    <s v="lapd|police|police officer|south central los angeles|street gang"/>
    <n v="336"/>
    <x v="0"/>
    <x v="0"/>
    <n v="7000000"/>
    <x v="28"/>
    <x v="9"/>
    <n v="7000000"/>
    <n v="40983001"/>
    <x v="1335"/>
    <x v="1335"/>
    <x v="3"/>
  </r>
  <r>
    <x v="898"/>
    <n v="189"/>
    <n v="27736779"/>
    <s v="Horror|Mystery|Thriller"/>
    <s v="Laila Haley"/>
    <x v="1336"/>
    <n v="25210"/>
    <s v="deputy|farmhouse|nightmare|private investigator|rural"/>
    <n v="126"/>
    <x v="0"/>
    <x v="0"/>
    <n v="10000000"/>
    <x v="1"/>
    <x v="44"/>
    <n v="10000000"/>
    <n v="27736779"/>
    <x v="1336"/>
    <x v="1336"/>
    <x v="6"/>
  </r>
  <r>
    <x v="899"/>
    <n v="93"/>
    <n v="16088610"/>
    <s v="Comedy|Drama|Family|Fantasy"/>
    <s v="Stephen Root"/>
    <x v="1337"/>
    <n v="10417"/>
    <s v="blanket|competition|family relationships|feather|sleepover"/>
    <n v="39"/>
    <x v="0"/>
    <x v="0"/>
    <n v="55000000"/>
    <x v="16"/>
    <x v="15"/>
    <n v="55000000"/>
    <n v="16088610"/>
    <x v="1337"/>
    <x v="1337"/>
    <x v="4"/>
  </r>
  <r>
    <x v="900"/>
    <n v="346"/>
    <n v="6262942"/>
    <s v="Action|Adventure|Drama"/>
    <s v="Robert Redford"/>
    <x v="1338"/>
    <n v="59545"/>
    <s v="boat|container|sea|shipping container|storm"/>
    <n v="312"/>
    <x v="0"/>
    <x v="0"/>
    <n v="9000000"/>
    <x v="0"/>
    <x v="31"/>
    <n v="9000000"/>
    <n v="6262942"/>
    <x v="1338"/>
    <x v="1338"/>
    <x v="1"/>
  </r>
  <r>
    <x v="901"/>
    <n v="14"/>
    <n v="105943"/>
    <s v="Comedy"/>
    <s v="Jay Mohr"/>
    <x v="1339"/>
    <n v="1351"/>
    <s v="girl in panties|panties|red panties|stand up comedy"/>
    <n v="11"/>
    <x v="0"/>
    <x v="0"/>
    <n v="1500000"/>
    <x v="1"/>
    <x v="7"/>
    <n v="1500000"/>
    <n v="105943"/>
    <x v="1339"/>
    <x v="1339"/>
    <x v="4"/>
  </r>
  <r>
    <x v="213"/>
    <n v="329"/>
    <n v="292000866"/>
    <s v="Adventure|Family|Fantasy|Mystery"/>
    <s v="Robert Pattinson"/>
    <x v="1340"/>
    <n v="355137"/>
    <s v="battle|magic|school|teacher|wizard"/>
    <n v="1108"/>
    <x v="0"/>
    <x v="2"/>
    <n v="150000000"/>
    <x v="15"/>
    <x v="2"/>
    <n v="192809999.99999899"/>
    <n v="375337913.15639901"/>
    <x v="1340"/>
    <x v="1340"/>
    <x v="0"/>
  </r>
  <r>
    <x v="257"/>
    <n v="133"/>
    <n v="89808372"/>
    <s v="Comedy"/>
    <s v="Mary Lynn Rajskub"/>
    <x v="1341"/>
    <n v="46417"/>
    <s v="animal rights|congresswoman|doorman|transvestism|washington d.c."/>
    <n v="297"/>
    <x v="0"/>
    <x v="0"/>
    <n v="45000000"/>
    <x v="19"/>
    <x v="34"/>
    <n v="45000000"/>
    <n v="89808372"/>
    <x v="1341"/>
    <x v="1341"/>
    <x v="4"/>
  </r>
  <r>
    <x v="902"/>
    <n v="89"/>
    <n v="22913677"/>
    <s v="Comedy|Family|Fantasy|Romance"/>
    <s v="Anne Hathaway"/>
    <x v="1342"/>
    <n v="47800"/>
    <s v="curse|fairy|obedience|prince|strong female character"/>
    <n v="244"/>
    <x v="0"/>
    <x v="0"/>
    <n v="35000000"/>
    <x v="2"/>
    <x v="23"/>
    <n v="35000000"/>
    <n v="22913677"/>
    <x v="1342"/>
    <x v="1342"/>
    <x v="4"/>
  </r>
  <r>
    <x v="71"/>
    <n v="305"/>
    <n v="52418902"/>
    <s v="Drama|Sport"/>
    <s v="Jake Gyllenhaal"/>
    <x v="1343"/>
    <n v="147128"/>
    <s v="boxer|boxing training|death of wife|male in shower|rage"/>
    <n v="277"/>
    <x v="0"/>
    <x v="0"/>
    <n v="30000000"/>
    <x v="1"/>
    <x v="2"/>
    <n v="30000000"/>
    <n v="52418902"/>
    <x v="1343"/>
    <x v="1343"/>
    <x v="5"/>
  </r>
  <r>
    <x v="903"/>
    <n v="75"/>
    <n v="27281507"/>
    <s v="Comedy|Drama|Family|Fantasy|Musical"/>
    <s v="Steven Mackintosh"/>
    <x v="1344"/>
    <n v="33850"/>
    <s v="christmas|christmas eve|miser|muppet|scrooge"/>
    <n v="147"/>
    <x v="0"/>
    <x v="0"/>
    <n v="12000000"/>
    <x v="8"/>
    <x v="9"/>
    <n v="12000000"/>
    <n v="27281507"/>
    <x v="1344"/>
    <x v="1344"/>
    <x v="4"/>
  </r>
  <r>
    <x v="904"/>
    <n v="127"/>
    <n v="63939454"/>
    <s v="Adventure|Comedy|Family|Sci-Fi"/>
    <s v="Michael Angarano"/>
    <x v="1345"/>
    <n v="61321"/>
    <s v="coming of age|friend|high school|sidekick|superpower"/>
    <n v="217"/>
    <x v="0"/>
    <x v="0"/>
    <n v="35000000"/>
    <x v="25"/>
    <x v="5"/>
    <n v="35000000"/>
    <n v="63939454"/>
    <x v="1345"/>
    <x v="1345"/>
    <x v="0"/>
  </r>
  <r>
    <x v="638"/>
    <n v="165"/>
    <n v="78845130"/>
    <s v="Action|Horror|Sci-Fi|Thriller"/>
    <s v="Frank Grillo"/>
    <x v="1346"/>
    <n v="17596"/>
    <s v="cathedral|minister|presidential election|reference to george washington|ritual sacrifice"/>
    <n v="94"/>
    <x v="0"/>
    <x v="8"/>
    <n v="10000000"/>
    <x v="24"/>
    <x v="7"/>
    <n v="10847400"/>
    <n v="85526466.316200003"/>
    <x v="1346"/>
    <x v="1346"/>
    <x v="1"/>
  </r>
  <r>
    <x v="509"/>
    <n v="171"/>
    <n v="77862546"/>
    <s v="Action|Crime|Drama|Thriller"/>
    <s v="Denzel Washington"/>
    <x v="1347"/>
    <n v="266310"/>
    <s v="bodyguard|journalist|kidnapping|mexico|police corruption"/>
    <n v="690"/>
    <x v="0"/>
    <x v="0"/>
    <n v="70000000"/>
    <x v="2"/>
    <x v="9"/>
    <n v="70000000"/>
    <n v="77862546"/>
    <x v="1347"/>
    <x v="1347"/>
    <x v="1"/>
  </r>
  <r>
    <x v="771"/>
    <n v="75"/>
    <n v="65000000"/>
    <s v="Comedy|Drama|Romance"/>
    <s v="Shawna Waldron"/>
    <x v="1348"/>
    <n v="43027"/>
    <s v="lobbyist|president|senator|state dinner|widower"/>
    <n v="214"/>
    <x v="0"/>
    <x v="0"/>
    <n v="62000000"/>
    <x v="33"/>
    <x v="22"/>
    <n v="62000000"/>
    <n v="65000000"/>
    <x v="1348"/>
    <x v="1348"/>
    <x v="4"/>
  </r>
  <r>
    <x v="902"/>
    <n v="63"/>
    <n v="11560259"/>
    <s v="Comedy|Romance"/>
    <s v="Mila Kunis"/>
    <x v="1349"/>
    <n v="15617"/>
    <s v="basketball|dancer|high school|love triangle|shakespeare's a midsummer night's dream"/>
    <n v="180"/>
    <x v="0"/>
    <x v="0"/>
    <n v="22000000"/>
    <x v="9"/>
    <x v="30"/>
    <n v="22000000"/>
    <n v="11560259"/>
    <x v="1349"/>
    <x v="1349"/>
    <x v="4"/>
  </r>
  <r>
    <x v="424"/>
    <n v="265"/>
    <n v="34350553"/>
    <s v="Action|Comedy|Sci-Fi"/>
    <s v="Will Forte"/>
    <x v="509"/>
    <n v="104072"/>
    <s v="alien|escape|manager|neighborhood watch|ohio"/>
    <n v="207"/>
    <x v="0"/>
    <x v="0"/>
    <n v="68000000"/>
    <x v="28"/>
    <x v="35"/>
    <n v="68000000"/>
    <n v="34350553"/>
    <x v="509"/>
    <x v="509"/>
    <x v="1"/>
  </r>
  <r>
    <x v="905"/>
    <n v="182"/>
    <n v="3519627"/>
    <s v="Adventure|Comedy|Drama|Romance"/>
    <s v="Zachary Gordon"/>
    <x v="1350"/>
    <n v="41737"/>
    <s v="con man|eccentric|heiress|love|revenge"/>
    <n v="105"/>
    <x v="0"/>
    <x v="0"/>
    <n v="20000000"/>
    <x v="20"/>
    <x v="31"/>
    <n v="20000000"/>
    <n v="3519627"/>
    <x v="1350"/>
    <x v="1350"/>
    <x v="0"/>
  </r>
  <r>
    <x v="906"/>
    <n v="144"/>
    <n v="5542025"/>
    <s v="Comedy"/>
    <s v="John Michael Higgins"/>
    <x v="1351"/>
    <n v="12197"/>
    <s v="actor|internet|make up|publicist|purim"/>
    <n v="150"/>
    <x v="0"/>
    <x v="0"/>
    <n v="12000000"/>
    <x v="7"/>
    <x v="23"/>
    <n v="12000000"/>
    <n v="5542025"/>
    <x v="1351"/>
    <x v="1351"/>
    <x v="4"/>
  </r>
  <r>
    <x v="907"/>
    <n v="95"/>
    <n v="5664251"/>
    <s v="Action|Fantasy|Western"/>
    <s v="Tony Cox"/>
    <x v="1352"/>
    <n v="22309"/>
    <s v="bullet time|explosion|knife throwing|throwing a knife|violence"/>
    <n v="102"/>
    <x v="0"/>
    <x v="11"/>
    <n v="45000000"/>
    <x v="11"/>
    <x v="23"/>
    <n v="26493525"/>
    <n v="3334799.4549949998"/>
    <x v="1352"/>
    <x v="1352"/>
    <x v="1"/>
  </r>
  <r>
    <x v="908"/>
    <n v="99"/>
    <n v="48546578"/>
    <s v="Comedy|Romance"/>
    <s v="Alyson Hannigan"/>
    <x v="1353"/>
    <n v="50415"/>
    <s v="female protagonist|greek|overweight|spoof|wedding planner"/>
    <n v="613"/>
    <x v="0"/>
    <x v="0"/>
    <n v="20000000"/>
    <x v="7"/>
    <x v="29"/>
    <n v="20000000"/>
    <n v="48546578"/>
    <x v="1353"/>
    <x v="1353"/>
    <x v="4"/>
  </r>
  <r>
    <x v="345"/>
    <n v="180"/>
    <n v="11100000"/>
    <s v="Action|Adventure|Comedy|Fantasy"/>
    <s v="Victor Wong"/>
    <x v="1354"/>
    <n v="92464"/>
    <s v="1980s|airport|cb radio|truck|truck driver"/>
    <n v="331"/>
    <x v="0"/>
    <x v="0"/>
    <n v="25000000"/>
    <x v="18"/>
    <x v="4"/>
    <n v="25000000"/>
    <n v="11100000"/>
    <x v="1354"/>
    <x v="1354"/>
    <x v="1"/>
  </r>
  <r>
    <x v="740"/>
    <n v="418"/>
    <n v="141319195"/>
    <s v="Drama|Romance"/>
    <s v="Anil Kapoor"/>
    <x v="1355"/>
    <n v="641997"/>
    <s v="cheating|falling from height|murder|non professional cast|slum"/>
    <n v="1017"/>
    <x v="0"/>
    <x v="2"/>
    <n v="15000000"/>
    <x v="20"/>
    <x v="3"/>
    <n v="19281000"/>
    <n v="181651693.25299999"/>
    <x v="1355"/>
    <x v="1355"/>
    <x v="5"/>
  </r>
  <r>
    <x v="909"/>
    <n v="220"/>
    <n v="17508670"/>
    <s v="Crime|Drama|Romance|Thriller"/>
    <s v="Phil Davis"/>
    <x v="1356"/>
    <n v="64625"/>
    <s v="age difference|school|student|teacher|writing"/>
    <n v="281"/>
    <x v="0"/>
    <x v="2"/>
    <n v="15000000"/>
    <x v="7"/>
    <x v="39"/>
    <n v="19281000"/>
    <n v="22505644.417999901"/>
    <x v="1356"/>
    <x v="1356"/>
    <x v="3"/>
  </r>
  <r>
    <x v="910"/>
    <n v="608"/>
    <n v="408992272"/>
    <s v="Action|Adventure|Sci-Fi"/>
    <s v="Robert Downey Jr."/>
    <x v="1357"/>
    <n v="557489"/>
    <s v="armor|explosion|human bomb|missile attack|terrorist"/>
    <n v="1187"/>
    <x v="0"/>
    <x v="0"/>
    <n v="200000000"/>
    <x v="0"/>
    <x v="33"/>
    <n v="200000000"/>
    <n v="408992272"/>
    <x v="1357"/>
    <x v="1357"/>
    <x v="1"/>
  </r>
  <r>
    <x v="890"/>
    <n v="160"/>
    <n v="59699513"/>
    <s v="Biography|Drama|Family|History|Sport"/>
    <s v="Scott Glenn"/>
    <x v="1358"/>
    <n v="20827"/>
    <s v="eccentric|horse racing|newspaper clipping|stallion|triple crown"/>
    <n v="136"/>
    <x v="0"/>
    <x v="0"/>
    <n v="35000000"/>
    <x v="11"/>
    <x v="33"/>
    <n v="35000000"/>
    <n v="59699513"/>
    <x v="1358"/>
    <x v="1358"/>
    <x v="2"/>
  </r>
  <r>
    <x v="911"/>
    <n v="327"/>
    <n v="16097842"/>
    <s v="Biography|Drama|Romance"/>
    <s v="Ahna O'Reilly"/>
    <x v="1359"/>
    <n v="53919"/>
    <s v="22 year old|b.a.r.t.|bay area|birthday|police"/>
    <n v="168"/>
    <x v="0"/>
    <x v="0"/>
    <n v="900000"/>
    <x v="0"/>
    <x v="2"/>
    <n v="900000"/>
    <n v="16097842"/>
    <x v="1359"/>
    <x v="1359"/>
    <x v="2"/>
  </r>
  <r>
    <x v="912"/>
    <n v="175"/>
    <n v="52320979"/>
    <s v="Drama|Fantasy|Romance"/>
    <s v="Keanu Reeves"/>
    <x v="1360"/>
    <n v="114321"/>
    <s v="house|lake|letter|love across time|parallel time"/>
    <n v="548"/>
    <x v="0"/>
    <x v="0"/>
    <n v="40000000"/>
    <x v="7"/>
    <x v="22"/>
    <n v="40000000"/>
    <n v="52320979"/>
    <x v="1360"/>
    <x v="1360"/>
    <x v="5"/>
  </r>
  <r>
    <x v="913"/>
    <n v="325"/>
    <n v="94822707"/>
    <s v="Action|Adventure|Drama|Thriller"/>
    <s v="Denzel Washington"/>
    <x v="1361"/>
    <n v="227072"/>
    <s v="blind|book|long take|post apocalypse|water"/>
    <n v="560"/>
    <x v="0"/>
    <x v="0"/>
    <n v="80000000"/>
    <x v="11"/>
    <x v="31"/>
    <n v="80000000"/>
    <n v="94822707"/>
    <x v="1361"/>
    <x v="1361"/>
    <x v="1"/>
  </r>
  <r>
    <x v="493"/>
    <n v="51"/>
    <n v="34700000"/>
    <s v="Drama|Romance"/>
    <s v="Keanu Reeves"/>
    <x v="1362"/>
    <n v="52846"/>
    <s v="catholic|corruption|emotional abuse|france|seduction"/>
    <n v="143"/>
    <x v="0"/>
    <x v="0"/>
    <n v="14000000"/>
    <x v="34"/>
    <x v="9"/>
    <n v="14000000"/>
    <n v="34700000"/>
    <x v="171"/>
    <x v="1362"/>
    <x v="5"/>
  </r>
  <r>
    <x v="358"/>
    <n v="206"/>
    <n v="25040293"/>
    <s v="Action|Adventure|Fantasy"/>
    <s v="Jet Li"/>
    <x v="1363"/>
    <n v="88049"/>
    <s v="monkey king|staff|teenager|urination|warrior"/>
    <n v="279"/>
    <x v="0"/>
    <x v="0"/>
    <n v="55000000"/>
    <x v="20"/>
    <x v="14"/>
    <n v="55000000"/>
    <n v="25040293"/>
    <x v="1362"/>
    <x v="1363"/>
    <x v="1"/>
  </r>
  <r>
    <x v="308"/>
    <n v="93"/>
    <n v="67155742"/>
    <s v="Action|Adventure|Thriller"/>
    <s v="Jamie RenÃ©e Smith"/>
    <x v="1364"/>
    <n v="62271"/>
    <s v="ash|escape|lava|mayor|volcano"/>
    <n v="277"/>
    <x v="0"/>
    <x v="0"/>
    <n v="116000000"/>
    <x v="31"/>
    <x v="30"/>
    <n v="116000000"/>
    <n v="67155742"/>
    <x v="1363"/>
    <x v="1364"/>
    <x v="1"/>
  </r>
  <r>
    <x v="150"/>
    <n v="178"/>
    <n v="55845943"/>
    <s v="Action|Crime|Thriller"/>
    <s v="Johnny Depp"/>
    <x v="1365"/>
    <n v="130094"/>
    <s v="agent|cia|mariachi|mexican|president"/>
    <n v="471"/>
    <x v="0"/>
    <x v="0"/>
    <n v="29000000"/>
    <x v="19"/>
    <x v="24"/>
    <n v="29000000"/>
    <n v="55845943"/>
    <x v="1364"/>
    <x v="1365"/>
    <x v="1"/>
  </r>
  <r>
    <x v="914"/>
    <n v="411"/>
    <n v="71897215"/>
    <s v="Drama|Horror|Mystery|Sci-Fi|Thriller"/>
    <s v="Bradley Cooper"/>
    <x v="1366"/>
    <n v="126893"/>
    <s v="alien|bunker|car crash|kidnapping|minimal cast"/>
    <n v="440"/>
    <x v="0"/>
    <x v="0"/>
    <n v="15000000"/>
    <x v="24"/>
    <x v="4"/>
    <n v="15000000"/>
    <n v="71897215"/>
    <x v="1365"/>
    <x v="1366"/>
    <x v="5"/>
  </r>
  <r>
    <x v="701"/>
    <n v="191"/>
    <n v="31990064"/>
    <s v="Drama|Mystery|Romance"/>
    <s v="Nat Wolff"/>
    <x v="1367"/>
    <n v="63390"/>
    <s v="based on novel|female neighbor|friendship|travel|trip"/>
    <n v="160"/>
    <x v="0"/>
    <x v="0"/>
    <n v="12000000"/>
    <x v="1"/>
    <x v="24"/>
    <n v="12000000"/>
    <n v="31990064"/>
    <x v="1366"/>
    <x v="1367"/>
    <x v="5"/>
  </r>
  <r>
    <x v="345"/>
    <n v="318"/>
    <n v="47000000"/>
    <s v="Horror|Thriller"/>
    <s v="Jamie Lee Curtis"/>
    <x v="1103"/>
    <n v="157857"/>
    <s v="halloween|masked killer|michael myers|slasher|trick or treat"/>
    <n v="1191"/>
    <x v="0"/>
    <x v="0"/>
    <n v="300000"/>
    <x v="44"/>
    <x v="19"/>
    <n v="300000"/>
    <n v="47000000"/>
    <x v="1103"/>
    <x v="1103"/>
    <x v="6"/>
  </r>
  <r>
    <x v="332"/>
    <n v="169"/>
    <n v="59475623"/>
    <s v="Comedy|Sci-Fi|Thriller"/>
    <s v="Jon Lovitz"/>
    <x v="1368"/>
    <n v="49739"/>
    <s v="community|connecticut|fem bot|tv producer|writer"/>
    <n v="407"/>
    <x v="0"/>
    <x v="0"/>
    <n v="90000000"/>
    <x v="2"/>
    <x v="44"/>
    <n v="90000000"/>
    <n v="59475623"/>
    <x v="1367"/>
    <x v="1368"/>
    <x v="4"/>
  </r>
  <r>
    <x v="915"/>
    <n v="69"/>
    <n v="2353728"/>
    <s v="Comedy|Drama|Mystery|Romance|Thriller|War"/>
    <s v="Isabelle Adjani"/>
    <x v="1369"/>
    <n v="4293"/>
    <s v="actress|bordeaux|german|heavy water|nazi"/>
    <n v="53"/>
    <x v="4"/>
    <x v="8"/>
    <n v="20000000"/>
    <x v="19"/>
    <x v="31"/>
    <n v="21694800"/>
    <n v="2553182.91072"/>
    <x v="1368"/>
    <x v="1369"/>
    <x v="4"/>
  </r>
  <r>
    <x v="916"/>
    <n v="162"/>
    <n v="6712241"/>
    <s v="Crime|Drama"/>
    <s v="Ethan Suplee"/>
    <x v="1370"/>
    <n v="782437"/>
    <s v="curb stomping|neo nazi|prison|son dislikes mother's boyfriend|white supremacist"/>
    <n v="1420"/>
    <x v="0"/>
    <x v="0"/>
    <n v="7500000"/>
    <x v="6"/>
    <x v="43"/>
    <n v="7500000"/>
    <n v="6712241"/>
    <x v="1369"/>
    <x v="1370"/>
    <x v="3"/>
  </r>
  <r>
    <x v="405"/>
    <n v="127"/>
    <n v="32003620"/>
    <s v="Action|Crime|Thriller"/>
    <s v="Richard Burgi"/>
    <x v="1371"/>
    <n v="79141"/>
    <s v="cell phone|distress signal|family in danger|police|stealing a car"/>
    <n v="355"/>
    <x v="0"/>
    <x v="0"/>
    <n v="25000000"/>
    <x v="2"/>
    <x v="20"/>
    <n v="25000000"/>
    <n v="32003620"/>
    <x v="1370"/>
    <x v="1371"/>
    <x v="1"/>
  </r>
  <r>
    <x v="917"/>
    <n v="138"/>
    <n v="1183354"/>
    <s v="Action|Comedy|Crime|Fantasy|Horror|Mystery|Sci-Fi|Thriller"/>
    <s v="Marco St. John"/>
    <x v="1372"/>
    <n v="13026"/>
    <s v="close up of eyes|monster|quirkiness|supernatural|vomiting"/>
    <n v="75"/>
    <x v="0"/>
    <x v="0"/>
    <n v="20000000"/>
    <x v="11"/>
    <x v="37"/>
    <n v="20000000"/>
    <n v="1183354"/>
    <x v="1371"/>
    <x v="1372"/>
    <x v="1"/>
  </r>
  <r>
    <x v="31"/>
    <n v="288"/>
    <n v="4463292"/>
    <s v="Drama|History|Thriller"/>
    <s v="Vanessa Redgrave"/>
    <x v="1373"/>
    <n v="34488"/>
    <s v="earl of oxford|play|queen|rebellion|shakespeare play"/>
    <n v="136"/>
    <x v="0"/>
    <x v="2"/>
    <n v="30000000"/>
    <x v="22"/>
    <x v="31"/>
    <n v="38562000"/>
    <n v="5737115.5367999999"/>
    <x v="1372"/>
    <x v="1373"/>
    <x v="5"/>
  </r>
  <r>
    <x v="201"/>
    <n v="40"/>
    <n v="3468572"/>
    <s v="Drama"/>
    <s v="Michael Wincott"/>
    <x v="1374"/>
    <n v="10073"/>
    <s v="listener|neo nazi|radio|radio station|radio talk show"/>
    <n v="78"/>
    <x v="0"/>
    <x v="0"/>
    <n v="4000000"/>
    <x v="34"/>
    <x v="4"/>
    <n v="4000000"/>
    <n v="3468572"/>
    <x v="1373"/>
    <x v="1374"/>
    <x v="5"/>
  </r>
  <r>
    <x v="918"/>
    <n v="40"/>
    <n v="7017178"/>
    <s v="Drama|Family|Music|Musical"/>
    <s v="Jennifer Hudson"/>
    <x v="1375"/>
    <n v="1633"/>
    <s v="based on stage musical|based on the bible|christmas|color in title|nativity"/>
    <n v="17"/>
    <x v="0"/>
    <x v="0"/>
    <n v="17500000"/>
    <x v="0"/>
    <x v="8"/>
    <n v="17500000"/>
    <n v="7017178"/>
    <x v="1374"/>
    <x v="1375"/>
    <x v="5"/>
  </r>
  <r>
    <x v="815"/>
    <n v="103"/>
    <n v="38119483"/>
    <s v="Adventure|Comedy|Sci-Fi"/>
    <s v="Joan Rivers"/>
    <x v="1376"/>
    <n v="136667"/>
    <s v="parody|planet enclosed within shield|sci fi spoof|self referential|winnebago"/>
    <n v="273"/>
    <x v="0"/>
    <x v="0"/>
    <n v="22700000"/>
    <x v="21"/>
    <x v="17"/>
    <n v="22700000"/>
    <n v="38119483"/>
    <x v="1375"/>
    <x v="1376"/>
    <x v="0"/>
  </r>
  <r>
    <x v="919"/>
    <n v="25"/>
    <n v="2301777"/>
    <s v="Comedy"/>
    <s v="Hill Harper"/>
    <x v="1377"/>
    <n v="819"/>
    <s v="friend|new year's eve|screwball|self discovery|social differences"/>
    <n v="36"/>
    <x v="0"/>
    <x v="0"/>
    <n v="650000"/>
    <x v="31"/>
    <x v="20"/>
    <n v="650000"/>
    <n v="2301777"/>
    <x v="1376"/>
    <x v="1377"/>
    <x v="4"/>
  </r>
  <r>
    <x v="338"/>
    <n v="51"/>
    <n v="4301331"/>
    <s v="Comedy|Fantasy"/>
    <s v="Salma Hayek"/>
    <x v="1378"/>
    <n v="78241"/>
    <s v="bellhop|coven|gangster|hotel|new year's eve"/>
    <n v="177"/>
    <x v="0"/>
    <x v="0"/>
    <n v="4000000"/>
    <x v="33"/>
    <x v="21"/>
    <n v="4000000"/>
    <n v="4301331"/>
    <x v="1377"/>
    <x v="1378"/>
    <x v="4"/>
  </r>
  <r>
    <x v="124"/>
    <n v="375"/>
    <n v="138447667"/>
    <s v="Action|Comedy|Crime"/>
    <s v="Channing Tatum"/>
    <x v="1379"/>
    <n v="408302"/>
    <s v="narcotics|parody|police|remake|undercover cop"/>
    <n v="345"/>
    <x v="0"/>
    <x v="0"/>
    <n v="42000000"/>
    <x v="28"/>
    <x v="33"/>
    <n v="42000000"/>
    <n v="138447667"/>
    <x v="1378"/>
    <x v="1379"/>
    <x v="1"/>
  </r>
  <r>
    <x v="143"/>
    <n v="265"/>
    <n v="130313314"/>
    <s v="Action|Adventure|Comedy"/>
    <s v="Bill Murray"/>
    <x v="1380"/>
    <n v="168172"/>
    <s v="airplane|misunderstanding|obese woman|overweight woman|spy"/>
    <n v="380"/>
    <x v="0"/>
    <x v="0"/>
    <n v="80000000"/>
    <x v="20"/>
    <x v="20"/>
    <n v="80000000"/>
    <n v="130313314"/>
    <x v="1379"/>
    <x v="1380"/>
    <x v="1"/>
  </r>
  <r>
    <x v="920"/>
    <n v="66"/>
    <n v="4814244"/>
    <s v="Comedy|Romance"/>
    <s v="Jaime King"/>
    <x v="1381"/>
    <n v="12437"/>
    <s v="blackmail|fall|love|nerd|scam"/>
    <n v="107"/>
    <x v="0"/>
    <x v="9"/>
    <n v="11000000"/>
    <x v="13"/>
    <x v="1"/>
    <n v="7957455"/>
    <n v="3482648.1808199999"/>
    <x v="1380"/>
    <x v="1381"/>
    <x v="4"/>
  </r>
  <r>
    <x v="743"/>
    <n v="263"/>
    <n v="3707794"/>
    <s v="Adventure|Drama|Sci-Fi|Thriller"/>
    <s v="Kirsten Dunst"/>
    <x v="1382"/>
    <n v="31359"/>
    <s v="cult|father son relationship|gas station|on the run|supernatural ability"/>
    <n v="156"/>
    <x v="0"/>
    <x v="26"/>
    <n v="18000000"/>
    <x v="24"/>
    <x v="21"/>
    <n v="19525320"/>
    <n v="4021992.4635600001"/>
    <x v="1381"/>
    <x v="1382"/>
    <x v="0"/>
  </r>
  <r>
    <x v="39"/>
    <n v="36"/>
    <n v="18653615"/>
    <s v="Comedy|Drama"/>
    <s v="Natalie Portman"/>
    <x v="1383"/>
    <n v="14786"/>
    <s v="family relationships|female protagonist|nubile woman|policeman|teenager"/>
    <n v="103"/>
    <x v="0"/>
    <x v="0"/>
    <n v="23000000"/>
    <x v="12"/>
    <x v="7"/>
    <n v="23000000"/>
    <n v="18653615"/>
    <x v="1382"/>
    <x v="1383"/>
    <x v="4"/>
  </r>
  <r>
    <x v="921"/>
    <n v="39"/>
    <n v="20400913"/>
    <s v="Action|Comedy|Crime|Drama|Thriller"/>
    <s v="Alexa PenaVega"/>
    <x v="1384"/>
    <n v="15455"/>
    <s v="detective|heavy rain|murder|partner|serial killer"/>
    <n v="80"/>
    <x v="0"/>
    <x v="0"/>
    <n v="45000000"/>
    <x v="10"/>
    <x v="1"/>
    <n v="45000000"/>
    <n v="20400913"/>
    <x v="1383"/>
    <x v="1384"/>
    <x v="1"/>
  </r>
  <r>
    <x v="922"/>
    <n v="52"/>
    <n v="21564616"/>
    <s v="Comedy"/>
    <s v="Djimon Hounsou"/>
    <x v="1385"/>
    <n v="7098"/>
    <s v="woman wearing only a man's shirt"/>
    <n v="41"/>
    <x v="0"/>
    <x v="0"/>
    <n v="8500000"/>
    <x v="0"/>
    <x v="53"/>
    <n v="8500000"/>
    <n v="21564616"/>
    <x v="1384"/>
    <x v="1385"/>
    <x v="4"/>
  </r>
  <r>
    <x v="226"/>
    <n v="97"/>
    <n v="24268828"/>
    <s v="Action|Comedy|Family"/>
    <s v="Madeline Carroll"/>
    <x v="1386"/>
    <n v="29971"/>
    <s v="chinese|cia|single mother|spy|terrorist"/>
    <n v="71"/>
    <x v="0"/>
    <x v="0"/>
    <n v="28000000"/>
    <x v="11"/>
    <x v="26"/>
    <n v="28000000"/>
    <n v="24268828"/>
    <x v="1385"/>
    <x v="1386"/>
    <x v="1"/>
  </r>
  <r>
    <x v="364"/>
    <n v="170"/>
    <n v="27829874"/>
    <s v="Action|Crime|Thriller"/>
    <s v="Jason Statham"/>
    <x v="1387"/>
    <n v="196422"/>
    <s v="assassin|cult film|doctor|heart|poison"/>
    <n v="444"/>
    <x v="0"/>
    <x v="0"/>
    <n v="12000000"/>
    <x v="7"/>
    <x v="16"/>
    <n v="12000000"/>
    <n v="27829874"/>
    <x v="1386"/>
    <x v="1387"/>
    <x v="1"/>
  </r>
  <r>
    <x v="923"/>
    <n v="17"/>
    <n v="3273588"/>
    <s v="Action|Drama"/>
    <s v="Antoni Corone"/>
    <x v="1388"/>
    <n v="4195"/>
    <s v="capoeira|fight|fighting|martial arts|violence"/>
    <n v="50"/>
    <x v="0"/>
    <x v="0"/>
    <n v="6000000"/>
    <x v="23"/>
    <x v="21"/>
    <n v="6000000"/>
    <n v="3273588"/>
    <x v="1387"/>
    <x v="1388"/>
    <x v="1"/>
  </r>
  <r>
    <x v="632"/>
    <n v="323"/>
    <n v="256386216"/>
    <s v="Drama|Horror|Sci-Fi"/>
    <s v="Will Smith"/>
    <x v="1389"/>
    <n v="530870"/>
    <s v="new york city|pandemic|post apocalypse|survivalist|virus"/>
    <n v="1413"/>
    <x v="0"/>
    <x v="0"/>
    <n v="150000000"/>
    <x v="15"/>
    <x v="33"/>
    <n v="150000000"/>
    <n v="256386216"/>
    <x v="1388"/>
    <x v="1389"/>
    <x v="5"/>
  </r>
  <r>
    <x v="924"/>
    <n v="246"/>
    <n v="10049886"/>
    <s v="Adventure|Animation|Family|Fantasy"/>
    <s v="Bunta Sugawara"/>
    <x v="1390"/>
    <n v="417971"/>
    <s v="anime|bathhouse|pig|spirit|work"/>
    <n v="902"/>
    <x v="8"/>
    <x v="15"/>
    <n v="19000000"/>
    <x v="9"/>
    <x v="43"/>
    <n v="123435.4"/>
    <n v="65290.089387599997"/>
    <x v="1389"/>
    <x v="1390"/>
    <x v="0"/>
  </r>
  <r>
    <x v="277"/>
    <n v="128"/>
    <n v="47124400"/>
    <s v="Comedy|Family|Fantasy"/>
    <s v="Colin Firth"/>
    <x v="1391"/>
    <n v="49676"/>
    <s v="father|governess|magic|nanny|widower"/>
    <n v="181"/>
    <x v="0"/>
    <x v="0"/>
    <n v="25000000"/>
    <x v="25"/>
    <x v="14"/>
    <n v="25000000"/>
    <n v="47124400"/>
    <x v="1390"/>
    <x v="1391"/>
    <x v="4"/>
  </r>
  <r>
    <x v="194"/>
    <n v="229"/>
    <n v="57010853"/>
    <s v="Drama|Romance"/>
    <s v="Li Gong"/>
    <x v="1392"/>
    <n v="119286"/>
    <s v="coming of age|geisha|japan|jealousy|love"/>
    <n v="548"/>
    <x v="0"/>
    <x v="0"/>
    <n v="85000000"/>
    <x v="25"/>
    <x v="4"/>
    <n v="85000000"/>
    <n v="57010853"/>
    <x v="1391"/>
    <x v="1392"/>
    <x v="5"/>
  </r>
  <r>
    <x v="180"/>
    <n v="257"/>
    <n v="35799026"/>
    <s v="Action|Adventure|Romance|Sci-Fi|Thriller"/>
    <s v="Scarlett Johansson"/>
    <x v="1393"/>
    <n v="263329"/>
    <s v="clone|environment|escape|island|lottery"/>
    <n v="899"/>
    <x v="0"/>
    <x v="0"/>
    <n v="126000000"/>
    <x v="25"/>
    <x v="31"/>
    <n v="126000000"/>
    <n v="35799026"/>
    <x v="1392"/>
    <x v="1393"/>
    <x v="1"/>
  </r>
  <r>
    <x v="247"/>
    <n v="166"/>
    <n v="155019340"/>
    <s v="Adventure|Animation|Comedy|Family"/>
    <s v="Bruce Willis"/>
    <x v="1394"/>
    <n v="127345"/>
    <s v="bear|food|forest|raccoon|turtle"/>
    <n v="250"/>
    <x v="0"/>
    <x v="0"/>
    <n v="80000000"/>
    <x v="7"/>
    <x v="22"/>
    <n v="80000000"/>
    <n v="155019340"/>
    <x v="1393"/>
    <x v="1394"/>
    <x v="0"/>
  </r>
  <r>
    <x v="99"/>
    <n v="113"/>
    <n v="6144806"/>
    <s v="Biography|Drama|Music|Musical"/>
    <s v="Kevin Spacey"/>
    <x v="1395"/>
    <n v="12821"/>
    <s v="bobby darin|career|love|marriage|sandra dee"/>
    <n v="248"/>
    <x v="0"/>
    <x v="0"/>
    <n v="23000000"/>
    <x v="2"/>
    <x v="21"/>
    <n v="23000000"/>
    <n v="6144806"/>
    <x v="1394"/>
    <x v="1395"/>
    <x v="2"/>
  </r>
  <r>
    <x v="366"/>
    <n v="116"/>
    <n v="7496522"/>
    <s v="Comedy|Crime|Mystery|Romance"/>
    <s v="Woody Allen"/>
    <x v="1396"/>
    <n v="31798"/>
    <s v="efficiency expert|insurance investigator|magician|scorpion|thief"/>
    <n v="178"/>
    <x v="0"/>
    <x v="0"/>
    <n v="26000000"/>
    <x v="9"/>
    <x v="22"/>
    <n v="26000000"/>
    <n v="7496522"/>
    <x v="1395"/>
    <x v="1396"/>
    <x v="4"/>
  </r>
  <r>
    <x v="391"/>
    <n v="236"/>
    <n v="78009155"/>
    <s v="Action|Comedy|Crime"/>
    <s v="Matthew Broderick"/>
    <x v="1397"/>
    <n v="110073"/>
    <s v="apartment|fbi|fraud|heist|manager"/>
    <n v="194"/>
    <x v="0"/>
    <x v="0"/>
    <n v="75000000"/>
    <x v="22"/>
    <x v="5"/>
    <n v="75000000"/>
    <n v="78009155"/>
    <x v="1396"/>
    <x v="1397"/>
    <x v="1"/>
  </r>
  <r>
    <x v="925"/>
    <n v="8"/>
    <n v="2712293"/>
    <s v="Crime|Drama"/>
    <s v="Lawrence Gilliard Jr."/>
    <x v="1398"/>
    <n v="475"/>
    <s v="domestic violence|housing project|new york city|poverty|racism"/>
    <n v="11"/>
    <x v="0"/>
    <x v="0"/>
    <n v="450000"/>
    <x v="38"/>
    <x v="0"/>
    <n v="450000"/>
    <n v="2712293"/>
    <x v="1397"/>
    <x v="1398"/>
    <x v="3"/>
  </r>
  <r>
    <x v="212"/>
    <n v="273"/>
    <n v="33583175"/>
    <s v="Horror|Mystery|Thriller"/>
    <s v="Bojana Novakovic"/>
    <x v="1399"/>
    <n v="104089"/>
    <s v="devil|elevator|hit and run|throat slitting|trapped in an elevator"/>
    <n v="319"/>
    <x v="0"/>
    <x v="0"/>
    <n v="10000000"/>
    <x v="11"/>
    <x v="23"/>
    <n v="10000000"/>
    <n v="33583175"/>
    <x v="1398"/>
    <x v="1399"/>
    <x v="6"/>
  </r>
  <r>
    <x v="926"/>
    <n v="113"/>
    <n v="389804"/>
    <s v="Comedy|Drama|Romance"/>
    <s v="Lena Dunham"/>
    <x v="1400"/>
    <n v="11816"/>
    <s v="adult returns home|girl with glasses|hipster|shower|title directed by female"/>
    <n v="35"/>
    <x v="0"/>
    <x v="0"/>
    <n v="65000"/>
    <x v="11"/>
    <x v="23"/>
    <n v="65000"/>
    <n v="389804"/>
    <x v="1399"/>
    <x v="1400"/>
    <x v="4"/>
  </r>
  <r>
    <x v="927"/>
    <n v="84"/>
    <n v="406035"/>
    <s v="Drama"/>
    <s v="Ryan Gosling"/>
    <x v="1401"/>
    <n v="30314"/>
    <s v="jew|jewish nazi|nazism|racism|skinhead"/>
    <n v="159"/>
    <x v="0"/>
    <x v="0"/>
    <n v="1500000"/>
    <x v="9"/>
    <x v="33"/>
    <n v="1500000"/>
    <n v="406035"/>
    <x v="1400"/>
    <x v="1401"/>
    <x v="5"/>
  </r>
  <r>
    <x v="61"/>
    <n v="288"/>
    <n v="55092830"/>
    <s v="Action|Adventure|Sci-Fi|Thriller"/>
    <s v="Alex Pettyfer"/>
    <x v="1402"/>
    <n v="195043"/>
    <s v="based on young adult novel|good versus evil|guardian|human alien|ohio"/>
    <n v="329"/>
    <x v="0"/>
    <x v="0"/>
    <n v="60000000"/>
    <x v="22"/>
    <x v="7"/>
    <n v="60000000"/>
    <n v="55092830"/>
    <x v="1401"/>
    <x v="1402"/>
    <x v="1"/>
  </r>
  <r>
    <x v="928"/>
    <n v="115"/>
    <n v="8596914"/>
    <s v="Biography|Drama"/>
    <s v="John Heard"/>
    <x v="1403"/>
    <n v="23023"/>
    <s v="1940s|artist|drinking|life magazine|painter"/>
    <n v="148"/>
    <x v="0"/>
    <x v="0"/>
    <n v="6000000"/>
    <x v="4"/>
    <x v="16"/>
    <n v="6000000"/>
    <n v="8596914"/>
    <x v="1402"/>
    <x v="1403"/>
    <x v="2"/>
  </r>
  <r>
    <x v="784"/>
    <n v="63"/>
    <n v="16033556"/>
    <s v="Action|Comedy"/>
    <s v="Steve Oedekerk"/>
    <x v="1404"/>
    <n v="37901"/>
    <s v="chosen one|comic violence|intentionally bad|kung fu|stylized violence"/>
    <n v="518"/>
    <x v="0"/>
    <x v="0"/>
    <n v="10000000"/>
    <x v="13"/>
    <x v="5"/>
    <n v="10000000"/>
    <n v="16033556"/>
    <x v="1403"/>
    <x v="1404"/>
    <x v="1"/>
  </r>
  <r>
    <x v="673"/>
    <n v="114"/>
    <n v="41543207"/>
    <s v="Crime|Drama|Mystery|Thriller"/>
    <s v="Morgan Freeman"/>
    <x v="1405"/>
    <n v="30077"/>
    <s v="defense lawyer|lawyer|marine|murder|villager"/>
    <n v="175"/>
    <x v="0"/>
    <x v="0"/>
    <n v="42000000"/>
    <x v="13"/>
    <x v="23"/>
    <n v="42000000"/>
    <n v="41543207"/>
    <x v="1404"/>
    <x v="1405"/>
    <x v="3"/>
  </r>
  <r>
    <x v="929"/>
    <n v="129"/>
    <n v="82389560"/>
    <s v="Comedy"/>
    <s v="Rob Riggle"/>
    <x v="1406"/>
    <n v="106820"/>
    <s v="friendship between men|impersonating a police officer|mobster|party|police officer"/>
    <n v="147"/>
    <x v="0"/>
    <x v="0"/>
    <n v="17000000"/>
    <x v="27"/>
    <x v="20"/>
    <n v="17000000"/>
    <n v="82389560"/>
    <x v="1405"/>
    <x v="1406"/>
    <x v="4"/>
  </r>
  <r>
    <x v="624"/>
    <n v="190"/>
    <n v="37470017"/>
    <s v="Horror|Mystery"/>
    <s v="Eileen Brennan"/>
    <x v="1407"/>
    <n v="86890"/>
    <s v="demon|gore|record player|tattoo|wings"/>
    <n v="985"/>
    <x v="0"/>
    <x v="5"/>
    <n v="10000000"/>
    <x v="9"/>
    <x v="7"/>
    <n v="10847400"/>
    <n v="40645226.24058"/>
    <x v="1406"/>
    <x v="1407"/>
    <x v="6"/>
  </r>
  <r>
    <x v="653"/>
    <n v="373"/>
    <n v="169705587"/>
    <s v="Drama"/>
    <s v="Emma Stone"/>
    <x v="1408"/>
    <n v="318955"/>
    <s v="black servant|chocolate pie|jackson mississippi|maid|writing a novel"/>
    <n v="460"/>
    <x v="0"/>
    <x v="0"/>
    <n v="25000000"/>
    <x v="22"/>
    <x v="40"/>
    <n v="25000000"/>
    <n v="169705587"/>
    <x v="1407"/>
    <x v="1408"/>
    <x v="5"/>
  </r>
  <r>
    <x v="930"/>
    <n v="175"/>
    <n v="18381787"/>
    <s v="Comedy|Drama"/>
    <s v="Luke Newberry"/>
    <x v="1409"/>
    <n v="15684"/>
    <s v="divorced couple|opera|reference to giuseppe verdi|retirement|senility"/>
    <n v="126"/>
    <x v="0"/>
    <x v="2"/>
    <n v="11000000"/>
    <x v="28"/>
    <x v="22"/>
    <n v="14139399.999999899"/>
    <n v="23627949.009799998"/>
    <x v="1408"/>
    <x v="1409"/>
    <x v="4"/>
  </r>
  <r>
    <x v="931"/>
    <n v="27"/>
    <n v="4720371"/>
    <s v="Adventure|Biography|Drama"/>
    <s v="Anne Hathaway"/>
    <x v="1410"/>
    <n v="3203"/>
    <s v="1950s|idaho|love|missionary|mormon"/>
    <n v="85"/>
    <x v="0"/>
    <x v="0"/>
    <n v="7000000"/>
    <x v="9"/>
    <x v="20"/>
    <n v="7000000"/>
    <n v="4720371"/>
    <x v="1409"/>
    <x v="1410"/>
    <x v="0"/>
  </r>
  <r>
    <x v="226"/>
    <n v="35"/>
    <n v="130512915"/>
    <s v="Comedy|Family|Fantasy"/>
    <s v="Jonathan Winters"/>
    <x v="1411"/>
    <n v="60884"/>
    <s v="1000000 b.c.|box office hit|lawn mowing|product placement|stone age"/>
    <n v="85"/>
    <x v="0"/>
    <x v="0"/>
    <n v="45000000"/>
    <x v="5"/>
    <x v="45"/>
    <n v="45000000"/>
    <n v="130512915"/>
    <x v="1410"/>
    <x v="1411"/>
    <x v="4"/>
  </r>
  <r>
    <x v="96"/>
    <n v="487"/>
    <n v="45507053"/>
    <s v="Adventure|Comedy|Drama|Romance"/>
    <s v="Bruce Willis"/>
    <x v="1412"/>
    <n v="237848"/>
    <s v="1960s|boy scouts|boy scouts camp|coming of age|young love"/>
    <n v="377"/>
    <x v="0"/>
    <x v="0"/>
    <n v="16000000"/>
    <x v="28"/>
    <x v="38"/>
    <n v="16000000"/>
    <n v="45507053"/>
    <x v="1411"/>
    <x v="1412"/>
    <x v="0"/>
  </r>
  <r>
    <x v="456"/>
    <n v="50"/>
    <n v="20300000"/>
    <s v="Drama|Thriller"/>
    <s v="Al Pacino"/>
    <x v="1413"/>
    <n v="16741"/>
    <s v="drug dealer|mayor|new york city|probation|scandal"/>
    <n v="60"/>
    <x v="0"/>
    <x v="0"/>
    <n v="40000000"/>
    <x v="10"/>
    <x v="5"/>
    <n v="40000000"/>
    <n v="20300000"/>
    <x v="1412"/>
    <x v="1413"/>
    <x v="5"/>
  </r>
  <r>
    <x v="932"/>
    <n v="194"/>
    <n v="2957978"/>
    <s v="Biography|Crime|Documentary|History|Thriller"/>
    <s v="Paul McGill"/>
    <x v="1414"/>
    <n v="40481"/>
    <s v="new york city|passion|reenactment|rooftop|tower"/>
    <n v="134"/>
    <x v="0"/>
    <x v="2"/>
    <n v="1000000"/>
    <x v="20"/>
    <x v="38"/>
    <n v="1285399.99999999"/>
    <n v="3802184.92119999"/>
    <x v="1413"/>
    <x v="1414"/>
    <x v="2"/>
  </r>
  <r>
    <x v="933"/>
    <n v="78"/>
    <n v="94596"/>
    <s v="Crime|Horror|Mystery|Thriller"/>
    <s v="KÃ´ji Yakusho"/>
    <x v="1415"/>
    <n v="6318"/>
    <s v="breasts|interrogation|investigation|murder|watching television"/>
    <n v="50"/>
    <x v="8"/>
    <x v="15"/>
    <n v="1000000"/>
    <x v="31"/>
    <x v="39"/>
    <n v="6496.6"/>
    <n v="614.55237360000001"/>
    <x v="1414"/>
    <x v="1415"/>
    <x v="3"/>
  </r>
  <r>
    <x v="185"/>
    <n v="85"/>
    <n v="26761283"/>
    <s v="Drama|Romance"/>
    <s v="Luke Bracey"/>
    <x v="1416"/>
    <n v="43084"/>
    <s v="adultery|based on novel|heart transplant|infidelity|protective male"/>
    <n v="99"/>
    <x v="0"/>
    <x v="0"/>
    <n v="26000000"/>
    <x v="27"/>
    <x v="21"/>
    <n v="26000000"/>
    <n v="26761283"/>
    <x v="1415"/>
    <x v="1416"/>
    <x v="5"/>
  </r>
  <r>
    <x v="379"/>
    <n v="208"/>
    <n v="130174897"/>
    <s v="Adventure|Animation|Comedy|Family"/>
    <s v="Francesca Capaldi"/>
    <x v="1417"/>
    <n v="27918"/>
    <s v="dog|girl|imagination|peanuts|red hair"/>
    <n v="155"/>
    <x v="0"/>
    <x v="0"/>
    <n v="99000000"/>
    <x v="1"/>
    <x v="33"/>
    <n v="99000000"/>
    <n v="130174897"/>
    <x v="1416"/>
    <x v="1417"/>
    <x v="0"/>
  </r>
  <r>
    <x v="345"/>
    <n v="212"/>
    <n v="21378000"/>
    <s v="Fantasy|Horror"/>
    <s v="Jamie Lee Curtis"/>
    <x v="1418"/>
    <n v="46493"/>
    <s v="california|fog|leper|lighthouse|ship"/>
    <n v="335"/>
    <x v="0"/>
    <x v="0"/>
    <n v="1000000"/>
    <x v="52"/>
    <x v="22"/>
    <n v="1000000"/>
    <n v="21378000"/>
    <x v="1417"/>
    <x v="1418"/>
    <x v="9"/>
  </r>
  <r>
    <x v="934"/>
    <n v="293"/>
    <n v="33422556"/>
    <s v="Drama|Mystery"/>
    <s v="Philip Seymour Hoffman"/>
    <x v="1419"/>
    <n v="99236"/>
    <s v="boy|catholic|nun|priest|student"/>
    <n v="321"/>
    <x v="0"/>
    <x v="0"/>
    <n v="20000000"/>
    <x v="20"/>
    <x v="2"/>
    <n v="20000000"/>
    <n v="33422556"/>
    <x v="1418"/>
    <x v="1419"/>
    <x v="5"/>
  </r>
  <r>
    <x v="565"/>
    <n v="17"/>
    <n v="334041"/>
    <s v="Crime|Drama|Romance"/>
    <s v="Edie Falco"/>
    <x v="1420"/>
    <n v="1038"/>
    <s v="gang|new mexico|prison|smuggling|theft"/>
    <n v="21"/>
    <x v="0"/>
    <x v="0"/>
    <n v="500000"/>
    <x v="31"/>
    <x v="20"/>
    <n v="500000"/>
    <n v="334041"/>
    <x v="1419"/>
    <x v="1420"/>
    <x v="3"/>
  </r>
  <r>
    <x v="24"/>
    <n v="95"/>
    <n v="26494611"/>
    <s v="Comedy|Drama|Romance|Sci-Fi"/>
    <s v="Brendan Fraser"/>
    <x v="1421"/>
    <n v="48621"/>
    <s v="1960s|bomb shelter|cuban missile crisis|food|naive man"/>
    <n v="239"/>
    <x v="0"/>
    <x v="0"/>
    <n v="35000000"/>
    <x v="12"/>
    <x v="14"/>
    <n v="35000000"/>
    <n v="26494611"/>
    <x v="1420"/>
    <x v="1421"/>
    <x v="4"/>
  </r>
  <r>
    <x v="935"/>
    <n v="342"/>
    <n v="209805005"/>
    <s v="Action|Crime|Thriller"/>
    <s v="Paul Walker"/>
    <x v="1422"/>
    <n v="284792"/>
    <s v="drug lord|drugs|federal agent|heist|police"/>
    <n v="366"/>
    <x v="0"/>
    <x v="0"/>
    <n v="125000000"/>
    <x v="22"/>
    <x v="4"/>
    <n v="125000000"/>
    <n v="209805005"/>
    <x v="1421"/>
    <x v="1422"/>
    <x v="1"/>
  </r>
  <r>
    <x v="936"/>
    <n v="12"/>
    <n v="24332324"/>
    <s v="Comedy|Drama"/>
    <s v="Ed Begley Jr."/>
    <x v="1423"/>
    <n v="13830"/>
    <s v="army|basic training|reference to shakespeare's hamlet|teacher|u.s. army"/>
    <n v="61"/>
    <x v="0"/>
    <x v="0"/>
    <n v="40000000"/>
    <x v="5"/>
    <x v="7"/>
    <n v="40000000"/>
    <n v="24332324"/>
    <x v="1422"/>
    <x v="1423"/>
    <x v="4"/>
  </r>
  <r>
    <x v="937"/>
    <n v="71"/>
    <n v="3607"/>
    <s v="Crime|Mystery|Thriller"/>
    <s v="Jim Carter"/>
    <x v="1424"/>
    <n v="22753"/>
    <s v="landlady|lecture|murder|oxford university|symbol"/>
    <n v="94"/>
    <x v="0"/>
    <x v="12"/>
    <n v="10000000"/>
    <x v="20"/>
    <x v="7"/>
    <n v="10847400"/>
    <n v="3912.6571800000002"/>
    <x v="1423"/>
    <x v="1424"/>
    <x v="3"/>
  </r>
  <r>
    <x v="607"/>
    <n v="107"/>
    <n v="14793904"/>
    <s v="Comedy|Romance"/>
    <s v="Alan Ruck"/>
    <x v="1425"/>
    <n v="28209"/>
    <s v="cheerleader|party|popular girl|speech|valedictorian"/>
    <n v="80"/>
    <x v="0"/>
    <x v="9"/>
    <n v="18000000"/>
    <x v="16"/>
    <x v="1"/>
    <n v="13021290"/>
    <n v="10701984.1231199"/>
    <x v="1424"/>
    <x v="1425"/>
    <x v="4"/>
  </r>
  <r>
    <x v="308"/>
    <n v="126"/>
    <n v="5128124"/>
    <s v="Biography|Drama|Sport"/>
    <s v="Anthony Hopkins"/>
    <x v="1426"/>
    <n v="44198"/>
    <s v="mortgage|motorcycle|speed|trailer|utah"/>
    <n v="251"/>
    <x v="0"/>
    <x v="11"/>
    <n v="25000000"/>
    <x v="25"/>
    <x v="19"/>
    <n v="14718625"/>
    <n v="3019157.3643799899"/>
    <x v="1425"/>
    <x v="1426"/>
    <x v="2"/>
  </r>
  <r>
    <x v="938"/>
    <n v="77"/>
    <n v="15712072"/>
    <s v="Action|Crime|Drama|Thriller"/>
    <s v="Cole Hauser"/>
    <x v="1427"/>
    <n v="13210"/>
    <s v="actor|coma|movie star|paparazzi|revenge"/>
    <n v="138"/>
    <x v="0"/>
    <x v="0"/>
    <n v="20000000"/>
    <x v="2"/>
    <x v="30"/>
    <n v="20000000"/>
    <n v="15712072"/>
    <x v="1426"/>
    <x v="1427"/>
    <x v="1"/>
  </r>
  <r>
    <x v="746"/>
    <n v="249"/>
    <n v="121468960"/>
    <s v="Action|Mystery|Thriller"/>
    <s v="Matt Damon"/>
    <x v="1428"/>
    <n v="407601"/>
    <s v="amnesia|assassin|money|political thriller|three word title"/>
    <n v="849"/>
    <x v="0"/>
    <x v="0"/>
    <n v="60000000"/>
    <x v="13"/>
    <x v="19"/>
    <n v="60000000"/>
    <n v="121468960"/>
    <x v="1427"/>
    <x v="1428"/>
    <x v="1"/>
  </r>
  <r>
    <x v="29"/>
    <n v="20"/>
    <n v="27900000"/>
    <s v="Comedy|Drama"/>
    <s v="Nia Long"/>
    <x v="1429"/>
    <n v="74626"/>
    <s v="bully|drug dealer|first part|neighbor|neighborhood"/>
    <n v="157"/>
    <x v="0"/>
    <x v="0"/>
    <n v="3500000"/>
    <x v="33"/>
    <x v="4"/>
    <n v="3500000"/>
    <n v="27900000"/>
    <x v="1428"/>
    <x v="1429"/>
    <x v="4"/>
  </r>
  <r>
    <x v="180"/>
    <n v="378"/>
    <n v="245428137"/>
    <s v="Action|Adventure|Sci-Fi"/>
    <s v="Bingbing Li"/>
    <x v="1430"/>
    <n v="242420"/>
    <s v="blockbuster|bumblebee the character|semi truck and trailer|texas|truck"/>
    <n v="918"/>
    <x v="0"/>
    <x v="0"/>
    <n v="210000000"/>
    <x v="27"/>
    <x v="35"/>
    <n v="210000000"/>
    <n v="245428137"/>
    <x v="1429"/>
    <x v="1430"/>
    <x v="1"/>
  </r>
  <r>
    <x v="939"/>
    <n v="177"/>
    <n v="73548"/>
    <s v="Fantasy|Horror|Mystery"/>
    <s v="Bradley Cooper"/>
    <x v="1431"/>
    <n v="47574"/>
    <s v="butcher|girlfriend|mute character|photographer|subway"/>
    <n v="209"/>
    <x v="0"/>
    <x v="0"/>
    <n v="15000000"/>
    <x v="20"/>
    <x v="7"/>
    <n v="15000000"/>
    <n v="73548"/>
    <x v="1430"/>
    <x v="1431"/>
    <x v="9"/>
  </r>
  <r>
    <x v="940"/>
    <n v="77"/>
    <n v="2869369"/>
    <s v="Comedy|Fantasy"/>
    <s v="Jennifer Jason Leigh"/>
    <x v="1432"/>
    <n v="65474"/>
    <s v="art deco|board of directors|industry|mail|stock"/>
    <n v="211"/>
    <x v="0"/>
    <x v="2"/>
    <n v="30000000"/>
    <x v="5"/>
    <x v="4"/>
    <n v="38562000"/>
    <n v="3688286.9125999901"/>
    <x v="1431"/>
    <x v="1432"/>
    <x v="4"/>
  </r>
  <r>
    <x v="549"/>
    <n v="175"/>
    <n v="250147615"/>
    <s v="Adventure|Comedy|Family|Mystery|Sci-Fi"/>
    <s v="Will Smith"/>
    <x v="1433"/>
    <n v="403014"/>
    <s v="alien|box office hit|flying saucer|laser gun|wisecrack humor"/>
    <n v="289"/>
    <x v="0"/>
    <x v="0"/>
    <n v="90000000"/>
    <x v="31"/>
    <x v="4"/>
    <n v="90000000"/>
    <n v="250147615"/>
    <x v="1432"/>
    <x v="1433"/>
    <x v="0"/>
  </r>
  <r>
    <x v="941"/>
    <n v="158"/>
    <n v="35537564"/>
    <s v="Comedy"/>
    <s v="Robert De Niro"/>
    <x v="1434"/>
    <n v="49671"/>
    <s v="female removes her clothes|fondling|voyeur|voyeurism|white panties"/>
    <n v="166"/>
    <x v="0"/>
    <x v="0"/>
    <n v="11500000"/>
    <x v="24"/>
    <x v="11"/>
    <n v="11500000"/>
    <n v="35537564"/>
    <x v="1433"/>
    <x v="1434"/>
    <x v="4"/>
  </r>
  <r>
    <x v="840"/>
    <n v="81"/>
    <n v="136007"/>
    <s v="Drama|Music|Romance"/>
    <s v="Maggie Cheung"/>
    <x v="1435"/>
    <n v="3924"/>
    <s v="jail|junkie|money|motel|singer"/>
    <n v="39"/>
    <x v="4"/>
    <x v="8"/>
    <n v="4500"/>
    <x v="2"/>
    <x v="31"/>
    <n v="4881.33"/>
    <n v="147532.23318000001"/>
    <x v="1434"/>
    <x v="1435"/>
    <x v="5"/>
  </r>
  <r>
    <x v="942"/>
    <n v="242"/>
    <n v="62321039"/>
    <s v="Action|Fantasy|Horror"/>
    <s v="Theo James"/>
    <x v="1436"/>
    <n v="117096"/>
    <s v="battle|cryogenics|detective|scientist|vampire"/>
    <n v="271"/>
    <x v="0"/>
    <x v="0"/>
    <n v="70000000"/>
    <x v="28"/>
    <x v="24"/>
    <n v="70000000"/>
    <n v="62321039"/>
    <x v="1435"/>
    <x v="1436"/>
    <x v="1"/>
  </r>
  <r>
    <x v="943"/>
    <n v="13"/>
    <n v="16066"/>
    <s v="Mystery|Romance|Thriller"/>
    <s v="Adam Garcia"/>
    <x v="1437"/>
    <n v="1207"/>
    <s v="death|love|marriage|secret|suspicion"/>
    <n v="44"/>
    <x v="0"/>
    <x v="5"/>
    <n v="5000000"/>
    <x v="2"/>
    <x v="57"/>
    <n v="5423700"/>
    <n v="17427.432840000001"/>
    <x v="1436"/>
    <x v="1437"/>
    <x v="10"/>
  </r>
  <r>
    <x v="558"/>
    <n v="152"/>
    <n v="169692572"/>
    <s v="Animation|Comedy|Family|Fantasy"/>
    <s v="Steve Buscemi"/>
    <x v="1438"/>
    <n v="56501"/>
    <s v="california|dracula|hotel|transylvania|vampire"/>
    <n v="97"/>
    <x v="0"/>
    <x v="0"/>
    <n v="80000000"/>
    <x v="1"/>
    <x v="21"/>
    <n v="80000000"/>
    <n v="169692572"/>
    <x v="1437"/>
    <x v="1438"/>
    <x v="8"/>
  </r>
  <r>
    <x v="18"/>
    <n v="242"/>
    <n v="19100000"/>
    <s v="Horror|Mystery|Thriller"/>
    <s v="Betsy Palmer"/>
    <x v="1439"/>
    <n v="39690"/>
    <s v="ice pick|jason voorhees|lake|pitchfork|shack"/>
    <n v="394"/>
    <x v="0"/>
    <x v="0"/>
    <n v="1250000"/>
    <x v="43"/>
    <x v="7"/>
    <n v="1250000"/>
    <n v="19100000"/>
    <x v="1438"/>
    <x v="1439"/>
    <x v="6"/>
  </r>
  <r>
    <x v="825"/>
    <n v="98"/>
    <n v="39177215"/>
    <s v="Crime|Drama|Thriller"/>
    <s v="Bill Cobbs"/>
    <x v="1440"/>
    <n v="30667"/>
    <s v="abusive husband|escape|intimate partner homicide|marriage|woman wearing only a man's shirt"/>
    <n v="234"/>
    <x v="0"/>
    <x v="0"/>
    <n v="38000000"/>
    <x v="13"/>
    <x v="15"/>
    <n v="38000000"/>
    <n v="39177215"/>
    <x v="1439"/>
    <x v="1440"/>
    <x v="3"/>
  </r>
  <r>
    <x v="327"/>
    <n v="185"/>
    <n v="52397389"/>
    <s v="Action|Adventure|Fantasy|Horror|Sci-Fi|Thriller"/>
    <s v="Ryan Reynolds"/>
    <x v="1441"/>
    <n v="132954"/>
    <s v="blade|blood|dracula|vampire hunter|vampire slayer"/>
    <n v="514"/>
    <x v="0"/>
    <x v="0"/>
    <n v="65000000"/>
    <x v="2"/>
    <x v="0"/>
    <n v="65000000"/>
    <n v="52397389"/>
    <x v="1440"/>
    <x v="1441"/>
    <x v="1"/>
  </r>
  <r>
    <x v="944"/>
    <n v="418"/>
    <n v="101470202"/>
    <s v="Comedy|Fantasy"/>
    <s v="Channing Tatum"/>
    <x v="1442"/>
    <n v="310540"/>
    <s v="apocalypse|celebrity|ensemble cast|party|rapture"/>
    <n v="669"/>
    <x v="0"/>
    <x v="0"/>
    <n v="32000000"/>
    <x v="0"/>
    <x v="21"/>
    <n v="32000000"/>
    <n v="101470202"/>
    <x v="1441"/>
    <x v="1442"/>
    <x v="4"/>
  </r>
  <r>
    <x v="551"/>
    <n v="22"/>
    <n v="16671505"/>
    <s v="Adventure|Comedy|Crime|Drama|Family"/>
    <s v="Joe Mantegna"/>
    <x v="1443"/>
    <n v="33186"/>
    <s v="baby|baby boy|kidnapping|kidnapping a child|taxi"/>
    <n v="78"/>
    <x v="0"/>
    <x v="0"/>
    <n v="50000000"/>
    <x v="5"/>
    <x v="0"/>
    <n v="50000000"/>
    <n v="16671505"/>
    <x v="1442"/>
    <x v="1443"/>
    <x v="0"/>
  </r>
  <r>
    <x v="225"/>
    <n v="174"/>
    <n v="21283440"/>
    <s v="Drama|Mystery|Thriller"/>
    <s v="Naomi Watts"/>
    <x v="1444"/>
    <n v="46239"/>
    <s v="closet|father daughter relationship|psychiatric hospital|real life sisters playing sisters|train"/>
    <n v="137"/>
    <x v="0"/>
    <x v="0"/>
    <n v="55000000"/>
    <x v="22"/>
    <x v="11"/>
    <n v="55000000"/>
    <n v="21283440"/>
    <x v="1443"/>
    <x v="1444"/>
    <x v="5"/>
  </r>
  <r>
    <x v="945"/>
    <n v="102"/>
    <n v="14967182"/>
    <s v="Action|Crime|Drama|Thriller"/>
    <s v="Sylvester Stallone"/>
    <x v="1445"/>
    <n v="27305"/>
    <s v="affair|car crash|enforcer|funeral|murder"/>
    <n v="284"/>
    <x v="0"/>
    <x v="0"/>
    <n v="40000000"/>
    <x v="4"/>
    <x v="37"/>
    <n v="40000000"/>
    <n v="14967182"/>
    <x v="1444"/>
    <x v="1445"/>
    <x v="1"/>
  </r>
  <r>
    <x v="946"/>
    <n v="186"/>
    <n v="422783777"/>
    <s v="Adventure|Animation|Drama|Family|Musical"/>
    <s v="Matthew Broderick"/>
    <x v="1446"/>
    <n v="644348"/>
    <s v="king|prince|scar|uncle|unnecessary guilt"/>
    <n v="656"/>
    <x v="0"/>
    <x v="0"/>
    <n v="45000000"/>
    <x v="5"/>
    <x v="59"/>
    <n v="45000000"/>
    <n v="422783777"/>
    <x v="1445"/>
    <x v="1446"/>
    <x v="0"/>
  </r>
  <r>
    <x v="90"/>
    <n v="133"/>
    <n v="197148"/>
    <s v="Drama|Romance|Sci-Fi|Thriller"/>
    <s v="Samantha Morton"/>
    <x v="1447"/>
    <n v="18109"/>
    <s v="genetics|i.d.|love|sphinx|totalitarian"/>
    <n v="150"/>
    <x v="0"/>
    <x v="2"/>
    <n v="7500000"/>
    <x v="19"/>
    <x v="23"/>
    <n v="9640500"/>
    <n v="253414.03919999901"/>
    <x v="1446"/>
    <x v="1447"/>
    <x v="5"/>
  </r>
  <r>
    <x v="291"/>
    <n v="310"/>
    <n v="83640426"/>
    <s v="Action|Adventure|Fantasy"/>
    <s v="Liam Neeson"/>
    <x v="1448"/>
    <n v="152826"/>
    <s v="ares|hades|titan|underworld|zeus"/>
    <n v="253"/>
    <x v="0"/>
    <x v="0"/>
    <n v="150000000"/>
    <x v="28"/>
    <x v="30"/>
    <n v="150000000"/>
    <n v="83640426"/>
    <x v="1447"/>
    <x v="1448"/>
    <x v="1"/>
  </r>
  <r>
    <x v="947"/>
    <n v="45"/>
    <n v="15100000"/>
    <s v="Action|Horror|Sci-Fi|Thriller"/>
    <s v="Heather Locklear"/>
    <x v="1449"/>
    <n v="22797"/>
    <s v="captain|experiment|fire|psychic|secret government agency"/>
    <n v="96"/>
    <x v="0"/>
    <x v="0"/>
    <n v="15000000"/>
    <x v="17"/>
    <x v="11"/>
    <n v="15000000"/>
    <n v="15100000"/>
    <x v="1448"/>
    <x v="1449"/>
    <x v="1"/>
  </r>
  <r>
    <x v="229"/>
    <n v="167"/>
    <n v="91188905"/>
    <s v="Fantasy|Horror|Mystery|Thriller"/>
    <s v="Liam Neeson"/>
    <x v="1450"/>
    <n v="58184"/>
    <s v="greenhouse|haunted house|horror movie remake|mansion|old house"/>
    <n v="805"/>
    <x v="0"/>
    <x v="0"/>
    <n v="80000000"/>
    <x v="12"/>
    <x v="18"/>
    <n v="80000000"/>
    <n v="91188905"/>
    <x v="1449"/>
    <x v="1450"/>
    <x v="9"/>
  </r>
  <r>
    <x v="626"/>
    <n v="61"/>
    <n v="4777007"/>
    <s v="Comedy|Fantasy|Sci-Fi"/>
    <s v="Bridgette Wilson-Sampras"/>
    <x v="1451"/>
    <n v="15130"/>
    <s v="alternate history|alternate timeline|flatulence|future time travel|time travel comedy"/>
    <n v="98"/>
    <x v="0"/>
    <x v="8"/>
    <n v="40000000"/>
    <x v="9"/>
    <x v="30"/>
    <n v="43389600"/>
    <n v="5181810.5731800003"/>
    <x v="1450"/>
    <x v="1451"/>
    <x v="4"/>
  </r>
  <r>
    <x v="321"/>
    <n v="105"/>
    <n v="410388"/>
    <s v="Action|Adventure|Animation|Family|Sci-Fi|Thriller"/>
    <s v="William Hootkins"/>
    <x v="1452"/>
    <n v="13727"/>
    <s v="19th century|ball|boy|inventor|steam"/>
    <n v="79"/>
    <x v="8"/>
    <x v="15"/>
    <n v="2127519898"/>
    <x v="2"/>
    <x v="31"/>
    <n v="13821645.7693468"/>
    <n v="2666.1266808"/>
    <x v="1451"/>
    <x v="1452"/>
    <x v="1"/>
  </r>
  <r>
    <x v="905"/>
    <n v="589"/>
    <n v="66468315"/>
    <s v="Action|Crime|Drama|Sci-Fi|Thriller"/>
    <s v="Joseph Gordon-Levitt"/>
    <x v="1453"/>
    <n v="428916"/>
    <s v="chase|future|surprise ending|time loop|time travel"/>
    <n v="667"/>
    <x v="0"/>
    <x v="0"/>
    <n v="30000000"/>
    <x v="28"/>
    <x v="39"/>
    <n v="30000000"/>
    <n v="66468315"/>
    <x v="1452"/>
    <x v="1453"/>
    <x v="1"/>
  </r>
  <r>
    <x v="948"/>
    <n v="32"/>
    <n v="13000000"/>
    <s v="Adventure|Family|Fantasy|Music|Musical"/>
    <s v="Lena Horne"/>
    <x v="1454"/>
    <n v="10895"/>
    <s v="melancholy|new york city|sadness|teacher|wizard"/>
    <n v="150"/>
    <x v="0"/>
    <x v="0"/>
    <n v="24000000"/>
    <x v="44"/>
    <x v="44"/>
    <n v="24000000"/>
    <n v="13000000"/>
    <x v="1453"/>
    <x v="1454"/>
    <x v="0"/>
  </r>
  <r>
    <x v="949"/>
    <n v="162"/>
    <n v="14400000"/>
    <s v="Horror|Mystery|Sci-Fi"/>
    <s v="Tom Atkins"/>
    <x v="1455"/>
    <n v="28589"/>
    <s v="doctor|factory|halloween|holiday horror|stonehenge"/>
    <n v="532"/>
    <x v="0"/>
    <x v="0"/>
    <n v="2500000"/>
    <x v="42"/>
    <x v="34"/>
    <n v="2500000"/>
    <n v="14400000"/>
    <x v="1454"/>
    <x v="1455"/>
    <x v="6"/>
  </r>
  <r>
    <x v="950"/>
    <n v="289"/>
    <n v="14291570"/>
    <s v="Action|Adventure|Sci-Fi|Thriller"/>
    <s v="Joseph Gilgun"/>
    <x v="1456"/>
    <n v="82082"/>
    <s v="bodyguard|maximum security prison|outer space|president|prison"/>
    <n v="236"/>
    <x v="0"/>
    <x v="8"/>
    <n v="20000000"/>
    <x v="28"/>
    <x v="7"/>
    <n v="21694800"/>
    <n v="15502637.641799999"/>
    <x v="1455"/>
    <x v="1456"/>
    <x v="1"/>
  </r>
  <r>
    <x v="951"/>
    <n v="35"/>
    <n v="4131640"/>
    <s v="Comedy|Crime"/>
    <s v="Ivana Milicevic"/>
    <x v="1457"/>
    <n v="5463"/>
    <s v="fbi|polo|possum|sheriff|shotgun"/>
    <n v="20"/>
    <x v="0"/>
    <x v="0"/>
    <n v="7500000"/>
    <x v="20"/>
    <x v="61"/>
    <n v="7500000"/>
    <n v="4131640"/>
    <x v="1456"/>
    <x v="1457"/>
    <x v="4"/>
  </r>
  <r>
    <x v="952"/>
    <n v="511"/>
    <n v="137387272"/>
    <s v="Horror|Mystery|Thriller"/>
    <s v="Mackenzie Foy"/>
    <x v="1458"/>
    <n v="300110"/>
    <s v="based on true story|farmhouse|paranormal investigator|rhode island|supernatural power"/>
    <n v="807"/>
    <x v="0"/>
    <x v="0"/>
    <n v="20000000"/>
    <x v="0"/>
    <x v="2"/>
    <n v="20000000"/>
    <n v="137387272"/>
    <x v="1457"/>
    <x v="1458"/>
    <x v="6"/>
  </r>
  <r>
    <x v="953"/>
    <n v="73"/>
    <n v="17655201"/>
    <s v="Drama|Family"/>
    <s v="Julia Ormond"/>
    <x v="1459"/>
    <n v="4719"/>
    <s v="boarding house|girl|great depression|house|ohio"/>
    <n v="24"/>
    <x v="0"/>
    <x v="0"/>
    <n v="10000000"/>
    <x v="20"/>
    <x v="21"/>
    <n v="10000000"/>
    <n v="17655201"/>
    <x v="1458"/>
    <x v="1459"/>
    <x v="5"/>
  </r>
  <r>
    <x v="954"/>
    <n v="9"/>
    <n v="902835"/>
    <s v="Comedy|Drama|Romance"/>
    <s v="Purva Bedi"/>
    <x v="1460"/>
    <n v="1489"/>
    <s v="college|desi|heritage|india|indian american"/>
    <n v="40"/>
    <x v="0"/>
    <x v="0"/>
    <n v="250000"/>
    <x v="9"/>
    <x v="21"/>
    <n v="250000"/>
    <n v="902835"/>
    <x v="1459"/>
    <x v="1460"/>
    <x v="4"/>
  </r>
  <r>
    <x v="611"/>
    <n v="288"/>
    <n v="217387997"/>
    <s v="Adventure|Animation|Family|Fantasy"/>
    <s v="Gerard Butler"/>
    <x v="1461"/>
    <n v="485430"/>
    <s v="dragon|island|training|viking|village"/>
    <n v="492"/>
    <x v="0"/>
    <x v="0"/>
    <n v="165000000"/>
    <x v="11"/>
    <x v="60"/>
    <n v="165000000"/>
    <n v="217387997"/>
    <x v="1460"/>
    <x v="1461"/>
    <x v="0"/>
  </r>
  <r>
    <x v="955"/>
    <n v="167"/>
    <n v="5005883"/>
    <s v="Drama|Mystery|Romance|Thriller"/>
    <s v="Cameron Bright"/>
    <x v="1462"/>
    <n v="29649"/>
    <s v="birthday|boy|dead husband|death|widow"/>
    <n v="361"/>
    <x v="0"/>
    <x v="0"/>
    <n v="20000000"/>
    <x v="2"/>
    <x v="7"/>
    <n v="20000000"/>
    <n v="5005883"/>
    <x v="1461"/>
    <x v="1462"/>
    <x v="5"/>
  </r>
  <r>
    <x v="956"/>
    <n v="158"/>
    <n v="3590010"/>
    <s v="Drama|Music|Romance"/>
    <s v="Vanessa Lengies"/>
    <x v="1463"/>
    <n v="20885"/>
    <s v="box office flop|critically bashed|male objectification|narcissism|wannabe dj"/>
    <n v="60"/>
    <x v="0"/>
    <x v="2"/>
    <n v="2000000"/>
    <x v="1"/>
    <x v="7"/>
    <n v="2570799.9999999902"/>
    <n v="4614598.85399999"/>
    <x v="1462"/>
    <x v="1463"/>
    <x v="5"/>
  </r>
  <r>
    <x v="669"/>
    <n v="120"/>
    <n v="105264608"/>
    <s v="Drama|Fantasy|Horror"/>
    <s v="Brad Pitt"/>
    <x v="1464"/>
    <n v="239752"/>
    <s v="betrayal|dangerous friend|gothic|monster as victim|vampire"/>
    <n v="406"/>
    <x v="0"/>
    <x v="0"/>
    <n v="60000000"/>
    <x v="5"/>
    <x v="10"/>
    <n v="60000000"/>
    <n v="105264608"/>
    <x v="1463"/>
    <x v="1464"/>
    <x v="5"/>
  </r>
  <r>
    <x v="957"/>
    <n v="47"/>
    <n v="11703287"/>
    <s v="Adventure|Drama"/>
    <s v="Chase Ellison"/>
    <x v="1465"/>
    <n v="4360"/>
    <s v="death|missionary|spear|speared to death|tribe"/>
    <n v="148"/>
    <x v="0"/>
    <x v="0"/>
    <n v="10000000"/>
    <x v="25"/>
    <x v="16"/>
    <n v="10000000"/>
    <n v="11703287"/>
    <x v="1464"/>
    <x v="1465"/>
    <x v="0"/>
  </r>
  <r>
    <x v="958"/>
    <n v="417"/>
    <n v="21383298"/>
    <s v="Crime|Drama|Thriller"/>
    <s v="Ryan Gosling"/>
    <x v="1466"/>
    <n v="187170"/>
    <s v="bank|carnival|motorcycle|police|rookie cop"/>
    <n v="376"/>
    <x v="0"/>
    <x v="0"/>
    <n v="15000000"/>
    <x v="28"/>
    <x v="4"/>
    <n v="15000000"/>
    <n v="21383298"/>
    <x v="1465"/>
    <x v="1466"/>
    <x v="3"/>
  </r>
  <r>
    <x v="642"/>
    <n v="25"/>
    <n v="7009668"/>
    <s v="Action|Sport"/>
    <s v="Wesley Jonathan"/>
    <x v="1467"/>
    <n v="8707"/>
    <s v="african american|basketball|basketball movie|critically bashed|tv commercial"/>
    <n v="36"/>
    <x v="0"/>
    <x v="0"/>
    <n v="5600000"/>
    <x v="7"/>
    <x v="63"/>
    <n v="5600000"/>
    <n v="7009668"/>
    <x v="1466"/>
    <x v="1467"/>
    <x v="1"/>
  </r>
  <r>
    <x v="184"/>
    <n v="292"/>
    <n v="7689458"/>
    <s v="Adventure|Fantasy|Mystery"/>
    <s v="Andrew Garfield"/>
    <x v="1468"/>
    <n v="126307"/>
    <s v="birthday|bridge|midget|rescue|sideshow"/>
    <n v="210"/>
    <x v="0"/>
    <x v="2"/>
    <n v="40000000"/>
    <x v="16"/>
    <x v="22"/>
    <n v="51415999.999999903"/>
    <n v="9884029.3131999895"/>
    <x v="1467"/>
    <x v="1468"/>
    <x v="0"/>
  </r>
  <r>
    <x v="959"/>
    <n v="195"/>
    <n v="3950029"/>
    <s v="Drama"/>
    <s v="Lambert Wilson"/>
    <x v="1469"/>
    <n v="12411"/>
    <s v="catholic church|community|monastery|monk|terrorist"/>
    <n v="89"/>
    <x v="4"/>
    <x v="8"/>
    <n v="4000000"/>
    <x v="11"/>
    <x v="33"/>
    <n v="4338960"/>
    <n v="4284754.4574600002"/>
    <x v="1468"/>
    <x v="1469"/>
    <x v="5"/>
  </r>
  <r>
    <x v="353"/>
    <n v="226"/>
    <n v="39532308"/>
    <s v="Action|Horror|Sci-Fi"/>
    <s v="Milla Jovovich"/>
    <x v="1470"/>
    <n v="198701"/>
    <s v="amnesia|quarantine|special forces|virus|zombie"/>
    <n v="1138"/>
    <x v="0"/>
    <x v="2"/>
    <n v="33000000"/>
    <x v="13"/>
    <x v="21"/>
    <n v="42418199.999999903"/>
    <n v="50814828.703199998"/>
    <x v="1469"/>
    <x v="1470"/>
    <x v="1"/>
  </r>
  <r>
    <x v="157"/>
    <n v="121"/>
    <n v="132541238"/>
    <s v="Comedy"/>
    <s v="Angus T. Jones"/>
    <x v="1471"/>
    <n v="30058"/>
    <s v="divorce|lawyer|spanking|villain arrested|wrongful conviction"/>
    <n v="236"/>
    <x v="0"/>
    <x v="0"/>
    <n v="33000000"/>
    <x v="19"/>
    <x v="28"/>
    <n v="33000000"/>
    <n v="132541238"/>
    <x v="1470"/>
    <x v="1471"/>
    <x v="4"/>
  </r>
  <r>
    <x v="960"/>
    <n v="161"/>
    <n v="36279230"/>
    <s v="Action|Crime|Thriller"/>
    <s v="Blair Brown"/>
    <x v="1472"/>
    <n v="42144"/>
    <s v="first lady|framed|investigation|president|secret service"/>
    <n v="213"/>
    <x v="0"/>
    <x v="0"/>
    <n v="60000000"/>
    <x v="7"/>
    <x v="7"/>
    <n v="60000000"/>
    <n v="36279230"/>
    <x v="1471"/>
    <x v="1472"/>
    <x v="1"/>
  </r>
  <r>
    <x v="507"/>
    <n v="208"/>
    <n v="124732962"/>
    <s v="Comedy|Drama|Romance"/>
    <s v="Meryl Streep"/>
    <x v="1473"/>
    <n v="286178"/>
    <s v="fashion|fashion industry|magazine|new york city|publishing"/>
    <n v="631"/>
    <x v="0"/>
    <x v="0"/>
    <n v="35000000"/>
    <x v="7"/>
    <x v="22"/>
    <n v="35000000"/>
    <n v="124732962"/>
    <x v="1472"/>
    <x v="1473"/>
    <x v="4"/>
  </r>
  <r>
    <x v="961"/>
    <n v="337"/>
    <n v="252652"/>
    <s v="Comedy|Drama|Fantasy|Horror"/>
    <s v="Otto Jespersen"/>
    <x v="1474"/>
    <n v="54104"/>
    <s v="bear|cameraman|hunter|secret government agency|troll"/>
    <n v="199"/>
    <x v="20"/>
    <x v="27"/>
    <n v="19900000"/>
    <x v="11"/>
    <x v="16"/>
    <n v="1803915.1"/>
    <n v="22902.651148000001"/>
    <x v="1473"/>
    <x v="1474"/>
    <x v="4"/>
  </r>
  <r>
    <x v="435"/>
    <n v="156"/>
    <n v="74158157"/>
    <s v="Comedy"/>
    <s v="Al Pacino"/>
    <x v="1475"/>
    <n v="60370"/>
    <s v="advertising|advertising executive|commercial|protective male|twins"/>
    <n v="264"/>
    <x v="0"/>
    <x v="0"/>
    <n v="79000000"/>
    <x v="22"/>
    <x v="65"/>
    <n v="79000000"/>
    <n v="74158157"/>
    <x v="1474"/>
    <x v="1475"/>
    <x v="4"/>
  </r>
  <r>
    <x v="962"/>
    <n v="142"/>
    <n v="51053787"/>
    <s v="Action|Animation|Comedy|Crime|Family"/>
    <s v="Anne Hathaway"/>
    <x v="1476"/>
    <n v="45900"/>
    <s v="animal|axe|red riding hood|wolf|woodsman"/>
    <n v="247"/>
    <x v="0"/>
    <x v="0"/>
    <n v="17500000"/>
    <x v="25"/>
    <x v="20"/>
    <n v="17500000"/>
    <n v="51053787"/>
    <x v="1475"/>
    <x v="1476"/>
    <x v="1"/>
  </r>
  <r>
    <x v="683"/>
    <n v="184"/>
    <n v="71346930"/>
    <s v="Drama|Romance|Thriller"/>
    <s v="David Lyons"/>
    <x v="1477"/>
    <n v="78008"/>
    <s v="abusive husband|chick flick|north carolina|secret|widower"/>
    <n v="160"/>
    <x v="0"/>
    <x v="0"/>
    <n v="28000000"/>
    <x v="0"/>
    <x v="21"/>
    <n v="28000000"/>
    <n v="71346930"/>
    <x v="1476"/>
    <x v="1477"/>
    <x v="5"/>
  </r>
  <r>
    <x v="963"/>
    <n v="91"/>
    <n v="41229"/>
    <s v="Crime|Drama|Thriller"/>
    <s v="Mila Kunis"/>
    <x v="1478"/>
    <n v="14612"/>
    <s v="1970s|flashback|love|money|murder"/>
    <n v="41"/>
    <x v="0"/>
    <x v="8"/>
    <n v="25500000"/>
    <x v="0"/>
    <x v="20"/>
    <n v="27660870"/>
    <n v="44722.745459999998"/>
    <x v="1477"/>
    <x v="1478"/>
    <x v="3"/>
  </r>
  <r>
    <x v="570"/>
    <n v="181"/>
    <n v="20302961"/>
    <s v="Drama"/>
    <s v="Bobbie Phillips"/>
    <x v="1479"/>
    <n v="49874"/>
    <s v="cult film|lap dance|lap dancing|stripper|striptease"/>
    <n v="450"/>
    <x v="0"/>
    <x v="8"/>
    <n v="45000000"/>
    <x v="33"/>
    <x v="34"/>
    <n v="48813300"/>
    <n v="22023433.915139999"/>
    <x v="1478"/>
    <x v="1479"/>
    <x v="5"/>
  </r>
  <r>
    <x v="964"/>
    <n v="34"/>
    <n v="10400000"/>
    <s v="Drama|Romance"/>
    <s v="Gary Oldman"/>
    <x v="1480"/>
    <n v="12037"/>
    <s v="17th century|adultery|letter|pubic hair|swimming"/>
    <n v="90"/>
    <x v="0"/>
    <x v="0"/>
    <n v="50000000"/>
    <x v="33"/>
    <x v="37"/>
    <n v="50000000"/>
    <n v="10400000"/>
    <x v="1479"/>
    <x v="1480"/>
    <x v="5"/>
  </r>
  <r>
    <x v="730"/>
    <n v="217"/>
    <n v="9430988"/>
    <s v="Comedy|Drama|Romance"/>
    <s v="Catherine O'Hara"/>
    <x v="1481"/>
    <n v="45992"/>
    <s v="baby|children|friend|love|road trip"/>
    <n v="115"/>
    <x v="0"/>
    <x v="0"/>
    <n v="17000000"/>
    <x v="16"/>
    <x v="17"/>
    <n v="17000000"/>
    <n v="9430988"/>
    <x v="1480"/>
    <x v="1481"/>
    <x v="4"/>
  </r>
  <r>
    <x v="771"/>
    <n v="31"/>
    <n v="13052741"/>
    <s v="Drama|History"/>
    <s v="Alexa PenaVega"/>
    <x v="1482"/>
    <n v="8531"/>
    <s v="activist|assassin|civil rights|trial|widow"/>
    <n v="57"/>
    <x v="0"/>
    <x v="0"/>
    <n v="36000000"/>
    <x v="10"/>
    <x v="21"/>
    <n v="36000000"/>
    <n v="13052741"/>
    <x v="1481"/>
    <x v="1482"/>
    <x v="5"/>
  </r>
  <r>
    <x v="254"/>
    <n v="54"/>
    <n v="763044"/>
    <s v="Drama|Thriller"/>
    <s v="Charlotte Rampling"/>
    <x v="1483"/>
    <n v="4257"/>
    <s v="eiffel tower|nazi|police|ritual|stew"/>
    <n v="52"/>
    <x v="0"/>
    <x v="9"/>
    <n v="23000000"/>
    <x v="19"/>
    <x v="5"/>
    <n v="16638315"/>
    <n v="551989.84482"/>
    <x v="1482"/>
    <x v="1483"/>
    <x v="5"/>
  </r>
  <r>
    <x v="965"/>
    <n v="219"/>
    <n v="10326062"/>
    <s v="Action|Horror|Mystery|Sci-Fi|Thriller"/>
    <s v="Norman Reedus"/>
    <x v="1484"/>
    <n v="121432"/>
    <s v="future|mission|space|spaceship|survival"/>
    <n v="310"/>
    <x v="0"/>
    <x v="5"/>
    <n v="33000000"/>
    <x v="16"/>
    <x v="22"/>
    <n v="35796420"/>
    <n v="11201092.49388"/>
    <x v="1483"/>
    <x v="1484"/>
    <x v="1"/>
  </r>
  <r>
    <x v="97"/>
    <n v="152"/>
    <n v="69304264"/>
    <s v="Crime|Romance|Thriller"/>
    <s v="Mark Margolis"/>
    <x v="1485"/>
    <n v="73068"/>
    <s v="art|insurance investigator|martinique|painting|trust"/>
    <n v="419"/>
    <x v="0"/>
    <x v="0"/>
    <n v="48000000"/>
    <x v="12"/>
    <x v="22"/>
    <n v="48000000"/>
    <n v="69304264"/>
    <x v="1484"/>
    <x v="1485"/>
    <x v="3"/>
  </r>
  <r>
    <x v="906"/>
    <n v="119"/>
    <n v="18621249"/>
    <s v="Comedy"/>
    <s v="John Michael Higgins"/>
    <x v="1486"/>
    <n v="45859"/>
    <s v="dog show|gay|gay character|gay couple|gay interest"/>
    <n v="340"/>
    <x v="0"/>
    <x v="0"/>
    <n v="6000000"/>
    <x v="4"/>
    <x v="2"/>
    <n v="6000000"/>
    <n v="18621249"/>
    <x v="1485"/>
    <x v="1486"/>
    <x v="4"/>
  </r>
  <r>
    <x v="258"/>
    <n v="150"/>
    <n v="18004225"/>
    <s v="Comedy|Drama|Romance"/>
    <s v="Tina Fey"/>
    <x v="1487"/>
    <n v="28573"/>
    <s v="adoption|female protagonist|princeton university|wedding|working women"/>
    <n v="87"/>
    <x v="0"/>
    <x v="0"/>
    <n v="13000000"/>
    <x v="0"/>
    <x v="35"/>
    <n v="13000000"/>
    <n v="18004225"/>
    <x v="1486"/>
    <x v="1487"/>
    <x v="4"/>
  </r>
  <r>
    <x v="106"/>
    <n v="129"/>
    <n v="110222438"/>
    <s v="Comedy|Family|Fantasy|Music|Romance"/>
    <s v="Jamie Lee Curtis"/>
    <x v="1488"/>
    <n v="96693"/>
    <s v="body swap|camera shot of feet|foot closeup|reference to keith richards|reference to the rolling stones"/>
    <n v="271"/>
    <x v="0"/>
    <x v="0"/>
    <n v="26000000"/>
    <x v="19"/>
    <x v="7"/>
    <n v="26000000"/>
    <n v="110222438"/>
    <x v="1487"/>
    <x v="1488"/>
    <x v="4"/>
  </r>
  <r>
    <x v="741"/>
    <n v="114"/>
    <n v="32368960"/>
    <s v="Comedy|Fantasy|Horror|Romance"/>
    <s v="Alexis Arquette"/>
    <x v="1489"/>
    <n v="39768"/>
    <s v="blood|doll|gore|murder|serial killer"/>
    <n v="292"/>
    <x v="0"/>
    <x v="9"/>
    <n v="25000000"/>
    <x v="6"/>
    <x v="1"/>
    <n v="18085125"/>
    <n v="23415867.5088"/>
    <x v="1488"/>
    <x v="1489"/>
    <x v="4"/>
  </r>
  <r>
    <x v="184"/>
    <n v="156"/>
    <n v="10562387"/>
    <s v="Adventure|Comedy|Drama"/>
    <s v="Johnny Depp"/>
    <x v="1490"/>
    <n v="213226"/>
    <s v="american dream|convertible|drugs|journalist|lawyer"/>
    <n v="648"/>
    <x v="0"/>
    <x v="0"/>
    <n v="18500000"/>
    <x v="6"/>
    <x v="9"/>
    <n v="18500000"/>
    <n v="10562387"/>
    <x v="1489"/>
    <x v="1490"/>
    <x v="0"/>
  </r>
  <r>
    <x v="626"/>
    <n v="8"/>
    <n v="146072"/>
    <s v="Comedy|Family|Fantasy|Sci-Fi"/>
    <s v="Christian Clavier"/>
    <x v="1491"/>
    <n v="7147"/>
    <s v="jewel|knight|magical potion|sequel|time travel comedy"/>
    <n v="16"/>
    <x v="4"/>
    <x v="8"/>
    <n v="140000000"/>
    <x v="6"/>
    <x v="11"/>
    <n v="151863600"/>
    <n v="158450.14128000001"/>
    <x v="1490"/>
    <x v="1491"/>
    <x v="4"/>
  </r>
  <r>
    <x v="623"/>
    <n v="166"/>
    <n v="37567440"/>
    <s v="Adventure|Fantasy"/>
    <s v="William Smith"/>
    <x v="826"/>
    <n v="113065"/>
    <s v="actual animal killed|cult|evil sorcerer|gladiator|warlord"/>
    <n v="337"/>
    <x v="0"/>
    <x v="0"/>
    <n v="20000000"/>
    <x v="42"/>
    <x v="31"/>
    <n v="20000000"/>
    <n v="37567440"/>
    <x v="826"/>
    <x v="826"/>
    <x v="0"/>
  </r>
  <r>
    <x v="966"/>
    <n v="462"/>
    <n v="54322273"/>
    <s v="Drama|Fantasy|Horror|Thriller"/>
    <s v="Daniel Radcliffe"/>
    <x v="1492"/>
    <n v="139749"/>
    <s v="afterlife|baby boy|bird in a cage|ghost|reunited family"/>
    <n v="509"/>
    <x v="0"/>
    <x v="2"/>
    <n v="17000000"/>
    <x v="28"/>
    <x v="24"/>
    <n v="21851799.999999899"/>
    <n v="69825849.714199901"/>
    <x v="1491"/>
    <x v="1492"/>
    <x v="5"/>
  </r>
  <r>
    <x v="177"/>
    <n v="284"/>
    <n v="43929341"/>
    <s v="Action|Family|Sport"/>
    <s v="Scott Porter"/>
    <x v="1493"/>
    <n v="57873"/>
    <s v="based on anime|based on cartoon|gadget car|racer|speed"/>
    <n v="414"/>
    <x v="0"/>
    <x v="0"/>
    <n v="120000000"/>
    <x v="20"/>
    <x v="7"/>
    <n v="120000000"/>
    <n v="43929341"/>
    <x v="1492"/>
    <x v="1493"/>
    <x v="1"/>
  </r>
  <r>
    <x v="967"/>
    <n v="56"/>
    <n v="16800000"/>
    <s v="Drama|Family|Musical"/>
    <s v="Oliver Reed"/>
    <x v="1494"/>
    <n v="25303"/>
    <s v="abuse|child|orphan|orphanage|pickpocket"/>
    <n v="138"/>
    <x v="0"/>
    <x v="2"/>
    <n v="10000000"/>
    <x v="47"/>
    <x v="2"/>
    <n v="12853999.999999899"/>
    <n v="21594719.999999899"/>
    <x v="1493"/>
    <x v="1494"/>
    <x v="5"/>
  </r>
  <r>
    <x v="543"/>
    <n v="209"/>
    <n v="28965197"/>
    <s v="Biography|Drama|Thriller"/>
    <s v="Al Pacino"/>
    <x v="1495"/>
    <n v="133526"/>
    <s v="cbs|cbs news|research|tobacco|whistleblower"/>
    <n v="521"/>
    <x v="0"/>
    <x v="0"/>
    <n v="68000000"/>
    <x v="12"/>
    <x v="19"/>
    <n v="68000000"/>
    <n v="28965197"/>
    <x v="1494"/>
    <x v="1495"/>
    <x v="2"/>
  </r>
  <r>
    <x v="968"/>
    <n v="156"/>
    <n v="418268"/>
    <s v="Comedy|Romance"/>
    <s v="Kirsten Dunst"/>
    <x v="1496"/>
    <n v="37156"/>
    <s v="bachelorette party|drug use|high school|overdose|wedding dress"/>
    <n v="129"/>
    <x v="0"/>
    <x v="0"/>
    <n v="3000000"/>
    <x v="28"/>
    <x v="1"/>
    <n v="3000000"/>
    <n v="418268"/>
    <x v="1495"/>
    <x v="1496"/>
    <x v="4"/>
  </r>
  <r>
    <x v="112"/>
    <n v="449"/>
    <n v="93749203"/>
    <s v="Drama|Thriller"/>
    <s v="Denzel Washington"/>
    <x v="1497"/>
    <n v="264047"/>
    <s v="airline|flight|flight attendant|lawyer|pilot"/>
    <n v="491"/>
    <x v="0"/>
    <x v="0"/>
    <n v="31000000"/>
    <x v="28"/>
    <x v="4"/>
    <n v="31000000"/>
    <n v="93749203"/>
    <x v="1496"/>
    <x v="1497"/>
    <x v="5"/>
  </r>
  <r>
    <x v="104"/>
    <n v="136"/>
    <n v="28045540"/>
    <s v="Action|Adventure|Comedy|Family|Fantasy|Sci-Fi"/>
    <s v="Kristen Stewart"/>
    <x v="1498"/>
    <n v="67707"/>
    <s v="2000s|coke|meeting future self|reference to spongebob squarepants|sony"/>
    <n v="202"/>
    <x v="0"/>
    <x v="0"/>
    <n v="65000000"/>
    <x v="25"/>
    <x v="7"/>
    <n v="65000000"/>
    <n v="28045540"/>
    <x v="1497"/>
    <x v="1498"/>
    <x v="1"/>
  </r>
  <r>
    <x v="969"/>
    <n v="168"/>
    <n v="1900725"/>
    <s v="Crime|Drama|Western"/>
    <s v="Ray Winstone"/>
    <x v="1499"/>
    <n v="43205"/>
    <s v="aborigine|foreboding|gang|hideout|outlaw"/>
    <n v="232"/>
    <x v="0"/>
    <x v="3"/>
    <n v="2000000"/>
    <x v="25"/>
    <x v="39"/>
    <n v="1307760"/>
    <n v="1242846.0630000001"/>
    <x v="1498"/>
    <x v="1499"/>
    <x v="3"/>
  </r>
  <r>
    <x v="970"/>
    <n v="49"/>
    <n v="14375181"/>
    <s v="Action|Adventure|Comedy|Music|Thriller"/>
    <s v="Carol Kane"/>
    <x v="1500"/>
    <n v="8692"/>
    <s v="cia|emir|hotel|map|morocco"/>
    <n v="126"/>
    <x v="0"/>
    <x v="0"/>
    <n v="51000000"/>
    <x v="21"/>
    <x v="32"/>
    <n v="51000000"/>
    <n v="14375181"/>
    <x v="1499"/>
    <x v="1500"/>
    <x v="1"/>
  </r>
  <r>
    <x v="971"/>
    <n v="9"/>
    <n v="5100000"/>
    <s v="Comedy|Drama|Romance"/>
    <s v="Joely Richardson"/>
    <x v="1501"/>
    <n v="6595"/>
    <s v="football|hotel|teenage girl|terrorist|wien"/>
    <n v="61"/>
    <x v="0"/>
    <x v="2"/>
    <n v="7500000"/>
    <x v="17"/>
    <x v="11"/>
    <n v="9640500"/>
    <n v="6555539.9999999898"/>
    <x v="1500"/>
    <x v="1501"/>
    <x v="4"/>
  </r>
  <r>
    <x v="692"/>
    <n v="107"/>
    <n v="27053815"/>
    <s v="Action|Adventure|Romance"/>
    <s v="Catherine Deneuve"/>
    <x v="1502"/>
    <n v="12856"/>
    <s v="guard|king|murder|musketeer|swordsman"/>
    <n v="291"/>
    <x v="0"/>
    <x v="5"/>
    <n v="40000000"/>
    <x v="9"/>
    <x v="27"/>
    <n v="43389600"/>
    <n v="29346355.283100002"/>
    <x v="1501"/>
    <x v="1502"/>
    <x v="1"/>
  </r>
  <r>
    <x v="366"/>
    <n v="223"/>
    <n v="3247816"/>
    <s v="Comedy|Drama|Romance"/>
    <s v="Anthony Hopkins"/>
    <x v="1503"/>
    <n v="36145"/>
    <s v="call girl|charlatan|fortune teller|manuscript|writer"/>
    <n v="108"/>
    <x v="0"/>
    <x v="0"/>
    <n v="22000000"/>
    <x v="11"/>
    <x v="23"/>
    <n v="22000000"/>
    <n v="3247816"/>
    <x v="1502"/>
    <x v="1503"/>
    <x v="4"/>
  </r>
  <r>
    <x v="838"/>
    <n v="111"/>
    <n v="38232624"/>
    <s v="Comedy"/>
    <s v="Carmen Electra"/>
    <x v="1504"/>
    <n v="88518"/>
    <s v="king|persian|spartan|training|xerxes"/>
    <n v="409"/>
    <x v="0"/>
    <x v="0"/>
    <n v="30000000"/>
    <x v="20"/>
    <x v="29"/>
    <n v="30000000"/>
    <n v="38232624"/>
    <x v="1503"/>
    <x v="1504"/>
    <x v="4"/>
  </r>
  <r>
    <x v="636"/>
    <n v="116"/>
    <n v="3650677"/>
    <s v="Comedy|Crime"/>
    <s v="Jason Statham"/>
    <x v="1505"/>
    <n v="414976"/>
    <s v="antique|cockney accent|hatchet|money|shotgun"/>
    <n v="523"/>
    <x v="0"/>
    <x v="2"/>
    <n v="960000"/>
    <x v="6"/>
    <x v="60"/>
    <n v="1233983.99999999"/>
    <n v="4692580.2157999901"/>
    <x v="1504"/>
    <x v="1505"/>
    <x v="4"/>
  </r>
  <r>
    <x v="972"/>
    <n v="31"/>
    <n v="454255"/>
    <s v="Action|Adventure|Drama|History|War"/>
    <s v="Sarunyu Wongkrachang"/>
    <x v="1506"/>
    <n v="1666"/>
    <s v="16th century|burmese|invasion|queen|thailand"/>
    <n v="47"/>
    <x v="21"/>
    <x v="28"/>
    <n v="400000000"/>
    <x v="9"/>
    <x v="14"/>
    <n v="11037528"/>
    <n v="12534.6307041"/>
    <x v="1505"/>
    <x v="1506"/>
    <x v="1"/>
  </r>
  <r>
    <x v="637"/>
    <n v="387"/>
    <n v="143492840"/>
    <s v="Comedy|Drama|Romance"/>
    <s v="J.K. Simmons"/>
    <x v="1507"/>
    <n v="414345"/>
    <s v="adoption|baby|friend|pregnancy|school"/>
    <n v="881"/>
    <x v="0"/>
    <x v="0"/>
    <n v="7500000"/>
    <x v="15"/>
    <x v="2"/>
    <n v="7500000"/>
    <n v="143492840"/>
    <x v="1506"/>
    <x v="1507"/>
    <x v="4"/>
  </r>
  <r>
    <x v="465"/>
    <n v="191"/>
    <n v="245823397"/>
    <s v="Adventure|Animation|Comedy|Family|Fantasy"/>
    <s v="Tom Hanks"/>
    <x v="1508"/>
    <n v="385871"/>
    <s v="collector|dog|friend|rescue|toy"/>
    <n v="515"/>
    <x v="0"/>
    <x v="0"/>
    <n v="90000000"/>
    <x v="12"/>
    <x v="19"/>
    <n v="90000000"/>
    <n v="245823397"/>
    <x v="1507"/>
    <x v="1508"/>
    <x v="0"/>
  </r>
  <r>
    <x v="508"/>
    <n v="210"/>
    <n v="31670931"/>
    <s v="Biography|Drama|Music"/>
    <s v="Robert Downey Jr."/>
    <x v="1509"/>
    <n v="44099"/>
    <s v="columnist|journalist|los angeles times|musician|wearing a traffic cone as a hat"/>
    <n v="143"/>
    <x v="0"/>
    <x v="2"/>
    <n v="60000000"/>
    <x v="16"/>
    <x v="21"/>
    <n v="77124000"/>
    <n v="40709814.707399897"/>
    <x v="1508"/>
    <x v="1509"/>
    <x v="2"/>
  </r>
  <r>
    <x v="973"/>
    <n v="63"/>
    <n v="21800302"/>
    <s v="Comedy|Drama|Romance|Sport"/>
    <s v="Bernie Mac"/>
    <x v="1510"/>
    <n v="12164"/>
    <s v="baseball|baseball movie|cartoon on tv|dodge viper|retirement"/>
    <n v="63"/>
    <x v="0"/>
    <x v="0"/>
    <n v="30000000"/>
    <x v="2"/>
    <x v="28"/>
    <n v="30000000"/>
    <n v="21800302"/>
    <x v="1509"/>
    <x v="1510"/>
    <x v="4"/>
  </r>
  <r>
    <x v="405"/>
    <n v="285"/>
    <n v="34014398"/>
    <s v="Action|Adventure|Crime|Drama|Thriller"/>
    <s v="Lin Shaye"/>
    <x v="483"/>
    <n v="115649"/>
    <s v="baby rattle|famous line|murder|passenger|snake"/>
    <n v="1033"/>
    <x v="0"/>
    <x v="5"/>
    <n v="33000000"/>
    <x v="7"/>
    <x v="15"/>
    <n v="35796420"/>
    <n v="36896778.086520001"/>
    <x v="483"/>
    <x v="483"/>
    <x v="1"/>
  </r>
  <r>
    <x v="168"/>
    <n v="136"/>
    <n v="17804273"/>
    <s v="Drama|Thriller"/>
    <s v="Jeff Bridges"/>
    <x v="1511"/>
    <n v="20449"/>
    <s v="bridge|governor|political thriller|president|vice president"/>
    <n v="370"/>
    <x v="0"/>
    <x v="0"/>
    <n v="20000000"/>
    <x v="4"/>
    <x v="16"/>
    <n v="20000000"/>
    <n v="17804273"/>
    <x v="1510"/>
    <x v="1511"/>
    <x v="5"/>
  </r>
  <r>
    <x v="974"/>
    <n v="371"/>
    <n v="31569268"/>
    <s v="Action|Crime|Drama|Sci-Fi|Thriller"/>
    <s v="Hugh Jackman"/>
    <x v="1512"/>
    <n v="172965"/>
    <s v="artificial intelligence|consciousness|future|mind uploading|robot"/>
    <n v="627"/>
    <x v="0"/>
    <x v="0"/>
    <n v="49000000"/>
    <x v="1"/>
    <x v="31"/>
    <n v="49000000"/>
    <n v="31569268"/>
    <x v="1511"/>
    <x v="1512"/>
    <x v="1"/>
  </r>
  <r>
    <x v="184"/>
    <n v="139"/>
    <n v="42365600"/>
    <s v="Adventure|Comedy|Fantasy|Sci-Fi"/>
    <s v="Shelley Duvall"/>
    <x v="1513"/>
    <n v="45890"/>
    <s v="cult director|dwarf|robin hood|satire|treasure"/>
    <n v="177"/>
    <x v="0"/>
    <x v="2"/>
    <n v="5000000"/>
    <x v="43"/>
    <x v="16"/>
    <n v="6426999.9999999898"/>
    <n v="54456742.239999898"/>
    <x v="1512"/>
    <x v="1513"/>
    <x v="0"/>
  </r>
  <r>
    <x v="952"/>
    <n v="300"/>
    <n v="102310175"/>
    <s v="Horror|Mystery|Thriller"/>
    <s v="Javier Botet"/>
    <x v="1514"/>
    <n v="64989"/>
    <s v="based on supposedly true story|house|paranormal investigating|psychic|second part"/>
    <n v="279"/>
    <x v="0"/>
    <x v="0"/>
    <n v="40000000"/>
    <x v="24"/>
    <x v="38"/>
    <n v="40000000"/>
    <n v="102310175"/>
    <x v="1513"/>
    <x v="1514"/>
    <x v="6"/>
  </r>
  <r>
    <x v="131"/>
    <n v="80"/>
    <n v="76081498"/>
    <s v="Action|Crime|Mystery|Romance|Thriller"/>
    <s v="Julia Roberts"/>
    <x v="1515"/>
    <n v="76099"/>
    <s v="conspiracy|fbi|mk ultra|newsletter|taxi"/>
    <n v="162"/>
    <x v="0"/>
    <x v="0"/>
    <n v="75000000"/>
    <x v="31"/>
    <x v="21"/>
    <n v="75000000"/>
    <n v="76081498"/>
    <x v="1514"/>
    <x v="1515"/>
    <x v="1"/>
  </r>
  <r>
    <x v="975"/>
    <n v="286"/>
    <n v="100292856"/>
    <s v="Comedy"/>
    <s v="Justin Timberlake"/>
    <x v="1516"/>
    <n v="160418"/>
    <s v="boob job|breast enlargement|breast surgery|cheating on a test|ejaculation"/>
    <n v="296"/>
    <x v="0"/>
    <x v="0"/>
    <n v="20000000"/>
    <x v="22"/>
    <x v="35"/>
    <n v="20000000"/>
    <n v="100292856"/>
    <x v="1515"/>
    <x v="1516"/>
    <x v="4"/>
  </r>
  <r>
    <x v="960"/>
    <n v="144"/>
    <n v="116643346"/>
    <s v="Action|Adventure|Crime|Thriller"/>
    <s v="Jeremy Renner"/>
    <x v="1517"/>
    <n v="119807"/>
    <s v="hostage|police|prison|swat team|training"/>
    <n v="340"/>
    <x v="0"/>
    <x v="0"/>
    <n v="80000000"/>
    <x v="19"/>
    <x v="11"/>
    <n v="80000000"/>
    <n v="116643346"/>
    <x v="1516"/>
    <x v="1517"/>
    <x v="1"/>
  </r>
  <r>
    <x v="804"/>
    <n v="154"/>
    <n v="45290318"/>
    <s v="Action|Comedy|Sport"/>
    <s v="Salma Hayek"/>
    <x v="1518"/>
    <n v="74169"/>
    <s v="claim in title|high school|mixed martial arts|ultimate fighting championship|underdog"/>
    <n v="112"/>
    <x v="0"/>
    <x v="0"/>
    <n v="42000000"/>
    <x v="28"/>
    <x v="20"/>
    <n v="42000000"/>
    <n v="45290318"/>
    <x v="1517"/>
    <x v="1518"/>
    <x v="1"/>
  </r>
  <r>
    <x v="316"/>
    <n v="253"/>
    <n v="40137776"/>
    <s v="Comedy|Drama|Fantasy|Romance"/>
    <s v="Will Ferrell"/>
    <x v="1519"/>
    <n v="186977"/>
    <s v="author|fate|novelist|professor|writer"/>
    <n v="529"/>
    <x v="0"/>
    <x v="0"/>
    <n v="38000000"/>
    <x v="7"/>
    <x v="10"/>
    <n v="38000000"/>
    <n v="40137776"/>
    <x v="1518"/>
    <x v="1519"/>
    <x v="4"/>
  </r>
  <r>
    <x v="509"/>
    <n v="267"/>
    <n v="65452312"/>
    <s v="Action|Crime|Thriller"/>
    <s v="Denzel Washington"/>
    <x v="1520"/>
    <n v="149998"/>
    <s v="hijack|hostage|ransom|subway|train"/>
    <n v="285"/>
    <x v="0"/>
    <x v="0"/>
    <n v="100000000"/>
    <x v="16"/>
    <x v="24"/>
    <n v="100000000"/>
    <n v="65452312"/>
    <x v="1519"/>
    <x v="1520"/>
    <x v="1"/>
  </r>
  <r>
    <x v="935"/>
    <n v="51"/>
    <n v="3799339"/>
    <s v="Crime|Drama|Romance"/>
    <s v="Parry Shen"/>
    <x v="1521"/>
    <n v="8000"/>
    <s v="asian american|high school|overachiever|pubic hair|vomiting"/>
    <n v="138"/>
    <x v="0"/>
    <x v="0"/>
    <n v="250000"/>
    <x v="13"/>
    <x v="33"/>
    <n v="250000"/>
    <n v="3799339"/>
    <x v="1520"/>
    <x v="1521"/>
    <x v="3"/>
  </r>
  <r>
    <x v="976"/>
    <n v="25"/>
    <n v="26539321"/>
    <s v="Comedy|Drama|Family"/>
    <s v="Gregory Smith"/>
    <x v="1522"/>
    <n v="7984"/>
    <s v="binoculars|child spy|notebook|secret|spy"/>
    <n v="42"/>
    <x v="0"/>
    <x v="0"/>
    <n v="13000000"/>
    <x v="10"/>
    <x v="0"/>
    <n v="13000000"/>
    <n v="26539321"/>
    <x v="1521"/>
    <x v="1522"/>
    <x v="4"/>
  </r>
  <r>
    <x v="977"/>
    <n v="66"/>
    <n v="40557"/>
    <s v="Comedy"/>
    <s v="Clifton Collins Jr."/>
    <x v="1523"/>
    <n v="1389"/>
    <s v="abbreviation in title|based on short film|competition dancing|dystopia|location in title"/>
    <n v="22"/>
    <x v="0"/>
    <x v="0"/>
    <n v="60000"/>
    <x v="22"/>
    <x v="15"/>
    <n v="60000"/>
    <n v="40557"/>
    <x v="1522"/>
    <x v="1523"/>
    <x v="4"/>
  </r>
  <r>
    <x v="978"/>
    <n v="32"/>
    <n v="9109322"/>
    <s v="Comedy|Family|Sci-Fi"/>
    <s v="Scott Baio"/>
    <x v="1524"/>
    <n v="25371"/>
    <s v="computer|good versus evil|mind control|science experiment|sequel"/>
    <n v="129"/>
    <x v="0"/>
    <x v="5"/>
    <n v="20000000"/>
    <x v="2"/>
    <x v="66"/>
    <n v="21694800"/>
    <n v="9881245.9462800007"/>
    <x v="1523"/>
    <x v="1524"/>
    <x v="4"/>
  </r>
  <r>
    <x v="546"/>
    <n v="117"/>
    <n v="60984028"/>
    <s v="Drama|Mystery|Thriller"/>
    <s v="Keanu Reeves"/>
    <x v="1525"/>
    <n v="259519"/>
    <s v="deal with the devil|lawyer|money|reality|supernatural power"/>
    <n v="431"/>
    <x v="0"/>
    <x v="0"/>
    <n v="57000000"/>
    <x v="31"/>
    <x v="2"/>
    <n v="57000000"/>
    <n v="60984028"/>
    <x v="1524"/>
    <x v="1525"/>
    <x v="5"/>
  </r>
  <r>
    <x v="979"/>
    <n v="252"/>
    <n v="17605861"/>
    <s v="Biography|Drama|History|Thriller"/>
    <s v="David Oyelowo"/>
    <x v="1526"/>
    <n v="145580"/>
    <s v="1970s|assassination|doctor|scottish|ugandan"/>
    <n v="351"/>
    <x v="0"/>
    <x v="2"/>
    <n v="6000000"/>
    <x v="7"/>
    <x v="9"/>
    <n v="7712399.9999999898"/>
    <n v="22630573.729399901"/>
    <x v="1525"/>
    <x v="1526"/>
    <x v="2"/>
  </r>
  <r>
    <x v="634"/>
    <n v="277"/>
    <n v="42575718"/>
    <s v="Horror"/>
    <s v="Emma Bell"/>
    <x v="1527"/>
    <n v="83788"/>
    <s v="blood splatter|death|eyeball run over by car|latex gloves|suspension bridge"/>
    <n v="227"/>
    <x v="0"/>
    <x v="0"/>
    <n v="40000000"/>
    <x v="22"/>
    <x v="0"/>
    <n v="40000000"/>
    <n v="42575718"/>
    <x v="1526"/>
    <x v="1527"/>
    <x v="6"/>
  </r>
  <r>
    <x v="980"/>
    <n v="161"/>
    <n v="6301131"/>
    <s v="Drama|Mystery|Sci-Fi|Thriller"/>
    <s v="Jennifer Jason Leigh"/>
    <x v="1528"/>
    <n v="92850"/>
    <s v="gulf war veteran|morgue|shot in the head|vermont|veteran"/>
    <n v="263"/>
    <x v="0"/>
    <x v="0"/>
    <n v="29000000"/>
    <x v="25"/>
    <x v="17"/>
    <n v="29000000"/>
    <n v="6301131"/>
    <x v="1527"/>
    <x v="1528"/>
    <x v="5"/>
  </r>
  <r>
    <x v="833"/>
    <n v="391"/>
    <n v="62563543"/>
    <s v="Biography|Crime|Drama"/>
    <s v="Johnny Depp"/>
    <x v="1529"/>
    <n v="115216"/>
    <s v="based on true story|boston massachusetts|fbi agent|gangster|true crime"/>
    <n v="289"/>
    <x v="0"/>
    <x v="0"/>
    <n v="53000000"/>
    <x v="1"/>
    <x v="16"/>
    <n v="53000000"/>
    <n v="62563543"/>
    <x v="1528"/>
    <x v="1529"/>
    <x v="2"/>
  </r>
  <r>
    <x v="981"/>
    <n v="147"/>
    <n v="6842058"/>
    <s v="Action|Horror|Thriller"/>
    <s v="Daniel Sharman"/>
    <x v="1530"/>
    <n v="36029"/>
    <s v="booby trap|brainwashing|mercenary|serial killer|trap"/>
    <n v="99"/>
    <x v="0"/>
    <x v="0"/>
    <n v="10000000"/>
    <x v="28"/>
    <x v="7"/>
    <n v="10000000"/>
    <n v="6842058"/>
    <x v="1529"/>
    <x v="1530"/>
    <x v="1"/>
  </r>
  <r>
    <x v="924"/>
    <n v="256"/>
    <n v="15081783"/>
    <s v="Adventure|Animation|Family|Fantasy"/>
    <s v="Rumi Hiiragi"/>
    <x v="1531"/>
    <n v="85589"/>
    <s v="children adventure|magical realism|sea goddess|small town|tsunami"/>
    <n v="144"/>
    <x v="8"/>
    <x v="15"/>
    <n v="34000000"/>
    <x v="20"/>
    <x v="9"/>
    <n v="220884.4"/>
    <n v="97980.311437800003"/>
    <x v="1530"/>
    <x v="1531"/>
    <x v="0"/>
  </r>
  <r>
    <x v="605"/>
    <n v="97"/>
    <n v="10200000"/>
    <s v="Drama|Mystery|Thriller"/>
    <s v="Ben Gazzara"/>
    <x v="1532"/>
    <n v="18697"/>
    <s v="brother sister relationship|extradition|fbi|japanese tourist|secret"/>
    <n v="263"/>
    <x v="0"/>
    <x v="0"/>
    <n v="10000000"/>
    <x v="31"/>
    <x v="4"/>
    <n v="10000000"/>
    <n v="10200000"/>
    <x v="1531"/>
    <x v="1532"/>
    <x v="5"/>
  </r>
  <r>
    <x v="982"/>
    <n v="440"/>
    <n v="778565"/>
    <s v="Crime|Drama"/>
    <s v="Ryan Gosling"/>
    <x v="1533"/>
    <n v="83234"/>
    <s v="brutal cop|drug dealer|punishment|thai boxing|vengeance"/>
    <n v="475"/>
    <x v="0"/>
    <x v="23"/>
    <n v="4800000"/>
    <x v="0"/>
    <x v="35"/>
    <n v="697643.99999999895"/>
    <n v="113158.583512499"/>
    <x v="1532"/>
    <x v="1533"/>
    <x v="3"/>
  </r>
  <r>
    <x v="259"/>
    <n v="61"/>
    <n v="64172251"/>
    <s v="Comedy|Fantasy"/>
    <s v="Chazz Palminteri"/>
    <x v="1534"/>
    <n v="19079"/>
    <s v="angel|butler|heaven|manhattan new york city|reincarnation"/>
    <n v="122"/>
    <x v="0"/>
    <x v="0"/>
    <n v="30000000"/>
    <x v="9"/>
    <x v="26"/>
    <n v="30000000"/>
    <n v="64172251"/>
    <x v="1533"/>
    <x v="1534"/>
    <x v="4"/>
  </r>
  <r>
    <x v="2"/>
    <n v="317"/>
    <n v="13651662"/>
    <s v="Drama|Sport"/>
    <s v="Tom Hardy"/>
    <x v="1535"/>
    <n v="332276"/>
    <s v="alcoholic|mixed martial arts|return home|tournament|underdog"/>
    <n v="514"/>
    <x v="0"/>
    <x v="0"/>
    <n v="25000000"/>
    <x v="22"/>
    <x v="60"/>
    <n v="25000000"/>
    <n v="13651662"/>
    <x v="1534"/>
    <x v="1535"/>
    <x v="5"/>
  </r>
  <r>
    <x v="610"/>
    <n v="349"/>
    <n v="37877959"/>
    <s v="Adventure|Biography|Drama"/>
    <s v="Michiel Huisman"/>
    <x v="1536"/>
    <n v="86664"/>
    <s v="female protagonist|grief|hiking|loss of mother|mother daughter relationship"/>
    <n v="252"/>
    <x v="0"/>
    <x v="0"/>
    <n v="15000000"/>
    <x v="27"/>
    <x v="17"/>
    <n v="15000000"/>
    <n v="37877959"/>
    <x v="1535"/>
    <x v="1536"/>
    <x v="0"/>
  </r>
  <r>
    <x v="380"/>
    <n v="62"/>
    <n v="54800000"/>
    <s v="Drama"/>
    <s v="Adam Baldwin"/>
    <x v="1537"/>
    <n v="35130"/>
    <s v="choir|death|friend|suicide|therapy"/>
    <n v="283"/>
    <x v="0"/>
    <x v="0"/>
    <n v="6000000"/>
    <x v="52"/>
    <x v="38"/>
    <n v="6000000"/>
    <n v="54800000"/>
    <x v="1536"/>
    <x v="1537"/>
    <x v="5"/>
  </r>
  <r>
    <x v="983"/>
    <n v="192"/>
    <n v="33682273"/>
    <s v="Action|Crime|Drama|Thriller"/>
    <s v="Laura Harring"/>
    <x v="1538"/>
    <n v="124242"/>
    <s v="death|family reunion|fbi|fbi agent|vigilante"/>
    <n v="622"/>
    <x v="0"/>
    <x v="0"/>
    <n v="33000000"/>
    <x v="2"/>
    <x v="20"/>
    <n v="33000000"/>
    <n v="33682273"/>
    <x v="1537"/>
    <x v="1538"/>
    <x v="1"/>
  </r>
  <r>
    <x v="984"/>
    <n v="111"/>
    <n v="28014536"/>
    <s v="Action|Comedy|Crime|Romance|Thriller"/>
    <s v="Minnie Driver"/>
    <x v="1539"/>
    <n v="73347"/>
    <s v="assassin|high school|high school reunion|reunion|suburb"/>
    <n v="296"/>
    <x v="0"/>
    <x v="0"/>
    <n v="15000000"/>
    <x v="31"/>
    <x v="39"/>
    <n v="15000000"/>
    <n v="28014536"/>
    <x v="1538"/>
    <x v="1539"/>
    <x v="1"/>
  </r>
  <r>
    <x v="913"/>
    <n v="28"/>
    <n v="27900000"/>
    <s v="Crime|Drama|Thriller"/>
    <s v="Jada Pinkett Smith"/>
    <x v="1540"/>
    <n v="39508"/>
    <s v="1990s|escape|graduation|hustler|street"/>
    <n v="96"/>
    <x v="0"/>
    <x v="0"/>
    <n v="3500000"/>
    <x v="23"/>
    <x v="2"/>
    <n v="3500000"/>
    <n v="27900000"/>
    <x v="1428"/>
    <x v="1540"/>
    <x v="3"/>
  </r>
  <r>
    <x v="985"/>
    <n v="125"/>
    <n v="15279680"/>
    <s v="Action|Crime|Thriller"/>
    <s v="Nicolas Cage"/>
    <x v="1541"/>
    <n v="48245"/>
    <s v="deaf|hitman|nightclub|pickpocket|rules of profession"/>
    <n v="154"/>
    <x v="0"/>
    <x v="0"/>
    <n v="40000000"/>
    <x v="20"/>
    <x v="26"/>
    <n v="40000000"/>
    <n v="15279680"/>
    <x v="1539"/>
    <x v="1541"/>
    <x v="1"/>
  </r>
  <r>
    <x v="986"/>
    <n v="94"/>
    <n v="1221261"/>
    <s v="Crime|Drama|Thriller"/>
    <s v="Ricardo DarÃ­n"/>
    <x v="1542"/>
    <n v="38215"/>
    <s v="con artist|hotel|partner|scam|stamp"/>
    <n v="125"/>
    <x v="9"/>
    <x v="17"/>
    <n v="1500000"/>
    <x v="4"/>
    <x v="19"/>
    <n v="1613.7855"/>
    <n v="1313.902195677"/>
    <x v="1540"/>
    <x v="1542"/>
    <x v="3"/>
  </r>
  <r>
    <x v="21"/>
    <n v="142"/>
    <n v="145096820"/>
    <s v="Comedy"/>
    <s v="Alyson Hannigan"/>
    <x v="1543"/>
    <n v="200260"/>
    <s v="beach|beach house|college|party|student"/>
    <n v="431"/>
    <x v="0"/>
    <x v="0"/>
    <n v="30000000"/>
    <x v="9"/>
    <x v="24"/>
    <n v="30000000"/>
    <n v="145096820"/>
    <x v="1541"/>
    <x v="1543"/>
    <x v="4"/>
  </r>
  <r>
    <x v="987"/>
    <n v="180"/>
    <n v="617840"/>
    <s v="Adventure|Drama|History|Romance"/>
    <s v="Max Minghella"/>
    <x v="1544"/>
    <n v="52496"/>
    <s v="christian|love|philosophy|prefect|slave"/>
    <n v="172"/>
    <x v="0"/>
    <x v="12"/>
    <n v="70000000"/>
    <x v="16"/>
    <x v="33"/>
    <n v="75931800"/>
    <n v="670195.76159999997"/>
    <x v="1542"/>
    <x v="1544"/>
    <x v="0"/>
  </r>
  <r>
    <x v="412"/>
    <n v="45"/>
    <n v="7001720"/>
    <s v="Comedy|Fantasy"/>
    <s v="Chriss Anglin"/>
    <x v="1545"/>
    <n v="8560"/>
    <s v="arab stereotype|box office flop|documentary filmmaker|filmmaker|terrorist"/>
    <n v="205"/>
    <x v="0"/>
    <x v="0"/>
    <n v="12000000"/>
    <x v="20"/>
    <x v="46"/>
    <n v="12000000"/>
    <n v="7001720"/>
    <x v="1543"/>
    <x v="1545"/>
    <x v="4"/>
  </r>
  <r>
    <x v="988"/>
    <n v="138"/>
    <n v="30000000"/>
    <s v="Fantasy|Horror"/>
    <s v="Clu Gulager"/>
    <x v="1546"/>
    <n v="43485"/>
    <s v="freddy krueger|gay|gay subtext|homoeroticism|jock strap"/>
    <n v="327"/>
    <x v="0"/>
    <x v="0"/>
    <n v="2200000"/>
    <x v="37"/>
    <x v="26"/>
    <n v="2200000"/>
    <n v="30000000"/>
    <x v="1544"/>
    <x v="1546"/>
    <x v="9"/>
  </r>
  <r>
    <x v="466"/>
    <n v="323"/>
    <n v="47536959"/>
    <s v="Drama"/>
    <s v="Mo'Nique"/>
    <x v="578"/>
    <n v="86955"/>
    <s v="abuse|african american lesbian|lesbian|lesbian couple|school"/>
    <n v="275"/>
    <x v="0"/>
    <x v="0"/>
    <n v="10000000"/>
    <x v="16"/>
    <x v="4"/>
    <n v="10000000"/>
    <n v="47536959"/>
    <x v="578"/>
    <x v="578"/>
    <x v="5"/>
  </r>
  <r>
    <x v="989"/>
    <n v="242"/>
    <n v="22858926"/>
    <s v="Comedy|Drama|Fantasy"/>
    <s v="Willie Garson"/>
    <x v="1547"/>
    <n v="254404"/>
    <s v="body swap|magical realism|portal|puppeteer|surrealism"/>
    <n v="840"/>
    <x v="0"/>
    <x v="0"/>
    <n v="13000000"/>
    <x v="12"/>
    <x v="38"/>
    <n v="13000000"/>
    <n v="22858926"/>
    <x v="1545"/>
    <x v="1547"/>
    <x v="4"/>
  </r>
  <r>
    <x v="990"/>
    <n v="23"/>
    <n v="532190"/>
    <s v="Biography|Drama|Romance|Sport"/>
    <s v="Kurtwood Smith"/>
    <x v="1548"/>
    <n v="5673"/>
    <s v="long distance runner|olympics|oregon|runner|watching television"/>
    <n v="37"/>
    <x v="0"/>
    <x v="0"/>
    <n v="8000000"/>
    <x v="31"/>
    <x v="22"/>
    <n v="8000000"/>
    <n v="532190"/>
    <x v="1546"/>
    <x v="1548"/>
    <x v="2"/>
  </r>
  <r>
    <x v="203"/>
    <n v="246"/>
    <n v="44665963"/>
    <s v="Comedy"/>
    <s v="Josh Gad"/>
    <x v="1549"/>
    <n v="159931"/>
    <s v="actor's picture shown in credits|animated credits|google|internship|still images in end credits"/>
    <n v="281"/>
    <x v="0"/>
    <x v="0"/>
    <n v="58000000"/>
    <x v="0"/>
    <x v="23"/>
    <n v="58000000"/>
    <n v="44665963"/>
    <x v="1547"/>
    <x v="1549"/>
    <x v="4"/>
  </r>
  <r>
    <x v="74"/>
    <n v="193"/>
    <n v="173005002"/>
    <s v="Action|Adventure|Comedy|Family|Mystery"/>
    <s v="Nicolas Cage"/>
    <x v="1550"/>
    <n v="255447"/>
    <s v="declaration of independence|secret society|treasure|treasure hunt|treasure hunter"/>
    <n v="692"/>
    <x v="0"/>
    <x v="0"/>
    <n v="100000000"/>
    <x v="2"/>
    <x v="31"/>
    <n v="100000000"/>
    <n v="173005002"/>
    <x v="1548"/>
    <x v="1550"/>
    <x v="1"/>
  </r>
  <r>
    <x v="991"/>
    <n v="49"/>
    <n v="1631839"/>
    <s v="Comedy|Crime|Romance"/>
    <s v="Liam Neeson"/>
    <x v="1551"/>
    <n v="5936"/>
    <s v="colombian|enema|group therapy|murder|nurse"/>
    <n v="91"/>
    <x v="0"/>
    <x v="0"/>
    <n v="10000000"/>
    <x v="4"/>
    <x v="35"/>
    <n v="10000000"/>
    <n v="1631839"/>
    <x v="1549"/>
    <x v="1551"/>
    <x v="4"/>
  </r>
  <r>
    <x v="992"/>
    <n v="27"/>
    <n v="3060858"/>
    <s v="Action|Drama|Thriller"/>
    <s v="Cliff Robertson"/>
    <x v="1552"/>
    <n v="1768"/>
    <s v="assassin|box office flop|cia|farmer|power"/>
    <n v="37"/>
    <x v="0"/>
    <x v="0"/>
    <n v="10000000"/>
    <x v="21"/>
    <x v="15"/>
    <n v="10000000"/>
    <n v="3060858"/>
    <x v="1550"/>
    <x v="1552"/>
    <x v="1"/>
  </r>
  <r>
    <x v="993"/>
    <n v="37"/>
    <n v="35422828"/>
    <s v="Biography|Drama|Music"/>
    <s v="Jon Seda"/>
    <x v="1553"/>
    <n v="19126"/>
    <s v="latin music|marriage|on tour|singer|tejano"/>
    <n v="155"/>
    <x v="0"/>
    <x v="0"/>
    <n v="20000000"/>
    <x v="31"/>
    <x v="21"/>
    <n v="20000000"/>
    <n v="35422828"/>
    <x v="1551"/>
    <x v="1553"/>
    <x v="2"/>
  </r>
  <r>
    <x v="698"/>
    <n v="62"/>
    <n v="28535768"/>
    <s v="Comedy"/>
    <s v="Oliver Hudson"/>
    <x v="1554"/>
    <n v="10446"/>
    <s v="job interview|manhattan new york city|new york city|remake|sausage"/>
    <n v="105"/>
    <x v="0"/>
    <x v="0"/>
    <n v="40000000"/>
    <x v="12"/>
    <x v="1"/>
    <n v="40000000"/>
    <n v="28535768"/>
    <x v="1552"/>
    <x v="1554"/>
    <x v="4"/>
  </r>
  <r>
    <x v="994"/>
    <n v="656"/>
    <n v="136019448"/>
    <s v="Biography|Drama|History|Thriller"/>
    <s v="Clea DuVall"/>
    <x v="1555"/>
    <n v="452465"/>
    <s v="1970s|cia|f word|u.s. embassy|year 1979"/>
    <n v="695"/>
    <x v="0"/>
    <x v="0"/>
    <n v="44500000"/>
    <x v="28"/>
    <x v="9"/>
    <n v="44500000"/>
    <n v="136019448"/>
    <x v="1553"/>
    <x v="1555"/>
    <x v="2"/>
  </r>
  <r>
    <x v="995"/>
    <n v="12"/>
    <n v="798341"/>
    <s v="Crime|Drama|Mystery"/>
    <s v="Wilford Brimley"/>
    <x v="1556"/>
    <n v="983"/>
    <s v="fbi agent|mormon|prayer|sheriff|utah"/>
    <n v="63"/>
    <x v="0"/>
    <x v="0"/>
    <n v="1000000"/>
    <x v="9"/>
    <x v="33"/>
    <n v="1000000"/>
    <n v="798341"/>
    <x v="1554"/>
    <x v="1556"/>
    <x v="3"/>
  </r>
  <r>
    <x v="92"/>
    <n v="81"/>
    <n v="154077"/>
    <s v="Comedy|Drama"/>
    <s v="Kevin Corrigan"/>
    <x v="1557"/>
    <n v="6884"/>
    <s v="bail|coma|dart board|indiana|ladder factory"/>
    <n v="53"/>
    <x v="0"/>
    <x v="0"/>
    <n v="500000"/>
    <x v="25"/>
    <x v="14"/>
    <n v="500000"/>
    <n v="154077"/>
    <x v="1555"/>
    <x v="1557"/>
    <x v="4"/>
  </r>
  <r>
    <x v="71"/>
    <n v="358"/>
    <n v="98895417"/>
    <s v="Action|Thriller"/>
    <s v="Gerard Butler"/>
    <x v="1558"/>
    <n v="203154"/>
    <s v="political thriller|politics|president|speaker of the house|u.s. president"/>
    <n v="698"/>
    <x v="0"/>
    <x v="0"/>
    <n v="70000000"/>
    <x v="0"/>
    <x v="20"/>
    <n v="70000000"/>
    <n v="98895417"/>
    <x v="1556"/>
    <x v="1558"/>
    <x v="1"/>
  </r>
  <r>
    <x v="996"/>
    <n v="84"/>
    <n v="12870569"/>
    <s v="Drama|History|War"/>
    <s v="Billy Campbell"/>
    <x v="1559"/>
    <n v="13215"/>
    <s v="confederacy|hero|prequel|stonewall jackson|war hero"/>
    <n v="497"/>
    <x v="0"/>
    <x v="0"/>
    <n v="56000000"/>
    <x v="19"/>
    <x v="23"/>
    <n v="56000000"/>
    <n v="12870569"/>
    <x v="1557"/>
    <x v="1559"/>
    <x v="5"/>
  </r>
  <r>
    <x v="115"/>
    <n v="153"/>
    <n v="100614858"/>
    <s v="Fantasy|Mystery|Romance|Sci-Fi|Thriller"/>
    <s v="Tom Cruise"/>
    <x v="1560"/>
    <n v="206776"/>
    <s v="death|dream|love|lynchian|reality"/>
    <n v="1248"/>
    <x v="0"/>
    <x v="0"/>
    <n v="68000000"/>
    <x v="9"/>
    <x v="31"/>
    <n v="68000000"/>
    <n v="100614858"/>
    <x v="1558"/>
    <x v="1560"/>
    <x v="9"/>
  </r>
  <r>
    <x v="509"/>
    <n v="60"/>
    <n v="82670733"/>
    <s v="Action|Drama|Sport"/>
    <s v="Tom Cruise"/>
    <x v="1561"/>
    <n v="60476"/>
    <s v="driver|hot shot|racing|stock car driver|team"/>
    <n v="97"/>
    <x v="0"/>
    <x v="0"/>
    <n v="60000000"/>
    <x v="32"/>
    <x v="0"/>
    <n v="60000000"/>
    <n v="82670733"/>
    <x v="1559"/>
    <x v="1561"/>
    <x v="1"/>
  </r>
  <r>
    <x v="997"/>
    <n v="75"/>
    <n v="5844929"/>
    <s v="Comedy|Drama"/>
    <s v="America Ferrera"/>
    <x v="1562"/>
    <n v="6000"/>
    <s v="education|factory|high school|mexican american|religious icon"/>
    <n v="109"/>
    <x v="0"/>
    <x v="0"/>
    <n v="3000000"/>
    <x v="13"/>
    <x v="16"/>
    <n v="3000000"/>
    <n v="5844929"/>
    <x v="1560"/>
    <x v="1562"/>
    <x v="4"/>
  </r>
  <r>
    <x v="288"/>
    <n v="249"/>
    <n v="81687587"/>
    <s v="Action|Sci-Fi|Thriller"/>
    <s v="Ki Hong Lee"/>
    <x v="1563"/>
    <n v="138246"/>
    <s v="desert|disease|escape|resistance|virus"/>
    <n v="360"/>
    <x v="0"/>
    <x v="0"/>
    <n v="61000000"/>
    <x v="1"/>
    <x v="24"/>
    <n v="61000000"/>
    <n v="81687587"/>
    <x v="1561"/>
    <x v="1563"/>
    <x v="1"/>
  </r>
  <r>
    <x v="59"/>
    <n v="246"/>
    <n v="149234747"/>
    <s v="Action|Adventure|Animation|Comedy|Family|Fantasy"/>
    <s v="Salma Hayek"/>
    <x v="1564"/>
    <n v="114287"/>
    <s v="betrayal|egg|friend|goose|hero"/>
    <n v="137"/>
    <x v="0"/>
    <x v="0"/>
    <n v="130000000"/>
    <x v="22"/>
    <x v="21"/>
    <n v="130000000"/>
    <n v="149234747"/>
    <x v="1562"/>
    <x v="1564"/>
    <x v="1"/>
  </r>
  <r>
    <x v="132"/>
    <n v="234"/>
    <n v="242374454"/>
    <s v="Action|Adventure"/>
    <s v="Harrison Ford"/>
    <x v="1565"/>
    <n v="661017"/>
    <s v="archeological dig|archeologist|ark of the covenant|egypt|nazi"/>
    <n v="771"/>
    <x v="0"/>
    <x v="0"/>
    <n v="18000000"/>
    <x v="43"/>
    <x v="59"/>
    <n v="18000000"/>
    <n v="242374454"/>
    <x v="1563"/>
    <x v="1565"/>
    <x v="1"/>
  </r>
  <r>
    <x v="503"/>
    <n v="415"/>
    <n v="5009677"/>
    <s v="Drama|Mystery|Sci-Fi"/>
    <s v="Kevin Spacey"/>
    <x v="1566"/>
    <n v="260607"/>
    <s v="computer|contract|earth|moon|solitude"/>
    <n v="485"/>
    <x v="0"/>
    <x v="2"/>
    <n v="5000000"/>
    <x v="16"/>
    <x v="19"/>
    <n v="6426999.9999999898"/>
    <n v="6439438.8157999897"/>
    <x v="1564"/>
    <x v="1566"/>
    <x v="5"/>
  </r>
  <r>
    <x v="969"/>
    <n v="214"/>
    <n v="12626905"/>
    <s v="Action|Crime|Drama|Thriller"/>
    <s v="Kate Winslet"/>
    <x v="1567"/>
    <n v="32567"/>
    <s v="betrayal|corrupt cop|heist|murder of a police officer|police detective"/>
    <n v="106"/>
    <x v="0"/>
    <x v="0"/>
    <n v="20000000"/>
    <x v="24"/>
    <x v="23"/>
    <n v="20000000"/>
    <n v="12626905"/>
    <x v="1565"/>
    <x v="1567"/>
    <x v="1"/>
  </r>
  <r>
    <x v="414"/>
    <n v="529"/>
    <n v="176740650"/>
    <s v="Action|Drama|Sci-Fi|Thriller"/>
    <s v="James Franco"/>
    <x v="1568"/>
    <n v="403836"/>
    <s v="alzheimer's disease|ape|chimpanzee|fire|when animals attack"/>
    <n v="646"/>
    <x v="0"/>
    <x v="0"/>
    <n v="93000000"/>
    <x v="22"/>
    <x v="10"/>
    <n v="93000000"/>
    <n v="176740650"/>
    <x v="1566"/>
    <x v="1568"/>
    <x v="1"/>
  </r>
  <r>
    <x v="568"/>
    <n v="333"/>
    <n v="35596227"/>
    <s v="Crime|Drama|Thriller"/>
    <s v="Violante Placido"/>
    <x v="1569"/>
    <n v="79461"/>
    <s v="ambush|assassin|priest|prostitute|sweden"/>
    <n v="463"/>
    <x v="0"/>
    <x v="0"/>
    <n v="20000000"/>
    <x v="11"/>
    <x v="23"/>
    <n v="20000000"/>
    <n v="35596227"/>
    <x v="1567"/>
    <x v="1569"/>
    <x v="3"/>
  </r>
  <r>
    <x v="623"/>
    <n v="13"/>
    <n v="14587732"/>
    <s v="Action|Drama|Thriller|War"/>
    <s v="Rosanna Arquette"/>
    <x v="1570"/>
    <n v="4795"/>
    <s v="bombardier|pilot|u.s. navy|vietnam|vietnam war"/>
    <n v="39"/>
    <x v="0"/>
    <x v="0"/>
    <n v="35000000"/>
    <x v="38"/>
    <x v="35"/>
    <n v="35000000"/>
    <n v="14587732"/>
    <x v="1568"/>
    <x v="1570"/>
    <x v="1"/>
  </r>
  <r>
    <x v="132"/>
    <n v="75"/>
    <n v="119654900"/>
    <s v="Adventure|Comedy|Family|Fantasy"/>
    <s v="Robin Williams"/>
    <x v="1571"/>
    <n v="182802"/>
    <s v="1990s|caught in a net|children|duel|hero"/>
    <n v="363"/>
    <x v="0"/>
    <x v="0"/>
    <n v="70000000"/>
    <x v="38"/>
    <x v="21"/>
    <n v="70000000"/>
    <n v="119654900"/>
    <x v="1569"/>
    <x v="1571"/>
    <x v="0"/>
  </r>
  <r>
    <x v="891"/>
    <n v="224"/>
    <n v="22450975"/>
    <s v="Drama"/>
    <s v="Patton Oswalt"/>
    <x v="1572"/>
    <n v="241030"/>
    <s v="abusive father|coincidence|fictional game show|fictional quiz show|multiple storyline"/>
    <n v="1437"/>
    <x v="0"/>
    <x v="0"/>
    <n v="37000000"/>
    <x v="12"/>
    <x v="3"/>
    <n v="37000000"/>
    <n v="22450975"/>
    <x v="1570"/>
    <x v="1572"/>
    <x v="5"/>
  </r>
  <r>
    <x v="998"/>
    <n v="130"/>
    <n v="14268533"/>
    <s v="Action|Crime|Drama|Mystery|Sci-Fi|Thriller"/>
    <s v="Gary Oldman"/>
    <x v="1573"/>
    <n v="17319"/>
    <s v="cia|husband wife relationship|memory|tied up while barefoot|violence"/>
    <n v="100"/>
    <x v="0"/>
    <x v="2"/>
    <n v="31500000"/>
    <x v="24"/>
    <x v="23"/>
    <n v="40490099.999999903"/>
    <n v="18340772.3182"/>
    <x v="1571"/>
    <x v="1573"/>
    <x v="1"/>
  </r>
  <r>
    <x v="496"/>
    <n v="536"/>
    <n v="356454367"/>
    <s v="Adventure|Animation|Comedy|Drama|Family|Fantasy"/>
    <s v="Amy Poehler"/>
    <x v="1574"/>
    <n v="345198"/>
    <s v="anger|joy|memory|running away|sadness"/>
    <n v="773"/>
    <x v="0"/>
    <x v="0"/>
    <n v="175000000"/>
    <x v="1"/>
    <x v="36"/>
    <n v="175000000"/>
    <n v="356454367"/>
    <x v="1572"/>
    <x v="1574"/>
    <x v="0"/>
  </r>
  <r>
    <x v="999"/>
    <n v="74"/>
    <n v="1282084"/>
    <s v="Drama"/>
    <s v="Billy Crudup"/>
    <x v="1575"/>
    <n v="6221"/>
    <s v="hospital|love|mennonite|shower|song"/>
    <n v="87"/>
    <x v="0"/>
    <x v="0"/>
    <n v="2500000"/>
    <x v="12"/>
    <x v="16"/>
    <n v="2500000"/>
    <n v="1282084"/>
    <x v="1573"/>
    <x v="1575"/>
    <x v="5"/>
  </r>
  <r>
    <x v="333"/>
    <n v="52"/>
    <n v="529766"/>
    <s v="Crime|Drama"/>
    <s v="Steve Buscemi"/>
    <x v="1576"/>
    <n v="22345"/>
    <s v="death|finger gun|video message|what happened to epilogue|wheelchair"/>
    <n v="144"/>
    <x v="0"/>
    <x v="0"/>
    <n v="7000000"/>
    <x v="33"/>
    <x v="22"/>
    <n v="7000000"/>
    <n v="529766"/>
    <x v="1574"/>
    <x v="1576"/>
    <x v="3"/>
  </r>
  <r>
    <x v="122"/>
    <n v="242"/>
    <n v="7556708"/>
    <s v="Drama"/>
    <s v="Matt Damon"/>
    <x v="1577"/>
    <n v="30284"/>
    <s v="corporate greed|corporation|natural gas|salesman|small town"/>
    <n v="102"/>
    <x v="0"/>
    <x v="0"/>
    <n v="15000000"/>
    <x v="28"/>
    <x v="14"/>
    <n v="15000000"/>
    <n v="7556708"/>
    <x v="1575"/>
    <x v="1577"/>
    <x v="5"/>
  </r>
  <r>
    <x v="370"/>
    <n v="376"/>
    <n v="12026670"/>
    <s v="Action|Crime|Thriller"/>
    <s v="Zach Gilford"/>
    <x v="1578"/>
    <n v="114241"/>
    <s v="deputy|escape|fbi|modern western|sheriff"/>
    <n v="258"/>
    <x v="0"/>
    <x v="0"/>
    <n v="45000000"/>
    <x v="0"/>
    <x v="24"/>
    <n v="45000000"/>
    <n v="12026670"/>
    <x v="1576"/>
    <x v="1578"/>
    <x v="1"/>
  </r>
  <r>
    <x v="273"/>
    <n v="338"/>
    <n v="65171860"/>
    <s v="Adventure|Fantasy"/>
    <s v="Eddie Marsan"/>
    <x v="1579"/>
    <n v="106416"/>
    <s v="bean|giant|king|no opening credits|princess"/>
    <n v="205"/>
    <x v="0"/>
    <x v="0"/>
    <n v="195000000"/>
    <x v="0"/>
    <x v="23"/>
    <n v="195000000"/>
    <n v="65171860"/>
    <x v="1577"/>
    <x v="1579"/>
    <x v="0"/>
  </r>
  <r>
    <x v="192"/>
    <n v="213"/>
    <n v="23527955"/>
    <s v="Action|Crime|Drama|Mystery|Thriller"/>
    <s v="Chris Evans"/>
    <x v="1580"/>
    <n v="74691"/>
    <s v="hacking|hijacking|martial arts|revenge|special forces"/>
    <n v="165"/>
    <x v="0"/>
    <x v="0"/>
    <n v="25000000"/>
    <x v="11"/>
    <x v="24"/>
    <n v="25000000"/>
    <n v="23527955"/>
    <x v="1578"/>
    <x v="1580"/>
    <x v="1"/>
  </r>
  <r>
    <x v="1000"/>
    <n v="43"/>
    <n v="617172"/>
    <s v="Documentary"/>
    <s v="Walter Koenig"/>
    <x v="1581"/>
    <n v="4407"/>
    <s v="autograph|dentist|outer space|star trek|telephone call"/>
    <n v="75"/>
    <x v="0"/>
    <x v="0"/>
    <n v="375000"/>
    <x v="31"/>
    <x v="16"/>
    <n v="375000"/>
    <n v="617172"/>
    <x v="1579"/>
    <x v="1581"/>
    <x v="7"/>
  </r>
  <r>
    <x v="811"/>
    <n v="186"/>
    <n v="35635046"/>
    <s v="Action|Crime|Drama|Thriller"/>
    <s v="Ryan Reynolds"/>
    <x v="1582"/>
    <n v="121058"/>
    <s v="casino|fbi|mafia|mob hit|sniper"/>
    <n v="482"/>
    <x v="0"/>
    <x v="2"/>
    <n v="17000000"/>
    <x v="7"/>
    <x v="21"/>
    <n v="21851799.999999899"/>
    <n v="45805288.128399998"/>
    <x v="1580"/>
    <x v="1582"/>
    <x v="1"/>
  </r>
  <r>
    <x v="1001"/>
    <n v="136"/>
    <n v="35168677"/>
    <s v="Drama|History|Thriller|War"/>
    <s v="Liam Neeson"/>
    <x v="1583"/>
    <n v="49311"/>
    <s v="courage|radiation sickness|radioactive contamination|sea|test launch"/>
    <n v="278"/>
    <x v="0"/>
    <x v="2"/>
    <n v="100000000"/>
    <x v="13"/>
    <x v="21"/>
    <n v="128539999.999999"/>
    <n v="45205817.415799998"/>
    <x v="1581"/>
    <x v="1583"/>
    <x v="5"/>
  </r>
  <r>
    <x v="546"/>
    <n v="209"/>
    <n v="75305995"/>
    <s v="Biography|Drama|Music"/>
    <s v="Bokeem Woodbine"/>
    <x v="1584"/>
    <n v="110394"/>
    <s v="1950s|1960s|racism|rhythm and blues|singer"/>
    <n v="433"/>
    <x v="0"/>
    <x v="0"/>
    <n v="40000000"/>
    <x v="2"/>
    <x v="9"/>
    <n v="40000000"/>
    <n v="75305995"/>
    <x v="1582"/>
    <x v="1584"/>
    <x v="2"/>
  </r>
  <r>
    <x v="167"/>
    <n v="169"/>
    <n v="90454043"/>
    <s v="Action|Adventure|Thriller"/>
    <s v="Clint Eastwood"/>
    <x v="1585"/>
    <n v="60165"/>
    <s v="nasa|old age|satellite|space|space shuttle"/>
    <n v="326"/>
    <x v="0"/>
    <x v="0"/>
    <n v="65000000"/>
    <x v="4"/>
    <x v="24"/>
    <n v="65000000"/>
    <n v="90454043"/>
    <x v="1583"/>
    <x v="1585"/>
    <x v="1"/>
  </r>
  <r>
    <x v="838"/>
    <n v="111"/>
    <n v="14174654"/>
    <s v="Comedy"/>
    <s v="Carmen Electra"/>
    <x v="1586"/>
    <n v="74945"/>
    <s v="disaster|glass|mousetrap|natural disaster|scatological humor"/>
    <n v="359"/>
    <x v="0"/>
    <x v="0"/>
    <n v="25000000"/>
    <x v="20"/>
    <x v="66"/>
    <n v="25000000"/>
    <n v="14174654"/>
    <x v="1584"/>
    <x v="1586"/>
    <x v="4"/>
  </r>
  <r>
    <x v="172"/>
    <n v="149"/>
    <n v="31111260"/>
    <s v="Action|Adventure|Sci-Fi|Thriller"/>
    <s v="Glenn Morshower"/>
    <x v="1587"/>
    <n v="77029"/>
    <s v="core|earth|natural disaster|pacemaker|scientist"/>
    <n v="466"/>
    <x v="0"/>
    <x v="0"/>
    <n v="60000000"/>
    <x v="19"/>
    <x v="26"/>
    <n v="60000000"/>
    <n v="31111260"/>
    <x v="1585"/>
    <x v="1587"/>
    <x v="1"/>
  </r>
  <r>
    <x v="1002"/>
    <n v="160"/>
    <n v="56729973"/>
    <s v="Horror|Mystery"/>
    <s v="Julie Benz"/>
    <x v="1588"/>
    <n v="88529"/>
    <s v="blood splatter|jigsaw|nazi|serial killer|swastika tattoo"/>
    <n v="262"/>
    <x v="0"/>
    <x v="0"/>
    <n v="10800000"/>
    <x v="20"/>
    <x v="30"/>
    <n v="10800000"/>
    <n v="56729973"/>
    <x v="1586"/>
    <x v="1588"/>
    <x v="6"/>
  </r>
  <r>
    <x v="206"/>
    <n v="199"/>
    <n v="131144183"/>
    <s v="Action|Adventure|Fantasy|Thriller"/>
    <s v="Angelina Jolie Pitt"/>
    <x v="1589"/>
    <n v="157016"/>
    <s v="illuminati|planetary alignment|time|tomb|tomb raider"/>
    <n v="824"/>
    <x v="0"/>
    <x v="0"/>
    <n v="115000000"/>
    <x v="9"/>
    <x v="35"/>
    <n v="115000000"/>
    <n v="131144183"/>
    <x v="1587"/>
    <x v="1589"/>
    <x v="1"/>
  </r>
  <r>
    <x v="546"/>
    <n v="12"/>
    <n v="4496583"/>
    <s v="Crime|Drama"/>
    <s v="Delroy Lindo"/>
    <x v="1590"/>
    <n v="23181"/>
    <s v="1970s|1980s|barrio|gang war|mexican"/>
    <n v="129"/>
    <x v="0"/>
    <x v="0"/>
    <n v="35000000"/>
    <x v="23"/>
    <x v="3"/>
    <n v="35000000"/>
    <n v="4496583"/>
    <x v="1588"/>
    <x v="1590"/>
    <x v="3"/>
  </r>
  <r>
    <x v="412"/>
    <n v="43"/>
    <n v="86930411"/>
    <s v="Comedy|Crime"/>
    <s v="George Kennedy"/>
    <x v="1591"/>
    <n v="83269"/>
    <s v="american president|evil industrialist|ex girlfriend|political leader|president"/>
    <n v="87"/>
    <x v="0"/>
    <x v="0"/>
    <n v="23000000"/>
    <x v="38"/>
    <x v="22"/>
    <n v="23000000"/>
    <n v="86930411"/>
    <x v="1589"/>
    <x v="1591"/>
    <x v="4"/>
  </r>
  <r>
    <x v="25"/>
    <n v="30"/>
    <n v="7434726"/>
    <s v="Action|Crime|Drama|Thriller|Western"/>
    <s v="Vanessa Williams"/>
    <x v="1592"/>
    <n v="14473"/>
    <s v="bar|biker|cowboy|drugs|marlboro"/>
    <n v="81"/>
    <x v="0"/>
    <x v="0"/>
    <n v="23000000"/>
    <x v="38"/>
    <x v="11"/>
    <n v="23000000"/>
    <n v="7434726"/>
    <x v="1590"/>
    <x v="1592"/>
    <x v="1"/>
  </r>
  <r>
    <x v="1003"/>
    <n v="286"/>
    <n v="318622"/>
    <s v="Biography|Crime|Drama|Thriller"/>
    <s v="Dreama Walker"/>
    <x v="1593"/>
    <n v="24668"/>
    <s v="authority|boss subordinate relationship|fast food restaurant|gullibility|telephone call"/>
    <n v="175"/>
    <x v="0"/>
    <x v="0"/>
    <n v="270000"/>
    <x v="28"/>
    <x v="24"/>
    <n v="270000"/>
    <n v="318622"/>
    <x v="1591"/>
    <x v="1593"/>
    <x v="2"/>
  </r>
  <r>
    <x v="150"/>
    <n v="56"/>
    <n v="2040920"/>
    <s v="Action|Crime|Drama|Romance|Thriller"/>
    <s v="Carlos Gallardo"/>
    <x v="1594"/>
    <n v="52055"/>
    <s v="assassin|death|guitar|gun|mariachi"/>
    <n v="130"/>
    <x v="9"/>
    <x v="0"/>
    <n v="7000"/>
    <x v="8"/>
    <x v="31"/>
    <n v="7000"/>
    <n v="2040920"/>
    <x v="1592"/>
    <x v="1594"/>
    <x v="1"/>
  </r>
  <r>
    <x v="357"/>
    <n v="326"/>
    <n v="61656849"/>
    <s v="Action|Sci-Fi"/>
    <s v="Harrison Ford"/>
    <x v="1595"/>
    <n v="184561"/>
    <s v="alien|future|manipulation|simulation|training"/>
    <n v="554"/>
    <x v="0"/>
    <x v="0"/>
    <n v="110000000"/>
    <x v="0"/>
    <x v="21"/>
    <n v="110000000"/>
    <n v="61656849"/>
    <x v="1593"/>
    <x v="1595"/>
    <x v="1"/>
  </r>
  <r>
    <x v="528"/>
    <n v="548"/>
    <n v="25359200"/>
    <s v="Drama"/>
    <s v="Ellar Coltrane"/>
    <x v="1596"/>
    <n v="266020"/>
    <s v="12 year time span|coming of age|domestic abuse|growing up|separated parents"/>
    <n v="836"/>
    <x v="0"/>
    <x v="0"/>
    <n v="4000000"/>
    <x v="27"/>
    <x v="3"/>
    <n v="4000000"/>
    <n v="25359200"/>
    <x v="1594"/>
    <x v="1596"/>
    <x v="5"/>
  </r>
  <r>
    <x v="195"/>
    <n v="260"/>
    <n v="15962471"/>
    <s v="Biography|Drama|History|Romance"/>
    <s v="Kirsten Dunst"/>
    <x v="1597"/>
    <n v="79892"/>
    <s v="austria|cake|france|queen|versailles"/>
    <n v="619"/>
    <x v="0"/>
    <x v="0"/>
    <n v="40000000"/>
    <x v="7"/>
    <x v="24"/>
    <n v="40000000"/>
    <n v="15962471"/>
    <x v="1595"/>
    <x v="1597"/>
    <x v="2"/>
  </r>
  <r>
    <x v="157"/>
    <n v="108"/>
    <n v="60400856"/>
    <s v="Comedy|Romance"/>
    <s v="Matthew McConaughey"/>
    <x v="1598"/>
    <n v="61317"/>
    <s v="chick flick|doctor|horseback riding|wedding|wedding planner"/>
    <n v="229"/>
    <x v="0"/>
    <x v="5"/>
    <n v="35000000"/>
    <x v="9"/>
    <x v="44"/>
    <n v="37965900"/>
    <n v="65519224.537440002"/>
    <x v="1596"/>
    <x v="1598"/>
    <x v="4"/>
  </r>
  <r>
    <x v="1004"/>
    <n v="263"/>
    <n v="31743332"/>
    <s v="Action|Adventure|Animation|Drama|Mystery|Sci-Fi|Thriller"/>
    <s v="Martin Landau"/>
    <x v="1599"/>
    <n v="111117"/>
    <s v="hope|key|machine|number|rag doll"/>
    <n v="245"/>
    <x v="0"/>
    <x v="0"/>
    <n v="30000000"/>
    <x v="16"/>
    <x v="17"/>
    <n v="30000000"/>
    <n v="31743332"/>
    <x v="1597"/>
    <x v="1599"/>
    <x v="1"/>
  </r>
  <r>
    <x v="1005"/>
    <n v="60"/>
    <n v="6000000"/>
    <s v="Action|Adventure|Fantasy"/>
    <s v="Ian McDiarmid"/>
    <x v="1600"/>
    <n v="10832"/>
    <s v="apprentice|dragon|king|kingdom|wizard"/>
    <n v="102"/>
    <x v="0"/>
    <x v="0"/>
    <n v="18000000"/>
    <x v="43"/>
    <x v="21"/>
    <n v="18000000"/>
    <n v="6000000"/>
    <x v="1598"/>
    <x v="1600"/>
    <x v="1"/>
  </r>
  <r>
    <x v="445"/>
    <n v="135"/>
    <n v="64459316"/>
    <s v="Adventure|Animation|Comedy|Family"/>
    <s v="Hugh Jackman"/>
    <x v="1601"/>
    <n v="85086"/>
    <s v="boat|frog|rat|sewer|toad"/>
    <n v="122"/>
    <x v="0"/>
    <x v="2"/>
    <n v="149000000"/>
    <x v="7"/>
    <x v="21"/>
    <n v="191524599.99999899"/>
    <n v="82856004.786399901"/>
    <x v="1599"/>
    <x v="1601"/>
    <x v="0"/>
  </r>
  <r>
    <x v="936"/>
    <n v="89"/>
    <n v="29781453"/>
    <s v="Biography|Comedy|Drama"/>
    <s v="Rosie Perez"/>
    <x v="1602"/>
    <n v="22447"/>
    <s v="boy|college|heroin|working class|writer"/>
    <n v="210"/>
    <x v="0"/>
    <x v="0"/>
    <n v="48000000"/>
    <x v="9"/>
    <x v="24"/>
    <n v="48000000"/>
    <n v="29781453"/>
    <x v="1600"/>
    <x v="1602"/>
    <x v="2"/>
  </r>
  <r>
    <x v="97"/>
    <n v="233"/>
    <n v="81350242"/>
    <s v="Action|Thriller"/>
    <s v="Alan Rickman"/>
    <x v="1603"/>
    <n v="592582"/>
    <s v="christmas|christmas eve|christmas party|held at gunpoint|hostage"/>
    <n v="722"/>
    <x v="0"/>
    <x v="0"/>
    <n v="28000000"/>
    <x v="34"/>
    <x v="60"/>
    <n v="28000000"/>
    <n v="81350242"/>
    <x v="1601"/>
    <x v="1603"/>
    <x v="1"/>
  </r>
  <r>
    <x v="1006"/>
    <n v="63"/>
    <n v="143000"/>
    <s v="Horror|Thriller"/>
    <s v="Matt Cohen"/>
    <x v="1604"/>
    <n v="4122"/>
    <s v="blood splatter|chain|murder|mysterious killer|warning"/>
    <n v="48"/>
    <x v="0"/>
    <x v="0"/>
    <n v="5000000"/>
    <x v="16"/>
    <x v="13"/>
    <n v="5000000"/>
    <n v="143000"/>
    <x v="1602"/>
    <x v="1604"/>
    <x v="6"/>
  </r>
  <r>
    <x v="1007"/>
    <n v="25"/>
    <n v="295468"/>
    <s v="Comedy|Romance"/>
    <s v="Peter Dinklage"/>
    <x v="1605"/>
    <n v="709"/>
    <s v="bar|gay bar|love|mother son relationship|new york"/>
    <n v="34"/>
    <x v="0"/>
    <x v="0"/>
    <n v="500000"/>
    <x v="9"/>
    <x v="11"/>
    <n v="500000"/>
    <n v="295468"/>
    <x v="1603"/>
    <x v="1605"/>
    <x v="4"/>
  </r>
  <r>
    <x v="134"/>
    <n v="234"/>
    <n v="53215979"/>
    <s v="Action|Comedy|Crime|Thriller"/>
    <s v="Bruce Willis"/>
    <x v="1606"/>
    <n v="125036"/>
    <s v="cia|cia agent|rescue|russian|team"/>
    <n v="205"/>
    <x v="0"/>
    <x v="0"/>
    <n v="84000000"/>
    <x v="0"/>
    <x v="21"/>
    <n v="84000000"/>
    <n v="53215979"/>
    <x v="1604"/>
    <x v="1606"/>
    <x v="1"/>
  </r>
  <r>
    <x v="543"/>
    <n v="89"/>
    <n v="72455275"/>
    <s v="Action|Adventure|Drama|Romance|War"/>
    <s v="Wes Studi"/>
    <x v="1607"/>
    <n v="113068"/>
    <s v="18th century|based on novel|colonel|french and indian war|revenge"/>
    <n v="382"/>
    <x v="0"/>
    <x v="0"/>
    <n v="40000000"/>
    <x v="8"/>
    <x v="38"/>
    <n v="40000000"/>
    <n v="72455275"/>
    <x v="1605"/>
    <x v="1607"/>
    <x v="1"/>
  </r>
  <r>
    <x v="1008"/>
    <n v="29"/>
    <n v="906666"/>
    <s v="Documentary"/>
    <s v="Rachel Dratch"/>
    <x v="1608"/>
    <n v="154"/>
    <s v="jewish identity"/>
    <n v="5"/>
    <x v="0"/>
    <x v="0"/>
    <n v="500000"/>
    <x v="22"/>
    <x v="22"/>
    <n v="500000"/>
    <n v="906666"/>
    <x v="1606"/>
    <x v="1608"/>
    <x v="7"/>
  </r>
  <r>
    <x v="1009"/>
    <n v="127"/>
    <n v="67253092"/>
    <s v="Drama|Sport"/>
    <s v="Channing Tatum"/>
    <x v="1609"/>
    <n v="92702"/>
    <s v="basketball|basketball coach|coach|contract|high school"/>
    <n v="209"/>
    <x v="0"/>
    <x v="0"/>
    <n v="30000000"/>
    <x v="25"/>
    <x v="33"/>
    <n v="30000000"/>
    <n v="67253092"/>
    <x v="1607"/>
    <x v="1609"/>
    <x v="5"/>
  </r>
  <r>
    <x v="1010"/>
    <n v="79"/>
    <n v="47285499"/>
    <s v="Action|Adventure|Comedy|Crime|Family|Romance|Thriller"/>
    <s v="Daniel Roebuck"/>
    <x v="1610"/>
    <n v="26755"/>
    <s v="cia|nanobot|prep school|scientist|teenager"/>
    <n v="104"/>
    <x v="0"/>
    <x v="0"/>
    <n v="26000000"/>
    <x v="19"/>
    <x v="53"/>
    <n v="26000000"/>
    <n v="47285499"/>
    <x v="1608"/>
    <x v="1610"/>
    <x v="1"/>
  </r>
  <r>
    <x v="1011"/>
    <n v="124"/>
    <n v="26896744"/>
    <s v="Comedy|Drama"/>
    <s v="Jada Pinkett Smith"/>
    <x v="1611"/>
    <n v="16582"/>
    <s v="beauty salon|divorce|fashion|new york|perfume"/>
    <n v="125"/>
    <x v="0"/>
    <x v="0"/>
    <n v="16500000"/>
    <x v="20"/>
    <x v="18"/>
    <n v="16500000"/>
    <n v="26896744"/>
    <x v="1609"/>
    <x v="1611"/>
    <x v="4"/>
  </r>
  <r>
    <x v="692"/>
    <n v="62"/>
    <n v="44450000"/>
    <s v="Action|Crime|Sci-Fi|Thriller"/>
    <s v="Mia Sara"/>
    <x v="1612"/>
    <n v="44394"/>
    <s v="cop|corrupt politician|future|senator|time travel"/>
    <n v="115"/>
    <x v="0"/>
    <x v="9"/>
    <n v="27000000"/>
    <x v="5"/>
    <x v="30"/>
    <n v="19531935"/>
    <n v="32155352.25"/>
    <x v="1610"/>
    <x v="1612"/>
    <x v="1"/>
  </r>
  <r>
    <x v="346"/>
    <n v="208"/>
    <n v="134821952"/>
    <s v="Crime|Drama"/>
    <s v="Al Pacino"/>
    <x v="1613"/>
    <n v="1155770"/>
    <s v="crime family|mafia|organized crime|patriarch|rise to power"/>
    <n v="2238"/>
    <x v="0"/>
    <x v="0"/>
    <n v="6000000"/>
    <x v="61"/>
    <x v="67"/>
    <n v="6000000"/>
    <n v="134821952"/>
    <x v="1611"/>
    <x v="1613"/>
    <x v="3"/>
  </r>
  <r>
    <x v="286"/>
    <n v="539"/>
    <n v="126975169"/>
    <s v="Mystery|Sci-Fi|Thriller"/>
    <s v="Joel Courtney"/>
    <x v="1614"/>
    <n v="287822"/>
    <s v="deputy|group of friends|time|train|train crash"/>
    <n v="849"/>
    <x v="0"/>
    <x v="0"/>
    <n v="50000000"/>
    <x v="22"/>
    <x v="17"/>
    <n v="50000000"/>
    <n v="126975169"/>
    <x v="1612"/>
    <x v="1614"/>
    <x v="10"/>
  </r>
  <r>
    <x v="19"/>
    <n v="177"/>
    <n v="64286"/>
    <s v="Drama|Romance"/>
    <s v="Ryan Gosling"/>
    <x v="1615"/>
    <n v="396396"/>
    <s v="class differences|letter|nursing home|second chance|summer love"/>
    <n v="1111"/>
    <x v="0"/>
    <x v="0"/>
    <n v="29000000"/>
    <x v="2"/>
    <x v="19"/>
    <n v="29000000"/>
    <n v="64286"/>
    <x v="1613"/>
    <x v="1615"/>
    <x v="5"/>
  </r>
  <r>
    <x v="472"/>
    <n v="160"/>
    <n v="70327868"/>
    <s v="Action|Crime|Thriller"/>
    <s v="Christian Bale"/>
    <x v="1616"/>
    <n v="58416"/>
    <s v="blaxploitation|detective|drugs|shaft|trial"/>
    <n v="301"/>
    <x v="0"/>
    <x v="5"/>
    <n v="46000000"/>
    <x v="4"/>
    <x v="0"/>
    <n v="49898040"/>
    <n v="76287451.534319997"/>
    <x v="1614"/>
    <x v="1616"/>
    <x v="1"/>
  </r>
  <r>
    <x v="1012"/>
    <n v="197"/>
    <n v="309125409"/>
    <s v="Action|Adventure|Fantasy|Sci-Fi"/>
    <s v="Harrison Ford"/>
    <x v="1617"/>
    <n v="681857"/>
    <s v="death star|emperor|empire|princess|rebel"/>
    <n v="647"/>
    <x v="0"/>
    <x v="0"/>
    <n v="32500000"/>
    <x v="30"/>
    <x v="25"/>
    <n v="32500000"/>
    <n v="309125409"/>
    <x v="1615"/>
    <x v="1617"/>
    <x v="1"/>
  </r>
  <r>
    <x v="1013"/>
    <n v="116"/>
    <n v="46495"/>
    <s v="Drama"/>
    <s v="Matt Damon"/>
    <x v="1618"/>
    <n v="12053"/>
    <s v="accident|bus|loss of virginity|new york city|virginity"/>
    <n v="119"/>
    <x v="0"/>
    <x v="0"/>
    <n v="14000000"/>
    <x v="22"/>
    <x v="20"/>
    <n v="14000000"/>
    <n v="46495"/>
    <x v="1616"/>
    <x v="1618"/>
    <x v="5"/>
  </r>
  <r>
    <x v="1014"/>
    <n v="112"/>
    <n v="48430"/>
    <s v="Comedy|Crime|Thriller"/>
    <s v="David Hyde Pierce"/>
    <x v="1619"/>
    <n v="20176"/>
    <s v="arm tattoo|bank robbery|cauterizing a wound|dancing on a table|dinner party"/>
    <n v="73"/>
    <x v="0"/>
    <x v="0"/>
    <n v="500000"/>
    <x v="11"/>
    <x v="22"/>
    <n v="500000"/>
    <n v="48430"/>
    <x v="1617"/>
    <x v="1619"/>
    <x v="4"/>
  </r>
  <r>
    <x v="340"/>
    <n v="276"/>
    <n v="25335935"/>
    <s v="Action|Adventure|Sci-Fi|Thriller"/>
    <s v="Adam Baldwin"/>
    <x v="1620"/>
    <n v="242599"/>
    <s v="alliance|cannibalism|future|operative|planet"/>
    <n v="1594"/>
    <x v="0"/>
    <x v="0"/>
    <n v="40000000"/>
    <x v="25"/>
    <x v="3"/>
    <n v="40000000"/>
    <n v="25335935"/>
    <x v="1618"/>
    <x v="1620"/>
    <x v="1"/>
  </r>
  <r>
    <x v="1015"/>
    <n v="228"/>
    <n v="104374107"/>
    <s v="Animation|Family|Fantasy|Musical|Romance"/>
    <s v="Oprah Winfrey"/>
    <x v="1621"/>
    <n v="89351"/>
    <s v="amphibian|dream|frog|frog prince|waitress"/>
    <n v="214"/>
    <x v="0"/>
    <x v="0"/>
    <n v="105000000"/>
    <x v="16"/>
    <x v="17"/>
    <n v="105000000"/>
    <n v="104374107"/>
    <x v="1619"/>
    <x v="1621"/>
    <x v="8"/>
  </r>
  <r>
    <x v="1016"/>
    <n v="248"/>
    <n v="11041228"/>
    <s v="Action|Adventure|Drama|Romance"/>
    <s v="Takeshi Kaneshiro"/>
    <x v="1622"/>
    <n v="92295"/>
    <s v="flying|flying dagger|government|police|secret"/>
    <n v="420"/>
    <x v="15"/>
    <x v="6"/>
    <n v="100000000"/>
    <x v="2"/>
    <x v="10"/>
    <n v="13828389.999999899"/>
    <n v="1526824.0686291901"/>
    <x v="1620"/>
    <x v="1622"/>
    <x v="1"/>
  </r>
  <r>
    <x v="1017"/>
    <n v="350"/>
    <n v="28751715"/>
    <s v="Action|Comedy|Crime"/>
    <s v="ChloÃ« Grace Moretz"/>
    <x v="1623"/>
    <n v="202967"/>
    <s v="hit in the crotch|kicked in the crotch|punched in the crotch|sparring|superhero"/>
    <n v="378"/>
    <x v="0"/>
    <x v="0"/>
    <n v="28000000"/>
    <x v="0"/>
    <x v="14"/>
    <n v="28000000"/>
    <n v="28751715"/>
    <x v="1621"/>
    <x v="1623"/>
    <x v="1"/>
  </r>
  <r>
    <x v="345"/>
    <n v="212"/>
    <n v="21378000"/>
    <s v="Fantasy|Horror"/>
    <s v="Jamie Lee Curtis"/>
    <x v="1418"/>
    <n v="46492"/>
    <s v="california|fog|leper|lighthouse|ship"/>
    <n v="335"/>
    <x v="0"/>
    <x v="0"/>
    <n v="1000000"/>
    <x v="52"/>
    <x v="22"/>
    <n v="1000000"/>
    <n v="21378000"/>
    <x v="1417"/>
    <x v="1418"/>
    <x v="9"/>
  </r>
  <r>
    <x v="1018"/>
    <n v="50"/>
    <n v="14095303"/>
    <s v="Action|Crime|Mystery|Romance|Thriller"/>
    <s v="Natasha Henstridge"/>
    <x v="1624"/>
    <n v="15814"/>
    <s v="fbi|fbi agent|mafia|russian mafia|twin"/>
    <n v="68"/>
    <x v="0"/>
    <x v="0"/>
    <n v="25000000"/>
    <x v="10"/>
    <x v="26"/>
    <n v="25000000"/>
    <n v="14095303"/>
    <x v="1622"/>
    <x v="1624"/>
    <x v="1"/>
  </r>
  <r>
    <x v="760"/>
    <n v="198"/>
    <n v="95632614"/>
    <s v="Adventure|Drama|History|Romance|War"/>
    <s v="Philip Seymour Hoffman"/>
    <x v="1625"/>
    <n v="118483"/>
    <s v="civil war|mountain|soldier|well|wounded soldier"/>
    <n v="674"/>
    <x v="0"/>
    <x v="0"/>
    <n v="79000000"/>
    <x v="19"/>
    <x v="33"/>
    <n v="79000000"/>
    <n v="95632614"/>
    <x v="1623"/>
    <x v="1625"/>
    <x v="0"/>
  </r>
  <r>
    <x v="857"/>
    <n v="157"/>
    <n v="63224849"/>
    <s v="Comedy|Romance"/>
    <s v="Kate Winslet"/>
    <x v="1626"/>
    <n v="182757"/>
    <s v="book|composer|house|love|self esteem"/>
    <n v="483"/>
    <x v="0"/>
    <x v="0"/>
    <n v="85000000"/>
    <x v="7"/>
    <x v="31"/>
    <n v="85000000"/>
    <n v="63224849"/>
    <x v="1624"/>
    <x v="1626"/>
    <x v="4"/>
  </r>
  <r>
    <x v="677"/>
    <n v="100"/>
    <n v="10762178"/>
    <s v="Documentary"/>
    <s v="Jacques Perrin"/>
    <x v="1627"/>
    <n v="10369"/>
    <s v="arctic|bad weather|flight|migration|ocean"/>
    <n v="153"/>
    <x v="0"/>
    <x v="8"/>
    <n v="160000000"/>
    <x v="9"/>
    <x v="3"/>
    <n v="173558400"/>
    <n v="11674164.963719999"/>
    <x v="1625"/>
    <x v="1627"/>
    <x v="7"/>
  </r>
  <r>
    <x v="1019"/>
    <n v="399"/>
    <n v="1024175"/>
    <s v="Action|Comedy|Sci-Fi|Thriller"/>
    <s v="John Boyega"/>
    <x v="1628"/>
    <n v="82331"/>
    <s v="alien|alien invasion|apartment|creature|gang"/>
    <n v="297"/>
    <x v="0"/>
    <x v="2"/>
    <n v="13000000"/>
    <x v="22"/>
    <x v="14"/>
    <n v="16710199.999999899"/>
    <n v="1316474.5449999999"/>
    <x v="1626"/>
    <x v="1628"/>
    <x v="1"/>
  </r>
  <r>
    <x v="825"/>
    <n v="228"/>
    <n v="104383624"/>
    <s v="Adventure|Family|Fantasy"/>
    <s v="Bruce Spence"/>
    <x v="1629"/>
    <n v="106446"/>
    <s v="dragon|king|mouse|quest|warrior"/>
    <n v="227"/>
    <x v="0"/>
    <x v="0"/>
    <n v="155000000"/>
    <x v="11"/>
    <x v="23"/>
    <n v="155000000"/>
    <n v="104383624"/>
    <x v="1627"/>
    <x v="1629"/>
    <x v="0"/>
  </r>
  <r>
    <x v="669"/>
    <n v="105"/>
    <n v="3517797"/>
    <s v="Action|Crime|Drama|Romance|Thriller"/>
    <s v="Emir Kusturica"/>
    <x v="1630"/>
    <n v="9004"/>
    <s v="casino|french riviera|gambler|heist|partner"/>
    <n v="103"/>
    <x v="0"/>
    <x v="8"/>
    <n v="25000000"/>
    <x v="13"/>
    <x v="14"/>
    <n v="27118500"/>
    <n v="3815895.11778"/>
    <x v="1628"/>
    <x v="1630"/>
    <x v="1"/>
  </r>
  <r>
    <x v="774"/>
    <n v="103"/>
    <n v="152149590"/>
    <s v="Comedy|Romance"/>
    <s v="Julia Roberts"/>
    <x v="1631"/>
    <n v="74274"/>
    <s v="bride|columnist|journalist|maryland|wedding"/>
    <n v="255"/>
    <x v="0"/>
    <x v="0"/>
    <n v="70000000"/>
    <x v="12"/>
    <x v="28"/>
    <n v="70000000"/>
    <n v="152149590"/>
    <x v="1629"/>
    <x v="1631"/>
    <x v="4"/>
  </r>
  <r>
    <x v="740"/>
    <n v="118"/>
    <n v="39778599"/>
    <s v="Adventure|Drama|Thriller"/>
    <s v="Leonardo DiCaprio"/>
    <x v="1632"/>
    <n v="176169"/>
    <s v="love|map|paradise|thailand|travel"/>
    <n v="548"/>
    <x v="0"/>
    <x v="0"/>
    <n v="50000000"/>
    <x v="4"/>
    <x v="14"/>
    <n v="50000000"/>
    <n v="39778599"/>
    <x v="1630"/>
    <x v="1632"/>
    <x v="0"/>
  </r>
  <r>
    <x v="864"/>
    <n v="67"/>
    <n v="11860839"/>
    <s v="Documentary|Music"/>
    <s v="Lea Michele"/>
    <x v="1633"/>
    <n v="5156"/>
    <s v="concert|live in concert recording|live performance"/>
    <n v="21"/>
    <x v="0"/>
    <x v="0"/>
    <n v="9000000"/>
    <x v="22"/>
    <x v="26"/>
    <n v="9000000"/>
    <n v="11860839"/>
    <x v="1631"/>
    <x v="1633"/>
    <x v="7"/>
  </r>
  <r>
    <x v="831"/>
    <n v="67"/>
    <n v="20627372"/>
    <s v="Comedy|Drama|Romance"/>
    <s v="Alyson Hannigan"/>
    <x v="1634"/>
    <n v="13661"/>
    <s v="best friend|break up|friendship|graduation|male in underwear"/>
    <n v="134"/>
    <x v="0"/>
    <x v="0"/>
    <n v="16000000"/>
    <x v="4"/>
    <x v="1"/>
    <n v="16000000"/>
    <n v="20627372"/>
    <x v="1632"/>
    <x v="1634"/>
    <x v="4"/>
  </r>
  <r>
    <x v="1020"/>
    <n v="21"/>
    <n v="2104000"/>
    <s v="Comedy|Crime|Drama"/>
    <s v="Chazz Palminteri"/>
    <x v="1635"/>
    <n v="1595"/>
    <s v="bathroom|bathtub|female protagonist|flashback|kitchen"/>
    <n v="19"/>
    <x v="0"/>
    <x v="0"/>
    <n v="13000000"/>
    <x v="10"/>
    <x v="0"/>
    <n v="13000000"/>
    <n v="2104000"/>
    <x v="1633"/>
    <x v="1635"/>
    <x v="4"/>
  </r>
  <r>
    <x v="646"/>
    <n v="184"/>
    <n v="16067035"/>
    <s v="Action|Adventure|Thriller"/>
    <s v="Ursula Andress"/>
    <x v="1636"/>
    <n v="116642"/>
    <s v="british secret service|hand to hand combat|murder|official james bond series|terrorist plot"/>
    <n v="389"/>
    <x v="0"/>
    <x v="2"/>
    <n v="1100000"/>
    <x v="57"/>
    <x v="4"/>
    <n v="1413939.99999999"/>
    <n v="20652566.7889999"/>
    <x v="1634"/>
    <x v="1636"/>
    <x v="1"/>
  </r>
  <r>
    <x v="1021"/>
    <n v="267"/>
    <n v="33037754"/>
    <s v="Drama|Horror|Mystery|Thriller"/>
    <s v="Anthony Hopkins"/>
    <x v="1637"/>
    <n v="75864"/>
    <s v="demon|exorcism|exorcist|faith|seminary"/>
    <n v="197"/>
    <x v="0"/>
    <x v="0"/>
    <n v="37000000"/>
    <x v="22"/>
    <x v="11"/>
    <n v="37000000"/>
    <n v="33037754"/>
    <x v="1635"/>
    <x v="1637"/>
    <x v="5"/>
  </r>
  <r>
    <x v="1022"/>
    <n v="7"/>
    <n v="1098224"/>
    <s v="Adventure"/>
    <s v="Noah Danby"/>
    <x v="1638"/>
    <n v="397"/>
    <s v="jerusalem|journey|promised land|ship|wilderness"/>
    <n v="30"/>
    <x v="0"/>
    <x v="0"/>
    <n v="2000000"/>
    <x v="19"/>
    <x v="57"/>
    <n v="2000000"/>
    <n v="1098224"/>
    <x v="1636"/>
    <x v="1638"/>
    <x v="0"/>
  </r>
  <r>
    <x v="1023"/>
    <n v="173"/>
    <n v="19067631"/>
    <s v="Comedy|Drama|Romance"/>
    <s v="Lew Temple"/>
    <x v="1639"/>
    <n v="37714"/>
    <s v="domestic violence|pregnancy|unhappy marriage|unwanted pregnancy|waitress"/>
    <n v="204"/>
    <x v="0"/>
    <x v="0"/>
    <n v="2000000"/>
    <x v="15"/>
    <x v="17"/>
    <n v="2000000"/>
    <n v="19067631"/>
    <x v="1637"/>
    <x v="1639"/>
    <x v="4"/>
  </r>
  <r>
    <x v="1024"/>
    <n v="29"/>
    <n v="8691"/>
    <s v="Action|Adventure"/>
    <s v="Michael Jai White"/>
    <x v="1640"/>
    <n v="4952"/>
    <s v=""/>
    <n v="32"/>
    <x v="0"/>
    <x v="0"/>
    <n v="4500000"/>
    <x v="27"/>
    <x v="30"/>
    <n v="4500000"/>
    <n v="8691"/>
    <x v="1638"/>
    <x v="1640"/>
    <x v="1"/>
  </r>
  <r>
    <x v="1025"/>
    <n v="91"/>
    <n v="33687630"/>
    <s v="Comedy|Romance"/>
    <s v="Channing Tatum"/>
    <x v="1641"/>
    <n v="116762"/>
    <s v="disguise|roommate|school|soccer|twin"/>
    <n v="261"/>
    <x v="0"/>
    <x v="0"/>
    <n v="20000000"/>
    <x v="7"/>
    <x v="24"/>
    <n v="20000000"/>
    <n v="33687630"/>
    <x v="1639"/>
    <x v="1641"/>
    <x v="4"/>
  </r>
  <r>
    <x v="1026"/>
    <n v="151"/>
    <n v="32553210"/>
    <s v="Comedy|Family"/>
    <s v="Lily Atkinson"/>
    <x v="1642"/>
    <n v="88714"/>
    <s v="camcorder|cannes|director|lost passport|train"/>
    <n v="235"/>
    <x v="0"/>
    <x v="2"/>
    <n v="25000000"/>
    <x v="15"/>
    <x v="23"/>
    <n v="32134999.999999899"/>
    <n v="41843896.133999899"/>
    <x v="1640"/>
    <x v="1642"/>
    <x v="4"/>
  </r>
  <r>
    <x v="924"/>
    <n v="212"/>
    <n v="4710455"/>
    <s v="Adventure|Animation|Family|Fantasy"/>
    <s v="Christian Bale"/>
    <x v="1643"/>
    <n v="214091"/>
    <s v="anime|castle|demon|steampunk|witch"/>
    <n v="330"/>
    <x v="8"/>
    <x v="15"/>
    <n v="24000000"/>
    <x v="2"/>
    <x v="60"/>
    <n v="155918.39999999999"/>
    <n v="30601.941953000001"/>
    <x v="1641"/>
    <x v="1643"/>
    <x v="0"/>
  </r>
  <r>
    <x v="681"/>
    <n v="72"/>
    <n v="14946229"/>
    <s v="Biography|Crime|Drama|Thriller"/>
    <s v="Joseph Gilgun"/>
    <x v="1644"/>
    <n v="2581"/>
    <s v=""/>
    <n v="29"/>
    <x v="0"/>
    <x v="2"/>
    <n v="25000000"/>
    <x v="24"/>
    <x v="4"/>
    <n v="32134999.999999899"/>
    <n v="19211882.7566"/>
    <x v="1642"/>
    <x v="1644"/>
    <x v="2"/>
  </r>
  <r>
    <x v="1027"/>
    <n v="94"/>
    <n v="15681020"/>
    <s v="Action|Adventure|Family|Sci-Fi"/>
    <s v="Jim Broadbent"/>
    <x v="1645"/>
    <n v="33570"/>
    <s v="box office flop|dc comics|hair|nuclear disarmament|superman"/>
    <n v="259"/>
    <x v="0"/>
    <x v="2"/>
    <n v="17000000"/>
    <x v="21"/>
    <x v="12"/>
    <n v="21851799.999999899"/>
    <n v="20156383.107999999"/>
    <x v="1643"/>
    <x v="1645"/>
    <x v="1"/>
  </r>
  <r>
    <x v="1028"/>
    <n v="44"/>
    <n v="6498000"/>
    <s v="Action|Adventure|Drama|Fantasy|War"/>
    <s v="Tamannaah Bhatia"/>
    <x v="1646"/>
    <n v="62756"/>
    <s v="ancient india|dual role|good versus evil|hindu|kingdom"/>
    <n v="410"/>
    <x v="22"/>
    <x v="10"/>
    <n v="18026148"/>
    <x v="1"/>
    <x v="25"/>
    <n v="215258.52529608001"/>
    <n v="77595.607080000002"/>
    <x v="1644"/>
    <x v="1646"/>
    <x v="1"/>
  </r>
  <r>
    <x v="346"/>
    <n v="44"/>
    <n v="41382841"/>
    <s v="Comedy|Drama|Fantasy|Romance"/>
    <s v="Nicolas Cage"/>
    <x v="1647"/>
    <n v="27149"/>
    <s v="alternate history|alternate timeline|divorce|high school|reunion"/>
    <n v="96"/>
    <x v="0"/>
    <x v="0"/>
    <n v="18000000"/>
    <x v="18"/>
    <x v="23"/>
    <n v="18000000"/>
    <n v="41382841"/>
    <x v="1645"/>
    <x v="1647"/>
    <x v="4"/>
  </r>
  <r>
    <x v="1029"/>
    <n v="109"/>
    <n v="100446895"/>
    <s v="Adventure|Comedy|Family|Fantasy"/>
    <s v="Sean Hayes"/>
    <x v="1648"/>
    <n v="36033"/>
    <s v="based on cult comic book|cat|home alone|imagination|talking cat"/>
    <n v="456"/>
    <x v="0"/>
    <x v="0"/>
    <n v="109000000"/>
    <x v="19"/>
    <x v="54"/>
    <n v="109000000"/>
    <n v="100446895"/>
    <x v="1646"/>
    <x v="1648"/>
    <x v="0"/>
  </r>
  <r>
    <x v="1030"/>
    <n v="28"/>
    <n v="1954202"/>
    <s v="Comedy|Crime|Drama"/>
    <s v="Meat Loaf"/>
    <x v="1649"/>
    <n v="5917"/>
    <s v="abusive husband|alabama|boy|dream|sheriff"/>
    <n v="71"/>
    <x v="0"/>
    <x v="0"/>
    <n v="15000000"/>
    <x v="12"/>
    <x v="23"/>
    <n v="15000000"/>
    <n v="1954202"/>
    <x v="1647"/>
    <x v="1649"/>
    <x v="4"/>
  </r>
  <r>
    <x v="637"/>
    <n v="217"/>
    <n v="13362308"/>
    <s v="Drama"/>
    <s v="J.K. Simmons"/>
    <x v="1650"/>
    <n v="31898"/>
    <s v="baseball|baseball practice|escaped convict|neighbor|tied to a chair"/>
    <n v="111"/>
    <x v="0"/>
    <x v="0"/>
    <n v="18000000"/>
    <x v="0"/>
    <x v="31"/>
    <n v="18000000"/>
    <n v="13362308"/>
    <x v="1648"/>
    <x v="1650"/>
    <x v="5"/>
  </r>
  <r>
    <x v="1031"/>
    <n v="250"/>
    <n v="87025093"/>
    <s v="Horror|Mystery"/>
    <s v="Emmanuelle Vaugier"/>
    <x v="1651"/>
    <n v="188679"/>
    <s v="death|detective|nerve gas|serial killer|trap"/>
    <n v="864"/>
    <x v="0"/>
    <x v="0"/>
    <n v="4000000"/>
    <x v="25"/>
    <x v="14"/>
    <n v="4000000"/>
    <n v="87025093"/>
    <x v="1649"/>
    <x v="1651"/>
    <x v="6"/>
  </r>
  <r>
    <x v="556"/>
    <n v="264"/>
    <n v="51527787"/>
    <s v="Horror|Thriller"/>
    <s v="Jensen Ackles"/>
    <x v="1652"/>
    <n v="45603"/>
    <s v="coma|death|miner|valentine|valentine's day"/>
    <n v="268"/>
    <x v="0"/>
    <x v="0"/>
    <n v="15000000"/>
    <x v="16"/>
    <x v="28"/>
    <n v="15000000"/>
    <n v="51527787"/>
    <x v="1650"/>
    <x v="1652"/>
    <x v="6"/>
  </r>
  <r>
    <x v="122"/>
    <n v="59"/>
    <n v="21200000"/>
    <s v="Comedy|Crime|Drama"/>
    <s v="Kurtwood Smith"/>
    <x v="1653"/>
    <n v="34774"/>
    <s v="career|fame|murder|new hampshire|television"/>
    <n v="162"/>
    <x v="0"/>
    <x v="0"/>
    <n v="20000000"/>
    <x v="33"/>
    <x v="22"/>
    <n v="20000000"/>
    <n v="21200000"/>
    <x v="1651"/>
    <x v="1653"/>
    <x v="4"/>
  </r>
  <r>
    <x v="1032"/>
    <n v="191"/>
    <n v="50740078"/>
    <s v="Action|Horror|Sci-Fi|Thriller"/>
    <s v="Milla Jovovich"/>
    <x v="1654"/>
    <n v="151580"/>
    <s v="cover up|monster|strong female character|strong female lead|zombie apocalypse"/>
    <n v="672"/>
    <x v="0"/>
    <x v="5"/>
    <n v="45000000"/>
    <x v="2"/>
    <x v="5"/>
    <n v="48813300"/>
    <n v="55039792.209720001"/>
    <x v="1652"/>
    <x v="1654"/>
    <x v="1"/>
  </r>
  <r>
    <x v="1033"/>
    <n v="133"/>
    <n v="21784432"/>
    <s v="Comedy"/>
    <s v="Robin Williams"/>
    <x v="1655"/>
    <n v="37493"/>
    <s v="adoption|divorce|family relationships|farce|wedding"/>
    <n v="108"/>
    <x v="0"/>
    <x v="0"/>
    <n v="35000000"/>
    <x v="0"/>
    <x v="15"/>
    <n v="35000000"/>
    <n v="21784432"/>
    <x v="1653"/>
    <x v="1655"/>
    <x v="4"/>
  </r>
  <r>
    <x v="281"/>
    <n v="221"/>
    <n v="11501093"/>
    <s v="Comedy|Fantasy|Horror"/>
    <s v="Patricia Tallman"/>
    <x v="1656"/>
    <n v="128850"/>
    <s v="army of the dead|battle|necronomicon|reluctant hero|skeleton soldier"/>
    <n v="604"/>
    <x v="0"/>
    <x v="0"/>
    <n v="13000000"/>
    <x v="8"/>
    <x v="10"/>
    <n v="13000000"/>
    <n v="11501093"/>
    <x v="1654"/>
    <x v="1656"/>
    <x v="4"/>
  </r>
  <r>
    <x v="683"/>
    <n v="80"/>
    <n v="9170214"/>
    <s v="Drama|Romance"/>
    <s v="Johnny Depp"/>
    <x v="1657"/>
    <n v="171882"/>
    <s v="apostrophe in title|face slap|four word title|grocery store|police"/>
    <n v="292"/>
    <x v="0"/>
    <x v="0"/>
    <n v="11000000"/>
    <x v="23"/>
    <x v="38"/>
    <n v="11000000"/>
    <n v="9170214"/>
    <x v="1655"/>
    <x v="1657"/>
    <x v="5"/>
  </r>
  <r>
    <x v="502"/>
    <n v="78"/>
    <n v="27087695"/>
    <s v="Adventure|Comedy|Drama"/>
    <s v="Brittany Daniel"/>
    <x v="1658"/>
    <n v="41664"/>
    <s v="first part|grand canyon|highway travel|indian|janitor"/>
    <n v="205"/>
    <x v="0"/>
    <x v="0"/>
    <n v="17700000"/>
    <x v="9"/>
    <x v="0"/>
    <n v="17700000"/>
    <n v="27087695"/>
    <x v="1656"/>
    <x v="1658"/>
    <x v="0"/>
  </r>
  <r>
    <x v="1034"/>
    <n v="23"/>
    <n v="20047715"/>
    <s v="Adventure|Family"/>
    <s v="Paul Hogan"/>
    <x v="1659"/>
    <n v="8008"/>
    <s v="dolphin|florida|florida keys|summer|vomiting"/>
    <n v="26"/>
    <x v="0"/>
    <x v="0"/>
    <n v="25530000"/>
    <x v="10"/>
    <x v="44"/>
    <n v="25530000"/>
    <n v="20047715"/>
    <x v="1657"/>
    <x v="1659"/>
    <x v="0"/>
  </r>
  <r>
    <x v="127"/>
    <n v="178"/>
    <n v="77086030"/>
    <s v="Action|War"/>
    <s v="Matthew McConaughey"/>
    <x v="1660"/>
    <n v="65297"/>
    <s v="battle|historically inaccurate|submarine movie|u boat|world war two"/>
    <n v="602"/>
    <x v="0"/>
    <x v="8"/>
    <n v="62000000"/>
    <x v="4"/>
    <x v="14"/>
    <n v="67253880"/>
    <n v="83618300.1822"/>
    <x v="1658"/>
    <x v="1660"/>
    <x v="1"/>
  </r>
  <r>
    <x v="1035"/>
    <n v="282"/>
    <n v="34334256"/>
    <s v="Horror|Thriller"/>
    <s v="Gunnar Hansen"/>
    <x v="1661"/>
    <n v="35131"/>
    <s v="chainsaw|halloween|mansion|massacre|texas"/>
    <n v="255"/>
    <x v="0"/>
    <x v="0"/>
    <n v="11000000"/>
    <x v="0"/>
    <x v="45"/>
    <n v="11000000"/>
    <n v="34334256"/>
    <x v="1659"/>
    <x v="1661"/>
    <x v="6"/>
  </r>
  <r>
    <x v="1001"/>
    <n v="558"/>
    <n v="95720716"/>
    <s v="Drama|History|Thriller"/>
    <s v="Jennifer Ehle"/>
    <x v="1662"/>
    <n v="216032"/>
    <s v="al qaeda|cia|interrogation|lie|navy seal"/>
    <n v="640"/>
    <x v="0"/>
    <x v="0"/>
    <n v="40000000"/>
    <x v="28"/>
    <x v="39"/>
    <n v="40000000"/>
    <n v="95720716"/>
    <x v="1660"/>
    <x v="1662"/>
    <x v="5"/>
  </r>
  <r>
    <x v="103"/>
    <n v="167"/>
    <n v="56083966"/>
    <s v="Action|Adventure|Romance"/>
    <s v="Heath Ledger"/>
    <x v="1663"/>
    <n v="137003"/>
    <s v="chaucer|jousting|knight|medieval times|tournament"/>
    <n v="658"/>
    <x v="0"/>
    <x v="0"/>
    <n v="65000000"/>
    <x v="9"/>
    <x v="31"/>
    <n v="65000000"/>
    <n v="56083966"/>
    <x v="1661"/>
    <x v="1663"/>
    <x v="1"/>
  </r>
  <r>
    <x v="904"/>
    <n v="226"/>
    <n v="238371987"/>
    <s v="Adventure|Animation|Comedy|Family|Fantasy"/>
    <s v="Jon Hamm"/>
    <x v="1664"/>
    <n v="138661"/>
    <s v="alternate world|fairy tale parody|female warrior|ogre|true love"/>
    <n v="173"/>
    <x v="0"/>
    <x v="0"/>
    <n v="165000000"/>
    <x v="11"/>
    <x v="24"/>
    <n v="165000000"/>
    <n v="238371987"/>
    <x v="1662"/>
    <x v="1664"/>
    <x v="0"/>
  </r>
  <r>
    <x v="331"/>
    <n v="205"/>
    <n v="26781723"/>
    <s v="Comedy|Drama|Romance"/>
    <s v="Armando Riesco"/>
    <x v="1665"/>
    <n v="187595"/>
    <s v="actor|doctor|drugs|home|pain"/>
    <n v="978"/>
    <x v="0"/>
    <x v="0"/>
    <n v="2500000"/>
    <x v="2"/>
    <x v="10"/>
    <n v="2500000"/>
    <n v="26781723"/>
    <x v="1663"/>
    <x v="1665"/>
    <x v="4"/>
  </r>
  <r>
    <x v="118"/>
    <n v="242"/>
    <n v="30523568"/>
    <s v="Horror|Mystery|Thriller"/>
    <s v="Olivia Munn"/>
    <x v="1666"/>
    <n v="54447"/>
    <s v="confession|demonic possession|exorcism|flickering light|priest"/>
    <n v="201"/>
    <x v="0"/>
    <x v="0"/>
    <n v="30000000"/>
    <x v="27"/>
    <x v="5"/>
    <n v="30000000"/>
    <n v="30523568"/>
    <x v="1664"/>
    <x v="1666"/>
    <x v="6"/>
  </r>
  <r>
    <x v="1036"/>
    <n v="103"/>
    <n v="56607223"/>
    <s v="Adventure|Comedy"/>
    <s v="Corinna Harney"/>
    <x v="1667"/>
    <n v="93367"/>
    <s v="casino|locker|money|museum|race"/>
    <n v="497"/>
    <x v="0"/>
    <x v="9"/>
    <n v="48000000"/>
    <x v="9"/>
    <x v="24"/>
    <n v="34723440"/>
    <n v="40949948.154314898"/>
    <x v="1665"/>
    <x v="1667"/>
    <x v="0"/>
  </r>
  <r>
    <x v="1037"/>
    <n v="164"/>
    <n v="26049082"/>
    <s v="Comedy|Romance"/>
    <s v="Mackenzie Davis"/>
    <x v="1668"/>
    <n v="76791"/>
    <s v="dating|divorce|father daughter relationship|mother daughter relationship|party"/>
    <n v="100"/>
    <x v="0"/>
    <x v="0"/>
    <n v="8000000"/>
    <x v="27"/>
    <x v="7"/>
    <n v="8000000"/>
    <n v="26049082"/>
    <x v="1666"/>
    <x v="1668"/>
    <x v="4"/>
  </r>
  <r>
    <x v="528"/>
    <n v="63"/>
    <n v="10297897"/>
    <s v="Action|Crime|Drama|History|Western"/>
    <s v="Matthew McConaughey"/>
    <x v="1669"/>
    <n v="8309"/>
    <s v="bank robber|brother brother relationship|crime spree|explosive|train"/>
    <n v="39"/>
    <x v="0"/>
    <x v="0"/>
    <n v="27000000"/>
    <x v="6"/>
    <x v="11"/>
    <n v="27000000"/>
    <n v="10297897"/>
    <x v="1667"/>
    <x v="1669"/>
    <x v="1"/>
  </r>
  <r>
    <x v="1038"/>
    <n v="81"/>
    <n v="10544143"/>
    <s v="Comedy|Romance"/>
    <s v="Matthew Perry"/>
    <x v="1670"/>
    <n v="16372"/>
    <s v="architect|award|farce|love|misunderstanding"/>
    <n v="121"/>
    <x v="0"/>
    <x v="3"/>
    <n v="20000000"/>
    <x v="12"/>
    <x v="7"/>
    <n v="13077600"/>
    <n v="6894604.2248400003"/>
    <x v="1668"/>
    <x v="1670"/>
    <x v="4"/>
  </r>
  <r>
    <x v="1039"/>
    <n v="156"/>
    <n v="30079316"/>
    <s v="Horror"/>
    <s v="Isaiah Washington"/>
    <x v="1671"/>
    <n v="75920"/>
    <s v="decapitation|ghost ship|passenger|severed head|torso cut in half"/>
    <n v="474"/>
    <x v="0"/>
    <x v="0"/>
    <n v="35000000"/>
    <x v="13"/>
    <x v="28"/>
    <n v="35000000"/>
    <n v="30079316"/>
    <x v="1669"/>
    <x v="1671"/>
    <x v="6"/>
  </r>
  <r>
    <x v="325"/>
    <n v="70"/>
    <n v="55973336"/>
    <s v="Action|Crime|Thriller"/>
    <s v="Jet Li"/>
    <x v="1672"/>
    <n v="57040"/>
    <s v="death|hong kong|kung fu|prison|waterfront"/>
    <n v="365"/>
    <x v="0"/>
    <x v="0"/>
    <n v="25000000"/>
    <x v="4"/>
    <x v="7"/>
    <n v="25000000"/>
    <n v="55973336"/>
    <x v="1670"/>
    <x v="1672"/>
    <x v="1"/>
  </r>
  <r>
    <x v="1040"/>
    <n v="31"/>
    <n v="119841"/>
    <s v="Drama"/>
    <s v="Brian Dennehy"/>
    <x v="1673"/>
    <n v="2419"/>
    <s v="catholic|catholicism|rabbi|school|summer"/>
    <n v="55"/>
    <x v="0"/>
    <x v="0"/>
    <n v="1500000"/>
    <x v="13"/>
    <x v="20"/>
    <n v="1500000"/>
    <n v="119841"/>
    <x v="1671"/>
    <x v="1673"/>
    <x v="5"/>
  </r>
  <r>
    <x v="1041"/>
    <n v="40"/>
    <n v="35324232"/>
    <s v="Action|Comedy|Crime|Drama|Thriller"/>
    <s v="Vincent Pastore"/>
    <x v="1674"/>
    <n v="32224"/>
    <s v="bare breasts|breast|loan shark|subway|train"/>
    <n v="62"/>
    <x v="0"/>
    <x v="0"/>
    <n v="68000000"/>
    <x v="33"/>
    <x v="15"/>
    <n v="68000000"/>
    <n v="35324232"/>
    <x v="1672"/>
    <x v="1674"/>
    <x v="1"/>
  </r>
  <r>
    <x v="158"/>
    <n v="59"/>
    <n v="52293982"/>
    <s v="Drama|Sport"/>
    <s v="Tom Cruise"/>
    <x v="1675"/>
    <n v="57831"/>
    <s v="hustler|losing|pool|pool player|tournament"/>
    <n v="115"/>
    <x v="0"/>
    <x v="0"/>
    <n v="13800000"/>
    <x v="18"/>
    <x v="16"/>
    <n v="13800000"/>
    <n v="52293982"/>
    <x v="1673"/>
    <x v="1675"/>
    <x v="5"/>
  </r>
  <r>
    <x v="827"/>
    <n v="190"/>
    <n v="97680195"/>
    <s v="Comedy|Romance"/>
    <s v="Bradley Cooper"/>
    <x v="1676"/>
    <n v="271691"/>
    <s v="best friend|dvd|girlfriend|loan|self help"/>
    <n v="243"/>
    <x v="0"/>
    <x v="0"/>
    <n v="70000000"/>
    <x v="20"/>
    <x v="22"/>
    <n v="70000000"/>
    <n v="97680195"/>
    <x v="1674"/>
    <x v="1676"/>
    <x v="4"/>
  </r>
  <r>
    <x v="559"/>
    <n v="71"/>
    <n v="20246959"/>
    <s v="Comedy|Romance"/>
    <s v="America Ferrera"/>
    <x v="1677"/>
    <n v="5721"/>
    <s v="california|love|marriage|wedding|wedding dress"/>
    <n v="20"/>
    <x v="0"/>
    <x v="0"/>
    <n v="14000000"/>
    <x v="11"/>
    <x v="18"/>
    <n v="14000000"/>
    <n v="20246959"/>
    <x v="1675"/>
    <x v="1677"/>
    <x v="4"/>
  </r>
  <r>
    <x v="867"/>
    <n v="140"/>
    <n v="34580635"/>
    <s v="Biography|Comedy|Drama"/>
    <s v="Matt Price"/>
    <x v="1678"/>
    <n v="100743"/>
    <s v="andy kaufman|comedian|eccentric|wrestler|wrestling"/>
    <n v="549"/>
    <x v="0"/>
    <x v="2"/>
    <n v="52000000"/>
    <x v="12"/>
    <x v="39"/>
    <n v="66840799.999999903"/>
    <n v="44449948.228999898"/>
    <x v="1676"/>
    <x v="1678"/>
    <x v="2"/>
  </r>
  <r>
    <x v="1042"/>
    <n v="141"/>
    <n v="107225164"/>
    <s v="Action|Animation|Comedy|Family"/>
    <s v="Peter Dinklage"/>
    <x v="1679"/>
    <n v="27130"/>
    <s v="butt|downward duck|fish|kingfisher|pig"/>
    <n v="126"/>
    <x v="0"/>
    <x v="0"/>
    <n v="73000000"/>
    <x v="24"/>
    <x v="23"/>
    <n v="73000000"/>
    <n v="107225164"/>
    <x v="1677"/>
    <x v="1679"/>
    <x v="1"/>
  </r>
  <r>
    <x v="1043"/>
    <n v="271"/>
    <n v="32416109"/>
    <s v="Comedy|War"/>
    <s v="Kevin Spacey"/>
    <x v="1680"/>
    <n v="109620"/>
    <s v="first person narration|general|hampster|reference to loch ness monster|reporter"/>
    <n v="268"/>
    <x v="0"/>
    <x v="0"/>
    <n v="25000000"/>
    <x v="16"/>
    <x v="5"/>
    <n v="25000000"/>
    <n v="32416109"/>
    <x v="1678"/>
    <x v="1680"/>
    <x v="4"/>
  </r>
  <r>
    <x v="87"/>
    <n v="54"/>
    <n v="4426297"/>
    <s v="Adventure|Drama|Romance|War"/>
    <s v="Angelina Jolie Pitt"/>
    <x v="1681"/>
    <n v="22570"/>
    <s v="africa|american|border|doctor|well"/>
    <n v="156"/>
    <x v="0"/>
    <x v="0"/>
    <n v="35000000"/>
    <x v="19"/>
    <x v="20"/>
    <n v="35000000"/>
    <n v="4426297"/>
    <x v="1679"/>
    <x v="1681"/>
    <x v="0"/>
  </r>
  <r>
    <x v="1044"/>
    <n v="22"/>
    <n v="3902679"/>
    <s v="Fantasy|Horror"/>
    <s v="Julian Sands"/>
    <x v="1682"/>
    <n v="3943"/>
    <s v="druid|eclipse|rune|scalping|warlock"/>
    <n v="49"/>
    <x v="0"/>
    <x v="0"/>
    <n v="3000000"/>
    <x v="23"/>
    <x v="1"/>
    <n v="3000000"/>
    <n v="3902679"/>
    <x v="1680"/>
    <x v="1682"/>
    <x v="9"/>
  </r>
  <r>
    <x v="195"/>
    <n v="301"/>
    <n v="1768416"/>
    <s v="Comedy|Drama"/>
    <s v="Nathalie Fay"/>
    <x v="1683"/>
    <n v="35848"/>
    <s v="actor|boredom|luxury hotel|party|trip"/>
    <n v="198"/>
    <x v="0"/>
    <x v="0"/>
    <n v="7000000"/>
    <x v="11"/>
    <x v="23"/>
    <n v="7000000"/>
    <n v="1768416"/>
    <x v="1681"/>
    <x v="1683"/>
    <x v="4"/>
  </r>
  <r>
    <x v="1045"/>
    <n v="80"/>
    <n v="21500000"/>
    <s v="Adventure|Drama|History"/>
    <s v="Dennis Quaid"/>
    <x v="1684"/>
    <n v="45271"/>
    <s v="astronaut|sound barrier|space program|u.s. air force|u.s. space program"/>
    <n v="170"/>
    <x v="0"/>
    <x v="0"/>
    <n v="27000000"/>
    <x v="30"/>
    <x v="19"/>
    <n v="27000000"/>
    <n v="21500000"/>
    <x v="1682"/>
    <x v="1684"/>
    <x v="0"/>
  </r>
  <r>
    <x v="150"/>
    <n v="122"/>
    <n v="112692062"/>
    <s v="Action|Adventure|Comedy|Family|Sci-Fi"/>
    <s v="Alexa PenaVega"/>
    <x v="1685"/>
    <n v="84325"/>
    <s v="brother sister relationship|espionage|rescue|secret agent|spy"/>
    <n v="205"/>
    <x v="0"/>
    <x v="0"/>
    <n v="35000000"/>
    <x v="9"/>
    <x v="26"/>
    <n v="35000000"/>
    <n v="112692062"/>
    <x v="1683"/>
    <x v="1685"/>
    <x v="1"/>
  </r>
  <r>
    <x v="150"/>
    <n v="103"/>
    <n v="20916309"/>
    <s v="Comedy|Family|Fantasy"/>
    <s v="Jimmy Bennett"/>
    <x v="1686"/>
    <n v="5332"/>
    <s v="boy|family relationships|rock|twin|two headed person"/>
    <n v="37"/>
    <x v="0"/>
    <x v="0"/>
    <n v="40000000"/>
    <x v="16"/>
    <x v="18"/>
    <n v="40000000"/>
    <n v="20916309"/>
    <x v="1684"/>
    <x v="1686"/>
    <x v="4"/>
  </r>
  <r>
    <x v="1046"/>
    <n v="160"/>
    <n v="21300000"/>
    <s v="Horror|Mystery|Thriller"/>
    <s v="Tiffany Helm"/>
    <x v="1687"/>
    <n v="22521"/>
    <s v="jason voorhees|murder|new jersey|nightmare|teenager"/>
    <n v="342"/>
    <x v="0"/>
    <x v="0"/>
    <n v="2200000"/>
    <x v="37"/>
    <x v="27"/>
    <n v="2200000"/>
    <n v="21300000"/>
    <x v="1685"/>
    <x v="1687"/>
    <x v="6"/>
  </r>
  <r>
    <x v="18"/>
    <n v="235"/>
    <n v="36200000"/>
    <s v="Horror|Thriller"/>
    <s v="Richard Brooker"/>
    <x v="1688"/>
    <n v="31952"/>
    <s v="defecation|hockey mask|jason voorhees|lake|serial killer"/>
    <n v="372"/>
    <x v="0"/>
    <x v="0"/>
    <n v="4000000"/>
    <x v="42"/>
    <x v="35"/>
    <n v="4000000"/>
    <n v="36200000"/>
    <x v="1686"/>
    <x v="1688"/>
    <x v="6"/>
  </r>
  <r>
    <x v="326"/>
    <n v="211"/>
    <n v="30688364"/>
    <s v="Action|Drama|Thriller"/>
    <s v="Connie Nielsen"/>
    <x v="1689"/>
    <n v="69355"/>
    <s v="cancer|estranged wife|leather dress|spy|terrorist"/>
    <n v="211"/>
    <x v="0"/>
    <x v="0"/>
    <n v="28000000"/>
    <x v="27"/>
    <x v="5"/>
    <n v="28000000"/>
    <n v="30688364"/>
    <x v="1687"/>
    <x v="1689"/>
    <x v="1"/>
  </r>
  <r>
    <x v="1047"/>
    <n v="20"/>
    <n v="3275443"/>
    <s v="Drama"/>
    <s v="Shah Rukh Khan"/>
    <x v="1690"/>
    <n v="13998"/>
    <s v="extramarital affair|fashion magazine editor|marriage|new york|teacher"/>
    <n v="264"/>
    <x v="5"/>
    <x v="10"/>
    <n v="700000000"/>
    <x v="7"/>
    <x v="11"/>
    <n v="8359022"/>
    <n v="39113.571566780003"/>
    <x v="1688"/>
    <x v="1690"/>
    <x v="5"/>
  </r>
  <r>
    <x v="741"/>
    <n v="95"/>
    <n v="5204007"/>
    <s v="Action|Comedy|Crime|Thriller"/>
    <s v="Meat Loaf"/>
    <x v="1691"/>
    <n v="42876"/>
    <s v="american in the uk|drug lord|drugs|gangster|organized crime"/>
    <n v="167"/>
    <x v="0"/>
    <x v="2"/>
    <n v="28000000"/>
    <x v="9"/>
    <x v="23"/>
    <n v="35991200"/>
    <n v="6689230.5977999996"/>
    <x v="1689"/>
    <x v="1691"/>
    <x v="1"/>
  </r>
  <r>
    <x v="1048"/>
    <n v="10"/>
    <n v="2859955"/>
    <s v="Drama|Sport"/>
    <s v="Vivica A. Fox"/>
    <x v="1692"/>
    <n v="2417"/>
    <s v="addiction|alcoholic|baseball|car accident|reference to god"/>
    <n v="32"/>
    <x v="0"/>
    <x v="0"/>
    <n v="1200000"/>
    <x v="0"/>
    <x v="11"/>
    <n v="1200000"/>
    <n v="2859955"/>
    <x v="1690"/>
    <x v="1692"/>
    <x v="5"/>
  </r>
  <r>
    <x v="273"/>
    <n v="396"/>
    <n v="154985087"/>
    <s v="Action|Adventure|Sci-Fi"/>
    <s v="Jennifer Lawrence"/>
    <x v="1693"/>
    <n v="148379"/>
    <s v="mutant|superhero|superhero team|x men|year 1983"/>
    <n v="622"/>
    <x v="0"/>
    <x v="0"/>
    <n v="178000000"/>
    <x v="24"/>
    <x v="4"/>
    <n v="178000000"/>
    <n v="154985087"/>
    <x v="1691"/>
    <x v="1693"/>
    <x v="1"/>
  </r>
  <r>
    <x v="1049"/>
    <n v="72"/>
    <n v="103738726"/>
    <s v="Action|Comedy|Crime|Music|Romance|Thriller"/>
    <s v="Charlie Korsmo"/>
    <x v="1694"/>
    <n v="47819"/>
    <s v="crime boss|detective|dick tracy|gangster|orphan"/>
    <n v="164"/>
    <x v="0"/>
    <x v="0"/>
    <n v="100000000"/>
    <x v="32"/>
    <x v="7"/>
    <n v="100000000"/>
    <n v="103738726"/>
    <x v="1692"/>
    <x v="1694"/>
    <x v="1"/>
  </r>
  <r>
    <x v="757"/>
    <n v="443"/>
    <n v="93417865"/>
    <s v="Action|Adventure|Family|Mystery|Sci-Fi"/>
    <s v="Judy Greer"/>
    <x v="1695"/>
    <n v="128306"/>
    <s v="boy genius|futuristic city|inventor|teenage girl|time travel"/>
    <n v="497"/>
    <x v="0"/>
    <x v="0"/>
    <n v="190000000"/>
    <x v="1"/>
    <x v="20"/>
    <n v="190000000"/>
    <n v="93417865"/>
    <x v="1693"/>
    <x v="1695"/>
    <x v="1"/>
  </r>
  <r>
    <x v="1050"/>
    <n v="70"/>
    <n v="54967359"/>
    <s v="Action|Horror"/>
    <s v="Michael Jai White"/>
    <x v="1696"/>
    <n v="52805"/>
    <s v="based on comic|based on comic book|dark hero|image comics|superhero"/>
    <n v="209"/>
    <x v="0"/>
    <x v="0"/>
    <n v="40000000"/>
    <x v="31"/>
    <x v="44"/>
    <n v="40000000"/>
    <n v="54967359"/>
    <x v="1694"/>
    <x v="1696"/>
    <x v="1"/>
  </r>
  <r>
    <x v="1051"/>
    <n v="274"/>
    <n v="15294553"/>
    <s v="Drama|Fantasy|Romance"/>
    <s v="Tom Hughes"/>
    <x v="1697"/>
    <n v="202341"/>
    <s v="boyfriend girlfriend relationship|lingerie slip|time travel|time travel romance|wedding"/>
    <n v="391"/>
    <x v="0"/>
    <x v="2"/>
    <n v="12000000"/>
    <x v="0"/>
    <x v="38"/>
    <n v="15424799.999999899"/>
    <n v="19659618.426199999"/>
    <x v="1695"/>
    <x v="1697"/>
    <x v="5"/>
  </r>
  <r>
    <x v="1052"/>
    <n v="203"/>
    <n v="33305037"/>
    <s v="Biography|Drama|History"/>
    <s v="Ryan Reynolds"/>
    <x v="1698"/>
    <n v="33856"/>
    <s v="art|jewish|justice|nazi|theft"/>
    <n v="147"/>
    <x v="0"/>
    <x v="2"/>
    <n v="11000000"/>
    <x v="1"/>
    <x v="4"/>
    <n v="14139399.999999899"/>
    <n v="42810294.559799999"/>
    <x v="1696"/>
    <x v="1698"/>
    <x v="2"/>
  </r>
  <r>
    <x v="1053"/>
    <n v="85"/>
    <n v="26096584"/>
    <s v="Comedy"/>
    <s v="Elden Henson"/>
    <x v="1699"/>
    <n v="30651"/>
    <s v="1980s|buddy|high school|prequel to cult favorite|teenager"/>
    <n v="267"/>
    <x v="0"/>
    <x v="0"/>
    <n v="19000000"/>
    <x v="19"/>
    <x v="65"/>
    <n v="19000000"/>
    <n v="26096584"/>
    <x v="1697"/>
    <x v="1699"/>
    <x v="4"/>
  </r>
  <r>
    <x v="10"/>
    <n v="343"/>
    <n v="105219735"/>
    <s v="Action|Adventure|Drama|History"/>
    <s v="Mark Addy"/>
    <x v="1700"/>
    <n v="211765"/>
    <s v="1190s|archer|england|king of england|robin hood"/>
    <n v="546"/>
    <x v="0"/>
    <x v="0"/>
    <n v="200000000"/>
    <x v="11"/>
    <x v="21"/>
    <n v="200000000"/>
    <n v="105219735"/>
    <x v="1698"/>
    <x v="1700"/>
    <x v="1"/>
  </r>
  <r>
    <x v="1054"/>
    <n v="47"/>
    <n v="38590500"/>
    <s v="Action|Adventure|Thriller"/>
    <s v="Mike Starr"/>
    <x v="1701"/>
    <n v="17997"/>
    <s v="environmental|murder|oil|oil spill|tribe"/>
    <n v="140"/>
    <x v="0"/>
    <x v="0"/>
    <n v="50000000"/>
    <x v="5"/>
    <x v="8"/>
    <n v="50000000"/>
    <n v="38590500"/>
    <x v="1699"/>
    <x v="1701"/>
    <x v="1"/>
  </r>
  <r>
    <x v="1055"/>
    <n v="208"/>
    <n v="15608545"/>
    <s v="Action"/>
    <s v="Rick Yune"/>
    <x v="1702"/>
    <n v="53471"/>
    <s v="blacksmith|box office flop|chop socky|critically bashed|village"/>
    <n v="224"/>
    <x v="0"/>
    <x v="0"/>
    <n v="15000000"/>
    <x v="28"/>
    <x v="26"/>
    <n v="15000000"/>
    <n v="15608545"/>
    <x v="1700"/>
    <x v="1702"/>
    <x v="1"/>
  </r>
  <r>
    <x v="1049"/>
    <n v="110"/>
    <n v="26525834"/>
    <s v="Comedy|Drama|Romance"/>
    <s v="Warren Beatty"/>
    <x v="1703"/>
    <n v="21998"/>
    <s v="hip hop|liberal|politics|senator|truth"/>
    <n v="227"/>
    <x v="0"/>
    <x v="0"/>
    <n v="30000000"/>
    <x v="6"/>
    <x v="22"/>
    <n v="30000000"/>
    <n v="26525834"/>
    <x v="1701"/>
    <x v="1703"/>
    <x v="4"/>
  </r>
  <r>
    <x v="477"/>
    <n v="76"/>
    <n v="6768055"/>
    <s v="Action|Adventure|Comedy|Family|Sci-Fi"/>
    <s v="Sophia Myles"/>
    <x v="1704"/>
    <n v="11148"/>
    <s v="astronaut|island|lady penelope|rescue|the hood"/>
    <n v="229"/>
    <x v="0"/>
    <x v="2"/>
    <n v="57000000"/>
    <x v="2"/>
    <x v="32"/>
    <n v="73267800"/>
    <n v="8699657.8969999999"/>
    <x v="1702"/>
    <x v="1704"/>
    <x v="1"/>
  </r>
  <r>
    <x v="508"/>
    <n v="256"/>
    <n v="34964818"/>
    <s v="Adventure|Family|Fantasy"/>
    <s v="Hugh Jackman"/>
    <x v="640"/>
    <n v="39975"/>
    <s v="1940s|child hero|fantasy world|orphan|reference to peter pan"/>
    <n v="186"/>
    <x v="0"/>
    <x v="0"/>
    <n v="150000000"/>
    <x v="1"/>
    <x v="30"/>
    <n v="150000000"/>
    <n v="34964818"/>
    <x v="640"/>
    <x v="640"/>
    <x v="0"/>
  </r>
  <r>
    <x v="613"/>
    <n v="39"/>
    <n v="51432423"/>
    <s v="Comedy|Family|Fantasy|Sport"/>
    <s v="Brenda Song"/>
    <x v="1705"/>
    <n v="15074"/>
    <s v="basketball|lightning|nba|orphanage|shoe"/>
    <n v="72"/>
    <x v="0"/>
    <x v="0"/>
    <n v="30000000"/>
    <x v="13"/>
    <x v="37"/>
    <n v="30000000"/>
    <n v="51432423"/>
    <x v="1703"/>
    <x v="1705"/>
    <x v="4"/>
  </r>
  <r>
    <x v="1056"/>
    <n v="101"/>
    <n v="9000000"/>
    <s v="Comedy|Drama|Music"/>
    <s v="Charles Napier"/>
    <x v="1706"/>
    <n v="7584"/>
    <s v="band|drugs|friendship|hollywood|satire"/>
    <n v="137"/>
    <x v="0"/>
    <x v="0"/>
    <n v="900000"/>
    <x v="50"/>
    <x v="5"/>
    <n v="900000"/>
    <n v="9000000"/>
    <x v="1704"/>
    <x v="1706"/>
    <x v="4"/>
  </r>
  <r>
    <x v="1057"/>
    <n v="65"/>
    <n v="2955039"/>
    <s v="Biography|Drama|Sport"/>
    <s v="Emma Bell"/>
    <x v="1707"/>
    <n v="3624"/>
    <s v="boy|girl|soccer|south orange new jersey|teenager"/>
    <n v="27"/>
    <x v="0"/>
    <x v="0"/>
    <n v="9000000"/>
    <x v="15"/>
    <x v="5"/>
    <n v="9000000"/>
    <n v="2955039"/>
    <x v="1705"/>
    <x v="1707"/>
    <x v="2"/>
  </r>
  <r>
    <x v="132"/>
    <n v="215"/>
    <n v="434949459"/>
    <s v="Family|Sci-Fi"/>
    <s v="Henry Thomas"/>
    <x v="1708"/>
    <n v="281842"/>
    <s v="bicyclist|boy|doll|star wars reference|voice impersonation"/>
    <n v="515"/>
    <x v="0"/>
    <x v="0"/>
    <n v="10500000"/>
    <x v="42"/>
    <x v="19"/>
    <n v="10500000"/>
    <n v="434949459"/>
    <x v="1706"/>
    <x v="1708"/>
    <x v="11"/>
  </r>
  <r>
    <x v="344"/>
    <n v="18"/>
    <n v="5974653"/>
    <s v="Action|Adventure|Fantasy|Sci-Fi|Thriller"/>
    <s v="Michael Biehn"/>
    <x v="1709"/>
    <n v="2253"/>
    <s v="armageddon|battle|end times|reference to satan|sequel"/>
    <n v="111"/>
    <x v="0"/>
    <x v="0"/>
    <n v="22000000"/>
    <x v="9"/>
    <x v="13"/>
    <n v="22000000"/>
    <n v="5974653"/>
    <x v="1707"/>
    <x v="1709"/>
    <x v="1"/>
  </r>
  <r>
    <x v="187"/>
    <n v="203"/>
    <n v="44867349"/>
    <s v="Action|Comedy|Crime"/>
    <s v="Bruce Willis"/>
    <x v="1710"/>
    <n v="75347"/>
    <s v="baseball card|detective|partner|thief|wedding"/>
    <n v="176"/>
    <x v="0"/>
    <x v="0"/>
    <n v="37000000"/>
    <x v="11"/>
    <x v="15"/>
    <n v="37000000"/>
    <n v="44867349"/>
    <x v="1708"/>
    <x v="1710"/>
    <x v="1"/>
  </r>
  <r>
    <x v="1058"/>
    <n v="73"/>
    <n v="228524"/>
    <s v="Comedy|Drama"/>
    <s v="Kip Pardue"/>
    <x v="1711"/>
    <n v="8708"/>
    <s v="cat|christmas song|lawn mowing|leave of absence|medication"/>
    <n v="56"/>
    <x v="0"/>
    <x v="0"/>
    <n v="4000000"/>
    <x v="2"/>
    <x v="4"/>
    <n v="4000000"/>
    <n v="228524"/>
    <x v="1709"/>
    <x v="1711"/>
    <x v="4"/>
  </r>
  <r>
    <x v="744"/>
    <n v="490"/>
    <n v="144812796"/>
    <s v="Drama|Romance"/>
    <s v="Leonardo DiCaprio"/>
    <x v="1712"/>
    <n v="362912"/>
    <s v="ingratitude|mansion|party|title appears in writing|tragedy"/>
    <n v="753"/>
    <x v="0"/>
    <x v="3"/>
    <n v="105000000"/>
    <x v="0"/>
    <x v="4"/>
    <n v="68657400"/>
    <n v="94690191.048480004"/>
    <x v="1710"/>
    <x v="1712"/>
    <x v="5"/>
  </r>
  <r>
    <x v="1059"/>
    <n v="143"/>
    <n v="22800000"/>
    <s v="Action|Adventure|Thriller"/>
    <s v="Telly Savalas"/>
    <x v="1713"/>
    <n v="59941"/>
    <s v="bond girl|british|mission|portugal|switzerland"/>
    <n v="452"/>
    <x v="0"/>
    <x v="2"/>
    <n v="7000000"/>
    <x v="62"/>
    <x v="22"/>
    <n v="8997800"/>
    <n v="29307119.999999899"/>
    <x v="1711"/>
    <x v="1713"/>
    <x v="1"/>
  </r>
  <r>
    <x v="1060"/>
    <n v="36"/>
    <n v="42610000"/>
    <s v="Action|Comedy|Crime|Thriller"/>
    <s v="Louis Lombardi"/>
    <x v="1714"/>
    <n v="60293"/>
    <s v="california|counterfeit|counterfeit money|money|theme park"/>
    <n v="114"/>
    <x v="0"/>
    <x v="0"/>
    <n v="55000000"/>
    <x v="5"/>
    <x v="28"/>
    <n v="55000000"/>
    <n v="42610000"/>
    <x v="1712"/>
    <x v="1714"/>
    <x v="1"/>
  </r>
  <r>
    <x v="1061"/>
    <n v="156"/>
    <n v="36385763"/>
    <s v="Drama|War"/>
    <s v="Nick Stahl"/>
    <x v="1715"/>
    <n v="138941"/>
    <s v="battle|hill|jungle|multiple perspectives|tropical island"/>
    <n v="1448"/>
    <x v="0"/>
    <x v="0"/>
    <n v="52000000"/>
    <x v="6"/>
    <x v="10"/>
    <n v="52000000"/>
    <n v="36385763"/>
    <x v="1713"/>
    <x v="1715"/>
    <x v="5"/>
  </r>
  <r>
    <x v="68"/>
    <n v="122"/>
    <n v="49968653"/>
    <s v="Comedy|Romance"/>
    <s v="Lilli Lavine"/>
    <x v="1716"/>
    <n v="85423"/>
    <s v="christmas|destiny|fate|love|serendipity"/>
    <n v="374"/>
    <x v="0"/>
    <x v="0"/>
    <n v="28000000"/>
    <x v="9"/>
    <x v="31"/>
    <n v="28000000"/>
    <n v="49968653"/>
    <x v="1714"/>
    <x v="1716"/>
    <x v="4"/>
  </r>
  <r>
    <x v="55"/>
    <n v="112"/>
    <n v="23078294"/>
    <s v="Horror|Thriller"/>
    <s v="Adam Goldberg"/>
    <x v="1717"/>
    <n v="25870"/>
    <s v="countess|game reality crossover|ghost|group of friends|tower"/>
    <n v="281"/>
    <x v="0"/>
    <x v="0"/>
    <n v="9000000"/>
    <x v="7"/>
    <x v="37"/>
    <n v="9000000"/>
    <n v="23078294"/>
    <x v="1715"/>
    <x v="1717"/>
    <x v="6"/>
  </r>
  <r>
    <x v="108"/>
    <n v="75"/>
    <n v="66488090"/>
    <s v="Crime|Drama|Mystery|Thriller"/>
    <s v="Denzel Washington"/>
    <x v="1718"/>
    <n v="120202"/>
    <s v="new york city|police|quadriplegic|serial killer|suicide"/>
    <n v="397"/>
    <x v="0"/>
    <x v="0"/>
    <n v="48000000"/>
    <x v="12"/>
    <x v="21"/>
    <n v="48000000"/>
    <n v="66488090"/>
    <x v="1716"/>
    <x v="1718"/>
    <x v="3"/>
  </r>
  <r>
    <x v="1062"/>
    <n v="20"/>
    <n v="3773863"/>
    <s v="Drama"/>
    <s v="Randy Wayne"/>
    <x v="1719"/>
    <n v="4583"/>
    <s v="basketball|beer pong|childhood friend|christian|suicide"/>
    <n v="55"/>
    <x v="0"/>
    <x v="0"/>
    <n v="1000000"/>
    <x v="16"/>
    <x v="17"/>
    <n v="1000000"/>
    <n v="3773863"/>
    <x v="1717"/>
    <x v="1719"/>
    <x v="5"/>
  </r>
  <r>
    <x v="2"/>
    <n v="64"/>
    <n v="1281176"/>
    <s v="Comedy|Drama"/>
    <s v="Kimberly J. Brown"/>
    <x v="1720"/>
    <n v="2932"/>
    <s v="boss|fight|reference to william shakespeare|white trash|written and directed by cast member"/>
    <n v="73"/>
    <x v="0"/>
    <x v="0"/>
    <n v="312000"/>
    <x v="12"/>
    <x v="21"/>
    <n v="312000"/>
    <n v="1281176"/>
    <x v="1718"/>
    <x v="1720"/>
    <x v="4"/>
  </r>
  <r>
    <x v="1025"/>
    <n v="166"/>
    <n v="67128202"/>
    <s v="Action|Adventure|Family|Fantasy|Sci-Fi|Thriller"/>
    <s v="Dwayne Johnson"/>
    <x v="1721"/>
    <n v="43328"/>
    <s v="alien|military|mountain|spacecraft|ufo"/>
    <n v="110"/>
    <x v="0"/>
    <x v="0"/>
    <n v="65000000"/>
    <x v="16"/>
    <x v="35"/>
    <n v="65000000"/>
    <n v="67128202"/>
    <x v="1719"/>
    <x v="1721"/>
    <x v="1"/>
  </r>
  <r>
    <x v="150"/>
    <n v="66"/>
    <n v="39177541"/>
    <s v="Action|Adventure|Family|Fantasy"/>
    <s v="Taylor Lautner"/>
    <x v="1722"/>
    <n v="20310"/>
    <s v="boy|bully|dream|dream sequence|planet"/>
    <n v="177"/>
    <x v="0"/>
    <x v="0"/>
    <n v="50000000"/>
    <x v="25"/>
    <x v="51"/>
    <n v="50000000"/>
    <n v="39177541"/>
    <x v="1720"/>
    <x v="1722"/>
    <x v="1"/>
  </r>
  <r>
    <x v="53"/>
    <n v="211"/>
    <n v="25863915"/>
    <s v="Action|Crime|Mystery|Thriller"/>
    <s v="Cicely Tyson"/>
    <x v="1723"/>
    <n v="28257"/>
    <s v="assassin|detective|partner|police|serial killer"/>
    <n v="151"/>
    <x v="0"/>
    <x v="0"/>
    <n v="35000000"/>
    <x v="28"/>
    <x v="37"/>
    <n v="35000000"/>
    <n v="25863915"/>
    <x v="1721"/>
    <x v="1723"/>
    <x v="1"/>
  </r>
  <r>
    <x v="1063"/>
    <n v="56"/>
    <n v="6387"/>
    <s v="Comedy|Drama|Sci-Fi"/>
    <s v="Michael Rapaport"/>
    <x v="1724"/>
    <n v="4862"/>
    <s v="dream sequence|locked in a room|looking at self in mirror|medication|superhero"/>
    <n v="37"/>
    <x v="0"/>
    <x v="0"/>
    <n v="1000000"/>
    <x v="7"/>
    <x v="31"/>
    <n v="1000000"/>
    <n v="6387"/>
    <x v="1722"/>
    <x v="1724"/>
    <x v="4"/>
  </r>
  <r>
    <x v="769"/>
    <n v="52"/>
    <n v="26400000"/>
    <s v="Adventure|Drama|History"/>
    <s v="Richard Wilson"/>
    <x v="1725"/>
    <n v="12980"/>
    <s v="doctor|english|india|magistrate|mosque"/>
    <n v="89"/>
    <x v="0"/>
    <x v="2"/>
    <n v="16000000"/>
    <x v="17"/>
    <x v="39"/>
    <n v="20566399.999999899"/>
    <n v="33934560"/>
    <x v="1723"/>
    <x v="1725"/>
    <x v="0"/>
  </r>
  <r>
    <x v="1064"/>
    <n v="230"/>
    <n v="13034417"/>
    <s v="Drama|Sport"/>
    <s v="Daniel Stern"/>
    <x v="1726"/>
    <n v="55665"/>
    <s v="beauty pageant|friend|pageant|roller derby|texas"/>
    <n v="118"/>
    <x v="0"/>
    <x v="0"/>
    <n v="15000000"/>
    <x v="16"/>
    <x v="31"/>
    <n v="15000000"/>
    <n v="13034417"/>
    <x v="1724"/>
    <x v="1726"/>
    <x v="5"/>
  </r>
  <r>
    <x v="1065"/>
    <n v="18"/>
    <n v="1277257"/>
    <s v="Comedy|Drama|Romance"/>
    <s v="Kevin Corrigan"/>
    <x v="1727"/>
    <n v="2629"/>
    <s v="briefs|cancer|cat|cult film|friend"/>
    <n v="32"/>
    <x v="0"/>
    <x v="2"/>
    <n v="1000000"/>
    <x v="10"/>
    <x v="22"/>
    <n v="1285399.99999999"/>
    <n v="1641786.1477999999"/>
    <x v="1725"/>
    <x v="1727"/>
    <x v="4"/>
  </r>
  <r>
    <x v="209"/>
    <n v="328"/>
    <n v="377019252"/>
    <s v="Action|Adventure|Drama|Fantasy"/>
    <s v="Orlando Bloom"/>
    <x v="1728"/>
    <n v="1215718"/>
    <s v="battle|epic|king|orc|ring"/>
    <n v="3189"/>
    <x v="0"/>
    <x v="0"/>
    <n v="94000000"/>
    <x v="19"/>
    <x v="6"/>
    <n v="94000000"/>
    <n v="377019252"/>
    <x v="1726"/>
    <x v="1728"/>
    <x v="1"/>
  </r>
  <r>
    <x v="435"/>
    <n v="179"/>
    <n v="162001186"/>
    <s v="Comedy"/>
    <s v="Steve Buscemi"/>
    <x v="1729"/>
    <n v="181443"/>
    <s v="basketball|coach|daughter|high school|high school basketball"/>
    <n v="311"/>
    <x v="0"/>
    <x v="0"/>
    <n v="80000000"/>
    <x v="11"/>
    <x v="11"/>
    <n v="80000000"/>
    <n v="162001186"/>
    <x v="1727"/>
    <x v="1729"/>
    <x v="4"/>
  </r>
  <r>
    <x v="1066"/>
    <n v="50"/>
    <n v="96793"/>
    <s v="Action|Comedy|Romance"/>
    <s v="Jordana Brewster"/>
    <x v="1730"/>
    <n v="12188"/>
    <s v="1959 cadillac|diamonds|female villain|force field|voyeurism"/>
    <n v="135"/>
    <x v="0"/>
    <x v="0"/>
    <n v="3500000"/>
    <x v="2"/>
    <x v="1"/>
    <n v="3500000"/>
    <n v="96793"/>
    <x v="1728"/>
    <x v="1730"/>
    <x v="1"/>
  </r>
  <r>
    <x v="509"/>
    <n v="50"/>
    <n v="153665036"/>
    <s v="Action|Comedy|Crime|Thriller"/>
    <s v="Dean Stockwell"/>
    <x v="1731"/>
    <n v="84824"/>
    <s v="detective|police|police chief|robbery|tall woman"/>
    <n v="95"/>
    <x v="0"/>
    <x v="0"/>
    <n v="28000000"/>
    <x v="21"/>
    <x v="24"/>
    <n v="28000000"/>
    <n v="153665036"/>
    <x v="1729"/>
    <x v="1731"/>
    <x v="1"/>
  </r>
  <r>
    <x v="882"/>
    <n v="673"/>
    <n v="330249062"/>
    <s v="Action|Adventure|Sci-Fi"/>
    <s v="Henry Cavill"/>
    <x v="1732"/>
    <n v="371639"/>
    <s v="based on comic book|batman|sequel to a reboot|superhero|superman"/>
    <n v="3018"/>
    <x v="0"/>
    <x v="0"/>
    <n v="250000000"/>
    <x v="24"/>
    <x v="31"/>
    <n v="250000000"/>
    <n v="330249062"/>
    <x v="1730"/>
    <x v="1732"/>
    <x v="1"/>
  </r>
  <r>
    <x v="1067"/>
    <n v="9"/>
    <n v="31937"/>
    <s v="Comedy|Romance"/>
    <s v="Tori Spelling"/>
    <x v="1733"/>
    <n v="1358"/>
    <s v="best friend|high school|love|secret|wedding"/>
    <n v="10"/>
    <x v="0"/>
    <x v="0"/>
    <n v="500000"/>
    <x v="15"/>
    <x v="35"/>
    <n v="500000"/>
    <n v="31937"/>
    <x v="1731"/>
    <x v="1733"/>
    <x v="4"/>
  </r>
  <r>
    <x v="26"/>
    <n v="420"/>
    <n v="38176892"/>
    <s v="Horror|Mystery"/>
    <s v="Alison Brie"/>
    <x v="1734"/>
    <n v="104119"/>
    <s v="author|book|deputy|murder|sheriff"/>
    <n v="518"/>
    <x v="0"/>
    <x v="0"/>
    <n v="40000000"/>
    <x v="22"/>
    <x v="5"/>
    <n v="40000000"/>
    <n v="38176892"/>
    <x v="1732"/>
    <x v="1734"/>
    <x v="6"/>
  </r>
  <r>
    <x v="141"/>
    <n v="81"/>
    <n v="40485039"/>
    <s v="Adventure|Comedy|Music|Sci-Fi"/>
    <s v="Keanu Reeves"/>
    <x v="1735"/>
    <n v="85362"/>
    <s v="failing student|high school|payphone|teenager|telephone booth"/>
    <n v="181"/>
    <x v="0"/>
    <x v="0"/>
    <n v="10000000"/>
    <x v="26"/>
    <x v="31"/>
    <n v="10000000"/>
    <n v="40485039"/>
    <x v="1733"/>
    <x v="1735"/>
    <x v="0"/>
  </r>
  <r>
    <x v="595"/>
    <n v="251"/>
    <n v="148734225"/>
    <s v="Comedy|Romance"/>
    <s v="Harold Ramis"/>
    <x v="1736"/>
    <n v="298590"/>
    <s v="one night stand|pregnancy|slacker|unplanned pregnancy|website"/>
    <n v="559"/>
    <x v="0"/>
    <x v="0"/>
    <n v="30000000"/>
    <x v="15"/>
    <x v="16"/>
    <n v="30000000"/>
    <n v="148734225"/>
    <x v="1734"/>
    <x v="1736"/>
    <x v="4"/>
  </r>
  <r>
    <x v="469"/>
    <n v="343"/>
    <n v="128505958"/>
    <s v="Comedy"/>
    <s v="Luenell"/>
    <x v="1737"/>
    <n v="297014"/>
    <s v="california|city|kazakhstan|travel|tv reporter"/>
    <n v="1198"/>
    <x v="0"/>
    <x v="0"/>
    <n v="18000000"/>
    <x v="7"/>
    <x v="4"/>
    <n v="18000000"/>
    <n v="128505958"/>
    <x v="1735"/>
    <x v="1737"/>
    <x v="4"/>
  </r>
  <r>
    <x v="402"/>
    <n v="299"/>
    <n v="34180954"/>
    <s v="Drama|Romance"/>
    <s v="Kate Winslet"/>
    <x v="1738"/>
    <n v="189812"/>
    <s v="love|reading|teaching oneself to read|trial|war crime"/>
    <n v="370"/>
    <x v="0"/>
    <x v="0"/>
    <n v="32000000"/>
    <x v="20"/>
    <x v="10"/>
    <n v="32000000"/>
    <n v="34180954"/>
    <x v="1736"/>
    <x v="1738"/>
    <x v="5"/>
  </r>
  <r>
    <x v="787"/>
    <n v="36"/>
    <n v="10246600"/>
    <s v="Comedy|Drama|Romance"/>
    <s v="Shari Albert"/>
    <x v="1739"/>
    <n v="6375"/>
    <s v="abusive father|critically acclaimed|loss of father|love|true love"/>
    <n v="36"/>
    <x v="0"/>
    <x v="0"/>
    <n v="25000"/>
    <x v="33"/>
    <x v="14"/>
    <n v="25000"/>
    <n v="10246600"/>
    <x v="1737"/>
    <x v="1739"/>
    <x v="4"/>
  </r>
  <r>
    <x v="607"/>
    <n v="57"/>
    <n v="219200000"/>
    <s v="Comedy|Drama|Family|Romance"/>
    <s v="Robin Williams"/>
    <x v="1740"/>
    <n v="181380"/>
    <s v="actor|based on novel|fancy restaurant|male actor playing a female character|party"/>
    <n v="223"/>
    <x v="0"/>
    <x v="0"/>
    <n v="25000000"/>
    <x v="23"/>
    <x v="31"/>
    <n v="25000000"/>
    <n v="219200000"/>
    <x v="1738"/>
    <x v="1740"/>
    <x v="4"/>
  </r>
  <r>
    <x v="1068"/>
    <n v="409"/>
    <n v="107917283"/>
    <s v="Horror"/>
    <s v="Micah Sloat"/>
    <x v="1741"/>
    <n v="184824"/>
    <s v="dark force|entity|evil force|found footage|paranormal phenomenon"/>
    <n v="1189"/>
    <x v="0"/>
    <x v="0"/>
    <n v="15000"/>
    <x v="15"/>
    <x v="23"/>
    <n v="15000"/>
    <n v="107917283"/>
    <x v="1739"/>
    <x v="1741"/>
    <x v="6"/>
  </r>
  <r>
    <x v="1069"/>
    <n v="311"/>
    <n v="40990055"/>
    <s v="Drama|Horror|Thriller"/>
    <s v="Caleb Landry Jones"/>
    <x v="1742"/>
    <n v="41509"/>
    <s v="cult film|documentary crew|exorcism|found footage|satanic ritual"/>
    <n v="300"/>
    <x v="0"/>
    <x v="8"/>
    <n v="1800000"/>
    <x v="11"/>
    <x v="15"/>
    <n v="1952532"/>
    <n v="44463552.260700002"/>
    <x v="1740"/>
    <x v="1742"/>
    <x v="5"/>
  </r>
  <r>
    <x v="226"/>
    <n v="75"/>
    <n v="82301521"/>
    <s v="Adventure|Comedy|Family|Romance"/>
    <s v="Nia Long"/>
    <x v="1743"/>
    <n v="22679"/>
    <s v="car fire|children|cockroach|independent film|new year"/>
    <n v="149"/>
    <x v="0"/>
    <x v="0"/>
    <n v="32000000"/>
    <x v="25"/>
    <x v="34"/>
    <n v="32000000"/>
    <n v="82301521"/>
    <x v="1741"/>
    <x v="1743"/>
    <x v="0"/>
  </r>
  <r>
    <x v="1070"/>
    <n v="72"/>
    <n v="57750000"/>
    <s v="Biography|Drama|History|Romance"/>
    <s v="Martin Landau"/>
    <x v="1744"/>
    <n v="21554"/>
    <s v="cleopatra|egypt|epic|queen|roman empire"/>
    <n v="192"/>
    <x v="0"/>
    <x v="2"/>
    <n v="31115000"/>
    <x v="41"/>
    <x v="16"/>
    <n v="39995220.999999903"/>
    <n v="74231850"/>
    <x v="1742"/>
    <x v="1744"/>
    <x v="2"/>
  </r>
  <r>
    <x v="1071"/>
    <n v="322"/>
    <n v="37738400"/>
    <s v="Drama"/>
    <s v="Benedict Cumberbatch"/>
    <x v="1745"/>
    <n v="67797"/>
    <s v="based on play|incestuous relationship|pedophilia|secret|teenage daughter"/>
    <n v="285"/>
    <x v="0"/>
    <x v="0"/>
    <n v="25000000"/>
    <x v="0"/>
    <x v="4"/>
    <n v="25000000"/>
    <n v="37738400"/>
    <x v="1743"/>
    <x v="1745"/>
    <x v="5"/>
  </r>
  <r>
    <x v="1072"/>
    <n v="469"/>
    <n v="172051787"/>
    <s v="Action|Adventure|Sci-Fi"/>
    <s v="Jeff Bridges"/>
    <x v="1746"/>
    <n v="264186"/>
    <s v="arcade|bridge|disappearance|escape|warrior"/>
    <n v="665"/>
    <x v="0"/>
    <x v="0"/>
    <n v="170000000"/>
    <x v="11"/>
    <x v="22"/>
    <n v="170000000"/>
    <n v="172051787"/>
    <x v="1744"/>
    <x v="1746"/>
    <x v="1"/>
  </r>
  <r>
    <x v="33"/>
    <n v="315"/>
    <n v="658672302"/>
    <s v="Drama|Romance"/>
    <s v="Leonardo DiCaprio"/>
    <x v="1747"/>
    <n v="793059"/>
    <s v="artist|love|ship|titanic|wet"/>
    <n v="2528"/>
    <x v="0"/>
    <x v="0"/>
    <n v="200000000"/>
    <x v="31"/>
    <x v="9"/>
    <n v="200000000"/>
    <n v="658672302"/>
    <x v="1745"/>
    <x v="1747"/>
    <x v="5"/>
  </r>
  <r>
    <x v="1073"/>
    <n v="393"/>
    <n v="71588220"/>
    <s v="Fantasy|Horror"/>
    <s v="Javier Botet"/>
    <x v="1748"/>
    <n v="134869"/>
    <s v="aunt|children|death of sister|forest|hiding in a closet"/>
    <n v="304"/>
    <x v="0"/>
    <x v="9"/>
    <n v="20000000"/>
    <x v="0"/>
    <x v="5"/>
    <n v="14468100"/>
    <n v="51787276.289099999"/>
    <x v="1746"/>
    <x v="1748"/>
    <x v="9"/>
  </r>
  <r>
    <x v="744"/>
    <n v="490"/>
    <n v="144812796"/>
    <s v="Drama|Romance"/>
    <s v="Leonardo DiCaprio"/>
    <x v="1712"/>
    <n v="362933"/>
    <s v="ingratitude|mansion|party|title appears in writing|tragedy"/>
    <n v="753"/>
    <x v="0"/>
    <x v="3"/>
    <n v="105000000"/>
    <x v="0"/>
    <x v="4"/>
    <n v="68657400"/>
    <n v="94690191.048480004"/>
    <x v="1710"/>
    <x v="1712"/>
    <x v="5"/>
  </r>
  <r>
    <x v="1074"/>
    <n v="42"/>
    <n v="36000000"/>
    <s v="Drama|History"/>
    <s v="Richard Burton"/>
    <x v="1749"/>
    <n v="6359"/>
    <s v="box office hit|crucifixion|nightmare|palestine|robe"/>
    <n v="69"/>
    <x v="0"/>
    <x v="0"/>
    <n v="5000000"/>
    <x v="63"/>
    <x v="22"/>
    <n v="5000000"/>
    <n v="36000000"/>
    <x v="1747"/>
    <x v="1749"/>
    <x v="5"/>
  </r>
  <r>
    <x v="32"/>
    <n v="370"/>
    <n v="35287788"/>
    <s v="Animation|Comedy|Family|Horror|Sci-Fi"/>
    <s v="Martin Landau"/>
    <x v="1750"/>
    <n v="73886"/>
    <s v="dog|life|remake by original director|science|stop motion animation"/>
    <n v="165"/>
    <x v="0"/>
    <x v="0"/>
    <n v="39000000"/>
    <x v="28"/>
    <x v="16"/>
    <n v="39000000"/>
    <n v="35287788"/>
    <x v="1748"/>
    <x v="1750"/>
    <x v="8"/>
  </r>
  <r>
    <x v="1075"/>
    <n v="195"/>
    <n v="4231500"/>
    <s v="Drama|Romance"/>
    <s v="Nawazuddin Siddiqui"/>
    <x v="1751"/>
    <n v="30479"/>
    <s v="delivery|delivery to wrong address|lunchbox|open ended|unconventional romance"/>
    <n v="162"/>
    <x v="5"/>
    <x v="10"/>
    <n v="1000000"/>
    <x v="0"/>
    <x v="38"/>
    <n v="11941.46"/>
    <n v="50530.287989999997"/>
    <x v="1749"/>
    <x v="1751"/>
    <x v="5"/>
  </r>
  <r>
    <x v="1076"/>
    <n v="35"/>
    <n v="4394936"/>
    <s v="Comedy|Drama|Fantasy|Romance"/>
    <s v="Sarah Michelle Gellar"/>
    <x v="1752"/>
    <n v="11439"/>
    <s v="chef|female chef|love|magic|restaurant"/>
    <n v="190"/>
    <x v="0"/>
    <x v="5"/>
    <n v="6000000"/>
    <x v="12"/>
    <x v="1"/>
    <n v="6508440"/>
    <n v="4767362.8766400004"/>
    <x v="1750"/>
    <x v="1752"/>
    <x v="4"/>
  </r>
  <r>
    <x v="24"/>
    <n v="50"/>
    <n v="105444419"/>
    <s v="Comedy"/>
    <s v="Stockard Channing"/>
    <x v="1753"/>
    <n v="31817"/>
    <s v="cult film|female therapist|revenge|revenge motive|therapy session"/>
    <n v="117"/>
    <x v="0"/>
    <x v="0"/>
    <n v="26000000"/>
    <x v="10"/>
    <x v="5"/>
    <n v="26000000"/>
    <n v="105444419"/>
    <x v="1751"/>
    <x v="1753"/>
    <x v="4"/>
  </r>
  <r>
    <x v="1077"/>
    <n v="155"/>
    <n v="24362501"/>
    <s v="Crime|Drama|Thriller"/>
    <s v="Jeff Bridges"/>
    <x v="1754"/>
    <n v="69980"/>
    <s v="death|fbi|fbi agent|neighbor|professor"/>
    <n v="591"/>
    <x v="0"/>
    <x v="0"/>
    <n v="21500000"/>
    <x v="12"/>
    <x v="33"/>
    <n v="21500000"/>
    <n v="24362501"/>
    <x v="1752"/>
    <x v="1754"/>
    <x v="3"/>
  </r>
  <r>
    <x v="1078"/>
    <n v="5"/>
    <n v="125169"/>
    <s v="Comedy|Drama"/>
    <s v="Ricky Schroder"/>
    <x v="1755"/>
    <n v="859"/>
    <s v="high school|love|police|showdown|surfer"/>
    <n v="31"/>
    <x v="0"/>
    <x v="0"/>
    <n v="10500000"/>
    <x v="5"/>
    <x v="24"/>
    <n v="10500000"/>
    <n v="125169"/>
    <x v="1753"/>
    <x v="1755"/>
    <x v="4"/>
  </r>
  <r>
    <x v="580"/>
    <n v="256"/>
    <n v="121463226"/>
    <s v="Comedy"/>
    <s v="Emma Stone"/>
    <x v="1756"/>
    <n v="422606"/>
    <s v="black comedy|bromance|party|school|teen comedy"/>
    <n v="555"/>
    <x v="0"/>
    <x v="0"/>
    <n v="20000000"/>
    <x v="15"/>
    <x v="10"/>
    <n v="20000000"/>
    <n v="121463226"/>
    <x v="1754"/>
    <x v="1756"/>
    <x v="4"/>
  </r>
  <r>
    <x v="1079"/>
    <n v="147"/>
    <n v="40846082"/>
    <s v="Horror|Mystery|Thriller"/>
    <s v="Jeffrey Combs"/>
    <x v="1757"/>
    <n v="45317"/>
    <s v="billionaire|corpse|eccentric|haunted hospital|haunted house"/>
    <n v="536"/>
    <x v="0"/>
    <x v="0"/>
    <n v="19000000"/>
    <x v="12"/>
    <x v="15"/>
    <n v="19000000"/>
    <n v="40846082"/>
    <x v="1755"/>
    <x v="1757"/>
    <x v="6"/>
  </r>
  <r>
    <x v="1080"/>
    <n v="63"/>
    <n v="63071133"/>
    <s v="Adventure|Animation|Comedy|Crime"/>
    <s v="Bruce Willis"/>
    <x v="1758"/>
    <n v="42892"/>
    <s v="beavis and butt head|fbi|score|television|television set"/>
    <n v="154"/>
    <x v="0"/>
    <x v="0"/>
    <n v="12000000"/>
    <x v="10"/>
    <x v="22"/>
    <n v="12000000"/>
    <n v="63071133"/>
    <x v="1756"/>
    <x v="1758"/>
    <x v="0"/>
  </r>
  <r>
    <x v="367"/>
    <n v="28"/>
    <n v="1646664"/>
    <s v="Comedy|Music"/>
    <s v="Damon Wayans"/>
    <x v="1759"/>
    <n v="4518"/>
    <s v="female protagonist|hip hop|jewish american princess|rapper|record label"/>
    <n v="66"/>
    <x v="0"/>
    <x v="0"/>
    <n v="20000000"/>
    <x v="19"/>
    <x v="58"/>
    <n v="20000000"/>
    <n v="1646664"/>
    <x v="1757"/>
    <x v="1759"/>
    <x v="4"/>
  </r>
  <r>
    <x v="179"/>
    <n v="196"/>
    <n v="54414716"/>
    <s v="Comedy|Crime"/>
    <s v="Kevin Spacey"/>
    <x v="1760"/>
    <n v="114294"/>
    <s v="kidnapping|reference to franz beckenbauer|scene during end credits|second part|singing in a car"/>
    <n v="187"/>
    <x v="0"/>
    <x v="0"/>
    <n v="42000000"/>
    <x v="27"/>
    <x v="23"/>
    <n v="42000000"/>
    <n v="54414716"/>
    <x v="1758"/>
    <x v="1760"/>
    <x v="4"/>
  </r>
  <r>
    <x v="1081"/>
    <n v="81"/>
    <n v="15464026"/>
    <s v="Comedy|Romance"/>
    <s v="Andy Dick"/>
    <x v="1761"/>
    <n v="23076"/>
    <s v="college|loser|love|new york city|overdose"/>
    <n v="158"/>
    <x v="0"/>
    <x v="0"/>
    <n v="20000000"/>
    <x v="4"/>
    <x v="1"/>
    <n v="20000000"/>
    <n v="15464026"/>
    <x v="1759"/>
    <x v="1761"/>
    <x v="4"/>
  </r>
  <r>
    <x v="157"/>
    <n v="144"/>
    <n v="109993847"/>
    <s v="Comedy|Family|Fantasy|Romance"/>
    <s v="Adam Sandler"/>
    <x v="1762"/>
    <n v="72326"/>
    <s v="2000s|bedtime story|elephant|handyman|tween girl"/>
    <n v="116"/>
    <x v="0"/>
    <x v="0"/>
    <n v="80000000"/>
    <x v="20"/>
    <x v="7"/>
    <n v="80000000"/>
    <n v="109993847"/>
    <x v="1760"/>
    <x v="1762"/>
    <x v="4"/>
  </r>
  <r>
    <x v="1082"/>
    <n v="36"/>
    <n v="117560"/>
    <s v="Drama|Romance"/>
    <s v="Tim Blake Nelson"/>
    <x v="1763"/>
    <n v="2330"/>
    <s v="church|drink|knocking on a door|love|three word title"/>
    <n v="29"/>
    <x v="0"/>
    <x v="0"/>
    <n v="6000000"/>
    <x v="7"/>
    <x v="5"/>
    <n v="6000000"/>
    <n v="117560"/>
    <x v="1761"/>
    <x v="1763"/>
    <x v="5"/>
  </r>
  <r>
    <x v="377"/>
    <n v="56"/>
    <n v="8406264"/>
    <s v="Comedy|Drama|Romance"/>
    <s v="Angelina Jolie Pitt"/>
    <x v="1764"/>
    <n v="24826"/>
    <s v="air traffic control|air traffic controller|female bodybuilder|job|marriage"/>
    <n v="175"/>
    <x v="0"/>
    <x v="0"/>
    <n v="38000000"/>
    <x v="12"/>
    <x v="11"/>
    <n v="38000000"/>
    <n v="8406264"/>
    <x v="1762"/>
    <x v="1764"/>
    <x v="4"/>
  </r>
  <r>
    <x v="1083"/>
    <n v="36"/>
    <n v="1686429"/>
    <s v="Action|Crime|Sci-Fi"/>
    <s v="Charles Napier"/>
    <x v="1765"/>
    <n v="8687"/>
    <s v="fight|gang|junkyard|military|soldier"/>
    <n v="62"/>
    <x v="0"/>
    <x v="0"/>
    <n v="16000000"/>
    <x v="31"/>
    <x v="58"/>
    <n v="16000000"/>
    <n v="1686429"/>
    <x v="1763"/>
    <x v="1765"/>
    <x v="1"/>
  </r>
  <r>
    <x v="1084"/>
    <n v="99"/>
    <n v="71442"/>
    <s v="Animation|Comedy|Crime|Drama|Family"/>
    <s v="Mackenzie Foy"/>
    <x v="1766"/>
    <n v="12029"/>
    <s v="bear|dentist|friendship|mouse|prejudice"/>
    <n v="32"/>
    <x v="4"/>
    <x v="8"/>
    <n v="9600000"/>
    <x v="28"/>
    <x v="19"/>
    <n v="10413504"/>
    <n v="77495.995079999993"/>
    <x v="1764"/>
    <x v="1766"/>
    <x v="8"/>
  </r>
  <r>
    <x v="1085"/>
    <n v="185"/>
    <n v="34468224"/>
    <s v="Biography|Crime|Drama|Thriller"/>
    <s v="Charlize Theron"/>
    <x v="1767"/>
    <n v="105568"/>
    <s v="beach|female criminal|hooker|lesbian|prostitute"/>
    <n v="533"/>
    <x v="0"/>
    <x v="0"/>
    <n v="4500000"/>
    <x v="19"/>
    <x v="4"/>
    <n v="4500000"/>
    <n v="34468224"/>
    <x v="1765"/>
    <x v="1767"/>
    <x v="2"/>
  </r>
  <r>
    <x v="480"/>
    <n v="159"/>
    <n v="131536019"/>
    <s v="Adventure|Animation|Comedy|Family|Musical"/>
    <s v="Miguel Ferrer"/>
    <x v="1768"/>
    <n v="58498"/>
    <s v="amazon|bird|father in law|jungle|no opening credits"/>
    <n v="99"/>
    <x v="0"/>
    <x v="0"/>
    <n v="103000000"/>
    <x v="27"/>
    <x v="24"/>
    <n v="103000000"/>
    <n v="131536019"/>
    <x v="1766"/>
    <x v="1768"/>
    <x v="0"/>
  </r>
  <r>
    <x v="1086"/>
    <n v="145"/>
    <n v="102300000"/>
    <s v="Comedy|Family|Fantasy|Musical"/>
    <s v="Ed Wynn"/>
    <x v="1769"/>
    <n v="107408"/>
    <s v="banker|female protagonist|live action and animation|magic|nanny"/>
    <n v="259"/>
    <x v="0"/>
    <x v="0"/>
    <n v="6000000"/>
    <x v="3"/>
    <x v="38"/>
    <n v="6000000"/>
    <n v="102300000"/>
    <x v="1767"/>
    <x v="1769"/>
    <x v="4"/>
  </r>
  <r>
    <x v="1087"/>
    <n v="50"/>
    <n v="101228"/>
    <s v="Comedy|Drama"/>
    <s v="Zooey Deschanel"/>
    <x v="1770"/>
    <n v="7228"/>
    <s v="love|michigan|musician|novelist|student"/>
    <n v="53"/>
    <x v="0"/>
    <x v="0"/>
    <n v="3500000"/>
    <x v="25"/>
    <x v="24"/>
    <n v="3500000"/>
    <n v="101228"/>
    <x v="1768"/>
    <x v="1770"/>
    <x v="4"/>
  </r>
  <r>
    <x v="396"/>
    <n v="146"/>
    <n v="56932305"/>
    <s v="Action|Adventure|Comedy|Western"/>
    <s v="Xander Berkeley"/>
    <x v="1771"/>
    <n v="96690"/>
    <s v="19th century|chinese|princess|rescue|travel"/>
    <n v="293"/>
    <x v="0"/>
    <x v="0"/>
    <n v="55000000"/>
    <x v="4"/>
    <x v="14"/>
    <n v="55000000"/>
    <n v="56932305"/>
    <x v="1769"/>
    <x v="1771"/>
    <x v="1"/>
  </r>
  <r>
    <x v="91"/>
    <n v="211"/>
    <n v="53302314"/>
    <s v="Horror|Thriller"/>
    <s v="Daniel Roebuck"/>
    <x v="1772"/>
    <n v="181058"/>
    <s v="dead teenager|death|explosion|premonition|teenager"/>
    <n v="674"/>
    <x v="0"/>
    <x v="0"/>
    <n v="23000000"/>
    <x v="4"/>
    <x v="21"/>
    <n v="23000000"/>
    <n v="53302314"/>
    <x v="1770"/>
    <x v="1772"/>
    <x v="6"/>
  </r>
  <r>
    <x v="429"/>
    <n v="331"/>
    <n v="32391374"/>
    <s v="Comedy|Drama|Romance"/>
    <s v="Joseph Gordon-Levitt"/>
    <x v="1773"/>
    <n v="376600"/>
    <s v="friend|greeting card|office|summer|true love"/>
    <n v="494"/>
    <x v="0"/>
    <x v="0"/>
    <n v="7500000"/>
    <x v="16"/>
    <x v="9"/>
    <n v="7500000"/>
    <n v="32391374"/>
    <x v="1771"/>
    <x v="1773"/>
    <x v="4"/>
  </r>
  <r>
    <x v="756"/>
    <n v="131"/>
    <n v="53680848"/>
    <s v="Drama|Romance"/>
    <s v="Gerard Butler"/>
    <x v="1774"/>
    <n v="167967"/>
    <s v="birthday|friendship|hairy chest|letter|widow"/>
    <n v="243"/>
    <x v="0"/>
    <x v="0"/>
    <n v="30000000"/>
    <x v="15"/>
    <x v="17"/>
    <n v="30000000"/>
    <n v="53680848"/>
    <x v="1772"/>
    <x v="1774"/>
    <x v="5"/>
  </r>
  <r>
    <x v="448"/>
    <n v="125"/>
    <n v="71017784"/>
    <s v="Adventure|Animation|Comedy|Family|Fantasy"/>
    <s v="Jacob Tremblay"/>
    <x v="1775"/>
    <n v="27257"/>
    <s v="based on cartoon|box office hit|no opening credits|sequel|smurf"/>
    <n v="59"/>
    <x v="0"/>
    <x v="0"/>
    <n v="105000000"/>
    <x v="0"/>
    <x v="26"/>
    <n v="105000000"/>
    <n v="71017784"/>
    <x v="1773"/>
    <x v="1775"/>
    <x v="0"/>
  </r>
  <r>
    <x v="320"/>
    <n v="302"/>
    <n v="309404152"/>
    <s v="Action|Adventure|Fantasy"/>
    <s v="Johnny Depp"/>
    <x v="1776"/>
    <n v="471220"/>
    <s v="goddess|marriage ceremony|marriage proposal|pirate|singapore"/>
    <n v="1238"/>
    <x v="0"/>
    <x v="0"/>
    <n v="300000000"/>
    <x v="15"/>
    <x v="17"/>
    <n v="300000000"/>
    <n v="309404152"/>
    <x v="1774"/>
    <x v="1776"/>
    <x v="1"/>
  </r>
  <r>
    <x v="1061"/>
    <n v="584"/>
    <n v="13303319"/>
    <s v="Drama|Fantasy"/>
    <s v="Brad Pitt"/>
    <x v="1777"/>
    <n v="136367"/>
    <s v="1950s|children|ice cube|texas|waco texas"/>
    <n v="975"/>
    <x v="0"/>
    <x v="0"/>
    <n v="32000000"/>
    <x v="22"/>
    <x v="21"/>
    <n v="32000000"/>
    <n v="13303319"/>
    <x v="1775"/>
    <x v="1777"/>
    <x v="5"/>
  </r>
  <r>
    <x v="1088"/>
    <n v="135"/>
    <n v="13395939"/>
    <s v="Comedy|Drama|Romance"/>
    <s v="Omar Epps"/>
    <x v="1778"/>
    <n v="43442"/>
    <s v="best friend|commitment|friend|limousine driver|one night stand"/>
    <n v="146"/>
    <x v="0"/>
    <x v="2"/>
    <n v="60000000"/>
    <x v="2"/>
    <x v="5"/>
    <n v="77124000"/>
    <n v="17219139.9905999"/>
    <x v="1776"/>
    <x v="1778"/>
    <x v="4"/>
  </r>
  <r>
    <x v="391"/>
    <n v="117"/>
    <n v="28328132"/>
    <s v="Action|Comedy|Crime|Drama"/>
    <s v="Salma Hayek"/>
    <x v="1779"/>
    <n v="38298"/>
    <s v="diamond|fbi|fbi agent|island|thief"/>
    <n v="147"/>
    <x v="0"/>
    <x v="0"/>
    <n v="58000000"/>
    <x v="2"/>
    <x v="23"/>
    <n v="58000000"/>
    <n v="28328132"/>
    <x v="1777"/>
    <x v="1779"/>
    <x v="1"/>
  </r>
  <r>
    <x v="498"/>
    <n v="38"/>
    <n v="3386698"/>
    <s v="Comedy|Drama|Romance"/>
    <s v="Philip Seymour Hoffman"/>
    <x v="1780"/>
    <n v="4195"/>
    <s v="love|marine biologist|nurse|personal ad|plumber"/>
    <n v="86"/>
    <x v="0"/>
    <x v="0"/>
    <n v="1000000"/>
    <x v="6"/>
    <x v="21"/>
    <n v="1000000"/>
    <n v="3386698"/>
    <x v="1778"/>
    <x v="1780"/>
    <x v="4"/>
  </r>
  <r>
    <x v="1089"/>
    <n v="87"/>
    <n v="1677838"/>
    <s v="Documentary"/>
    <s v="Ed Begley Jr."/>
    <x v="1781"/>
    <n v="11283"/>
    <s v="california|car|reference to ralph nader|technology|u.s. president"/>
    <n v="155"/>
    <x v="0"/>
    <x v="0"/>
    <n v="1000000"/>
    <x v="7"/>
    <x v="9"/>
    <n v="1000000"/>
    <n v="1677838"/>
    <x v="1779"/>
    <x v="1781"/>
    <x v="7"/>
  </r>
  <r>
    <x v="734"/>
    <n v="120"/>
    <n v="18472363"/>
    <s v="Action|Adventure|Crime|Thriller"/>
    <s v="Paul Walker"/>
    <x v="1782"/>
    <n v="63599"/>
    <s v="bahamas|blood splatter|cocaine|hairy chest|shark"/>
    <n v="208"/>
    <x v="0"/>
    <x v="0"/>
    <n v="50000000"/>
    <x v="25"/>
    <x v="30"/>
    <n v="50000000"/>
    <n v="18472363"/>
    <x v="1780"/>
    <x v="1782"/>
    <x v="1"/>
  </r>
  <r>
    <x v="1090"/>
    <n v="48"/>
    <n v="1227324"/>
    <s v="Crime|Drama"/>
    <s v="Isabella Rossellini"/>
    <x v="1783"/>
    <n v="6921"/>
    <s v="1930s|madness|murder|new york city|violence"/>
    <n v="48"/>
    <x v="0"/>
    <x v="0"/>
    <n v="12500000"/>
    <x v="10"/>
    <x v="14"/>
    <n v="12500000"/>
    <n v="1227324"/>
    <x v="1781"/>
    <x v="1783"/>
    <x v="3"/>
  </r>
  <r>
    <x v="909"/>
    <n v="100"/>
    <n v="1292119"/>
    <s v="Biography|Drama|Romance"/>
    <s v="Kate Winslet"/>
    <x v="1784"/>
    <n v="14786"/>
    <s v="alzheimer's disease|book|love|novelist|writer"/>
    <n v="144"/>
    <x v="0"/>
    <x v="2"/>
    <n v="5500000"/>
    <x v="9"/>
    <x v="17"/>
    <n v="7069699.9999999898"/>
    <n v="1660889.76259999"/>
    <x v="1782"/>
    <x v="1784"/>
    <x v="2"/>
  </r>
  <r>
    <x v="1091"/>
    <n v="2"/>
    <n v="800000"/>
    <s v="Adventure|Mystery|Thriller"/>
    <s v="Frank Langella"/>
    <x v="1785"/>
    <n v="892"/>
    <s v="bat|curse|egyptologist|mummy|murder"/>
    <n v="21"/>
    <x v="0"/>
    <x v="0"/>
    <n v="14000000"/>
    <x v="43"/>
    <x v="44"/>
    <n v="14000000"/>
    <n v="800000"/>
    <x v="1783"/>
    <x v="1785"/>
    <x v="0"/>
  </r>
  <r>
    <x v="1092"/>
    <n v="25"/>
    <n v="11797927"/>
    <s v="Comedy|Horror|Thriller"/>
    <s v="Corbin Bernsen"/>
    <x v="1786"/>
    <n v="4582"/>
    <s v="child abuse|death|drugs|ku klux klan|police brutality"/>
    <n v="52"/>
    <x v="0"/>
    <x v="0"/>
    <n v="6000000"/>
    <x v="33"/>
    <x v="7"/>
    <n v="6000000"/>
    <n v="11797927"/>
    <x v="1784"/>
    <x v="1786"/>
    <x v="4"/>
  </r>
  <r>
    <x v="637"/>
    <n v="387"/>
    <n v="143492840"/>
    <s v="Comedy|Drama|Romance"/>
    <s v="J.K. Simmons"/>
    <x v="1507"/>
    <n v="414335"/>
    <s v="adoption|baby|friend|pregnancy|school"/>
    <n v="881"/>
    <x v="0"/>
    <x v="0"/>
    <n v="7500000"/>
    <x v="15"/>
    <x v="2"/>
    <n v="7500000"/>
    <n v="143492840"/>
    <x v="1506"/>
    <x v="1507"/>
    <x v="4"/>
  </r>
  <r>
    <x v="203"/>
    <n v="185"/>
    <n v="177243721"/>
    <s v="Adventure|Comedy|Family|Fantasy"/>
    <s v="Robin Williams"/>
    <x v="1787"/>
    <n v="130272"/>
    <s v="hdtv|motorcycle|museum|security guard|tyrannosaurus rex"/>
    <n v="209"/>
    <x v="0"/>
    <x v="0"/>
    <n v="150000000"/>
    <x v="16"/>
    <x v="0"/>
    <n v="150000000"/>
    <n v="177243721"/>
    <x v="1785"/>
    <x v="1787"/>
    <x v="0"/>
  </r>
  <r>
    <x v="268"/>
    <n v="37"/>
    <n v="34308901"/>
    <s v="Comedy|Crime"/>
    <s v="Greg Grunberg"/>
    <x v="1788"/>
    <n v="15939"/>
    <s v="los angeles california|person in car trunk|racial impersonation|south asian|street gang"/>
    <n v="87"/>
    <x v="0"/>
    <x v="0"/>
    <n v="16000000"/>
    <x v="19"/>
    <x v="37"/>
    <n v="16000000"/>
    <n v="34308901"/>
    <x v="1786"/>
    <x v="1788"/>
    <x v="4"/>
  </r>
  <r>
    <x v="9"/>
    <n v="22"/>
    <n v="14545844"/>
    <s v="Comedy|Drama|Musical"/>
    <s v="Tisha Campbell-Martin"/>
    <x v="1789"/>
    <n v="4756"/>
    <s v="beauty salon|black college|college|fraternity|sorority"/>
    <n v="38"/>
    <x v="0"/>
    <x v="0"/>
    <n v="6500000"/>
    <x v="34"/>
    <x v="30"/>
    <n v="6500000"/>
    <n v="14545844"/>
    <x v="1787"/>
    <x v="1789"/>
    <x v="4"/>
  </r>
  <r>
    <x v="222"/>
    <n v="99"/>
    <n v="15561627"/>
    <s v="Drama"/>
    <s v="Ian Somerhalder"/>
    <x v="1790"/>
    <n v="39105"/>
    <s v="cancer|construction|house|house construction|neighbor"/>
    <n v="359"/>
    <x v="0"/>
    <x v="0"/>
    <n v="18000000"/>
    <x v="9"/>
    <x v="2"/>
    <n v="18000000"/>
    <n v="15561627"/>
    <x v="1788"/>
    <x v="1790"/>
    <x v="5"/>
  </r>
  <r>
    <x v="108"/>
    <n v="198"/>
    <n v="45089048"/>
    <s v="Drama|Romance|Sci-Fi"/>
    <s v="Jeff Bridges"/>
    <x v="1791"/>
    <n v="86251"/>
    <s v="black and white segues into color|color|community|dystopia|infanticide"/>
    <n v="260"/>
    <x v="0"/>
    <x v="25"/>
    <n v="25000000"/>
    <x v="27"/>
    <x v="20"/>
    <n v="1360862.5"/>
    <n v="2454399.7833560002"/>
    <x v="1789"/>
    <x v="1791"/>
    <x v="5"/>
  </r>
  <r>
    <x v="1093"/>
    <n v="180"/>
    <n v="31584722"/>
    <s v="Comedy|Romance"/>
    <s v="Mike Vogel"/>
    <x v="1792"/>
    <n v="101730"/>
    <s v="airport|airport security|confidence|iphone|love"/>
    <n v="131"/>
    <x v="0"/>
    <x v="0"/>
    <n v="20000000"/>
    <x v="11"/>
    <x v="24"/>
    <n v="20000000"/>
    <n v="31584722"/>
    <x v="1790"/>
    <x v="1792"/>
    <x v="4"/>
  </r>
  <r>
    <x v="141"/>
    <n v="86"/>
    <n v="14448589"/>
    <s v="Comedy|Romance"/>
    <s v="Angelina Jolie Pitt"/>
    <x v="1793"/>
    <n v="19364"/>
    <s v="football|homeless man|interview|psychic|reporter"/>
    <n v="128"/>
    <x v="0"/>
    <x v="0"/>
    <n v="40000000"/>
    <x v="13"/>
    <x v="30"/>
    <n v="40000000"/>
    <n v="14448589"/>
    <x v="1791"/>
    <x v="1793"/>
    <x v="4"/>
  </r>
  <r>
    <x v="1094"/>
    <n v="165"/>
    <n v="323505540"/>
    <s v="Animation|Comedy|Family"/>
    <s v="Steve Coogan"/>
    <x v="1794"/>
    <n v="24407"/>
    <s v="animal control|lost animal|mongrel|pet|terrier"/>
    <n v="155"/>
    <x v="0"/>
    <x v="15"/>
    <n v="75000000"/>
    <x v="24"/>
    <x v="22"/>
    <n v="487245"/>
    <n v="2101686.0911639999"/>
    <x v="1792"/>
    <x v="1794"/>
    <x v="8"/>
  </r>
  <r>
    <x v="1095"/>
    <n v="68"/>
    <n v="27441122"/>
    <s v="Drama|Romance|Sport"/>
    <s v="Alfre Woodard"/>
    <x v="1795"/>
    <n v="14322"/>
    <s v="basketball movie|female basketball player|high school|nba|title directed by female"/>
    <n v="116"/>
    <x v="0"/>
    <x v="0"/>
    <n v="15000000"/>
    <x v="4"/>
    <x v="33"/>
    <n v="15000000"/>
    <n v="27441122"/>
    <x v="1793"/>
    <x v="1795"/>
    <x v="5"/>
  </r>
  <r>
    <x v="203"/>
    <n v="247"/>
    <n v="98711404"/>
    <s v="Comedy|Crime|Romance|Thriller"/>
    <s v="Mila Kunis"/>
    <x v="1796"/>
    <n v="127571"/>
    <s v="city|new york city|night|reservation|restaurant"/>
    <n v="207"/>
    <x v="0"/>
    <x v="0"/>
    <n v="55000000"/>
    <x v="11"/>
    <x v="23"/>
    <n v="55000000"/>
    <n v="98711404"/>
    <x v="1794"/>
    <x v="1796"/>
    <x v="4"/>
  </r>
  <r>
    <x v="467"/>
    <n v="181"/>
    <n v="81638674"/>
    <s v="Action|Adventure|Comedy|Sci-Fi"/>
    <s v="Stephen Amell"/>
    <x v="1797"/>
    <n v="17533"/>
    <s v="based on comic book|brother brother relationship|rat|sequel|turtle"/>
    <n v="115"/>
    <x v="0"/>
    <x v="0"/>
    <n v="135000000"/>
    <x v="24"/>
    <x v="23"/>
    <n v="135000000"/>
    <n v="81638674"/>
    <x v="1795"/>
    <x v="1797"/>
    <x v="1"/>
  </r>
  <r>
    <x v="1096"/>
    <n v="63"/>
    <n v="16574731"/>
    <s v="Drama|Music"/>
    <s v="Salma Hayek"/>
    <x v="1798"/>
    <n v="27675"/>
    <s v="angel dust the drug|disco|new york city|quaalude|reference to princess grace of monaco"/>
    <n v="181"/>
    <x v="0"/>
    <x v="0"/>
    <n v="13000000"/>
    <x v="6"/>
    <x v="30"/>
    <n v="13000000"/>
    <n v="16574731"/>
    <x v="1796"/>
    <x v="1798"/>
    <x v="5"/>
  </r>
  <r>
    <x v="631"/>
    <n v="81"/>
    <n v="104148781"/>
    <s v="Comedy|Family"/>
    <s v="Anjelica Huston"/>
    <x v="1799"/>
    <n v="49486"/>
    <s v="bloopers during credits|breakfast cereal|department store ride|face painting|sponge bob square pants slippers"/>
    <n v="116"/>
    <x v="0"/>
    <x v="0"/>
    <n v="60000000"/>
    <x v="19"/>
    <x v="28"/>
    <n v="60000000"/>
    <n v="104148781"/>
    <x v="1797"/>
    <x v="1799"/>
    <x v="4"/>
  </r>
  <r>
    <x v="1097"/>
    <n v="256"/>
    <n v="103400692"/>
    <s v="Adventure|Animation|Family|Fantasy"/>
    <s v="Hugh Jackman"/>
    <x v="1800"/>
    <n v="123553"/>
    <s v="belief|box office hit|children|new york city|tooth"/>
    <n v="174"/>
    <x v="0"/>
    <x v="0"/>
    <n v="145000000"/>
    <x v="28"/>
    <x v="4"/>
    <n v="145000000"/>
    <n v="103400692"/>
    <x v="1798"/>
    <x v="1800"/>
    <x v="0"/>
  </r>
  <r>
    <x v="1098"/>
    <n v="9"/>
    <n v="7518876"/>
    <s v="Adventure|Documentary|Short"/>
    <s v="Charlotte Rampling"/>
    <x v="1801"/>
    <n v="172"/>
    <s v="3d in title|animal in title|digit in title|dolphin|manatee"/>
    <n v="5"/>
    <x v="0"/>
    <x v="2"/>
    <n v="6000000"/>
    <x v="20"/>
    <x v="20"/>
    <n v="7712399.9999999898"/>
    <n v="9664763.2103999909"/>
    <x v="1799"/>
    <x v="1801"/>
    <x v="0"/>
  </r>
  <r>
    <x v="1099"/>
    <n v="142"/>
    <n v="6061759"/>
    <s v="Comedy|Drama|Romance"/>
    <s v="Craig T. Nelson"/>
    <x v="1802"/>
    <n v="49077"/>
    <s v="christmas|cruelty|ring|secret|tension"/>
    <n v="475"/>
    <x v="0"/>
    <x v="0"/>
    <n v="17000000"/>
    <x v="25"/>
    <x v="23"/>
    <n v="17000000"/>
    <n v="6061759"/>
    <x v="1800"/>
    <x v="1802"/>
    <x v="4"/>
  </r>
  <r>
    <x v="263"/>
    <n v="112"/>
    <n v="5900000"/>
    <s v="Action|Adventure|Fantasy"/>
    <s v="Christopher Lambert"/>
    <x v="1803"/>
    <n v="98629"/>
    <s v="combat|head cut off|immortal|scotland|swordsman"/>
    <n v="316"/>
    <x v="0"/>
    <x v="2"/>
    <n v="16000000"/>
    <x v="18"/>
    <x v="33"/>
    <n v="20566399.999999899"/>
    <n v="7583859.9999999898"/>
    <x v="1801"/>
    <x v="1803"/>
    <x v="1"/>
  </r>
  <r>
    <x v="894"/>
    <n v="118"/>
    <n v="16123851"/>
    <s v="Drama"/>
    <s v="Romola Garai"/>
    <x v="1804"/>
    <n v="17373"/>
    <s v="aristocrat|english|painter|painting|singer"/>
    <n v="148"/>
    <x v="0"/>
    <x v="0"/>
    <n v="23000000"/>
    <x v="2"/>
    <x v="5"/>
    <n v="23000000"/>
    <n v="16123851"/>
    <x v="1802"/>
    <x v="1804"/>
    <x v="5"/>
  </r>
  <r>
    <x v="635"/>
    <n v="106"/>
    <n v="5755286"/>
    <s v="Drama|Romance|Sport"/>
    <s v="Robert Downey Jr."/>
    <x v="1805"/>
    <n v="18310"/>
    <s v="losing|poker|poker player|reference to frederic chopin|reference to johannes brahms"/>
    <n v="63"/>
    <x v="0"/>
    <x v="0"/>
    <n v="55000000"/>
    <x v="15"/>
    <x v="0"/>
    <n v="55000000"/>
    <n v="5755286"/>
    <x v="1803"/>
    <x v="1805"/>
    <x v="5"/>
  </r>
  <r>
    <x v="377"/>
    <n v="117"/>
    <n v="41954997"/>
    <s v="Biography|Crime|Drama"/>
    <s v="Johnny Depp"/>
    <x v="1806"/>
    <n v="225122"/>
    <s v="fbi|mafia|money|racial slur|singer"/>
    <n v="234"/>
    <x v="0"/>
    <x v="0"/>
    <n v="35000000"/>
    <x v="31"/>
    <x v="38"/>
    <n v="35000000"/>
    <n v="41954997"/>
    <x v="1804"/>
    <x v="1806"/>
    <x v="2"/>
  </r>
  <r>
    <x v="1100"/>
    <n v="121"/>
    <n v="35057332"/>
    <s v="Drama|Music|Romance"/>
    <s v="Ryan Guzman"/>
    <x v="1807"/>
    <n v="45394"/>
    <s v="3 dimensional|dance|dancer|dancing|flash mob"/>
    <n v="72"/>
    <x v="0"/>
    <x v="0"/>
    <n v="33000000"/>
    <x v="28"/>
    <x v="20"/>
    <n v="33000000"/>
    <n v="35057332"/>
    <x v="1805"/>
    <x v="1807"/>
    <x v="5"/>
  </r>
  <r>
    <x v="8"/>
    <n v="146"/>
    <n v="1190018"/>
    <s v="Action|Drama|Sci-Fi|Thriller"/>
    <s v="Christian Bale"/>
    <x v="1808"/>
    <n v="261317"/>
    <s v="cleric|dystopia|fascist|law|neo noir"/>
    <n v="1137"/>
    <x v="0"/>
    <x v="0"/>
    <n v="20000000"/>
    <x v="13"/>
    <x v="2"/>
    <n v="20000000"/>
    <n v="1190018"/>
    <x v="1806"/>
    <x v="1808"/>
    <x v="1"/>
  </r>
  <r>
    <x v="1101"/>
    <n v="58"/>
    <n v="13592872"/>
    <s v="Comedy"/>
    <s v="Will Ferrell"/>
    <x v="1809"/>
    <n v="10777"/>
    <s v="black pantyhose|female stockinged legs|pantyhose|radio|tattoo"/>
    <n v="79"/>
    <x v="0"/>
    <x v="0"/>
    <n v="11000000"/>
    <x v="4"/>
    <x v="37"/>
    <n v="11000000"/>
    <n v="13592872"/>
    <x v="1807"/>
    <x v="1809"/>
    <x v="4"/>
  </r>
  <r>
    <x v="904"/>
    <n v="91"/>
    <n v="65535067"/>
    <s v="Comedy|Romance"/>
    <s v="Amy Poehler"/>
    <x v="1810"/>
    <n v="59380"/>
    <s v="aquarium|fish|fish tank|gigolo|norwegian"/>
    <n v="202"/>
    <x v="0"/>
    <x v="0"/>
    <n v="17000000"/>
    <x v="12"/>
    <x v="35"/>
    <n v="17000000"/>
    <n v="65535067"/>
    <x v="1808"/>
    <x v="1810"/>
    <x v="4"/>
  </r>
  <r>
    <x v="1102"/>
    <n v="112"/>
    <n v="11905519"/>
    <s v="Action|Crime|Drama|Thriller"/>
    <s v="Jon Foo"/>
    <x v="1811"/>
    <n v="30210"/>
    <s v="die hard scenario|elephant|long take|police|sydney australia"/>
    <n v="214"/>
    <x v="21"/>
    <x v="28"/>
    <n v="200000000"/>
    <x v="25"/>
    <x v="17"/>
    <n v="5518764"/>
    <n v="328518.74829258001"/>
    <x v="1809"/>
    <x v="1811"/>
    <x v="1"/>
  </r>
  <r>
    <x v="133"/>
    <n v="410"/>
    <n v="93571803"/>
    <s v="Biography|Drama|Sport"/>
    <s v="Christian Bale"/>
    <x v="1812"/>
    <n v="275869"/>
    <s v="boxer|boxing|boxing match|crack cocaine|lowell massachusetts"/>
    <n v="389"/>
    <x v="0"/>
    <x v="0"/>
    <n v="25000000"/>
    <x v="11"/>
    <x v="19"/>
    <n v="25000000"/>
    <n v="93571803"/>
    <x v="1810"/>
    <x v="1812"/>
    <x v="2"/>
  </r>
  <r>
    <x v="1103"/>
    <n v="219"/>
    <n v="50807639"/>
    <s v="Adventure|Animation|Comedy|Family|Fantasy"/>
    <s v="Isaac Hempstead Wright"/>
    <x v="1813"/>
    <n v="40883"/>
    <s v="chase|puppet animation|red hat|stop motion animation|troll"/>
    <n v="122"/>
    <x v="0"/>
    <x v="0"/>
    <n v="60000000"/>
    <x v="27"/>
    <x v="22"/>
    <n v="60000000"/>
    <n v="50807639"/>
    <x v="1811"/>
    <x v="1813"/>
    <x v="0"/>
  </r>
  <r>
    <x v="358"/>
    <n v="122"/>
    <n v="75817994"/>
    <s v="Comedy|Family|Fantasy|Horror|Mystery"/>
    <s v="Marsha Thomason"/>
    <x v="1814"/>
    <n v="32049"/>
    <s v="arachnophobia|crystal ball|ghost|haunted house|thunderstorm"/>
    <n v="179"/>
    <x v="0"/>
    <x v="0"/>
    <n v="90000000"/>
    <x v="19"/>
    <x v="18"/>
    <n v="90000000"/>
    <n v="75817994"/>
    <x v="1812"/>
    <x v="1814"/>
    <x v="4"/>
  </r>
  <r>
    <x v="890"/>
    <n v="141"/>
    <n v="78120196"/>
    <s v="Action|Drama|History|War"/>
    <s v="Jon Hamm"/>
    <x v="1815"/>
    <n v="103241"/>
    <s v="air cavalry|battle|major|soldier|vietnamese"/>
    <n v="742"/>
    <x v="0"/>
    <x v="0"/>
    <n v="75000000"/>
    <x v="13"/>
    <x v="17"/>
    <n v="75000000"/>
    <n v="78120196"/>
    <x v="1813"/>
    <x v="1815"/>
    <x v="1"/>
  </r>
  <r>
    <x v="432"/>
    <n v="25"/>
    <n v="69800000"/>
    <s v="Comedy|War"/>
    <s v="Eileen Brennan"/>
    <x v="1816"/>
    <n v="18140"/>
    <s v="camera shot of feet|female stockinged feet|loss of husband|pantyhose|suntan pantyhose"/>
    <n v="60"/>
    <x v="0"/>
    <x v="0"/>
    <n v="10000000"/>
    <x v="52"/>
    <x v="7"/>
    <n v="10000000"/>
    <n v="69800000"/>
    <x v="1814"/>
    <x v="1816"/>
    <x v="4"/>
  </r>
  <r>
    <x v="1104"/>
    <n v="35"/>
    <n v="26893"/>
    <s v="Crime|Drama|Romance"/>
    <s v="Catherine Deneuve"/>
    <x v="1817"/>
    <n v="4391"/>
    <s v="antibes|hotel|island|reunion|reunion island"/>
    <n v="26"/>
    <x v="4"/>
    <x v="8"/>
    <n v="1600000"/>
    <x v="62"/>
    <x v="33"/>
    <n v="1735584"/>
    <n v="29171.912820000001"/>
    <x v="1815"/>
    <x v="1817"/>
    <x v="3"/>
  </r>
  <r>
    <x v="186"/>
    <n v="124"/>
    <n v="181360000"/>
    <s v="Musical|Romance"/>
    <s v="Olivia Newton-John"/>
    <x v="1818"/>
    <n v="170027"/>
    <s v="automobile racing|boyfriend girlfriend relationship|high school|wrestling|year 1959"/>
    <n v="350"/>
    <x v="0"/>
    <x v="0"/>
    <n v="6000000"/>
    <x v="44"/>
    <x v="33"/>
    <n v="6000000"/>
    <n v="181360000"/>
    <x v="1816"/>
    <x v="1818"/>
    <x v="12"/>
  </r>
  <r>
    <x v="1105"/>
    <n v="81"/>
    <n v="55461307"/>
    <s v="Comedy"/>
    <s v="Mila Kunis"/>
    <x v="1819"/>
    <n v="4654"/>
    <s v="lesbian kiss|mom|pta|reference to mad max|scene during end credits"/>
    <n v="46"/>
    <x v="0"/>
    <x v="0"/>
    <n v="20000000"/>
    <x v="24"/>
    <x v="21"/>
    <n v="20000000"/>
    <n v="55461307"/>
    <x v="1817"/>
    <x v="1819"/>
    <x v="4"/>
  </r>
  <r>
    <x v="253"/>
    <n v="91"/>
    <n v="15156200"/>
    <s v="Action|Crime|Drama|Mystery|Thriller"/>
    <s v="Byron Mann"/>
    <x v="1820"/>
    <n v="15358"/>
    <s v="chinatown|illegal immigrant|new york|police|triad"/>
    <n v="131"/>
    <x v="0"/>
    <x v="0"/>
    <n v="30000000"/>
    <x v="12"/>
    <x v="11"/>
    <n v="30000000"/>
    <n v="15156200"/>
    <x v="1818"/>
    <x v="1820"/>
    <x v="1"/>
  </r>
  <r>
    <x v="1106"/>
    <n v="220"/>
    <n v="44540956"/>
    <s v="Comedy"/>
    <s v="Jon Heder"/>
    <x v="1821"/>
    <n v="161448"/>
    <s v="class president|family relationships|friend|high school|jock"/>
    <n v="1473"/>
    <x v="0"/>
    <x v="0"/>
    <n v="400000"/>
    <x v="2"/>
    <x v="31"/>
    <n v="400000"/>
    <n v="44540956"/>
    <x v="1819"/>
    <x v="1821"/>
    <x v="4"/>
  </r>
  <r>
    <x v="639"/>
    <n v="516"/>
    <n v="181015141"/>
    <s v="Action|Adventure|Fantasy"/>
    <s v="Chris Hemsworth"/>
    <x v="1822"/>
    <n v="536314"/>
    <s v="battle|marvel cinematic universe|scientist|thor|throne"/>
    <n v="738"/>
    <x v="0"/>
    <x v="0"/>
    <n v="150000000"/>
    <x v="22"/>
    <x v="16"/>
    <n v="150000000"/>
    <n v="181015141"/>
    <x v="1820"/>
    <x v="1822"/>
    <x v="1"/>
  </r>
  <r>
    <x v="40"/>
    <n v="291"/>
    <n v="119518352"/>
    <s v="Biography|Drama|Music|Romance"/>
    <s v="Sandra Ellis Lafferty"/>
    <x v="1823"/>
    <n v="188637"/>
    <s v="1960s|accident|concert|guitar|prison"/>
    <n v="815"/>
    <x v="0"/>
    <x v="0"/>
    <n v="28000000"/>
    <x v="25"/>
    <x v="19"/>
    <n v="28000000"/>
    <n v="119518352"/>
    <x v="1821"/>
    <x v="1823"/>
    <x v="2"/>
  </r>
  <r>
    <x v="78"/>
    <n v="221"/>
    <n v="21371425"/>
    <s v="Action|Sci-Fi|Thriller"/>
    <s v="David Zayas"/>
    <x v="1824"/>
    <n v="76199"/>
    <s v="apartment|blue light|drawing|group of friends|light"/>
    <n v="944"/>
    <x v="0"/>
    <x v="0"/>
    <n v="10000000"/>
    <x v="11"/>
    <x v="8"/>
    <n v="10000000"/>
    <n v="21371425"/>
    <x v="1822"/>
    <x v="1824"/>
    <x v="1"/>
  </r>
  <r>
    <x v="366"/>
    <n v="415"/>
    <n v="33404871"/>
    <s v="Drama"/>
    <s v="Sally Hawkins"/>
    <x v="1825"/>
    <n v="150082"/>
    <s v="congenital liar|mental breakdown|self deception|snob|talking to oneself"/>
    <n v="384"/>
    <x v="0"/>
    <x v="0"/>
    <n v="18000000"/>
    <x v="0"/>
    <x v="4"/>
    <n v="18000000"/>
    <n v="33404871"/>
    <x v="1823"/>
    <x v="1825"/>
    <x v="5"/>
  </r>
  <r>
    <x v="606"/>
    <n v="50"/>
    <n v="64955956"/>
    <s v="Comedy|Drama"/>
    <s v="Harry Lennix"/>
    <x v="1826"/>
    <n v="10104"/>
    <s v="barbecue|barbershop|blaxploitation|marriage|politics"/>
    <n v="69"/>
    <x v="0"/>
    <x v="0"/>
    <n v="18000000"/>
    <x v="2"/>
    <x v="35"/>
    <n v="18000000"/>
    <n v="64955956"/>
    <x v="1824"/>
    <x v="1826"/>
    <x v="4"/>
  </r>
  <r>
    <x v="710"/>
    <n v="88"/>
    <n v="18947630"/>
    <s v="Adventure|Drama|Family"/>
    <s v="David Gant"/>
    <x v="1827"/>
    <n v="11798"/>
    <s v="circus|death of protagonist|jungle|killing an animal|tiger"/>
    <n v="124"/>
    <x v="0"/>
    <x v="8"/>
    <n v="59660000"/>
    <x v="2"/>
    <x v="17"/>
    <n v="64715588.399999999"/>
    <n v="20553252.166200001"/>
    <x v="1825"/>
    <x v="1827"/>
    <x v="0"/>
  </r>
  <r>
    <x v="1107"/>
    <n v="151"/>
    <n v="7948159"/>
    <s v="Action|Crime|Drama|Thriller"/>
    <s v="Julie Benz"/>
    <x v="1828"/>
    <n v="48999"/>
    <s v="gun fu|plastic surgery|psychopath|undercover|vigilante"/>
    <n v="280"/>
    <x v="0"/>
    <x v="0"/>
    <n v="35000000"/>
    <x v="20"/>
    <x v="11"/>
    <n v="35000000"/>
    <n v="7948159"/>
    <x v="1826"/>
    <x v="1828"/>
    <x v="1"/>
  </r>
  <r>
    <x v="132"/>
    <n v="538"/>
    <n v="182204440"/>
    <s v="Biography|Drama|History|War"/>
    <s v="Joseph Gordon-Levitt"/>
    <x v="1829"/>
    <n v="197412"/>
    <s v="cultural conflict|politics|president|slavery|u.s. president"/>
    <n v="720"/>
    <x v="0"/>
    <x v="0"/>
    <n v="65000000"/>
    <x v="28"/>
    <x v="39"/>
    <n v="65000000"/>
    <n v="182204440"/>
    <x v="1827"/>
    <x v="1829"/>
    <x v="2"/>
  </r>
  <r>
    <x v="94"/>
    <n v="218"/>
    <n v="35565975"/>
    <s v="Comedy|Drama|Romance"/>
    <s v="Tom Hanks"/>
    <x v="1830"/>
    <n v="49205"/>
    <s v="bus stop|college|community college|scooter|speech class"/>
    <n v="184"/>
    <x v="0"/>
    <x v="0"/>
    <n v="30000000"/>
    <x v="22"/>
    <x v="7"/>
    <n v="30000000"/>
    <n v="35565975"/>
    <x v="1828"/>
    <x v="1830"/>
    <x v="4"/>
  </r>
  <r>
    <x v="698"/>
    <n v="64"/>
    <n v="32095318"/>
    <s v="Comedy|Crime"/>
    <s v="Bernie Mac"/>
    <x v="1831"/>
    <n v="12466"/>
    <s v="businessman|ring|thief|vulgarity|washington d.c."/>
    <n v="84"/>
    <x v="0"/>
    <x v="0"/>
    <n v="45000000"/>
    <x v="9"/>
    <x v="28"/>
    <n v="45000000"/>
    <n v="32095318"/>
    <x v="1829"/>
    <x v="1831"/>
    <x v="4"/>
  </r>
  <r>
    <x v="203"/>
    <n v="97"/>
    <n v="56127162"/>
    <s v="Comedy|Romance"/>
    <s v="Taran Killam"/>
    <x v="1832"/>
    <n v="57479"/>
    <s v="fall|honeymoon|love|marriage|newlywed"/>
    <n v="205"/>
    <x v="0"/>
    <x v="0"/>
    <n v="18000000"/>
    <x v="19"/>
    <x v="26"/>
    <n v="18000000"/>
    <n v="56127162"/>
    <x v="1830"/>
    <x v="1832"/>
    <x v="4"/>
  </r>
  <r>
    <x v="161"/>
    <n v="142"/>
    <n v="8060"/>
    <s v="Action|Crime|Drama|Thriller"/>
    <s v="Wagner Moura"/>
    <x v="1833"/>
    <n v="81644"/>
    <s v="brazil|military police|police|rio de janeiro brazil|slum"/>
    <n v="107"/>
    <x v="14"/>
    <x v="19"/>
    <n v="4000000"/>
    <x v="15"/>
    <x v="40"/>
    <n v="708642"/>
    <n v="1427.91363"/>
    <x v="1831"/>
    <x v="1833"/>
    <x v="1"/>
  </r>
  <r>
    <x v="244"/>
    <n v="95"/>
    <n v="630779"/>
    <s v="Drama|Romance|War|Western"/>
    <s v="Jeremy W. Auman"/>
    <x v="1834"/>
    <n v="11101"/>
    <s v="bushwhacker|friend|honor|kansas|raid"/>
    <n v="159"/>
    <x v="0"/>
    <x v="0"/>
    <n v="35000000"/>
    <x v="12"/>
    <x v="22"/>
    <n v="35000000"/>
    <n v="630779"/>
    <x v="1832"/>
    <x v="1834"/>
    <x v="5"/>
  </r>
  <r>
    <x v="312"/>
    <n v="310"/>
    <n v="75280058"/>
    <s v="Animation|Family|Fantasy"/>
    <s v="Jennifer Saunders"/>
    <x v="1835"/>
    <n v="143121"/>
    <s v="dream|new home|parallel worlds|scissors|secret door"/>
    <n v="279"/>
    <x v="0"/>
    <x v="0"/>
    <n v="60000000"/>
    <x v="16"/>
    <x v="9"/>
    <n v="60000000"/>
    <n v="75280058"/>
    <x v="1833"/>
    <x v="1835"/>
    <x v="8"/>
  </r>
  <r>
    <x v="784"/>
    <n v="49"/>
    <n v="44455658"/>
    <s v="Action|Adventure|Comedy|Crime"/>
    <s v="Kelly Preston"/>
    <x v="1836"/>
    <n v="36253"/>
    <s v="boss|ghetto|money|robber|robbery"/>
    <n v="92"/>
    <x v="0"/>
    <x v="0"/>
    <n v="25000000"/>
    <x v="31"/>
    <x v="21"/>
    <n v="25000000"/>
    <n v="44455658"/>
    <x v="1834"/>
    <x v="1836"/>
    <x v="1"/>
  </r>
  <r>
    <x v="156"/>
    <n v="82"/>
    <n v="6291602"/>
    <s v="Comedy|Sci-Fi"/>
    <s v="Judy Greer"/>
    <x v="1837"/>
    <n v="8070"/>
    <s v="alien|baby|banker|pregnancy|question in title"/>
    <n v="91"/>
    <x v="0"/>
    <x v="0"/>
    <n v="50000000"/>
    <x v="4"/>
    <x v="15"/>
    <n v="50000000"/>
    <n v="6291602"/>
    <x v="1835"/>
    <x v="1837"/>
    <x v="4"/>
  </r>
  <r>
    <x v="158"/>
    <n v="85"/>
    <n v="5532301"/>
    <s v="Biography|Drama|History|War"/>
    <s v="Tenzin Thuthob Tsarong"/>
    <x v="1838"/>
    <n v="21606"/>
    <s v="chinese|dalai lama|lama|tibet|tibetan"/>
    <n v="117"/>
    <x v="0"/>
    <x v="0"/>
    <n v="28000000"/>
    <x v="31"/>
    <x v="16"/>
    <n v="28000000"/>
    <n v="5532301"/>
    <x v="1836"/>
    <x v="1838"/>
    <x v="2"/>
  </r>
  <r>
    <x v="281"/>
    <n v="63"/>
    <n v="18636537"/>
    <s v="Action|Thriller|Western"/>
    <s v="Leonardo DiCaprio"/>
    <x v="1839"/>
    <n v="69197"/>
    <s v="authority figure as villian|gun duel|saved from hanging|showdown|street shootout"/>
    <n v="216"/>
    <x v="0"/>
    <x v="15"/>
    <n v="32000000"/>
    <x v="33"/>
    <x v="24"/>
    <n v="207891.20000000001"/>
    <n v="121074.1262742"/>
    <x v="1837"/>
    <x v="1839"/>
    <x v="1"/>
  </r>
  <r>
    <x v="1108"/>
    <n v="6"/>
    <n v="3347439"/>
    <s v="Drama|Romance"/>
    <s v="Eric Johnson"/>
    <x v="1840"/>
    <n v="833"/>
    <s v="1830s|baptism|intolerance|mormon church|sibling rivalry"/>
    <n v="33"/>
    <x v="0"/>
    <x v="0"/>
    <n v="7500000"/>
    <x v="2"/>
    <x v="31"/>
    <n v="7500000"/>
    <n v="3347439"/>
    <x v="1838"/>
    <x v="1840"/>
    <x v="5"/>
  </r>
  <r>
    <x v="611"/>
    <n v="292"/>
    <n v="176997107"/>
    <s v="Action|Adventure|Animation|Comedy|Family|Fantasy"/>
    <s v="Gerard Butler"/>
    <x v="1841"/>
    <n v="221128"/>
    <s v="dragon|father son relationship|husband wife relationship|mother son relationship|viking"/>
    <n v="343"/>
    <x v="0"/>
    <x v="0"/>
    <n v="145000000"/>
    <x v="27"/>
    <x v="19"/>
    <n v="145000000"/>
    <n v="176997107"/>
    <x v="1839"/>
    <x v="1841"/>
    <x v="1"/>
  </r>
  <r>
    <x v="1109"/>
    <n v="43"/>
    <n v="30628981"/>
    <s v="Comedy|Romance"/>
    <s v="Will Ferrell"/>
    <x v="1842"/>
    <n v="15047"/>
    <s v="dancing|orphan|school|special education|student"/>
    <n v="160"/>
    <x v="0"/>
    <x v="0"/>
    <n v="14000000"/>
    <x v="12"/>
    <x v="53"/>
    <n v="14000000"/>
    <n v="30628981"/>
    <x v="1840"/>
    <x v="1842"/>
    <x v="4"/>
  </r>
  <r>
    <x v="747"/>
    <n v="27"/>
    <n v="10097096"/>
    <s v="Comedy"/>
    <s v="Angell Conwell"/>
    <x v="1843"/>
    <n v="5612"/>
    <s v="african american stereotype|car wash|rent|roommate|threatening telephone call"/>
    <n v="38"/>
    <x v="0"/>
    <x v="0"/>
    <n v="4000000"/>
    <x v="9"/>
    <x v="34"/>
    <n v="4000000"/>
    <n v="10097096"/>
    <x v="1841"/>
    <x v="1843"/>
    <x v="4"/>
  </r>
  <r>
    <x v="1110"/>
    <n v="157"/>
    <n v="33508922"/>
    <s v="Drama"/>
    <s v="Kevin Spacey"/>
    <x v="1844"/>
    <n v="95860"/>
    <s v="alcoholism|boy|good deed|protective male|teacher"/>
    <n v="660"/>
    <x v="0"/>
    <x v="0"/>
    <n v="40000000"/>
    <x v="4"/>
    <x v="33"/>
    <n v="40000000"/>
    <n v="33508922"/>
    <x v="1842"/>
    <x v="1844"/>
    <x v="5"/>
  </r>
  <r>
    <x v="1111"/>
    <n v="288"/>
    <n v="7918283"/>
    <s v="Drama|Thriller"/>
    <s v="Nate Parker"/>
    <x v="1845"/>
    <n v="41574"/>
    <s v="accidental death|dead woman|dead woman with eyes open|death of mistress|manager"/>
    <n v="145"/>
    <x v="0"/>
    <x v="0"/>
    <n v="12000000"/>
    <x v="28"/>
    <x v="14"/>
    <n v="12000000"/>
    <n v="7918283"/>
    <x v="1843"/>
    <x v="1845"/>
    <x v="5"/>
  </r>
  <r>
    <x v="141"/>
    <n v="56"/>
    <n v="12065985"/>
    <s v="Comedy|Drama"/>
    <s v="Kelly Preston"/>
    <x v="1846"/>
    <n v="16260"/>
    <s v="1990s|evangelist|professional rivalry|swimming pool|televangelist"/>
    <n v="88"/>
    <x v="0"/>
    <x v="0"/>
    <n v="60000000"/>
    <x v="6"/>
    <x v="18"/>
    <n v="60000000"/>
    <n v="12065985"/>
    <x v="1844"/>
    <x v="1846"/>
    <x v="4"/>
  </r>
  <r>
    <x v="232"/>
    <n v="185"/>
    <n v="48430355"/>
    <s v="Comedy|Drama"/>
    <s v="Channing Tatum"/>
    <x v="1847"/>
    <n v="43709"/>
    <s v="best friend|friend|investigation|secret|two word title"/>
    <n v="141"/>
    <x v="0"/>
    <x v="0"/>
    <n v="70000000"/>
    <x v="22"/>
    <x v="1"/>
    <n v="70000000"/>
    <n v="48430355"/>
    <x v="1845"/>
    <x v="1847"/>
    <x v="4"/>
  </r>
  <r>
    <x v="206"/>
    <n v="383"/>
    <n v="85017401"/>
    <s v="Action|Adventure|Thriller"/>
    <s v="Jason Statham"/>
    <x v="1848"/>
    <n v="246803"/>
    <s v="church|hostage|mine|plutonium|revenge"/>
    <n v="474"/>
    <x v="0"/>
    <x v="0"/>
    <n v="92000000"/>
    <x v="28"/>
    <x v="21"/>
    <n v="92000000"/>
    <n v="85017401"/>
    <x v="1846"/>
    <x v="1848"/>
    <x v="1"/>
  </r>
  <r>
    <x v="1112"/>
    <n v="11"/>
    <n v="8508843"/>
    <s v="Adventure|Comedy"/>
    <s v="Craig T. Nelson"/>
    <x v="1849"/>
    <n v="7470"/>
    <s v="beverly hills hotel|divorce|girl|troop|wilderness"/>
    <n v="35"/>
    <x v="0"/>
    <x v="0"/>
    <n v="18000000"/>
    <x v="26"/>
    <x v="28"/>
    <n v="18000000"/>
    <n v="8508843"/>
    <x v="1847"/>
    <x v="1849"/>
    <x v="0"/>
  </r>
  <r>
    <x v="231"/>
    <n v="111"/>
    <n v="6830957"/>
    <s v="Drama|Romance"/>
    <s v="Jake Gyllenhaal"/>
    <x v="1850"/>
    <n v="11983"/>
    <s v="1970s|death|district attorney|fiancee|watching television"/>
    <n v="147"/>
    <x v="0"/>
    <x v="0"/>
    <n v="21000000"/>
    <x v="13"/>
    <x v="21"/>
    <n v="21000000"/>
    <n v="6830957"/>
    <x v="1848"/>
    <x v="1850"/>
    <x v="5"/>
  </r>
  <r>
    <x v="62"/>
    <n v="436"/>
    <n v="75638743"/>
    <s v="Drama|Thriller"/>
    <s v="Matt Damon"/>
    <x v="1851"/>
    <n v="180479"/>
    <s v="contagion|cure|infection|panic|virus"/>
    <n v="411"/>
    <x v="0"/>
    <x v="0"/>
    <n v="60000000"/>
    <x v="22"/>
    <x v="14"/>
    <n v="60000000"/>
    <n v="75638743"/>
    <x v="1849"/>
    <x v="1851"/>
    <x v="5"/>
  </r>
  <r>
    <x v="1113"/>
    <n v="259"/>
    <n v="3571735"/>
    <s v="Biography|Drama|Music"/>
    <s v="Kristen Stewart"/>
    <x v="1852"/>
    <n v="39260"/>
    <s v="band|box office flop|critically bashed|historically inaccurate|revisionist history"/>
    <n v="129"/>
    <x v="0"/>
    <x v="0"/>
    <n v="10000000"/>
    <x v="11"/>
    <x v="14"/>
    <n v="10000000"/>
    <n v="3571735"/>
    <x v="1850"/>
    <x v="1852"/>
    <x v="2"/>
  </r>
  <r>
    <x v="187"/>
    <n v="181"/>
    <n v="30059386"/>
    <s v="Comedy"/>
    <s v="Will Ferrell"/>
    <x v="1853"/>
    <n v="128593"/>
    <s v="internet|jay and silent bob|new jersey|orangutan|police"/>
    <n v="867"/>
    <x v="0"/>
    <x v="0"/>
    <n v="22000000"/>
    <x v="9"/>
    <x v="31"/>
    <n v="22000000"/>
    <n v="30059386"/>
    <x v="1851"/>
    <x v="1853"/>
    <x v="4"/>
  </r>
  <r>
    <x v="583"/>
    <n v="46"/>
    <n v="33422806"/>
    <s v="Adventure|Comedy|Fantasy"/>
    <s v="Tom Wilkinson"/>
    <x v="1854"/>
    <n v="30771"/>
    <s v="14th century|king|knight|sword duel|time travel"/>
    <n v="164"/>
    <x v="0"/>
    <x v="0"/>
    <n v="50000000"/>
    <x v="9"/>
    <x v="45"/>
    <n v="50000000"/>
    <n v="33422806"/>
    <x v="1852"/>
    <x v="1854"/>
    <x v="0"/>
  </r>
  <r>
    <x v="668"/>
    <n v="37"/>
    <n v="12701880"/>
    <s v="Adventure|Animation|Comedy|Family"/>
    <s v="Yuri Lowenthal"/>
    <x v="1855"/>
    <n v="2037"/>
    <s v="17th century|king|pirate|vegetable|waiter"/>
    <n v="22"/>
    <x v="0"/>
    <x v="0"/>
    <n v="15000000"/>
    <x v="20"/>
    <x v="35"/>
    <n v="15000000"/>
    <n v="12701880"/>
    <x v="1853"/>
    <x v="1855"/>
    <x v="0"/>
  </r>
  <r>
    <x v="162"/>
    <n v="57"/>
    <n v="183088"/>
    <s v="Comedy|Drama|War"/>
    <s v="John Heard"/>
    <x v="1856"/>
    <n v="11704"/>
    <s v="college tuition|guitar|road trip|soldier|stranded"/>
    <n v="36"/>
    <x v="0"/>
    <x v="0"/>
    <n v="15000000"/>
    <x v="20"/>
    <x v="16"/>
    <n v="15000000"/>
    <n v="183088"/>
    <x v="1854"/>
    <x v="1856"/>
    <x v="4"/>
  </r>
  <r>
    <x v="1114"/>
    <n v="3"/>
    <n v="243768"/>
    <s v="Western"/>
    <s v="Joseph Campanella"/>
    <x v="1857"/>
    <n v="143"/>
    <s v=""/>
    <n v="9"/>
    <x v="0"/>
    <x v="0"/>
    <n v="30000"/>
    <x v="15"/>
    <x v="13"/>
    <n v="30000"/>
    <n v="243768"/>
    <x v="1855"/>
    <x v="1857"/>
    <x v="13"/>
  </r>
  <r>
    <x v="1115"/>
    <n v="4"/>
    <n v="49000"/>
    <s v="Thriller"/>
    <s v="Emraan Hashmi"/>
    <x v="1858"/>
    <n v="1524"/>
    <s v="chocolate|christmas|christmas eve|death|suspect"/>
    <n v="30"/>
    <x v="5"/>
    <x v="10"/>
    <n v="1500000"/>
    <x v="25"/>
    <x v="45"/>
    <n v="17912.189999999999"/>
    <n v="585.13153999999997"/>
    <x v="1856"/>
    <x v="1858"/>
    <x v="14"/>
  </r>
  <r>
    <x v="1116"/>
    <n v="10"/>
    <n v="2468"/>
    <s v="Thriller"/>
    <s v="Tatyana Ali"/>
    <x v="1859"/>
    <n v="241"/>
    <s v="digit in title|latino|life or death|philosophy|supernatural"/>
    <n v="5"/>
    <x v="0"/>
    <x v="0"/>
    <n v="300000"/>
    <x v="27"/>
    <x v="45"/>
    <n v="300000"/>
    <n v="2468"/>
    <x v="1857"/>
    <x v="1859"/>
    <x v="14"/>
  </r>
  <r>
    <x v="60"/>
    <n v="323"/>
    <n v="64505912"/>
    <s v="Sci-Fi|Thriller"/>
    <s v="Zooey Deschanel"/>
    <x v="1860"/>
    <n v="163130"/>
    <s v="bee|nature|park|school|teacher"/>
    <n v="1264"/>
    <x v="0"/>
    <x v="0"/>
    <n v="48000000"/>
    <x v="20"/>
    <x v="53"/>
    <n v="48000000"/>
    <n v="64505912"/>
    <x v="1858"/>
    <x v="1860"/>
    <x v="15"/>
  </r>
  <r>
    <x v="1117"/>
    <n v="4"/>
    <n v="129319"/>
    <s v="Romance"/>
    <s v="Annabelle Wallis"/>
    <x v="1861"/>
    <n v="257"/>
    <s v=""/>
    <n v="4"/>
    <x v="0"/>
    <x v="10"/>
    <n v="70000000"/>
    <x v="25"/>
    <x v="37"/>
    <n v="835902.2"/>
    <n v="1544.25766574"/>
    <x v="1859"/>
    <x v="1861"/>
    <x v="16"/>
  </r>
  <r>
    <x v="1118"/>
    <n v="183"/>
    <n v="25464480"/>
    <s v="Mystery|Sci-Fi|Thriller"/>
    <s v="Milla Jovovich"/>
    <x v="1862"/>
    <n v="63108"/>
    <s v="abduction|alaska|alien|owl|patient"/>
    <n v="330"/>
    <x v="0"/>
    <x v="0"/>
    <n v="10000000"/>
    <x v="16"/>
    <x v="0"/>
    <n v="10000000"/>
    <n v="25464480"/>
    <x v="1860"/>
    <x v="1862"/>
    <x v="10"/>
  </r>
  <r>
    <x v="1119"/>
    <n v="232"/>
    <n v="15071514"/>
    <s v="Sci-Fi|Thriller"/>
    <s v="Roger Rees"/>
    <x v="1863"/>
    <n v="65037"/>
    <s v="alien|epidemic|psychiatrist|space shuttle|virus"/>
    <n v="273"/>
    <x v="0"/>
    <x v="0"/>
    <n v="80000000"/>
    <x v="15"/>
    <x v="0"/>
    <n v="80000000"/>
    <n v="15071514"/>
    <x v="1861"/>
    <x v="1863"/>
    <x v="15"/>
  </r>
  <r>
    <x v="1120"/>
    <n v="97"/>
    <n v="56129"/>
    <s v="Sci-Fi|Thriller"/>
    <s v="Chris Gauthier"/>
    <x v="1864"/>
    <n v="6555"/>
    <s v="exploitation|four word title|hallucinogen|lynchian|telepathy"/>
    <n v="82"/>
    <x v="0"/>
    <x v="9"/>
    <n v="1100000"/>
    <x v="11"/>
    <x v="7"/>
    <n v="795745.5"/>
    <n v="40603.999244999999"/>
    <x v="1862"/>
    <x v="1864"/>
    <x v="15"/>
  </r>
  <r>
    <x v="1121"/>
    <n v="22"/>
    <n v="76382"/>
    <s v="Romance"/>
    <s v="Zoe Lister-Jones"/>
    <x v="1865"/>
    <n v="1194"/>
    <s v=""/>
    <n v="8"/>
    <x v="0"/>
    <x v="0"/>
    <n v="15000"/>
    <x v="16"/>
    <x v="5"/>
    <n v="15000"/>
    <n v="76382"/>
    <x v="1863"/>
    <x v="1865"/>
    <x v="16"/>
  </r>
  <r>
    <x v="1122"/>
    <n v="8"/>
    <n v="18195"/>
    <s v="Sci-Fi"/>
    <s v="James Urbaniak"/>
    <x v="1866"/>
    <n v="336"/>
    <s v="future|nonlinear timeline|time travel|title directed by female|writer"/>
    <n v="7"/>
    <x v="0"/>
    <x v="0"/>
    <n v="250000"/>
    <x v="31"/>
    <x v="23"/>
    <n v="250000"/>
    <n v="18195"/>
    <x v="1864"/>
    <x v="1866"/>
    <x v="15"/>
  </r>
  <r>
    <x v="1123"/>
    <n v="35"/>
    <n v="70071"/>
    <s v="Thriller"/>
    <s v="Ian Gamazon"/>
    <x v="1867"/>
    <n v="589"/>
    <s v="jihad|mindanao|philippines|security guard|squatter"/>
    <n v="35"/>
    <x v="0"/>
    <x v="29"/>
    <n v="7000"/>
    <x v="25"/>
    <x v="23"/>
    <n v="119.42986999999999"/>
    <n v="1195.51006011"/>
    <x v="1865"/>
    <x v="1867"/>
    <x v="14"/>
  </r>
  <r>
    <x v="1124"/>
    <n v="177"/>
    <n v="22331028"/>
    <s v="Sci-Fi|Thriller"/>
    <s v="Gary Weeks"/>
    <x v="1868"/>
    <n v="57349"/>
    <s v="found footage|teenager|time machine|time travel|video footage"/>
    <n v="177"/>
    <x v="0"/>
    <x v="0"/>
    <n v="12000000"/>
    <x v="1"/>
    <x v="24"/>
    <n v="12000000"/>
    <n v="22331028"/>
    <x v="1866"/>
    <x v="1868"/>
    <x v="15"/>
  </r>
  <r>
    <x v="110"/>
    <n v="138"/>
    <n v="36283504"/>
    <s v="Mystery|Thriller"/>
    <s v="Nicolas Cage"/>
    <x v="1869"/>
    <n v="104564"/>
    <s v="investigation|obsession|private eye|private investigator|snuff film"/>
    <n v="587"/>
    <x v="0"/>
    <x v="5"/>
    <n v="40000000"/>
    <x v="12"/>
    <x v="20"/>
    <n v="43389600"/>
    <n v="39358168.128959998"/>
    <x v="1867"/>
    <x v="1869"/>
    <x v="10"/>
  </r>
  <r>
    <x v="26"/>
    <n v="224"/>
    <n v="57859105"/>
    <s v="Mystery|Thriller"/>
    <s v="Robert Pine"/>
    <x v="1870"/>
    <n v="94108"/>
    <s v="airport|flight|hotel|hotel manager|plane"/>
    <n v="673"/>
    <x v="0"/>
    <x v="0"/>
    <n v="26000000"/>
    <x v="25"/>
    <x v="20"/>
    <n v="26000000"/>
    <n v="57859105"/>
    <x v="1868"/>
    <x v="1870"/>
    <x v="10"/>
  </r>
  <r>
    <x v="403"/>
    <n v="195"/>
    <n v="47781388"/>
    <s v="Mystery|Thriller"/>
    <s v="Johnny Depp"/>
    <x v="1871"/>
    <n v="147504"/>
    <s v="adultery|extramarital affair|infidelity|unfaithfulness|writer"/>
    <n v="531"/>
    <x v="0"/>
    <x v="0"/>
    <n v="40000000"/>
    <x v="2"/>
    <x v="14"/>
    <n v="40000000"/>
    <n v="47781388"/>
    <x v="1869"/>
    <x v="1871"/>
    <x v="10"/>
  </r>
  <r>
    <x v="232"/>
    <n v="294"/>
    <n v="217536138"/>
    <s v="Mystery|Thriller"/>
    <s v="Tom Hanks"/>
    <x v="1872"/>
    <n v="314253"/>
    <s v="based on supposedly true story|holy grail|mary magdalene|opus dei|secret"/>
    <n v="1966"/>
    <x v="0"/>
    <x v="0"/>
    <n v="125000000"/>
    <x v="7"/>
    <x v="14"/>
    <n v="125000000"/>
    <n v="217536138"/>
    <x v="1870"/>
    <x v="1872"/>
    <x v="10"/>
  </r>
  <r>
    <x v="232"/>
    <n v="298"/>
    <n v="133375846"/>
    <s v="Mystery|Thriller"/>
    <s v="Tom Hanks"/>
    <x v="1873"/>
    <n v="207839"/>
    <s v="conclave|illuminati|murder|reference to bernini|reference to raphael"/>
    <n v="435"/>
    <x v="0"/>
    <x v="0"/>
    <n v="150000000"/>
    <x v="16"/>
    <x v="21"/>
    <n v="150000000"/>
    <n v="133375846"/>
    <x v="1871"/>
    <x v="1873"/>
    <x v="10"/>
  </r>
  <r>
    <x v="1125"/>
    <n v="111"/>
    <n v="15500000"/>
    <s v="Mystery|Sci-Fi|Thriller"/>
    <s v="Gretchen Mol"/>
    <x v="1874"/>
    <n v="51996"/>
    <s v="amnesia|barricade|letter|time|virtual reality"/>
    <n v="302"/>
    <x v="0"/>
    <x v="5"/>
    <n v="16000000"/>
    <x v="12"/>
    <x v="16"/>
    <n v="17355840"/>
    <n v="16813470"/>
    <x v="1872"/>
    <x v="1874"/>
    <x v="10"/>
  </r>
  <r>
    <x v="1126"/>
    <n v="297"/>
    <n v="43771291"/>
    <s v="Mystery|Thriller"/>
    <s v="Busy Philipps"/>
    <x v="1875"/>
    <n v="79909"/>
    <s v="compulsive liar|fired from a job|gift|rape|substance abuse"/>
    <n v="279"/>
    <x v="0"/>
    <x v="0"/>
    <n v="5000000"/>
    <x v="1"/>
    <x v="17"/>
    <n v="5000000"/>
    <n v="43771291"/>
    <x v="1873"/>
    <x v="1875"/>
    <x v="10"/>
  </r>
  <r>
    <x v="1126"/>
    <n v="297"/>
    <n v="43771291"/>
    <s v="Mystery|Thriller"/>
    <s v="Busy Philipps"/>
    <x v="1875"/>
    <n v="79916"/>
    <s v="compulsive liar|fired from a job|gift|rape|substance abuse"/>
    <n v="279"/>
    <x v="0"/>
    <x v="0"/>
    <n v="5000000"/>
    <x v="1"/>
    <x v="17"/>
    <n v="5000000"/>
    <n v="43771291"/>
    <x v="1873"/>
    <x v="1875"/>
    <x v="10"/>
  </r>
  <r>
    <x v="1127"/>
    <n v="413"/>
    <n v="62453315"/>
    <s v="Romance|Sci-Fi|Thriller"/>
    <s v="Matt Damon"/>
    <x v="1876"/>
    <n v="200035"/>
    <s v="love at first sight|obscene finger gesture|rain|teleportation|three word title"/>
    <n v="407"/>
    <x v="0"/>
    <x v="0"/>
    <n v="50200000"/>
    <x v="22"/>
    <x v="17"/>
    <n v="50200000"/>
    <n v="62453315"/>
    <x v="1874"/>
    <x v="1876"/>
    <x v="16"/>
  </r>
  <r>
    <x v="1128"/>
    <n v="84"/>
    <n v="79568000"/>
    <s v="Sci-Fi|Thriller"/>
    <s v="Matthew Broderick"/>
    <x v="1877"/>
    <n v="71842"/>
    <s v="computer|game|high school|norad|teenager"/>
    <n v="152"/>
    <x v="0"/>
    <x v="0"/>
    <n v="12000000"/>
    <x v="30"/>
    <x v="17"/>
    <n v="12000000"/>
    <n v="79568000"/>
    <x v="1875"/>
    <x v="1877"/>
    <x v="15"/>
  </r>
  <r>
    <x v="1129"/>
    <n v="343"/>
    <n v="15523168"/>
    <s v="Mystery|Thriller"/>
    <s v="Jim Belushi"/>
    <x v="1878"/>
    <n v="132423"/>
    <s v="british prime minister|death|island|memoir|writer"/>
    <n v="349"/>
    <x v="0"/>
    <x v="8"/>
    <n v="45000000"/>
    <x v="11"/>
    <x v="33"/>
    <n v="48813300"/>
    <n v="16838601.25632"/>
    <x v="1876"/>
    <x v="1878"/>
    <x v="10"/>
  </r>
  <r>
    <x v="40"/>
    <n v="136"/>
    <n v="51475962"/>
    <s v="Mystery|Thriller"/>
    <s v="Clea DuVall"/>
    <x v="1879"/>
    <n v="177828"/>
    <s v="dissociative identity disorder|motel room key|murder|storm|stranded"/>
    <n v="714"/>
    <x v="0"/>
    <x v="0"/>
    <n v="30000000"/>
    <x v="19"/>
    <x v="4"/>
    <n v="30000000"/>
    <n v="51475962"/>
    <x v="1877"/>
    <x v="1879"/>
    <x v="10"/>
  </r>
  <r>
    <x v="167"/>
    <n v="38"/>
    <n v="41400000"/>
    <s v="Western"/>
    <s v="Clint Eastwood"/>
    <x v="1880"/>
    <n v="39451"/>
    <s v="gold|miner|preacher|prospector|sheriff"/>
    <n v="138"/>
    <x v="0"/>
    <x v="0"/>
    <n v="6900000"/>
    <x v="37"/>
    <x v="4"/>
    <n v="6900000"/>
    <n v="41400000"/>
    <x v="1878"/>
    <x v="1880"/>
    <x v="13"/>
  </r>
  <r>
    <x v="1130"/>
    <n v="185"/>
    <n v="23947"/>
    <s v="Sci-Fi|Thriller"/>
    <s v="Logan Lerman"/>
    <x v="1881"/>
    <n v="357579"/>
    <s v="blackout|child pornography|memory|surprise ending|time travel"/>
    <n v="1100"/>
    <x v="0"/>
    <x v="0"/>
    <n v="13000000"/>
    <x v="2"/>
    <x v="9"/>
    <n v="13000000"/>
    <n v="23947"/>
    <x v="1879"/>
    <x v="1881"/>
    <x v="15"/>
  </r>
  <r>
    <x v="3"/>
    <n v="181"/>
    <n v="6100000"/>
    <s v="Western"/>
    <s v="Clint Eastwood"/>
    <x v="1882"/>
    <n v="503509"/>
    <s v="civil war|hitman|outlaw|shootout|spaghetti western"/>
    <n v="780"/>
    <x v="1"/>
    <x v="1"/>
    <n v="1200000"/>
    <x v="64"/>
    <x v="6"/>
    <n v="1301688"/>
    <n v="6616914"/>
    <x v="1880"/>
    <x v="1882"/>
    <x v="13"/>
  </r>
  <r>
    <x v="282"/>
    <n v="274"/>
    <n v="25530884"/>
    <s v="Mystery|Thriller"/>
    <s v="Callum Rennie"/>
    <x v="1883"/>
    <n v="845580"/>
    <s v="flashback|memory|murder|short term memory|telephone"/>
    <n v="2067"/>
    <x v="0"/>
    <x v="0"/>
    <n v="9000000"/>
    <x v="4"/>
    <x v="59"/>
    <n v="9000000"/>
    <n v="25530884"/>
    <x v="1881"/>
    <x v="1883"/>
    <x v="10"/>
  </r>
  <r>
    <x v="10"/>
    <n v="302"/>
    <n v="27000000"/>
    <s v="Sci-Fi|Thriller"/>
    <s v="Harrison Ford"/>
    <x v="1884"/>
    <n v="461609"/>
    <s v="artificial intelligence|human android relationship|megacorporation|police detective|tech noir"/>
    <n v="1168"/>
    <x v="0"/>
    <x v="0"/>
    <n v="28000000"/>
    <x v="42"/>
    <x v="60"/>
    <n v="28000000"/>
    <n v="27000000"/>
    <x v="1882"/>
    <x v="1884"/>
    <x v="15"/>
  </r>
  <r>
    <x v="158"/>
    <n v="490"/>
    <n v="127968405"/>
    <s v="Mystery|Thriller"/>
    <s v="Leonardo DiCaprio"/>
    <x v="1885"/>
    <n v="786092"/>
    <s v="female prisoner|plot twist|self delusion|surprise ending|year 1954"/>
    <n v="964"/>
    <x v="0"/>
    <x v="0"/>
    <n v="80000000"/>
    <x v="11"/>
    <x v="40"/>
    <n v="80000000"/>
    <n v="127968405"/>
    <x v="1883"/>
    <x v="1885"/>
    <x v="10"/>
  </r>
  <r>
    <x v="667"/>
    <n v="360"/>
    <n v="37553932"/>
    <s v="Action|Sci-Fi|Thriller"/>
    <s v="Matt Bomer"/>
    <x v="1886"/>
    <n v="304318"/>
    <s v="currency|future|murder|on the run|time"/>
    <n v="463"/>
    <x v="0"/>
    <x v="0"/>
    <n v="40000000"/>
    <x v="22"/>
    <x v="21"/>
    <n v="40000000"/>
    <n v="37553932"/>
    <x v="1884"/>
    <x v="1886"/>
    <x v="1"/>
  </r>
  <r>
    <x v="236"/>
    <n v="214"/>
    <n v="39235088"/>
    <s v="Horror|Sci-Fi"/>
    <s v="Vin Diesel"/>
    <x v="1887"/>
    <n v="193962"/>
    <s v="captain|darkness|eclipse|space|survival"/>
    <n v="805"/>
    <x v="0"/>
    <x v="0"/>
    <n v="23000000"/>
    <x v="4"/>
    <x v="17"/>
    <n v="23000000"/>
    <n v="39235088"/>
    <x v="1885"/>
    <x v="1887"/>
    <x v="6"/>
  </r>
  <r>
    <x v="1131"/>
    <n v="481"/>
    <n v="4105123"/>
    <s v="Action|Crime|Thriller"/>
    <s v="Iko Uwais"/>
    <x v="1888"/>
    <n v="148221"/>
    <s v="apartment|drug lord|gangster|police|swat team"/>
    <n v="316"/>
    <x v="23"/>
    <x v="30"/>
    <n v="1100000"/>
    <x v="22"/>
    <x v="10"/>
    <n v="67.356629999999996"/>
    <n v="251.37022819589899"/>
    <x v="1886"/>
    <x v="1888"/>
    <x v="1"/>
  </r>
  <r>
    <x v="1132"/>
    <n v="39"/>
    <n v="12610552"/>
    <s v="Action|Adventure|Fantasy|Sci-Fi|Thriller"/>
    <s v="George Coe"/>
    <x v="1889"/>
    <n v="4682"/>
    <s v="code|evil|false accusation|megalomaniac|torah"/>
    <n v="206"/>
    <x v="0"/>
    <x v="0"/>
    <n v="7500000"/>
    <x v="12"/>
    <x v="51"/>
    <n v="7500000"/>
    <n v="12610552"/>
    <x v="1887"/>
    <x v="1889"/>
    <x v="1"/>
  </r>
  <r>
    <x v="1133"/>
    <n v="109"/>
    <n v="353743"/>
    <s v="Comedy|Crime|Drama|Thriller|War"/>
    <s v="Dean Stockwell"/>
    <x v="1890"/>
    <n v="20730"/>
    <s v="berlin wall|germany|murder|soldier|specialist"/>
    <n v="111"/>
    <x v="0"/>
    <x v="2"/>
    <n v="15000000"/>
    <x v="9"/>
    <x v="31"/>
    <n v="19281000"/>
    <n v="454701.252199999"/>
    <x v="1888"/>
    <x v="1890"/>
    <x v="4"/>
  </r>
  <r>
    <x v="462"/>
    <n v="107"/>
    <n v="73023275"/>
    <s v="Comedy|Family"/>
    <s v="Don Cheadle"/>
    <x v="1891"/>
    <n v="16271"/>
    <s v="abandoned hotel|dog|foster home|overalls|playing with a dog"/>
    <n v="57"/>
    <x v="0"/>
    <x v="0"/>
    <n v="35000000"/>
    <x v="16"/>
    <x v="26"/>
    <n v="35000000"/>
    <n v="73023275"/>
    <x v="1889"/>
    <x v="1891"/>
    <x v="4"/>
  </r>
  <r>
    <x v="696"/>
    <n v="265"/>
    <n v="50213619"/>
    <s v="Comedy|Sci-Fi"/>
    <s v="Charlie McDermott"/>
    <x v="1892"/>
    <n v="139184"/>
    <s v="cheating wife|drug reference|maintenance man|male vomiting|promiscuous woman"/>
    <n v="243"/>
    <x v="0"/>
    <x v="0"/>
    <n v="36000000"/>
    <x v="11"/>
    <x v="24"/>
    <n v="36000000"/>
    <n v="50213619"/>
    <x v="1890"/>
    <x v="1892"/>
    <x v="4"/>
  </r>
  <r>
    <x v="1134"/>
    <n v="75"/>
    <n v="10696210"/>
    <s v="Action|Crime|Sci-Fi|Thriller"/>
    <s v="CCH Pounder"/>
    <x v="1893"/>
    <n v="35018"/>
    <s v="android|corporation|ninja|police|robocop"/>
    <n v="180"/>
    <x v="0"/>
    <x v="0"/>
    <n v="23500000"/>
    <x v="23"/>
    <x v="52"/>
    <n v="23500000"/>
    <n v="10696210"/>
    <x v="1891"/>
    <x v="1893"/>
    <x v="1"/>
  </r>
  <r>
    <x v="471"/>
    <n v="117"/>
    <n v="37432299"/>
    <s v="Drama|Romance"/>
    <s v="Tiago Riani"/>
    <x v="1894"/>
    <n v="50041"/>
    <s v="1940s|art collector|bull riding|north carolina|student"/>
    <n v="116"/>
    <x v="0"/>
    <x v="0"/>
    <n v="34000000"/>
    <x v="1"/>
    <x v="17"/>
    <n v="34000000"/>
    <n v="37432299"/>
    <x v="1892"/>
    <x v="1894"/>
    <x v="5"/>
  </r>
  <r>
    <x v="1135"/>
    <n v="117"/>
    <n v="1039869"/>
    <s v="Biography|Comedy|Crime|Drama"/>
    <s v="Kevin Spacey"/>
    <x v="1895"/>
    <n v="14757"/>
    <s v="corruption|lobbyist|murder|washington d.c.|washington d.c. lobbyist"/>
    <n v="51"/>
    <x v="0"/>
    <x v="9"/>
    <n v="15000000"/>
    <x v="11"/>
    <x v="5"/>
    <n v="10851075"/>
    <n v="752246.43394499901"/>
    <x v="1893"/>
    <x v="1895"/>
    <x v="2"/>
  </r>
  <r>
    <x v="1136"/>
    <n v="70"/>
    <n v="18438149"/>
    <s v="Comedy|Drama"/>
    <s v="John Gatins"/>
    <x v="1896"/>
    <n v="30842"/>
    <s v="box office flop|buddhist|liar|literary agent|magical tree"/>
    <n v="93"/>
    <x v="0"/>
    <x v="0"/>
    <n v="40000000"/>
    <x v="28"/>
    <x v="0"/>
    <n v="40000000"/>
    <n v="18438149"/>
    <x v="1894"/>
    <x v="1896"/>
    <x v="4"/>
  </r>
  <r>
    <x v="160"/>
    <n v="125"/>
    <n v="18761993"/>
    <s v="Comedy|Drama"/>
    <s v="Alicia Witt"/>
    <x v="1897"/>
    <n v="19007"/>
    <s v="anger|baseball|drinking|radio|secretary"/>
    <n v="219"/>
    <x v="0"/>
    <x v="0"/>
    <n v="9000000"/>
    <x v="25"/>
    <x v="31"/>
    <n v="9000000"/>
    <n v="18761993"/>
    <x v="1895"/>
    <x v="1897"/>
    <x v="4"/>
  </r>
  <r>
    <x v="371"/>
    <n v="132"/>
    <n v="41523271"/>
    <s v="Comedy|Crime|Drama|Romance"/>
    <s v="Bruce Willis"/>
    <x v="1898"/>
    <n v="57038"/>
    <s v="bank manager|hypochondriac|love triangle|prison|television"/>
    <n v="261"/>
    <x v="0"/>
    <x v="0"/>
    <n v="80000000"/>
    <x v="9"/>
    <x v="14"/>
    <n v="80000000"/>
    <n v="41523271"/>
    <x v="1896"/>
    <x v="1898"/>
    <x v="4"/>
  </r>
  <r>
    <x v="1137"/>
    <n v="112"/>
    <n v="30226144"/>
    <s v="Biography|Drama"/>
    <s v="Denzel Washington"/>
    <x v="1899"/>
    <n v="47626"/>
    <s v="college|debate|student|texas|wiley college"/>
    <n v="118"/>
    <x v="0"/>
    <x v="0"/>
    <n v="15000000"/>
    <x v="15"/>
    <x v="10"/>
    <n v="15000000"/>
    <n v="30226144"/>
    <x v="1897"/>
    <x v="1899"/>
    <x v="2"/>
  </r>
  <r>
    <x v="508"/>
    <n v="177"/>
    <n v="38372662"/>
    <s v="Drama|Romance"/>
    <s v="Talulah Riley"/>
    <x v="1900"/>
    <n v="193455"/>
    <s v="bachelor|england|gentleman|georgian|love"/>
    <n v="1058"/>
    <x v="0"/>
    <x v="8"/>
    <n v="28000000"/>
    <x v="25"/>
    <x v="38"/>
    <n v="30372720"/>
    <n v="41624361.37788"/>
    <x v="1898"/>
    <x v="1900"/>
    <x v="5"/>
  </r>
  <r>
    <x v="282"/>
    <n v="645"/>
    <n v="533316061"/>
    <s v="Action|Crime|Drama|Thriller"/>
    <s v="Christian Bale"/>
    <x v="1901"/>
    <n v="1676169"/>
    <s v="based on comic book|dc comics|psychopath|star died before release|urban setting"/>
    <n v="4667"/>
    <x v="0"/>
    <x v="0"/>
    <n v="185000000"/>
    <x v="20"/>
    <x v="68"/>
    <n v="185000000"/>
    <n v="533316061"/>
    <x v="1899"/>
    <x v="1901"/>
    <x v="1"/>
  </r>
  <r>
    <x v="1077"/>
    <n v="166"/>
    <n v="35228696"/>
    <s v="Drama|Horror|Mystery|Thriller"/>
    <s v="Debra Messing"/>
    <x v="1902"/>
    <n v="63677"/>
    <s v="car accident|death of wife|mothman|point pleasant west virginia|urban legend"/>
    <n v="460"/>
    <x v="0"/>
    <x v="0"/>
    <n v="32000000"/>
    <x v="13"/>
    <x v="20"/>
    <n v="32000000"/>
    <n v="35228696"/>
    <x v="1900"/>
    <x v="1902"/>
    <x v="5"/>
  </r>
  <r>
    <x v="1138"/>
    <n v="26"/>
    <n v="883887"/>
    <s v="Drama"/>
    <s v="Q'orianka Kilcher"/>
    <x v="1903"/>
    <n v="1201"/>
    <s v="hawaii|hawaiian|historically inaccurate|princess|tearing up a letter"/>
    <n v="14"/>
    <x v="0"/>
    <x v="0"/>
    <n v="9000000"/>
    <x v="16"/>
    <x v="5"/>
    <n v="9000000"/>
    <n v="883887"/>
    <x v="1901"/>
    <x v="1903"/>
    <x v="5"/>
  </r>
  <r>
    <x v="74"/>
    <n v="53"/>
    <n v="104632573"/>
    <s v="Drama|Fantasy|Romance|Sci-Fi"/>
    <s v="Robert Duvall"/>
    <x v="1904"/>
    <n v="63839"/>
    <s v="brain tumor|genius|psionic power|telekinesis|terminal illness"/>
    <n v="118"/>
    <x v="0"/>
    <x v="0"/>
    <n v="32000000"/>
    <x v="10"/>
    <x v="24"/>
    <n v="32000000"/>
    <n v="104632573"/>
    <x v="1902"/>
    <x v="1904"/>
    <x v="5"/>
  </r>
  <r>
    <x v="1079"/>
    <n v="104"/>
    <n v="13208023"/>
    <s v="Crime|Horror|Thriller"/>
    <s v="Natascha McElhone"/>
    <x v="1905"/>
    <n v="17309"/>
    <s v="bondage gear|bound and gagged|hung by one's wrists|tied to a chair|tied to a table"/>
    <n v="388"/>
    <x v="0"/>
    <x v="2"/>
    <n v="42000000"/>
    <x v="13"/>
    <x v="57"/>
    <n v="53986799.999999903"/>
    <n v="16977592.764199998"/>
    <x v="1903"/>
    <x v="1905"/>
    <x v="3"/>
  </r>
  <r>
    <x v="281"/>
    <n v="113"/>
    <n v="35168395"/>
    <s v="Drama|Romance|Sport"/>
    <s v="J.K. Simmons"/>
    <x v="1906"/>
    <n v="26034"/>
    <s v="baseball|baseball movie|detroit tigers|perfect game|pitcher"/>
    <n v="226"/>
    <x v="0"/>
    <x v="0"/>
    <n v="50000000"/>
    <x v="12"/>
    <x v="20"/>
    <n v="50000000"/>
    <n v="35168395"/>
    <x v="1904"/>
    <x v="1906"/>
    <x v="5"/>
  </r>
  <r>
    <x v="1139"/>
    <n v="76"/>
    <n v="5881504"/>
    <s v="Biography|Drama|Romance|Sport"/>
    <s v="Omar Epps"/>
    <x v="1907"/>
    <n v="5917"/>
    <s v="boxer|boxing|boxing arena|boxing manager|directed by co star"/>
    <n v="50"/>
    <x v="0"/>
    <x v="0"/>
    <n v="39000000"/>
    <x v="2"/>
    <x v="1"/>
    <n v="39000000"/>
    <n v="5881504"/>
    <x v="1905"/>
    <x v="1907"/>
    <x v="2"/>
  </r>
  <r>
    <x v="713"/>
    <n v="148"/>
    <n v="5132655"/>
    <s v="Horror|Sci-Fi"/>
    <s v="Catherine Lough Haggquist"/>
    <x v="1908"/>
    <n v="37626"/>
    <s v="artifact|creature|darkness|demon|museum"/>
    <n v="521"/>
    <x v="0"/>
    <x v="9"/>
    <n v="20000000"/>
    <x v="25"/>
    <x v="49"/>
    <n v="14468100"/>
    <n v="3712988.290275"/>
    <x v="1906"/>
    <x v="1908"/>
    <x v="6"/>
  </r>
  <r>
    <x v="98"/>
    <n v="224"/>
    <n v="41709"/>
    <s v="Comedy|Horror"/>
    <s v="BjÃ¸rn Sundquist"/>
    <x v="1909"/>
    <n v="54601"/>
    <s v="medical student|nazi|snow|snowmobile|zombie"/>
    <n v="200"/>
    <x v="20"/>
    <x v="27"/>
    <n v="800000"/>
    <x v="16"/>
    <x v="24"/>
    <n v="72519.199999999997"/>
    <n v="3780.8791409999999"/>
    <x v="1907"/>
    <x v="1909"/>
    <x v="4"/>
  </r>
  <r>
    <x v="180"/>
    <n v="204"/>
    <n v="52822418"/>
    <s v="Action|Drama|Thriller|War"/>
    <s v="Toby Stephens"/>
    <x v="1910"/>
    <n v="47764"/>
    <s v="based on true story|cia agent|libya|mercenary|u.s. ambassador"/>
    <n v="219"/>
    <x v="0"/>
    <x v="0"/>
    <n v="50000000"/>
    <x v="24"/>
    <x v="39"/>
    <n v="50000000"/>
    <n v="52822418"/>
    <x v="1908"/>
    <x v="1910"/>
    <x v="1"/>
  </r>
  <r>
    <x v="1140"/>
    <n v="38"/>
    <n v="39880476"/>
    <s v="Adventure|Animation|Comedy|Family|Fantasy"/>
    <s v="Alfre Woodard"/>
    <x v="1911"/>
    <n v="12218"/>
    <s v="africa|chimpanzee|elephant|safari|shaman"/>
    <n v="33"/>
    <x v="0"/>
    <x v="0"/>
    <n v="25000000"/>
    <x v="13"/>
    <x v="44"/>
    <n v="25000000"/>
    <n v="39880476"/>
    <x v="1909"/>
    <x v="1911"/>
    <x v="0"/>
  </r>
  <r>
    <x v="1141"/>
    <n v="33"/>
    <n v="6491350"/>
    <s v="Animation|Comedy|Family|Fantasy|Musical"/>
    <s v="Nathan Lane"/>
    <x v="1912"/>
    <n v="1231"/>
    <s v="dog|florida|mad scientist|school|teacher"/>
    <n v="26"/>
    <x v="0"/>
    <x v="0"/>
    <n v="10000000"/>
    <x v="2"/>
    <x v="30"/>
    <n v="10000000"/>
    <n v="6491350"/>
    <x v="1910"/>
    <x v="1912"/>
    <x v="8"/>
  </r>
  <r>
    <x v="206"/>
    <n v="152"/>
    <n v="47860214"/>
    <s v="Horror|Thriller"/>
    <s v="Madeline Carroll"/>
    <x v="1913"/>
    <n v="34711"/>
    <s v="babysitting|cell phone|high school|nightmare|teenager"/>
    <n v="468"/>
    <x v="0"/>
    <x v="0"/>
    <n v="15000000"/>
    <x v="7"/>
    <x v="53"/>
    <n v="15000000"/>
    <n v="47860214"/>
    <x v="1911"/>
    <x v="1913"/>
    <x v="6"/>
  </r>
  <r>
    <x v="108"/>
    <n v="74"/>
    <n v="6165429"/>
    <s v="Adventure|Biography|Drama|History"/>
    <s v="Roy Billing"/>
    <x v="1914"/>
    <n v="23486"/>
    <s v="aborigine|based on true story|colonialism|fence|half caste"/>
    <n v="249"/>
    <x v="12"/>
    <x v="3"/>
    <n v="6000000"/>
    <x v="13"/>
    <x v="2"/>
    <n v="3923280"/>
    <n v="4031450.7145199999"/>
    <x v="1912"/>
    <x v="1914"/>
    <x v="0"/>
  </r>
  <r>
    <x v="1142"/>
    <n v="31"/>
    <n v="143653"/>
    <s v="Biography|Drama"/>
    <s v="Tom Cullen"/>
    <x v="1915"/>
    <n v="1177"/>
    <s v="dance|dancer|dancing|desert|iran"/>
    <n v="10"/>
    <x v="0"/>
    <x v="2"/>
    <n v="4000000"/>
    <x v="27"/>
    <x v="11"/>
    <n v="5141599.9999999898"/>
    <n v="184651.56619999901"/>
    <x v="1913"/>
    <x v="1915"/>
    <x v="2"/>
  </r>
  <r>
    <x v="1143"/>
    <n v="146"/>
    <n v="84037039"/>
    <s v="Action|Adventure|Animation|Family|Fantasy|Sci-Fi"/>
    <s v="Leonard Nimoy"/>
    <x v="1916"/>
    <n v="72591"/>
    <s v="atlantis|crew|expedition|journal|museum"/>
    <n v="289"/>
    <x v="0"/>
    <x v="0"/>
    <n v="120000000"/>
    <x v="9"/>
    <x v="22"/>
    <n v="120000000"/>
    <n v="84037039"/>
    <x v="1914"/>
    <x v="1916"/>
    <x v="1"/>
  </r>
  <r>
    <x v="774"/>
    <n v="200"/>
    <n v="54540525"/>
    <s v="Comedy|Romance"/>
    <s v="Robert De Niro"/>
    <x v="1917"/>
    <n v="66579"/>
    <s v="expecting|kiss|new year|new year's eve|singer"/>
    <n v="134"/>
    <x v="0"/>
    <x v="0"/>
    <n v="56000000"/>
    <x v="22"/>
    <x v="35"/>
    <n v="56000000"/>
    <n v="54540525"/>
    <x v="1915"/>
    <x v="1917"/>
    <x v="4"/>
  </r>
  <r>
    <x v="1144"/>
    <n v="488"/>
    <n v="4563029"/>
    <s v="Action|Drama|Sci-Fi|Thriller"/>
    <s v="Chris Evans"/>
    <x v="1918"/>
    <n v="181472"/>
    <s v="closed ecological system|perpetual winter|population control|revolt|train"/>
    <n v="514"/>
    <x v="0"/>
    <x v="14"/>
    <n v="39200000"/>
    <x v="0"/>
    <x v="16"/>
    <n v="28375.5864"/>
    <n v="3303.0261131430002"/>
    <x v="1916"/>
    <x v="1918"/>
    <x v="1"/>
  </r>
  <r>
    <x v="1145"/>
    <n v="33"/>
    <n v="29247405"/>
    <s v="Comedy|Family|Music"/>
    <s v="Jason Flemyng"/>
    <x v="1919"/>
    <n v="28377"/>
    <s v="bus|concert|live concert|pop group|spice girl"/>
    <n v="261"/>
    <x v="0"/>
    <x v="2"/>
    <n v="25000000"/>
    <x v="31"/>
    <x v="57"/>
    <n v="32134999.999999899"/>
    <n v="37594614.386999898"/>
    <x v="1917"/>
    <x v="1919"/>
    <x v="4"/>
  </r>
  <r>
    <x v="1146"/>
    <n v="224"/>
    <n v="3254172"/>
    <s v="Biography|Drama|Thriller"/>
    <s v="Benedict Cumberbatch"/>
    <x v="1920"/>
    <n v="29282"/>
    <s v="computer hacker|internet|news leak|whistleblowing|wikileaks"/>
    <n v="105"/>
    <x v="0"/>
    <x v="0"/>
    <n v="28000000"/>
    <x v="0"/>
    <x v="5"/>
    <n v="28000000"/>
    <n v="3254172"/>
    <x v="1918"/>
    <x v="1920"/>
    <x v="2"/>
  </r>
  <r>
    <x v="785"/>
    <n v="738"/>
    <n v="274084951"/>
    <s v="Adventure|Drama|Sci-Fi|Thriller"/>
    <s v="Phaldut Sharma"/>
    <x v="1921"/>
    <n v="582917"/>
    <s v="box office hit|long take|sole survivor|space|space station"/>
    <n v="1885"/>
    <x v="0"/>
    <x v="2"/>
    <n v="100000000"/>
    <x v="0"/>
    <x v="38"/>
    <n v="128539999.999999"/>
    <n v="352308796.01539999"/>
    <x v="1919"/>
    <x v="1921"/>
    <x v="0"/>
  </r>
  <r>
    <x v="1147"/>
    <n v="98"/>
    <n v="55210049"/>
    <s v="Action|Adventure|Sci-Fi|Thriller"/>
    <s v="Leonard Nimoy"/>
    <x v="1922"/>
    <n v="43743"/>
    <s v="captain|half brother|klingon|planet|vulcan"/>
    <n v="293"/>
    <x v="0"/>
    <x v="0"/>
    <n v="27800000"/>
    <x v="26"/>
    <x v="26"/>
    <n v="27800000"/>
    <n v="55210049"/>
    <x v="1920"/>
    <x v="1922"/>
    <x v="1"/>
  </r>
  <r>
    <x v="40"/>
    <n v="125"/>
    <n v="47095453"/>
    <s v="Comedy|Fantasy|Romance"/>
    <s v="Hugh Jackman"/>
    <x v="1923"/>
    <n v="64595"/>
    <s v="bridge|brooklyn bridge|falling down an elevator shaft|time travel|time travel romance"/>
    <n v="316"/>
    <x v="0"/>
    <x v="0"/>
    <n v="48000000"/>
    <x v="9"/>
    <x v="24"/>
    <n v="48000000"/>
    <n v="47095453"/>
    <x v="1921"/>
    <x v="1923"/>
    <x v="4"/>
  </r>
  <r>
    <x v="366"/>
    <n v="42"/>
    <n v="10763469"/>
    <s v="Comedy|Drama|Romance"/>
    <s v="Woody Allen"/>
    <x v="1924"/>
    <n v="13692"/>
    <s v="12 year old|artist|hotel|three word title|written and directed by cast member"/>
    <n v="55"/>
    <x v="0"/>
    <x v="0"/>
    <n v="15000000"/>
    <x v="26"/>
    <x v="24"/>
    <n v="15000000"/>
    <n v="10763469"/>
    <x v="1922"/>
    <x v="1924"/>
    <x v="4"/>
  </r>
  <r>
    <x v="418"/>
    <n v="669"/>
    <n v="106952327"/>
    <s v="Drama|Thriller"/>
    <s v="Natalie Portman"/>
    <x v="1925"/>
    <n v="551363"/>
    <s v="ballerina|ballet|fear|female protagonist|madness"/>
    <n v="1140"/>
    <x v="0"/>
    <x v="0"/>
    <n v="13000000"/>
    <x v="11"/>
    <x v="3"/>
    <n v="13000000"/>
    <n v="106952327"/>
    <x v="1923"/>
    <x v="1925"/>
    <x v="5"/>
  </r>
  <r>
    <x v="209"/>
    <n v="645"/>
    <n v="303001229"/>
    <s v="Adventure|Fantasy"/>
    <s v="Aidan Turner"/>
    <x v="1926"/>
    <n v="637246"/>
    <s v="dragon|dwarf|hobbit|orc|wizard"/>
    <n v="1367"/>
    <x v="0"/>
    <x v="0"/>
    <n v="180000000"/>
    <x v="28"/>
    <x v="19"/>
    <n v="180000000"/>
    <n v="303001229"/>
    <x v="1924"/>
    <x v="1926"/>
    <x v="0"/>
  </r>
  <r>
    <x v="329"/>
    <n v="493"/>
    <n v="171031347"/>
    <s v="Adventure|Drama|Western"/>
    <s v="Matt Damon"/>
    <x v="1927"/>
    <n v="240962"/>
    <s v="arkansas|murder|sheriff|texas ranger|u.s. marshal"/>
    <n v="724"/>
    <x v="0"/>
    <x v="0"/>
    <n v="38000000"/>
    <x v="11"/>
    <x v="9"/>
    <n v="38000000"/>
    <n v="171031347"/>
    <x v="1925"/>
    <x v="1927"/>
    <x v="0"/>
  </r>
  <r>
    <x v="105"/>
    <n v="79"/>
    <n v="5205343"/>
    <s v="Comedy|Drama|Family|Music|Romance"/>
    <s v="Scott Porter"/>
    <x v="1928"/>
    <n v="11958"/>
    <s v="battle of the bands|high school|rock 'n' roll|school|teenager"/>
    <n v="39"/>
    <x v="0"/>
    <x v="0"/>
    <n v="20000000"/>
    <x v="16"/>
    <x v="24"/>
    <n v="20000000"/>
    <n v="5205343"/>
    <x v="1926"/>
    <x v="1928"/>
    <x v="4"/>
  </r>
  <r>
    <x v="1148"/>
    <n v="22"/>
    <n v="111300"/>
    <s v="Documentary"/>
    <s v="Brendan Doogie Milewski"/>
    <x v="1929"/>
    <n v="575"/>
    <s v="abandoned building|detroit michigan|firefighter|michigan|urban setting"/>
    <n v="6"/>
    <x v="0"/>
    <x v="0"/>
    <n v="225000"/>
    <x v="28"/>
    <x v="2"/>
    <n v="225000"/>
    <n v="111300"/>
    <x v="1927"/>
    <x v="1929"/>
    <x v="7"/>
  </r>
  <r>
    <x v="313"/>
    <n v="138"/>
    <n v="43060566"/>
    <s v="Action|Adventure|Fantasy|Sci-Fi|Thriller"/>
    <s v="Christian Bale"/>
    <x v="1930"/>
    <n v="107859"/>
    <s v="castle|dragon|fire breathing dragon|militia|survival"/>
    <n v="569"/>
    <x v="0"/>
    <x v="0"/>
    <n v="60000000"/>
    <x v="13"/>
    <x v="5"/>
    <n v="60000000"/>
    <n v="43060566"/>
    <x v="1928"/>
    <x v="1930"/>
    <x v="1"/>
  </r>
  <r>
    <x v="1149"/>
    <n v="81"/>
    <n v="11043445"/>
    <s v="Comedy|Drama|Romance"/>
    <s v="Kristen Stewart"/>
    <x v="1931"/>
    <n v="27689"/>
    <s v="actress|love|michigan|neighbor|writer"/>
    <n v="74"/>
    <x v="0"/>
    <x v="0"/>
    <n v="10000000"/>
    <x v="15"/>
    <x v="20"/>
    <n v="10000000"/>
    <n v="11043445"/>
    <x v="1929"/>
    <x v="1931"/>
    <x v="4"/>
  </r>
  <r>
    <x v="132"/>
    <n v="174"/>
    <n v="96067179"/>
    <s v="Biography|Drama|History"/>
    <s v="Liam Neeson"/>
    <x v="1932"/>
    <n v="865020"/>
    <s v="german|german soldier|jew|jewish|nazi"/>
    <n v="1273"/>
    <x v="0"/>
    <x v="0"/>
    <n v="22000000"/>
    <x v="23"/>
    <x v="6"/>
    <n v="22000000"/>
    <n v="96067179"/>
    <x v="1930"/>
    <x v="1932"/>
    <x v="2"/>
  </r>
  <r>
    <x v="1150"/>
    <n v="22"/>
    <n v="23031390"/>
    <s v="Comedy|Drama"/>
    <s v="Bernie Mac"/>
    <x v="1933"/>
    <n v="4345"/>
    <s v="catfight|dominatrix|rape|spanking|stripper"/>
    <n v="26"/>
    <x v="0"/>
    <x v="0"/>
    <n v="4500000"/>
    <x v="6"/>
    <x v="15"/>
    <n v="4500000"/>
    <n v="23031390"/>
    <x v="1931"/>
    <x v="1933"/>
    <x v="4"/>
  </r>
  <r>
    <x v="1151"/>
    <n v="44"/>
    <n v="37440"/>
    <s v="Comedy|Drama|Music"/>
    <s v="Billy Crudup"/>
    <x v="1934"/>
    <n v="12672"/>
    <s v="demo tape|directed by cast member|grieving father|guitar|guitar player"/>
    <n v="60"/>
    <x v="0"/>
    <x v="0"/>
    <n v="5000000"/>
    <x v="27"/>
    <x v="2"/>
    <n v="5000000"/>
    <n v="37440"/>
    <x v="1932"/>
    <x v="1934"/>
    <x v="4"/>
  </r>
  <r>
    <x v="882"/>
    <n v="460"/>
    <n v="210592590"/>
    <s v="Action|Drama|Fantasy|War"/>
    <s v="Gerard Butler"/>
    <x v="1935"/>
    <n v="607235"/>
    <s v="battle|epic|greece|spartan|warrior"/>
    <n v="2073"/>
    <x v="0"/>
    <x v="0"/>
    <n v="65000000"/>
    <x v="7"/>
    <x v="9"/>
    <n v="65000000"/>
    <n v="210592590"/>
    <x v="1933"/>
    <x v="1935"/>
    <x v="1"/>
  </r>
  <r>
    <x v="1031"/>
    <n v="190"/>
    <n v="63270259"/>
    <s v="Horror|Mystery"/>
    <s v="Costas Mandylor"/>
    <x v="1936"/>
    <n v="111087"/>
    <s v="detective|fbi|rape|rapist|serial rapist"/>
    <n v="319"/>
    <x v="0"/>
    <x v="0"/>
    <n v="10000000"/>
    <x v="15"/>
    <x v="0"/>
    <n v="10000000"/>
    <n v="63270259"/>
    <x v="1934"/>
    <x v="1936"/>
    <x v="6"/>
  </r>
  <r>
    <x v="698"/>
    <n v="53"/>
    <n v="105263257"/>
    <s v="Action|Adventure|Comedy|Family|Romance"/>
    <s v="Brendan Fraser"/>
    <x v="1937"/>
    <n v="56168"/>
    <s v="animal companion|heiress|hero|jungle|male objectification"/>
    <n v="103"/>
    <x v="0"/>
    <x v="0"/>
    <n v="55000000"/>
    <x v="31"/>
    <x v="26"/>
    <n v="55000000"/>
    <n v="105263257"/>
    <x v="1935"/>
    <x v="1937"/>
    <x v="1"/>
  </r>
  <r>
    <x v="1152"/>
    <n v="85"/>
    <n v="17757087"/>
    <s v="Horror|Sci-Fi|Thriller"/>
    <s v="Jason London"/>
    <x v="1938"/>
    <n v="13065"/>
    <s v="high school|party|prom|suicide|teenage girl"/>
    <n v="253"/>
    <x v="0"/>
    <x v="0"/>
    <n v="21000000"/>
    <x v="12"/>
    <x v="34"/>
    <n v="21000000"/>
    <n v="17757087"/>
    <x v="1936"/>
    <x v="1938"/>
    <x v="6"/>
  </r>
  <r>
    <x v="1153"/>
    <n v="47"/>
    <n v="190562"/>
    <s v="Action|Family|Fantasy|Musical"/>
    <s v="Shirley Henderson"/>
    <x v="1939"/>
    <n v="2508"/>
    <s v="box office flop|christmas|christmas eve|critically bashed|toy comes to life"/>
    <n v="24"/>
    <x v="0"/>
    <x v="2"/>
    <n v="90000000"/>
    <x v="11"/>
    <x v="8"/>
    <n v="115685999.999999"/>
    <n v="244948.39479999899"/>
    <x v="1937"/>
    <x v="1939"/>
    <x v="1"/>
  </r>
  <r>
    <x v="1154"/>
    <n v="663"/>
    <n v="12784397"/>
    <s v="Drama|Fantasy"/>
    <s v="QuvenzhanÃ© Wallis"/>
    <x v="1940"/>
    <n v="70336"/>
    <s v="auroch|community|hospital|illness|six year old"/>
    <n v="269"/>
    <x v="0"/>
    <x v="0"/>
    <n v="1800000"/>
    <x v="28"/>
    <x v="4"/>
    <n v="1800000"/>
    <n v="12784397"/>
    <x v="1938"/>
    <x v="1940"/>
    <x v="5"/>
  </r>
  <r>
    <x v="1155"/>
    <n v="107"/>
    <n v="10037390"/>
    <s v="Action|Adventure|Drama|Sci-Fi|Thriller"/>
    <s v="Hiroshi Abe"/>
    <x v="1941"/>
    <n v="5442"/>
    <s v="godzilla|kaiju|monster|orga|ufo"/>
    <n v="140"/>
    <x v="8"/>
    <x v="15"/>
    <n v="1000000000"/>
    <x v="12"/>
    <x v="11"/>
    <n v="6496600"/>
    <n v="65208.907873999997"/>
    <x v="1939"/>
    <x v="1941"/>
    <x v="1"/>
  </r>
  <r>
    <x v="810"/>
    <n v="69"/>
    <n v="19158074"/>
    <s v="Drama|Family|Fantasy|Romance"/>
    <s v="William Hurt"/>
    <x v="1942"/>
    <n v="17983"/>
    <s v="fountain of youth|immortality|secret|woods|young man"/>
    <n v="127"/>
    <x v="0"/>
    <x v="0"/>
    <n v="15000000"/>
    <x v="13"/>
    <x v="21"/>
    <n v="15000000"/>
    <n v="19158074"/>
    <x v="1940"/>
    <x v="1942"/>
    <x v="5"/>
  </r>
  <r>
    <x v="180"/>
    <n v="428"/>
    <n v="352358779"/>
    <s v="Action|Adventure|Sci-Fi"/>
    <s v="Glenn Morshower"/>
    <x v="1943"/>
    <n v="326180"/>
    <s v="autobot|decepticon|job interview|moon|spacecraft"/>
    <n v="899"/>
    <x v="0"/>
    <x v="0"/>
    <n v="195000000"/>
    <x v="22"/>
    <x v="23"/>
    <n v="195000000"/>
    <n v="352358779"/>
    <x v="1941"/>
    <x v="1943"/>
    <x v="1"/>
  </r>
  <r>
    <x v="29"/>
    <n v="161"/>
    <n v="55808744"/>
    <s v="Comedy|Crime|Music"/>
    <s v="Dwayne Johnson"/>
    <x v="1944"/>
    <n v="59435"/>
    <s v="concert|mobster|russian|sequel|widow"/>
    <n v="323"/>
    <x v="0"/>
    <x v="0"/>
    <n v="53000000"/>
    <x v="25"/>
    <x v="35"/>
    <n v="53000000"/>
    <n v="55808744"/>
    <x v="1942"/>
    <x v="1944"/>
    <x v="4"/>
  </r>
  <r>
    <x v="1146"/>
    <n v="241"/>
    <n v="103338338"/>
    <s v="Drama|Music|Musical"/>
    <s v="Loretta Devine"/>
    <x v="1945"/>
    <n v="55901"/>
    <s v="1960s|fire|pop chart|singer|trio"/>
    <n v="503"/>
    <x v="0"/>
    <x v="0"/>
    <n v="70000000"/>
    <x v="7"/>
    <x v="20"/>
    <n v="70000000"/>
    <n v="103338338"/>
    <x v="1943"/>
    <x v="1945"/>
    <x v="5"/>
  </r>
  <r>
    <x v="827"/>
    <n v="139"/>
    <n v="68353550"/>
    <s v="Comedy|Sport"/>
    <s v="Kirsten Dunst"/>
    <x v="1946"/>
    <n v="70141"/>
    <s v="championship|cheerleading|high school|teen comedy|teenage romance"/>
    <n v="385"/>
    <x v="0"/>
    <x v="0"/>
    <n v="10000000"/>
    <x v="4"/>
    <x v="0"/>
    <n v="10000000"/>
    <n v="68353550"/>
    <x v="1944"/>
    <x v="1946"/>
    <x v="4"/>
  </r>
  <r>
    <x v="1156"/>
    <n v="270"/>
    <n v="31537320"/>
    <s v="Horror|Mystery|Thriller"/>
    <s v="Shelley Hennig"/>
    <x v="1947"/>
    <n v="44329"/>
    <s v="blender|computer screen|secret|skype|webcam"/>
    <n v="309"/>
    <x v="0"/>
    <x v="0"/>
    <n v="1000000"/>
    <x v="27"/>
    <x v="35"/>
    <n v="1000000"/>
    <n v="31537320"/>
    <x v="1945"/>
    <x v="1947"/>
    <x v="6"/>
  </r>
  <r>
    <x v="1157"/>
    <n v="111"/>
    <n v="542860"/>
    <s v="Drama|History|War"/>
    <s v="Yorick van Wageningen"/>
    <x v="1948"/>
    <n v="9230"/>
    <s v="horse|nazi|occupation|resistance movement|uncle nephew relationship"/>
    <n v="37"/>
    <x v="24"/>
    <x v="31"/>
    <n v="4000000"/>
    <x v="20"/>
    <x v="17"/>
    <n v="4338960"/>
    <n v="588861.95640000002"/>
    <x v="1946"/>
    <x v="1948"/>
    <x v="5"/>
  </r>
  <r>
    <x v="405"/>
    <n v="231"/>
    <n v="18860403"/>
    <s v="Horror|Thriller"/>
    <s v="Chris Zylka"/>
    <x v="1949"/>
    <n v="20823"/>
    <s v="lake|louisiana|redneck|shark|vacation"/>
    <n v="130"/>
    <x v="0"/>
    <x v="0"/>
    <n v="25000000"/>
    <x v="22"/>
    <x v="56"/>
    <n v="25000000"/>
    <n v="18860403"/>
    <x v="1947"/>
    <x v="1949"/>
    <x v="6"/>
  </r>
  <r>
    <x v="1158"/>
    <n v="217"/>
    <n v="66637"/>
    <s v="Drama|Romance|War"/>
    <s v="Steve Buscemi"/>
    <x v="1950"/>
    <n v="29608"/>
    <s v="captain|casualty notification|casualty notification team|sergeant|staff sergeant"/>
    <n v="92"/>
    <x v="0"/>
    <x v="0"/>
    <n v="6500000"/>
    <x v="16"/>
    <x v="33"/>
    <n v="6500000"/>
    <n v="66637"/>
    <x v="1948"/>
    <x v="1950"/>
    <x v="5"/>
  </r>
  <r>
    <x v="134"/>
    <n v="42"/>
    <n v="10443316"/>
    <s v="Comedy|Drama|Romance"/>
    <s v="Catherine O'Hara"/>
    <x v="1951"/>
    <n v="7159"/>
    <s v="baby|infidelity|pilot|pregnant|waitress"/>
    <n v="88"/>
    <x v="0"/>
    <x v="0"/>
    <n v="15000000"/>
    <x v="6"/>
    <x v="53"/>
    <n v="15000000"/>
    <n v="10443316"/>
    <x v="1949"/>
    <x v="1951"/>
    <x v="4"/>
  </r>
  <r>
    <x v="382"/>
    <n v="148"/>
    <n v="3000000"/>
    <s v="Comedy|Drama"/>
    <s v="Philip Seymour Hoffman"/>
    <x v="1952"/>
    <n v="55329"/>
    <s v="ensemble cast|episodic structure|satire|social satire|suburb"/>
    <n v="499"/>
    <x v="0"/>
    <x v="0"/>
    <n v="3000000"/>
    <x v="6"/>
    <x v="38"/>
    <n v="3000000"/>
    <n v="3000000"/>
    <x v="1950"/>
    <x v="1952"/>
    <x v="4"/>
  </r>
  <r>
    <x v="1159"/>
    <n v="216"/>
    <n v="15785632"/>
    <s v="Biography|Comedy|Drama|Sport"/>
    <s v="Hugh Jackman"/>
    <x v="1953"/>
    <n v="32507"/>
    <s v="1988 winter olympics|coach|ski jumper|winter|winter olympics"/>
    <n v="119"/>
    <x v="0"/>
    <x v="2"/>
    <n v="23000000"/>
    <x v="24"/>
    <x v="2"/>
    <n v="29564199.999999899"/>
    <n v="20290851.372799899"/>
    <x v="1951"/>
    <x v="1953"/>
    <x v="2"/>
  </r>
  <r>
    <x v="554"/>
    <n v="433"/>
    <n v="17613460"/>
    <s v="Adventure|Comedy|Drama"/>
    <s v="Devin Ratray"/>
    <x v="1954"/>
    <n v="91082"/>
    <s v="aging|billings montana|lincoln nebraska|nebraska|pickup truck"/>
    <n v="274"/>
    <x v="0"/>
    <x v="0"/>
    <n v="12000000"/>
    <x v="0"/>
    <x v="38"/>
    <n v="12000000"/>
    <n v="17613460"/>
    <x v="1952"/>
    <x v="1954"/>
    <x v="0"/>
  </r>
  <r>
    <x v="871"/>
    <n v="61"/>
    <n v="42652003"/>
    <s v="Adventure|Family"/>
    <s v="Jay Hernandez"/>
    <x v="1955"/>
    <n v="18915"/>
    <s v="afghanistan|death of marine|dog|dog adoption|man dog relationship"/>
    <n v="87"/>
    <x v="0"/>
    <x v="0"/>
    <n v="20000000"/>
    <x v="1"/>
    <x v="22"/>
    <n v="20000000"/>
    <n v="42652003"/>
    <x v="1953"/>
    <x v="1955"/>
    <x v="0"/>
  </r>
  <r>
    <x v="302"/>
    <n v="218"/>
    <n v="86208010"/>
    <s v="Comedy"/>
    <s v="Bill Murray"/>
    <x v="1956"/>
    <n v="97045"/>
    <s v="adoption|highway travel|road trip|sequel|stupidity"/>
    <n v="285"/>
    <x v="0"/>
    <x v="0"/>
    <n v="35000000"/>
    <x v="27"/>
    <x v="35"/>
    <n v="35000000"/>
    <n v="86208010"/>
    <x v="1954"/>
    <x v="1956"/>
    <x v="4"/>
  </r>
  <r>
    <x v="210"/>
    <n v="130"/>
    <n v="638476"/>
    <s v="Comedy|Documentary"/>
    <s v="Quentin Tarantino"/>
    <x v="1957"/>
    <n v="13223"/>
    <s v="advertising|movie in title|product placement"/>
    <n v="45"/>
    <x v="0"/>
    <x v="0"/>
    <n v="1500000"/>
    <x v="22"/>
    <x v="14"/>
    <n v="1500000"/>
    <n v="638476"/>
    <x v="1955"/>
    <x v="1957"/>
    <x v="4"/>
  </r>
  <r>
    <x v="788"/>
    <n v="406"/>
    <n v="499263"/>
    <s v="Drama"/>
    <s v="Christo Jivkov"/>
    <x v="1958"/>
    <n v="179235"/>
    <s v="anti semitism|cult film|grindhouse|suffering|torture"/>
    <n v="2814"/>
    <x v="25"/>
    <x v="0"/>
    <n v="30000000"/>
    <x v="2"/>
    <x v="17"/>
    <n v="30000000"/>
    <n v="499263"/>
    <x v="1956"/>
    <x v="1958"/>
    <x v="5"/>
  </r>
  <r>
    <x v="1160"/>
    <n v="140"/>
    <n v="72219395"/>
    <s v="Horror|Mystery|Thriller"/>
    <s v="Muse Watson"/>
    <x v="1959"/>
    <n v="105585"/>
    <s v="beach|corpse|fourth of july|overalls|revenge"/>
    <n v="419"/>
    <x v="0"/>
    <x v="0"/>
    <n v="17000000"/>
    <x v="31"/>
    <x v="15"/>
    <n v="17000000"/>
    <n v="72219395"/>
    <x v="1957"/>
    <x v="1959"/>
    <x v="6"/>
  </r>
  <r>
    <x v="636"/>
    <n v="362"/>
    <n v="45434443"/>
    <s v="Action|Adventure|Comedy"/>
    <s v="Henry Cavill"/>
    <x v="1960"/>
    <n v="175960"/>
    <s v="box office flop|cia agent|criminal organization|kgb agent|nuclear bomb"/>
    <n v="360"/>
    <x v="0"/>
    <x v="0"/>
    <n v="75000000"/>
    <x v="1"/>
    <x v="4"/>
    <n v="75000000"/>
    <n v="45434443"/>
    <x v="1958"/>
    <x v="1960"/>
    <x v="1"/>
  </r>
  <r>
    <x v="1161"/>
    <n v="355"/>
    <n v="23014504"/>
    <s v="Drama|Mystery|Romance|Sci-Fi|Thriller"/>
    <s v="Johnny Depp"/>
    <x v="1961"/>
    <n v="172707"/>
    <s v="artificial intelligence|consciousness|power outage|scientist|technology"/>
    <n v="462"/>
    <x v="0"/>
    <x v="2"/>
    <n v="100000000"/>
    <x v="27"/>
    <x v="23"/>
    <n v="128539999.999999"/>
    <n v="29582843.441599999"/>
    <x v="1959"/>
    <x v="1961"/>
    <x v="5"/>
  </r>
  <r>
    <x v="1162"/>
    <n v="44"/>
    <n v="505295"/>
    <s v="Adventure|Drama"/>
    <s v="Tshewang Dendup"/>
    <x v="1962"/>
    <n v="1747"/>
    <s v="bhutan|buddhist|monk|storytelling|weaver"/>
    <n v="28"/>
    <x v="26"/>
    <x v="3"/>
    <n v="1800000"/>
    <x v="19"/>
    <x v="2"/>
    <n v="1176984"/>
    <n v="330402.29460000002"/>
    <x v="1960"/>
    <x v="1962"/>
    <x v="0"/>
  </r>
  <r>
    <x v="1163"/>
    <n v="120"/>
    <n v="163245"/>
    <s v="Comedy|Drama|Family"/>
    <s v="Paulette Goddard"/>
    <x v="1963"/>
    <n v="143086"/>
    <s v="actor director writer|invention|machine|music score composed by director|tramp"/>
    <n v="211"/>
    <x v="0"/>
    <x v="0"/>
    <n v="1500000"/>
    <x v="65"/>
    <x v="43"/>
    <n v="1500000"/>
    <n v="163245"/>
    <x v="1961"/>
    <x v="1963"/>
    <x v="4"/>
  </r>
  <r>
    <x v="1164"/>
    <n v="67"/>
    <n v="6851636"/>
    <s v="Comedy|Drama|Romance"/>
    <s v="Janeane Garofalo"/>
    <x v="1964"/>
    <n v="13010"/>
    <s v="bartender|friend|new year's eve|party|punk"/>
    <n v="182"/>
    <x v="0"/>
    <x v="0"/>
    <n v="6000000"/>
    <x v="12"/>
    <x v="0"/>
    <n v="6000000"/>
    <n v="6851636"/>
    <x v="1962"/>
    <x v="1964"/>
    <x v="4"/>
  </r>
  <r>
    <x v="741"/>
    <n v="273"/>
    <n v="82163317"/>
    <s v="Action|Horror|Thriller"/>
    <s v="Katharine Isabelle"/>
    <x v="1965"/>
    <n v="89101"/>
    <s v="elm street|freddy krueger|jason voorhees|serial killer|slasher"/>
    <n v="885"/>
    <x v="0"/>
    <x v="0"/>
    <n v="30000000"/>
    <x v="19"/>
    <x v="30"/>
    <n v="30000000"/>
    <n v="82163317"/>
    <x v="1963"/>
    <x v="1965"/>
    <x v="1"/>
  </r>
  <r>
    <x v="136"/>
    <n v="122"/>
    <n v="99462"/>
    <s v="Action|Adventure|Drama|Family"/>
    <s v="Callum Rennie"/>
    <x v="1966"/>
    <n v="11347"/>
    <s v="3 dimensional|cartographer|punctuation in title|smithsonian|train"/>
    <n v="28"/>
    <x v="0"/>
    <x v="8"/>
    <n v="33000000"/>
    <x v="0"/>
    <x v="17"/>
    <n v="35796420"/>
    <n v="107890.40988000001"/>
    <x v="1964"/>
    <x v="1966"/>
    <x v="1"/>
  </r>
  <r>
    <x v="71"/>
    <n v="109"/>
    <n v="76261036"/>
    <s v="Crime|Drama|Thriller"/>
    <s v="Denzel Washington"/>
    <x v="1967"/>
    <n v="305929"/>
    <s v="lapd|narc|narcotics|title spoken by character|training"/>
    <n v="633"/>
    <x v="0"/>
    <x v="0"/>
    <n v="45000000"/>
    <x v="9"/>
    <x v="9"/>
    <n v="45000000"/>
    <n v="76261036"/>
    <x v="1965"/>
    <x v="1967"/>
    <x v="3"/>
  </r>
  <r>
    <x v="289"/>
    <n v="126"/>
    <n v="11854694"/>
    <s v="Drama"/>
    <s v="Harrison Ford"/>
    <x v="1968"/>
    <n v="14281"/>
    <s v="cure|disease|imagination|race against time|venture capital"/>
    <n v="64"/>
    <x v="0"/>
    <x v="0"/>
    <n v="31000000"/>
    <x v="11"/>
    <x v="20"/>
    <n v="31000000"/>
    <n v="11854694"/>
    <x v="1966"/>
    <x v="1968"/>
    <x v="5"/>
  </r>
  <r>
    <x v="1165"/>
    <n v="226"/>
    <n v="6857096"/>
    <s v="Drama|Mystery|War"/>
    <s v="Lubna Azabal"/>
    <x v="1969"/>
    <n v="80429"/>
    <s v="brother sister relationship|family relationships|middle east|mother son relationship|twin brother and sister"/>
    <n v="156"/>
    <x v="4"/>
    <x v="9"/>
    <n v="6800000"/>
    <x v="11"/>
    <x v="60"/>
    <n v="4919154"/>
    <n v="4960457.5318799997"/>
    <x v="1967"/>
    <x v="1969"/>
    <x v="5"/>
  </r>
  <r>
    <x v="306"/>
    <n v="575"/>
    <n v="101785482"/>
    <s v="Action|Adventure|Sci-Fi"/>
    <s v="Charlie Hunnam"/>
    <x v="1970"/>
    <n v="381148"/>
    <s v="giant monster|kaiju|pilot|portal|robot"/>
    <n v="1106"/>
    <x v="0"/>
    <x v="0"/>
    <n v="190000000"/>
    <x v="0"/>
    <x v="16"/>
    <n v="190000000"/>
    <n v="101785482"/>
    <x v="1968"/>
    <x v="1970"/>
    <x v="1"/>
  </r>
  <r>
    <x v="709"/>
    <n v="199"/>
    <n v="28341469"/>
    <s v="Crime|Drama"/>
    <s v="Morgan Freeman"/>
    <x v="1971"/>
    <n v="1689764"/>
    <s v="escape from prison|first person narration|prison|prison cell search|wrongful imprisonment"/>
    <n v="4144"/>
    <x v="0"/>
    <x v="0"/>
    <n v="25000000"/>
    <x v="5"/>
    <x v="69"/>
    <n v="25000000"/>
    <n v="28341469"/>
    <x v="1969"/>
    <x v="1971"/>
    <x v="3"/>
  </r>
  <r>
    <x v="1166"/>
    <n v="195"/>
    <n v="21426805"/>
    <s v="Action|Adventure|Horror|Sci-Fi|Thriller"/>
    <s v="Max Minghella"/>
    <x v="1972"/>
    <n v="49312"/>
    <s v="alien|aurora borealis|critically bashed|killing an animal|nightclub"/>
    <n v="211"/>
    <x v="0"/>
    <x v="0"/>
    <n v="30000000"/>
    <x v="22"/>
    <x v="18"/>
    <n v="30000000"/>
    <n v="21426805"/>
    <x v="1970"/>
    <x v="1972"/>
    <x v="1"/>
  </r>
  <r>
    <x v="853"/>
    <n v="72"/>
    <n v="7292175"/>
    <s v="Comedy|Drama|Romance"/>
    <s v="Jonathan Brandis"/>
    <x v="1973"/>
    <n v="7736"/>
    <s v="class|cornwall connecticut|dog|friend|pawtucket rhode island"/>
    <n v="100"/>
    <x v="0"/>
    <x v="0"/>
    <n v="7000000"/>
    <x v="12"/>
    <x v="24"/>
    <n v="7000000"/>
    <n v="7292175"/>
    <x v="1971"/>
    <x v="1973"/>
    <x v="4"/>
  </r>
  <r>
    <x v="74"/>
    <n v="39"/>
    <n v="68856263"/>
    <s v="Adventure|Comedy|Family|Sport"/>
    <s v="Doug E. Doug"/>
    <x v="1974"/>
    <n v="69733"/>
    <s v="bobsled|coach|jamaica|olympic games|olympics"/>
    <n v="97"/>
    <x v="0"/>
    <x v="0"/>
    <n v="15000000"/>
    <x v="23"/>
    <x v="31"/>
    <n v="15000000"/>
    <n v="68856263"/>
    <x v="1972"/>
    <x v="1974"/>
    <x v="0"/>
  </r>
  <r>
    <x v="498"/>
    <n v="204"/>
    <n v="1082044"/>
    <s v="Drama|Thriller"/>
    <s v="Christian Bale"/>
    <x v="1975"/>
    <n v="281649"/>
    <s v="alienation|conscience|insomnia|paranoia|urban gothic"/>
    <n v="458"/>
    <x v="0"/>
    <x v="12"/>
    <n v="5000000"/>
    <x v="2"/>
    <x v="9"/>
    <n v="5423700"/>
    <n v="1173736.4085599999"/>
    <x v="1973"/>
    <x v="1975"/>
    <x v="5"/>
  </r>
  <r>
    <x v="130"/>
    <n v="65"/>
    <n v="58918501"/>
    <s v="Action|Drama|Mystery|Thriller|War"/>
    <s v="Denzel Washington"/>
    <x v="1976"/>
    <n v="40126"/>
    <s v="bravery|honor|medal of honor|military life|unreliable flashback"/>
    <n v="107"/>
    <x v="0"/>
    <x v="0"/>
    <n v="46000000"/>
    <x v="10"/>
    <x v="14"/>
    <n v="46000000"/>
    <n v="58918501"/>
    <x v="1974"/>
    <x v="1976"/>
    <x v="1"/>
  </r>
  <r>
    <x v="1167"/>
    <n v="221"/>
    <n v="95328937"/>
    <s v="Comedy|Drama|Romance"/>
    <s v="Chris Noth"/>
    <x v="1977"/>
    <n v="59581"/>
    <s v="abu dhabi|box office hit|muslim|nanny|united arab emirates"/>
    <n v="293"/>
    <x v="0"/>
    <x v="0"/>
    <n v="100000000"/>
    <x v="11"/>
    <x v="46"/>
    <n v="100000000"/>
    <n v="95328937"/>
    <x v="1975"/>
    <x v="1977"/>
    <x v="4"/>
  </r>
  <r>
    <x v="1168"/>
    <n v="270"/>
    <n v="18112929"/>
    <s v="Horror|Mystery|Sci-Fi|Thriller"/>
    <s v="Jesse McCartney"/>
    <x v="1978"/>
    <n v="52642"/>
    <s v="abandoned building|chernobyl disaster|exploration|tour guide|van"/>
    <n v="271"/>
    <x v="0"/>
    <x v="0"/>
    <n v="1000000"/>
    <x v="28"/>
    <x v="53"/>
    <n v="1000000"/>
    <n v="18112929"/>
    <x v="1976"/>
    <x v="1978"/>
    <x v="6"/>
  </r>
  <r>
    <x v="740"/>
    <n v="450"/>
    <n v="18329466"/>
    <s v="Adventure|Biography|Drama|Thriller"/>
    <s v="James Franco"/>
    <x v="1979"/>
    <n v="279179"/>
    <s v="alone|aron ralston|based on autobiography|canyon|survival"/>
    <n v="440"/>
    <x v="0"/>
    <x v="0"/>
    <n v="18000000"/>
    <x v="11"/>
    <x v="10"/>
    <n v="18000000"/>
    <n v="18329466"/>
    <x v="1977"/>
    <x v="1979"/>
    <x v="0"/>
  </r>
  <r>
    <x v="40"/>
    <n v="440"/>
    <n v="132550960"/>
    <s v="Action|Adventure|Sci-Fi|Thriller"/>
    <s v="Hugh Jackman"/>
    <x v="1980"/>
    <n v="328067"/>
    <s v="healing power|marvel comics|mecha|regeneration|self healing"/>
    <n v="533"/>
    <x v="0"/>
    <x v="0"/>
    <n v="120000000"/>
    <x v="0"/>
    <x v="21"/>
    <n v="120000000"/>
    <n v="132550960"/>
    <x v="1978"/>
    <x v="1980"/>
    <x v="1"/>
  </r>
  <r>
    <x v="996"/>
    <n v="22"/>
    <n v="10769960"/>
    <s v="Drama|History|War"/>
    <s v="Tom Berenger"/>
    <x v="1981"/>
    <n v="21940"/>
    <s v="american civil war|battle|blood splatter|civil war|irish american"/>
    <n v="256"/>
    <x v="0"/>
    <x v="0"/>
    <n v="25000000"/>
    <x v="23"/>
    <x v="9"/>
    <n v="25000000"/>
    <n v="10769960"/>
    <x v="1979"/>
    <x v="1981"/>
    <x v="5"/>
  </r>
  <r>
    <x v="1169"/>
    <n v="189"/>
    <n v="25093607"/>
    <s v="Action|Crime|Thriller"/>
    <s v="Jason Statham"/>
    <x v="1982"/>
    <n v="105556"/>
    <s v="australia|death|mentor|revenge|secret society"/>
    <n v="157"/>
    <x v="0"/>
    <x v="2"/>
    <n v="35000000"/>
    <x v="22"/>
    <x v="20"/>
    <n v="44988999.999999903"/>
    <n v="32255322.437799901"/>
    <x v="1980"/>
    <x v="1982"/>
    <x v="1"/>
  </r>
  <r>
    <x v="336"/>
    <n v="122"/>
    <n v="45857453"/>
    <s v="Comedy|Drama|Music"/>
    <s v="Tom Wilkinson"/>
    <x v="1983"/>
    <n v="82232"/>
    <s v="dole|male stripper|northern england|steel worker|unemployment"/>
    <n v="174"/>
    <x v="0"/>
    <x v="2"/>
    <n v="3500000"/>
    <x v="31"/>
    <x v="33"/>
    <n v="4498900"/>
    <n v="58945170.086199902"/>
    <x v="1981"/>
    <x v="1983"/>
    <x v="4"/>
  </r>
  <r>
    <x v="894"/>
    <n v="137"/>
    <n v="13876974"/>
    <s v="Comedy|Drama|Romance"/>
    <s v="Naseeruddin Shah"/>
    <x v="1984"/>
    <n v="19397"/>
    <s v="arranged marriage|bride|celebration|marriage|wedding"/>
    <n v="214"/>
    <x v="5"/>
    <x v="10"/>
    <n v="7000000"/>
    <x v="9"/>
    <x v="39"/>
    <n v="83590.22"/>
    <n v="165711.32994204"/>
    <x v="1982"/>
    <x v="1984"/>
    <x v="4"/>
  </r>
  <r>
    <x v="1051"/>
    <n v="218"/>
    <n v="59365105"/>
    <s v="Comedy|Drama|Romance"/>
    <s v="Colin Firth"/>
    <x v="1985"/>
    <n v="318634"/>
    <s v="aging rocker|christmas|love at first sight|minister|prime minister"/>
    <n v="1004"/>
    <x v="0"/>
    <x v="2"/>
    <n v="45000000"/>
    <x v="19"/>
    <x v="9"/>
    <n v="57842999.999999903"/>
    <n v="76307905.966999993"/>
    <x v="1983"/>
    <x v="1985"/>
    <x v="4"/>
  </r>
  <r>
    <x v="124"/>
    <n v="435"/>
    <n v="257756197"/>
    <s v="Action|Adventure|Animation|Comedy|Family|Fantasy"/>
    <s v="Morgan Freeman"/>
    <x v="1986"/>
    <n v="246698"/>
    <s v="based on toy|dual personality|evil businessman|good cop bad cop|lego"/>
    <n v="471"/>
    <x v="0"/>
    <x v="3"/>
    <n v="60000000"/>
    <x v="27"/>
    <x v="38"/>
    <n v="39232800"/>
    <n v="168541622.09435999"/>
    <x v="1984"/>
    <x v="1986"/>
    <x v="1"/>
  </r>
  <r>
    <x v="274"/>
    <n v="159"/>
    <n v="8025872"/>
    <s v="Comedy|Horror"/>
    <s v="Bill Johnson"/>
    <x v="1987"/>
    <n v="19234"/>
    <s v="chainsaw|chainsaw murder|human monster|music score composed by director|obscene finger gesture"/>
    <n v="258"/>
    <x v="0"/>
    <x v="0"/>
    <n v="4700000"/>
    <x v="18"/>
    <x v="28"/>
    <n v="4700000"/>
    <n v="8025872"/>
    <x v="1985"/>
    <x v="1987"/>
    <x v="4"/>
  </r>
  <r>
    <x v="426"/>
    <n v="130"/>
    <n v="102308900"/>
    <s v="Biography|Crime|Drama|Western"/>
    <s v="Katharine Ross"/>
    <x v="1988"/>
    <n v="152089"/>
    <s v="bolivia|gang|outlaw|posse|train"/>
    <n v="309"/>
    <x v="0"/>
    <x v="0"/>
    <n v="6000000"/>
    <x v="62"/>
    <x v="40"/>
    <n v="6000000"/>
    <n v="102308900"/>
    <x v="1986"/>
    <x v="1988"/>
    <x v="2"/>
  </r>
  <r>
    <x v="461"/>
    <n v="445"/>
    <n v="75590286"/>
    <s v="Adventure|Comedy|Horror|Sci-Fi"/>
    <s v="Emma Stone"/>
    <x v="1989"/>
    <n v="386217"/>
    <s v="amusement park|on the road|zombie|zombie apocalypse|zombie spoof"/>
    <n v="553"/>
    <x v="0"/>
    <x v="0"/>
    <n v="23600000"/>
    <x v="16"/>
    <x v="9"/>
    <n v="23600000"/>
    <n v="75590286"/>
    <x v="1987"/>
    <x v="1989"/>
    <x v="0"/>
  </r>
  <r>
    <x v="1170"/>
    <n v="50"/>
    <n v="44726644"/>
    <s v="Action|Crime|Drama|Thriller|Western"/>
    <s v="Jack Palance"/>
    <x v="1990"/>
    <n v="42614"/>
    <s v="army|cattle|deputy|new mexico|rancher"/>
    <n v="120"/>
    <x v="0"/>
    <x v="0"/>
    <n v="13000000"/>
    <x v="34"/>
    <x v="22"/>
    <n v="13000000"/>
    <n v="44726644"/>
    <x v="1988"/>
    <x v="1990"/>
    <x v="1"/>
  </r>
  <r>
    <x v="1171"/>
    <n v="90"/>
    <n v="33864342"/>
    <s v="Comedy|Crime|Romance"/>
    <s v="Jeanne Tripplehorn"/>
    <x v="1991"/>
    <n v="29968"/>
    <s v="auctioneer|fbi|mafia|mobster|painting"/>
    <n v="117"/>
    <x v="0"/>
    <x v="2"/>
    <n v="40000000"/>
    <x v="12"/>
    <x v="30"/>
    <n v="51415999.999999903"/>
    <n v="43529225.206799999"/>
    <x v="1989"/>
    <x v="1991"/>
    <x v="4"/>
  </r>
  <r>
    <x v="1172"/>
    <n v="20"/>
    <n v="475000"/>
    <s v="Comedy|Sport"/>
    <s v="Joe Lo Truglio"/>
    <x v="1992"/>
    <n v="6930"/>
    <s v="baseball|baseball movie|beer|slacker|softball"/>
    <n v="53"/>
    <x v="0"/>
    <x v="0"/>
    <n v="2800000"/>
    <x v="7"/>
    <x v="11"/>
    <n v="2800000"/>
    <n v="475000"/>
    <x v="1990"/>
    <x v="1992"/>
    <x v="4"/>
  </r>
  <r>
    <x v="989"/>
    <n v="333"/>
    <n v="77222184"/>
    <s v="Adventure|Drama|Family|Fantasy"/>
    <s v="Catherine O'Hara"/>
    <x v="1993"/>
    <n v="87677"/>
    <s v="based on children's book|creature|igloo|imagination|king"/>
    <n v="388"/>
    <x v="0"/>
    <x v="5"/>
    <n v="100000000"/>
    <x v="16"/>
    <x v="22"/>
    <n v="108474000"/>
    <n v="83765991.872160003"/>
    <x v="1991"/>
    <x v="1993"/>
    <x v="0"/>
  </r>
  <r>
    <x v="641"/>
    <n v="5"/>
    <n v="252726"/>
    <s v="Drama|Family|Western"/>
    <s v="William Morgan Sheppard"/>
    <x v="1994"/>
    <n v="1289"/>
    <s v="19th century|faith|mayor|ranch|sheriff"/>
    <n v="18"/>
    <x v="0"/>
    <x v="0"/>
    <n v="3000000"/>
    <x v="7"/>
    <x v="33"/>
    <n v="3000000"/>
    <n v="252726"/>
    <x v="1992"/>
    <x v="1994"/>
    <x v="5"/>
  </r>
  <r>
    <x v="795"/>
    <n v="166"/>
    <n v="10268846"/>
    <s v="Action|Crime|Mystery|Thriller"/>
    <s v="Tom Skerritt"/>
    <x v="1995"/>
    <n v="31918"/>
    <s v="antarctica|geologist|investigation|u.s. marshal|winter"/>
    <n v="142"/>
    <x v="0"/>
    <x v="0"/>
    <n v="35000000"/>
    <x v="16"/>
    <x v="28"/>
    <n v="35000000"/>
    <n v="10268846"/>
    <x v="1993"/>
    <x v="1995"/>
    <x v="1"/>
  </r>
  <r>
    <x v="1173"/>
    <n v="2"/>
    <n v="10508"/>
    <s v="Drama"/>
    <s v="Irene Bedard"/>
    <x v="1996"/>
    <n v="103"/>
    <s v="cosmetics|female protagonist|native american|native american protagonist|sister sister relationship"/>
    <n v="6"/>
    <x v="0"/>
    <x v="0"/>
    <n v="700000"/>
    <x v="6"/>
    <x v="20"/>
    <n v="700000"/>
    <n v="10508"/>
    <x v="1994"/>
    <x v="1996"/>
    <x v="5"/>
  </r>
  <r>
    <x v="298"/>
    <n v="66"/>
    <n v="4411102"/>
    <s v="Action|Comedy|Sci-Fi"/>
    <s v="Rosario Dawson"/>
    <x v="1997"/>
    <n v="20295"/>
    <s v="casino|future|laser gun|moon|nightclub"/>
    <n v="164"/>
    <x v="0"/>
    <x v="0"/>
    <n v="100000000"/>
    <x v="13"/>
    <x v="54"/>
    <n v="100000000"/>
    <n v="4411102"/>
    <x v="1995"/>
    <x v="1997"/>
    <x v="1"/>
  </r>
  <r>
    <x v="846"/>
    <n v="32"/>
    <n v="7000000"/>
    <s v="Action|Adventure|Drama|Thriller"/>
    <s v="M. Emmet Walsh"/>
    <x v="1998"/>
    <n v="2933"/>
    <s v="military|mineral|ocean|ship|titanic"/>
    <n v="70"/>
    <x v="0"/>
    <x v="2"/>
    <n v="36000000"/>
    <x v="52"/>
    <x v="27"/>
    <n v="46274399.999999903"/>
    <n v="8997800"/>
    <x v="1996"/>
    <x v="1998"/>
    <x v="1"/>
  </r>
  <r>
    <x v="1065"/>
    <n v="71"/>
    <n v="4186931"/>
    <s v="Comedy|Drama|Romance"/>
    <s v="Aunjanue Ellis"/>
    <x v="1999"/>
    <n v="6041"/>
    <s v="african american|dog|homecoming queen|insecurity|surgery"/>
    <n v="85"/>
    <x v="0"/>
    <x v="0"/>
    <n v="250000"/>
    <x v="9"/>
    <x v="31"/>
    <n v="250000"/>
    <n v="4186931"/>
    <x v="1997"/>
    <x v="1999"/>
    <x v="4"/>
  </r>
  <r>
    <x v="917"/>
    <n v="191"/>
    <n v="54132596"/>
    <s v="Action|Adventure|Animation|Comedy|Family|Fantasy|Sci-Fi"/>
    <s v="Chris Evans"/>
    <x v="2000"/>
    <n v="53786"/>
    <s v="martial arts master|monster|new york city|turtle|warrior"/>
    <n v="211"/>
    <x v="0"/>
    <x v="4"/>
    <n v="34000000"/>
    <x v="15"/>
    <x v="23"/>
    <n v="4355206.2"/>
    <n v="6934076.9918027902"/>
    <x v="1998"/>
    <x v="2000"/>
    <x v="1"/>
  </r>
  <r>
    <x v="6"/>
    <n v="354"/>
    <n v="70098138"/>
    <s v="Action"/>
    <s v="David Carradine"/>
    <x v="2001"/>
    <n v="735784"/>
    <s v="bride|coma|japan|revenge|sword"/>
    <n v="2105"/>
    <x v="0"/>
    <x v="0"/>
    <n v="30000000"/>
    <x v="19"/>
    <x v="40"/>
    <n v="30000000"/>
    <n v="70098138"/>
    <x v="1999"/>
    <x v="2001"/>
    <x v="1"/>
  </r>
  <r>
    <x v="1174"/>
    <n v="213"/>
    <n v="22202612"/>
    <s v="Adventure|Family|Fantasy|Musical"/>
    <s v="Margaret Hamilton"/>
    <x v="2002"/>
    <n v="291875"/>
    <s v="evil witch|tornado|witch|wizard|wizard of oz"/>
    <n v="533"/>
    <x v="0"/>
    <x v="0"/>
    <n v="2800000"/>
    <x v="66"/>
    <x v="40"/>
    <n v="2800000"/>
    <n v="22202612"/>
    <x v="2000"/>
    <x v="2002"/>
    <x v="0"/>
  </r>
  <r>
    <x v="1175"/>
    <n v="43"/>
    <n v="100240"/>
    <s v="Documentary"/>
    <s v="G.W. Krauss"/>
    <x v="2003"/>
    <n v="1220"/>
    <s v="artist|denmark|lego|toy|toy company"/>
    <n v="11"/>
    <x v="0"/>
    <x v="23"/>
    <n v="1000000"/>
    <x v="27"/>
    <x v="22"/>
    <n v="145342.5"/>
    <n v="14569.1321999999"/>
    <x v="2001"/>
    <x v="2003"/>
    <x v="7"/>
  </r>
  <r>
    <x v="159"/>
    <n v="123"/>
    <n v="11533945"/>
    <s v="Biography|Crime|Drama|Romance"/>
    <s v="Alicia Goranson"/>
    <x v="2004"/>
    <n v="77551"/>
    <s v="drinking|female dressed as male|love|nebraska|transgender"/>
    <n v="434"/>
    <x v="0"/>
    <x v="0"/>
    <n v="2000000"/>
    <x v="12"/>
    <x v="10"/>
    <n v="2000000"/>
    <n v="11533945"/>
    <x v="2002"/>
    <x v="2004"/>
    <x v="2"/>
  </r>
  <r>
    <x v="859"/>
    <n v="365"/>
    <n v="25003072"/>
    <s v="Comedy|Horror"/>
    <s v="Adam Scott"/>
    <x v="2005"/>
    <n v="72552"/>
    <s v="bloody water|boat|party|piranha|spring break"/>
    <n v="374"/>
    <x v="0"/>
    <x v="0"/>
    <n v="24000000"/>
    <x v="11"/>
    <x v="28"/>
    <n v="24000000"/>
    <n v="25003072"/>
    <x v="2003"/>
    <x v="2005"/>
    <x v="4"/>
  </r>
  <r>
    <x v="1176"/>
    <n v="12"/>
    <n v="199228"/>
    <s v="Comedy|Drama"/>
    <s v="Vidya Balan"/>
    <x v="2006"/>
    <n v="7295"/>
    <s v="adult actor playing minor|politician|progeria|reference to spiderman|school"/>
    <n v="49"/>
    <x v="5"/>
    <x v="10"/>
    <n v="150000000"/>
    <x v="16"/>
    <x v="33"/>
    <n v="1791219"/>
    <n v="2379.0731928800001"/>
    <x v="2004"/>
    <x v="2006"/>
    <x v="4"/>
  </r>
  <r>
    <x v="460"/>
    <n v="92"/>
    <n v="65703412"/>
    <s v="Comedy|Drama|Romance"/>
    <s v="Anjelica Huston"/>
    <x v="2007"/>
    <n v="57958"/>
    <s v="based on fairy tale|bechdel test passed|cinderella|fairy tale|leonardo da vinci"/>
    <n v="345"/>
    <x v="0"/>
    <x v="0"/>
    <n v="26000000"/>
    <x v="6"/>
    <x v="16"/>
    <n v="26000000"/>
    <n v="65703412"/>
    <x v="2005"/>
    <x v="2007"/>
    <x v="4"/>
  </r>
  <r>
    <x v="158"/>
    <n v="120"/>
    <n v="79100000"/>
    <s v="Crime|Thriller"/>
    <s v="Robert De Niro"/>
    <x v="2008"/>
    <n v="127503"/>
    <s v="lawyer|neo noir|prison|rapist|southern gothic"/>
    <n v="261"/>
    <x v="0"/>
    <x v="0"/>
    <n v="35000000"/>
    <x v="38"/>
    <x v="4"/>
    <n v="35000000"/>
    <n v="79100000"/>
    <x v="2006"/>
    <x v="2008"/>
    <x v="3"/>
  </r>
  <r>
    <x v="862"/>
    <n v="152"/>
    <n v="58715510"/>
    <s v="Comedy|Romance"/>
    <s v="Anne Hathaway"/>
    <x v="2009"/>
    <n v="79094"/>
    <s v="best friend|dyed hair|fake tan|rivalry|wedding"/>
    <n v="129"/>
    <x v="0"/>
    <x v="0"/>
    <n v="30000000"/>
    <x v="16"/>
    <x v="26"/>
    <n v="30000000"/>
    <n v="58715510"/>
    <x v="2007"/>
    <x v="2009"/>
    <x v="4"/>
  </r>
  <r>
    <x v="1177"/>
    <n v="336"/>
    <n v="27689474"/>
    <s v="Horror|Mystery"/>
    <s v="James Lafferty"/>
    <x v="2010"/>
    <n v="85688"/>
    <s v="home office|mirror|released from a mental hospital|trauma|video camera"/>
    <n v="339"/>
    <x v="0"/>
    <x v="0"/>
    <n v="5000000"/>
    <x v="0"/>
    <x v="20"/>
    <n v="5000000"/>
    <n v="27689474"/>
    <x v="2008"/>
    <x v="2010"/>
    <x v="6"/>
  </r>
  <r>
    <x v="982"/>
    <n v="253"/>
    <n v="1330827"/>
    <s v="Horror|Thriller"/>
    <s v="Keanu Reeves"/>
    <x v="2011"/>
    <n v="9866"/>
    <s v="beauty|cannibalism|fashion|lesbian|model"/>
    <n v="73"/>
    <x v="0"/>
    <x v="8"/>
    <n v="7000000"/>
    <x v="24"/>
    <x v="16"/>
    <n v="7593180"/>
    <n v="1443601.2799800001"/>
    <x v="2009"/>
    <x v="2011"/>
    <x v="6"/>
  </r>
  <r>
    <x v="122"/>
    <n v="63"/>
    <n v="6401336"/>
    <s v="Drama"/>
    <s v="Keanu Reeves"/>
    <x v="2012"/>
    <n v="36996"/>
    <s v="friend|hustler|italy|narcolepsy|traveling"/>
    <n v="153"/>
    <x v="0"/>
    <x v="0"/>
    <n v="2500000"/>
    <x v="38"/>
    <x v="17"/>
    <n v="2500000"/>
    <n v="6401336"/>
    <x v="2010"/>
    <x v="2012"/>
    <x v="5"/>
  </r>
  <r>
    <x v="866"/>
    <n v="36"/>
    <n v="39514713"/>
    <s v="Comedy|Family|Fantasy"/>
    <s v="Vinessa Shaw"/>
    <x v="2013"/>
    <n v="60494"/>
    <s v="candle|cat|halloween|spell|virgin"/>
    <n v="132"/>
    <x v="0"/>
    <x v="0"/>
    <n v="28000000"/>
    <x v="23"/>
    <x v="21"/>
    <n v="28000000"/>
    <n v="39514713"/>
    <x v="2011"/>
    <x v="2013"/>
    <x v="4"/>
  </r>
  <r>
    <x v="716"/>
    <n v="59"/>
    <n v="11675178"/>
    <s v="Comedy"/>
    <s v="Fred Willard"/>
    <x v="2014"/>
    <n v="9509"/>
    <s v="color in title|parody|reference to cuba gooding jr|reference to netflix|written by star"/>
    <n v="53"/>
    <x v="0"/>
    <x v="0"/>
    <n v="5000000"/>
    <x v="24"/>
    <x v="51"/>
    <n v="5000000"/>
    <n v="11675178"/>
    <x v="2012"/>
    <x v="2014"/>
    <x v="4"/>
  </r>
  <r>
    <x v="96"/>
    <n v="536"/>
    <n v="59073773"/>
    <s v="Adventure|Comedy|Crime|Drama"/>
    <s v="Bill Murray"/>
    <x v="2015"/>
    <n v="475518"/>
    <s v="first person narration|hotel|lobby boy|mentor protege relationship|painting"/>
    <n v="644"/>
    <x v="0"/>
    <x v="0"/>
    <n v="25000000"/>
    <x v="27"/>
    <x v="40"/>
    <n v="25000000"/>
    <n v="59073773"/>
    <x v="2013"/>
    <x v="2015"/>
    <x v="0"/>
  </r>
  <r>
    <x v="785"/>
    <n v="274"/>
    <n v="249358727"/>
    <s v="Adventure|Family|Fantasy|Mystery"/>
    <s v="Daniel Radcliffe"/>
    <x v="2016"/>
    <n v="382255"/>
    <s v="magic|muggle|serial killer|traitor|wizard"/>
    <n v="1504"/>
    <x v="0"/>
    <x v="2"/>
    <n v="130000000"/>
    <x v="2"/>
    <x v="38"/>
    <n v="167101999.99999899"/>
    <n v="320525707.685799"/>
    <x v="2014"/>
    <x v="2016"/>
    <x v="0"/>
  </r>
  <r>
    <x v="1178"/>
    <n v="244"/>
    <n v="23070045"/>
    <s v="Adventure|Drama|Thriller"/>
    <s v="Ioan Gruffudd"/>
    <x v="2017"/>
    <n v="47003"/>
    <s v="cave|expedition|panic|rebreather|underwater"/>
    <n v="215"/>
    <x v="0"/>
    <x v="0"/>
    <n v="30000000"/>
    <x v="22"/>
    <x v="0"/>
    <n v="30000000"/>
    <n v="23070045"/>
    <x v="2015"/>
    <x v="2017"/>
    <x v="0"/>
  </r>
  <r>
    <x v="553"/>
    <n v="149"/>
    <n v="2338695"/>
    <s v="Crime|Drama|Thriller"/>
    <s v="Tom Hardy"/>
    <x v="2018"/>
    <n v="134070"/>
    <s v="cake|cocaine|drugs|pills|serbian"/>
    <n v="263"/>
    <x v="0"/>
    <x v="2"/>
    <n v="4000000"/>
    <x v="2"/>
    <x v="39"/>
    <n v="5141599.9999999898"/>
    <n v="3006158.5529999998"/>
    <x v="2016"/>
    <x v="2018"/>
    <x v="3"/>
  </r>
  <r>
    <x v="193"/>
    <n v="220"/>
    <n v="133228348"/>
    <s v="Adventure"/>
    <s v="Brad Pitt"/>
    <x v="2019"/>
    <n v="381672"/>
    <s v="greek|mythology|prince|trojan|troy"/>
    <n v="1694"/>
    <x v="0"/>
    <x v="0"/>
    <n v="175000000"/>
    <x v="2"/>
    <x v="33"/>
    <n v="175000000"/>
    <n v="133228348"/>
    <x v="2017"/>
    <x v="2019"/>
    <x v="0"/>
  </r>
  <r>
    <x v="1179"/>
    <n v="63"/>
    <n v="927107"/>
    <s v="Biography|Drama|Romance|War"/>
    <s v="Heike Makatsch"/>
    <x v="2020"/>
    <n v="5153"/>
    <s v="lesbian mother|lesbian parent|lesbian relationship|lesbian romance|lesbianism"/>
    <n v="51"/>
    <x v="7"/>
    <x v="5"/>
    <n v="15000000"/>
    <x v="12"/>
    <x v="4"/>
    <n v="16271100"/>
    <n v="1005670.04718"/>
    <x v="2018"/>
    <x v="2020"/>
    <x v="2"/>
  </r>
  <r>
    <x v="1180"/>
    <n v="298"/>
    <n v="19692608"/>
    <s v="Crime|Drama|Thriller"/>
    <s v="Alona Tal"/>
    <x v="2021"/>
    <n v="63548"/>
    <s v="election|father son relationship|fellatio|gay slur|title spoken by character"/>
    <n v="134"/>
    <x v="0"/>
    <x v="0"/>
    <n v="35000000"/>
    <x v="0"/>
    <x v="5"/>
    <n v="35000000"/>
    <n v="19692608"/>
    <x v="2019"/>
    <x v="2021"/>
    <x v="3"/>
  </r>
  <r>
    <x v="158"/>
    <n v="56"/>
    <n v="32000000"/>
    <s v="Drama|Romance"/>
    <s v="Richard E. Grant"/>
    <x v="2022"/>
    <n v="36267"/>
    <s v="19th century|countess|lawyer|love|new york"/>
    <n v="150"/>
    <x v="0"/>
    <x v="0"/>
    <n v="30000000"/>
    <x v="23"/>
    <x v="33"/>
    <n v="30000000"/>
    <n v="32000000"/>
    <x v="2020"/>
    <x v="2022"/>
    <x v="5"/>
  </r>
  <r>
    <x v="498"/>
    <n v="127"/>
    <n v="373967"/>
    <s v="Horror|Mystery"/>
    <s v="Paul Guilfoyle"/>
    <x v="2023"/>
    <n v="43839"/>
    <s v="abandoned asylum|abandoned hospital|asbestos|lobotomy|multiple personality"/>
    <n v="481"/>
    <x v="0"/>
    <x v="0"/>
    <n v="1500000"/>
    <x v="9"/>
    <x v="20"/>
    <n v="1500000"/>
    <n v="373967"/>
    <x v="2021"/>
    <x v="2023"/>
    <x v="6"/>
  </r>
  <r>
    <x v="778"/>
    <n v="70"/>
    <n v="16290976"/>
    <s v="Adventure|Comedy|Family|Fantasy|Music|Sci-Fi"/>
    <s v="Josh Charles"/>
    <x v="2024"/>
    <n v="14637"/>
    <s v="alien|breakfast|escape|rat|ufo"/>
    <n v="100"/>
    <x v="0"/>
    <x v="0"/>
    <n v="24000000"/>
    <x v="12"/>
    <x v="5"/>
    <n v="24000000"/>
    <n v="16290976"/>
    <x v="2022"/>
    <x v="2024"/>
    <x v="0"/>
  </r>
  <r>
    <x v="1181"/>
    <n v="42"/>
    <n v="4693919"/>
    <s v="Comedy"/>
    <s v="Drake Bell"/>
    <x v="2025"/>
    <n v="11011"/>
    <s v="college|face slap|high school|loss of virginity|pierced nipple"/>
    <n v="78"/>
    <x v="0"/>
    <x v="0"/>
    <n v="6500000"/>
    <x v="20"/>
    <x v="34"/>
    <n v="6500000"/>
    <n v="4693919"/>
    <x v="2023"/>
    <x v="2025"/>
    <x v="4"/>
  </r>
  <r>
    <x v="230"/>
    <n v="387"/>
    <n v="80033643"/>
    <s v="Action|Crime|Mystery|Thriller"/>
    <s v="Tom Cruise"/>
    <x v="268"/>
    <n v="226583"/>
    <s v="coma|mysterious villain|police chase|shooting range|sniper"/>
    <n v="448"/>
    <x v="0"/>
    <x v="0"/>
    <n v="60000000"/>
    <x v="28"/>
    <x v="16"/>
    <n v="60000000"/>
    <n v="80033643"/>
    <x v="268"/>
    <x v="268"/>
    <x v="1"/>
  </r>
  <r>
    <x v="393"/>
    <n v="120"/>
    <n v="20384136"/>
    <s v="Horror|Mystery|Thriller"/>
    <s v="Marley Shelton"/>
    <x v="2026"/>
    <n v="20467"/>
    <s v="dance|nosebleed|revenge|valentine|valentine's day"/>
    <n v="371"/>
    <x v="0"/>
    <x v="0"/>
    <n v="10000000"/>
    <x v="9"/>
    <x v="27"/>
    <n v="10000000"/>
    <n v="20384136"/>
    <x v="2024"/>
    <x v="2026"/>
    <x v="6"/>
  </r>
  <r>
    <x v="167"/>
    <n v="146"/>
    <n v="26199517"/>
    <s v="Action|Crime|Drama|Mystery|Thriller"/>
    <s v="Clint Eastwood"/>
    <x v="2027"/>
    <n v="34356"/>
    <s v="boat|heart transplant|murder|serial killer|sister"/>
    <n v="260"/>
    <x v="0"/>
    <x v="0"/>
    <n v="50000000"/>
    <x v="13"/>
    <x v="24"/>
    <n v="50000000"/>
    <n v="26199517"/>
    <x v="2025"/>
    <x v="2027"/>
    <x v="1"/>
  </r>
  <r>
    <x v="1001"/>
    <n v="388"/>
    <n v="15700000"/>
    <s v="Drama|History|Thriller|War"/>
    <s v="Jeremy Renner"/>
    <x v="2028"/>
    <n v="332065"/>
    <s v="army|bomb|dangerous job|death|iraq"/>
    <n v="876"/>
    <x v="0"/>
    <x v="0"/>
    <n v="15000000"/>
    <x v="20"/>
    <x v="10"/>
    <n v="15000000"/>
    <n v="15700000"/>
    <x v="2026"/>
    <x v="2028"/>
    <x v="5"/>
  </r>
  <r>
    <x v="222"/>
    <n v="53"/>
    <n v="50728000"/>
    <s v="Action|Crime|Drama|Mystery|Thriller"/>
    <s v="Ken Howard"/>
    <x v="2029"/>
    <n v="48909"/>
    <s v="chat room|computer|computer hacker|identity|identity theft"/>
    <n v="166"/>
    <x v="0"/>
    <x v="0"/>
    <n v="22000000"/>
    <x v="33"/>
    <x v="30"/>
    <n v="22000000"/>
    <n v="50728000"/>
    <x v="2027"/>
    <x v="2029"/>
    <x v="1"/>
  </r>
  <r>
    <x v="1182"/>
    <n v="224"/>
    <n v="31607598"/>
    <s v="Drama|Horror|Thriller"/>
    <s v="Jennifer Lawrence"/>
    <x v="2030"/>
    <n v="58366"/>
    <s v="brother sister relationship|death of sister|female protagonist|mother daughter relationship|murder"/>
    <n v="160"/>
    <x v="0"/>
    <x v="9"/>
    <n v="6900000"/>
    <x v="28"/>
    <x v="15"/>
    <n v="4991494.5"/>
    <n v="22865094.431189999"/>
    <x v="2028"/>
    <x v="2030"/>
    <x v="5"/>
  </r>
  <r>
    <x v="1183"/>
    <n v="9"/>
    <n v="123777"/>
    <s v="Action|Biography|Crime|Drama|Family|Fantasy"/>
    <s v="Diahann Carroll"/>
    <x v="2031"/>
    <n v="342"/>
    <s v=""/>
    <n v="15"/>
    <x v="0"/>
    <x v="9"/>
    <n v="3500000"/>
    <x v="24"/>
    <x v="27"/>
    <n v="2531917.5"/>
    <n v="89540.900685000001"/>
    <x v="2029"/>
    <x v="2031"/>
    <x v="1"/>
  </r>
  <r>
    <x v="232"/>
    <n v="115"/>
    <n v="22362500"/>
    <s v="Comedy|Drama"/>
    <s v="Matthew McConaughey"/>
    <x v="2032"/>
    <n v="35599"/>
    <s v="female removes her clothes|one word title|producer|television|video store"/>
    <n v="195"/>
    <x v="0"/>
    <x v="0"/>
    <n v="55000000"/>
    <x v="12"/>
    <x v="7"/>
    <n v="55000000"/>
    <n v="22362500"/>
    <x v="2030"/>
    <x v="2032"/>
    <x v="4"/>
  </r>
  <r>
    <x v="385"/>
    <n v="262"/>
    <n v="3958500"/>
    <s v="Biography|Drama|History"/>
    <s v="Lesley Manville"/>
    <x v="2033"/>
    <n v="17933"/>
    <s v="prism|rented room|scrofula|sketching|sunrise"/>
    <n v="165"/>
    <x v="0"/>
    <x v="2"/>
    <n v="8200000"/>
    <x v="27"/>
    <x v="22"/>
    <n v="10540279.999999899"/>
    <n v="5088255.8999999901"/>
    <x v="2031"/>
    <x v="2033"/>
    <x v="2"/>
  </r>
  <r>
    <x v="104"/>
    <n v="81"/>
    <n v="5308707"/>
    <s v="Comedy|Crime|Drama|Thriller"/>
    <s v="Jon Favreau"/>
    <x v="2034"/>
    <n v="15053"/>
    <s v="friendship|loudmouth|money laundering|new york city|stripper"/>
    <n v="165"/>
    <x v="0"/>
    <x v="0"/>
    <n v="5000000"/>
    <x v="9"/>
    <x v="24"/>
    <n v="5000000"/>
    <n v="5308707"/>
    <x v="2032"/>
    <x v="2034"/>
    <x v="4"/>
  </r>
  <r>
    <x v="935"/>
    <n v="35"/>
    <n v="52850"/>
    <s v="Comedy"/>
    <s v="Monique Gabriela Curnen"/>
    <x v="2035"/>
    <n v="1656"/>
    <s v="bruce lee|jeet kune do|karate|satire|spoof"/>
    <n v="12"/>
    <x v="0"/>
    <x v="0"/>
    <n v="500000"/>
    <x v="15"/>
    <x v="5"/>
    <n v="500000"/>
    <n v="52850"/>
    <x v="2033"/>
    <x v="2035"/>
    <x v="4"/>
  </r>
  <r>
    <x v="714"/>
    <n v="149"/>
    <n v="20772796"/>
    <s v="Drama|Family"/>
    <s v="Keisha Castle-Hughes"/>
    <x v="2036"/>
    <n v="34232"/>
    <s v="girl|maori|new zealand|tradition|whale"/>
    <n v="346"/>
    <x v="0"/>
    <x v="11"/>
    <n v="6000000"/>
    <x v="13"/>
    <x v="10"/>
    <n v="3532470"/>
    <n v="12229879.7810199"/>
    <x v="2034"/>
    <x v="2036"/>
    <x v="5"/>
  </r>
  <r>
    <x v="70"/>
    <n v="34"/>
    <n v="34522221"/>
    <s v="Drama"/>
    <s v="Ben Davies"/>
    <x v="2037"/>
    <n v="15401"/>
    <s v="faith|fatherhood|integrity|police|responsibility"/>
    <n v="175"/>
    <x v="0"/>
    <x v="0"/>
    <n v="2000000"/>
    <x v="22"/>
    <x v="16"/>
    <n v="2000000"/>
    <n v="34522221"/>
    <x v="2035"/>
    <x v="2037"/>
    <x v="5"/>
  </r>
  <r>
    <x v="735"/>
    <n v="169"/>
    <n v="51853450"/>
    <s v="Comedy|Drama|Family|Fantasy"/>
    <s v="Jennifer Garner"/>
    <x v="2038"/>
    <n v="37398"/>
    <s v="dodgeball|portrait|soccer|soccer game|young love"/>
    <n v="110"/>
    <x v="0"/>
    <x v="0"/>
    <n v="25000000"/>
    <x v="28"/>
    <x v="14"/>
    <n v="25000000"/>
    <n v="51853450"/>
    <x v="2036"/>
    <x v="2038"/>
    <x v="4"/>
  </r>
  <r>
    <x v="1184"/>
    <n v="14"/>
    <n v="92362"/>
    <s v="Comedy|Drama"/>
    <s v="Vivica A. Fox"/>
    <x v="2039"/>
    <n v="444"/>
    <s v=""/>
    <n v="5"/>
    <x v="0"/>
    <x v="0"/>
    <n v="1500000"/>
    <x v="25"/>
    <x v="46"/>
    <n v="1500000"/>
    <n v="92362"/>
    <x v="2037"/>
    <x v="2039"/>
    <x v="4"/>
  </r>
  <r>
    <x v="280"/>
    <n v="83"/>
    <n v="10106233"/>
    <s v="Comedy|Drama"/>
    <s v="Cameron Monaghan"/>
    <x v="2040"/>
    <n v="12702"/>
    <s v="decoration|father daughter relationship|high school|prom|teenager"/>
    <n v="32"/>
    <x v="0"/>
    <x v="0"/>
    <n v="8000000"/>
    <x v="22"/>
    <x v="26"/>
    <n v="8000000"/>
    <n v="10106233"/>
    <x v="2038"/>
    <x v="2040"/>
    <x v="4"/>
  </r>
  <r>
    <x v="442"/>
    <n v="153"/>
    <n v="115731542"/>
    <s v="Comedy|Drama|Romance"/>
    <s v="Tom Hanks"/>
    <x v="2041"/>
    <n v="151812"/>
    <s v="bookstore|competing businesses|instant messaging|new york city|shop owner"/>
    <n v="556"/>
    <x v="0"/>
    <x v="0"/>
    <n v="65000000"/>
    <x v="6"/>
    <x v="20"/>
    <n v="65000000"/>
    <n v="115731542"/>
    <x v="2039"/>
    <x v="2041"/>
    <x v="4"/>
  </r>
  <r>
    <x v="1185"/>
    <n v="104"/>
    <n v="13491653"/>
    <s v="Drama|Thriller"/>
    <s v="Daniel Radcliffe"/>
    <x v="2042"/>
    <n v="23728"/>
    <s v="canal|panama|president|spy|tailor"/>
    <n v="213"/>
    <x v="0"/>
    <x v="0"/>
    <n v="18000000"/>
    <x v="9"/>
    <x v="7"/>
    <n v="18000000"/>
    <n v="13491653"/>
    <x v="2040"/>
    <x v="2042"/>
    <x v="5"/>
  </r>
  <r>
    <x v="1186"/>
    <n v="51"/>
    <n v="265107"/>
    <s v="Comedy|Horror|Mystery"/>
    <s v="Lauren Ambrose"/>
    <x v="2043"/>
    <n v="4617"/>
    <s v="cliche|exchange student|slasher|spoof|surfing"/>
    <n v="93"/>
    <x v="0"/>
    <x v="3"/>
    <n v="1500000"/>
    <x v="4"/>
    <x v="23"/>
    <n v="980820"/>
    <n v="173348.16516"/>
    <x v="2041"/>
    <x v="2043"/>
    <x v="4"/>
  </r>
  <r>
    <x v="890"/>
    <n v="83"/>
    <n v="56876365"/>
    <s v="Action|Adventure"/>
    <s v="Leonardo DiCaprio"/>
    <x v="2044"/>
    <n v="125219"/>
    <s v="france|musketeer|three musketeers|twin|twin brother"/>
    <n v="244"/>
    <x v="0"/>
    <x v="0"/>
    <n v="35000000"/>
    <x v="6"/>
    <x v="24"/>
    <n v="35000000"/>
    <n v="56876365"/>
    <x v="2042"/>
    <x v="2044"/>
    <x v="1"/>
  </r>
  <r>
    <x v="1187"/>
    <n v="110"/>
    <n v="301305"/>
    <s v="Drama|Romance|War"/>
    <s v="Jelena Jovanova"/>
    <x v="2045"/>
    <n v="31414"/>
    <s v="bosnian war|church|emaciation|soldier|violence"/>
    <n v="180"/>
    <x v="27"/>
    <x v="0"/>
    <n v="13000000"/>
    <x v="22"/>
    <x v="46"/>
    <n v="13000000"/>
    <n v="301305"/>
    <x v="2043"/>
    <x v="2045"/>
    <x v="5"/>
  </r>
  <r>
    <x v="56"/>
    <n v="59"/>
    <n v="48114556"/>
    <s v="Comedy|Family|Fantasy|Romance"/>
    <s v="Dania Ramirez"/>
    <x v="2046"/>
    <n v="9380"/>
    <s v="animated sequence|junkyard|love|party|television"/>
    <n v="91"/>
    <x v="0"/>
    <x v="0"/>
    <n v="26000000"/>
    <x v="2"/>
    <x v="46"/>
    <n v="26000000"/>
    <n v="48114556"/>
    <x v="2044"/>
    <x v="2046"/>
    <x v="4"/>
  </r>
  <r>
    <x v="1188"/>
    <n v="358"/>
    <n v="155181732"/>
    <s v="Action|Adventure|Drama|Thriller"/>
    <s v="Dwayne Johnson"/>
    <x v="2047"/>
    <n v="147497"/>
    <s v="disaster movie|earthquake|journey|natural disaster|san andreas fault"/>
    <n v="499"/>
    <x v="0"/>
    <x v="0"/>
    <n v="110000000"/>
    <x v="1"/>
    <x v="7"/>
    <n v="110000000"/>
    <n v="155181732"/>
    <x v="2045"/>
    <x v="2047"/>
    <x v="1"/>
  </r>
  <r>
    <x v="767"/>
    <n v="160"/>
    <n v="476270"/>
    <s v="Action|Biography|Crime|Drama"/>
    <s v="Moritz Bleibtreu"/>
    <x v="2048"/>
    <n v="29602"/>
    <s v="bonn germany|failed kidnapping|handcuffs|projectile|terrorist"/>
    <n v="110"/>
    <x v="7"/>
    <x v="5"/>
    <n v="20000000"/>
    <x v="20"/>
    <x v="39"/>
    <n v="21694800"/>
    <n v="516629.11979999999"/>
    <x v="2046"/>
    <x v="2048"/>
    <x v="1"/>
  </r>
  <r>
    <x v="238"/>
    <n v="225"/>
    <n v="29136626"/>
    <s v="Action|Fantasy|Horror|Sci-Fi|Thriller"/>
    <s v="Josh Wingate"/>
    <x v="2049"/>
    <n v="97089"/>
    <s v="church|priest|sheriff|vampire|warrior"/>
    <n v="233"/>
    <x v="0"/>
    <x v="0"/>
    <n v="60000000"/>
    <x v="22"/>
    <x v="35"/>
    <n v="60000000"/>
    <n v="29136626"/>
    <x v="2047"/>
    <x v="2049"/>
    <x v="1"/>
  </r>
  <r>
    <x v="1189"/>
    <n v="62"/>
    <n v="23978402"/>
    <s v="Comedy|Crime"/>
    <s v="Vincent Pastore"/>
    <x v="2050"/>
    <n v="10966"/>
    <s v="fbi|mafia|mobster|undercover|veterinarian"/>
    <n v="100"/>
    <x v="0"/>
    <x v="0"/>
    <n v="11000000"/>
    <x v="9"/>
    <x v="34"/>
    <n v="11000000"/>
    <n v="23978402"/>
    <x v="2048"/>
    <x v="2050"/>
    <x v="4"/>
  </r>
  <r>
    <x v="1190"/>
    <n v="47"/>
    <n v="50024083"/>
    <s v="Action|Thriller"/>
    <s v="Peter Greene"/>
    <x v="2051"/>
    <n v="35918"/>
    <s v="colorado|niece|satellite|terrorist|train"/>
    <n v="126"/>
    <x v="0"/>
    <x v="0"/>
    <n v="60000000"/>
    <x v="33"/>
    <x v="26"/>
    <n v="60000000"/>
    <n v="50024083"/>
    <x v="2049"/>
    <x v="2051"/>
    <x v="1"/>
  </r>
  <r>
    <x v="199"/>
    <n v="24"/>
    <n v="48092846"/>
    <s v="Adventure|Animation|Family"/>
    <s v="Judith Barsi"/>
    <x v="2052"/>
    <n v="61753"/>
    <s v="brontosaurus|classical music|dinosaur|dinosaur feature|earthquake"/>
    <n v="133"/>
    <x v="0"/>
    <x v="0"/>
    <n v="12500000"/>
    <x v="34"/>
    <x v="4"/>
    <n v="12500000"/>
    <n v="48092846"/>
    <x v="2050"/>
    <x v="2052"/>
    <x v="0"/>
  </r>
  <r>
    <x v="1191"/>
    <n v="252"/>
    <n v="21483154"/>
    <s v="Drama|War"/>
    <s v="Emily Watson"/>
    <x v="2053"/>
    <n v="98741"/>
    <s v="basement|book|girl|library|track"/>
    <n v="236"/>
    <x v="0"/>
    <x v="0"/>
    <n v="19000000"/>
    <x v="0"/>
    <x v="10"/>
    <n v="19000000"/>
    <n v="21483154"/>
    <x v="2051"/>
    <x v="2053"/>
    <x v="5"/>
  </r>
  <r>
    <x v="833"/>
    <n v="288"/>
    <n v="11326836"/>
    <s v="Crime|Drama|Thriller"/>
    <s v="Christian Bale"/>
    <x v="2054"/>
    <n v="83171"/>
    <s v="ambiguous ending|brother brother relationship|drug dealer|fight club|revenge"/>
    <n v="231"/>
    <x v="0"/>
    <x v="0"/>
    <n v="22000000"/>
    <x v="0"/>
    <x v="22"/>
    <n v="22000000"/>
    <n v="11326836"/>
    <x v="2052"/>
    <x v="2054"/>
    <x v="3"/>
  </r>
  <r>
    <x v="1192"/>
    <n v="16"/>
    <n v="399611"/>
    <s v="Biography|Drama|Sport"/>
    <s v="Aidan Quinn"/>
    <x v="2055"/>
    <n v="1245"/>
    <s v="athletic training|football practice|funeral|gymnasium|man crying"/>
    <n v="29"/>
    <x v="0"/>
    <x v="0"/>
    <n v="6000000"/>
    <x v="11"/>
    <x v="35"/>
    <n v="6000000"/>
    <n v="399611"/>
    <x v="2053"/>
    <x v="2055"/>
    <x v="2"/>
  </r>
  <r>
    <x v="477"/>
    <n v="143"/>
    <n v="92001027"/>
    <s v="Action|Adventure|Drama|Sci-Fi|Thriller"/>
    <s v="LeVar Burton"/>
    <x v="2056"/>
    <n v="97838"/>
    <s v="21st century|borg|borg sphere|captain|sphere"/>
    <n v="286"/>
    <x v="0"/>
    <x v="0"/>
    <n v="45000000"/>
    <x v="10"/>
    <x v="10"/>
    <n v="45000000"/>
    <n v="92001027"/>
    <x v="2054"/>
    <x v="2056"/>
    <x v="1"/>
  </r>
  <r>
    <x v="1021"/>
    <n v="314"/>
    <n v="71975611"/>
    <s v="Fantasy|Horror"/>
    <s v="Drew Powell"/>
    <x v="2057"/>
    <n v="209396"/>
    <s v="book|debunking|evil|hotel|paranormal phenomena"/>
    <n v="580"/>
    <x v="0"/>
    <x v="0"/>
    <n v="25000000"/>
    <x v="15"/>
    <x v="22"/>
    <n v="25000000"/>
    <n v="71975611"/>
    <x v="2055"/>
    <x v="2057"/>
    <x v="9"/>
  </r>
  <r>
    <x v="1193"/>
    <n v="146"/>
    <n v="134141530"/>
    <s v="Action|Comedy|Crime|Romance"/>
    <s v="Bruce McGill"/>
    <x v="2058"/>
    <n v="75903"/>
    <s v="gunfight|outrunning explosion|police|security guard|street shootout"/>
    <n v="109"/>
    <x v="0"/>
    <x v="0"/>
    <n v="25000000"/>
    <x v="27"/>
    <x v="5"/>
    <n v="25000000"/>
    <n v="134141530"/>
    <x v="2056"/>
    <x v="2058"/>
    <x v="1"/>
  </r>
  <r>
    <x v="1194"/>
    <n v="162"/>
    <n v="26687172"/>
    <s v="Adventure|Animation|Comedy|Family|Musical"/>
    <s v="Craig Ferguson"/>
    <x v="2059"/>
    <n v="15600"/>
    <s v="disney|owl|rabbit|sequel|tiger"/>
    <n v="55"/>
    <x v="0"/>
    <x v="0"/>
    <n v="30000000"/>
    <x v="22"/>
    <x v="4"/>
    <n v="30000000"/>
    <n v="26687172"/>
    <x v="2057"/>
    <x v="2059"/>
    <x v="0"/>
  </r>
  <r>
    <x v="10"/>
    <n v="97"/>
    <n v="48154732"/>
    <s v="Action|Drama|War"/>
    <s v="Viggo Mortensen"/>
    <x v="2060"/>
    <n v="60326"/>
    <s v="feminism|hit in the crotch|kicked in the crotch|kicked in the testicles|navy"/>
    <n v="142"/>
    <x v="0"/>
    <x v="0"/>
    <n v="50000000"/>
    <x v="31"/>
    <x v="30"/>
    <n v="50000000"/>
    <n v="48154732"/>
    <x v="2058"/>
    <x v="2060"/>
    <x v="1"/>
  </r>
  <r>
    <x v="1195"/>
    <n v="21"/>
    <n v="8000000"/>
    <s v="Biography|Comedy|Musical|Romance|Western"/>
    <s v="Keenan Wynn"/>
    <x v="2061"/>
    <n v="3167"/>
    <s v="girl|gun|love|sharpshooter|the end"/>
    <n v="90"/>
    <x v="0"/>
    <x v="0"/>
    <n v="3768785"/>
    <x v="67"/>
    <x v="16"/>
    <n v="3768785"/>
    <n v="8000000"/>
    <x v="2059"/>
    <x v="2061"/>
    <x v="2"/>
  </r>
  <r>
    <x v="173"/>
    <n v="202"/>
    <n v="69951824"/>
    <s v="Drama|Romance"/>
    <s v="Will Smith"/>
    <x v="2062"/>
    <n v="232710"/>
    <s v="boyfriend girlfriend relationship|heart|main character dies|organ donor|redemption"/>
    <n v="599"/>
    <x v="0"/>
    <x v="0"/>
    <n v="55000000"/>
    <x v="20"/>
    <x v="9"/>
    <n v="55000000"/>
    <n v="69951824"/>
    <x v="2060"/>
    <x v="2062"/>
    <x v="5"/>
  </r>
  <r>
    <x v="167"/>
    <n v="392"/>
    <n v="37304950"/>
    <s v="Biography|Crime|Drama"/>
    <s v="Leonardo DiCaprio"/>
    <x v="2063"/>
    <n v="102728"/>
    <s v="agent|fbi|federal bureau of investigation|gay relationship|secret"/>
    <n v="279"/>
    <x v="0"/>
    <x v="0"/>
    <n v="35000000"/>
    <x v="22"/>
    <x v="14"/>
    <n v="35000000"/>
    <n v="37304950"/>
    <x v="2061"/>
    <x v="2063"/>
    <x v="2"/>
  </r>
  <r>
    <x v="1196"/>
    <n v="150"/>
    <n v="32178777"/>
    <s v="Comedy|Romance|Sport"/>
    <s v="Justin Timberlake"/>
    <x v="2064"/>
    <n v="43300"/>
    <s v="bloopers during credits|bucket of popcorn|chastity belt|guru|toronto maple leafs"/>
    <n v="250"/>
    <x v="0"/>
    <x v="0"/>
    <n v="62000000"/>
    <x v="20"/>
    <x v="54"/>
    <n v="62000000"/>
    <n v="32178777"/>
    <x v="2062"/>
    <x v="2064"/>
    <x v="4"/>
  </r>
  <r>
    <x v="1197"/>
    <n v="212"/>
    <n v="40198710"/>
    <s v="Action|Crime|Fantasy|Romance|Thriller"/>
    <s v="Frances Conroy"/>
    <x v="2065"/>
    <n v="87451"/>
    <s v="based on cult comic book|bechdel test passed|cat|detective|radical transformation"/>
    <n v="660"/>
    <x v="0"/>
    <x v="0"/>
    <n v="100000000"/>
    <x v="2"/>
    <x v="57"/>
    <n v="100000000"/>
    <n v="40198710"/>
    <x v="2063"/>
    <x v="2065"/>
    <x v="1"/>
  </r>
  <r>
    <x v="143"/>
    <n v="94"/>
    <n v="123307945"/>
    <s v="Comedy|Romance|Sci-Fi"/>
    <s v="Larry Miller"/>
    <x v="2066"/>
    <n v="39391"/>
    <s v="alter ego|marriage|professor|scientist|serum"/>
    <n v="171"/>
    <x v="0"/>
    <x v="0"/>
    <n v="65000000"/>
    <x v="4"/>
    <x v="46"/>
    <n v="65000000"/>
    <n v="123307945"/>
    <x v="2064"/>
    <x v="2066"/>
    <x v="4"/>
  </r>
  <r>
    <x v="1198"/>
    <n v="95"/>
    <n v="14000000"/>
    <s v="Comedy|Fantasy|Horror|Thriller"/>
    <s v="George Kennedy"/>
    <x v="2067"/>
    <n v="15956"/>
    <s v="anthology|hit and run|hit by a car|living statue|melting woman"/>
    <n v="118"/>
    <x v="0"/>
    <x v="0"/>
    <n v="3500000"/>
    <x v="21"/>
    <x v="11"/>
    <n v="3500000"/>
    <n v="14000000"/>
    <x v="2065"/>
    <x v="2067"/>
    <x v="4"/>
  </r>
  <r>
    <x v="924"/>
    <n v="174"/>
    <n v="2298191"/>
    <s v="Adventure|Animation|Fantasy"/>
    <s v="Minnie Driver"/>
    <x v="2068"/>
    <n v="221552"/>
    <s v="anime|cult film|forest|princess|studio ghibli"/>
    <n v="570"/>
    <x v="8"/>
    <x v="15"/>
    <n v="2400000000"/>
    <x v="31"/>
    <x v="25"/>
    <n v="15591840"/>
    <n v="14930.427650600001"/>
    <x v="2066"/>
    <x v="2068"/>
    <x v="0"/>
  </r>
  <r>
    <x v="232"/>
    <n v="302"/>
    <n v="18593156"/>
    <s v="Drama"/>
    <s v="Toby Jones"/>
    <x v="2069"/>
    <n v="88682"/>
    <s v="american president|political drama|scandal|u.s. president|washington post the newspaper"/>
    <n v="241"/>
    <x v="0"/>
    <x v="0"/>
    <n v="35000000"/>
    <x v="20"/>
    <x v="9"/>
    <n v="35000000"/>
    <n v="18593156"/>
    <x v="2067"/>
    <x v="2069"/>
    <x v="5"/>
  </r>
  <r>
    <x v="274"/>
    <n v="223"/>
    <n v="76600000"/>
    <s v="Fantasy|Horror"/>
    <s v="Heather O'Rourke"/>
    <x v="992"/>
    <n v="105448"/>
    <s v="ghost|haunted|haunting|house|paranormal investigator"/>
    <n v="321"/>
    <x v="0"/>
    <x v="0"/>
    <n v="10700000"/>
    <x v="42"/>
    <x v="39"/>
    <n v="10700000"/>
    <n v="76600000"/>
    <x v="992"/>
    <x v="992"/>
    <x v="9"/>
  </r>
  <r>
    <x v="167"/>
    <n v="315"/>
    <n v="32741596"/>
    <s v="Drama|Fantasy"/>
    <s v="Matt Damon"/>
    <x v="2070"/>
    <n v="80140"/>
    <s v="death|france|near death experience|tsunami|twin brother"/>
    <n v="323"/>
    <x v="0"/>
    <x v="0"/>
    <n v="50000000"/>
    <x v="11"/>
    <x v="20"/>
    <n v="50000000"/>
    <n v="32741596"/>
    <x v="2068"/>
    <x v="2070"/>
    <x v="5"/>
  </r>
  <r>
    <x v="719"/>
    <n v="161"/>
    <n v="135381507"/>
    <s v="Adventure|Animation|Comedy|Family|Sci-Fi"/>
    <s v="Catherine O'Hara"/>
    <x v="2071"/>
    <n v="63912"/>
    <s v="alien invasion|chicken|fish|friend|panic"/>
    <n v="251"/>
    <x v="0"/>
    <x v="0"/>
    <n v="150000000"/>
    <x v="25"/>
    <x v="30"/>
    <n v="150000000"/>
    <n v="135381507"/>
    <x v="2069"/>
    <x v="2071"/>
    <x v="0"/>
  </r>
  <r>
    <x v="964"/>
    <n v="77"/>
    <n v="1068392"/>
    <s v="Biography|Drama|War"/>
    <s v="Jordi MollÃ "/>
    <x v="2072"/>
    <n v="3865"/>
    <s v="dying|forgiveness|saint|spanish civil war|starts with narration"/>
    <n v="53"/>
    <x v="0"/>
    <x v="12"/>
    <n v="36000000"/>
    <x v="22"/>
    <x v="0"/>
    <n v="39050640"/>
    <n v="1158927.5380800001"/>
    <x v="2070"/>
    <x v="2072"/>
    <x v="2"/>
  </r>
  <r>
    <x v="292"/>
    <n v="67"/>
    <n v="165500000"/>
    <s v="Action|Adventure|Drama|Romance"/>
    <s v="Alan Rickman"/>
    <x v="2073"/>
    <n v="145257"/>
    <s v="balladeer|crusades|england|king|modern minstrel"/>
    <n v="322"/>
    <x v="0"/>
    <x v="0"/>
    <n v="48000000"/>
    <x v="38"/>
    <x v="31"/>
    <n v="48000000"/>
    <n v="165500000"/>
    <x v="2071"/>
    <x v="2073"/>
    <x v="1"/>
  </r>
  <r>
    <x v="869"/>
    <n v="739"/>
    <n v="153629485"/>
    <s v="Action|Adventure|Sci-Fi|Thriller"/>
    <s v="Tom Hardy"/>
    <x v="2074"/>
    <n v="552503"/>
    <s v="australia|desert|escape|on the run|post apocalypse"/>
    <n v="1588"/>
    <x v="0"/>
    <x v="3"/>
    <n v="150000000"/>
    <x v="1"/>
    <x v="40"/>
    <n v="98082000"/>
    <n v="100455247.65180001"/>
    <x v="2072"/>
    <x v="2074"/>
    <x v="1"/>
  </r>
  <r>
    <x v="1199"/>
    <n v="39"/>
    <n v="3050934"/>
    <s v="Drama|Music"/>
    <s v="Aidan Quinn"/>
    <x v="2075"/>
    <n v="2794"/>
    <s v="doctor|mountain|musician|song|university"/>
    <n v="78"/>
    <x v="0"/>
    <x v="0"/>
    <n v="1800000"/>
    <x v="4"/>
    <x v="4"/>
    <n v="1800000"/>
    <n v="3050934"/>
    <x v="2073"/>
    <x v="2075"/>
    <x v="5"/>
  </r>
  <r>
    <x v="1200"/>
    <n v="462"/>
    <n v="73058679"/>
    <s v="Action|Adventure|Sci-Fi"/>
    <s v="Daryl Sabara"/>
    <x v="2076"/>
    <n v="212204"/>
    <s v="alien|american civil war|male nipple|mars|princess"/>
    <n v="738"/>
    <x v="0"/>
    <x v="0"/>
    <n v="263700000"/>
    <x v="28"/>
    <x v="14"/>
    <n v="263700000"/>
    <n v="73058679"/>
    <x v="2074"/>
    <x v="2076"/>
    <x v="1"/>
  </r>
  <r>
    <x v="1201"/>
    <n v="98"/>
    <n v="20668843"/>
    <s v="Comedy|Crime|Thriller"/>
    <s v="Stephen Root"/>
    <x v="2077"/>
    <n v="16831"/>
    <s v="bank|federal reserve bank|money|security guard|shredder"/>
    <n v="54"/>
    <x v="0"/>
    <x v="0"/>
    <n v="22000000"/>
    <x v="20"/>
    <x v="30"/>
    <n v="22000000"/>
    <n v="20668843"/>
    <x v="2075"/>
    <x v="2077"/>
    <x v="4"/>
  </r>
  <r>
    <x v="1202"/>
    <n v="118"/>
    <n v="50818750"/>
    <s v="Adventure|Animation|Comedy|Family|Fantasy"/>
    <s v="Emma Watson"/>
    <x v="2078"/>
    <n v="31209"/>
    <s v="book|darkness|dungeon|princess|rat"/>
    <n v="106"/>
    <x v="0"/>
    <x v="2"/>
    <n v="60000000"/>
    <x v="20"/>
    <x v="7"/>
    <n v="77124000"/>
    <n v="65322421.249999903"/>
    <x v="2076"/>
    <x v="2078"/>
    <x v="0"/>
  </r>
  <r>
    <x v="212"/>
    <n v="203"/>
    <n v="27285953"/>
    <s v="Action|Thriller"/>
    <s v="Sterling Jerins"/>
    <x v="2079"/>
    <n v="48675"/>
    <s v="asia|fictional country|hotel|rebellion|revolution"/>
    <n v="214"/>
    <x v="0"/>
    <x v="0"/>
    <n v="5000000"/>
    <x v="1"/>
    <x v="22"/>
    <n v="5000000"/>
    <n v="27285953"/>
    <x v="2077"/>
    <x v="2079"/>
    <x v="1"/>
  </r>
  <r>
    <x v="772"/>
    <n v="322"/>
    <n v="3219029"/>
    <s v="Crime|Horror|Music|Thriller"/>
    <s v="Alia Shawkat"/>
    <x v="2080"/>
    <n v="28845"/>
    <s v="murder|neo nazi|punk band|skinhead|suspense"/>
    <n v="125"/>
    <x v="0"/>
    <x v="0"/>
    <n v="5000000"/>
    <x v="1"/>
    <x v="17"/>
    <n v="5000000"/>
    <n v="3219029"/>
    <x v="2078"/>
    <x v="2080"/>
    <x v="3"/>
  </r>
  <r>
    <x v="1203"/>
    <n v="39"/>
    <n v="196067"/>
    <s v="Drama|Romance"/>
    <s v="Olivia Williams"/>
    <x v="2081"/>
    <n v="1966"/>
    <s v="1930s|car accident|hospital|marital rape|painter"/>
    <n v="25"/>
    <x v="0"/>
    <x v="2"/>
    <n v="7000000"/>
    <x v="13"/>
    <x v="21"/>
    <n v="8997800"/>
    <n v="252024.52179999999"/>
    <x v="2079"/>
    <x v="2081"/>
    <x v="5"/>
  </r>
  <r>
    <x v="181"/>
    <n v="160"/>
    <n v="626809"/>
    <s v="Action|Adventure|Drama|History|War"/>
    <s v="Takeshi Kaneshiro"/>
    <x v="2082"/>
    <n v="36894"/>
    <s v="alliance|battle|china|chinese|strategy"/>
    <n v="105"/>
    <x v="15"/>
    <x v="6"/>
    <n v="553632000"/>
    <x v="20"/>
    <x v="39"/>
    <n v="76558392.124799997"/>
    <n v="86677.593075099998"/>
    <x v="2080"/>
    <x v="2082"/>
    <x v="1"/>
  </r>
  <r>
    <x v="1204"/>
    <n v="25"/>
    <n v="978908"/>
    <s v="Drama|Horror|Mystery|Thriller"/>
    <s v="Marc Blucas"/>
    <x v="2083"/>
    <n v="4057"/>
    <s v="bound with duct tape|flash forward|number|riddle|stalking"/>
    <n v="90"/>
    <x v="0"/>
    <x v="32"/>
    <n v="2400000"/>
    <x v="7"/>
    <x v="37"/>
    <n v="607187.99999999895"/>
    <n v="247658.82945999899"/>
    <x v="2081"/>
    <x v="2083"/>
    <x v="5"/>
  </r>
  <r>
    <x v="146"/>
    <n v="145"/>
    <n v="449558"/>
    <s v="Biography|Drama|Sport"/>
    <s v="Stephen Graham"/>
    <x v="2084"/>
    <n v="32307"/>
    <s v="cup|derby county|flashback|football|leeds united"/>
    <n v="75"/>
    <x v="0"/>
    <x v="2"/>
    <n v="10000000"/>
    <x v="16"/>
    <x v="10"/>
    <n v="12853999.999999899"/>
    <n v="577861.85319999896"/>
    <x v="2082"/>
    <x v="2084"/>
    <x v="2"/>
  </r>
  <r>
    <x v="579"/>
    <n v="177"/>
    <n v="24520892"/>
    <s v="Action|Crime|Drama|Thriller"/>
    <s v="Morgan Freeman"/>
    <x v="2085"/>
    <n v="85198"/>
    <s v="collar|dog|fight|fighting|piano"/>
    <n v="303"/>
    <x v="0"/>
    <x v="8"/>
    <n v="45000000"/>
    <x v="25"/>
    <x v="16"/>
    <n v="48813300"/>
    <n v="26598792.388080001"/>
    <x v="2083"/>
    <x v="2085"/>
    <x v="1"/>
  </r>
  <r>
    <x v="209"/>
    <n v="509"/>
    <n v="258355354"/>
    <s v="Adventure|Fantasy"/>
    <s v="Aidan Turner"/>
    <x v="2086"/>
    <n v="483540"/>
    <s v="dwarf|elf|lake town|mountain|sword and sorcery"/>
    <n v="951"/>
    <x v="0"/>
    <x v="0"/>
    <n v="225000000"/>
    <x v="0"/>
    <x v="19"/>
    <n v="225000000"/>
    <n v="258355354"/>
    <x v="2084"/>
    <x v="2086"/>
    <x v="0"/>
  </r>
  <r>
    <x v="187"/>
    <n v="93"/>
    <n v="2122561"/>
    <s v="Comedy|Romance"/>
    <s v="Ethan Suplee"/>
    <x v="2087"/>
    <n v="99033"/>
    <s v="comic|ex girlfriend|jay and silent bob|mall|teenager"/>
    <n v="434"/>
    <x v="0"/>
    <x v="0"/>
    <n v="6000000"/>
    <x v="33"/>
    <x v="33"/>
    <n v="6000000"/>
    <n v="2122561"/>
    <x v="2085"/>
    <x v="2087"/>
    <x v="4"/>
  </r>
  <r>
    <x v="1205"/>
    <n v="54"/>
    <n v="92191"/>
    <s v="Comedy|Drama|Sport"/>
    <s v="Jason Statham"/>
    <x v="2088"/>
    <n v="29463"/>
    <s v="inmate|prison|prison guard|soccer|soccer star"/>
    <n v="84"/>
    <x v="0"/>
    <x v="2"/>
    <n v="2500000"/>
    <x v="9"/>
    <x v="20"/>
    <n v="3213499.9999999902"/>
    <n v="118502.311399999"/>
    <x v="2086"/>
    <x v="2088"/>
    <x v="4"/>
  </r>
  <r>
    <x v="831"/>
    <n v="60"/>
    <n v="4922166"/>
    <s v="Comedy|Musical|Romance"/>
    <s v="Anika Noni Rose"/>
    <x v="2089"/>
    <n v="23606"/>
    <s v="bar|florida|love|spring break|waitress"/>
    <n v="304"/>
    <x v="0"/>
    <x v="0"/>
    <n v="12000000"/>
    <x v="19"/>
    <x v="63"/>
    <n v="12000000"/>
    <n v="4922166"/>
    <x v="2087"/>
    <x v="2089"/>
    <x v="4"/>
  </r>
  <r>
    <x v="1206"/>
    <n v="54"/>
    <n v="1950218"/>
    <s v="Comedy|Drama"/>
    <s v="Robert Downey Jr."/>
    <x v="2090"/>
    <n v="5933"/>
    <s v="actor|anilingus|double cross|funeral home|two timing"/>
    <n v="102"/>
    <x v="0"/>
    <x v="0"/>
    <n v="1000000"/>
    <x v="31"/>
    <x v="15"/>
    <n v="1000000"/>
    <n v="1950218"/>
    <x v="2088"/>
    <x v="2090"/>
    <x v="4"/>
  </r>
  <r>
    <x v="132"/>
    <n v="298"/>
    <n v="47379090"/>
    <s v="Drama|History|Thriller"/>
    <s v="Ayelet Zurer"/>
    <x v="2091"/>
    <n v="176936"/>
    <s v="arab|black september|israel|jew|munich olympics"/>
    <n v="824"/>
    <x v="0"/>
    <x v="8"/>
    <n v="70000000"/>
    <x v="25"/>
    <x v="10"/>
    <n v="75931800"/>
    <n v="51393994.086599998"/>
    <x v="2089"/>
    <x v="2091"/>
    <x v="5"/>
  </r>
  <r>
    <x v="1207"/>
    <n v="60"/>
    <n v="317040"/>
    <s v="Drama|Romance"/>
    <s v="Kristen Stewart"/>
    <x v="2092"/>
    <n v="6723"/>
    <s v="louisiana|overalls|road trip|southern u.s.|teenage boy"/>
    <n v="36"/>
    <x v="0"/>
    <x v="0"/>
    <n v="15500000"/>
    <x v="20"/>
    <x v="22"/>
    <n v="15500000"/>
    <n v="317040"/>
    <x v="2090"/>
    <x v="2092"/>
    <x v="5"/>
  </r>
  <r>
    <x v="87"/>
    <n v="436"/>
    <n v="116593191"/>
    <s v="Action|Adventure|Sci-Fi"/>
    <s v="Ryan Reynolds"/>
    <x v="2093"/>
    <n v="223393"/>
    <s v="autopsy|lantern|planet|ring|test pilot"/>
    <n v="550"/>
    <x v="0"/>
    <x v="0"/>
    <n v="200000000"/>
    <x v="22"/>
    <x v="15"/>
    <n v="200000000"/>
    <n v="116593191"/>
    <x v="2091"/>
    <x v="2093"/>
    <x v="1"/>
  </r>
  <r>
    <x v="82"/>
    <n v="128"/>
    <n v="22905674"/>
    <s v="Crime|Drama"/>
    <s v="Matt Damon"/>
    <x v="2094"/>
    <n v="121676"/>
    <s v="breasts|cult film|loan shark|poker|reference to christy turlington"/>
    <n v="290"/>
    <x v="0"/>
    <x v="0"/>
    <n v="12000000"/>
    <x v="6"/>
    <x v="39"/>
    <n v="12000000"/>
    <n v="22905674"/>
    <x v="2092"/>
    <x v="2094"/>
    <x v="3"/>
  </r>
  <r>
    <x v="297"/>
    <n v="377"/>
    <n v="33048353"/>
    <s v="Crime|Drama|History|Mystery|Thriller"/>
    <s v="Robert Downey Jr."/>
    <x v="2095"/>
    <n v="301279"/>
    <s v="cartoonist|reporter|serial killer|zodiac|zodiac killer"/>
    <n v="589"/>
    <x v="0"/>
    <x v="0"/>
    <n v="65000000"/>
    <x v="15"/>
    <x v="9"/>
    <n v="65000000"/>
    <n v="33048353"/>
    <x v="2093"/>
    <x v="2095"/>
    <x v="3"/>
  </r>
  <r>
    <x v="894"/>
    <n v="15"/>
    <n v="2832826"/>
    <s v="Comedy|Drama|Romance"/>
    <s v="Anjelica Huston"/>
    <x v="2096"/>
    <n v="1761"/>
    <s v="immigration|love|political prisoner|reference to john wayne|title directed by female"/>
    <n v="19"/>
    <x v="0"/>
    <x v="0"/>
    <n v="11000000"/>
    <x v="33"/>
    <x v="5"/>
    <n v="11000000"/>
    <n v="2832826"/>
    <x v="2094"/>
    <x v="2096"/>
    <x v="4"/>
  </r>
  <r>
    <x v="183"/>
    <n v="406"/>
    <n v="85707116"/>
    <s v="Action|Drama|War"/>
    <s v="Brad Pitt"/>
    <x v="2097"/>
    <n v="303185"/>
    <s v="battle|battlefield|brutality|combat|tank"/>
    <n v="701"/>
    <x v="0"/>
    <x v="0"/>
    <n v="68000000"/>
    <x v="27"/>
    <x v="10"/>
    <n v="68000000"/>
    <n v="85707116"/>
    <x v="2095"/>
    <x v="2097"/>
    <x v="1"/>
  </r>
  <r>
    <x v="1208"/>
    <n v="85"/>
    <n v="11576087"/>
    <s v="Action|Adventure|Sci-Fi"/>
    <s v="Saffron Burrows"/>
    <x v="2098"/>
    <n v="14747"/>
    <s v="27th century|fighter pilot|orchestral music score|outer space|space opera"/>
    <n v="338"/>
    <x v="0"/>
    <x v="0"/>
    <n v="30000000"/>
    <x v="12"/>
    <x v="13"/>
    <n v="30000000"/>
    <n v="11576087"/>
    <x v="2096"/>
    <x v="2098"/>
    <x v="1"/>
  </r>
  <r>
    <x v="859"/>
    <n v="208"/>
    <n v="30691439"/>
    <s v="Horror|Mystery"/>
    <s v="Jason Flemyng"/>
    <x v="2099"/>
    <n v="86205"/>
    <s v="estranged wife|evil|fire|medication|mirror"/>
    <n v="232"/>
    <x v="0"/>
    <x v="0"/>
    <n v="35000000"/>
    <x v="20"/>
    <x v="5"/>
    <n v="35000000"/>
    <n v="30691439"/>
    <x v="2097"/>
    <x v="2099"/>
    <x v="6"/>
  </r>
  <r>
    <x v="77"/>
    <n v="149"/>
    <n v="6592103"/>
    <s v="Crime|Drama|Mystery|Thriller"/>
    <s v="Peter Coyote"/>
    <x v="2100"/>
    <n v="28584"/>
    <s v="ambassador|cannes|identity|suicide|thief"/>
    <n v="232"/>
    <x v="0"/>
    <x v="8"/>
    <n v="35000000"/>
    <x v="13"/>
    <x v="23"/>
    <n v="37965900"/>
    <n v="7150717.80822"/>
    <x v="2098"/>
    <x v="2100"/>
    <x v="3"/>
  </r>
  <r>
    <x v="635"/>
    <n v="177"/>
    <n v="64604977"/>
    <s v="Crime|Drama|Mystery|Thriller"/>
    <s v="Kevin Spacey"/>
    <x v="2101"/>
    <n v="414219"/>
    <s v="1950s|call girl|corruption|murder|police detective"/>
    <n v="625"/>
    <x v="0"/>
    <x v="0"/>
    <n v="35000000"/>
    <x v="31"/>
    <x v="36"/>
    <n v="35000000"/>
    <n v="64604977"/>
    <x v="2099"/>
    <x v="2101"/>
    <x v="3"/>
  </r>
  <r>
    <x v="652"/>
    <n v="184"/>
    <n v="42776259"/>
    <s v="Adventure|Comedy|Family|Fantasy"/>
    <s v="James Corden"/>
    <x v="2102"/>
    <n v="53160"/>
    <s v="bermuda triangle|box office hit|shipwrecked|travel|travel writer"/>
    <n v="121"/>
    <x v="0"/>
    <x v="0"/>
    <n v="112000000"/>
    <x v="11"/>
    <x v="18"/>
    <n v="112000000"/>
    <n v="42776259"/>
    <x v="2100"/>
    <x v="2102"/>
    <x v="0"/>
  </r>
  <r>
    <x v="1209"/>
    <n v="229"/>
    <n v="54724272"/>
    <s v="Comedy|Crime"/>
    <s v="Dax Flame"/>
    <x v="2103"/>
    <n v="157051"/>
    <s v="birthday party|high school|high school senior|millennial generation|party"/>
    <n v="261"/>
    <x v="0"/>
    <x v="0"/>
    <n v="12000000"/>
    <x v="28"/>
    <x v="21"/>
    <n v="12000000"/>
    <n v="54724272"/>
    <x v="2101"/>
    <x v="2103"/>
    <x v="4"/>
  </r>
  <r>
    <x v="241"/>
    <n v="42"/>
    <n v="22359293"/>
    <s v="Adventure|Comedy|Family|Fantasy"/>
    <s v="Jim Broadbent"/>
    <x v="2104"/>
    <n v="16222"/>
    <s v="child's point of view|house|lawyer|real estate|washing machine"/>
    <n v="39"/>
    <x v="0"/>
    <x v="2"/>
    <n v="29000000"/>
    <x v="31"/>
    <x v="30"/>
    <n v="37276600"/>
    <n v="28740635.222199999"/>
    <x v="2102"/>
    <x v="2104"/>
    <x v="0"/>
  </r>
  <r>
    <x v="97"/>
    <n v="148"/>
    <n v="100012500"/>
    <s v="Action|Adventure|Thriller"/>
    <s v="Bruce Willis"/>
    <x v="2105"/>
    <n v="299258"/>
    <s v="bomb|detective|new york city|police|terrorist"/>
    <n v="346"/>
    <x v="0"/>
    <x v="0"/>
    <n v="90000000"/>
    <x v="33"/>
    <x v="10"/>
    <n v="90000000"/>
    <n v="100012500"/>
    <x v="2103"/>
    <x v="2105"/>
    <x v="1"/>
  </r>
  <r>
    <x v="1210"/>
    <n v="14"/>
    <n v="2807854"/>
    <s v="Adventure|Drama|Romance"/>
    <s v="Milla Jovovich"/>
    <x v="2106"/>
    <n v="14129"/>
    <s v="baby|desert island|island|sequel|teenage girl"/>
    <n v="39"/>
    <x v="0"/>
    <x v="0"/>
    <n v="11000000"/>
    <x v="38"/>
    <x v="37"/>
    <n v="11000000"/>
    <n v="2807854"/>
    <x v="2104"/>
    <x v="2106"/>
    <x v="0"/>
  </r>
  <r>
    <x v="963"/>
    <n v="118"/>
    <n v="183662"/>
    <s v="Comedy|Drama"/>
    <s v="FranÃ§ois Cluzet"/>
    <x v="2107"/>
    <n v="18395"/>
    <s v="friend|restaurant|secret|unrequited love|vacation"/>
    <n v="48"/>
    <x v="4"/>
    <x v="8"/>
    <n v="25000000"/>
    <x v="11"/>
    <x v="17"/>
    <n v="27118500"/>
    <n v="199225.51788"/>
    <x v="2105"/>
    <x v="2107"/>
    <x v="4"/>
  </r>
  <r>
    <x v="332"/>
    <n v="168"/>
    <n v="8579684"/>
    <s v="Comedy"/>
    <s v="Peter Dinklage"/>
    <x v="2108"/>
    <n v="89547"/>
    <s v="end credits roll call|four word title|funeral|secret|uncle"/>
    <n v="199"/>
    <x v="0"/>
    <x v="0"/>
    <n v="9000000"/>
    <x v="15"/>
    <x v="39"/>
    <n v="9000000"/>
    <n v="8579684"/>
    <x v="2106"/>
    <x v="2108"/>
    <x v="4"/>
  </r>
  <r>
    <x v="88"/>
    <n v="196"/>
    <n v="2840417"/>
    <s v="Horror|Sci-Fi|Thriller"/>
    <s v="Jennifer Jason Leigh"/>
    <x v="2109"/>
    <n v="77493"/>
    <s v="assassin|game|game designer|pod|virtual reality"/>
    <n v="527"/>
    <x v="0"/>
    <x v="9"/>
    <n v="31000000"/>
    <x v="12"/>
    <x v="22"/>
    <n v="22425555"/>
    <n v="2054771.8598849999"/>
    <x v="2107"/>
    <x v="2109"/>
    <x v="6"/>
  </r>
  <r>
    <x v="579"/>
    <n v="354"/>
    <n v="134518390"/>
    <s v="Action|Adventure|Sci-Fi"/>
    <s v="Ty Burrell"/>
    <x v="2110"/>
    <n v="326286"/>
    <s v="antidote|cure|hulk|marvel cinematic universe|opening action scene"/>
    <n v="643"/>
    <x v="0"/>
    <x v="0"/>
    <n v="150000000"/>
    <x v="20"/>
    <x v="22"/>
    <n v="150000000"/>
    <n v="134518390"/>
    <x v="2108"/>
    <x v="2110"/>
    <x v="1"/>
  </r>
  <r>
    <x v="952"/>
    <n v="424"/>
    <n v="350034110"/>
    <s v="Action|Crime|Thriller"/>
    <s v="Jason Statham"/>
    <x v="2111"/>
    <n v="278232"/>
    <s v="car falling off a cliff|hospital|revenge|star died before release|terrorist"/>
    <n v="657"/>
    <x v="0"/>
    <x v="0"/>
    <n v="190000000"/>
    <x v="1"/>
    <x v="33"/>
    <n v="190000000"/>
    <n v="350034110"/>
    <x v="2109"/>
    <x v="2111"/>
    <x v="1"/>
  </r>
  <r>
    <x v="1211"/>
    <n v="416"/>
    <n v="155111815"/>
    <s v="Action|Adventure|Drama|Fantasy"/>
    <s v="Chris Hemsworth"/>
    <x v="2112"/>
    <n v="228554"/>
    <s v="evil queen|fairy tale|magic|queen|snow white"/>
    <n v="710"/>
    <x v="0"/>
    <x v="0"/>
    <n v="170000000"/>
    <x v="28"/>
    <x v="7"/>
    <n v="170000000"/>
    <n v="155111815"/>
    <x v="2110"/>
    <x v="2112"/>
    <x v="1"/>
  </r>
  <r>
    <x v="1212"/>
    <n v="5"/>
    <n v="4914"/>
    <s v="Adventure|Documentary"/>
    <s v="Naderev Sano"/>
    <x v="2113"/>
    <n v="123"/>
    <s v=""/>
    <n v="2"/>
    <x v="0"/>
    <x v="0"/>
    <n v="150000"/>
    <x v="1"/>
    <x v="16"/>
    <n v="150000"/>
    <n v="4914"/>
    <x v="2111"/>
    <x v="2113"/>
    <x v="0"/>
  </r>
  <r>
    <x v="177"/>
    <n v="313"/>
    <n v="171383253"/>
    <s v="Action|Sci-Fi"/>
    <s v="Keanu Reeves"/>
    <x v="2114"/>
    <n v="1217752"/>
    <s v="artificial reality|computer|matrix|questioning reality|simulated reality"/>
    <n v="3646"/>
    <x v="0"/>
    <x v="0"/>
    <n v="63000000"/>
    <x v="12"/>
    <x v="48"/>
    <n v="63000000"/>
    <n v="171383253"/>
    <x v="2112"/>
    <x v="2114"/>
    <x v="1"/>
  </r>
  <r>
    <x v="1213"/>
    <n v="120"/>
    <n v="23838"/>
    <s v="Horror|Sci-Fi|Thriller"/>
    <s v="Romola Garai"/>
    <x v="2115"/>
    <n v="28570"/>
    <s v="alien infection|astronaut|mars|mission|zombie"/>
    <n v="160"/>
    <x v="0"/>
    <x v="2"/>
    <n v="7000000"/>
    <x v="0"/>
    <x v="28"/>
    <n v="8997800"/>
    <n v="30641.365199999898"/>
    <x v="2113"/>
    <x v="2115"/>
    <x v="6"/>
  </r>
  <r>
    <x v="168"/>
    <n v="104"/>
    <n v="3169424"/>
    <s v="Drama|Sport"/>
    <s v="Harry Lennix"/>
    <x v="2116"/>
    <n v="18442"/>
    <s v="boxing|colosseum|homeless man|reporter|writer"/>
    <n v="59"/>
    <x v="0"/>
    <x v="0"/>
    <n v="13000000"/>
    <x v="15"/>
    <x v="22"/>
    <n v="13000000"/>
    <n v="3169424"/>
    <x v="2114"/>
    <x v="2116"/>
    <x v="5"/>
  </r>
  <r>
    <x v="952"/>
    <n v="445"/>
    <n v="53991137"/>
    <s v="Fantasy|Horror|Mystery|Thriller"/>
    <s v="Lin Shaye"/>
    <x v="2117"/>
    <n v="202800"/>
    <s v="baby|boy|coma|demon|house"/>
    <n v="752"/>
    <x v="0"/>
    <x v="0"/>
    <n v="1500000"/>
    <x v="11"/>
    <x v="22"/>
    <n v="1500000"/>
    <n v="53991137"/>
    <x v="2115"/>
    <x v="2117"/>
    <x v="9"/>
  </r>
  <r>
    <x v="1214"/>
    <n v="58"/>
    <n v="6739141"/>
    <s v="Action|Crime|Sci-Fi|Thriller"/>
    <s v="Christopher Lambert"/>
    <x v="2118"/>
    <n v="23383"/>
    <s v="escape|future|population control|prison|prisoner"/>
    <n v="68"/>
    <x v="0"/>
    <x v="3"/>
    <n v="8000000"/>
    <x v="8"/>
    <x v="0"/>
    <n v="5231040"/>
    <n v="4406589.5170799997"/>
    <x v="2116"/>
    <x v="2118"/>
    <x v="1"/>
  </r>
  <r>
    <x v="376"/>
    <n v="55"/>
    <n v="61400000"/>
    <s v="Adventure|Comedy"/>
    <s v="Beverly D'Angelo"/>
    <x v="2119"/>
    <n v="71183"/>
    <s v="amusement park|dog|family vacation|national lampoon series|vacation"/>
    <n v="183"/>
    <x v="0"/>
    <x v="0"/>
    <n v="15000000"/>
    <x v="30"/>
    <x v="39"/>
    <n v="15000000"/>
    <n v="61400000"/>
    <x v="2117"/>
    <x v="2119"/>
    <x v="0"/>
  </r>
  <r>
    <x v="771"/>
    <n v="73"/>
    <n v="14208384"/>
    <s v="Comedy|Romance"/>
    <s v="David Paymer"/>
    <x v="2120"/>
    <n v="11520"/>
    <s v="gambling|novel|stenographer|writer|writer's block"/>
    <n v="105"/>
    <x v="0"/>
    <x v="0"/>
    <n v="30000000"/>
    <x v="19"/>
    <x v="15"/>
    <n v="30000000"/>
    <n v="14208384"/>
    <x v="2118"/>
    <x v="2120"/>
    <x v="4"/>
  </r>
  <r>
    <x v="388"/>
    <n v="201"/>
    <n v="101702060"/>
    <s v="Action|Adventure|Family|Fantasy|Sci-Fi"/>
    <s v="Josh Hutcherson"/>
    <x v="2121"/>
    <n v="85323"/>
    <s v="cave|lost world|missing brother|mountain|venus flytrap"/>
    <n v="212"/>
    <x v="0"/>
    <x v="0"/>
    <n v="45000000"/>
    <x v="20"/>
    <x v="30"/>
    <n v="45000000"/>
    <n v="101702060"/>
    <x v="2119"/>
    <x v="2121"/>
    <x v="1"/>
  </r>
  <r>
    <x v="1215"/>
    <n v="56"/>
    <n v="6755271"/>
    <s v="Horror|Thriller"/>
    <s v="Brendan Fehr"/>
    <x v="2122"/>
    <n v="7319"/>
    <s v="flashing breasts|hitchhiker|vampire|vampire hunter|virus"/>
    <n v="131"/>
    <x v="0"/>
    <x v="0"/>
    <n v="5000000"/>
    <x v="9"/>
    <x v="1"/>
    <n v="5000000"/>
    <n v="6755271"/>
    <x v="2120"/>
    <x v="2122"/>
    <x v="6"/>
  </r>
  <r>
    <x v="213"/>
    <n v="248"/>
    <n v="124051759"/>
    <s v="Action|Adventure|Drama|Romance"/>
    <s v="Christoph Waltz"/>
    <x v="2123"/>
    <n v="42372"/>
    <s v="africa|capture|jungle|male objectification|tarzan"/>
    <n v="239"/>
    <x v="0"/>
    <x v="0"/>
    <n v="180000000"/>
    <x v="24"/>
    <x v="14"/>
    <n v="180000000"/>
    <n v="124051759"/>
    <x v="2121"/>
    <x v="2123"/>
    <x v="1"/>
  </r>
  <r>
    <x v="1216"/>
    <n v="103"/>
    <n v="31585300"/>
    <s v="Comedy|Romance"/>
    <s v="Jack Davenport"/>
    <x v="2124"/>
    <n v="38248"/>
    <s v="chick flick|escort|male escort|wedding|wedding date"/>
    <n v="250"/>
    <x v="0"/>
    <x v="0"/>
    <n v="15000000"/>
    <x v="25"/>
    <x v="7"/>
    <n v="15000000"/>
    <n v="31585300"/>
    <x v="2122"/>
    <x v="2124"/>
    <x v="4"/>
  </r>
  <r>
    <x v="1217"/>
    <n v="327"/>
    <n v="43568507"/>
    <s v="Action|Crime|Drama|Thriller"/>
    <s v="Rami Malek"/>
    <x v="2125"/>
    <n v="136954"/>
    <s v="cross country|custom car|illegal street racing|police officer crushed|street racing"/>
    <n v="346"/>
    <x v="0"/>
    <x v="0"/>
    <n v="66000000"/>
    <x v="27"/>
    <x v="20"/>
    <n v="66000000"/>
    <n v="43568507"/>
    <x v="2123"/>
    <x v="2125"/>
    <x v="1"/>
  </r>
  <r>
    <x v="554"/>
    <n v="285"/>
    <n v="71502303"/>
    <s v="Adventure|Comedy|Drama|Romance"/>
    <s v="Virginia Madsen"/>
    <x v="2126"/>
    <n v="149966"/>
    <s v="actor|california|teacher|wine|writer"/>
    <n v="835"/>
    <x v="0"/>
    <x v="0"/>
    <n v="12000000"/>
    <x v="2"/>
    <x v="2"/>
    <n v="12000000"/>
    <n v="71502303"/>
    <x v="2124"/>
    <x v="2126"/>
    <x v="0"/>
  </r>
  <r>
    <x v="564"/>
    <n v="361"/>
    <n v="43247140"/>
    <s v="Adventure|Biography|Drama|History|Sport|Thriller"/>
    <s v="Michael Kelly"/>
    <x v="2127"/>
    <n v="134625"/>
    <s v="blizzard|mount everest|mountain|mountain climbing|snow"/>
    <n v="265"/>
    <x v="0"/>
    <x v="2"/>
    <n v="55000000"/>
    <x v="1"/>
    <x v="17"/>
    <n v="70697000"/>
    <n v="55589873.755999997"/>
    <x v="2125"/>
    <x v="2127"/>
    <x v="0"/>
  </r>
  <r>
    <x v="683"/>
    <n v="180"/>
    <n v="54235441"/>
    <s v="Comedy|Drama"/>
    <s v="Manish Dayal"/>
    <x v="2128"/>
    <n v="52894"/>
    <s v="chef|haute cuisine|indian cuisine|michelin guide|restaurant"/>
    <n v="185"/>
    <x v="0"/>
    <x v="0"/>
    <n v="22000000"/>
    <x v="27"/>
    <x v="4"/>
    <n v="22000000"/>
    <n v="54235441"/>
    <x v="2126"/>
    <x v="2128"/>
    <x v="4"/>
  </r>
  <r>
    <x v="1218"/>
    <n v="129"/>
    <n v="6852144"/>
    <s v="Drama|Horror|Sci-Fi|Thriller"/>
    <s v="Laura Harring"/>
    <x v="2129"/>
    <n v="15169"/>
    <s v="at work|rat|revenge|vermin|work"/>
    <n v="213"/>
    <x v="0"/>
    <x v="9"/>
    <n v="22000000"/>
    <x v="19"/>
    <x v="5"/>
    <n v="15914910"/>
    <n v="4956875.2303200001"/>
    <x v="2127"/>
    <x v="2129"/>
    <x v="5"/>
  </r>
  <r>
    <x v="1219"/>
    <n v="233"/>
    <n v="17427926"/>
    <s v="Horror"/>
    <s v="Laura Ramsey"/>
    <x v="2130"/>
    <n v="60062"/>
    <s v="bow and arrow|group of friends|horse|rifle|ruins"/>
    <n v="351"/>
    <x v="0"/>
    <x v="0"/>
    <n v="8000000"/>
    <x v="20"/>
    <x v="0"/>
    <n v="8000000"/>
    <n v="17427926"/>
    <x v="2128"/>
    <x v="2130"/>
    <x v="6"/>
  </r>
  <r>
    <x v="1220"/>
    <n v="110"/>
    <n v="56702901"/>
    <s v="Drama"/>
    <s v="Robert Duvall"/>
    <x v="2131"/>
    <n v="23302"/>
    <s v="1980s|law firm|lawsuit|lawyer|toxic waste"/>
    <n v="181"/>
    <x v="0"/>
    <x v="0"/>
    <n v="60000000"/>
    <x v="6"/>
    <x v="20"/>
    <n v="60000000"/>
    <n v="56702901"/>
    <x v="2129"/>
    <x v="2131"/>
    <x v="5"/>
  </r>
  <r>
    <x v="543"/>
    <n v="299"/>
    <n v="100003492"/>
    <s v="Crime|Drama|Thriller"/>
    <s v="Tom Cruise"/>
    <x v="2132"/>
    <n v="293662"/>
    <s v="city by night|contract killer|driving at night|los angeles california|taxi"/>
    <n v="836"/>
    <x v="0"/>
    <x v="0"/>
    <n v="65000000"/>
    <x v="2"/>
    <x v="10"/>
    <n v="65000000"/>
    <n v="100003492"/>
    <x v="2130"/>
    <x v="2132"/>
    <x v="3"/>
  </r>
  <r>
    <x v="408"/>
    <n v="153"/>
    <n v="104354205"/>
    <s v="Comedy|Romance"/>
    <s v="Alyson Hannigan"/>
    <x v="2133"/>
    <n v="162331"/>
    <s v="bachelor party|blow job|breasts|friend|wedding"/>
    <n v="332"/>
    <x v="0"/>
    <x v="0"/>
    <n v="55000000"/>
    <x v="19"/>
    <x v="23"/>
    <n v="55000000"/>
    <n v="104354205"/>
    <x v="2131"/>
    <x v="2133"/>
    <x v="4"/>
  </r>
  <r>
    <x v="323"/>
    <n v="48"/>
    <n v="121945720"/>
    <s v="Action|Drama|Music|Romance"/>
    <s v="Bill Cobbs"/>
    <x v="2134"/>
    <n v="89972"/>
    <s v="bodyguard|manager|pop singer|secret service agent|singer"/>
    <n v="126"/>
    <x v="0"/>
    <x v="0"/>
    <n v="25000000"/>
    <x v="8"/>
    <x v="7"/>
    <n v="25000000"/>
    <n v="121945720"/>
    <x v="2132"/>
    <x v="2134"/>
    <x v="1"/>
  </r>
  <r>
    <x v="501"/>
    <n v="95"/>
    <n v="60000000"/>
    <s v="Action|Comedy|Sci-Fi"/>
    <s v="Margot Kidder"/>
    <x v="2135"/>
    <n v="49934"/>
    <s v="computer|high school|kryptonite|smallville|villain"/>
    <n v="224"/>
    <x v="0"/>
    <x v="2"/>
    <n v="39000000"/>
    <x v="30"/>
    <x v="18"/>
    <n v="50130599.999999903"/>
    <n v="77124000"/>
    <x v="2133"/>
    <x v="2135"/>
    <x v="1"/>
  </r>
  <r>
    <x v="149"/>
    <n v="118"/>
    <n v="7871693"/>
    <s v="Adventure|Family|Fantasy|Sci-Fi"/>
    <s v="Bill Murray"/>
    <x v="2136"/>
    <n v="52908"/>
    <s v="box|food|mayor|pipeworks|scientist"/>
    <n v="102"/>
    <x v="0"/>
    <x v="0"/>
    <n v="55000000"/>
    <x v="20"/>
    <x v="20"/>
    <n v="55000000"/>
    <n v="7871693"/>
    <x v="2134"/>
    <x v="2136"/>
    <x v="0"/>
  </r>
  <r>
    <x v="952"/>
    <n v="166"/>
    <n v="9525276"/>
    <s v="Action|Crime|Thriller"/>
    <s v="Aisha Tyler"/>
    <x v="2137"/>
    <n v="60156"/>
    <s v="blood|death|gang|murder|revenge"/>
    <n v="299"/>
    <x v="0"/>
    <x v="0"/>
    <n v="20000000"/>
    <x v="15"/>
    <x v="22"/>
    <n v="20000000"/>
    <n v="9525276"/>
    <x v="2135"/>
    <x v="2137"/>
    <x v="1"/>
  </r>
  <r>
    <x v="320"/>
    <n v="450"/>
    <n v="89289910"/>
    <s v="Action|Adventure|Western"/>
    <s v="Johnny Depp"/>
    <x v="2138"/>
    <n v="181792"/>
    <s v="horse|outlaw|texas|texas ranger|train"/>
    <n v="711"/>
    <x v="0"/>
    <x v="0"/>
    <n v="215000000"/>
    <x v="0"/>
    <x v="20"/>
    <n v="215000000"/>
    <n v="89289910"/>
    <x v="2136"/>
    <x v="2138"/>
    <x v="1"/>
  </r>
  <r>
    <x v="1221"/>
    <n v="112"/>
    <n v="25000000"/>
    <s v="Action|Adventure|Sci-Fi"/>
    <s v="Farrah Fawcett"/>
    <x v="2139"/>
    <n v="39847"/>
    <s v="cat|computer|cult film|runner|sanctuary"/>
    <n v="242"/>
    <x v="0"/>
    <x v="0"/>
    <n v="9000000"/>
    <x v="59"/>
    <x v="22"/>
    <n v="9000000"/>
    <n v="25000000"/>
    <x v="2137"/>
    <x v="2139"/>
    <x v="1"/>
  </r>
  <r>
    <x v="1222"/>
    <n v="42"/>
    <n v="1075288"/>
    <s v="Crime|Drama|Thriller"/>
    <s v="Harold Perrineau"/>
    <x v="2140"/>
    <n v="7772"/>
    <s v="diamond|necklace|safecracker|wine|wine dealer"/>
    <n v="55"/>
    <x v="0"/>
    <x v="0"/>
    <n v="22000000"/>
    <x v="10"/>
    <x v="7"/>
    <n v="22000000"/>
    <n v="1075288"/>
    <x v="2138"/>
    <x v="2140"/>
    <x v="3"/>
  </r>
  <r>
    <x v="1223"/>
    <n v="32"/>
    <n v="536767"/>
    <s v="Biography|Comedy|Romance"/>
    <s v="Tia Carrere"/>
    <x v="2141"/>
    <n v="1622"/>
    <s v="fake documentary|hidden camera|mockumentary|narrative|reality show"/>
    <n v="83"/>
    <x v="0"/>
    <x v="0"/>
    <n v="60000"/>
    <x v="6"/>
    <x v="1"/>
    <n v="60000"/>
    <n v="536767"/>
    <x v="2139"/>
    <x v="2141"/>
    <x v="2"/>
  </r>
  <r>
    <x v="875"/>
    <n v="232"/>
    <n v="87341380"/>
    <s v="Action|Comedy|Crime"/>
    <s v="James Franco"/>
    <x v="2142"/>
    <n v="255257"/>
    <s v="murder|paranoia|process server|roach|stoner"/>
    <n v="374"/>
    <x v="0"/>
    <x v="0"/>
    <n v="27000000"/>
    <x v="20"/>
    <x v="16"/>
    <n v="27000000"/>
    <n v="87341380"/>
    <x v="2140"/>
    <x v="2142"/>
    <x v="1"/>
  </r>
  <r>
    <x v="1224"/>
    <n v="50"/>
    <n v="11278"/>
    <s v="Comedy|Drama"/>
    <s v="Ximena Ayala"/>
    <x v="2143"/>
    <n v="1229"/>
    <s v="actress shares first name with character|appendicitis|hospital|loss of mother|supermarket"/>
    <n v="2"/>
    <x v="9"/>
    <x v="13"/>
    <n v="1300000"/>
    <x v="0"/>
    <x v="16"/>
    <n v="70466.096999999994"/>
    <n v="611.32049382000002"/>
    <x v="2141"/>
    <x v="2143"/>
    <x v="4"/>
  </r>
  <r>
    <x v="236"/>
    <n v="302"/>
    <n v="41997790"/>
    <s v="Action|Sci-Fi|Thriller"/>
    <s v="Vin Diesel"/>
    <x v="2144"/>
    <n v="125305"/>
    <s v="alien|left for dead|mercenary|survival|vomiting"/>
    <n v="343"/>
    <x v="0"/>
    <x v="0"/>
    <n v="38000000"/>
    <x v="0"/>
    <x v="24"/>
    <n v="38000000"/>
    <n v="41997790"/>
    <x v="2142"/>
    <x v="2144"/>
    <x v="1"/>
  </r>
  <r>
    <x v="435"/>
    <n v="198"/>
    <n v="100018837"/>
    <s v="Action|Comedy"/>
    <s v="Adam Sandler"/>
    <x v="2145"/>
    <n v="156348"/>
    <s v="hair stylist|jew|landlord|muslim|palestinian"/>
    <n v="380"/>
    <x v="0"/>
    <x v="0"/>
    <n v="90000000"/>
    <x v="20"/>
    <x v="28"/>
    <n v="90000000"/>
    <n v="100018837"/>
    <x v="2143"/>
    <x v="2145"/>
    <x v="1"/>
  </r>
  <r>
    <x v="1225"/>
    <n v="71"/>
    <n v="9059588"/>
    <s v="Crime|Drama|Romance|Thriller"/>
    <s v="Khandi Alexander"/>
    <x v="2146"/>
    <n v="17261"/>
    <s v="corrupt|criminal|investigation|lapd|police"/>
    <n v="125"/>
    <x v="0"/>
    <x v="0"/>
    <n v="15000000"/>
    <x v="13"/>
    <x v="14"/>
    <n v="15000000"/>
    <n v="9059588"/>
    <x v="2144"/>
    <x v="2146"/>
    <x v="3"/>
  </r>
  <r>
    <x v="1226"/>
    <n v="66"/>
    <n v="4992159"/>
    <s v="Comedy|Horror|Thriller"/>
    <s v="Brittany Daniel"/>
    <x v="2147"/>
    <n v="23823"/>
    <s v="beach|island|party|resort|serial killer"/>
    <n v="201"/>
    <x v="0"/>
    <x v="0"/>
    <n v="8550000"/>
    <x v="2"/>
    <x v="15"/>
    <n v="8550000"/>
    <n v="4992159"/>
    <x v="2145"/>
    <x v="2147"/>
    <x v="4"/>
  </r>
  <r>
    <x v="1227"/>
    <n v="98"/>
    <n v="22108977"/>
    <s v="Action|Comedy|Fantasy"/>
    <s v="Julian Sands"/>
    <x v="2148"/>
    <n v="29861"/>
    <s v="hong kong|interpol|medallion|ship|tough cop"/>
    <n v="132"/>
    <x v="0"/>
    <x v="4"/>
    <n v="41000000"/>
    <x v="19"/>
    <x v="44"/>
    <n v="5251866.3"/>
    <n v="2832033.93253109"/>
    <x v="2146"/>
    <x v="2148"/>
    <x v="1"/>
  </r>
  <r>
    <x v="948"/>
    <n v="94"/>
    <n v="1172769"/>
    <s v="Biography|Comedy|Crime|Drama"/>
    <s v="Peter Dinklage"/>
    <x v="2149"/>
    <n v="28068"/>
    <s v="court|drugs|judge|mafia|mobster"/>
    <n v="108"/>
    <x v="0"/>
    <x v="5"/>
    <n v="13000000"/>
    <x v="7"/>
    <x v="17"/>
    <n v="14101620"/>
    <n v="1272149.4450600001"/>
    <x v="2147"/>
    <x v="2149"/>
    <x v="2"/>
  </r>
  <r>
    <x v="277"/>
    <n v="170"/>
    <n v="41102171"/>
    <s v="Comedy|Drama|Romance"/>
    <s v="Anna Kendrick"/>
    <x v="2150"/>
    <n v="57266"/>
    <s v="baby|expecting twins|hawaiian shirt|photographer|pregnancy"/>
    <n v="89"/>
    <x v="0"/>
    <x v="0"/>
    <n v="40000000"/>
    <x v="28"/>
    <x v="35"/>
    <n v="40000000"/>
    <n v="41102171"/>
    <x v="2148"/>
    <x v="2150"/>
    <x v="4"/>
  </r>
  <r>
    <x v="1228"/>
    <n v="382"/>
    <n v="64933670"/>
    <s v="Adventure|Comedy|Drama|Family|Fantasy"/>
    <s v="Julia Roberts"/>
    <x v="2151"/>
    <n v="70838"/>
    <s v="kingdom|prince|princess|queen|snow"/>
    <n v="208"/>
    <x v="0"/>
    <x v="0"/>
    <n v="85000000"/>
    <x v="28"/>
    <x v="15"/>
    <n v="85000000"/>
    <n v="64933670"/>
    <x v="2149"/>
    <x v="2151"/>
    <x v="0"/>
  </r>
  <r>
    <x v="1229"/>
    <n v="202"/>
    <n v="22494487"/>
    <s v="Crime|Drama|Mystery|Thriller"/>
    <s v="Bruce Willis"/>
    <x v="2152"/>
    <n v="262160"/>
    <s v="coroner|death|gay son|love|mistaken identity"/>
    <n v="507"/>
    <x v="0"/>
    <x v="5"/>
    <n v="27000000"/>
    <x v="7"/>
    <x v="38"/>
    <n v="29287980"/>
    <n v="24400669.82838"/>
    <x v="2150"/>
    <x v="2152"/>
    <x v="3"/>
  </r>
  <r>
    <x v="203"/>
    <n v="154"/>
    <n v="113733726"/>
    <s v="Adventure|Comedy|Family|Fantasy"/>
    <s v="Robin Williams"/>
    <x v="2153"/>
    <n v="67223"/>
    <s v="museum|museum of natural history manhattan new york city|night watchman|star died before release|tablet"/>
    <n v="126"/>
    <x v="0"/>
    <x v="0"/>
    <n v="127000000"/>
    <x v="27"/>
    <x v="5"/>
    <n v="127000000"/>
    <n v="113733726"/>
    <x v="2151"/>
    <x v="2153"/>
    <x v="0"/>
  </r>
  <r>
    <x v="1230"/>
    <n v="12"/>
    <n v="830210"/>
    <s v="Drama|Mystery|Sci-Fi"/>
    <s v="Joaquim de Almeida"/>
    <x v="2154"/>
    <n v="1900"/>
    <s v="box office flop|critically bashed|economy|individual versus society|rescue"/>
    <n v="56"/>
    <x v="0"/>
    <x v="0"/>
    <n v="5000000"/>
    <x v="27"/>
    <x v="8"/>
    <n v="5000000"/>
    <n v="830210"/>
    <x v="2152"/>
    <x v="2154"/>
    <x v="5"/>
  </r>
  <r>
    <x v="532"/>
    <n v="118"/>
    <n v="50693162"/>
    <s v="Action|Drama|Fantasy"/>
    <s v="Michael Wincott"/>
    <x v="2155"/>
    <n v="136580"/>
    <s v="back from the dead|crime boss|crow|gothic|vigilante"/>
    <n v="545"/>
    <x v="0"/>
    <x v="0"/>
    <n v="23000000"/>
    <x v="5"/>
    <x v="10"/>
    <n v="23000000"/>
    <n v="50693162"/>
    <x v="2153"/>
    <x v="2155"/>
    <x v="1"/>
  </r>
  <r>
    <x v="1231"/>
    <n v="5"/>
    <n v="1250798"/>
    <s v="Comedy|Drama|Romance"/>
    <s v="Kirby Heyborne"/>
    <x v="2156"/>
    <n v="1099"/>
    <s v="church|love|marriage|mormon|single"/>
    <n v="53"/>
    <x v="0"/>
    <x v="0"/>
    <n v="500000"/>
    <x v="13"/>
    <x v="24"/>
    <n v="500000"/>
    <n v="1250798"/>
    <x v="2154"/>
    <x v="2156"/>
    <x v="4"/>
  </r>
  <r>
    <x v="371"/>
    <n v="62"/>
    <n v="123922370"/>
    <s v="Biography|Comedy|Drama|War"/>
    <s v="Robin Williams"/>
    <x v="2157"/>
    <n v="98348"/>
    <s v="disc jockey|friendship|radio|vietnam|vietnamese"/>
    <n v="131"/>
    <x v="0"/>
    <x v="0"/>
    <n v="13000000"/>
    <x v="21"/>
    <x v="4"/>
    <n v="13000000"/>
    <n v="123922370"/>
    <x v="2155"/>
    <x v="2157"/>
    <x v="2"/>
  </r>
  <r>
    <x v="910"/>
    <n v="223"/>
    <n v="4235837"/>
    <s v="Comedy|Crime|Mystery"/>
    <s v="Robert Downey Jr."/>
    <x v="2158"/>
    <n v="175962"/>
    <s v="actor|detective sergeant|hotel|nightclub|thief"/>
    <n v="336"/>
    <x v="0"/>
    <x v="0"/>
    <n v="15000000"/>
    <x v="25"/>
    <x v="10"/>
    <n v="15000000"/>
    <n v="4235837"/>
    <x v="2156"/>
    <x v="2158"/>
    <x v="4"/>
  </r>
  <r>
    <x v="1232"/>
    <n v="32"/>
    <n v="194568"/>
    <s v="Comedy|Romance"/>
    <s v="Jessy Schram"/>
    <x v="2159"/>
    <n v="2963"/>
    <s v="cheese|city|ice cream|school|second city"/>
    <n v="28"/>
    <x v="0"/>
    <x v="0"/>
    <n v="1500000"/>
    <x v="7"/>
    <x v="5"/>
    <n v="1500000"/>
    <n v="194568"/>
    <x v="2157"/>
    <x v="2159"/>
    <x v="4"/>
  </r>
  <r>
    <x v="201"/>
    <n v="114"/>
    <n v="43848100"/>
    <s v="Crime|Drama"/>
    <s v="Hal Holbrook"/>
    <x v="2160"/>
    <n v="119150"/>
    <s v="1980s|argument|critique of capitalism|f word|fired from the job"/>
    <n v="219"/>
    <x v="0"/>
    <x v="0"/>
    <n v="15000000"/>
    <x v="21"/>
    <x v="39"/>
    <n v="15000000"/>
    <n v="43848100"/>
    <x v="2158"/>
    <x v="2160"/>
    <x v="3"/>
  </r>
  <r>
    <x v="1233"/>
    <n v="21"/>
    <n v="5228617"/>
    <s v="Comedy"/>
    <s v="Robert Townsend"/>
    <x v="2161"/>
    <n v="2770"/>
    <s v="actor|african american|dream|two word title|written and directed by cast member"/>
    <n v="32"/>
    <x v="0"/>
    <x v="0"/>
    <n v="100000"/>
    <x v="21"/>
    <x v="16"/>
    <n v="100000"/>
    <n v="5228617"/>
    <x v="2159"/>
    <x v="2161"/>
    <x v="4"/>
  </r>
  <r>
    <x v="219"/>
    <n v="106"/>
    <n v="64267897"/>
    <s v="Comedy|Documentary"/>
    <s v="Bam Margera"/>
    <x v="2162"/>
    <n v="67992"/>
    <s v="alligator|golf|japan|panda|stunt"/>
    <n v="327"/>
    <x v="0"/>
    <x v="0"/>
    <n v="5000000"/>
    <x v="13"/>
    <x v="14"/>
    <n v="5000000"/>
    <n v="64267897"/>
    <x v="2160"/>
    <x v="2162"/>
    <x v="4"/>
  </r>
  <r>
    <x v="366"/>
    <n v="64"/>
    <n v="14792779"/>
    <s v="Comedy"/>
    <s v="Mike Starr"/>
    <x v="2163"/>
    <n v="24256"/>
    <s v="beach|cigarette girl|radio|woman holding a baby|working class"/>
    <n v="91"/>
    <x v="0"/>
    <x v="0"/>
    <n v="16000000"/>
    <x v="21"/>
    <x v="10"/>
    <n v="16000000"/>
    <n v="14792779"/>
    <x v="2161"/>
    <x v="2163"/>
    <x v="4"/>
  </r>
  <r>
    <x v="1234"/>
    <n v="139"/>
    <n v="5348317"/>
    <s v="Comedy|Drama|Music"/>
    <s v="Al Pacino"/>
    <x v="2164"/>
    <n v="20810"/>
    <s v="entertainer|inspiration|lost opportunity|pregnant mother|rock star"/>
    <n v="100"/>
    <x v="0"/>
    <x v="0"/>
    <n v="10000000"/>
    <x v="1"/>
    <x v="17"/>
    <n v="10000000"/>
    <n v="5348317"/>
    <x v="2162"/>
    <x v="2164"/>
    <x v="4"/>
  </r>
  <r>
    <x v="1235"/>
    <n v="80"/>
    <n v="139225854"/>
    <s v="Comedy|Family|Fantasy"/>
    <s v="Judge Reinhold"/>
    <x v="2165"/>
    <n v="34561"/>
    <s v="christmas|magic|santa claus|son|toy"/>
    <n v="116"/>
    <x v="0"/>
    <x v="0"/>
    <n v="60000000"/>
    <x v="13"/>
    <x v="28"/>
    <n v="60000000"/>
    <n v="139225854"/>
    <x v="2163"/>
    <x v="2165"/>
    <x v="4"/>
  </r>
  <r>
    <x v="1236"/>
    <n v="131"/>
    <n v="2060953"/>
    <s v="Fantasy|Horror|Thriller"/>
    <s v="Jeremy Davies"/>
    <x v="2166"/>
    <n v="29990"/>
    <s v="based on true story|cannibalism|captain|mexican american war|u.s. frontier"/>
    <n v="316"/>
    <x v="0"/>
    <x v="33"/>
    <n v="12000000"/>
    <x v="12"/>
    <x v="17"/>
    <n v="512983.32"/>
    <n v="88102.876025329999"/>
    <x v="2164"/>
    <x v="2166"/>
    <x v="9"/>
  </r>
  <r>
    <x v="1036"/>
    <n v="77"/>
    <n v="217631306"/>
    <s v="Drama|Fantasy|Romance|Thriller"/>
    <s v="Demi Moore"/>
    <x v="2167"/>
    <n v="154199"/>
    <s v="death|film blanc|invisibility|love|unrequited love"/>
    <n v="252"/>
    <x v="0"/>
    <x v="0"/>
    <n v="22000000"/>
    <x v="32"/>
    <x v="16"/>
    <n v="22000000"/>
    <n v="217631306"/>
    <x v="2165"/>
    <x v="2167"/>
    <x v="5"/>
  </r>
  <r>
    <x v="189"/>
    <n v="265"/>
    <n v="16005978"/>
    <s v="Crime|Mystery|Thriller"/>
    <s v="Pam Ferris"/>
    <x v="2168"/>
    <n v="72886"/>
    <s v="mask|murder|newspaper|poem|serial killer"/>
    <n v="190"/>
    <x v="0"/>
    <x v="0"/>
    <n v="26000000"/>
    <x v="28"/>
    <x v="24"/>
    <n v="26000000"/>
    <n v="16005978"/>
    <x v="2166"/>
    <x v="2168"/>
    <x v="3"/>
  </r>
  <r>
    <x v="96"/>
    <n v="259"/>
    <n v="24006726"/>
    <s v="Adventure|Comedy|Drama"/>
    <s v="Bill Murray"/>
    <x v="2169"/>
    <n v="139535"/>
    <s v="expedition|oceanographer|sea|shark|team"/>
    <n v="632"/>
    <x v="0"/>
    <x v="0"/>
    <n v="50000000"/>
    <x v="2"/>
    <x v="4"/>
    <n v="50000000"/>
    <n v="24006726"/>
    <x v="2167"/>
    <x v="2169"/>
    <x v="0"/>
  </r>
  <r>
    <x v="851"/>
    <n v="25"/>
    <n v="48856"/>
    <s v="Drama"/>
    <s v="Tatsuo Matsumura"/>
    <x v="2170"/>
    <n v="3466"/>
    <s v="air raid|beer|birthday|japan|professor"/>
    <n v="40"/>
    <x v="8"/>
    <x v="15"/>
    <n v="11900000"/>
    <x v="23"/>
    <x v="2"/>
    <n v="77309.539999999994"/>
    <n v="317.39788959999998"/>
    <x v="2168"/>
    <x v="2170"/>
    <x v="5"/>
  </r>
  <r>
    <x v="639"/>
    <n v="343"/>
    <n v="201148159"/>
    <s v="Drama|Family|Fantasy|Romance"/>
    <s v="Hayley Atwell"/>
    <x v="2171"/>
    <n v="103737"/>
    <s v="dress|duke|fairy godmother|fairy tale|pumpkin"/>
    <n v="322"/>
    <x v="0"/>
    <x v="0"/>
    <n v="95000000"/>
    <x v="1"/>
    <x v="16"/>
    <n v="95000000"/>
    <n v="201148159"/>
    <x v="2169"/>
    <x v="2171"/>
    <x v="5"/>
  </r>
  <r>
    <x v="263"/>
    <n v="216"/>
    <n v="50648679"/>
    <s v="Action|Horror|Sci-Fi|Thriller"/>
    <s v="Milla Jovovich"/>
    <x v="2172"/>
    <n v="149549"/>
    <s v="clone|convoy|crow|desert|satellite"/>
    <n v="348"/>
    <x v="0"/>
    <x v="8"/>
    <n v="45000000"/>
    <x v="15"/>
    <x v="23"/>
    <n v="48813300"/>
    <n v="54940648.058459997"/>
    <x v="2170"/>
    <x v="2172"/>
    <x v="1"/>
  </r>
  <r>
    <x v="1237"/>
    <n v="128"/>
    <n v="33860010"/>
    <s v="Comedy|Romance"/>
    <s v="Bradley Cooper"/>
    <x v="2173"/>
    <n v="33088"/>
    <s v="blind date|crossword puzzle|eccentric|fall|mine shaft"/>
    <n v="143"/>
    <x v="0"/>
    <x v="0"/>
    <n v="15000000"/>
    <x v="16"/>
    <x v="45"/>
    <n v="15000000"/>
    <n v="33860010"/>
    <x v="2171"/>
    <x v="2173"/>
    <x v="4"/>
  </r>
  <r>
    <x v="131"/>
    <n v="10"/>
    <n v="4651977"/>
    <s v="Drama"/>
    <s v="Adam Baldwin"/>
    <x v="2174"/>
    <n v="10410"/>
    <s v="father son relationship|physical abuse|radio flyer|stepfather|stepfather stepson relationship"/>
    <n v="71"/>
    <x v="0"/>
    <x v="0"/>
    <n v="35000000"/>
    <x v="8"/>
    <x v="31"/>
    <n v="35000000"/>
    <n v="4651977"/>
    <x v="2172"/>
    <x v="2174"/>
    <x v="5"/>
  </r>
  <r>
    <x v="449"/>
    <n v="135"/>
    <n v="45162741"/>
    <s v="Comedy"/>
    <s v="Milla Jovovich"/>
    <x v="2175"/>
    <n v="201084"/>
    <s v="fashion|malaysia|male model|reporter|rival"/>
    <n v="523"/>
    <x v="0"/>
    <x v="5"/>
    <n v="28000000"/>
    <x v="9"/>
    <x v="14"/>
    <n v="30372720"/>
    <n v="48989831.672339998"/>
    <x v="2173"/>
    <x v="2175"/>
    <x v="4"/>
  </r>
  <r>
    <x v="90"/>
    <n v="190"/>
    <n v="9172810"/>
    <s v="Biography|Drama|History|Thriller|War"/>
    <s v="Angelina Jolie Pitt"/>
    <x v="2176"/>
    <n v="24150"/>
    <s v="fbi|journalist|missing|pakistan|reporter"/>
    <n v="118"/>
    <x v="0"/>
    <x v="0"/>
    <n v="16000000"/>
    <x v="15"/>
    <x v="21"/>
    <n v="16000000"/>
    <n v="9172810"/>
    <x v="2174"/>
    <x v="2176"/>
    <x v="2"/>
  </r>
  <r>
    <x v="1238"/>
    <n v="374"/>
    <n v="74098862"/>
    <s v="Crime|Thriller"/>
    <s v="Rosario Dawson"/>
    <x v="2177"/>
    <n v="656640"/>
    <s v="anthology|corruption|hearing characters thoughts|neo noir|night"/>
    <n v="1732"/>
    <x v="0"/>
    <x v="0"/>
    <n v="40000000"/>
    <x v="25"/>
    <x v="40"/>
    <n v="40000000"/>
    <n v="74098862"/>
    <x v="2175"/>
    <x v="2177"/>
    <x v="3"/>
  </r>
  <r>
    <x v="281"/>
    <n v="125"/>
    <n v="16311763"/>
    <s v="Crime|Drama|Thriller"/>
    <s v="Gary Cole"/>
    <x v="2178"/>
    <n v="50656"/>
    <s v="bag of money|found money|minnesota|screenplay adapted by author|snow"/>
    <n v="416"/>
    <x v="0"/>
    <x v="2"/>
    <n v="17000000"/>
    <x v="6"/>
    <x v="2"/>
    <n v="21851799.999999899"/>
    <n v="20967140.1602"/>
    <x v="2176"/>
    <x v="2178"/>
    <x v="3"/>
  </r>
  <r>
    <x v="549"/>
    <n v="96"/>
    <n v="72077000"/>
    <s v="Comedy|Crime|Thriller"/>
    <s v="Delroy Lindo"/>
    <x v="2179"/>
    <n v="62986"/>
    <s v="debt|loan shark|mobster|movie business|producer"/>
    <n v="150"/>
    <x v="0"/>
    <x v="0"/>
    <n v="30250000"/>
    <x v="33"/>
    <x v="31"/>
    <n v="30250000"/>
    <n v="72077000"/>
    <x v="2177"/>
    <x v="2179"/>
    <x v="4"/>
  </r>
  <r>
    <x v="723"/>
    <n v="94"/>
    <n v="234760500"/>
    <s v="Action|Comedy|Crime"/>
    <s v="Judge Reinhold"/>
    <x v="2180"/>
    <n v="126464"/>
    <s v="drug dealer|drugs|murder|police brutality|police shootout"/>
    <n v="175"/>
    <x v="0"/>
    <x v="0"/>
    <n v="14000000"/>
    <x v="17"/>
    <x v="4"/>
    <n v="14000000"/>
    <n v="234760500"/>
    <x v="2178"/>
    <x v="2180"/>
    <x v="1"/>
  </r>
  <r>
    <x v="96"/>
    <n v="220"/>
    <n v="52353636"/>
    <s v="Comedy|Drama"/>
    <s v="Bill Murray"/>
    <x v="2181"/>
    <n v="209133"/>
    <s v="brother brother relationship|family relationships|father daughter relationship|genius|thrown through a window"/>
    <n v="962"/>
    <x v="0"/>
    <x v="0"/>
    <n v="21000000"/>
    <x v="9"/>
    <x v="10"/>
    <n v="21000000"/>
    <n v="52353636"/>
    <x v="2179"/>
    <x v="2181"/>
    <x v="4"/>
  </r>
  <r>
    <x v="990"/>
    <n v="53"/>
    <n v="7830611"/>
    <s v="Documentary|Drama|Sport"/>
    <s v="William Gates"/>
    <x v="2182"/>
    <n v="18980"/>
    <s v="athlete|basketball|high school|high school student|school"/>
    <n v="74"/>
    <x v="0"/>
    <x v="0"/>
    <n v="700000"/>
    <x v="5"/>
    <x v="36"/>
    <n v="700000"/>
    <n v="7830611"/>
    <x v="2180"/>
    <x v="2182"/>
    <x v="7"/>
  </r>
  <r>
    <x v="32"/>
    <n v="109"/>
    <n v="73326666"/>
    <s v="Comedy|Fantasy"/>
    <s v="Catherine O'Hara"/>
    <x v="2183"/>
    <n v="189413"/>
    <s v="attic|ghost|surrealism|teenage girl|yuppie"/>
    <n v="306"/>
    <x v="0"/>
    <x v="0"/>
    <n v="15000000"/>
    <x v="34"/>
    <x v="2"/>
    <n v="15000000"/>
    <n v="73326666"/>
    <x v="2181"/>
    <x v="2183"/>
    <x v="4"/>
  </r>
  <r>
    <x v="528"/>
    <n v="61"/>
    <n v="1227508"/>
    <s v="Comedy|Drama"/>
    <s v="Tommy Pallotta"/>
    <x v="2184"/>
    <n v="15103"/>
    <s v="austin texas|moon|pap smear|texas|twenty something"/>
    <n v="80"/>
    <x v="0"/>
    <x v="0"/>
    <n v="23000"/>
    <x v="38"/>
    <x v="17"/>
    <n v="23000"/>
    <n v="1227508"/>
    <x v="2182"/>
    <x v="2184"/>
    <x v="4"/>
  </r>
  <r>
    <x v="1013"/>
    <n v="122"/>
    <n v="9180275"/>
    <s v="Drama"/>
    <s v="Matthew Broderick"/>
    <x v="2185"/>
    <n v="22145"/>
    <s v="bank|car accident|cheating husband|new york|single mother"/>
    <n v="231"/>
    <x v="0"/>
    <x v="0"/>
    <n v="1200000"/>
    <x v="4"/>
    <x v="9"/>
    <n v="1200000"/>
    <n v="9180275"/>
    <x v="2183"/>
    <x v="2185"/>
    <x v="5"/>
  </r>
  <r>
    <x v="366"/>
    <n v="114"/>
    <n v="5032496"/>
    <s v="Comedy|Drama"/>
    <s v="Melanie Griffith"/>
    <x v="2186"/>
    <n v="20576"/>
    <s v="celebrity|journalist|lesbian kiss|strong female character|tv producer"/>
    <n v="161"/>
    <x v="0"/>
    <x v="0"/>
    <n v="12000000"/>
    <x v="6"/>
    <x v="23"/>
    <n v="12000000"/>
    <n v="5032496"/>
    <x v="2184"/>
    <x v="2186"/>
    <x v="4"/>
  </r>
  <r>
    <x v="1052"/>
    <n v="386"/>
    <n v="14597405"/>
    <s v="Biography|Drama"/>
    <s v="Eddie Redmayne"/>
    <x v="2187"/>
    <n v="71679"/>
    <s v="actress|assistant director|blonde bombshell|movie star|wardrobe"/>
    <n v="216"/>
    <x v="0"/>
    <x v="2"/>
    <n v="6400000"/>
    <x v="22"/>
    <x v="16"/>
    <n v="8226559.9999999898"/>
    <n v="18763504.386999998"/>
    <x v="2185"/>
    <x v="2187"/>
    <x v="2"/>
  </r>
  <r>
    <x v="952"/>
    <n v="287"/>
    <n v="55153403"/>
    <s v="Horror|Mystery|Thriller"/>
    <s v="Michael Emerson"/>
    <x v="2188"/>
    <n v="299127"/>
    <s v="chained|flashback|killer|serial killer|surprise ending"/>
    <n v="1509"/>
    <x v="0"/>
    <x v="0"/>
    <n v="1200000"/>
    <x v="2"/>
    <x v="9"/>
    <n v="1200000"/>
    <n v="55153403"/>
    <x v="2186"/>
    <x v="2188"/>
    <x v="6"/>
  </r>
  <r>
    <x v="688"/>
    <n v="34"/>
    <n v="51045801"/>
    <s v="Drama|Romance"/>
    <s v="Joe Mantegna"/>
    <x v="2189"/>
    <n v="11370"/>
    <s v="journalism|news anchor|newscast|newscaster|tv journalism"/>
    <n v="54"/>
    <x v="0"/>
    <x v="0"/>
    <n v="60000000"/>
    <x v="10"/>
    <x v="7"/>
    <n v="60000000"/>
    <n v="51045801"/>
    <x v="2187"/>
    <x v="2189"/>
    <x v="5"/>
  </r>
  <r>
    <x v="1239"/>
    <n v="10"/>
    <n v="444044"/>
    <s v="Drama"/>
    <s v="Logan Browning"/>
    <x v="2190"/>
    <n v="744"/>
    <s v="basketball|burglary|police|robbery|teenage girl"/>
    <n v="19"/>
    <x v="0"/>
    <x v="0"/>
    <n v="1900000"/>
    <x v="1"/>
    <x v="33"/>
    <n v="1900000"/>
    <n v="444044"/>
    <x v="2188"/>
    <x v="2190"/>
    <x v="5"/>
  </r>
  <r>
    <x v="267"/>
    <n v="284"/>
    <n v="310675583"/>
    <s v="Action|Adventure|Fantasy|Sci-Fi"/>
    <s v="Natalie Portman"/>
    <x v="2191"/>
    <n v="464310"/>
    <s v="martial arts|murdered before giving protagonist information|part computer animation|prequel|prequel to cult film"/>
    <n v="3516"/>
    <x v="0"/>
    <x v="0"/>
    <n v="115000000"/>
    <x v="13"/>
    <x v="21"/>
    <n v="115000000"/>
    <n v="310675583"/>
    <x v="2189"/>
    <x v="2191"/>
    <x v="1"/>
  </r>
  <r>
    <x v="112"/>
    <n v="149"/>
    <n v="329691196"/>
    <s v="Comedy|Drama"/>
    <s v="Tom Hanks"/>
    <x v="2192"/>
    <n v="1251222"/>
    <s v="amputee|love|vietnam|vietnam war|war hero"/>
    <n v="1398"/>
    <x v="0"/>
    <x v="0"/>
    <n v="55000000"/>
    <x v="5"/>
    <x v="55"/>
    <n v="55000000"/>
    <n v="329691196"/>
    <x v="2190"/>
    <x v="2192"/>
    <x v="4"/>
  </r>
  <r>
    <x v="637"/>
    <n v="239"/>
    <n v="24792061"/>
    <s v="Comedy|Drama"/>
    <s v="J.K. Simmons"/>
    <x v="2193"/>
    <n v="191998"/>
    <s v="cigarette smoking|lobbyist|political satire|reporter|tobacco industry"/>
    <n v="323"/>
    <x v="0"/>
    <x v="0"/>
    <n v="6500000"/>
    <x v="25"/>
    <x v="10"/>
    <n v="6500000"/>
    <n v="24792061"/>
    <x v="2191"/>
    <x v="2193"/>
    <x v="4"/>
  </r>
  <r>
    <x v="1240"/>
    <n v="14"/>
    <n v="18272447"/>
    <s v="Drama|Thriller"/>
    <s v="Khandi Alexander"/>
    <x v="2194"/>
    <n v="3119"/>
    <s v="african american|harlem manhattan new york city|manhattan new york city|new york city|urination"/>
    <n v="35"/>
    <x v="0"/>
    <x v="0"/>
    <n v="10000000"/>
    <x v="23"/>
    <x v="0"/>
    <n v="10000000"/>
    <n v="18272447"/>
    <x v="2192"/>
    <x v="2194"/>
    <x v="5"/>
  </r>
  <r>
    <x v="267"/>
    <n v="320"/>
    <n v="474544677"/>
    <s v="Action|Adventure|Fantasy|Sci-Fi"/>
    <s v="Natalie Portman"/>
    <x v="2195"/>
    <n v="534658"/>
    <s v="alien|character says i have a bad feeling about this|hand to hand combat|seven word title|wilhelm scream"/>
    <n v="3597"/>
    <x v="0"/>
    <x v="0"/>
    <n v="115000000"/>
    <x v="12"/>
    <x v="20"/>
    <n v="115000000"/>
    <n v="474544677"/>
    <x v="2193"/>
    <x v="2195"/>
    <x v="1"/>
  </r>
  <r>
    <x v="1241"/>
    <n v="137"/>
    <n v="11642254"/>
    <s v="Horror|Thriller"/>
    <s v="Donald Pleasence"/>
    <x v="2196"/>
    <n v="22929"/>
    <s v="cat|halloween|kitten|michael myers|psychotronic"/>
    <n v="287"/>
    <x v="0"/>
    <x v="0"/>
    <n v="3000000"/>
    <x v="26"/>
    <x v="44"/>
    <n v="3000000"/>
    <n v="11642254"/>
    <x v="2194"/>
    <x v="2196"/>
    <x v="6"/>
  </r>
  <r>
    <x v="603"/>
    <n v="161"/>
    <n v="17281832"/>
    <s v="Adventure|Family|Fantasy"/>
    <s v="Brendan Fraser"/>
    <x v="2197"/>
    <n v="60232"/>
    <s v="book|escape|girl|overalls|villain"/>
    <n v="110"/>
    <x v="0"/>
    <x v="5"/>
    <n v="60000000"/>
    <x v="20"/>
    <x v="7"/>
    <n v="65084400"/>
    <n v="18746294.44368"/>
    <x v="2195"/>
    <x v="2197"/>
    <x v="0"/>
  </r>
  <r>
    <x v="737"/>
    <n v="141"/>
    <n v="120136047"/>
    <s v="Comedy|Drama|Romance"/>
    <s v="Jon Favreau"/>
    <x v="2198"/>
    <n v="48500"/>
    <s v="airport|christmas|news broadcast|tv broadcast|tv news"/>
    <n v="124"/>
    <x v="0"/>
    <x v="5"/>
    <n v="80000000"/>
    <x v="20"/>
    <x v="15"/>
    <n v="86779200"/>
    <n v="130316375.62278"/>
    <x v="2196"/>
    <x v="2198"/>
    <x v="4"/>
  </r>
  <r>
    <x v="158"/>
    <n v="267"/>
    <n v="102608827"/>
    <s v="Biography|Drama"/>
    <s v="Leonardo DiCaprio"/>
    <x v="2199"/>
    <n v="264318"/>
    <s v="1920s|aviation|fight|spruce goose|test flight"/>
    <n v="799"/>
    <x v="0"/>
    <x v="0"/>
    <n v="110000000"/>
    <x v="2"/>
    <x v="2"/>
    <n v="110000000"/>
    <n v="102608827"/>
    <x v="2197"/>
    <x v="2199"/>
    <x v="2"/>
  </r>
  <r>
    <x v="718"/>
    <n v="154"/>
    <n v="63034755"/>
    <s v="Comedy"/>
    <s v="Peter Dinklage"/>
    <x v="2200"/>
    <n v="16984"/>
    <s v="business|girl scouts|orphanage|overweight woman|quitting a job"/>
    <n v="96"/>
    <x v="0"/>
    <x v="0"/>
    <n v="29000000"/>
    <x v="24"/>
    <x v="1"/>
    <n v="29000000"/>
    <n v="63034755"/>
    <x v="2198"/>
    <x v="2200"/>
    <x v="4"/>
  </r>
  <r>
    <x v="1242"/>
    <n v="231"/>
    <n v="47952020"/>
    <s v="Action|Adventure|Drama|Fantasy"/>
    <s v="Chris Hemsworth"/>
    <x v="2201"/>
    <n v="37750"/>
    <s v="based on fairy tale|dark fantasy|fairy tale|second part|sequel"/>
    <n v="134"/>
    <x v="0"/>
    <x v="0"/>
    <n v="115000000"/>
    <x v="24"/>
    <x v="7"/>
    <n v="115000000"/>
    <n v="47952020"/>
    <x v="2199"/>
    <x v="2201"/>
    <x v="1"/>
  </r>
  <r>
    <x v="783"/>
    <n v="350"/>
    <n v="191449475"/>
    <s v="Drama|Fantasy|Romance"/>
    <s v="Kristen Stewart"/>
    <x v="1118"/>
    <n v="348010"/>
    <s v="blood|high school|love|school|vampire"/>
    <n v="1535"/>
    <x v="0"/>
    <x v="0"/>
    <n v="37000000"/>
    <x v="20"/>
    <x v="44"/>
    <n v="37000000"/>
    <n v="191449475"/>
    <x v="1118"/>
    <x v="1118"/>
    <x v="5"/>
  </r>
  <r>
    <x v="132"/>
    <n v="459"/>
    <n v="72306065"/>
    <s v="Drama|History|Thriller"/>
    <s v="Tom Hanks"/>
    <x v="2202"/>
    <n v="178118"/>
    <s v="cia|cold war|lawyer|negotiation|spy"/>
    <n v="355"/>
    <x v="0"/>
    <x v="0"/>
    <n v="40000000"/>
    <x v="1"/>
    <x v="10"/>
    <n v="40000000"/>
    <n v="72306065"/>
    <x v="2200"/>
    <x v="2202"/>
    <x v="5"/>
  </r>
  <r>
    <x v="1243"/>
    <n v="161"/>
    <n v="15152879"/>
    <s v="Drama|Horror|Thriller"/>
    <s v="Muse Watson"/>
    <x v="2203"/>
    <n v="13506"/>
    <s v="car fire|evil|hospital|hotel|prophecy"/>
    <n v="68"/>
    <x v="0"/>
    <x v="8"/>
    <n v="5000000"/>
    <x v="0"/>
    <x v="56"/>
    <n v="5423700"/>
    <n v="16436933.966460001"/>
    <x v="2201"/>
    <x v="2203"/>
    <x v="5"/>
  </r>
  <r>
    <x v="111"/>
    <n v="49"/>
    <n v="36830057"/>
    <s v="Comedy|Family|Sci-Fi"/>
    <s v="Steven Anthony Lawrence"/>
    <x v="2204"/>
    <n v="10883"/>
    <s v="alien|hidden camera|martian|reporter|spaceship"/>
    <n v="73"/>
    <x v="0"/>
    <x v="0"/>
    <n v="65000000"/>
    <x v="12"/>
    <x v="18"/>
    <n v="65000000"/>
    <n v="36830057"/>
    <x v="2202"/>
    <x v="2204"/>
    <x v="4"/>
  </r>
  <r>
    <x v="730"/>
    <n v="226"/>
    <n v="104054514"/>
    <s v="Crime|Drama|Thriller"/>
    <s v="Tom Hanks"/>
    <x v="2205"/>
    <n v="200359"/>
    <s v="1930s|blood|gun|on the run|revenge"/>
    <n v="1009"/>
    <x v="0"/>
    <x v="0"/>
    <n v="80000000"/>
    <x v="13"/>
    <x v="9"/>
    <n v="80000000"/>
    <n v="104054514"/>
    <x v="2203"/>
    <x v="2205"/>
    <x v="3"/>
  </r>
  <r>
    <x v="1244"/>
    <n v="81"/>
    <n v="12549485"/>
    <s v="Crime|Drama|Musical|Romance"/>
    <s v="Cicely Tyson"/>
    <x v="2206"/>
    <n v="4603"/>
    <s v="gangster|playing piano|song and dance|speakeasy|written and directed by cast member"/>
    <n v="91"/>
    <x v="0"/>
    <x v="0"/>
    <n v="15000000"/>
    <x v="7"/>
    <x v="5"/>
    <n v="15000000"/>
    <n v="12549485"/>
    <x v="2204"/>
    <x v="2206"/>
    <x v="3"/>
  </r>
  <r>
    <x v="757"/>
    <n v="162"/>
    <n v="23159305"/>
    <s v="Action|Adventure|Animation|Comedy|Drama|Family|Sci-Fi"/>
    <s v="Vin Diesel"/>
    <x v="2207"/>
    <n v="128455"/>
    <s v="boy|friend|government agent|maine|robot"/>
    <n v="514"/>
    <x v="0"/>
    <x v="0"/>
    <n v="70000000"/>
    <x v="12"/>
    <x v="3"/>
    <n v="70000000"/>
    <n v="23159305"/>
    <x v="2205"/>
    <x v="2207"/>
    <x v="1"/>
  </r>
  <r>
    <x v="77"/>
    <n v="133"/>
    <n v="65087"/>
    <s v="Crime|Thriller|War"/>
    <s v="Mike Figueroa"/>
    <x v="2208"/>
    <n v="8824"/>
    <s v="blood splatter|iraq|murder|rape|soldier"/>
    <n v="108"/>
    <x v="0"/>
    <x v="0"/>
    <n v="5000000"/>
    <x v="15"/>
    <x v="5"/>
    <n v="5000000"/>
    <n v="65087"/>
    <x v="2206"/>
    <x v="2208"/>
    <x v="3"/>
  </r>
  <r>
    <x v="994"/>
    <n v="378"/>
    <n v="92173235"/>
    <s v="Crime|Drama|Thriller"/>
    <s v="Jeremy Renner"/>
    <x v="2209"/>
    <n v="280228"/>
    <s v="bank manager|bank robbery|criminal gang|heist|prison"/>
    <n v="420"/>
    <x v="0"/>
    <x v="0"/>
    <n v="37000000"/>
    <x v="11"/>
    <x v="10"/>
    <n v="37000000"/>
    <n v="92173235"/>
    <x v="2207"/>
    <x v="2209"/>
    <x v="3"/>
  </r>
  <r>
    <x v="253"/>
    <n v="120"/>
    <n v="10725228"/>
    <s v="Crime|Drama|Mystery"/>
    <s v="Kevin Spacey"/>
    <x v="2210"/>
    <n v="75675"/>
    <s v="office|pressure|real estate|robbery|sales"/>
    <n v="365"/>
    <x v="0"/>
    <x v="0"/>
    <n v="12500000"/>
    <x v="8"/>
    <x v="38"/>
    <n v="12500000"/>
    <n v="10725228"/>
    <x v="2208"/>
    <x v="2210"/>
    <x v="3"/>
  </r>
  <r>
    <x v="528"/>
    <n v="204"/>
    <n v="81257845"/>
    <s v="Comedy|Music"/>
    <s v="Miranda Cosgrove"/>
    <x v="2211"/>
    <n v="210680"/>
    <s v="battle of the bands|rock band|school teacher|substitute teacher|teacher"/>
    <n v="479"/>
    <x v="0"/>
    <x v="0"/>
    <n v="35000000"/>
    <x v="19"/>
    <x v="17"/>
    <n v="35000000"/>
    <n v="81257845"/>
    <x v="2209"/>
    <x v="2211"/>
    <x v="4"/>
  </r>
  <r>
    <x v="588"/>
    <n v="262"/>
    <n v="58401464"/>
    <s v="Comedy|Romance"/>
    <s v="Emma Stone"/>
    <x v="2212"/>
    <n v="276746"/>
    <s v="gay|gay interest|high school|school|student"/>
    <n v="264"/>
    <x v="0"/>
    <x v="0"/>
    <n v="8000000"/>
    <x v="11"/>
    <x v="17"/>
    <n v="8000000"/>
    <n v="58401464"/>
    <x v="2210"/>
    <x v="2212"/>
    <x v="4"/>
  </r>
  <r>
    <x v="439"/>
    <n v="207"/>
    <n v="59588068"/>
    <s v="Horror|Mystery|Thriller"/>
    <s v="Robert Downey Jr."/>
    <x v="2213"/>
    <n v="89557"/>
    <s v="memory|murder|patient|psychiatrist|the devil"/>
    <n v="376"/>
    <x v="0"/>
    <x v="0"/>
    <n v="40000000"/>
    <x v="19"/>
    <x v="30"/>
    <n v="40000000"/>
    <n v="59588068"/>
    <x v="2211"/>
    <x v="2213"/>
    <x v="6"/>
  </r>
  <r>
    <x v="940"/>
    <n v="161"/>
    <n v="35096190"/>
    <s v="Comedy|Crime|Romance"/>
    <s v="Cedric the Entertainer"/>
    <x v="2214"/>
    <n v="76560"/>
    <s v="attorney|divorce|marriage|real estate|screwball comedy"/>
    <n v="322"/>
    <x v="0"/>
    <x v="0"/>
    <n v="60000000"/>
    <x v="19"/>
    <x v="23"/>
    <n v="60000000"/>
    <n v="35096190"/>
    <x v="2212"/>
    <x v="2214"/>
    <x v="4"/>
  </r>
  <r>
    <x v="50"/>
    <n v="78"/>
    <n v="58255287"/>
    <s v="Comedy|Crime"/>
    <s v="Chazz Palminteri"/>
    <x v="2215"/>
    <n v="39471"/>
    <s v="diamond|infant|parody|spoof|sports violence"/>
    <n v="187"/>
    <x v="0"/>
    <x v="0"/>
    <n v="64000000"/>
    <x v="7"/>
    <x v="46"/>
    <n v="64000000"/>
    <n v="58255287"/>
    <x v="2213"/>
    <x v="2215"/>
    <x v="4"/>
  </r>
  <r>
    <x v="1245"/>
    <n v="220"/>
    <n v="6851969"/>
    <s v="Comedy|Drama|Romance"/>
    <s v="Shailene Woodley"/>
    <x v="2216"/>
    <n v="105591"/>
    <s v="crying man|high school|high school senior|men's clothing store|party"/>
    <n v="178"/>
    <x v="0"/>
    <x v="0"/>
    <n v="2500000"/>
    <x v="0"/>
    <x v="17"/>
    <n v="2500000"/>
    <n v="6851969"/>
    <x v="2214"/>
    <x v="2216"/>
    <x v="4"/>
  </r>
  <r>
    <x v="1246"/>
    <n v="22"/>
    <n v="100503"/>
    <s v="Comedy|Romance"/>
    <s v="Adrian Martinez"/>
    <x v="2217"/>
    <n v="7759"/>
    <s v="book club|cheating boyfriend|job promotion|manhattan new york city|new york city"/>
    <n v="20"/>
    <x v="0"/>
    <x v="0"/>
    <n v="8000000"/>
    <x v="16"/>
    <x v="0"/>
    <n v="8000000"/>
    <n v="100503"/>
    <x v="2215"/>
    <x v="2217"/>
    <x v="4"/>
  </r>
  <r>
    <x v="824"/>
    <n v="318"/>
    <n v="227946274"/>
    <s v="Action|Drama"/>
    <s v="Will Smith"/>
    <x v="2218"/>
    <n v="343648"/>
    <s v="bully comeuppance|destruction|prison|superhero|tough girl"/>
    <n v="590"/>
    <x v="0"/>
    <x v="0"/>
    <n v="150000000"/>
    <x v="20"/>
    <x v="24"/>
    <n v="150000000"/>
    <n v="227946274"/>
    <x v="2216"/>
    <x v="2218"/>
    <x v="1"/>
  </r>
  <r>
    <x v="1247"/>
    <n v="103"/>
    <n v="28927720"/>
    <s v="Crime|Horror|Mystery|Thriller"/>
    <s v="Keanu Reeves"/>
    <x v="2219"/>
    <n v="22220"/>
    <s v="fbi|murder|scene of the crime|serial killer|therapy"/>
    <n v="181"/>
    <x v="0"/>
    <x v="0"/>
    <n v="33000000"/>
    <x v="4"/>
    <x v="1"/>
    <n v="33000000"/>
    <n v="28927720"/>
    <x v="2217"/>
    <x v="2219"/>
    <x v="3"/>
  </r>
  <r>
    <x v="293"/>
    <n v="59"/>
    <n v="582024"/>
    <s v="Comedy|Sci-Fi"/>
    <s v="Trey Parker"/>
    <x v="2220"/>
    <n v="30396"/>
    <s v="book of mormon|fight|mormon|ray gun|sidekick"/>
    <n v="168"/>
    <x v="0"/>
    <x v="0"/>
    <n v="1000000"/>
    <x v="31"/>
    <x v="5"/>
    <n v="1000000"/>
    <n v="582024"/>
    <x v="2218"/>
    <x v="2220"/>
    <x v="4"/>
  </r>
  <r>
    <x v="1066"/>
    <n v="117"/>
    <n v="66002004"/>
    <s v="Adventure|Comedy|Family|Fantasy|Romance|Sport"/>
    <s v="Scoot McNairy"/>
    <x v="2221"/>
    <n v="36431"/>
    <s v="automobile racing|car|mechanic|nascar|street racing"/>
    <n v="168"/>
    <x v="0"/>
    <x v="0"/>
    <n v="50000000"/>
    <x v="25"/>
    <x v="27"/>
    <n v="50000000"/>
    <n v="66002004"/>
    <x v="2219"/>
    <x v="2221"/>
    <x v="0"/>
  </r>
  <r>
    <x v="1248"/>
    <n v="22"/>
    <n v="5000000"/>
    <s v="Comedy|Drama|Musical|Romance|War"/>
    <s v="Rock Hudson"/>
    <x v="2222"/>
    <n v="1547"/>
    <s v="crepe suzette|french|mata hari spoof|song|spy"/>
    <n v="50"/>
    <x v="0"/>
    <x v="0"/>
    <n v="25000000"/>
    <x v="50"/>
    <x v="5"/>
    <n v="25000000"/>
    <n v="5000000"/>
    <x v="2220"/>
    <x v="2222"/>
    <x v="4"/>
  </r>
  <r>
    <x v="673"/>
    <n v="124"/>
    <n v="40905277"/>
    <s v="Crime|Drama|Romance|Thriller"/>
    <s v="Denzel Washington"/>
    <x v="2223"/>
    <n v="45895"/>
    <s v="cancer|florida|insurance|life insurance policy|small town"/>
    <n v="157"/>
    <x v="0"/>
    <x v="0"/>
    <n v="50000000"/>
    <x v="19"/>
    <x v="20"/>
    <n v="50000000"/>
    <n v="40905277"/>
    <x v="2221"/>
    <x v="2223"/>
    <x v="3"/>
  </r>
  <r>
    <x v="1249"/>
    <n v="39"/>
    <n v="5871603"/>
    <s v="Drama|Thriller"/>
    <s v="Rosario Dawson"/>
    <x v="2224"/>
    <n v="3116"/>
    <s v="black cop|die hard scenario|hostage negotiator|police|police brutality"/>
    <n v="39"/>
    <x v="0"/>
    <x v="0"/>
    <n v="13000000"/>
    <x v="12"/>
    <x v="11"/>
    <n v="13000000"/>
    <n v="5871603"/>
    <x v="2222"/>
    <x v="2224"/>
    <x v="5"/>
  </r>
  <r>
    <x v="197"/>
    <n v="359"/>
    <n v="91439400"/>
    <s v="Action|Mystery|Thriller"/>
    <s v="Liam Neeson"/>
    <x v="2225"/>
    <n v="200647"/>
    <s v="air marshal|death|passenger|terrorist|transatlantic flight"/>
    <n v="384"/>
    <x v="0"/>
    <x v="2"/>
    <n v="50000000"/>
    <x v="27"/>
    <x v="16"/>
    <n v="64269999.999999903"/>
    <n v="117536204.75999901"/>
    <x v="2223"/>
    <x v="2225"/>
    <x v="1"/>
  </r>
  <r>
    <x v="1250"/>
    <n v="145"/>
    <n v="184925485"/>
    <s v="Animation|Family|Fantasy|Musical"/>
    <s v="Adriana Caselotti"/>
    <x v="2226"/>
    <n v="133348"/>
    <s v="dwarf|love|princess|queen|snow white"/>
    <n v="204"/>
    <x v="0"/>
    <x v="0"/>
    <n v="2000000"/>
    <x v="68"/>
    <x v="9"/>
    <n v="2000000"/>
    <n v="184925485"/>
    <x v="2224"/>
    <x v="2226"/>
    <x v="8"/>
  </r>
  <r>
    <x v="570"/>
    <n v="196"/>
    <n v="119412921"/>
    <s v="Action|Sci-Fi"/>
    <s v="Ronny Cox"/>
    <x v="2227"/>
    <n v="240241"/>
    <s v="ambiguous ending|false memory|implanted memory|memory|space colony"/>
    <n v="391"/>
    <x v="0"/>
    <x v="0"/>
    <n v="65000000"/>
    <x v="32"/>
    <x v="2"/>
    <n v="65000000"/>
    <n v="119412921"/>
    <x v="2225"/>
    <x v="2227"/>
    <x v="1"/>
  </r>
  <r>
    <x v="206"/>
    <n v="98"/>
    <n v="183125"/>
    <s v="Action|Crime|Drama|Thriller"/>
    <s v="Nicolas Cage"/>
    <x v="2228"/>
    <n v="36914"/>
    <s v="bank|money|presumed dead|rescue|thief"/>
    <n v="86"/>
    <x v="0"/>
    <x v="0"/>
    <n v="35000000"/>
    <x v="28"/>
    <x v="28"/>
    <n v="35000000"/>
    <n v="183125"/>
    <x v="2226"/>
    <x v="2228"/>
    <x v="1"/>
  </r>
  <r>
    <x v="1251"/>
    <n v="155"/>
    <n v="6517198"/>
    <s v="Crime|Drama"/>
    <s v="Catalina Sandino Moreno"/>
    <x v="2229"/>
    <n v="30474"/>
    <s v="colombia|colombian|drug mule|money|stomach"/>
    <n v="172"/>
    <x v="9"/>
    <x v="34"/>
    <n v="3000000"/>
    <x v="2"/>
    <x v="2"/>
    <n v="741.73829999999998"/>
    <n v="1611.3517884277901"/>
    <x v="2227"/>
    <x v="2229"/>
    <x v="3"/>
  </r>
  <r>
    <x v="402"/>
    <n v="151"/>
    <n v="21994911"/>
    <s v="Drama|Music"/>
    <s v="Julie Walters"/>
    <x v="2230"/>
    <n v="98354"/>
    <s v="audition|ballet|boxing|miner|miners strike"/>
    <n v="433"/>
    <x v="0"/>
    <x v="2"/>
    <n v="5000000"/>
    <x v="4"/>
    <x v="9"/>
    <n v="6426999.9999999898"/>
    <n v="28272258.599399999"/>
    <x v="2228"/>
    <x v="2230"/>
    <x v="5"/>
  </r>
  <r>
    <x v="258"/>
    <n v="157"/>
    <n v="13838130"/>
    <s v="Action|Adventure|Fantasy|Thriller"/>
    <s v="Josh Hutcherson"/>
    <x v="2231"/>
    <n v="35990"/>
    <s v="antidote|based on young adult novel|flyer|spider|vampire"/>
    <n v="157"/>
    <x v="0"/>
    <x v="0"/>
    <n v="40000000"/>
    <x v="16"/>
    <x v="0"/>
    <n v="40000000"/>
    <n v="13838130"/>
    <x v="2229"/>
    <x v="2231"/>
    <x v="1"/>
  </r>
  <r>
    <x v="810"/>
    <n v="125"/>
    <n v="74540762"/>
    <s v="Action|Drama|Thriller"/>
    <s v="Billy Burke"/>
    <x v="2232"/>
    <n v="48753"/>
    <s v="death of husband|fire|firefighter|funeral|main character dies"/>
    <n v="323"/>
    <x v="0"/>
    <x v="0"/>
    <n v="55000000"/>
    <x v="2"/>
    <x v="20"/>
    <n v="55000000"/>
    <n v="74540762"/>
    <x v="2230"/>
    <x v="2232"/>
    <x v="1"/>
  </r>
  <r>
    <x v="783"/>
    <n v="122"/>
    <n v="37617947"/>
    <s v="Drama|Family|Fantasy"/>
    <s v="Keisha Castle-Hughes"/>
    <x v="2233"/>
    <n v="8143"/>
    <s v="angel|bethlehem|journey|nazareth|virgin"/>
    <n v="203"/>
    <x v="0"/>
    <x v="0"/>
    <n v="30000000"/>
    <x v="7"/>
    <x v="22"/>
    <n v="30000000"/>
    <n v="37617947"/>
    <x v="2231"/>
    <x v="2233"/>
    <x v="5"/>
  </r>
  <r>
    <x v="1252"/>
    <n v="49"/>
    <n v="8080116"/>
    <s v="Adventure|Comedy|Family"/>
    <s v="Logan Lerman"/>
    <x v="2234"/>
    <n v="6562"/>
    <s v="fight|florida|montana|owl|school"/>
    <n v="66"/>
    <x v="0"/>
    <x v="0"/>
    <n v="15000000"/>
    <x v="7"/>
    <x v="15"/>
    <n v="15000000"/>
    <n v="8080116"/>
    <x v="2232"/>
    <x v="2234"/>
    <x v="0"/>
  </r>
  <r>
    <x v="111"/>
    <n v="19"/>
    <n v="38087756"/>
    <s v="Comedy|Family"/>
    <s v="Macaulay Culkin"/>
    <x v="2235"/>
    <n v="49612"/>
    <s v="attempted murder|based on comic book|escape from prison|lost at sea|wealth"/>
    <n v="39"/>
    <x v="0"/>
    <x v="0"/>
    <n v="40000000"/>
    <x v="5"/>
    <x v="44"/>
    <n v="40000000"/>
    <n v="38087756"/>
    <x v="2233"/>
    <x v="2235"/>
    <x v="4"/>
  </r>
  <r>
    <x v="46"/>
    <n v="270"/>
    <n v="159578352"/>
    <s v="Action|Comedy|Crime"/>
    <s v="Michael Rapaport"/>
    <x v="2236"/>
    <n v="133177"/>
    <s v="drug lord|fbi|fbi agent|hospital|shot in the crotch"/>
    <n v="380"/>
    <x v="0"/>
    <x v="0"/>
    <n v="43000000"/>
    <x v="0"/>
    <x v="14"/>
    <n v="43000000"/>
    <n v="159578352"/>
    <x v="2234"/>
    <x v="2236"/>
    <x v="1"/>
  </r>
  <r>
    <x v="597"/>
    <n v="100"/>
    <n v="1530535"/>
    <s v="Comedy|Drama|Romance"/>
    <s v="Billy Crudup"/>
    <x v="2237"/>
    <n v="7833"/>
    <s v="actress|lesbianism|manhattan new york city|urination|watching pornography"/>
    <n v="63"/>
    <x v="0"/>
    <x v="0"/>
    <n v="9000000"/>
    <x v="25"/>
    <x v="35"/>
    <n v="9000000"/>
    <n v="1530535"/>
    <x v="2235"/>
    <x v="2237"/>
    <x v="4"/>
  </r>
  <r>
    <x v="1253"/>
    <n v="221"/>
    <n v="13766014"/>
    <s v="Drama|Romance"/>
    <s v="Anne Hathaway"/>
    <x v="2238"/>
    <n v="106111"/>
    <s v="23 year time span|accidental death|best friend|loss of loved one|male female friendship"/>
    <n v="181"/>
    <x v="0"/>
    <x v="0"/>
    <n v="15000000"/>
    <x v="22"/>
    <x v="16"/>
    <n v="15000000"/>
    <n v="13766014"/>
    <x v="2236"/>
    <x v="2238"/>
    <x v="5"/>
  </r>
  <r>
    <x v="150"/>
    <n v="165"/>
    <n v="25753840"/>
    <s v="Crime|Fantasy|Horror"/>
    <s v="Quentin Tarantino"/>
    <x v="2239"/>
    <n v="219091"/>
    <s v="brother|human versus vampire|rapist|stripper|vampire"/>
    <n v="592"/>
    <x v="0"/>
    <x v="0"/>
    <n v="19000000"/>
    <x v="10"/>
    <x v="4"/>
    <n v="19000000"/>
    <n v="25753840"/>
    <x v="2237"/>
    <x v="2239"/>
    <x v="3"/>
  </r>
  <r>
    <x v="1254"/>
    <n v="16"/>
    <n v="982214"/>
    <s v="Drama"/>
    <s v="Sonja Sohn"/>
    <x v="2240"/>
    <n v="1976"/>
    <s v="gang|independent film|prison|racial slur|urban setting"/>
    <n v="51"/>
    <x v="0"/>
    <x v="0"/>
    <n v="1000000"/>
    <x v="6"/>
    <x v="33"/>
    <n v="1000000"/>
    <n v="982214"/>
    <x v="2238"/>
    <x v="2240"/>
    <x v="5"/>
  </r>
  <r>
    <x v="1255"/>
    <n v="98"/>
    <n v="75668868"/>
    <s v="Action|Adventure|Mystery|Sci-Fi|Thriller"/>
    <s v="LeVar Burton"/>
    <x v="2241"/>
    <n v="60504"/>
    <s v="23rd century|bare chested male bondage|enterprise the starship|rescue|sacrifice"/>
    <n v="249"/>
    <x v="0"/>
    <x v="0"/>
    <n v="35000000"/>
    <x v="5"/>
    <x v="14"/>
    <n v="35000000"/>
    <n v="75668868"/>
    <x v="2239"/>
    <x v="2241"/>
    <x v="1"/>
  </r>
  <r>
    <x v="310"/>
    <n v="158"/>
    <n v="33071558"/>
    <s v="Comedy|Drama"/>
    <s v="Tina Desai"/>
    <x v="2242"/>
    <n v="22369"/>
    <s v="sequel"/>
    <n v="100"/>
    <x v="0"/>
    <x v="2"/>
    <n v="10000000"/>
    <x v="1"/>
    <x v="14"/>
    <n v="12853999.999999899"/>
    <n v="42510180.653199904"/>
    <x v="2240"/>
    <x v="2242"/>
    <x v="4"/>
  </r>
  <r>
    <x v="490"/>
    <n v="329"/>
    <n v="227137090"/>
    <s v="Action|Mystery|Thriller"/>
    <s v="Matt Damon"/>
    <x v="2243"/>
    <n v="491077"/>
    <s v="action hero|cia|dark past|flashback|memory"/>
    <n v="820"/>
    <x v="0"/>
    <x v="0"/>
    <n v="110000000"/>
    <x v="15"/>
    <x v="40"/>
    <n v="110000000"/>
    <n v="227137090"/>
    <x v="2241"/>
    <x v="2243"/>
    <x v="1"/>
  </r>
  <r>
    <x v="172"/>
    <n v="57"/>
    <n v="32051917"/>
    <s v="Crime|Drama|Mystery|Thriller"/>
    <s v="William McNamara"/>
    <x v="2244"/>
    <n v="42315"/>
    <s v="agoraphobia|copycat murder|detective|psychologist|serial killer"/>
    <n v="140"/>
    <x v="0"/>
    <x v="0"/>
    <n v="20000000"/>
    <x v="33"/>
    <x v="14"/>
    <n v="20000000"/>
    <n v="32051917"/>
    <x v="2242"/>
    <x v="2244"/>
    <x v="3"/>
  </r>
  <r>
    <x v="875"/>
    <n v="75"/>
    <n v="241816"/>
    <s v="Drama"/>
    <s v="Paul Schneider"/>
    <x v="2245"/>
    <n v="6246"/>
    <s v="cover up|north carolina|redemption|small town|teenager"/>
    <n v="76"/>
    <x v="0"/>
    <x v="0"/>
    <n v="42000"/>
    <x v="4"/>
    <x v="2"/>
    <n v="42000"/>
    <n v="241816"/>
    <x v="2243"/>
    <x v="2245"/>
    <x v="5"/>
  </r>
  <r>
    <x v="1256"/>
    <n v="358"/>
    <n v="50815288"/>
    <s v="Drama|Thriller"/>
    <s v="Matt Damon"/>
    <x v="2246"/>
    <n v="109188"/>
    <s v="cia|hezbollah|lebanon|oil|prince"/>
    <n v="625"/>
    <x v="0"/>
    <x v="0"/>
    <n v="50000000"/>
    <x v="25"/>
    <x v="16"/>
    <n v="50000000"/>
    <n v="50815288"/>
    <x v="2244"/>
    <x v="2246"/>
    <x v="5"/>
  </r>
  <r>
    <x v="32"/>
    <n v="132"/>
    <n v="37754208"/>
    <s v="Action|Comedy|Sci-Fi"/>
    <s v="Natalie Portman"/>
    <x v="2247"/>
    <n v="172217"/>
    <s v="alien|general|martian|president|weapon"/>
    <n v="405"/>
    <x v="0"/>
    <x v="0"/>
    <n v="70000000"/>
    <x v="10"/>
    <x v="23"/>
    <n v="70000000"/>
    <n v="37754208"/>
    <x v="2245"/>
    <x v="2247"/>
    <x v="1"/>
  </r>
  <r>
    <x v="973"/>
    <n v="64"/>
    <n v="56398162"/>
    <s v="Comedy|Drama|Music|Romance"/>
    <s v="Leonard Roberts"/>
    <x v="2248"/>
    <n v="28649"/>
    <s v="drumline|drummer|fish out of water|marching band|university"/>
    <n v="185"/>
    <x v="0"/>
    <x v="0"/>
    <n v="20000000"/>
    <x v="13"/>
    <x v="35"/>
    <n v="20000000"/>
    <n v="56398162"/>
    <x v="2246"/>
    <x v="2248"/>
    <x v="4"/>
  </r>
  <r>
    <x v="1257"/>
    <n v="135"/>
    <n v="25926543"/>
    <s v="Horror|Mystery|Thriller"/>
    <s v="James Kyson"/>
    <x v="2249"/>
    <n v="26609"/>
    <s v="car accident|japan|newlywed|photograph|photographer"/>
    <n v="148"/>
    <x v="0"/>
    <x v="0"/>
    <n v="8000000"/>
    <x v="20"/>
    <x v="44"/>
    <n v="8000000"/>
    <n v="25926543"/>
    <x v="2247"/>
    <x v="2249"/>
    <x v="6"/>
  </r>
  <r>
    <x v="1258"/>
    <n v="51"/>
    <n v="900926"/>
    <s v="Comedy"/>
    <s v="Jenna Fischer"/>
    <x v="2250"/>
    <n v="9517"/>
    <s v="antarctica|coma|neighbor|phd|pregnancy"/>
    <n v="46"/>
    <x v="0"/>
    <x v="0"/>
    <n v="10000000"/>
    <x v="15"/>
    <x v="1"/>
    <n v="10000000"/>
    <n v="900926"/>
    <x v="2248"/>
    <x v="2250"/>
    <x v="4"/>
  </r>
  <r>
    <x v="244"/>
    <n v="267"/>
    <n v="132122995"/>
    <s v="Action|Sci-Fi"/>
    <s v="Kevin Rankin"/>
    <x v="2251"/>
    <n v="212106"/>
    <s v="1980s|c 130 hercules|monster|panzer|san francisco california"/>
    <n v="1445"/>
    <x v="0"/>
    <x v="0"/>
    <n v="137000000"/>
    <x v="19"/>
    <x v="35"/>
    <n v="137000000"/>
    <n v="132122995"/>
    <x v="2249"/>
    <x v="2251"/>
    <x v="1"/>
  </r>
  <r>
    <x v="328"/>
    <n v="511"/>
    <n v="27098580"/>
    <s v="Drama|Sci-Fi"/>
    <s v="Tom Hanks"/>
    <x v="2252"/>
    <n v="284825"/>
    <s v="composer|future|letter|nonlinear timeline|nursing home"/>
    <n v="828"/>
    <x v="0"/>
    <x v="5"/>
    <n v="102000000"/>
    <x v="28"/>
    <x v="2"/>
    <n v="110643480"/>
    <n v="29394913.669199999"/>
    <x v="2250"/>
    <x v="2252"/>
    <x v="5"/>
  </r>
  <r>
    <x v="1259"/>
    <n v="91"/>
    <n v="10269307"/>
    <s v="Action|Crime|Thriller"/>
    <s v="Norman Reedus"/>
    <x v="2253"/>
    <n v="53251"/>
    <s v="final showdown|ireland|justice|priest|sheep"/>
    <n v="188"/>
    <x v="0"/>
    <x v="0"/>
    <n v="8000000"/>
    <x v="16"/>
    <x v="23"/>
    <n v="8000000"/>
    <n v="10269307"/>
    <x v="2251"/>
    <x v="2253"/>
    <x v="1"/>
  </r>
  <r>
    <x v="539"/>
    <n v="53"/>
    <n v="92969824"/>
    <s v="Comedy|Family|Sci-Fi"/>
    <s v="Robin Williams"/>
    <x v="2254"/>
    <n v="63625"/>
    <s v="college|flubber|flying rubber|professor|wedding"/>
    <n v="64"/>
    <x v="0"/>
    <x v="0"/>
    <n v="80000000"/>
    <x v="31"/>
    <x v="44"/>
    <n v="80000000"/>
    <n v="92969824"/>
    <x v="2252"/>
    <x v="2254"/>
    <x v="4"/>
  </r>
  <r>
    <x v="1260"/>
    <n v="96"/>
    <n v="150415432"/>
    <s v="Action|Adventure|Thriller|War"/>
    <s v="Sylvester Stallone"/>
    <x v="2255"/>
    <n v="117606"/>
    <s v="1980s|mission|prison|rambo|vietnam"/>
    <n v="217"/>
    <x v="0"/>
    <x v="0"/>
    <n v="44000000"/>
    <x v="37"/>
    <x v="24"/>
    <n v="44000000"/>
    <n v="150415432"/>
    <x v="2253"/>
    <x v="2255"/>
    <x v="1"/>
  </r>
  <r>
    <x v="1099"/>
    <n v="94"/>
    <n v="23179303"/>
    <s v="Adventure|Comedy|Family|Romance"/>
    <s v="Leighton Meester"/>
    <x v="2256"/>
    <n v="32951"/>
    <s v="cell phone|hotel|misunderstanding|monte carlo|young woman"/>
    <n v="44"/>
    <x v="0"/>
    <x v="22"/>
    <n v="20000000"/>
    <x v="22"/>
    <x v="30"/>
    <n v="55271.48"/>
    <n v="64057.719108922"/>
    <x v="2254"/>
    <x v="2256"/>
    <x v="0"/>
  </r>
  <r>
    <x v="740"/>
    <n v="393"/>
    <n v="2319187"/>
    <s v="Crime|Drama|Mystery|Thriller"/>
    <s v="Rosario Dawson"/>
    <x v="2257"/>
    <n v="92640"/>
    <s v="amnesia|criminal|heist|hypnotherapy|lost painting"/>
    <n v="212"/>
    <x v="0"/>
    <x v="2"/>
    <n v="20000000"/>
    <x v="0"/>
    <x v="16"/>
    <n v="25707999.999999899"/>
    <n v="2981082.9697999898"/>
    <x v="2255"/>
    <x v="2257"/>
    <x v="3"/>
  </r>
  <r>
    <x v="108"/>
    <n v="64"/>
    <n v="61355436"/>
    <s v="Action|Adventure|Romance|Sci-Fi|Thriller"/>
    <s v="Alun Armstrong"/>
    <x v="2258"/>
    <n v="52136"/>
    <s v="cold fusion|disguise|energy|fusion|the saint"/>
    <n v="184"/>
    <x v="0"/>
    <x v="0"/>
    <n v="68000000"/>
    <x v="31"/>
    <x v="5"/>
    <n v="68000000"/>
    <n v="61355436"/>
    <x v="2256"/>
    <x v="2258"/>
    <x v="1"/>
  </r>
  <r>
    <x v="1226"/>
    <n v="144"/>
    <n v="80270227"/>
    <s v="Action|Adventure|Comedy"/>
    <s v="Alice Greczyn"/>
    <x v="2259"/>
    <n v="66382"/>
    <s v="1969 dodge charger|bikini|farm|misogynist|tow truck"/>
    <n v="612"/>
    <x v="0"/>
    <x v="0"/>
    <n v="50000000"/>
    <x v="25"/>
    <x v="37"/>
    <n v="50000000"/>
    <n v="80270227"/>
    <x v="2257"/>
    <x v="2259"/>
    <x v="1"/>
  </r>
  <r>
    <x v="1261"/>
    <n v="46"/>
    <n v="371081"/>
    <s v="Comedy|Drama"/>
    <s v="Robin Williams"/>
    <x v="2260"/>
    <n v="7479"/>
    <s v="artist|butchery|catholic|catholic school|friend"/>
    <n v="86"/>
    <x v="0"/>
    <x v="0"/>
    <n v="6000000"/>
    <x v="2"/>
    <x v="16"/>
    <n v="6000000"/>
    <n v="371081"/>
    <x v="2258"/>
    <x v="2260"/>
    <x v="4"/>
  </r>
  <r>
    <x v="1262"/>
    <n v="122"/>
    <n v="27972410"/>
    <s v="Action|Adventure|Comedy"/>
    <s v="Kevin McNally"/>
    <x v="2261"/>
    <n v="114692"/>
    <s v="british|crown jewels|explosion|funeral|spy"/>
    <n v="285"/>
    <x v="0"/>
    <x v="2"/>
    <n v="35000000"/>
    <x v="19"/>
    <x v="7"/>
    <n v="44988999.999999903"/>
    <n v="35955735.813999899"/>
    <x v="2259"/>
    <x v="2261"/>
    <x v="1"/>
  </r>
  <r>
    <x v="130"/>
    <n v="190"/>
    <n v="111110575"/>
    <s v="Action|Drama|History|War"/>
    <s v="Tom Cruise"/>
    <x v="2262"/>
    <n v="317166"/>
    <s v="captain|emperor|honor|japan|samurai"/>
    <n v="928"/>
    <x v="0"/>
    <x v="0"/>
    <n v="140000000"/>
    <x v="19"/>
    <x v="9"/>
    <n v="140000000"/>
    <n v="111110575"/>
    <x v="2260"/>
    <x v="2262"/>
    <x v="1"/>
  </r>
  <r>
    <x v="227"/>
    <n v="167"/>
    <n v="41814863"/>
    <s v="Horror|Mystery|Thriller"/>
    <s v="James D'Arcy"/>
    <x v="2263"/>
    <n v="28635"/>
    <s v="archeologist|church|excavation|faith|relic"/>
    <n v="308"/>
    <x v="0"/>
    <x v="0"/>
    <n v="50000000"/>
    <x v="2"/>
    <x v="37"/>
    <n v="50000000"/>
    <n v="41814863"/>
    <x v="2261"/>
    <x v="2263"/>
    <x v="6"/>
  </r>
  <r>
    <x v="655"/>
    <n v="86"/>
    <n v="28876924"/>
    <s v="Adventure|Crime|Mystery|Sci-Fi|Thriller"/>
    <s v="Samira Wiley"/>
    <x v="2264"/>
    <n v="4303"/>
    <s v="dare|game|knocked out|motorcycle|online game"/>
    <n v="35"/>
    <x v="0"/>
    <x v="0"/>
    <n v="20000000"/>
    <x v="24"/>
    <x v="17"/>
    <n v="20000000"/>
    <n v="28876924"/>
    <x v="2262"/>
    <x v="2264"/>
    <x v="0"/>
  </r>
  <r>
    <x v="376"/>
    <n v="170"/>
    <n v="43337279"/>
    <s v="Adventure|Comedy"/>
    <s v="Olivia Wilde"/>
    <x v="2265"/>
    <n v="76770"/>
    <s v="abraham|hunter|princess|sodom|tribe"/>
    <n v="203"/>
    <x v="0"/>
    <x v="0"/>
    <n v="60000000"/>
    <x v="16"/>
    <x v="18"/>
    <n v="60000000"/>
    <n v="43337279"/>
    <x v="2263"/>
    <x v="2265"/>
    <x v="0"/>
  </r>
  <r>
    <x v="1263"/>
    <n v="110"/>
    <n v="102055"/>
    <s v="Action"/>
    <s v="Nirut Sirichanya"/>
    <x v="2266"/>
    <n v="24570"/>
    <s v="cult film|elephant|jungle|martial arts|stylized violence"/>
    <n v="72"/>
    <x v="21"/>
    <x v="28"/>
    <n v="300000000"/>
    <x v="20"/>
    <x v="5"/>
    <n v="8278146"/>
    <n v="2816.0873001"/>
    <x v="2264"/>
    <x v="2266"/>
    <x v="1"/>
  </r>
  <r>
    <x v="1264"/>
    <n v="110"/>
    <n v="7362100"/>
    <s v="Comedy|Drama"/>
    <s v="William Baldwin"/>
    <x v="2267"/>
    <n v="60295"/>
    <s v="boy|divorce|tennis|tennis coach|writer"/>
    <n v="232"/>
    <x v="0"/>
    <x v="0"/>
    <n v="1500000"/>
    <x v="25"/>
    <x v="39"/>
    <n v="1500000"/>
    <n v="7362100"/>
    <x v="2265"/>
    <x v="2267"/>
    <x v="4"/>
  </r>
  <r>
    <x v="137"/>
    <n v="66"/>
    <n v="80920948"/>
    <s v="Action|Adventure|Animation|Comedy|Family|Sci-Fi"/>
    <s v="Martin Short"/>
    <x v="2268"/>
    <n v="23943"/>
    <s v="alien|boy genius|children|genius|rescue"/>
    <n v="118"/>
    <x v="0"/>
    <x v="0"/>
    <n v="30000000"/>
    <x v="9"/>
    <x v="11"/>
    <n v="30000000"/>
    <n v="80920948"/>
    <x v="2266"/>
    <x v="2268"/>
    <x v="1"/>
  </r>
  <r>
    <x v="989"/>
    <n v="241"/>
    <n v="22245861"/>
    <s v="Comedy|Drama"/>
    <s v="Nicolas Cage"/>
    <x v="2269"/>
    <n v="143251"/>
    <s v="book|orchid|screenwriter|thief|twin"/>
    <n v="710"/>
    <x v="0"/>
    <x v="0"/>
    <n v="19000000"/>
    <x v="13"/>
    <x v="9"/>
    <n v="19000000"/>
    <n v="22245861"/>
    <x v="2267"/>
    <x v="2269"/>
    <x v="4"/>
  </r>
  <r>
    <x v="1265"/>
    <n v="17"/>
    <n v="126247"/>
    <s v="Comedy|Crime"/>
    <s v="Christopher Lee"/>
    <x v="2270"/>
    <n v="24958"/>
    <s v="captain|commandant|mafia|russian mafia|security system"/>
    <n v="103"/>
    <x v="0"/>
    <x v="0"/>
    <n v="6200000"/>
    <x v="5"/>
    <x v="57"/>
    <n v="6200000"/>
    <n v="126247"/>
    <x v="2268"/>
    <x v="2270"/>
    <x v="4"/>
  </r>
  <r>
    <x v="655"/>
    <n v="248"/>
    <n v="53884821"/>
    <s v="Horror"/>
    <s v="Matt Shively"/>
    <x v="2271"/>
    <n v="51204"/>
    <s v="boy in a bathtub|demon|laptop computer|pulled underwater|walking in the dark"/>
    <n v="247"/>
    <x v="0"/>
    <x v="0"/>
    <n v="5000000"/>
    <x v="28"/>
    <x v="34"/>
    <n v="5000000"/>
    <n v="53884821"/>
    <x v="2269"/>
    <x v="2271"/>
    <x v="6"/>
  </r>
  <r>
    <x v="1266"/>
    <n v="51"/>
    <n v="32800000"/>
    <s v="Comedy|Crime|Drama|Thriller"/>
    <s v="Demi Moore"/>
    <x v="2272"/>
    <n v="34896"/>
    <s v="bouncer|breasts|congressman|private dancer|stripper"/>
    <n v="118"/>
    <x v="0"/>
    <x v="0"/>
    <n v="40000000"/>
    <x v="10"/>
    <x v="46"/>
    <n v="40000000"/>
    <n v="32800000"/>
    <x v="2270"/>
    <x v="2272"/>
    <x v="4"/>
  </r>
  <r>
    <x v="1267"/>
    <n v="43"/>
    <n v="92900"/>
    <s v="Comedy|Drama"/>
    <s v="Stephanie Szostak"/>
    <x v="2273"/>
    <n v="3662"/>
    <s v="birthday|birthday party|delivery man|mother|neighbor"/>
    <n v="23"/>
    <x v="0"/>
    <x v="0"/>
    <n v="5000000"/>
    <x v="16"/>
    <x v="27"/>
    <n v="5000000"/>
    <n v="92900"/>
    <x v="2271"/>
    <x v="2273"/>
    <x v="4"/>
  </r>
  <r>
    <x v="1268"/>
    <n v="105"/>
    <n v="1127331"/>
    <s v="Drama"/>
    <s v="Marina Golbahari"/>
    <x v="2274"/>
    <n v="7559"/>
    <s v="boy|girl|hair|school|taliban"/>
    <n v="77"/>
    <x v="28"/>
    <x v="35"/>
    <n v="46000"/>
    <x v="19"/>
    <x v="39"/>
    <n v="649.51650400000005"/>
    <n v="15917.828042843999"/>
    <x v="2272"/>
    <x v="2274"/>
    <x v="5"/>
  </r>
  <r>
    <x v="1269"/>
    <n v="153"/>
    <n v="38087366"/>
    <s v="Adventure|Comedy"/>
    <s v="Danneel Ackles"/>
    <x v="2275"/>
    <n v="113918"/>
    <s v="bong|escape|ex girlfriend|guantanamo bay|texas"/>
    <n v="165"/>
    <x v="0"/>
    <x v="0"/>
    <n v="12000000"/>
    <x v="20"/>
    <x v="14"/>
    <n v="12000000"/>
    <n v="38087366"/>
    <x v="2273"/>
    <x v="2275"/>
    <x v="0"/>
  </r>
  <r>
    <x v="636"/>
    <n v="151"/>
    <n v="30093107"/>
    <s v="Comedy|Crime"/>
    <s v="Jason Statham"/>
    <x v="2276"/>
    <n v="600996"/>
    <s v="boxer|boxing|diamond|fight|gypsy"/>
    <n v="726"/>
    <x v="0"/>
    <x v="2"/>
    <n v="6000000"/>
    <x v="4"/>
    <x v="36"/>
    <n v="7712399.9999999898"/>
    <n v="38681679.737799898"/>
    <x v="2274"/>
    <x v="2276"/>
    <x v="4"/>
  </r>
  <r>
    <x v="273"/>
    <n v="290"/>
    <n v="157299717"/>
    <s v="Action|Adventure|Sci-Fi"/>
    <s v="Hugh Jackman"/>
    <x v="2277"/>
    <n v="452928"/>
    <s v="first part|mutant|professor|superhero|superhero team"/>
    <n v="1401"/>
    <x v="0"/>
    <x v="0"/>
    <n v="75000000"/>
    <x v="4"/>
    <x v="39"/>
    <n v="75000000"/>
    <n v="157299717"/>
    <x v="2275"/>
    <x v="2277"/>
    <x v="1"/>
  </r>
  <r>
    <x v="824"/>
    <n v="377"/>
    <n v="65173160"/>
    <s v="Action|Adventure|Sci-Fi|Thriller"/>
    <s v="Liam Neeson"/>
    <x v="2278"/>
    <n v="202382"/>
    <s v="box office flop|hawaii|naval|oahu hawaii|ship"/>
    <n v="751"/>
    <x v="0"/>
    <x v="0"/>
    <n v="209000000"/>
    <x v="28"/>
    <x v="0"/>
    <n v="209000000"/>
    <n v="65173160"/>
    <x v="2276"/>
    <x v="2278"/>
    <x v="1"/>
  </r>
  <r>
    <x v="1270"/>
    <n v="79"/>
    <n v="108662"/>
    <s v="Crime|Horror|Thriller"/>
    <s v="John de Lancie"/>
    <x v="2279"/>
    <n v="26849"/>
    <s v="corpse|dark humor|medical school|murder|pathology"/>
    <n v="107"/>
    <x v="0"/>
    <x v="0"/>
    <n v="8000000"/>
    <x v="20"/>
    <x v="11"/>
    <n v="8000000"/>
    <n v="108662"/>
    <x v="2277"/>
    <x v="2279"/>
    <x v="3"/>
  </r>
  <r>
    <x v="167"/>
    <n v="91"/>
    <n v="25078937"/>
    <s v="Crime|Drama|Mystery|Thriller"/>
    <s v="Kevin Spacey"/>
    <x v="2280"/>
    <n v="31751"/>
    <s v="graveyard|murder|murder trial|reporter|trial"/>
    <n v="216"/>
    <x v="0"/>
    <x v="0"/>
    <n v="30000000"/>
    <x v="31"/>
    <x v="14"/>
    <n v="30000000"/>
    <n v="25078937"/>
    <x v="2278"/>
    <x v="2280"/>
    <x v="3"/>
  </r>
  <r>
    <x v="10"/>
    <n v="775"/>
    <n v="126464904"/>
    <s v="Adventure|Mystery|Sci-Fi"/>
    <s v="Michael Fassbender"/>
    <x v="2281"/>
    <n v="456260"/>
    <s v="cave painting|medical scanner|planet|pregnant with an alien fetus|suspended animation"/>
    <n v="2326"/>
    <x v="0"/>
    <x v="0"/>
    <n v="130000000"/>
    <x v="28"/>
    <x v="16"/>
    <n v="130000000"/>
    <n v="126464904"/>
    <x v="2279"/>
    <x v="2281"/>
    <x v="0"/>
  </r>
  <r>
    <x v="24"/>
    <n v="41"/>
    <n v="9694105"/>
    <s v="Comedy|Family|Romance"/>
    <s v="Brendan Fraser"/>
    <x v="2282"/>
    <n v="8176"/>
    <s v="gold|gold rush|mirror|police officer|singer"/>
    <n v="77"/>
    <x v="0"/>
    <x v="0"/>
    <n v="22000000"/>
    <x v="12"/>
    <x v="54"/>
    <n v="22000000"/>
    <n v="9694105"/>
    <x v="2280"/>
    <x v="2282"/>
    <x v="4"/>
  </r>
  <r>
    <x v="448"/>
    <n v="100"/>
    <n v="94497271"/>
    <s v="Adventure|Comedy|Drama|Family|Romance"/>
    <s v="Jamie Lee Curtis"/>
    <x v="2283"/>
    <n v="17829"/>
    <s v="chihuahua|german shepherd|mexico|potted plant|tijuana mexico"/>
    <n v="99"/>
    <x v="0"/>
    <x v="0"/>
    <n v="20000000"/>
    <x v="20"/>
    <x v="50"/>
    <n v="20000000"/>
    <n v="94497271"/>
    <x v="2281"/>
    <x v="2283"/>
    <x v="0"/>
  </r>
  <r>
    <x v="1136"/>
    <n v="127"/>
    <n v="11802056"/>
    <s v="Adventure|Comedy|Family|Romance|Sci-Fi"/>
    <s v="Marc Blucas"/>
    <x v="2284"/>
    <n v="31640"/>
    <s v="alien|mutiny|orb|planet|spaceship"/>
    <n v="109"/>
    <x v="0"/>
    <x v="0"/>
    <n v="60000000"/>
    <x v="20"/>
    <x v="18"/>
    <n v="60000000"/>
    <n v="11802056"/>
    <x v="2282"/>
    <x v="2284"/>
    <x v="0"/>
  </r>
  <r>
    <x v="1271"/>
    <n v="72"/>
    <n v="22770"/>
    <s v="Comedy|Drama"/>
    <s v="Lindsay Kay Hayward"/>
    <x v="2285"/>
    <n v="1658"/>
    <s v="coma|one word title|spitting|sushi|swimming pool"/>
    <n v="12"/>
    <x v="8"/>
    <x v="15"/>
    <n v="5500000"/>
    <x v="0"/>
    <x v="7"/>
    <n v="35731.300000000003"/>
    <n v="147.927582"/>
    <x v="2283"/>
    <x v="2285"/>
    <x v="4"/>
  </r>
  <r>
    <x v="1272"/>
    <n v="100"/>
    <n v="7563670"/>
    <s v="Comedy|Fantasy|Romance"/>
    <s v="Stephen Root"/>
    <x v="2286"/>
    <n v="21268"/>
    <s v="accident|diary|ghost|psychic|veterinarian"/>
    <n v="53"/>
    <x v="0"/>
    <x v="0"/>
    <n v="10000000"/>
    <x v="20"/>
    <x v="44"/>
    <n v="10000000"/>
    <n v="7563670"/>
    <x v="2284"/>
    <x v="2286"/>
    <x v="4"/>
  </r>
  <r>
    <x v="26"/>
    <n v="158"/>
    <n v="19294901"/>
    <s v="Comedy|Horror"/>
    <s v="Shannon Elizabeth"/>
    <x v="2287"/>
    <n v="26126"/>
    <s v="creature|death|party|rescue|werewolf"/>
    <n v="325"/>
    <x v="0"/>
    <x v="0"/>
    <n v="35000000"/>
    <x v="25"/>
    <x v="53"/>
    <n v="35000000"/>
    <n v="19294901"/>
    <x v="2285"/>
    <x v="2287"/>
    <x v="4"/>
  </r>
  <r>
    <x v="1273"/>
    <n v="391"/>
    <n v="26589953"/>
    <s v="Action|Crime|Thriller"/>
    <s v="Robert De Niro"/>
    <x v="2288"/>
    <n v="165792"/>
    <s v="machete|mexican|mexico|priest|texas"/>
    <n v="392"/>
    <x v="0"/>
    <x v="0"/>
    <n v="10500000"/>
    <x v="11"/>
    <x v="21"/>
    <n v="10500000"/>
    <n v="26589953"/>
    <x v="2286"/>
    <x v="2288"/>
    <x v="1"/>
  </r>
  <r>
    <x v="480"/>
    <n v="164"/>
    <n v="195329763"/>
    <s v="Action|Adventure|Animation|Comedy|Family|Fantasy"/>
    <s v="Denis Leary"/>
    <x v="2289"/>
    <n v="194249"/>
    <s v="flood|mammoth|no opening credits|squirrel|valley"/>
    <n v="253"/>
    <x v="0"/>
    <x v="0"/>
    <n v="80000000"/>
    <x v="7"/>
    <x v="31"/>
    <n v="80000000"/>
    <n v="195329763"/>
    <x v="2287"/>
    <x v="2289"/>
    <x v="1"/>
  </r>
  <r>
    <x v="900"/>
    <n v="290"/>
    <n v="5354039"/>
    <s v="Biography|Drama|Thriller"/>
    <s v="Kevin Spacey"/>
    <x v="2290"/>
    <n v="92599"/>
    <s v="capital management|financial crisis|financial disaster|investment fraud|management"/>
    <n v="225"/>
    <x v="0"/>
    <x v="0"/>
    <n v="3500000"/>
    <x v="22"/>
    <x v="17"/>
    <n v="3500000"/>
    <n v="5354039"/>
    <x v="2288"/>
    <x v="2290"/>
    <x v="2"/>
  </r>
  <r>
    <x v="528"/>
    <n v="405"/>
    <n v="8114507"/>
    <s v="Drama|Romance"/>
    <s v="Seamus Davey-Fitzpatrick"/>
    <x v="2291"/>
    <n v="95362"/>
    <s v="friend|greece|greek|hotel room|twin"/>
    <n v="270"/>
    <x v="0"/>
    <x v="0"/>
    <n v="3000000"/>
    <x v="0"/>
    <x v="19"/>
    <n v="3000000"/>
    <n v="8114507"/>
    <x v="2289"/>
    <x v="2291"/>
    <x v="5"/>
  </r>
  <r>
    <x v="32"/>
    <n v="186"/>
    <n v="251188924"/>
    <s v="Action|Adventure"/>
    <s v="Michael Gough"/>
    <x v="2292"/>
    <n v="269033"/>
    <s v="city|dc comics|gotham|pantyhose|police"/>
    <n v="817"/>
    <x v="0"/>
    <x v="0"/>
    <n v="35000000"/>
    <x v="26"/>
    <x v="10"/>
    <n v="35000000"/>
    <n v="251188924"/>
    <x v="2290"/>
    <x v="2292"/>
    <x v="1"/>
  </r>
  <r>
    <x v="637"/>
    <n v="391"/>
    <n v="83813460"/>
    <s v="Drama|Romance"/>
    <s v="J.K. Simmons"/>
    <x v="2293"/>
    <n v="270238"/>
    <s v="airport|business trip|downsizing|on the road|travel"/>
    <n v="452"/>
    <x v="0"/>
    <x v="0"/>
    <n v="25000000"/>
    <x v="16"/>
    <x v="39"/>
    <n v="25000000"/>
    <n v="83813460"/>
    <x v="2291"/>
    <x v="2293"/>
    <x v="5"/>
  </r>
  <r>
    <x v="1274"/>
    <n v="79"/>
    <n v="578527"/>
    <s v="Action|Comedy|Thriller"/>
    <s v="Bashar Rahal"/>
    <x v="2294"/>
    <n v="20008"/>
    <s v="assassin|corporation|pop star|reporter|satire"/>
    <n v="112"/>
    <x v="0"/>
    <x v="0"/>
    <n v="10000000"/>
    <x v="20"/>
    <x v="35"/>
    <n v="10000000"/>
    <n v="578527"/>
    <x v="2292"/>
    <x v="2294"/>
    <x v="1"/>
  </r>
  <r>
    <x v="1275"/>
    <n v="634"/>
    <n v="42043633"/>
    <s v="Fantasy|Horror|Mystery|Thriller"/>
    <s v="Chris Hemsworth"/>
    <x v="2295"/>
    <n v="277172"/>
    <s v="cabin in the woods|dark humor|hatchet|killed in an elevator|robot"/>
    <n v="986"/>
    <x v="0"/>
    <x v="0"/>
    <n v="30000000"/>
    <x v="28"/>
    <x v="16"/>
    <n v="30000000"/>
    <n v="42043633"/>
    <x v="2293"/>
    <x v="2295"/>
    <x v="9"/>
  </r>
  <r>
    <x v="183"/>
    <n v="418"/>
    <n v="161087183"/>
    <s v="Action|Adventure|Comedy|Sci-Fi"/>
    <s v="Will Smith"/>
    <x v="2296"/>
    <n v="118992"/>
    <s v="based on comic book|critically bashed|father daughter relationship|reference to superman|super villain"/>
    <n v="971"/>
    <x v="0"/>
    <x v="0"/>
    <n v="175000000"/>
    <x v="24"/>
    <x v="31"/>
    <n v="175000000"/>
    <n v="161087183"/>
    <x v="2294"/>
    <x v="2296"/>
    <x v="1"/>
  </r>
  <r>
    <x v="132"/>
    <n v="281"/>
    <n v="78616689"/>
    <s v="Adventure|Drama|Sci-Fi"/>
    <s v="Haley Joel Osment"/>
    <x v="2297"/>
    <n v="238747"/>
    <s v="affection|boy|fairy|future|robot"/>
    <n v="2153"/>
    <x v="0"/>
    <x v="0"/>
    <n v="100000000"/>
    <x v="9"/>
    <x v="17"/>
    <n v="100000000"/>
    <n v="78616689"/>
    <x v="2295"/>
    <x v="2297"/>
    <x v="0"/>
  </r>
  <r>
    <x v="882"/>
    <n v="435"/>
    <n v="36381716"/>
    <s v="Action|Fantasy"/>
    <s v="Jon Hamm"/>
    <x v="2298"/>
    <n v="197584"/>
    <s v="alternate reality|escape|girl gang|prostitution|samurai"/>
    <n v="918"/>
    <x v="0"/>
    <x v="0"/>
    <n v="82000000"/>
    <x v="22"/>
    <x v="7"/>
    <n v="82000000"/>
    <n v="36381716"/>
    <x v="2296"/>
    <x v="2298"/>
    <x v="1"/>
  </r>
  <r>
    <x v="904"/>
    <n v="91"/>
    <n v="133103929"/>
    <s v="Adventure|Animation|Comedy|Family|Fantasy|Music"/>
    <s v="Amy Poehler"/>
    <x v="2299"/>
    <n v="22838"/>
    <s v="chipmunk|cruise ship|football ball|overboard|tennis ball"/>
    <n v="56"/>
    <x v="0"/>
    <x v="0"/>
    <n v="75000000"/>
    <x v="22"/>
    <x v="8"/>
    <n v="75000000"/>
    <n v="133103929"/>
    <x v="2297"/>
    <x v="2299"/>
    <x v="0"/>
  </r>
  <r>
    <x v="180"/>
    <n v="167"/>
    <n v="201573391"/>
    <s v="Action|Adventure|Sci-Fi|Thriller"/>
    <s v="Bruce Willis"/>
    <x v="2300"/>
    <n v="322395"/>
    <s v="asteroid|astronaut|bomb|meteorite|outer space"/>
    <n v="1171"/>
    <x v="0"/>
    <x v="0"/>
    <n v="140000000"/>
    <x v="6"/>
    <x v="14"/>
    <n v="140000000"/>
    <n v="201573391"/>
    <x v="2298"/>
    <x v="2300"/>
    <x v="1"/>
  </r>
  <r>
    <x v="923"/>
    <n v="40"/>
    <n v="30102717"/>
    <s v="Action|Crime"/>
    <s v="Bolo Yeung"/>
    <x v="2301"/>
    <n v="28736"/>
    <s v="boat|hong kong|murder|tunnel|twins"/>
    <n v="72"/>
    <x v="0"/>
    <x v="0"/>
    <n v="15000000"/>
    <x v="38"/>
    <x v="28"/>
    <n v="15000000"/>
    <n v="30102717"/>
    <x v="2299"/>
    <x v="2301"/>
    <x v="1"/>
  </r>
  <r>
    <x v="173"/>
    <n v="201"/>
    <n v="162586036"/>
    <s v="Biography|Drama"/>
    <s v="Will Smith"/>
    <x v="2302"/>
    <n v="338383"/>
    <s v="bus|intern|internship|salesman|stockbroker"/>
    <n v="611"/>
    <x v="0"/>
    <x v="0"/>
    <n v="55000000"/>
    <x v="7"/>
    <x v="3"/>
    <n v="55000000"/>
    <n v="162586036"/>
    <x v="2300"/>
    <x v="2302"/>
    <x v="2"/>
  </r>
  <r>
    <x v="591"/>
    <n v="52"/>
    <n v="37295394"/>
    <s v="Comedy|Drama"/>
    <s v="Gary Dourdan"/>
    <x v="2303"/>
    <n v="7973"/>
    <s v="martha's vineyard|mother|older woman younger man relationship|wedding|weekend"/>
    <n v="59"/>
    <x v="0"/>
    <x v="0"/>
    <n v="6600000"/>
    <x v="22"/>
    <x v="35"/>
    <n v="6600000"/>
    <n v="37295394"/>
    <x v="2301"/>
    <x v="2303"/>
    <x v="4"/>
  </r>
  <r>
    <x v="386"/>
    <n v="65"/>
    <n v="766487"/>
    <s v="Comedy|Romance"/>
    <s v="Jon Hamm"/>
    <x v="2304"/>
    <n v="15315"/>
    <s v="death|mexico|sabbath|surgeon|ten stories"/>
    <n v="117"/>
    <x v="0"/>
    <x v="0"/>
    <n v="5250000"/>
    <x v="15"/>
    <x v="53"/>
    <n v="5250000"/>
    <n v="766487"/>
    <x v="2302"/>
    <x v="2304"/>
    <x v="4"/>
  </r>
  <r>
    <x v="249"/>
    <n v="308"/>
    <n v="39103378"/>
    <s v="Horror|Thriller"/>
    <s v="Radha Mitchell"/>
    <x v="2305"/>
    <n v="93272"/>
    <s v="deputy|iowa|rural setting|sheriff|survival"/>
    <n v="251"/>
    <x v="0"/>
    <x v="0"/>
    <n v="20000000"/>
    <x v="11"/>
    <x v="20"/>
    <n v="20000000"/>
    <n v="39103378"/>
    <x v="2303"/>
    <x v="2305"/>
    <x v="6"/>
  </r>
  <r>
    <x v="1276"/>
    <n v="24"/>
    <n v="6462576"/>
    <s v="Drama"/>
    <s v="Clive Russell"/>
    <x v="2306"/>
    <n v="1449"/>
    <s v="based on novel"/>
    <n v="30"/>
    <x v="0"/>
    <x v="0"/>
    <n v="18500000"/>
    <x v="24"/>
    <x v="26"/>
    <n v="18500000"/>
    <n v="6462576"/>
    <x v="2304"/>
    <x v="2306"/>
    <x v="5"/>
  </r>
  <r>
    <x v="108"/>
    <n v="42"/>
    <n v="122012710"/>
    <s v="Action|Crime|Drama|Thriller"/>
    <s v="Harrison Ford"/>
    <x v="2307"/>
    <n v="69663"/>
    <s v="cia|colombia|colombian drug cartel|drugs|president"/>
    <n v="133"/>
    <x v="0"/>
    <x v="0"/>
    <n v="62000000"/>
    <x v="5"/>
    <x v="31"/>
    <n v="62000000"/>
    <n v="122012710"/>
    <x v="2305"/>
    <x v="2307"/>
    <x v="1"/>
  </r>
  <r>
    <x v="167"/>
    <n v="490"/>
    <n v="350123553"/>
    <s v="Action|Biography|Drama|History|Thriller|War"/>
    <s v="Bradley Cooper"/>
    <x v="2308"/>
    <n v="325264"/>
    <s v="assassin|death of child|iraq|sniper|sniper rifle"/>
    <n v="916"/>
    <x v="0"/>
    <x v="0"/>
    <n v="58800000"/>
    <x v="27"/>
    <x v="4"/>
    <n v="58800000"/>
    <n v="350123553"/>
    <x v="2306"/>
    <x v="2308"/>
    <x v="1"/>
  </r>
  <r>
    <x v="1277"/>
    <n v="304"/>
    <n v="251501645"/>
    <s v="Animation|Comedy|Family"/>
    <s v="Steve Carell"/>
    <x v="2309"/>
    <n v="385943"/>
    <s v="girl|minion|moon|pyramid|white picket fence"/>
    <n v="296"/>
    <x v="0"/>
    <x v="0"/>
    <n v="69000000"/>
    <x v="11"/>
    <x v="9"/>
    <n v="69000000"/>
    <n v="251501645"/>
    <x v="2307"/>
    <x v="2309"/>
    <x v="8"/>
  </r>
  <r>
    <x v="197"/>
    <n v="349"/>
    <n v="61094903"/>
    <s v="Action|Mystery|Thriller"/>
    <s v="Liam Neeson"/>
    <x v="914"/>
    <n v="210548"/>
    <s v="agriculture|airport|amnesia|nurse|scientist"/>
    <n v="332"/>
    <x v="0"/>
    <x v="2"/>
    <n v="30000000"/>
    <x v="22"/>
    <x v="31"/>
    <n v="38562000"/>
    <n v="78531388.316199899"/>
    <x v="914"/>
    <x v="914"/>
    <x v="1"/>
  </r>
  <r>
    <x v="974"/>
    <n v="476"/>
    <n v="93050117"/>
    <s v="Action|Drama|Sci-Fi|Thriller"/>
    <s v="Matt Damon"/>
    <x v="2310"/>
    <n v="338087"/>
    <s v="christ figure|class differences|messiah|saviour|social commentary"/>
    <n v="814"/>
    <x v="0"/>
    <x v="0"/>
    <n v="115000000"/>
    <x v="0"/>
    <x v="14"/>
    <n v="115000000"/>
    <n v="93050117"/>
    <x v="2308"/>
    <x v="2310"/>
    <x v="1"/>
  </r>
  <r>
    <x v="1278"/>
    <n v="27"/>
    <n v="46451"/>
    <s v="Comedy|Crime|Thriller"/>
    <s v="Chris Hemsworth"/>
    <x v="2311"/>
    <n v="7663"/>
    <s v="cash|financial problem|heist|land rover|mortgage"/>
    <n v="38"/>
    <x v="0"/>
    <x v="0"/>
    <n v="7000000"/>
    <x v="11"/>
    <x v="11"/>
    <n v="7000000"/>
    <n v="46451"/>
    <x v="2309"/>
    <x v="2311"/>
    <x v="4"/>
  </r>
  <r>
    <x v="969"/>
    <n v="355"/>
    <n v="56692"/>
    <s v="Adventure|Drama"/>
    <s v="Viggo Mortensen"/>
    <x v="2312"/>
    <n v="177401"/>
    <s v="apocalypse|boy|food|pistol|survival"/>
    <n v="504"/>
    <x v="0"/>
    <x v="0"/>
    <n v="25000000"/>
    <x v="16"/>
    <x v="4"/>
    <n v="25000000"/>
    <n v="56692"/>
    <x v="2310"/>
    <x v="2312"/>
    <x v="0"/>
  </r>
  <r>
    <x v="1279"/>
    <n v="194"/>
    <n v="126597121"/>
    <s v="Adventure|Animation|Comedy|Family"/>
    <s v="Matthew Broderick"/>
    <x v="2313"/>
    <n v="105902"/>
    <s v="bee|dream sequence|egg|scatological humor|squashed bug"/>
    <n v="206"/>
    <x v="0"/>
    <x v="0"/>
    <n v="150000000"/>
    <x v="15"/>
    <x v="5"/>
    <n v="150000000"/>
    <n v="126597121"/>
    <x v="2311"/>
    <x v="2313"/>
    <x v="0"/>
  </r>
  <r>
    <x v="320"/>
    <n v="362"/>
    <n v="123207194"/>
    <s v="Adventure|Animation|Comedy|Family|Western"/>
    <s v="Johnny Depp"/>
    <x v="2314"/>
    <n v="183208"/>
    <s v="chameleon|lizard|sheriff|water|western town"/>
    <n v="337"/>
    <x v="0"/>
    <x v="0"/>
    <n v="135000000"/>
    <x v="22"/>
    <x v="33"/>
    <n v="135000000"/>
    <n v="123207194"/>
    <x v="2312"/>
    <x v="2314"/>
    <x v="0"/>
  </r>
  <r>
    <x v="724"/>
    <n v="192"/>
    <n v="15281286"/>
    <s v="Comedy|Drama|Romance"/>
    <s v="Steve Buscemi"/>
    <x v="2315"/>
    <n v="64646"/>
    <s v="alter ego|boarding school|love|masturbation|teen movie"/>
    <n v="105"/>
    <x v="0"/>
    <x v="0"/>
    <n v="18000000"/>
    <x v="16"/>
    <x v="20"/>
    <n v="18000000"/>
    <n v="15281286"/>
    <x v="2313"/>
    <x v="2315"/>
    <x v="4"/>
  </r>
  <r>
    <x v="159"/>
    <n v="359"/>
    <n v="35266619"/>
    <s v="Drama|Fantasy|Horror"/>
    <s v="ChloÃ« Grace Moretz"/>
    <x v="2316"/>
    <n v="108248"/>
    <s v="outcast|prom|self injury|telekinesis|tragic event"/>
    <n v="371"/>
    <x v="0"/>
    <x v="0"/>
    <n v="30000000"/>
    <x v="0"/>
    <x v="0"/>
    <n v="30000000"/>
    <n v="35266619"/>
    <x v="2314"/>
    <x v="2316"/>
    <x v="5"/>
  </r>
  <r>
    <x v="1280"/>
    <n v="115"/>
    <n v="274385"/>
    <s v="Comedy|Drama"/>
    <s v="Udo Kier"/>
    <x v="2317"/>
    <n v="29203"/>
    <s v="2000s|burglar|chef|cook|restaurant"/>
    <n v="26"/>
    <x v="7"/>
    <x v="5"/>
    <n v="4000000"/>
    <x v="16"/>
    <x v="4"/>
    <n v="4338960"/>
    <n v="297636.3849"/>
    <x v="2315"/>
    <x v="2317"/>
    <x v="4"/>
  </r>
  <r>
    <x v="754"/>
    <n v="225"/>
    <n v="10907291"/>
    <s v="Action|Horror|Romance"/>
    <s v="Matt Smith"/>
    <x v="2318"/>
    <n v="23775"/>
    <s v="based on novel|damsel in distress|deception|england|zombie"/>
    <n v="134"/>
    <x v="0"/>
    <x v="0"/>
    <n v="28000000"/>
    <x v="24"/>
    <x v="30"/>
    <n v="28000000"/>
    <n v="10907291"/>
    <x v="2316"/>
    <x v="2318"/>
    <x v="1"/>
  </r>
  <r>
    <x v="940"/>
    <n v="249"/>
    <n v="17439163"/>
    <s v="Comedy|Crime"/>
    <s v="Philip Seymour Hoffman"/>
    <x v="2319"/>
    <n v="537419"/>
    <s v="death|drug|nihilism|rug|white russian"/>
    <n v="1028"/>
    <x v="0"/>
    <x v="0"/>
    <n v="15000000"/>
    <x v="6"/>
    <x v="60"/>
    <n v="15000000"/>
    <n v="17439163"/>
    <x v="2317"/>
    <x v="2319"/>
    <x v="4"/>
  </r>
  <r>
    <x v="306"/>
    <n v="406"/>
    <n v="37623143"/>
    <s v="Drama|Fantasy|War"/>
    <s v="Ivana Baquero"/>
    <x v="2320"/>
    <n v="467234"/>
    <s v="fairy|fairy tale|faun|princess|spain"/>
    <n v="1083"/>
    <x v="9"/>
    <x v="12"/>
    <n v="13500000"/>
    <x v="7"/>
    <x v="60"/>
    <n v="14643990"/>
    <n v="40811328.137819998"/>
    <x v="2318"/>
    <x v="2320"/>
    <x v="5"/>
  </r>
  <r>
    <x v="1281"/>
    <n v="242"/>
    <n v="1316074"/>
    <s v="Drama|Romance|Sci-Fi"/>
    <s v="Robin Lord Taylor"/>
    <x v="2321"/>
    <n v="71387"/>
    <s v="duplicate earth|janitor|planet|solar system|synchronicity"/>
    <n v="228"/>
    <x v="0"/>
    <x v="0"/>
    <n v="100000"/>
    <x v="22"/>
    <x v="16"/>
    <n v="100000"/>
    <n v="1316074"/>
    <x v="2319"/>
    <x v="2321"/>
    <x v="5"/>
  </r>
  <r>
    <x v="181"/>
    <n v="196"/>
    <n v="53789313"/>
    <s v="Action|Mystery|Sci-Fi|Thriller"/>
    <s v="Ivana Milicevic"/>
    <x v="2322"/>
    <n v="89816"/>
    <s v="anti hero|babe scientist|engineer|memory|money"/>
    <n v="347"/>
    <x v="0"/>
    <x v="0"/>
    <n v="60000000"/>
    <x v="19"/>
    <x v="23"/>
    <n v="60000000"/>
    <n v="53789313"/>
    <x v="2320"/>
    <x v="2322"/>
    <x v="1"/>
  </r>
  <r>
    <x v="1282"/>
    <n v="97"/>
    <n v="10149779"/>
    <s v="Horror|Sci-Fi|Thriller"/>
    <s v="Leon"/>
    <x v="2323"/>
    <n v="8294"/>
    <s v="animal attack|bat|creature feature|experiment|mad scientist"/>
    <n v="160"/>
    <x v="0"/>
    <x v="0"/>
    <n v="6500000"/>
    <x v="12"/>
    <x v="12"/>
    <n v="6500000"/>
    <n v="10149779"/>
    <x v="2321"/>
    <x v="2323"/>
    <x v="6"/>
  </r>
  <r>
    <x v="259"/>
    <n v="94"/>
    <n v="1754319"/>
    <s v="Drama|Romance"/>
    <s v="DemiÃ¡n Bichir"/>
    <x v="2324"/>
    <n v="13174"/>
    <s v="gang|gardener|money|police|truck"/>
    <n v="81"/>
    <x v="0"/>
    <x v="0"/>
    <n v="10000000"/>
    <x v="22"/>
    <x v="33"/>
    <n v="10000000"/>
    <n v="1754319"/>
    <x v="2322"/>
    <x v="2324"/>
    <x v="5"/>
  </r>
  <r>
    <x v="333"/>
    <n v="113"/>
    <n v="54997476"/>
    <s v="Crime|Drama|Mystery|Thriller"/>
    <s v="Oliver Platt"/>
    <x v="2325"/>
    <n v="40362"/>
    <s v="mental institution|post traumatic stress|psychiatrist|vomiting|voyeur"/>
    <n v="248"/>
    <x v="0"/>
    <x v="0"/>
    <n v="50000000"/>
    <x v="9"/>
    <x v="23"/>
    <n v="50000000"/>
    <n v="54997476"/>
    <x v="2323"/>
    <x v="2325"/>
    <x v="3"/>
  </r>
  <r>
    <x v="514"/>
    <n v="159"/>
    <n v="28831145"/>
    <s v="Drama|Sport"/>
    <s v="Jennifer Garner"/>
    <x v="2326"/>
    <n v="39357"/>
    <s v="cleveland browns|head coach|linebacker|nfl|team owner"/>
    <n v="113"/>
    <x v="0"/>
    <x v="0"/>
    <n v="25000000"/>
    <x v="27"/>
    <x v="22"/>
    <n v="25000000"/>
    <n v="28831145"/>
    <x v="2324"/>
    <x v="2326"/>
    <x v="5"/>
  </r>
  <r>
    <x v="11"/>
    <n v="46"/>
    <n v="1997807"/>
    <s v="Adventure|Drama|Thriller"/>
    <s v="Mary Elizabeth Mastrantonio"/>
    <x v="2327"/>
    <n v="5158"/>
    <s v="alaska|island|motorboat|singer|wilderness"/>
    <n v="140"/>
    <x v="0"/>
    <x v="0"/>
    <n v="8000000"/>
    <x v="12"/>
    <x v="17"/>
    <n v="8000000"/>
    <n v="1997807"/>
    <x v="2325"/>
    <x v="2327"/>
    <x v="0"/>
  </r>
  <r>
    <x v="1283"/>
    <n v="436"/>
    <n v="113165635"/>
    <s v="Action|Adventure|Thriller"/>
    <s v="Jeremy Renner"/>
    <x v="2328"/>
    <n v="229823"/>
    <s v="assassin|cia|drone|pill|wolf"/>
    <n v="504"/>
    <x v="0"/>
    <x v="0"/>
    <n v="125000000"/>
    <x v="28"/>
    <x v="21"/>
    <n v="125000000"/>
    <n v="113165635"/>
    <x v="2326"/>
    <x v="2328"/>
    <x v="1"/>
  </r>
  <r>
    <x v="783"/>
    <n v="119"/>
    <n v="11008432"/>
    <s v="Biography|Drama|Sport"/>
    <s v="Heath Ledger"/>
    <x v="2329"/>
    <n v="43903"/>
    <s v="1970s|skateboarder|skateboarding|surf|swimming pool"/>
    <n v="194"/>
    <x v="0"/>
    <x v="0"/>
    <n v="25000000"/>
    <x v="25"/>
    <x v="17"/>
    <n v="25000000"/>
    <n v="11008432"/>
    <x v="2327"/>
    <x v="2329"/>
    <x v="2"/>
  </r>
  <r>
    <x v="232"/>
    <n v="205"/>
    <n v="170708996"/>
    <s v="Biography|Drama"/>
    <s v="Adam Goldberg"/>
    <x v="2330"/>
    <n v="610568"/>
    <s v="conspiracy|cryptography|mathematician|mental illness|nobel prize"/>
    <n v="1171"/>
    <x v="0"/>
    <x v="0"/>
    <n v="58000000"/>
    <x v="9"/>
    <x v="60"/>
    <n v="58000000"/>
    <n v="170708996"/>
    <x v="2328"/>
    <x v="2330"/>
    <x v="2"/>
  </r>
  <r>
    <x v="366"/>
    <n v="218"/>
    <n v="5306447"/>
    <s v="Comedy|Romance"/>
    <s v="Larry David"/>
    <x v="2331"/>
    <n v="58967"/>
    <s v="atheist|limp|quantum mechanics|religion|runaway"/>
    <n v="169"/>
    <x v="0"/>
    <x v="0"/>
    <n v="15000000"/>
    <x v="16"/>
    <x v="33"/>
    <n v="15000000"/>
    <n v="5306447"/>
    <x v="2329"/>
    <x v="2331"/>
    <x v="4"/>
  </r>
  <r>
    <x v="1284"/>
    <n v="256"/>
    <n v="131175"/>
    <s v="Drama|Horror"/>
    <s v="Joely Richardson"/>
    <x v="2332"/>
    <n v="30219"/>
    <s v="father daughter relationship|playing against type|post apocalypse|protective father|zombie apocalypse"/>
    <n v="200"/>
    <x v="0"/>
    <x v="0"/>
    <n v="8500000"/>
    <x v="1"/>
    <x v="15"/>
    <n v="8500000"/>
    <n v="131175"/>
    <x v="2330"/>
    <x v="2332"/>
    <x v="5"/>
  </r>
  <r>
    <x v="740"/>
    <n v="134"/>
    <n v="16501785"/>
    <s v="Drama"/>
    <s v="Kelly Macdonald"/>
    <x v="2333"/>
    <n v="469561"/>
    <s v="drug culture|drugs|filthy toilet|heroin addict|heroin withdrawal"/>
    <n v="514"/>
    <x v="0"/>
    <x v="2"/>
    <n v="3500000"/>
    <x v="10"/>
    <x v="60"/>
    <n v="4498900"/>
    <n v="21211394.438999999"/>
    <x v="2331"/>
    <x v="2333"/>
    <x v="5"/>
  </r>
  <r>
    <x v="1081"/>
    <n v="54"/>
    <n v="2964"/>
    <s v="Comedy|Horror|Romance"/>
    <s v="Taylor Negron"/>
    <x v="2334"/>
    <n v="7444"/>
    <s v="murder|new york city|one word title|vampire|vampire slayer"/>
    <n v="42"/>
    <x v="0"/>
    <x v="0"/>
    <n v="16000000"/>
    <x v="28"/>
    <x v="37"/>
    <n v="16000000"/>
    <n v="2964"/>
    <x v="2332"/>
    <x v="2334"/>
    <x v="4"/>
  </r>
  <r>
    <x v="1285"/>
    <n v="29"/>
    <n v="20773070"/>
    <s v="Drama"/>
    <s v="Benjamin A. Onyango"/>
    <x v="2335"/>
    <n v="4501"/>
    <s v="alternate universe|christian|christian film|christianity|manipulation"/>
    <n v="102"/>
    <x v="0"/>
    <x v="0"/>
    <n v="5000000"/>
    <x v="24"/>
    <x v="65"/>
    <n v="5000000"/>
    <n v="20773070"/>
    <x v="2333"/>
    <x v="2335"/>
    <x v="5"/>
  </r>
  <r>
    <x v="1286"/>
    <n v="64"/>
    <n v="1141829"/>
    <s v="Crime|Drama"/>
    <s v="Adam LeFevre"/>
    <x v="2336"/>
    <n v="8509"/>
    <s v="ephebophile|pederasty|pedophilia|playing hooky|shaving"/>
    <n v="109"/>
    <x v="0"/>
    <x v="0"/>
    <n v="700000"/>
    <x v="9"/>
    <x v="33"/>
    <n v="700000"/>
    <n v="1141829"/>
    <x v="2334"/>
    <x v="2336"/>
    <x v="3"/>
  </r>
  <r>
    <x v="1287"/>
    <n v="172"/>
    <n v="43119879"/>
    <s v="Action|Adventure|Sci-Fi|Thriller"/>
    <s v="Tom Hardy"/>
    <x v="2337"/>
    <n v="58450"/>
    <s v="earth|federation|romulan|slave|space"/>
    <n v="842"/>
    <x v="0"/>
    <x v="0"/>
    <n v="60000000"/>
    <x v="13"/>
    <x v="24"/>
    <n v="60000000"/>
    <n v="43119879"/>
    <x v="2335"/>
    <x v="2337"/>
    <x v="1"/>
  </r>
  <r>
    <x v="1288"/>
    <n v="33"/>
    <n v="1310270"/>
    <s v="Action|Adventure|Drama|War"/>
    <s v="Corbin Allred"/>
    <x v="2338"/>
    <n v="17725"/>
    <s v="ardennes forest|battle of the bulge|behind enemy lines|winter|world war two in belgium"/>
    <n v="157"/>
    <x v="0"/>
    <x v="0"/>
    <n v="780000"/>
    <x v="19"/>
    <x v="22"/>
    <n v="780000"/>
    <n v="1310270"/>
    <x v="2336"/>
    <x v="2338"/>
    <x v="1"/>
  </r>
  <r>
    <x v="630"/>
    <n v="101"/>
    <n v="38201895"/>
    <s v="Drama|Romance"/>
    <s v="Sarah Michelle Gellar"/>
    <x v="2339"/>
    <n v="149222"/>
    <s v="bet|revenge|seduction|virgin|wager"/>
    <n v="749"/>
    <x v="0"/>
    <x v="0"/>
    <n v="10500000"/>
    <x v="12"/>
    <x v="31"/>
    <n v="10500000"/>
    <n v="38201895"/>
    <x v="2337"/>
    <x v="2339"/>
    <x v="5"/>
  </r>
  <r>
    <x v="530"/>
    <n v="16"/>
    <n v="30400000"/>
    <s v="Drama|Musical|Romance"/>
    <s v="Miriam Margolyes"/>
    <x v="2340"/>
    <n v="9503"/>
    <s v="love|study|talmud|wedding|yeshiva"/>
    <n v="68"/>
    <x v="0"/>
    <x v="2"/>
    <n v="12000000"/>
    <x v="30"/>
    <x v="14"/>
    <n v="15424799.999999899"/>
    <n v="39076159.999999903"/>
    <x v="2338"/>
    <x v="2340"/>
    <x v="5"/>
  </r>
  <r>
    <x v="1289"/>
    <n v="97"/>
    <n v="14249005"/>
    <s v="Comedy"/>
    <s v="Rip Torn"/>
    <x v="2341"/>
    <n v="39788"/>
    <s v="animator|bamboo cane|cartoonist|sausage|slacker"/>
    <n v="619"/>
    <x v="0"/>
    <x v="0"/>
    <n v="15000000"/>
    <x v="9"/>
    <x v="47"/>
    <n v="15000000"/>
    <n v="14249005"/>
    <x v="2339"/>
    <x v="2341"/>
    <x v="4"/>
  </r>
  <r>
    <x v="765"/>
    <n v="273"/>
    <n v="6594136"/>
    <s v="Action|Biography|Drama"/>
    <s v="Tony Chiu Wai Leung"/>
    <x v="2342"/>
    <n v="24557"/>
    <s v="challenge|china|hong kong|martial arts|martial arts master"/>
    <n v="111"/>
    <x v="15"/>
    <x v="4"/>
    <n v="38600000"/>
    <x v="0"/>
    <x v="20"/>
    <n v="4944439.9799999902"/>
    <n v="844671.23502479994"/>
    <x v="2340"/>
    <x v="2342"/>
    <x v="1"/>
  </r>
  <r>
    <x v="203"/>
    <n v="156"/>
    <n v="34290142"/>
    <s v="Comedy|Drama"/>
    <s v="Tina Fey"/>
    <x v="2343"/>
    <n v="54242"/>
    <s v="brother sister relationship|childhood home|man child|sibling|vomiting"/>
    <n v="145"/>
    <x v="0"/>
    <x v="0"/>
    <n v="19800000"/>
    <x v="27"/>
    <x v="14"/>
    <n v="19800000"/>
    <n v="34290142"/>
    <x v="2341"/>
    <x v="2343"/>
    <x v="4"/>
  </r>
  <r>
    <x v="823"/>
    <n v="349"/>
    <n v="610968"/>
    <s v="Drama"/>
    <s v="Thomas Bo Larsen"/>
    <x v="2344"/>
    <n v="170155"/>
    <s v="deer|gun|gunshot|hunt|kindergarten teacher"/>
    <n v="249"/>
    <x v="19"/>
    <x v="23"/>
    <n v="3800000"/>
    <x v="28"/>
    <x v="36"/>
    <n v="552301.5"/>
    <n v="88799.616539999901"/>
    <x v="2342"/>
    <x v="2344"/>
    <x v="5"/>
  </r>
  <r>
    <x v="1290"/>
    <n v="185"/>
    <n v="9030581"/>
    <s v="Drama|War"/>
    <s v="Richard Johnson"/>
    <x v="2345"/>
    <n v="132386"/>
    <s v="boy|fence|jew|nazis|poison gas"/>
    <n v="398"/>
    <x v="0"/>
    <x v="2"/>
    <n v="12500000"/>
    <x v="20"/>
    <x v="38"/>
    <n v="16067499.999999899"/>
    <n v="11607908.817399999"/>
    <x v="2343"/>
    <x v="2345"/>
    <x v="5"/>
  </r>
  <r>
    <x v="618"/>
    <n v="307"/>
    <n v="100448498"/>
    <s v="Comedy|Drama"/>
    <s v="Robert Downey Jr."/>
    <x v="2346"/>
    <n v="272789"/>
    <s v="actor|aspiring actor|birth|misadventure|suitcase"/>
    <n v="285"/>
    <x v="0"/>
    <x v="0"/>
    <n v="65000000"/>
    <x v="11"/>
    <x v="14"/>
    <n v="65000000"/>
    <n v="100448498"/>
    <x v="2344"/>
    <x v="2346"/>
    <x v="4"/>
  </r>
  <r>
    <x v="1291"/>
    <n v="97"/>
    <n v="3447339"/>
    <s v="Comedy|Romance"/>
    <s v="Donald Glover"/>
    <x v="2347"/>
    <n v="29517"/>
    <s v="feces in a swimming pool|female vomiting|high school|lifeguard|male objectification"/>
    <n v="79"/>
    <x v="0"/>
    <x v="0"/>
    <n v="1500000"/>
    <x v="0"/>
    <x v="30"/>
    <n v="1500000"/>
    <n v="3447339"/>
    <x v="2345"/>
    <x v="2347"/>
    <x v="4"/>
  </r>
  <r>
    <x v="498"/>
    <n v="285"/>
    <n v="51872378"/>
    <s v="Crime|Thriller"/>
    <s v="Michael Imperioli"/>
    <x v="2348"/>
    <n v="88241"/>
    <s v="911 operator|calling 911|die hard scenario|head held underwater|white villain"/>
    <n v="266"/>
    <x v="0"/>
    <x v="0"/>
    <n v="13000000"/>
    <x v="0"/>
    <x v="21"/>
    <n v="13000000"/>
    <n v="51872378"/>
    <x v="2346"/>
    <x v="2348"/>
    <x v="3"/>
  </r>
  <r>
    <x v="1292"/>
    <n v="253"/>
    <n v="25977365"/>
    <s v="Crime|Drama|Mystery|Thriller"/>
    <s v="Liam Neeson"/>
    <x v="2349"/>
    <n v="87950"/>
    <s v="drug dealer|ex cop|murder of wife|revenge|violence"/>
    <n v="207"/>
    <x v="0"/>
    <x v="0"/>
    <n v="28000000"/>
    <x v="27"/>
    <x v="20"/>
    <n v="28000000"/>
    <n v="25977365"/>
    <x v="2347"/>
    <x v="2349"/>
    <x v="3"/>
  </r>
  <r>
    <x v="1293"/>
    <n v="36"/>
    <n v="17100000"/>
    <s v="Action|Adventure|Crime|Drama|Romance"/>
    <s v="Salma Hayek"/>
    <x v="2350"/>
    <n v="7073"/>
    <s v="disk|floppy disk|mafia|prison|prisoner"/>
    <n v="29"/>
    <x v="0"/>
    <x v="0"/>
    <n v="25000000"/>
    <x v="10"/>
    <x v="1"/>
    <n v="25000000"/>
    <n v="17100000"/>
    <x v="2348"/>
    <x v="2350"/>
    <x v="1"/>
  </r>
  <r>
    <x v="33"/>
    <n v="723"/>
    <n v="760505847"/>
    <s v="Action|Adventure|Fantasy|Sci-Fi"/>
    <s v="CCH Pounder"/>
    <x v="2351"/>
    <n v="886204"/>
    <s v="avatar|future|marine|native|paraplegic"/>
    <n v="3054"/>
    <x v="0"/>
    <x v="0"/>
    <n v="237000000"/>
    <x v="16"/>
    <x v="19"/>
    <n v="237000000"/>
    <n v="760505847"/>
    <x v="2349"/>
    <x v="2351"/>
    <x v="1"/>
  </r>
  <r>
    <x v="636"/>
    <n v="382"/>
    <n v="186830669"/>
    <s v="Action|Adventure|Crime|Mystery|Thriller"/>
    <s v="Robert Downey Jr."/>
    <x v="2352"/>
    <n v="338635"/>
    <s v="factory|gypsy|investigation|sherlock holmes|train"/>
    <n v="412"/>
    <x v="0"/>
    <x v="0"/>
    <n v="125000000"/>
    <x v="22"/>
    <x v="2"/>
    <n v="125000000"/>
    <n v="186830669"/>
    <x v="2350"/>
    <x v="2352"/>
    <x v="1"/>
  </r>
  <r>
    <x v="884"/>
    <n v="135"/>
    <n v="20218921"/>
    <s v="Drama|Music"/>
    <s v="Leighton Meester"/>
    <x v="2353"/>
    <n v="14814"/>
    <s v="country music|panties|pink panties|relapse|songwriter"/>
    <n v="114"/>
    <x v="0"/>
    <x v="0"/>
    <n v="15000000"/>
    <x v="11"/>
    <x v="23"/>
    <n v="15000000"/>
    <n v="20218921"/>
    <x v="2351"/>
    <x v="2353"/>
    <x v="5"/>
  </r>
  <r>
    <x v="646"/>
    <n v="129"/>
    <n v="63600000"/>
    <s v="Action|Adventure|Thriller"/>
    <s v="Desmond Llewelyn"/>
    <x v="2354"/>
    <n v="82073"/>
    <s v="domino|fiery redhead|nassau|official james bond series|underwater battle"/>
    <n v="275"/>
    <x v="0"/>
    <x v="2"/>
    <n v="9000000"/>
    <x v="29"/>
    <x v="16"/>
    <n v="11568599.999999899"/>
    <n v="81751439.999999896"/>
    <x v="2352"/>
    <x v="2354"/>
    <x v="1"/>
  </r>
  <r>
    <x v="1294"/>
    <n v="52"/>
    <n v="2483955"/>
    <s v="Drama|Romance"/>
    <s v="Danny Pino"/>
    <x v="2355"/>
    <n v="8369"/>
    <s v="1950s|cuba|cuban flag|fidel castro|havana cuba"/>
    <n v="165"/>
    <x v="0"/>
    <x v="0"/>
    <n v="9600000"/>
    <x v="25"/>
    <x v="21"/>
    <n v="9600000"/>
    <n v="2483955"/>
    <x v="2353"/>
    <x v="2355"/>
    <x v="5"/>
  </r>
  <r>
    <x v="1295"/>
    <n v="29"/>
    <n v="9628751"/>
    <s v="Action|Adventure|Animation|Family|Sci-Fi"/>
    <s v="Lara Jill Miller"/>
    <x v="2356"/>
    <n v="5164"/>
    <s v="based on video game|box office hit|computer|digimon|internet"/>
    <n v="65"/>
    <x v="0"/>
    <x v="0"/>
    <n v="5000000"/>
    <x v="4"/>
    <x v="0"/>
    <n v="5000000"/>
    <n v="9628751"/>
    <x v="2354"/>
    <x v="2356"/>
    <x v="1"/>
  </r>
  <r>
    <x v="95"/>
    <n v="129"/>
    <n v="16831505"/>
    <s v="Comedy|Romance|Sport"/>
    <s v="Kirsten Dunst"/>
    <x v="2357"/>
    <n v="51842"/>
    <s v="career|player|tennis|tennis player|wimbledon"/>
    <n v="173"/>
    <x v="0"/>
    <x v="2"/>
    <n v="31000000"/>
    <x v="2"/>
    <x v="23"/>
    <n v="39847399.999999903"/>
    <n v="21635216.526999999"/>
    <x v="2355"/>
    <x v="2357"/>
    <x v="4"/>
  </r>
  <r>
    <x v="297"/>
    <n v="216"/>
    <n v="100125340"/>
    <s v="Crime|Drama|Mystery|Thriller"/>
    <s v="Morgan Freeman"/>
    <x v="2358"/>
    <n v="1023511"/>
    <s v="detective|police partner|serial killer|serial murder|seven deadly sins"/>
    <n v="1080"/>
    <x v="0"/>
    <x v="0"/>
    <n v="33000000"/>
    <x v="33"/>
    <x v="43"/>
    <n v="33000000"/>
    <n v="100125340"/>
    <x v="2356"/>
    <x v="2358"/>
    <x v="3"/>
  </r>
  <r>
    <x v="152"/>
    <n v="65"/>
    <n v="29106737"/>
    <s v="Comedy|Drama|Romance"/>
    <s v="Liam Aiken"/>
    <x v="2359"/>
    <n v="15582"/>
    <s v="baby|dancing|gay|name calling|penis slur"/>
    <n v="132"/>
    <x v="0"/>
    <x v="0"/>
    <n v="15000000"/>
    <x v="6"/>
    <x v="11"/>
    <n v="15000000"/>
    <n v="29106737"/>
    <x v="2357"/>
    <x v="2359"/>
    <x v="4"/>
  </r>
  <r>
    <x v="371"/>
    <n v="137"/>
    <n v="1089365"/>
    <s v="Comedy|Drama"/>
    <s v="Robert De Niro"/>
    <x v="2360"/>
    <n v="23767"/>
    <s v="actor|agent|beard|cannes|hollywood"/>
    <n v="111"/>
    <x v="0"/>
    <x v="0"/>
    <n v="25000000"/>
    <x v="20"/>
    <x v="35"/>
    <n v="25000000"/>
    <n v="1089365"/>
    <x v="2358"/>
    <x v="2360"/>
    <x v="4"/>
  </r>
  <r>
    <x v="53"/>
    <n v="187"/>
    <n v="144512310"/>
    <s v="Action|Crime|Thriller"/>
    <s v="Paul Walker"/>
    <x v="698"/>
    <n v="272227"/>
    <s v="eighteen wheeler|illegal street racing|truck|trucker|undercover cop"/>
    <n v="988"/>
    <x v="0"/>
    <x v="0"/>
    <n v="38000000"/>
    <x v="9"/>
    <x v="21"/>
    <n v="38000000"/>
    <n v="144512310"/>
    <x v="698"/>
    <x v="698"/>
    <x v="1"/>
  </r>
  <r>
    <x v="272"/>
    <n v="9"/>
    <n v="17382982"/>
    <s v="Drama|Thriller"/>
    <s v="Boris Kodjoe"/>
    <x v="2361"/>
    <n v="5975"/>
    <s v="adultery|attraction|lust|obsession|temptation"/>
    <n v="33"/>
    <x v="9"/>
    <x v="0"/>
    <n v="5000000"/>
    <x v="27"/>
    <x v="44"/>
    <n v="5000000"/>
    <n v="17382982"/>
    <x v="2359"/>
    <x v="2361"/>
    <x v="5"/>
  </r>
  <r>
    <x v="282"/>
    <n v="185"/>
    <n v="67263182"/>
    <s v="Drama|Mystery|Thriller"/>
    <s v="Al Pacino"/>
    <x v="2362"/>
    <n v="218771"/>
    <s v="detective|insomnia|murder|partner|police"/>
    <n v="651"/>
    <x v="0"/>
    <x v="0"/>
    <n v="46000000"/>
    <x v="13"/>
    <x v="33"/>
    <n v="46000000"/>
    <n v="67263182"/>
    <x v="2360"/>
    <x v="2362"/>
    <x v="5"/>
  </r>
  <r>
    <x v="1296"/>
    <n v="53"/>
    <n v="13019253"/>
    <s v="Comedy|Crime"/>
    <s v="Seymour Cassel"/>
    <x v="2363"/>
    <n v="3914"/>
    <s v="beach|drug lord|drugs|hotel|stripper"/>
    <n v="47"/>
    <x v="0"/>
    <x v="0"/>
    <n v="23000000"/>
    <x v="4"/>
    <x v="15"/>
    <n v="23000000"/>
    <n v="13019253"/>
    <x v="2361"/>
    <x v="2363"/>
    <x v="4"/>
  </r>
  <r>
    <x v="101"/>
    <n v="167"/>
    <n v="90341670"/>
    <s v="Action|Adventure|Fantasy|Thriller"/>
    <s v="Dwayne Johnson"/>
    <x v="2364"/>
    <n v="102129"/>
    <s v="desert|king|showdown|sorceress|warrior"/>
    <n v="432"/>
    <x v="0"/>
    <x v="0"/>
    <n v="60000000"/>
    <x v="13"/>
    <x v="28"/>
    <n v="60000000"/>
    <n v="90341670"/>
    <x v="2362"/>
    <x v="2364"/>
    <x v="1"/>
  </r>
  <r>
    <x v="572"/>
    <n v="29"/>
    <n v="79817937"/>
    <s v="Action|Adventure|Comedy|Fantasy|Mystery"/>
    <s v="Victor Wong"/>
    <x v="2365"/>
    <n v="39798"/>
    <s v="boy|child|chosen one|demon|detective"/>
    <n v="69"/>
    <x v="0"/>
    <x v="0"/>
    <n v="25000000"/>
    <x v="18"/>
    <x v="0"/>
    <n v="25000000"/>
    <n v="79817937"/>
    <x v="2363"/>
    <x v="2365"/>
    <x v="1"/>
  </r>
  <r>
    <x v="147"/>
    <n v="53"/>
    <n v="4835968"/>
    <s v="Action|Adventure|Thriller"/>
    <s v="Rufus Sewell"/>
    <x v="2366"/>
    <n v="4821"/>
    <s v="commercial|extreme sports|mountain|serbian|terrorist"/>
    <n v="82"/>
    <x v="0"/>
    <x v="2"/>
    <n v="40000000"/>
    <x v="13"/>
    <x v="47"/>
    <n v="51415999.999999903"/>
    <n v="6216153.2671999997"/>
    <x v="2364"/>
    <x v="2366"/>
    <x v="1"/>
  </r>
  <r>
    <x v="1297"/>
    <n v="143"/>
    <n v="160762022"/>
    <s v="Adventure|Animation|Comedy|Family"/>
    <s v="Robert De Niro"/>
    <x v="2367"/>
    <n v="132415"/>
    <s v="anchor|fish|mobster|shark|vegetarian"/>
    <n v="288"/>
    <x v="0"/>
    <x v="0"/>
    <n v="75000000"/>
    <x v="2"/>
    <x v="11"/>
    <n v="75000000"/>
    <n v="160762022"/>
    <x v="2365"/>
    <x v="2367"/>
    <x v="0"/>
  </r>
  <r>
    <x v="133"/>
    <n v="538"/>
    <n v="150117807"/>
    <s v="Crime|Drama"/>
    <s v="Jennifer Lawrence"/>
    <x v="2368"/>
    <n v="358416"/>
    <s v="based on true story|con artist|drunk wife|fbi investigation|scam"/>
    <n v="751"/>
    <x v="0"/>
    <x v="0"/>
    <n v="40000000"/>
    <x v="0"/>
    <x v="4"/>
    <n v="40000000"/>
    <n v="150117807"/>
    <x v="2366"/>
    <x v="2368"/>
    <x v="3"/>
  </r>
  <r>
    <x v="177"/>
    <n v="120"/>
    <n v="3798532"/>
    <s v="Crime|Drama|Romance|Thriller"/>
    <s v="Christopher Meloni"/>
    <x v="2369"/>
    <n v="41138"/>
    <s v="gangster|lesbian|mafia|money|neo noir"/>
    <n v="208"/>
    <x v="0"/>
    <x v="0"/>
    <n v="4500000"/>
    <x v="10"/>
    <x v="39"/>
    <n v="4500000"/>
    <n v="3798532"/>
    <x v="2367"/>
    <x v="2369"/>
    <x v="3"/>
  </r>
  <r>
    <x v="1262"/>
    <n v="88"/>
    <n v="11883495"/>
    <s v="Comedy|Drama|Fantasy|Romance"/>
    <s v="Jeanne Tripplehorn"/>
    <x v="2370"/>
    <n v="52805"/>
    <s v="alternative reality|multiple outcomes|parallel time|serendipity|twist of fate"/>
    <n v="278"/>
    <x v="0"/>
    <x v="2"/>
    <n v="9000000"/>
    <x v="6"/>
    <x v="22"/>
    <n v="11568599.999999899"/>
    <n v="15275044.472999999"/>
    <x v="2368"/>
    <x v="2370"/>
    <x v="4"/>
  </r>
  <r>
    <x v="935"/>
    <n v="322"/>
    <n v="130468626"/>
    <s v="Action|Adventure|Sci-Fi|Thriller"/>
    <s v="Sofia Boutella"/>
    <x v="2371"/>
    <n v="53607"/>
    <s v="hatred|sequel|space opera|star trek|third part"/>
    <n v="432"/>
    <x v="0"/>
    <x v="0"/>
    <n v="185000000"/>
    <x v="24"/>
    <x v="2"/>
    <n v="185000000"/>
    <n v="130468626"/>
    <x v="2369"/>
    <x v="2371"/>
    <x v="1"/>
  </r>
  <r>
    <x v="1298"/>
    <n v="66"/>
    <n v="18595716"/>
    <s v="Comedy|Family|Fantasy|Romance"/>
    <s v="Tammin Sursok"/>
    <x v="2372"/>
    <n v="30462"/>
    <s v="beach|love|mermaid|storm|swimming"/>
    <n v="150"/>
    <x v="0"/>
    <x v="0"/>
    <n v="12000000"/>
    <x v="7"/>
    <x v="1"/>
    <n v="12000000"/>
    <n v="18595716"/>
    <x v="2370"/>
    <x v="2372"/>
    <x v="4"/>
  </r>
  <r>
    <x v="286"/>
    <n v="590"/>
    <n v="228756232"/>
    <s v="Action|Adventure|Sci-Fi"/>
    <s v="Benedict Cumberbatch"/>
    <x v="2373"/>
    <n v="395573"/>
    <s v="admiral|captain|manhunt|mission|space"/>
    <n v="1171"/>
    <x v="0"/>
    <x v="0"/>
    <n v="190000000"/>
    <x v="0"/>
    <x v="38"/>
    <n v="190000000"/>
    <n v="228756232"/>
    <x v="2371"/>
    <x v="2373"/>
    <x v="1"/>
  </r>
  <r>
    <x v="97"/>
    <n v="25"/>
    <n v="45500797"/>
    <s v="Adventure|Drama|Romance"/>
    <s v="Lorraine Bracco"/>
    <x v="2374"/>
    <n v="17443"/>
    <s v="cancer|environment|gas chromatograph|jungle|nature"/>
    <n v="56"/>
    <x v="0"/>
    <x v="0"/>
    <n v="40000000"/>
    <x v="8"/>
    <x v="11"/>
    <n v="40000000"/>
    <n v="45500797"/>
    <x v="2372"/>
    <x v="2374"/>
    <x v="0"/>
  </r>
  <r>
    <x v="1299"/>
    <n v="198"/>
    <n v="42592530"/>
    <s v="Comedy|Fantasy|Horror"/>
    <s v="Adam Scott"/>
    <x v="2375"/>
    <n v="29867"/>
    <s v="christmas|german|holiday|krampus|santa claus"/>
    <n v="181"/>
    <x v="0"/>
    <x v="0"/>
    <n v="15000000"/>
    <x v="1"/>
    <x v="5"/>
    <n v="15000000"/>
    <n v="42592530"/>
    <x v="2373"/>
    <x v="2375"/>
    <x v="4"/>
  </r>
  <r>
    <x v="1300"/>
    <n v="49"/>
    <n v="233103"/>
    <s v="Drama"/>
    <s v="Emily Watson"/>
    <x v="2376"/>
    <n v="2670"/>
    <s v="alcoholic|alcoholic father|stepmother|swaziland|unfaithful wife"/>
    <n v="50"/>
    <x v="0"/>
    <x v="2"/>
    <n v="7000000"/>
    <x v="25"/>
    <x v="31"/>
    <n v="8997800"/>
    <n v="299630.59619999898"/>
    <x v="2374"/>
    <x v="2376"/>
    <x v="5"/>
  </r>
  <r>
    <x v="848"/>
    <n v="141"/>
    <n v="1197786"/>
    <s v="Action|Crime|Thriller"/>
    <s v="David Belle"/>
    <x v="2377"/>
    <n v="55928"/>
    <s v="bomb|gang|police|sister|undercover cop"/>
    <n v="157"/>
    <x v="4"/>
    <x v="8"/>
    <n v="12000000"/>
    <x v="2"/>
    <x v="33"/>
    <n v="13016880"/>
    <n v="1299286.38564"/>
    <x v="2375"/>
    <x v="2377"/>
    <x v="1"/>
  </r>
  <r>
    <x v="651"/>
    <n v="238"/>
    <n v="31051126"/>
    <s v="Adventure|Animation|Comedy|Family"/>
    <s v="Salma Hayek"/>
    <x v="2378"/>
    <n v="36877"/>
    <s v="charles darwin|cutlass|pirate|queen victoria|scientist"/>
    <n v="101"/>
    <x v="0"/>
    <x v="2"/>
    <n v="55000000"/>
    <x v="28"/>
    <x v="21"/>
    <n v="70697000"/>
    <n v="39913117.360399999"/>
    <x v="2376"/>
    <x v="2378"/>
    <x v="0"/>
  </r>
  <r>
    <x v="1301"/>
    <n v="16"/>
    <n v="42880"/>
    <s v="Drama|Romance"/>
    <s v="Robert De Niro"/>
    <x v="2379"/>
    <n v="2919"/>
    <s v="bridge|friar|inquisition|peru|rope bridge"/>
    <n v="50"/>
    <x v="0"/>
    <x v="2"/>
    <n v="24000000"/>
    <x v="2"/>
    <x v="37"/>
    <n v="30849599.999999899"/>
    <n v="55117.951999999997"/>
    <x v="2377"/>
    <x v="2379"/>
    <x v="5"/>
  </r>
  <r>
    <x v="669"/>
    <n v="62"/>
    <n v="11900000"/>
    <s v="Drama|Fantasy|Thriller"/>
    <s v="Robert Downey Jr."/>
    <x v="2380"/>
    <n v="11003"/>
    <s v="dream|mental institution|padded cell|serial killer|suicide attempt"/>
    <n v="148"/>
    <x v="0"/>
    <x v="0"/>
    <n v="30000000"/>
    <x v="12"/>
    <x v="28"/>
    <n v="30000000"/>
    <n v="11900000"/>
    <x v="2378"/>
    <x v="2380"/>
    <x v="5"/>
  </r>
  <r>
    <x v="1302"/>
    <n v="32"/>
    <n v="13829734"/>
    <s v="Action|Fantasy|Romance|Sci-Fi"/>
    <s v="Christopher Lambert"/>
    <x v="2381"/>
    <n v="16194"/>
    <s v="cave|highlander|illusion|immortal|japan"/>
    <n v="79"/>
    <x v="0"/>
    <x v="9"/>
    <n v="26000000"/>
    <x v="5"/>
    <x v="46"/>
    <n v="18808530"/>
    <n v="10004498.724269999"/>
    <x v="2379"/>
    <x v="2381"/>
    <x v="1"/>
  </r>
  <r>
    <x v="104"/>
    <n v="453"/>
    <n v="312057433"/>
    <s v="Action|Adventure|Sci-Fi"/>
    <s v="Robert Downey Jr."/>
    <x v="2382"/>
    <n v="522371"/>
    <s v="hammer|military|monaco|revenge|tony stark"/>
    <n v="723"/>
    <x v="0"/>
    <x v="0"/>
    <n v="200000000"/>
    <x v="11"/>
    <x v="16"/>
    <n v="200000000"/>
    <n v="312057433"/>
    <x v="2380"/>
    <x v="2382"/>
    <x v="1"/>
  </r>
  <r>
    <x v="1260"/>
    <n v="84"/>
    <n v="56505065"/>
    <s v="Action|Biography|Drama|History|Romance|Western"/>
    <s v="Michael Biehn"/>
    <x v="2383"/>
    <n v="95241"/>
    <s v="cigar smoking|cowboy|duel|outlaw|tombstone arizona"/>
    <n v="439"/>
    <x v="0"/>
    <x v="0"/>
    <n v="25000000"/>
    <x v="23"/>
    <x v="38"/>
    <n v="25000000"/>
    <n v="56505065"/>
    <x v="2381"/>
    <x v="2383"/>
    <x v="1"/>
  </r>
  <r>
    <x v="843"/>
    <n v="54"/>
    <n v="52929168"/>
    <s v="Comedy|Crime"/>
    <s v="Fred Gwynne"/>
    <x v="2384"/>
    <n v="82743"/>
    <s v="alabama|jail|judicial system|lawyer|trial"/>
    <n v="201"/>
    <x v="0"/>
    <x v="0"/>
    <n v="11000000"/>
    <x v="8"/>
    <x v="2"/>
    <n v="11000000"/>
    <n v="52929168"/>
    <x v="2382"/>
    <x v="2384"/>
    <x v="4"/>
  </r>
  <r>
    <x v="1303"/>
    <n v="10"/>
    <n v="2119994"/>
    <s v="Family|Fantasy|Music"/>
    <s v="Darci Kistler"/>
    <x v="2385"/>
    <n v="1153"/>
    <s v="christmas|lifting female in air|lifting male in air|lifting someone into the air|little girl"/>
    <n v="15"/>
    <x v="0"/>
    <x v="0"/>
    <n v="19000000"/>
    <x v="23"/>
    <x v="35"/>
    <n v="19000000"/>
    <n v="2119994"/>
    <x v="2383"/>
    <x v="2385"/>
    <x v="11"/>
  </r>
  <r>
    <x v="1304"/>
    <n v="222"/>
    <n v="66009973"/>
    <s v="Comedy|Drama|Music"/>
    <s v="Matt Bomer"/>
    <x v="2386"/>
    <n v="38202"/>
    <s v="male bonding|male friendship|male objectification|muscular|stripper"/>
    <n v="135"/>
    <x v="0"/>
    <x v="0"/>
    <n v="14800000"/>
    <x v="1"/>
    <x v="35"/>
    <n v="14800000"/>
    <n v="66009973"/>
    <x v="2384"/>
    <x v="2386"/>
    <x v="4"/>
  </r>
  <r>
    <x v="1305"/>
    <n v="48"/>
    <n v="27445"/>
    <s v="Action|Comedy|Drama|Thriller"/>
    <s v="Jim Gaffigan"/>
    <x v="2387"/>
    <n v="3788"/>
    <s v="cross|doused with gasoline|pastor|security guard|shower"/>
    <n v="31"/>
    <x v="0"/>
    <x v="0"/>
    <n v="9000000"/>
    <x v="22"/>
    <x v="1"/>
    <n v="9000000"/>
    <n v="27445"/>
    <x v="2385"/>
    <x v="2387"/>
    <x v="1"/>
  </r>
  <r>
    <x v="1306"/>
    <n v="44"/>
    <n v="22200000"/>
    <s v="Comedy|Drama|Romance"/>
    <s v="Johnny Depp"/>
    <x v="2388"/>
    <n v="41310"/>
    <s v="don juan|mental institution|patient|psychiatrist|retirement"/>
    <n v="117"/>
    <x v="0"/>
    <x v="0"/>
    <n v="25000000"/>
    <x v="5"/>
    <x v="22"/>
    <n v="25000000"/>
    <n v="22200000"/>
    <x v="2386"/>
    <x v="2388"/>
    <x v="4"/>
  </r>
  <r>
    <x v="353"/>
    <n v="253"/>
    <n v="60128566"/>
    <s v="Action|Adventure|Horror|Sci-Fi"/>
    <s v="Milla Jovovich"/>
    <x v="2389"/>
    <n v="131447"/>
    <s v="alaska|female gunfighter|mutation|ship|siege"/>
    <n v="410"/>
    <x v="0"/>
    <x v="5"/>
    <n v="60000000"/>
    <x v="11"/>
    <x v="0"/>
    <n v="65084400"/>
    <n v="65223860.682839997"/>
    <x v="2387"/>
    <x v="2389"/>
    <x v="1"/>
  </r>
  <r>
    <x v="1061"/>
    <n v="222"/>
    <n v="12712093"/>
    <s v="Biography|Drama|History|Romance"/>
    <s v="Christian Bale"/>
    <x v="2390"/>
    <n v="70771"/>
    <s v="captain|fort|love|native american|trade"/>
    <n v="671"/>
    <x v="0"/>
    <x v="0"/>
    <n v="30000000"/>
    <x v="25"/>
    <x v="21"/>
    <n v="30000000"/>
    <n v="12712093"/>
    <x v="2388"/>
    <x v="2390"/>
    <x v="2"/>
  </r>
  <r>
    <x v="418"/>
    <n v="434"/>
    <n v="101160529"/>
    <s v="Action|Adventure|Drama"/>
    <s v="Anthony Hopkins"/>
    <x v="2391"/>
    <n v="200022"/>
    <s v="ark|flood|noah's ark|water|wrath of god"/>
    <n v="1240"/>
    <x v="0"/>
    <x v="0"/>
    <n v="125000000"/>
    <x v="27"/>
    <x v="30"/>
    <n v="125000000"/>
    <n v="101160529"/>
    <x v="2389"/>
    <x v="2391"/>
    <x v="1"/>
  </r>
  <r>
    <x v="1307"/>
    <n v="33"/>
    <n v="110029"/>
    <s v="Comedy|Drama|Musical"/>
    <s v="Deborah Mailman"/>
    <x v="2392"/>
    <n v="1388"/>
    <s v="australia|journey|love|priest|traveling"/>
    <n v="31"/>
    <x v="0"/>
    <x v="3"/>
    <n v="6500000"/>
    <x v="16"/>
    <x v="23"/>
    <n v="4250220"/>
    <n v="71945.762520000004"/>
    <x v="2390"/>
    <x v="2392"/>
    <x v="4"/>
  </r>
  <r>
    <x v="201"/>
    <n v="171"/>
    <n v="75530832"/>
    <s v="Drama|Sport"/>
    <s v="Al Pacino"/>
    <x v="2393"/>
    <n v="97047"/>
    <s v="breasts|coach|football|in medias res|vomiting"/>
    <n v="452"/>
    <x v="0"/>
    <x v="0"/>
    <n v="55000000"/>
    <x v="12"/>
    <x v="22"/>
    <n v="55000000"/>
    <n v="75530832"/>
    <x v="2391"/>
    <x v="2393"/>
    <x v="5"/>
  </r>
  <r>
    <x v="227"/>
    <n v="68"/>
    <n v="354704"/>
    <s v="Crime|Drama|Horror|Thriller"/>
    <s v="Viggo Mortensen"/>
    <x v="2394"/>
    <n v="2705"/>
    <s v="electric chair|haunting|prison|prisoner|revenge"/>
    <n v="38"/>
    <x v="0"/>
    <x v="0"/>
    <n v="1300000"/>
    <x v="21"/>
    <x v="0"/>
    <n v="1300000"/>
    <n v="354704"/>
    <x v="2392"/>
    <x v="2394"/>
    <x v="3"/>
  </r>
  <r>
    <x v="1264"/>
    <n v="270"/>
    <n v="7574066"/>
    <s v="Comedy|Drama"/>
    <s v="Naomi Watts"/>
    <x v="2395"/>
    <n v="30325"/>
    <s v="documentary filmmaker|documentary filmmaking|father in law|generation z|hipster"/>
    <n v="96"/>
    <x v="0"/>
    <x v="0"/>
    <n v="10000000"/>
    <x v="27"/>
    <x v="23"/>
    <n v="10000000"/>
    <n v="7574066"/>
    <x v="2393"/>
    <x v="2395"/>
    <x v="4"/>
  </r>
  <r>
    <x v="594"/>
    <n v="79"/>
    <n v="20389967"/>
    <s v="Action|Biography|Drama|History|War"/>
    <s v="Matthew McConaughey"/>
    <x v="2396"/>
    <n v="3077"/>
    <s v="american civil war|civil war|u.s. civil war"/>
    <n v="47"/>
    <x v="0"/>
    <x v="0"/>
    <n v="50000000"/>
    <x v="24"/>
    <x v="21"/>
    <n v="50000000"/>
    <n v="20389967"/>
    <x v="2394"/>
    <x v="2396"/>
    <x v="1"/>
  </r>
  <r>
    <x v="1308"/>
    <n v="181"/>
    <n v="2508841"/>
    <s v="Crime|Drama"/>
    <s v="Charlie McDermott"/>
    <x v="2397"/>
    <n v="21746"/>
    <s v="border|mohawk|money|new york|river"/>
    <n v="93"/>
    <x v="0"/>
    <x v="0"/>
    <n v="1000000"/>
    <x v="20"/>
    <x v="33"/>
    <n v="1000000"/>
    <n v="2508841"/>
    <x v="2395"/>
    <x v="2397"/>
    <x v="3"/>
  </r>
  <r>
    <x v="42"/>
    <n v="222"/>
    <n v="27024"/>
    <s v="Horror"/>
    <s v="Jonathan D. Mellor"/>
    <x v="2398"/>
    <n v="55597"/>
    <s v="apartment|apartment building|blood sample|crucifix|zombie"/>
    <n v="148"/>
    <x v="9"/>
    <x v="12"/>
    <n v="5600000"/>
    <x v="16"/>
    <x v="14"/>
    <n v="6074544"/>
    <n v="29314.013760000002"/>
    <x v="2396"/>
    <x v="2398"/>
    <x v="6"/>
  </r>
  <r>
    <x v="1309"/>
    <n v="191"/>
    <n v="114324072"/>
    <s v="Comedy|Sport"/>
    <s v="Gary Cole"/>
    <x v="2399"/>
    <n v="185345"/>
    <s v="dodgeball|gym|las vegas|pirate|ups"/>
    <n v="392"/>
    <x v="0"/>
    <x v="0"/>
    <n v="20000000"/>
    <x v="2"/>
    <x v="21"/>
    <n v="20000000"/>
    <n v="114324072"/>
    <x v="2397"/>
    <x v="2399"/>
    <x v="4"/>
  </r>
  <r>
    <x v="207"/>
    <n v="32"/>
    <n v="34074895"/>
    <s v="Comedy|Drama"/>
    <s v="Harold Perrineau"/>
    <x v="2400"/>
    <n v="6525"/>
    <s v="african american|bachelor party|brooklyn bridge|family relationships|stripper"/>
    <n v="79"/>
    <x v="0"/>
    <x v="0"/>
    <n v="9000000"/>
    <x v="12"/>
    <x v="21"/>
    <n v="9000000"/>
    <n v="34074895"/>
    <x v="2398"/>
    <x v="2400"/>
    <x v="4"/>
  </r>
  <r>
    <x v="71"/>
    <n v="198"/>
    <n v="46975183"/>
    <s v="Action|Crime|Drama|Mystery|Thriller"/>
    <s v="Tate Donovan"/>
    <x v="2401"/>
    <n v="256213"/>
    <s v="colonel|ethiopia|marksman|on the run|rangefinder"/>
    <n v="338"/>
    <x v="0"/>
    <x v="0"/>
    <n v="61000000"/>
    <x v="15"/>
    <x v="33"/>
    <n v="61000000"/>
    <n v="46975183"/>
    <x v="2399"/>
    <x v="2401"/>
    <x v="1"/>
  </r>
  <r>
    <x v="1310"/>
    <n v="10"/>
    <n v="21199"/>
    <s v="Action|Biography|Documentary|Sport"/>
    <s v="Elizabeth Streb"/>
    <x v="2402"/>
    <n v="40"/>
    <s v="three word title"/>
    <n v="10"/>
    <x v="0"/>
    <x v="0"/>
    <n v="500000"/>
    <x v="27"/>
    <x v="22"/>
    <n v="500000"/>
    <n v="21199"/>
    <x v="2400"/>
    <x v="2402"/>
    <x v="1"/>
  </r>
  <r>
    <x v="1311"/>
    <n v="106"/>
    <n v="32662299"/>
    <s v="Comedy|Drama|Romance"/>
    <s v="Minnie Driver"/>
    <x v="2403"/>
    <n v="16469"/>
    <s v="heart|italian restaurant|restaurant|transplant|waitress"/>
    <n v="275"/>
    <x v="0"/>
    <x v="0"/>
    <n v="24000000"/>
    <x v="4"/>
    <x v="31"/>
    <n v="24000000"/>
    <n v="32662299"/>
    <x v="2401"/>
    <x v="2403"/>
    <x v="4"/>
  </r>
  <r>
    <x v="1312"/>
    <n v="29"/>
    <n v="15447"/>
    <s v="Comedy"/>
    <s v="Eric Idle"/>
    <x v="2404"/>
    <n v="2971"/>
    <s v="box office flop|critically bashed|director|hollywood|mockumentary"/>
    <n v="85"/>
    <x v="0"/>
    <x v="0"/>
    <n v="10000000"/>
    <x v="31"/>
    <x v="51"/>
    <n v="10000000"/>
    <n v="15447"/>
    <x v="2402"/>
    <x v="2404"/>
    <x v="4"/>
  </r>
  <r>
    <x v="97"/>
    <n v="151"/>
    <n v="18990542"/>
    <s v="Action|Sci-Fi|Sport"/>
    <s v="LL Cool J"/>
    <x v="2405"/>
    <n v="22264"/>
    <s v="ball|blood|skating|song|year 2005"/>
    <n v="289"/>
    <x v="0"/>
    <x v="0"/>
    <n v="70000000"/>
    <x v="13"/>
    <x v="62"/>
    <n v="70000000"/>
    <n v="18990542"/>
    <x v="2403"/>
    <x v="2405"/>
    <x v="1"/>
  </r>
  <r>
    <x v="266"/>
    <n v="164"/>
    <n v="51100000"/>
    <s v="Action|Adventure|Thriller"/>
    <s v="Honor Blackman"/>
    <x v="2406"/>
    <n v="139432"/>
    <s v="bikini|covered in melted gold|fort knox|gold|pilot"/>
    <n v="418"/>
    <x v="0"/>
    <x v="2"/>
    <n v="3000000"/>
    <x v="3"/>
    <x v="38"/>
    <n v="3856199.9999999902"/>
    <n v="65683939.999999903"/>
    <x v="2404"/>
    <x v="2406"/>
    <x v="1"/>
  </r>
  <r>
    <x v="1313"/>
    <n v="64"/>
    <n v="20035310"/>
    <s v="Comedy|Drama|Romance"/>
    <s v="Rosario Dawson"/>
    <x v="2407"/>
    <n v="12324"/>
    <s v="artist|cake|college|new york city|student"/>
    <n v="173"/>
    <x v="0"/>
    <x v="0"/>
    <n v="9000000"/>
    <x v="4"/>
    <x v="18"/>
    <n v="9000000"/>
    <n v="20035310"/>
    <x v="2405"/>
    <x v="2407"/>
    <x v="4"/>
  </r>
  <r>
    <x v="1314"/>
    <n v="150"/>
    <n v="18663911"/>
    <s v="Biography|Drama|Romance"/>
    <s v="Anne Hathaway"/>
    <x v="2408"/>
    <n v="46204"/>
    <s v="country estate|jane austen|lady|love|writing"/>
    <n v="151"/>
    <x v="0"/>
    <x v="2"/>
    <n v="16500000"/>
    <x v="15"/>
    <x v="17"/>
    <n v="21209099.999999899"/>
    <n v="23990591.1993999"/>
    <x v="2406"/>
    <x v="2408"/>
    <x v="2"/>
  </r>
  <r>
    <x v="1315"/>
    <n v="18"/>
    <n v="110720"/>
    <s v="Comedy"/>
    <s v="Marilyn Rising"/>
    <x v="2409"/>
    <n v="524"/>
    <s v="car salesman|filmmaking|pulp fiction|santa claus suit|truck driver"/>
    <n v="22"/>
    <x v="0"/>
    <x v="0"/>
    <n v="1200000"/>
    <x v="12"/>
    <x v="4"/>
    <n v="1200000"/>
    <n v="110720"/>
    <x v="2407"/>
    <x v="2409"/>
    <x v="4"/>
  </r>
  <r>
    <x v="1065"/>
    <n v="111"/>
    <n v="13367101"/>
    <s v="Comedy|Drama|Romance"/>
    <s v="Greg Germann"/>
    <x v="2410"/>
    <n v="19715"/>
    <s v="friend|friendship|marital problem|money problems|nervous breakdown"/>
    <n v="166"/>
    <x v="0"/>
    <x v="0"/>
    <n v="6500000"/>
    <x v="7"/>
    <x v="0"/>
    <n v="6500000"/>
    <n v="13367101"/>
    <x v="2408"/>
    <x v="2410"/>
    <x v="4"/>
  </r>
  <r>
    <x v="857"/>
    <n v="241"/>
    <n v="75274748"/>
    <s v="Comedy|Drama"/>
    <s v="Robert De Niro"/>
    <x v="2411"/>
    <n v="130661"/>
    <s v="reference to ben affleck|reference to brad pitt|reference to george clooney|reference to jack nicholson|website"/>
    <n v="304"/>
    <x v="0"/>
    <x v="0"/>
    <n v="35000000"/>
    <x v="1"/>
    <x v="33"/>
    <n v="35000000"/>
    <n v="75274748"/>
    <x v="2409"/>
    <x v="2411"/>
    <x v="4"/>
  </r>
  <r>
    <x v="427"/>
    <n v="153"/>
    <n v="58328680"/>
    <s v="Drama|Romance|Western"/>
    <s v="Robert Duvall"/>
    <x v="2412"/>
    <n v="54096"/>
    <s v="boss|cattle|cowboy|rancher|violence"/>
    <n v="494"/>
    <x v="0"/>
    <x v="0"/>
    <n v="22000000"/>
    <x v="19"/>
    <x v="2"/>
    <n v="22000000"/>
    <n v="58328680"/>
    <x v="2410"/>
    <x v="2412"/>
    <x v="5"/>
  </r>
  <r>
    <x v="1316"/>
    <n v="123"/>
    <n v="13082288"/>
    <s v="Action|Adventure|Drama|History|Romance|War"/>
    <s v="James Franco"/>
    <x v="2413"/>
    <n v="35565"/>
    <s v="american|france|military|pilot|training"/>
    <n v="247"/>
    <x v="0"/>
    <x v="2"/>
    <n v="60000000"/>
    <x v="7"/>
    <x v="14"/>
    <n v="77124000"/>
    <n v="16815972.9951999"/>
    <x v="2411"/>
    <x v="2413"/>
    <x v="1"/>
  </r>
  <r>
    <x v="1317"/>
    <n v="95"/>
    <n v="20733485"/>
    <s v="Drama"/>
    <s v="John Beasley"/>
    <x v="2414"/>
    <n v="11622"/>
    <s v="church|louisiana|minister|preacher|texas"/>
    <n v="157"/>
    <x v="0"/>
    <x v="0"/>
    <n v="5000000"/>
    <x v="31"/>
    <x v="33"/>
    <n v="5000000"/>
    <n v="20733485"/>
    <x v="2412"/>
    <x v="2414"/>
    <x v="5"/>
  </r>
  <r>
    <x v="1318"/>
    <n v="41"/>
    <n v="44456509"/>
    <s v="Comedy|Drama"/>
    <s v="Eugenio Derbez"/>
    <x v="2415"/>
    <n v="22105"/>
    <s v="father daughter relationship"/>
    <n v="81"/>
    <x v="9"/>
    <x v="13"/>
    <n v="5000000"/>
    <x v="0"/>
    <x v="10"/>
    <n v="271023.45"/>
    <n v="2409751.2888272102"/>
    <x v="2413"/>
    <x v="2415"/>
    <x v="4"/>
  </r>
  <r>
    <x v="1101"/>
    <n v="64"/>
    <n v="16930185"/>
    <s v="Comedy|Romance"/>
    <s v="Matthew Perry"/>
    <x v="2416"/>
    <n v="14315"/>
    <s v="divorce|divorce papers|new york|process server|texas"/>
    <n v="101"/>
    <x v="0"/>
    <x v="5"/>
    <n v="29000000"/>
    <x v="13"/>
    <x v="1"/>
    <n v="31457460"/>
    <n v="18364848.876899999"/>
    <x v="2414"/>
    <x v="2416"/>
    <x v="4"/>
  </r>
  <r>
    <x v="1319"/>
    <n v="85"/>
    <n v="28435406"/>
    <s v="Comedy|Romance"/>
    <s v="Dane Cook"/>
    <x v="2417"/>
    <n v="37681"/>
    <s v="competition|date|employee|laser in eyes|slacker"/>
    <n v="151"/>
    <x v="0"/>
    <x v="0"/>
    <n v="12000000"/>
    <x v="7"/>
    <x v="28"/>
    <n v="12000000"/>
    <n v="28435406"/>
    <x v="2415"/>
    <x v="2417"/>
    <x v="4"/>
  </r>
  <r>
    <x v="1320"/>
    <n v="86"/>
    <n v="1110186"/>
    <s v="Action|Drama|War"/>
    <s v="Min-sik Choi"/>
    <x v="2418"/>
    <n v="31943"/>
    <s v="1950s|archeologist|korea|korean war|soldier"/>
    <n v="224"/>
    <x v="10"/>
    <x v="14"/>
    <n v="12800000"/>
    <x v="2"/>
    <x v="40"/>
    <n v="9265.4976000000006"/>
    <n v="803.627009262"/>
    <x v="2416"/>
    <x v="2418"/>
    <x v="1"/>
  </r>
  <r>
    <x v="9"/>
    <n v="230"/>
    <n v="88504640"/>
    <s v="Crime|Drama|Mystery|Thriller"/>
    <s v="Denzel Washington"/>
    <x v="2419"/>
    <n v="273108"/>
    <s v="bank|detective|negotiation|police|robber"/>
    <n v="646"/>
    <x v="0"/>
    <x v="0"/>
    <n v="45000000"/>
    <x v="7"/>
    <x v="10"/>
    <n v="45000000"/>
    <n v="88504640"/>
    <x v="2417"/>
    <x v="2419"/>
    <x v="3"/>
  </r>
  <r>
    <x v="1321"/>
    <n v="132"/>
    <n v="16938179"/>
    <s v="Crime|Drama|Thriller"/>
    <s v="Vin Diesel"/>
    <x v="2420"/>
    <n v="41313"/>
    <s v="career|casino|judge|stock|stock broker"/>
    <n v="246"/>
    <x v="0"/>
    <x v="0"/>
    <n v="8000000"/>
    <x v="4"/>
    <x v="16"/>
    <n v="8000000"/>
    <n v="16938179"/>
    <x v="2418"/>
    <x v="2420"/>
    <x v="3"/>
  </r>
  <r>
    <x v="1322"/>
    <n v="83"/>
    <n v="54910560"/>
    <s v="Action|Adventure|Crime|Thriller"/>
    <s v="J.K. Simmons"/>
    <x v="2421"/>
    <n v="88225"/>
    <s v="assassin|fbi|ira|jackal|russian"/>
    <n v="227"/>
    <x v="0"/>
    <x v="0"/>
    <n v="60000000"/>
    <x v="31"/>
    <x v="23"/>
    <n v="60000000"/>
    <n v="54910560"/>
    <x v="2419"/>
    <x v="2421"/>
    <x v="1"/>
  </r>
  <r>
    <x v="1323"/>
    <n v="163"/>
    <n v="4046737"/>
    <s v="Comedy|Drama|Romance"/>
    <s v="Jeremy Davies"/>
    <x v="2422"/>
    <n v="67949"/>
    <s v="bdsm|employer employee relationship|hospital|mental hospital|secretary"/>
    <n v="390"/>
    <x v="0"/>
    <x v="0"/>
    <n v="4000000"/>
    <x v="13"/>
    <x v="17"/>
    <n v="4000000"/>
    <n v="4046737"/>
    <x v="2420"/>
    <x v="2422"/>
    <x v="4"/>
  </r>
  <r>
    <x v="1324"/>
    <n v="134"/>
    <n v="382946"/>
    <s v="Drama"/>
    <s v="Joseph Gordon-Levitt"/>
    <x v="2423"/>
    <n v="43965"/>
    <s v="bully|car|car accident|fire|vomiting"/>
    <n v="99"/>
    <x v="0"/>
    <x v="0"/>
    <n v="7000000"/>
    <x v="11"/>
    <x v="17"/>
    <n v="7000000"/>
    <n v="382946"/>
    <x v="2421"/>
    <x v="2423"/>
    <x v="5"/>
  </r>
  <r>
    <x v="1325"/>
    <n v="190"/>
    <n v="46440491"/>
    <s v="Adventure|Animation|Comedy|Family|Fantasy"/>
    <s v="Jim Broadbent"/>
    <x v="2424"/>
    <n v="35446"/>
    <s v="christmas|christmas eve|elf|high tech|resentment"/>
    <n v="78"/>
    <x v="0"/>
    <x v="2"/>
    <n v="100000000"/>
    <x v="22"/>
    <x v="17"/>
    <n v="128539999.999999"/>
    <n v="59694607.131399997"/>
    <x v="2422"/>
    <x v="2424"/>
    <x v="0"/>
  </r>
  <r>
    <x v="158"/>
    <n v="133"/>
    <n v="42438300"/>
    <s v="Biography|Crime|Drama"/>
    <s v="Robert De Niro"/>
    <x v="2425"/>
    <n v="333542"/>
    <s v="car bomb|card cheat|cash|casino|gambling syndicate"/>
    <n v="533"/>
    <x v="0"/>
    <x v="0"/>
    <n v="52000000"/>
    <x v="33"/>
    <x v="60"/>
    <n v="52000000"/>
    <n v="42438300"/>
    <x v="2423"/>
    <x v="2425"/>
    <x v="2"/>
  </r>
  <r>
    <x v="1326"/>
    <n v="232"/>
    <n v="1487477"/>
    <s v="Fantasy|Thriller"/>
    <s v="Konstantin Khabenskiy"/>
    <x v="2426"/>
    <n v="47097"/>
    <s v="battle|bridge|mother son relationship|supernatural power|vampire"/>
    <n v="310"/>
    <x v="29"/>
    <x v="36"/>
    <n v="4200000"/>
    <x v="2"/>
    <x v="20"/>
    <n v="49411.534200000002"/>
    <n v="17499.647775526999"/>
    <x v="2424"/>
    <x v="2426"/>
    <x v="9"/>
  </r>
  <r>
    <x v="486"/>
    <n v="66"/>
    <n v="87100000"/>
    <s v="Biography|Drama|Romance"/>
    <s v="Meryl Streep"/>
    <x v="2427"/>
    <n v="52339"/>
    <s v="africa|hunter|love|marriage|plantation"/>
    <n v="200"/>
    <x v="0"/>
    <x v="0"/>
    <n v="31000000"/>
    <x v="37"/>
    <x v="33"/>
    <n v="31000000"/>
    <n v="87100000"/>
    <x v="2425"/>
    <x v="2427"/>
    <x v="2"/>
  </r>
  <r>
    <x v="1327"/>
    <n v="21"/>
    <n v="882290"/>
    <s v="Action|Sci-Fi|Sport"/>
    <s v="Delroy Lindo"/>
    <x v="2428"/>
    <n v="4792"/>
    <s v="battle|blood splatter|combat|game|showdown"/>
    <n v="43"/>
    <x v="0"/>
    <x v="3"/>
    <n v="10000000"/>
    <x v="26"/>
    <x v="20"/>
    <n v="6538800"/>
    <n v="576911.78520000004"/>
    <x v="2426"/>
    <x v="2428"/>
    <x v="1"/>
  </r>
  <r>
    <x v="1328"/>
    <n v="99"/>
    <n v="13038660"/>
    <s v="Drama"/>
    <s v="Emily Watson"/>
    <x v="2429"/>
    <n v="16995"/>
    <s v="drink|ira|irish|limerick|prejudice"/>
    <n v="163"/>
    <x v="0"/>
    <x v="0"/>
    <n v="25000000"/>
    <x v="12"/>
    <x v="4"/>
    <n v="25000000"/>
    <n v="13038660"/>
    <x v="2427"/>
    <x v="2429"/>
    <x v="5"/>
  </r>
  <r>
    <x v="1329"/>
    <n v="74"/>
    <n v="52277485"/>
    <s v="Biography|Drama|Sport"/>
    <s v="Alfre Woodard"/>
    <x v="2430"/>
    <n v="32370"/>
    <s v="coach|football|football coach|high school|radio"/>
    <n v="196"/>
    <x v="0"/>
    <x v="0"/>
    <n v="35000000"/>
    <x v="19"/>
    <x v="31"/>
    <n v="35000000"/>
    <n v="52277485"/>
    <x v="2428"/>
    <x v="2430"/>
    <x v="2"/>
  </r>
  <r>
    <x v="22"/>
    <n v="246"/>
    <n v="13464388"/>
    <s v="Comedy|Horror"/>
    <s v="Peter Serafinowicz"/>
    <x v="2431"/>
    <n v="395921"/>
    <s v="british horror|pub|record collection|zombie|zombie apocalypse"/>
    <n v="859"/>
    <x v="0"/>
    <x v="2"/>
    <n v="4000000"/>
    <x v="2"/>
    <x v="3"/>
    <n v="5141599.9999999898"/>
    <n v="17307124.3351999"/>
    <x v="2429"/>
    <x v="2431"/>
    <x v="4"/>
  </r>
  <r>
    <x v="1330"/>
    <n v="23"/>
    <n v="4006906"/>
    <s v="Comedy|Crime"/>
    <s v="Donald Faison"/>
    <x v="2432"/>
    <n v="3229"/>
    <s v="hit in the crotch|kidnapping|nail gun|police|release from prison"/>
    <n v="20"/>
    <x v="0"/>
    <x v="0"/>
    <n v="15000000"/>
    <x v="25"/>
    <x v="13"/>
    <n v="15000000"/>
    <n v="4006906"/>
    <x v="2430"/>
    <x v="2432"/>
    <x v="4"/>
  </r>
  <r>
    <x v="1331"/>
    <n v="47"/>
    <n v="795126"/>
    <s v="Comedy|Drama|Sport"/>
    <s v="Campbell Scott"/>
    <x v="2433"/>
    <n v="4976"/>
    <s v="boston marathon|coma|marathon|miracles|running"/>
    <n v="52"/>
    <x v="0"/>
    <x v="9"/>
    <n v="6000000"/>
    <x v="2"/>
    <x v="10"/>
    <n v="4340430"/>
    <n v="575198.12402999995"/>
    <x v="2431"/>
    <x v="2433"/>
    <x v="4"/>
  </r>
  <r>
    <x v="1332"/>
    <n v="103"/>
    <n v="16346122"/>
    <s v="Drama"/>
    <s v="Patrick Fugit"/>
    <x v="2434"/>
    <n v="25549"/>
    <s v="california|foster home|love|oleander|prison"/>
    <n v="171"/>
    <x v="0"/>
    <x v="0"/>
    <n v="16000000"/>
    <x v="13"/>
    <x v="33"/>
    <n v="16000000"/>
    <n v="16346122"/>
    <x v="2432"/>
    <x v="2434"/>
    <x v="5"/>
  </r>
  <r>
    <x v="715"/>
    <n v="226"/>
    <n v="33565375"/>
    <s v="Drama|Mystery|Romance|Thriller"/>
    <s v="Archie Panjabi"/>
    <x v="2435"/>
    <n v="111351"/>
    <s v="death|diplomat|doctor|kenya|murder"/>
    <n v="568"/>
    <x v="0"/>
    <x v="2"/>
    <n v="15000000"/>
    <x v="25"/>
    <x v="2"/>
    <n v="19281000"/>
    <n v="43144933.024999999"/>
    <x v="2433"/>
    <x v="2435"/>
    <x v="5"/>
  </r>
  <r>
    <x v="1333"/>
    <n v="27"/>
    <n v="26906039"/>
    <s v="Action|Comedy"/>
    <s v="Hulk Hogan"/>
    <x v="2436"/>
    <n v="29621"/>
    <s v="1990s|dentist|hit with a door|martial arts|museum"/>
    <n v="76"/>
    <x v="0"/>
    <x v="0"/>
    <n v="18000000"/>
    <x v="10"/>
    <x v="1"/>
    <n v="18000000"/>
    <n v="26906039"/>
    <x v="2434"/>
    <x v="2436"/>
    <x v="1"/>
  </r>
  <r>
    <x v="1334"/>
    <n v="469"/>
    <n v="1702277"/>
    <s v="Drama|Thriller"/>
    <s v="Mia Wasikowska"/>
    <x v="2437"/>
    <n v="84620"/>
    <s v="death|hitchcockian|psychopath|sociopath|vomiting"/>
    <n v="235"/>
    <x v="0"/>
    <x v="2"/>
    <n v="12000000"/>
    <x v="0"/>
    <x v="22"/>
    <n v="15424799.999999899"/>
    <n v="2188106.8558"/>
    <x v="2435"/>
    <x v="2437"/>
    <x v="5"/>
  </r>
  <r>
    <x v="1335"/>
    <n v="38"/>
    <n v="57362581"/>
    <s v="Action|Crime|Drama|Romance|Thriller"/>
    <s v="Sylvester Stallone"/>
    <x v="2438"/>
    <n v="50148"/>
    <s v="bomb|cia|explosive|explosives expert|miami florida"/>
    <n v="116"/>
    <x v="0"/>
    <x v="37"/>
    <n v="45000000"/>
    <x v="5"/>
    <x v="26"/>
    <n v="12029229"/>
    <n v="15333947.175112201"/>
    <x v="2436"/>
    <x v="2438"/>
    <x v="1"/>
  </r>
  <r>
    <x v="62"/>
    <n v="183"/>
    <n v="1304837"/>
    <s v="Drama|Mystery|Thriller"/>
    <s v="Tony Curran"/>
    <x v="2439"/>
    <n v="21481"/>
    <s v="american|driver|journalist|russian|secret"/>
    <n v="175"/>
    <x v="0"/>
    <x v="0"/>
    <n v="32000000"/>
    <x v="7"/>
    <x v="7"/>
    <n v="32000000"/>
    <n v="1304837"/>
    <x v="2437"/>
    <x v="2439"/>
    <x v="5"/>
  </r>
  <r>
    <x v="308"/>
    <n v="162"/>
    <n v="34566746"/>
    <s v="Drama|History|Thriller"/>
    <s v="Bruce Greenwood"/>
    <x v="2440"/>
    <n v="45231"/>
    <s v="blockade|crisis|cuba|missile|president"/>
    <n v="315"/>
    <x v="0"/>
    <x v="0"/>
    <n v="80000000"/>
    <x v="4"/>
    <x v="4"/>
    <n v="80000000"/>
    <n v="34566746"/>
    <x v="2438"/>
    <x v="2440"/>
    <x v="5"/>
  </r>
  <r>
    <x v="346"/>
    <n v="149"/>
    <n v="57300000"/>
    <s v="Crime|Drama"/>
    <s v="Robert De Niro"/>
    <x v="2441"/>
    <n v="790926"/>
    <s v="1950s|corrupt politician|lake tahoe nevada|melancholy|revenge"/>
    <n v="650"/>
    <x v="0"/>
    <x v="0"/>
    <n v="13000000"/>
    <x v="48"/>
    <x v="68"/>
    <n v="13000000"/>
    <n v="57300000"/>
    <x v="2439"/>
    <x v="2441"/>
    <x v="3"/>
  </r>
  <r>
    <x v="1336"/>
    <n v="34"/>
    <n v="9910"/>
    <s v="Comedy|Drama|Music|Romance"/>
    <s v="Michael Nyqvist"/>
    <x v="2442"/>
    <n v="13543"/>
    <s v="amazing grace the hymn|choir|heart attack|hometown|skidding truck"/>
    <n v="94"/>
    <x v="30"/>
    <x v="38"/>
    <n v="25000000"/>
    <x v="2"/>
    <x v="10"/>
    <n v="2308225"/>
    <n v="914.98039000000006"/>
    <x v="2440"/>
    <x v="2442"/>
    <x v="4"/>
  </r>
  <r>
    <x v="9"/>
    <n v="85"/>
    <n v="19283782"/>
    <s v="Crime|Drama|Romance|Thriller"/>
    <s v="Mira Sorvino"/>
    <x v="2443"/>
    <n v="31227"/>
    <s v="distrust|fear|murder|neighborhood|new york city"/>
    <n v="354"/>
    <x v="0"/>
    <x v="0"/>
    <n v="22000000"/>
    <x v="12"/>
    <x v="14"/>
    <n v="22000000"/>
    <n v="19283782"/>
    <x v="2441"/>
    <x v="2443"/>
    <x v="3"/>
  </r>
  <r>
    <x v="1337"/>
    <n v="178"/>
    <n v="3478"/>
    <s v="Fantasy|Horror"/>
    <s v="Stephen McHattie"/>
    <x v="2444"/>
    <n v="22212"/>
    <s v="blood splatter|talk radio|virus|vomiting blood|zombie apocalypse"/>
    <n v="142"/>
    <x v="0"/>
    <x v="9"/>
    <n v="1500000"/>
    <x v="20"/>
    <x v="21"/>
    <n v="1085107.5"/>
    <n v="2516.0025900000001"/>
    <x v="2442"/>
    <x v="2444"/>
    <x v="9"/>
  </r>
  <r>
    <x v="150"/>
    <n v="260"/>
    <n v="7268659"/>
    <s v="Action|Comedy|Crime|Thriller"/>
    <s v="Alexa PenaVega"/>
    <x v="2445"/>
    <n v="59248"/>
    <s v="arms dealer|battle|bomb|machete|missile"/>
    <n v="164"/>
    <x v="0"/>
    <x v="36"/>
    <n v="20000000"/>
    <x v="0"/>
    <x v="15"/>
    <n v="235293.02"/>
    <n v="85513.236373009"/>
    <x v="2443"/>
    <x v="2445"/>
    <x v="1"/>
  </r>
  <r>
    <x v="1338"/>
    <n v="78"/>
    <n v="18843314"/>
    <s v="Action|Drama|Thriller"/>
    <s v="Kelly Carlson"/>
    <x v="2446"/>
    <n v="27486"/>
    <s v="beating|marine|muscleman|tied up|tough guy"/>
    <n v="284"/>
    <x v="0"/>
    <x v="0"/>
    <n v="20000000"/>
    <x v="7"/>
    <x v="27"/>
    <n v="20000000"/>
    <n v="18843314"/>
    <x v="2444"/>
    <x v="2446"/>
    <x v="1"/>
  </r>
  <r>
    <x v="175"/>
    <n v="106"/>
    <n v="67900000"/>
    <s v="Action|Adventure|Thriller"/>
    <s v="Louis Jourdan"/>
    <x v="2447"/>
    <n v="74374"/>
    <s v="agent|egg|faberge egg|general|russian"/>
    <n v="225"/>
    <x v="0"/>
    <x v="2"/>
    <n v="27500000"/>
    <x v="30"/>
    <x v="14"/>
    <n v="35348500"/>
    <n v="87278659.999999896"/>
    <x v="2445"/>
    <x v="2447"/>
    <x v="1"/>
  </r>
  <r>
    <x v="1339"/>
    <n v="576"/>
    <n v="259746958"/>
    <s v="Action|Adventure|Sci-Fi"/>
    <s v="Scarlett Johansson"/>
    <x v="2448"/>
    <n v="496749"/>
    <s v="conspiracy|heroism|megalomaniac|super soldier|world domination"/>
    <n v="742"/>
    <x v="0"/>
    <x v="0"/>
    <n v="170000000"/>
    <x v="27"/>
    <x v="38"/>
    <n v="170000000"/>
    <n v="259746958"/>
    <x v="2446"/>
    <x v="2448"/>
    <x v="1"/>
  </r>
  <r>
    <x v="1340"/>
    <n v="66"/>
    <n v="17580"/>
    <s v="Drama"/>
    <s v="Merritt Wever"/>
    <x v="2449"/>
    <n v="1268"/>
    <s v="cellphone|detective|missing person|private detective|train"/>
    <n v="23"/>
    <x v="0"/>
    <x v="0"/>
    <n v="1500000"/>
    <x v="16"/>
    <x v="5"/>
    <n v="1500000"/>
    <n v="17580"/>
    <x v="2447"/>
    <x v="2449"/>
    <x v="5"/>
  </r>
  <r>
    <x v="362"/>
    <n v="81"/>
    <n v="90800000"/>
    <s v="Action|Drama|Family|Sport"/>
    <s v="Martin Kove"/>
    <x v="420"/>
    <n v="126916"/>
    <s v="apartment|bully|fight|karate|master"/>
    <n v="235"/>
    <x v="0"/>
    <x v="0"/>
    <n v="8000000"/>
    <x v="17"/>
    <x v="33"/>
    <n v="8000000"/>
    <n v="90800000"/>
    <x v="420"/>
    <x v="420"/>
    <x v="1"/>
  </r>
  <r>
    <x v="1341"/>
    <n v="88"/>
    <n v="110536"/>
    <s v="Comedy|Horror|Sci-Fi"/>
    <s v="Fay Masterson"/>
    <x v="2450"/>
    <n v="4117"/>
    <s v="alien|cave|husband wife relationship|monster|skeleton"/>
    <n v="118"/>
    <x v="0"/>
    <x v="0"/>
    <n v="40000"/>
    <x v="9"/>
    <x v="16"/>
    <n v="40000"/>
    <n v="110536"/>
    <x v="2448"/>
    <x v="2450"/>
    <x v="4"/>
  </r>
  <r>
    <x v="1342"/>
    <n v="73"/>
    <n v="66734992"/>
    <s v="Action|Adventure|Comedy|Crime"/>
    <s v="Estella Warren"/>
    <x v="2451"/>
    <n v="23476"/>
    <s v="australia|body paint|kangaroo|mob|money"/>
    <n v="181"/>
    <x v="0"/>
    <x v="0"/>
    <n v="60000000"/>
    <x v="19"/>
    <x v="8"/>
    <n v="60000000"/>
    <n v="66734992"/>
    <x v="2449"/>
    <x v="2451"/>
    <x v="1"/>
  </r>
  <r>
    <x v="418"/>
    <n v="391"/>
    <n v="26236603"/>
    <s v="Drama|Sport"/>
    <s v="Mark Margolis"/>
    <x v="2452"/>
    <n v="251349"/>
    <s v="heart attack|stripper|supermarket|wrestler|wrestling"/>
    <n v="547"/>
    <x v="0"/>
    <x v="0"/>
    <n v="6000000"/>
    <x v="20"/>
    <x v="19"/>
    <n v="6000000"/>
    <n v="26236603"/>
    <x v="2450"/>
    <x v="2452"/>
    <x v="5"/>
  </r>
  <r>
    <x v="771"/>
    <n v="207"/>
    <n v="93452056"/>
    <s v="Adventure|Comedy|Drama"/>
    <s v="Morgan Freeman"/>
    <x v="2453"/>
    <n v="184795"/>
    <s v="billionaire|friend|hospital|list|mechanic"/>
    <n v="310"/>
    <x v="0"/>
    <x v="0"/>
    <n v="45000000"/>
    <x v="15"/>
    <x v="39"/>
    <n v="45000000"/>
    <n v="93452056"/>
    <x v="2451"/>
    <x v="2453"/>
    <x v="0"/>
  </r>
  <r>
    <x v="187"/>
    <n v="147"/>
    <n v="12006514"/>
    <s v="Comedy|Drama|Romance"/>
    <s v="Matt Damon"/>
    <x v="2454"/>
    <n v="114070"/>
    <s v="comic book|friendship|gay|lesbian|secret"/>
    <n v="500"/>
    <x v="0"/>
    <x v="0"/>
    <n v="250000"/>
    <x v="31"/>
    <x v="4"/>
    <n v="250000"/>
    <n v="12006514"/>
    <x v="2452"/>
    <x v="2454"/>
    <x v="4"/>
  </r>
  <r>
    <x v="1343"/>
    <n v="158"/>
    <n v="13005485"/>
    <s v="Drama"/>
    <s v="Frances Fisher"/>
    <x v="2455"/>
    <n v="56665"/>
    <s v="auction|home|house|iranian|marriage"/>
    <n v="469"/>
    <x v="0"/>
    <x v="0"/>
    <n v="15000000"/>
    <x v="19"/>
    <x v="10"/>
    <n v="15000000"/>
    <n v="13005485"/>
    <x v="2453"/>
    <x v="2455"/>
    <x v="5"/>
  </r>
  <r>
    <x v="897"/>
    <n v="521"/>
    <n v="208543795"/>
    <s v="Action|Adventure|Drama|Sci-Fi"/>
    <s v="Gary Oldman"/>
    <x v="2456"/>
    <n v="317542"/>
    <s v="ape|dam|leader|post apocalypse|sequel"/>
    <n v="620"/>
    <x v="0"/>
    <x v="0"/>
    <n v="170000000"/>
    <x v="27"/>
    <x v="10"/>
    <n v="170000000"/>
    <n v="208543795"/>
    <x v="2454"/>
    <x v="2456"/>
    <x v="1"/>
  </r>
  <r>
    <x v="1344"/>
    <n v="90"/>
    <n v="668171"/>
    <s v="Action|Drama|Fantasy"/>
    <s v="Dong-gun Jang"/>
    <x v="2457"/>
    <n v="8215"/>
    <s v="armor|general|king|princess|slave"/>
    <n v="132"/>
    <x v="15"/>
    <x v="6"/>
    <n v="60000000"/>
    <x v="25"/>
    <x v="15"/>
    <n v="8297033.9999999898"/>
    <n v="92397.291746899995"/>
    <x v="2455"/>
    <x v="2457"/>
    <x v="1"/>
  </r>
  <r>
    <x v="730"/>
    <n v="750"/>
    <n v="304360277"/>
    <s v="Action|Adventure|Thriller"/>
    <s v="Albert Finney"/>
    <x v="1022"/>
    <n v="522048"/>
    <s v="brawl|childhood home|computer cracker|intelligence agency|terrorist cell"/>
    <n v="1498"/>
    <x v="0"/>
    <x v="2"/>
    <n v="200000000"/>
    <x v="28"/>
    <x v="38"/>
    <n v="257079999.99999899"/>
    <n v="391224700.05579901"/>
    <x v="1022"/>
    <x v="1022"/>
    <x v="1"/>
  </r>
  <r>
    <x v="460"/>
    <n v="91"/>
    <n v="39251128"/>
    <s v="Drama|History|Romance"/>
    <s v="Bai Ling"/>
    <x v="2458"/>
    <n v="31080"/>
    <s v="1860s|children|king|schoolteacher|siam"/>
    <n v="217"/>
    <x v="0"/>
    <x v="0"/>
    <n v="75000000"/>
    <x v="12"/>
    <x v="21"/>
    <n v="75000000"/>
    <n v="39251128"/>
    <x v="2456"/>
    <x v="2458"/>
    <x v="5"/>
  </r>
  <r>
    <x v="158"/>
    <n v="682"/>
    <n v="73820094"/>
    <s v="Adventure|Drama|Family|Mystery"/>
    <s v="ChloÃ« Grace Moretz"/>
    <x v="2459"/>
    <n v="245333"/>
    <s v="automaton|mechanical|railway station|steampunk|train"/>
    <n v="678"/>
    <x v="0"/>
    <x v="0"/>
    <n v="170000000"/>
    <x v="22"/>
    <x v="2"/>
    <n v="170000000"/>
    <n v="73820094"/>
    <x v="2457"/>
    <x v="2459"/>
    <x v="0"/>
  </r>
  <r>
    <x v="126"/>
    <n v="222"/>
    <n v="89253340"/>
    <s v="Action|Thriller"/>
    <s v="Liam Neeson"/>
    <x v="2460"/>
    <n v="133436"/>
    <s v="betrayal|death|final showdown|murder|on the run"/>
    <n v="323"/>
    <x v="0"/>
    <x v="8"/>
    <n v="48000000"/>
    <x v="27"/>
    <x v="11"/>
    <n v="52067520"/>
    <n v="96816668.031599998"/>
    <x v="2458"/>
    <x v="2460"/>
    <x v="1"/>
  </r>
  <r>
    <x v="699"/>
    <n v="261"/>
    <n v="5776314"/>
    <s v="Comedy|Drama|Romance"/>
    <s v="Goran Visnjic"/>
    <x v="2461"/>
    <n v="73349"/>
    <s v="actress|cancer|death|french|gay relationship"/>
    <n v="142"/>
    <x v="0"/>
    <x v="0"/>
    <n v="3200000"/>
    <x v="11"/>
    <x v="33"/>
    <n v="3200000"/>
    <n v="5776314"/>
    <x v="2459"/>
    <x v="2461"/>
    <x v="4"/>
  </r>
  <r>
    <x v="756"/>
    <n v="231"/>
    <n v="19445217"/>
    <s v="Drama|Fantasy|Romance"/>
    <s v="Alden Ehrenreich"/>
    <x v="2462"/>
    <n v="67796"/>
    <s v="dream|escape|magic|magic spell|small town"/>
    <n v="258"/>
    <x v="0"/>
    <x v="0"/>
    <n v="60000000"/>
    <x v="0"/>
    <x v="5"/>
    <n v="60000000"/>
    <n v="19445217"/>
    <x v="2460"/>
    <x v="2462"/>
    <x v="5"/>
  </r>
  <r>
    <x v="1345"/>
    <n v="78"/>
    <n v="33771174"/>
    <s v="Comedy|Drama|Romance"/>
    <s v="Natalie Portman"/>
    <x v="2463"/>
    <n v="27044"/>
    <s v="birth|oklahoma|photographer|tennessee|wal mart"/>
    <n v="240"/>
    <x v="0"/>
    <x v="0"/>
    <n v="15000000"/>
    <x v="4"/>
    <x v="22"/>
    <n v="15000000"/>
    <n v="33771174"/>
    <x v="2461"/>
    <x v="2463"/>
    <x v="4"/>
  </r>
  <r>
    <x v="1346"/>
    <n v="133"/>
    <n v="14373825"/>
    <s v="Crime|Mystery|Thriller"/>
    <s v="Hayden Christensen"/>
    <x v="2464"/>
    <n v="63216"/>
    <s v="anesthetic|anesthetic awareness|heart|heart surgery|surgery"/>
    <n v="196"/>
    <x v="0"/>
    <x v="0"/>
    <n v="8600000"/>
    <x v="15"/>
    <x v="20"/>
    <n v="8600000"/>
    <n v="14373825"/>
    <x v="2462"/>
    <x v="2464"/>
    <x v="3"/>
  </r>
  <r>
    <x v="22"/>
    <n v="393"/>
    <n v="31494270"/>
    <s v="Action|Comedy|Fantasy|Romance"/>
    <s v="Anna Kendrick"/>
    <x v="2465"/>
    <n v="273921"/>
    <s v="band|dating|high school|hipster|rock band"/>
    <n v="522"/>
    <x v="0"/>
    <x v="0"/>
    <n v="60000000"/>
    <x v="11"/>
    <x v="2"/>
    <n v="60000000"/>
    <n v="31494270"/>
    <x v="2463"/>
    <x v="2465"/>
    <x v="1"/>
  </r>
  <r>
    <x v="19"/>
    <n v="148"/>
    <n v="49185998"/>
    <s v="Drama"/>
    <s v="Jason Patric"/>
    <x v="2466"/>
    <n v="74476"/>
    <s v="hospital|leukemia|oncology|sick child|terminal illness"/>
    <n v="184"/>
    <x v="0"/>
    <x v="0"/>
    <n v="30000000"/>
    <x v="16"/>
    <x v="39"/>
    <n v="30000000"/>
    <n v="49185998"/>
    <x v="2464"/>
    <x v="2466"/>
    <x v="5"/>
  </r>
  <r>
    <x v="157"/>
    <n v="219"/>
    <n v="118823091"/>
    <s v="Comedy|Drama|Family|Music|Musical|Romance"/>
    <s v="Jerry Stiller"/>
    <x v="2467"/>
    <n v="98693"/>
    <s v="audition|best friend|dance|friend|tv dance show"/>
    <n v="401"/>
    <x v="0"/>
    <x v="0"/>
    <n v="75000000"/>
    <x v="15"/>
    <x v="21"/>
    <n v="75000000"/>
    <n v="118823091"/>
    <x v="2465"/>
    <x v="2467"/>
    <x v="4"/>
  </r>
  <r>
    <x v="227"/>
    <n v="74"/>
    <n v="17149"/>
    <s v="Action|Drama|War"/>
    <s v="Richard Coyle"/>
    <x v="2468"/>
    <n v="12128"/>
    <s v="cameraman|epic battle|journalist|south ossetia|street shootout"/>
    <n v="61"/>
    <x v="0"/>
    <x v="39"/>
    <n v="20000000"/>
    <x v="22"/>
    <x v="15"/>
    <n v="7380977.9999999898"/>
    <n v="6328.8195860999904"/>
    <x v="2466"/>
    <x v="2468"/>
    <x v="1"/>
  </r>
  <r>
    <x v="683"/>
    <n v="119"/>
    <n v="11405825"/>
    <s v="Drama"/>
    <s v="Kevin Spacey"/>
    <x v="2469"/>
    <n v="28542"/>
    <s v="employee employer relationship|husband wife relationship|newspaper|ship|wake"/>
    <n v="208"/>
    <x v="0"/>
    <x v="0"/>
    <n v="35000000"/>
    <x v="9"/>
    <x v="22"/>
    <n v="35000000"/>
    <n v="11405825"/>
    <x v="2467"/>
    <x v="2469"/>
    <x v="5"/>
  </r>
  <r>
    <x v="351"/>
    <n v="43"/>
    <n v="36733909"/>
    <s v="Adventure|Biography|Drama|Thriller"/>
    <s v="Illeana Douglas"/>
    <x v="2470"/>
    <n v="38949"/>
    <s v="andes mountains|crash|death|starvation|stranded"/>
    <n v="112"/>
    <x v="0"/>
    <x v="0"/>
    <n v="32000000"/>
    <x v="23"/>
    <x v="17"/>
    <n v="32000000"/>
    <n v="36733909"/>
    <x v="2468"/>
    <x v="2470"/>
    <x v="0"/>
  </r>
  <r>
    <x v="509"/>
    <n v="316"/>
    <n v="81557479"/>
    <s v="Action|Thriller"/>
    <s v="Denzel Washington"/>
    <x v="2471"/>
    <n v="149947"/>
    <s v="freight train|race against time|runaway train|train|train engineer"/>
    <n v="326"/>
    <x v="0"/>
    <x v="0"/>
    <n v="100000000"/>
    <x v="11"/>
    <x v="22"/>
    <n v="100000000"/>
    <n v="81557479"/>
    <x v="2469"/>
    <x v="2471"/>
    <x v="1"/>
  </r>
  <r>
    <x v="1347"/>
    <n v="45"/>
    <n v="4600000"/>
    <s v="Crime|Drama"/>
    <s v="Keanu Reeves"/>
    <x v="2472"/>
    <n v="11763"/>
    <s v="death|friend|high school|murder|police"/>
    <n v="111"/>
    <x v="0"/>
    <x v="0"/>
    <n v="1900000"/>
    <x v="18"/>
    <x v="17"/>
    <n v="1900000"/>
    <n v="4600000"/>
    <x v="2470"/>
    <x v="2472"/>
    <x v="3"/>
  </r>
  <r>
    <x v="460"/>
    <n v="171"/>
    <n v="177575142"/>
    <s v="Comedy|Romance"/>
    <s v="Will Smith"/>
    <x v="2473"/>
    <n v="244840"/>
    <s v="advice|friendship|gossip|newspaper|quitting a job"/>
    <n v="372"/>
    <x v="0"/>
    <x v="0"/>
    <n v="70000000"/>
    <x v="25"/>
    <x v="14"/>
    <n v="70000000"/>
    <n v="177575142"/>
    <x v="2471"/>
    <x v="2473"/>
    <x v="4"/>
  </r>
  <r>
    <x v="837"/>
    <n v="92"/>
    <n v="75597042"/>
    <s v="Drama|Family|Sport"/>
    <s v="Dennis Quaid"/>
    <x v="2474"/>
    <n v="26434"/>
    <s v="baseball|coach|high school|pitching|texas"/>
    <n v="174"/>
    <x v="0"/>
    <x v="0"/>
    <n v="20000000"/>
    <x v="13"/>
    <x v="16"/>
    <n v="20000000"/>
    <n v="75597042"/>
    <x v="2472"/>
    <x v="2474"/>
    <x v="5"/>
  </r>
  <r>
    <x v="1348"/>
    <n v="46"/>
    <n v="1114943"/>
    <s v="Drama|Music"/>
    <s v="Rachel True"/>
    <x v="2475"/>
    <n v="3562"/>
    <s v="dj|ecstasy the drug|rave|raver|warehouse"/>
    <n v="74"/>
    <x v="0"/>
    <x v="0"/>
    <n v="500000"/>
    <x v="4"/>
    <x v="20"/>
    <n v="500000"/>
    <n v="1114943"/>
    <x v="2473"/>
    <x v="2475"/>
    <x v="5"/>
  </r>
  <r>
    <x v="1348"/>
    <n v="43"/>
    <n v="191309"/>
    <s v="Drama|Mystery|Thriller"/>
    <s v="Amir Talai"/>
    <x v="2476"/>
    <n v="2787"/>
    <s v="female protagonist|murder|photographer|robbery|shot to death"/>
    <n v="64"/>
    <x v="0"/>
    <x v="0"/>
    <n v="150000"/>
    <x v="2"/>
    <x v="28"/>
    <n v="150000"/>
    <n v="191309"/>
    <x v="2474"/>
    <x v="2476"/>
    <x v="5"/>
  </r>
  <r>
    <x v="1349"/>
    <n v="46"/>
    <n v="925402"/>
    <s v="Drama|Family"/>
    <s v="Bahare Seddiqi"/>
    <x v="2477"/>
    <n v="27882"/>
    <s v="class|gardening|race|school|shoe"/>
    <n v="130"/>
    <x v="13"/>
    <x v="18"/>
    <n v="180000"/>
    <x v="31"/>
    <x v="59"/>
    <n v="4.2750266400000001"/>
    <n v="21.978434459496"/>
    <x v="2475"/>
    <x v="2477"/>
    <x v="5"/>
  </r>
  <r>
    <x v="1350"/>
    <n v="44"/>
    <n v="10494147"/>
    <s v="Drama|Romance"/>
    <s v="Bruce Greenwood"/>
    <x v="2478"/>
    <n v="7403"/>
    <s v="diner|love|private school|school|small town"/>
    <n v="162"/>
    <x v="0"/>
    <x v="0"/>
    <n v="15000000"/>
    <x v="4"/>
    <x v="37"/>
    <n v="15000000"/>
    <n v="10494147"/>
    <x v="2476"/>
    <x v="2478"/>
    <x v="5"/>
  </r>
  <r>
    <x v="509"/>
    <n v="50"/>
    <n v="18573791"/>
    <s v="Action|Drama|Sport|Thriller"/>
    <s v="Robert De Niro"/>
    <x v="2479"/>
    <n v="38533"/>
    <s v="baseball|fan|obsession|salesman|san francisco giants"/>
    <n v="89"/>
    <x v="0"/>
    <x v="0"/>
    <n v="55000000"/>
    <x v="10"/>
    <x v="30"/>
    <n v="55000000"/>
    <n v="18573791"/>
    <x v="2477"/>
    <x v="2479"/>
    <x v="1"/>
  </r>
  <r>
    <x v="1351"/>
    <n v="82"/>
    <n v="200803"/>
    <s v="Comedy"/>
    <s v="Michael Gross"/>
    <x v="2480"/>
    <n v="7988"/>
    <s v="film in film|man with glasses|reference to steven spielberg|self referential|shopping mall"/>
    <n v="71"/>
    <x v="0"/>
    <x v="0"/>
    <n v="3000000"/>
    <x v="28"/>
    <x v="1"/>
    <n v="3000000"/>
    <n v="200803"/>
    <x v="2478"/>
    <x v="2480"/>
    <x v="4"/>
  </r>
  <r>
    <x v="1352"/>
    <n v="183"/>
    <n v="4190530"/>
    <s v="Drama|War"/>
    <s v="Cem Yilmaz"/>
    <x v="2481"/>
    <n v="53341"/>
    <s v="australian|battle|battle of gallipoli|gallipoli|world war one"/>
    <n v="185"/>
    <x v="0"/>
    <x v="3"/>
    <n v="22500000"/>
    <x v="27"/>
    <x v="17"/>
    <n v="14712300"/>
    <n v="2740103.7563999998"/>
    <x v="2479"/>
    <x v="2481"/>
    <x v="5"/>
  </r>
  <r>
    <x v="1353"/>
    <n v="21"/>
    <n v="375474"/>
    <s v="Drama|History|Sport"/>
    <s v="Gerard Butler"/>
    <x v="2482"/>
    <n v="2613"/>
    <s v="1950s|brazil|soccer|soccer movie|world cup"/>
    <n v="46"/>
    <x v="0"/>
    <x v="0"/>
    <n v="20000000"/>
    <x v="25"/>
    <x v="5"/>
    <n v="20000000"/>
    <n v="375474"/>
    <x v="2480"/>
    <x v="2482"/>
    <x v="5"/>
  </r>
  <r>
    <x v="1036"/>
    <n v="53"/>
    <n v="37600435"/>
    <s v="Action|Adventure|Romance|Thriller"/>
    <s v="Julia Ormond"/>
    <x v="2483"/>
    <n v="55350"/>
    <s v="battle|king|king arthur|knight|marriage"/>
    <n v="180"/>
    <x v="0"/>
    <x v="0"/>
    <n v="55000000"/>
    <x v="33"/>
    <x v="0"/>
    <n v="55000000"/>
    <n v="37600435"/>
    <x v="2481"/>
    <x v="2483"/>
    <x v="1"/>
  </r>
  <r>
    <x v="1354"/>
    <n v="15"/>
    <n v="381225"/>
    <s v="Documentary"/>
    <s v="The Dalai Lama"/>
    <x v="2484"/>
    <n v="131"/>
    <s v=""/>
    <n v="13"/>
    <x v="0"/>
    <x v="0"/>
    <n v="200000"/>
    <x v="2"/>
    <x v="33"/>
    <n v="200000"/>
    <n v="381225"/>
    <x v="2482"/>
    <x v="2484"/>
    <x v="7"/>
  </r>
  <r>
    <x v="493"/>
    <n v="155"/>
    <n v="2708188"/>
    <s v="Comedy|Drama|Romance"/>
    <s v="Tom Burke"/>
    <x v="2485"/>
    <n v="8924"/>
    <s v="age difference|courtesan|mansion|marriage|prostitute"/>
    <n v="43"/>
    <x v="0"/>
    <x v="2"/>
    <n v="23000000"/>
    <x v="16"/>
    <x v="5"/>
    <n v="29564199.999999899"/>
    <n v="3481104.8551999899"/>
    <x v="2483"/>
    <x v="2485"/>
    <x v="4"/>
  </r>
  <r>
    <x v="814"/>
    <n v="106"/>
    <n v="67325559"/>
    <s v="Adventure|Comedy|Drama|Family|Mystery"/>
    <s v="Tim Blake Nelson"/>
    <x v="2486"/>
    <n v="58222"/>
    <s v="bad luck|camp|curse|digging|hole"/>
    <n v="331"/>
    <x v="0"/>
    <x v="0"/>
    <n v="20000000"/>
    <x v="19"/>
    <x v="17"/>
    <n v="20000000"/>
    <n v="67325559"/>
    <x v="2484"/>
    <x v="2486"/>
    <x v="0"/>
  </r>
  <r>
    <x v="607"/>
    <n v="146"/>
    <n v="29077547"/>
    <s v="Drama|Musical|Romance"/>
    <s v="Rosario Dawson"/>
    <x v="2487"/>
    <n v="41685"/>
    <s v="aids|hiv positive|lawyer|new york city|roommate"/>
    <n v="754"/>
    <x v="0"/>
    <x v="0"/>
    <n v="40000000"/>
    <x v="25"/>
    <x v="16"/>
    <n v="40000000"/>
    <n v="29077547"/>
    <x v="2485"/>
    <x v="2487"/>
    <x v="5"/>
  </r>
  <r>
    <x v="227"/>
    <n v="74"/>
    <n v="84049211"/>
    <s v="Action|Adventure|Thriller"/>
    <s v="Sylvester Stallone"/>
    <x v="2488"/>
    <n v="96096"/>
    <s v="money|mountain|rocky mountains|snow|suitcase"/>
    <n v="172"/>
    <x v="0"/>
    <x v="0"/>
    <n v="70000000"/>
    <x v="23"/>
    <x v="24"/>
    <n v="70000000"/>
    <n v="84049211"/>
    <x v="2486"/>
    <x v="2488"/>
    <x v="1"/>
  </r>
  <r>
    <x v="1355"/>
    <n v="328"/>
    <n v="55994557"/>
    <s v="Adventure|Animation|Comedy|Family|Fantasy"/>
    <s v="Anna Kendrick"/>
    <x v="2489"/>
    <n v="72287"/>
    <s v="curse|ghost|outcast|witch|zombie"/>
    <n v="176"/>
    <x v="0"/>
    <x v="0"/>
    <n v="60000000"/>
    <x v="28"/>
    <x v="16"/>
    <n v="60000000"/>
    <n v="55994557"/>
    <x v="2487"/>
    <x v="2489"/>
    <x v="0"/>
  </r>
  <r>
    <x v="635"/>
    <n v="173"/>
    <n v="19389454"/>
    <s v="Comedy|Drama"/>
    <s v="Robert Downey Jr."/>
    <x v="2490"/>
    <n v="54643"/>
    <s v="based on novel|college girl|midlife crisis|pittsburgh pennsylvania|professor"/>
    <n v="335"/>
    <x v="0"/>
    <x v="0"/>
    <n v="55000000"/>
    <x v="4"/>
    <x v="39"/>
    <n v="55000000"/>
    <n v="19389454"/>
    <x v="2488"/>
    <x v="2490"/>
    <x v="4"/>
  </r>
  <r>
    <x v="167"/>
    <n v="131"/>
    <n v="101157447"/>
    <s v="Drama|Western"/>
    <s v="Clint Eastwood"/>
    <x v="2491"/>
    <n v="277505"/>
    <s v="englishman|leaving flowers on a grave|one last job|reputation|visiting wife's grave"/>
    <n v="495"/>
    <x v="0"/>
    <x v="0"/>
    <n v="14400000"/>
    <x v="8"/>
    <x v="36"/>
    <n v="14400000"/>
    <n v="101157447"/>
    <x v="2489"/>
    <x v="2491"/>
    <x v="5"/>
  </r>
  <r>
    <x v="1356"/>
    <n v="32"/>
    <n v="109306210"/>
    <s v="Action|Adventure|Comedy"/>
    <s v="Paul Hogan"/>
    <x v="2492"/>
    <n v="44096"/>
    <s v="australia|australian|crime boss|crocodile|gangster"/>
    <n v="62"/>
    <x v="0"/>
    <x v="3"/>
    <n v="15800000"/>
    <x v="34"/>
    <x v="28"/>
    <n v="10331304"/>
    <n v="71473144.594799995"/>
    <x v="2490"/>
    <x v="2492"/>
    <x v="1"/>
  </r>
  <r>
    <x v="310"/>
    <n v="258"/>
    <n v="31146570"/>
    <s v="Drama|Thriller"/>
    <s v="Tom Wilkinson"/>
    <x v="2493"/>
    <n v="55441"/>
    <s v="east berlin|kiev ukraine|mossad|nazi|nazi war criminal"/>
    <n v="165"/>
    <x v="0"/>
    <x v="0"/>
    <n v="20000000"/>
    <x v="11"/>
    <x v="31"/>
    <n v="20000000"/>
    <n v="31146570"/>
    <x v="2491"/>
    <x v="2493"/>
    <x v="5"/>
  </r>
  <r>
    <x v="1357"/>
    <n v="61"/>
    <n v="2326407"/>
    <s v="Drama"/>
    <s v="Bob Hoskins"/>
    <x v="2494"/>
    <n v="5016"/>
    <s v="ashes|butcher|friend|friendship|memory"/>
    <n v="99"/>
    <x v="0"/>
    <x v="2"/>
    <n v="12000000"/>
    <x v="9"/>
    <x v="16"/>
    <n v="15424799.999999899"/>
    <n v="2990363.5577999898"/>
    <x v="2492"/>
    <x v="2494"/>
    <x v="5"/>
  </r>
  <r>
    <x v="378"/>
    <n v="169"/>
    <n v="26814957"/>
    <s v="Biography|Drama|History|Romance"/>
    <s v="Natalie Portman"/>
    <x v="2495"/>
    <n v="84357"/>
    <s v="children|court|king|king henry viii|love"/>
    <n v="252"/>
    <x v="0"/>
    <x v="2"/>
    <n v="35000000"/>
    <x v="20"/>
    <x v="21"/>
    <n v="44988999.999999903"/>
    <n v="34467945.727799997"/>
    <x v="2493"/>
    <x v="2495"/>
    <x v="2"/>
  </r>
  <r>
    <x v="1025"/>
    <n v="76"/>
    <n v="71038190"/>
    <s v="Action|Comedy|Crime"/>
    <s v="D.B. Woodside"/>
    <x v="2496"/>
    <n v="23473"/>
    <s v="character name in title|no opening credits|sequel|wilhelm scream"/>
    <n v="123"/>
    <x v="0"/>
    <x v="0"/>
    <n v="30000000"/>
    <x v="1"/>
    <x v="8"/>
    <n v="30000000"/>
    <n v="71038190"/>
    <x v="2494"/>
    <x v="2496"/>
    <x v="1"/>
  </r>
  <r>
    <x v="428"/>
    <n v="55"/>
    <n v="22770864"/>
    <s v="Comedy|Drama"/>
    <s v="Jim Belushi"/>
    <x v="2497"/>
    <n v="8433"/>
    <s v="bully|co worker|divorce|fight|karate"/>
    <n v="85"/>
    <x v="0"/>
    <x v="0"/>
    <n v="38000000"/>
    <x v="9"/>
    <x v="28"/>
    <n v="38000000"/>
    <n v="22770864"/>
    <x v="2495"/>
    <x v="2497"/>
    <x v="4"/>
  </r>
  <r>
    <x v="391"/>
    <n v="210"/>
    <n v="92930005"/>
    <s v="Crime|Drama|Thriller"/>
    <s v="Philip Seymour Hoffman"/>
    <x v="2498"/>
    <n v="204063"/>
    <s v="criminal profile|fbi agent|madman|tabloid reporter|tragic villain"/>
    <n v="764"/>
    <x v="0"/>
    <x v="5"/>
    <n v="78000000"/>
    <x v="13"/>
    <x v="33"/>
    <n v="84609720"/>
    <n v="100804893.62369999"/>
    <x v="2496"/>
    <x v="2498"/>
    <x v="3"/>
  </r>
  <r>
    <x v="734"/>
    <n v="69"/>
    <n v="40118420"/>
    <s v="Drama|Romance|Sport"/>
    <s v="Faizon Love"/>
    <x v="2499"/>
    <n v="26066"/>
    <s v="bikini|female surfer|sister sister relationship|surfing contest|swimsuit"/>
    <n v="216"/>
    <x v="0"/>
    <x v="0"/>
    <n v="30000000"/>
    <x v="13"/>
    <x v="15"/>
    <n v="30000000"/>
    <n v="40118420"/>
    <x v="2497"/>
    <x v="2499"/>
    <x v="5"/>
  </r>
  <r>
    <x v="528"/>
    <n v="231"/>
    <n v="9203192"/>
    <s v="Comedy|Crime|Drama"/>
    <s v="Matthew McConaughey"/>
    <x v="2500"/>
    <n v="45396"/>
    <s v="funeral|stockbroker|texas|vacation|widow"/>
    <n v="136"/>
    <x v="0"/>
    <x v="0"/>
    <n v="5000000"/>
    <x v="22"/>
    <x v="22"/>
    <n v="5000000"/>
    <n v="9203192"/>
    <x v="2498"/>
    <x v="2500"/>
    <x v="4"/>
  </r>
  <r>
    <x v="221"/>
    <n v="24"/>
    <n v="19184015"/>
    <s v="Biography|Comedy|Documentary"/>
    <s v="Nancy O'Dell"/>
    <x v="2501"/>
    <n v="1466"/>
    <s v="actor name in title|colon in title|four word title|live performance|satire"/>
    <n v="35"/>
    <x v="0"/>
    <x v="0"/>
    <n v="3000000"/>
    <x v="13"/>
    <x v="26"/>
    <n v="3000000"/>
    <n v="19184015"/>
    <x v="2499"/>
    <x v="2501"/>
    <x v="2"/>
  </r>
  <r>
    <x v="10"/>
    <n v="568"/>
    <n v="228430993"/>
    <s v="Adventure|Drama|Sci-Fi"/>
    <s v="Matt Damon"/>
    <x v="2502"/>
    <n v="472488"/>
    <s v="astronaut|international cooperation|left for dead|nasa|space habitat"/>
    <n v="1023"/>
    <x v="0"/>
    <x v="0"/>
    <n v="108000000"/>
    <x v="1"/>
    <x v="40"/>
    <n v="108000000"/>
    <n v="228430993"/>
    <x v="2500"/>
    <x v="2502"/>
    <x v="0"/>
  </r>
  <r>
    <x v="1358"/>
    <n v="46"/>
    <n v="4356743"/>
    <s v="Comedy|Family|Romance"/>
    <s v="Jerry Stiller"/>
    <x v="2503"/>
    <n v="3662"/>
    <s v="based on short film|chicago illinois|el train|love|train"/>
    <n v="79"/>
    <x v="0"/>
    <x v="0"/>
    <n v="16000000"/>
    <x v="9"/>
    <x v="13"/>
    <n v="16000000"/>
    <n v="4356743"/>
    <x v="2501"/>
    <x v="2503"/>
    <x v="4"/>
  </r>
  <r>
    <x v="1359"/>
    <n v="58"/>
    <n v="39659"/>
    <s v="Comedy|Horror|Musical"/>
    <s v="Sarah Murphy-Dyson"/>
    <x v="2504"/>
    <n v="1555"/>
    <s v="ballet|cult film|dance|dracula|gothic"/>
    <n v="32"/>
    <x v="0"/>
    <x v="9"/>
    <n v="1600000"/>
    <x v="13"/>
    <x v="16"/>
    <n v="1157448"/>
    <n v="28689.518894999899"/>
    <x v="2502"/>
    <x v="2504"/>
    <x v="4"/>
  </r>
  <r>
    <x v="1360"/>
    <n v="161"/>
    <n v="13103828"/>
    <s v="Crime|Drama|Thriller"/>
    <s v="Matthew McConaughey"/>
    <x v="2505"/>
    <n v="59982"/>
    <s v="demon|fbi|fbi agent|murder|religious fanatic"/>
    <n v="463"/>
    <x v="0"/>
    <x v="0"/>
    <n v="11000000"/>
    <x v="9"/>
    <x v="4"/>
    <n v="11000000"/>
    <n v="13103828"/>
    <x v="2503"/>
    <x v="2505"/>
    <x v="3"/>
  </r>
  <r>
    <x v="194"/>
    <n v="448"/>
    <n v="241063875"/>
    <s v="Action|Adventure|Fantasy"/>
    <s v="Johnny Depp"/>
    <x v="2506"/>
    <n v="370704"/>
    <s v="blackbeard|captain|pirate|revenge|soldier"/>
    <n v="484"/>
    <x v="0"/>
    <x v="0"/>
    <n v="250000000"/>
    <x v="22"/>
    <x v="21"/>
    <n v="250000000"/>
    <n v="241063875"/>
    <x v="2504"/>
    <x v="2506"/>
    <x v="1"/>
  </r>
  <r>
    <x v="952"/>
    <n v="318"/>
    <n v="83574831"/>
    <s v="Fantasy|Horror|Thriller"/>
    <s v="Lin Shaye"/>
    <x v="2507"/>
    <n v="109214"/>
    <s v="barricading a door|injection in leg|police detective|supernatural|taser"/>
    <n v="269"/>
    <x v="0"/>
    <x v="0"/>
    <n v="5000000"/>
    <x v="0"/>
    <x v="14"/>
    <n v="5000000"/>
    <n v="83574831"/>
    <x v="2505"/>
    <x v="2507"/>
    <x v="9"/>
  </r>
  <r>
    <x v="366"/>
    <n v="69"/>
    <n v="9714482"/>
    <s v="Comedy|Musical|Romance"/>
    <s v="Natasha Lyonne"/>
    <x v="2508"/>
    <n v="30083"/>
    <s v="engagement|grandfather|liberal|maid|song"/>
    <n v="140"/>
    <x v="0"/>
    <x v="0"/>
    <n v="20000000"/>
    <x v="10"/>
    <x v="22"/>
    <n v="20000000"/>
    <n v="9714482"/>
    <x v="2506"/>
    <x v="2508"/>
    <x v="4"/>
  </r>
  <r>
    <x v="1361"/>
    <n v="71"/>
    <n v="35811509"/>
    <s v="Biography|Drama|Music|Romance"/>
    <s v="Noah Taylor"/>
    <x v="2509"/>
    <n v="43013"/>
    <s v="abuse|australia|concert|pianist|piano"/>
    <n v="104"/>
    <x v="0"/>
    <x v="3"/>
    <n v="5500000"/>
    <x v="10"/>
    <x v="9"/>
    <n v="3596340"/>
    <n v="23416429.504919998"/>
    <x v="2507"/>
    <x v="2509"/>
    <x v="2"/>
  </r>
  <r>
    <x v="632"/>
    <n v="502"/>
    <n v="424645577"/>
    <s v="Adventure|Sci-Fi|Thriller"/>
    <s v="Jennifer Lawrence"/>
    <x v="2510"/>
    <n v="498397"/>
    <s v="president|snow|television|tour|uprising"/>
    <n v="706"/>
    <x v="0"/>
    <x v="0"/>
    <n v="130000000"/>
    <x v="0"/>
    <x v="10"/>
    <n v="130000000"/>
    <n v="424645577"/>
    <x v="2508"/>
    <x v="2510"/>
    <x v="0"/>
  </r>
  <r>
    <x v="1362"/>
    <n v="112"/>
    <n v="74888996"/>
    <s v="Action|Adventure|Sci-Fi|Thriller"/>
    <s v="Leonard Nimoy"/>
    <x v="2511"/>
    <n v="55513"/>
    <s v="captain|explosion|klingon|moon|peace"/>
    <n v="188"/>
    <x v="0"/>
    <x v="0"/>
    <n v="30000000"/>
    <x v="38"/>
    <x v="33"/>
    <n v="30000000"/>
    <n v="74888996"/>
    <x v="2509"/>
    <x v="2511"/>
    <x v="1"/>
  </r>
  <r>
    <x v="1363"/>
    <n v="67"/>
    <n v="5000000"/>
    <s v="Adventure|Horror|Sci-Fi"/>
    <s v="Kenneth Tobey"/>
    <x v="2512"/>
    <n v="4812"/>
    <s v="arctic|beast|dinosaur|monster|rhedosaurus"/>
    <n v="88"/>
    <x v="0"/>
    <x v="0"/>
    <n v="210000"/>
    <x v="63"/>
    <x v="21"/>
    <n v="210000"/>
    <n v="5000000"/>
    <x v="2510"/>
    <x v="2512"/>
    <x v="0"/>
  </r>
  <r>
    <x v="1256"/>
    <n v="72"/>
    <n v="10719367"/>
    <s v="Drama|Music|Mystery|Romance|Thriller"/>
    <s v="Charlie Hunnam"/>
    <x v="2513"/>
    <n v="7909"/>
    <s v="college|detective|disappearance|police detective|thesis"/>
    <n v="157"/>
    <x v="0"/>
    <x v="0"/>
    <n v="25000000"/>
    <x v="13"/>
    <x v="18"/>
    <n v="25000000"/>
    <n v="10719367"/>
    <x v="2511"/>
    <x v="2513"/>
    <x v="5"/>
  </r>
  <r>
    <x v="891"/>
    <n v="401"/>
    <n v="8093318"/>
    <s v="Comedy|Crime|Drama|Mystery|Romance"/>
    <s v="Martin Dew"/>
    <x v="2514"/>
    <n v="61935"/>
    <s v="1960s|based on novel|ex boyfriend ex girlfriend relationship|southern california|voice over narration"/>
    <n v="242"/>
    <x v="0"/>
    <x v="0"/>
    <n v="20000000"/>
    <x v="27"/>
    <x v="21"/>
    <n v="20000000"/>
    <n v="8093318"/>
    <x v="2512"/>
    <x v="2514"/>
    <x v="4"/>
  </r>
  <r>
    <x v="607"/>
    <n v="232"/>
    <n v="261970615"/>
    <s v="Adventure|Family|Fantasy|Mystery"/>
    <s v="Daniel Radcliffe"/>
    <x v="2515"/>
    <n v="387616"/>
    <s v="bildungsroman|flying broom|invisibility cloak|monster|wizardry"/>
    <n v="858"/>
    <x v="0"/>
    <x v="2"/>
    <n v="100000000"/>
    <x v="13"/>
    <x v="39"/>
    <n v="128539999.999999"/>
    <n v="336737028.52099901"/>
    <x v="2513"/>
    <x v="2515"/>
    <x v="0"/>
  </r>
  <r>
    <x v="1364"/>
    <n v="202"/>
    <n v="66462600"/>
    <s v="Action|Adventure|Fantasy|Sci-Fi"/>
    <s v="Jason Flemyng"/>
    <x v="2516"/>
    <n v="141533"/>
    <s v="box office flop|captain nemo|dorian gray|invisible man|steampunk"/>
    <n v="786"/>
    <x v="0"/>
    <x v="0"/>
    <n v="78000000"/>
    <x v="19"/>
    <x v="30"/>
    <n v="78000000"/>
    <n v="66462600"/>
    <x v="2514"/>
    <x v="2516"/>
    <x v="1"/>
  </r>
  <r>
    <x v="77"/>
    <n v="121"/>
    <n v="31899000"/>
    <s v="Mystery|Romance|Thriller"/>
    <s v="Angie Dickinson"/>
    <x v="2517"/>
    <n v="23986"/>
    <s v="apartment|elevator|murder|psychiatrist|sunglasses"/>
    <n v="201"/>
    <x v="0"/>
    <x v="0"/>
    <n v="6500000"/>
    <x v="52"/>
    <x v="17"/>
    <n v="6500000"/>
    <n v="31899000"/>
    <x v="2515"/>
    <x v="2517"/>
    <x v="10"/>
  </r>
  <r>
    <x v="1"/>
    <n v="163"/>
    <n v="28772222"/>
    <s v="Action|Crime|Sport|Thriller"/>
    <s v="Ray Winstone"/>
    <x v="1"/>
    <n v="33953"/>
    <s v="athlete|extreme sports|fbi|fbi agent|heist"/>
    <n v="163"/>
    <x v="0"/>
    <x v="0"/>
    <n v="105000000"/>
    <x v="1"/>
    <x v="1"/>
    <n v="105000000"/>
    <n v="28772222"/>
    <x v="1"/>
    <x v="1"/>
    <x v="1"/>
  </r>
  <r>
    <x v="1365"/>
    <n v="47"/>
    <n v="15911333"/>
    <s v="Adventure|Comedy|Drama|Family|Fantasy"/>
    <s v="Mara Wilson"/>
    <x v="2518"/>
    <n v="2855"/>
    <s v="locomotive|magic|mountain|railroad|steam locomotive"/>
    <n v="119"/>
    <x v="0"/>
    <x v="2"/>
    <n v="19000000"/>
    <x v="4"/>
    <x v="12"/>
    <n v="24422599.999999899"/>
    <n v="20452427.4381999"/>
    <x v="2516"/>
    <x v="2518"/>
    <x v="0"/>
  </r>
  <r>
    <x v="679"/>
    <n v="303"/>
    <n v="42615685"/>
    <s v="Comedy|Western"/>
    <s v="Liam Neeson"/>
    <x v="2519"/>
    <n v="136093"/>
    <s v="dancing sheep|fetish|musical scene|racial humor|snake poison"/>
    <n v="416"/>
    <x v="0"/>
    <x v="0"/>
    <n v="40000000"/>
    <x v="27"/>
    <x v="7"/>
    <n v="40000000"/>
    <n v="42615685"/>
    <x v="2517"/>
    <x v="2519"/>
    <x v="4"/>
  </r>
  <r>
    <x v="347"/>
    <n v="31"/>
    <n v="64359"/>
    <s v="Comedy|Romance"/>
    <s v="Rachel Griffiths"/>
    <x v="2520"/>
    <n v="811"/>
    <s v="australian|female armpit hair|friend|sheffield|yorkshire"/>
    <n v="26"/>
    <x v="0"/>
    <x v="2"/>
    <n v="2500000"/>
    <x v="6"/>
    <x v="0"/>
    <n v="3213499.9999999902"/>
    <n v="82727.058599999902"/>
    <x v="2518"/>
    <x v="2520"/>
    <x v="4"/>
  </r>
  <r>
    <x v="895"/>
    <n v="17"/>
    <n v="5899797"/>
    <s v="Biography|Drama|History"/>
    <s v="Denzel Washington"/>
    <x v="2521"/>
    <n v="9913"/>
    <s v="activist|editor|journalist|newspaper|south africa"/>
    <n v="51"/>
    <x v="0"/>
    <x v="2"/>
    <n v="29000000"/>
    <x v="21"/>
    <x v="2"/>
    <n v="37276600"/>
    <n v="7583599.0637999997"/>
    <x v="2519"/>
    <x v="2521"/>
    <x v="2"/>
  </r>
  <r>
    <x v="1366"/>
    <n v="25"/>
    <n v="2428241"/>
    <s v="Drama"/>
    <s v="Michael Joiner"/>
    <x v="2522"/>
    <n v="2099"/>
    <s v="christian film|forgiveness|hospital|pastor|police"/>
    <n v="26"/>
    <x v="0"/>
    <x v="0"/>
    <n v="200000"/>
    <x v="11"/>
    <x v="24"/>
    <n v="200000"/>
    <n v="2428241"/>
    <x v="2520"/>
    <x v="2522"/>
    <x v="5"/>
  </r>
  <r>
    <x v="1367"/>
    <n v="25"/>
    <n v="8000000"/>
    <s v="Action|Adventure|Western"/>
    <s v="Jason Robards"/>
    <x v="2523"/>
    <n v="1400"/>
    <s v="ambush|hero|masked hero|outlaw|texas ranger"/>
    <n v="41"/>
    <x v="0"/>
    <x v="0"/>
    <n v="18000000"/>
    <x v="43"/>
    <x v="53"/>
    <n v="18000000"/>
    <n v="8000000"/>
    <x v="2521"/>
    <x v="2523"/>
    <x v="1"/>
  </r>
  <r>
    <x v="50"/>
    <n v="127"/>
    <n v="71277420"/>
    <s v="Comedy"/>
    <s v="Natasha Lyonne"/>
    <x v="2524"/>
    <n v="119590"/>
    <s v="blow job|demon|exorcism|priest|professor"/>
    <n v="548"/>
    <x v="0"/>
    <x v="0"/>
    <n v="45000000"/>
    <x v="9"/>
    <x v="44"/>
    <n v="45000000"/>
    <n v="71277420"/>
    <x v="2522"/>
    <x v="2524"/>
    <x v="4"/>
  </r>
  <r>
    <x v="532"/>
    <n v="225"/>
    <n v="144795350"/>
    <s v="Action|Mystery|Sci-Fi|Thriller"/>
    <s v="Will Smith"/>
    <x v="2525"/>
    <n v="387632"/>
    <s v="humanoid robot|man versus machine|prosthetic limb|robot as pathos|robot vs. robot"/>
    <n v="789"/>
    <x v="0"/>
    <x v="0"/>
    <n v="120000000"/>
    <x v="2"/>
    <x v="17"/>
    <n v="120000000"/>
    <n v="144795350"/>
    <x v="2523"/>
    <x v="2525"/>
    <x v="1"/>
  </r>
  <r>
    <x v="1262"/>
    <n v="90"/>
    <n v="17848322"/>
    <s v="Comedy|Romance"/>
    <s v="Frances Fisher"/>
    <x v="2526"/>
    <n v="18771"/>
    <s v="date|divorce|divorce lawyer|drinking|lawyer"/>
    <n v="102"/>
    <x v="0"/>
    <x v="7"/>
    <n v="28000000"/>
    <x v="2"/>
    <x v="0"/>
    <n v="30372720"/>
    <n v="19360788.806279998"/>
    <x v="2524"/>
    <x v="2526"/>
    <x v="4"/>
  </r>
  <r>
    <x v="627"/>
    <n v="60"/>
    <n v="8108247"/>
    <s v="Drama|Romance"/>
    <s v="Armando Riesco"/>
    <x v="2527"/>
    <n v="9607"/>
    <s v="inter cultural|latino|restaurant|soccer|train"/>
    <n v="174"/>
    <x v="0"/>
    <x v="0"/>
    <n v="3300000"/>
    <x v="7"/>
    <x v="39"/>
    <n v="3300000"/>
    <n v="8108247"/>
    <x v="2525"/>
    <x v="2527"/>
    <x v="5"/>
  </r>
  <r>
    <x v="812"/>
    <n v="88"/>
    <n v="22168359"/>
    <s v="Fantasy|Horror|Romance|Thriller"/>
    <s v="Lisa Wilcox"/>
    <x v="2528"/>
    <n v="29659"/>
    <s v="child|comic book|dream|murderer|nightmare"/>
    <n v="227"/>
    <x v="0"/>
    <x v="0"/>
    <n v="8000000"/>
    <x v="26"/>
    <x v="37"/>
    <n v="8000000"/>
    <n v="22168359"/>
    <x v="2526"/>
    <x v="2528"/>
    <x v="9"/>
  </r>
  <r>
    <x v="882"/>
    <n v="188"/>
    <n v="55673333"/>
    <s v="Action|Adventure|Animation|Family|Fantasy"/>
    <s v="Abbie Cornish"/>
    <x v="2529"/>
    <n v="65785"/>
    <s v="barn owl|escape|owl|ruler|soldier"/>
    <n v="160"/>
    <x v="0"/>
    <x v="0"/>
    <n v="80000000"/>
    <x v="11"/>
    <x v="16"/>
    <n v="80000000"/>
    <n v="55673333"/>
    <x v="2527"/>
    <x v="2529"/>
    <x v="1"/>
  </r>
  <r>
    <x v="1368"/>
    <n v="56"/>
    <n v="52961"/>
    <s v="Drama"/>
    <s v="Ian Tracey"/>
    <x v="2530"/>
    <n v="2103"/>
    <s v=""/>
    <n v="11"/>
    <x v="0"/>
    <x v="12"/>
    <n v="8000000"/>
    <x v="27"/>
    <x v="1"/>
    <n v="8677920"/>
    <n v="57448.915139999997"/>
    <x v="2528"/>
    <x v="2530"/>
    <x v="5"/>
  </r>
  <r>
    <x v="1369"/>
    <n v="93"/>
    <n v="14252830"/>
    <s v="Comedy|Music"/>
    <s v="Rosario Dawson"/>
    <x v="2531"/>
    <n v="18900"/>
    <s v="based on tv series|fictional band|girl band|music industry|pop band"/>
    <n v="242"/>
    <x v="0"/>
    <x v="9"/>
    <n v="22000000"/>
    <x v="9"/>
    <x v="1"/>
    <n v="15914910"/>
    <n v="10310568.48615"/>
    <x v="2529"/>
    <x v="2531"/>
    <x v="4"/>
  </r>
  <r>
    <x v="445"/>
    <n v="103"/>
    <n v="52691009"/>
    <s v="Comedy|Family"/>
    <s v="Zachary Gordon"/>
    <x v="2532"/>
    <n v="18727"/>
    <s v="brother|middle school|no opening credits|photograph|school"/>
    <n v="45"/>
    <x v="0"/>
    <x v="0"/>
    <n v="21000000"/>
    <x v="22"/>
    <x v="14"/>
    <n v="21000000"/>
    <n v="52691009"/>
    <x v="2530"/>
    <x v="2532"/>
    <x v="4"/>
  </r>
  <r>
    <x v="329"/>
    <n v="193"/>
    <n v="39692139"/>
    <s v="Comedy|Crime|Thriller"/>
    <s v="J.K. Simmons"/>
    <x v="2533"/>
    <n v="84131"/>
    <s v="casino|irony of fate|landlady|professor|remake"/>
    <n v="400"/>
    <x v="0"/>
    <x v="0"/>
    <n v="35000000"/>
    <x v="2"/>
    <x v="5"/>
    <n v="35000000"/>
    <n v="39692139"/>
    <x v="2531"/>
    <x v="2533"/>
    <x v="4"/>
  </r>
  <r>
    <x v="76"/>
    <n v="129"/>
    <n v="40270895"/>
    <s v="Drama"/>
    <s v="Dianne Wiest"/>
    <x v="2534"/>
    <n v="121937"/>
    <s v="child custody|custody battle|disability|mentally impaired man|single father"/>
    <n v="431"/>
    <x v="0"/>
    <x v="0"/>
    <n v="22000000"/>
    <x v="9"/>
    <x v="10"/>
    <n v="22000000"/>
    <n v="40270895"/>
    <x v="2532"/>
    <x v="2534"/>
    <x v="5"/>
  </r>
  <r>
    <x v="1370"/>
    <n v="84"/>
    <n v="53715611"/>
    <s v="Action|Adventure|Thriller|War"/>
    <s v="Sylvester Stallone"/>
    <x v="2535"/>
    <n v="92106"/>
    <s v="afghanistan|colonel|rambo|rescue|soviet"/>
    <n v="171"/>
    <x v="0"/>
    <x v="0"/>
    <n v="63000000"/>
    <x v="34"/>
    <x v="35"/>
    <n v="63000000"/>
    <n v="53715611"/>
    <x v="2533"/>
    <x v="2535"/>
    <x v="1"/>
  </r>
  <r>
    <x v="136"/>
    <n v="213"/>
    <n v="1260917"/>
    <s v="Action|Comedy|Crime"/>
    <s v="Omar Sy"/>
    <x v="2536"/>
    <n v="24657"/>
    <s v="bullet|contortionist|gag humor|human cannonball|revenge"/>
    <n v="71"/>
    <x v="4"/>
    <x v="8"/>
    <n v="27000000"/>
    <x v="16"/>
    <x v="33"/>
    <n v="29287980"/>
    <n v="1367767.1065799999"/>
    <x v="2534"/>
    <x v="2536"/>
    <x v="1"/>
  </r>
  <r>
    <x v="1371"/>
    <n v="138"/>
    <n v="1796024"/>
    <s v="Drama|Thriller"/>
    <s v="Robert De Niro"/>
    <x v="2537"/>
    <n v="34985"/>
    <s v="arsonist|blood splatter on face|deception|parole|parole officer"/>
    <n v="135"/>
    <x v="0"/>
    <x v="0"/>
    <n v="22000000"/>
    <x v="11"/>
    <x v="26"/>
    <n v="22000000"/>
    <n v="1796024"/>
    <x v="2535"/>
    <x v="2537"/>
    <x v="5"/>
  </r>
  <r>
    <x v="1372"/>
    <n v="214"/>
    <n v="42478175"/>
    <s v="Drama|Fantasy|Romance"/>
    <s v="Harrison Ford"/>
    <x v="2538"/>
    <n v="93767"/>
    <s v="hit by a pickup truck|immortality|paramedic|resuscitation|san francisco california"/>
    <n v="209"/>
    <x v="0"/>
    <x v="0"/>
    <n v="25000000"/>
    <x v="1"/>
    <x v="33"/>
    <n v="25000000"/>
    <n v="42478175"/>
    <x v="2536"/>
    <x v="2538"/>
    <x v="5"/>
  </r>
  <r>
    <x v="869"/>
    <n v="61"/>
    <n v="18318000"/>
    <s v="Adventure|Comedy|Drama|Family|Fantasy"/>
    <s v="Adam Goldberg"/>
    <x v="2539"/>
    <n v="24868"/>
    <s v="animal|farm|farmer|hotel|pig"/>
    <n v="216"/>
    <x v="0"/>
    <x v="3"/>
    <n v="80000000"/>
    <x v="6"/>
    <x v="30"/>
    <n v="52310400"/>
    <n v="11977773.84"/>
    <x v="2537"/>
    <x v="2539"/>
    <x v="0"/>
  </r>
  <r>
    <x v="852"/>
    <n v="131"/>
    <n v="72279690"/>
    <s v="Drama|Family"/>
    <s v="Morgan Freeman"/>
    <x v="2540"/>
    <n v="17948"/>
    <s v="boy|dolphin|prosthetics|tail|trap"/>
    <n v="86"/>
    <x v="0"/>
    <x v="0"/>
    <n v="37000000"/>
    <x v="22"/>
    <x v="31"/>
    <n v="37000000"/>
    <n v="72279690"/>
    <x v="2538"/>
    <x v="2540"/>
    <x v="5"/>
  </r>
  <r>
    <x v="1373"/>
    <n v="45"/>
    <n v="10572742"/>
    <s v="Drama|Romance"/>
    <s v="Eddie Cibrian"/>
    <x v="2541"/>
    <n v="2326"/>
    <s v="african american protagonist|based on novel|title spoken by character"/>
    <n v="21"/>
    <x v="0"/>
    <x v="0"/>
    <n v="8000000"/>
    <x v="16"/>
    <x v="7"/>
    <n v="8000000"/>
    <n v="10572742"/>
    <x v="2539"/>
    <x v="2541"/>
    <x v="5"/>
  </r>
  <r>
    <x v="1374"/>
    <n v="70"/>
    <n v="2047570"/>
    <s v="Biography|Documentary|Sport"/>
    <s v="Terry Funk"/>
    <x v="2542"/>
    <n v="6790"/>
    <s v="championship|drugs|three word title|wrestler|wrestling"/>
    <n v="80"/>
    <x v="0"/>
    <x v="0"/>
    <n v="500000"/>
    <x v="12"/>
    <x v="10"/>
    <n v="500000"/>
    <n v="2047570"/>
    <x v="2540"/>
    <x v="2542"/>
    <x v="2"/>
  </r>
  <r>
    <x v="130"/>
    <n v="120"/>
    <n v="40932372"/>
    <s v="Action|Thriller"/>
    <s v="Denzel Washington"/>
    <x v="2543"/>
    <n v="58023"/>
    <s v="abduction|martial law|military|new york city|terrorist"/>
    <n v="281"/>
    <x v="0"/>
    <x v="0"/>
    <n v="70000000"/>
    <x v="6"/>
    <x v="23"/>
    <n v="70000000"/>
    <n v="40932372"/>
    <x v="2541"/>
    <x v="2543"/>
    <x v="1"/>
  </r>
  <r>
    <x v="875"/>
    <n v="88"/>
    <n v="548712"/>
    <s v="Drama|Romance"/>
    <s v="Zooey Deschanel"/>
    <x v="2544"/>
    <n v="9233"/>
    <s v="best friend|lake|love|small town|womanizer"/>
    <n v="126"/>
    <x v="0"/>
    <x v="0"/>
    <n v="2500000"/>
    <x v="19"/>
    <x v="31"/>
    <n v="2500000"/>
    <n v="548712"/>
    <x v="2542"/>
    <x v="2544"/>
    <x v="5"/>
  </r>
  <r>
    <x v="167"/>
    <n v="306"/>
    <n v="37479778"/>
    <s v="Biography|Drama|History|Sport"/>
    <s v="Matt Damon"/>
    <x v="2545"/>
    <n v="124222"/>
    <s v="apartheid|nation|nelson mandela|president|rugby"/>
    <n v="259"/>
    <x v="0"/>
    <x v="0"/>
    <n v="60000000"/>
    <x v="16"/>
    <x v="39"/>
    <n v="60000000"/>
    <n v="37479778"/>
    <x v="2543"/>
    <x v="2545"/>
    <x v="2"/>
  </r>
  <r>
    <x v="722"/>
    <n v="285"/>
    <n v="7186670"/>
    <s v="Adventure|Horror"/>
    <s v="Daryl Sabara"/>
    <x v="2546"/>
    <n v="21468"/>
    <s v="activist|amazon|color in title|rain|rain forest"/>
    <n v="164"/>
    <x v="0"/>
    <x v="0"/>
    <n v="6000000"/>
    <x v="0"/>
    <x v="26"/>
    <n v="6000000"/>
    <n v="7186670"/>
    <x v="2544"/>
    <x v="2546"/>
    <x v="0"/>
  </r>
  <r>
    <x v="1375"/>
    <n v="208"/>
    <n v="2428883"/>
    <s v="Drama|Western"/>
    <s v="Barry Corbin"/>
    <x v="2547"/>
    <n v="21370"/>
    <s v="abusive marriage|pastor|prison wagon|roast pig|suicide by hanging"/>
    <n v="132"/>
    <x v="0"/>
    <x v="0"/>
    <n v="16000000"/>
    <x v="27"/>
    <x v="14"/>
    <n v="16000000"/>
    <n v="2428883"/>
    <x v="2545"/>
    <x v="2547"/>
    <x v="5"/>
  </r>
  <r>
    <x v="709"/>
    <n v="186"/>
    <n v="136801374"/>
    <s v="Crime|Drama|Fantasy|Mystery"/>
    <s v="Tom Hanks"/>
    <x v="2548"/>
    <n v="782610"/>
    <s v="1930s|death row inmate|healing|prison guard|southern u.s."/>
    <n v="1377"/>
    <x v="0"/>
    <x v="0"/>
    <n v="60000000"/>
    <x v="12"/>
    <x v="59"/>
    <n v="60000000"/>
    <n v="136801374"/>
    <x v="2546"/>
    <x v="2548"/>
    <x v="3"/>
  </r>
  <r>
    <x v="1376"/>
    <n v="12"/>
    <n v="174682"/>
    <s v="Drama|Music"/>
    <s v="William Joseph Elk III"/>
    <x v="2549"/>
    <n v="460"/>
    <s v="funeral|gay|native american protagonist|poet|reservation"/>
    <n v="14"/>
    <x v="0"/>
    <x v="0"/>
    <n v="200000"/>
    <x v="13"/>
    <x v="31"/>
    <n v="200000"/>
    <n v="174682"/>
    <x v="2547"/>
    <x v="2549"/>
    <x v="5"/>
  </r>
  <r>
    <x v="83"/>
    <n v="67"/>
    <n v="1027749"/>
    <s v="Drama|War"/>
    <s v="Radha Mitchell"/>
    <x v="2550"/>
    <n v="8087"/>
    <s v="british|communist|journalist|nurse|orphan"/>
    <n v="33"/>
    <x v="0"/>
    <x v="3"/>
    <n v="40000000"/>
    <x v="20"/>
    <x v="17"/>
    <n v="26155200"/>
    <n v="672024.51612000004"/>
    <x v="2548"/>
    <x v="2550"/>
    <x v="5"/>
  </r>
  <r>
    <x v="1283"/>
    <n v="211"/>
    <n v="40559930"/>
    <s v="Comedy|Crime|Romance|Thriller"/>
    <s v="Julia Roberts"/>
    <x v="2551"/>
    <n v="41727"/>
    <s v="ceo|dubai|product|rivalry|spy"/>
    <n v="184"/>
    <x v="0"/>
    <x v="0"/>
    <n v="60000000"/>
    <x v="16"/>
    <x v="5"/>
    <n v="60000000"/>
    <n v="40559930"/>
    <x v="2549"/>
    <x v="2551"/>
    <x v="4"/>
  </r>
  <r>
    <x v="461"/>
    <n v="220"/>
    <n v="37053924"/>
    <s v="Action|Comedy|Crime"/>
    <s v="Bianca Kajlich"/>
    <x v="2552"/>
    <n v="77935"/>
    <s v="bank heist|bank robbery|heist gone wrong|pizza delivery boy|unlikely criminal"/>
    <n v="122"/>
    <x v="0"/>
    <x v="5"/>
    <n v="28000000"/>
    <x v="22"/>
    <x v="7"/>
    <n v="30372720"/>
    <n v="40193873.519759998"/>
    <x v="2550"/>
    <x v="2552"/>
    <x v="1"/>
  </r>
  <r>
    <x v="1377"/>
    <n v="28"/>
    <n v="99851"/>
    <s v="Documentary"/>
    <s v="Dustin Lance Black"/>
    <x v="2553"/>
    <n v="1138"/>
    <s v="church|marriage|mormon|mormon church|proposition"/>
    <n v="30"/>
    <x v="0"/>
    <x v="0"/>
    <n v="2500000"/>
    <x v="11"/>
    <x v="17"/>
    <n v="2500000"/>
    <n v="99851"/>
    <x v="2551"/>
    <x v="2553"/>
    <x v="7"/>
  </r>
  <r>
    <x v="62"/>
    <n v="248"/>
    <n v="33313582"/>
    <s v="Comedy|Crime|Drama|Thriller"/>
    <s v="Matt Damon"/>
    <x v="2554"/>
    <n v="52888"/>
    <s v="compulsive liar|fbi|informant|investigation|spy"/>
    <n v="175"/>
    <x v="0"/>
    <x v="0"/>
    <n v="21000000"/>
    <x v="16"/>
    <x v="20"/>
    <n v="21000000"/>
    <n v="33313582"/>
    <x v="2552"/>
    <x v="2554"/>
    <x v="4"/>
  </r>
  <r>
    <x v="112"/>
    <n v="240"/>
    <n v="137850096"/>
    <s v="Animation|Drama|Family|Fantasy"/>
    <s v="Robin Wright"/>
    <x v="2555"/>
    <n v="72809"/>
    <s v="charles dickens|christmas|christmas eve|ghost|scrooge"/>
    <n v="249"/>
    <x v="0"/>
    <x v="0"/>
    <n v="200000000"/>
    <x v="16"/>
    <x v="22"/>
    <n v="200000000"/>
    <n v="137850096"/>
    <x v="2553"/>
    <x v="2555"/>
    <x v="8"/>
  </r>
  <r>
    <x v="183"/>
    <n v="190"/>
    <n v="26415649"/>
    <s v="Action|Crime|Drama|Thriller"/>
    <s v="Keanu Reeves"/>
    <x v="2556"/>
    <n v="94892"/>
    <s v="captain|lapd|murder|undercover cop|violence"/>
    <n v="189"/>
    <x v="0"/>
    <x v="0"/>
    <n v="20000000"/>
    <x v="20"/>
    <x v="22"/>
    <n v="20000000"/>
    <n v="26415649"/>
    <x v="2554"/>
    <x v="2556"/>
    <x v="1"/>
  </r>
  <r>
    <x v="1378"/>
    <n v="96"/>
    <n v="17411331"/>
    <s v="Horror|Mystery|Sci-Fi|Thriller"/>
    <s v="Bruce Greenwood"/>
    <x v="2557"/>
    <n v="17328"/>
    <s v="blue ribbon|high school|jacket|jock|yogurt"/>
    <n v="237"/>
    <x v="0"/>
    <x v="3"/>
    <n v="15000000"/>
    <x v="6"/>
    <x v="28"/>
    <n v="9808200"/>
    <n v="11384921.11428"/>
    <x v="2555"/>
    <x v="2557"/>
    <x v="6"/>
  </r>
  <r>
    <x v="694"/>
    <n v="160"/>
    <n v="5701643"/>
    <s v="Adventure|Biography|Drama|History|War"/>
    <s v="Tadanobu Asano"/>
    <x v="2558"/>
    <n v="37635"/>
    <s v="epic|genghis khan|one word title|slave|starving"/>
    <n v="165"/>
    <x v="31"/>
    <x v="36"/>
    <n v="20000000"/>
    <x v="15"/>
    <x v="4"/>
    <n v="235293.02"/>
    <n v="67077.840021593001"/>
    <x v="2556"/>
    <x v="2558"/>
    <x v="0"/>
  </r>
  <r>
    <x v="132"/>
    <n v="440"/>
    <n v="77564037"/>
    <s v="Action|Adventure|Family|Mystery"/>
    <s v="Toby Jones"/>
    <x v="2559"/>
    <n v="177383"/>
    <s v="captain|morocco|ship|tintin|treasure"/>
    <n v="447"/>
    <x v="0"/>
    <x v="0"/>
    <n v="135000000"/>
    <x v="22"/>
    <x v="39"/>
    <n v="135000000"/>
    <n v="77564037"/>
    <x v="2557"/>
    <x v="2559"/>
    <x v="1"/>
  </r>
  <r>
    <x v="804"/>
    <n v="173"/>
    <n v="46280507"/>
    <s v="Comedy|Romance"/>
    <s v="Bella Thorne"/>
    <x v="2560"/>
    <n v="87165"/>
    <s v="blind date|children|date|daughter|son"/>
    <n v="184"/>
    <x v="0"/>
    <x v="0"/>
    <n v="40000000"/>
    <x v="27"/>
    <x v="20"/>
    <n v="40000000"/>
    <n v="46280507"/>
    <x v="2558"/>
    <x v="2560"/>
    <x v="4"/>
  </r>
  <r>
    <x v="1200"/>
    <n v="421"/>
    <n v="223806889"/>
    <s v="Adventure|Animation|Family|Sci-Fi"/>
    <s v="John Ratzenberger"/>
    <x v="2561"/>
    <n v="718837"/>
    <s v="earth|obesity|plant|robot|soil"/>
    <n v="1043"/>
    <x v="0"/>
    <x v="0"/>
    <n v="180000000"/>
    <x v="20"/>
    <x v="25"/>
    <n v="180000000"/>
    <n v="223806889"/>
    <x v="2559"/>
    <x v="2561"/>
    <x v="0"/>
  </r>
  <r>
    <x v="1379"/>
    <n v="8"/>
    <n v="178739"/>
    <s v="Drama|Musical"/>
    <s v="Jossara Jinaro"/>
    <x v="2562"/>
    <n v="1015"/>
    <s v="exclamation point in title|imperative in title|punctuation in title|three word title"/>
    <n v="10"/>
    <x v="0"/>
    <x v="0"/>
    <n v="2450000"/>
    <x v="22"/>
    <x v="52"/>
    <n v="2450000"/>
    <n v="178739"/>
    <x v="2560"/>
    <x v="2562"/>
    <x v="5"/>
  </r>
  <r>
    <x v="628"/>
    <n v="202"/>
    <n v="12583510"/>
    <s v="Horror"/>
    <s v="Sid Haig"/>
    <x v="2563"/>
    <n v="60709"/>
    <s v="actor playing multiple roles|axe|dark comedy|masked man|sadism"/>
    <n v="922"/>
    <x v="0"/>
    <x v="0"/>
    <n v="7000000"/>
    <x v="19"/>
    <x v="11"/>
    <n v="7000000"/>
    <n v="12583510"/>
    <x v="2561"/>
    <x v="2563"/>
    <x v="6"/>
  </r>
  <r>
    <x v="837"/>
    <n v="106"/>
    <n v="22406362"/>
    <s v="Drama|History|War|Western"/>
    <s v="Dennis Quaid"/>
    <x v="2564"/>
    <n v="16832"/>
    <s v="army|dictator|general|texan|texas"/>
    <n v="267"/>
    <x v="0"/>
    <x v="0"/>
    <n v="107000000"/>
    <x v="2"/>
    <x v="11"/>
    <n v="107000000"/>
    <n v="22406362"/>
    <x v="2562"/>
    <x v="2564"/>
    <x v="5"/>
  </r>
  <r>
    <x v="1380"/>
    <n v="93"/>
    <n v="19447478"/>
    <s v="Adventure|Animation|Comedy|Family|War"/>
    <s v="Jim Broadbent"/>
    <x v="2565"/>
    <n v="15788"/>
    <s v="dove|falcon|nursing|pigeon|psychological torture"/>
    <n v="80"/>
    <x v="0"/>
    <x v="2"/>
    <n v="35000000"/>
    <x v="25"/>
    <x v="15"/>
    <n v="44988999.999999903"/>
    <n v="24997788.2211999"/>
    <x v="2563"/>
    <x v="2565"/>
    <x v="0"/>
  </r>
  <r>
    <x v="355"/>
    <n v="285"/>
    <n v="34300771"/>
    <s v="Drama"/>
    <s v="Brad Pitt"/>
    <x v="2566"/>
    <n v="243799"/>
    <s v="american|destiny|mexican border|multiple perspectives|muslim"/>
    <n v="908"/>
    <x v="0"/>
    <x v="8"/>
    <n v="25000000"/>
    <x v="7"/>
    <x v="2"/>
    <n v="27118500"/>
    <n v="37207418.334540002"/>
    <x v="2564"/>
    <x v="2566"/>
    <x v="5"/>
  </r>
  <r>
    <x v="1381"/>
    <n v="170"/>
    <n v="75030163"/>
    <s v="Action|Adventure|Family|Fantasy"/>
    <s v="Djimon Hounsou"/>
    <x v="2567"/>
    <n v="108076"/>
    <s v="dragon|dragon rider|fictional war|sword and fantasy|teenage hero"/>
    <n v="1690"/>
    <x v="0"/>
    <x v="0"/>
    <n v="100000000"/>
    <x v="7"/>
    <x v="37"/>
    <n v="100000000"/>
    <n v="75030163"/>
    <x v="2565"/>
    <x v="2567"/>
    <x v="1"/>
  </r>
  <r>
    <x v="1382"/>
    <n v="195"/>
    <n v="11204499"/>
    <s v="Drama|History"/>
    <s v="Anthony Hopkins"/>
    <x v="2568"/>
    <n v="38142"/>
    <s v="campaign|chess|friend|hotel|senator"/>
    <n v="270"/>
    <x v="0"/>
    <x v="0"/>
    <n v="14000000"/>
    <x v="7"/>
    <x v="16"/>
    <n v="14000000"/>
    <n v="11204499"/>
    <x v="2566"/>
    <x v="2568"/>
    <x v="5"/>
  </r>
  <r>
    <x v="1383"/>
    <n v="14"/>
    <n v="173783"/>
    <s v="Documentary"/>
    <s v="Larry David"/>
    <x v="2569"/>
    <n v="578"/>
    <s v="alternative energy|energy|fuel|green|oil"/>
    <n v="34"/>
    <x v="0"/>
    <x v="0"/>
    <n v="2500000"/>
    <x v="20"/>
    <x v="10"/>
    <n v="2500000"/>
    <n v="173783"/>
    <x v="2567"/>
    <x v="2569"/>
    <x v="7"/>
  </r>
  <r>
    <x v="445"/>
    <n v="88"/>
    <n v="49002815"/>
    <s v="Comedy|Family"/>
    <s v="Zachary Gordon"/>
    <x v="2570"/>
    <n v="15665"/>
    <s v="best friend|camping|country club|no opening credits|summer vacation"/>
    <n v="35"/>
    <x v="0"/>
    <x v="0"/>
    <n v="22000000"/>
    <x v="28"/>
    <x v="24"/>
    <n v="22000000"/>
    <n v="49002815"/>
    <x v="2568"/>
    <x v="2570"/>
    <x v="4"/>
  </r>
  <r>
    <x v="1384"/>
    <n v="43"/>
    <n v="302204"/>
    <s v="Comedy|Crime|Romance"/>
    <s v="Peter McNamara"/>
    <x v="2571"/>
    <n v="6705"/>
    <s v="con artist|money|orphan|scam|secretary"/>
    <n v="53"/>
    <x v="0"/>
    <x v="2"/>
    <n v="3000000"/>
    <x v="31"/>
    <x v="14"/>
    <n v="3856199.9999999902"/>
    <n v="388453.02159999998"/>
    <x v="2569"/>
    <x v="2571"/>
    <x v="4"/>
  </r>
  <r>
    <x v="1385"/>
    <n v="230"/>
    <n v="98017"/>
    <s v="Comedy|Fantasy|Horror"/>
    <s v="Haley Ramm"/>
    <x v="2572"/>
    <n v="26185"/>
    <s v="desert|dump|show|spectator|tire"/>
    <n v="170"/>
    <x v="0"/>
    <x v="8"/>
    <n v="500000"/>
    <x v="11"/>
    <x v="30"/>
    <n v="542370"/>
    <n v="106322.96058"/>
    <x v="2570"/>
    <x v="2572"/>
    <x v="4"/>
  </r>
  <r>
    <x v="790"/>
    <n v="13"/>
    <n v="8500000"/>
    <s v="Comedy"/>
    <s v="Mako"/>
    <x v="2573"/>
    <n v="2061"/>
    <s v="assassin|hotel|japanese tourist|secret service|wizard of oz"/>
    <n v="34"/>
    <x v="0"/>
    <x v="0"/>
    <n v="20000000"/>
    <x v="43"/>
    <x v="26"/>
    <n v="20000000"/>
    <n v="8500000"/>
    <x v="2571"/>
    <x v="2573"/>
    <x v="4"/>
  </r>
  <r>
    <x v="57"/>
    <n v="215"/>
    <n v="21244913"/>
    <s v="Crime|Documentary|Drama"/>
    <s v="Michael Moore"/>
    <x v="2574"/>
    <n v="123090"/>
    <s v="bank|columbine|columbine high school killings|firearm|school shooting"/>
    <n v="888"/>
    <x v="0"/>
    <x v="5"/>
    <n v="4000000"/>
    <x v="13"/>
    <x v="3"/>
    <n v="4338960"/>
    <n v="23045206.927620001"/>
    <x v="2572"/>
    <x v="2574"/>
    <x v="3"/>
  </r>
  <r>
    <x v="848"/>
    <n v="309"/>
    <n v="145000989"/>
    <s v="Action|Thriller"/>
    <s v="Liam Neeson"/>
    <x v="2575"/>
    <n v="483756"/>
    <s v="agent|cia|france|rescue|teenage abduction"/>
    <n v="974"/>
    <x v="0"/>
    <x v="8"/>
    <n v="25000000"/>
    <x v="20"/>
    <x v="19"/>
    <n v="27118500"/>
    <n v="157288372.80785999"/>
    <x v="2573"/>
    <x v="2575"/>
    <x v="1"/>
  </r>
  <r>
    <x v="1386"/>
    <n v="96"/>
    <n v="12947763"/>
    <s v="Horror|Mystery"/>
    <s v="Thomas F. Wilson"/>
    <x v="2576"/>
    <n v="10624"/>
    <s v="april fool's day|island|mansion|psycho|secret"/>
    <n v="125"/>
    <x v="0"/>
    <x v="0"/>
    <n v="5000000"/>
    <x v="18"/>
    <x v="5"/>
    <n v="5000000"/>
    <n v="12947763"/>
    <x v="2574"/>
    <x v="2576"/>
    <x v="6"/>
  </r>
  <r>
    <x v="946"/>
    <n v="107"/>
    <n v="84303558"/>
    <s v="Adventure|Animation|Comedy|Family"/>
    <s v="Jon Favreau"/>
    <x v="2577"/>
    <n v="65270"/>
    <s v="bear|deer|forest|grizzly bear|hunter"/>
    <n v="100"/>
    <x v="0"/>
    <x v="0"/>
    <n v="85000000"/>
    <x v="7"/>
    <x v="5"/>
    <n v="85000000"/>
    <n v="84303558"/>
    <x v="2575"/>
    <x v="2577"/>
    <x v="0"/>
  </r>
  <r>
    <x v="643"/>
    <n v="126"/>
    <n v="23360779"/>
    <s v="Action|Adventure|Crime|Drama|Family|Fantasy|Romance|Thriller"/>
    <s v="Charlize Theron"/>
    <x v="2578"/>
    <n v="31113"/>
    <s v="casino|christmas|christmas season|girlfriend|release from prison"/>
    <n v="212"/>
    <x v="0"/>
    <x v="0"/>
    <n v="34000000"/>
    <x v="4"/>
    <x v="35"/>
    <n v="34000000"/>
    <n v="23360779"/>
    <x v="2576"/>
    <x v="2578"/>
    <x v="1"/>
  </r>
  <r>
    <x v="869"/>
    <n v="206"/>
    <n v="197992827"/>
    <s v="Animation|Comedy|Family|Music|Romance"/>
    <s v="Robin Williams"/>
    <x v="2579"/>
    <n v="132501"/>
    <s v="dance|emperor penguin|friend|penguin|song"/>
    <n v="548"/>
    <x v="0"/>
    <x v="0"/>
    <n v="100000000"/>
    <x v="7"/>
    <x v="20"/>
    <n v="100000000"/>
    <n v="197992827"/>
    <x v="2577"/>
    <x v="2579"/>
    <x v="8"/>
  </r>
  <r>
    <x v="1387"/>
    <n v="169"/>
    <n v="77413017"/>
    <s v="Documentary"/>
    <s v="Morgan Freeman"/>
    <x v="2580"/>
    <n v="45984"/>
    <s v="chick|emperor penguin|journey|ocean|penguin"/>
    <n v="331"/>
    <x v="4"/>
    <x v="8"/>
    <n v="8000000"/>
    <x v="25"/>
    <x v="10"/>
    <n v="8677920"/>
    <n v="83972996.06058"/>
    <x v="2578"/>
    <x v="2580"/>
    <x v="7"/>
  </r>
  <r>
    <x v="819"/>
    <n v="161"/>
    <n v="32541719"/>
    <s v="Comedy|Drama|Romance|Sport"/>
    <s v="Archie Panjabi"/>
    <x v="2581"/>
    <n v="89806"/>
    <s v="hinduism|marriage engagement|soccer|team|tradition"/>
    <n v="438"/>
    <x v="0"/>
    <x v="2"/>
    <n v="3500159"/>
    <x v="13"/>
    <x v="21"/>
    <n v="4499104.3785999902"/>
    <n v="41829125.602599896"/>
    <x v="2579"/>
    <x v="2581"/>
    <x v="4"/>
  </r>
  <r>
    <x v="326"/>
    <n v="181"/>
    <n v="125305545"/>
    <s v="Action|Adventure|Comedy|Crime|Thriller"/>
    <s v="Bill Murray"/>
    <x v="2582"/>
    <n v="145350"/>
    <s v="booty shake|box office hit|duct tape over mouth|first part|martial arts"/>
    <n v="643"/>
    <x v="0"/>
    <x v="0"/>
    <n v="92000000"/>
    <x v="4"/>
    <x v="28"/>
    <n v="92000000"/>
    <n v="125305545"/>
    <x v="2580"/>
    <x v="2582"/>
    <x v="1"/>
  </r>
  <r>
    <x v="104"/>
    <n v="152"/>
    <n v="173381405"/>
    <s v="Comedy|Family|Fantasy|Romance"/>
    <s v="Peter Dinklage"/>
    <x v="2583"/>
    <n v="147597"/>
    <s v="baby|christmas spirit|elf|new york city|north pole"/>
    <n v="395"/>
    <x v="0"/>
    <x v="0"/>
    <n v="33000000"/>
    <x v="19"/>
    <x v="31"/>
    <n v="33000000"/>
    <n v="173381405"/>
    <x v="2581"/>
    <x v="2583"/>
    <x v="4"/>
  </r>
  <r>
    <x v="480"/>
    <n v="240"/>
    <n v="143618384"/>
    <s v="Adventure|Animation|Comedy|Family|Musical"/>
    <s v="Anne Hathaway"/>
    <x v="2584"/>
    <n v="165333"/>
    <s v="bird|brazilian|cockatoo|macaw|minnesota"/>
    <n v="186"/>
    <x v="0"/>
    <x v="0"/>
    <n v="90000000"/>
    <x v="22"/>
    <x v="16"/>
    <n v="90000000"/>
    <n v="143618384"/>
    <x v="2582"/>
    <x v="2584"/>
    <x v="0"/>
  </r>
  <r>
    <x v="945"/>
    <n v="140"/>
    <n v="46363118"/>
    <s v="Drama|Horror|Mystery|Thriller"/>
    <s v="Barry Watson"/>
    <x v="2585"/>
    <n v="25960"/>
    <s v="boogeyman|childhood|fear|hometown|uncle"/>
    <n v="389"/>
    <x v="0"/>
    <x v="0"/>
    <n v="20000000"/>
    <x v="25"/>
    <x v="13"/>
    <n v="20000000"/>
    <n v="46363118"/>
    <x v="2583"/>
    <x v="2585"/>
    <x v="5"/>
  </r>
  <r>
    <x v="639"/>
    <n v="46"/>
    <n v="10161099"/>
    <s v="Action|Biography|Drama|History|Romance|War"/>
    <s v="Brian Blessed"/>
    <x v="2586"/>
    <n v="23441"/>
    <s v="battle|battle of agincourt|king|shakespeare play|sword and shield"/>
    <n v="108"/>
    <x v="0"/>
    <x v="2"/>
    <n v="9000000"/>
    <x v="26"/>
    <x v="9"/>
    <n v="11568599.999999899"/>
    <n v="13061076.654599899"/>
    <x v="2584"/>
    <x v="2586"/>
    <x v="1"/>
  </r>
  <r>
    <x v="329"/>
    <n v="488"/>
    <n v="74273505"/>
    <s v="Crime|Drama|Thriller"/>
    <s v="Kelly Macdonald"/>
    <x v="2587"/>
    <n v="612060"/>
    <s v="coin toss|desert|sheriff|texas|tracking device"/>
    <n v="1518"/>
    <x v="0"/>
    <x v="0"/>
    <n v="25000000"/>
    <x v="15"/>
    <x v="40"/>
    <n v="25000000"/>
    <n v="74273505"/>
    <x v="2585"/>
    <x v="2587"/>
    <x v="3"/>
  </r>
  <r>
    <x v="10"/>
    <n v="392"/>
    <n v="78900000"/>
    <s v="Horror|Sci-Fi"/>
    <s v="Tom Skerritt"/>
    <x v="2588"/>
    <n v="563827"/>
    <s v="alien|creature|future|outer space|spaceship"/>
    <n v="1110"/>
    <x v="0"/>
    <x v="2"/>
    <n v="11000000"/>
    <x v="36"/>
    <x v="59"/>
    <n v="14139399.999999899"/>
    <n v="101418059.999999"/>
    <x v="2586"/>
    <x v="2588"/>
    <x v="6"/>
  </r>
  <r>
    <x v="1388"/>
    <n v="191"/>
    <n v="12570442"/>
    <s v="Comedy|Crime|Drama|Thriller"/>
    <s v="Adam Scott"/>
    <x v="2589"/>
    <n v="40514"/>
    <s v="bar|hitman|luck|mexico|mexico city"/>
    <n v="234"/>
    <x v="0"/>
    <x v="0"/>
    <n v="10000000"/>
    <x v="25"/>
    <x v="22"/>
    <n v="10000000"/>
    <n v="12570442"/>
    <x v="2587"/>
    <x v="2589"/>
    <x v="4"/>
  </r>
  <r>
    <x v="554"/>
    <n v="549"/>
    <n v="82624961"/>
    <s v="Comedy|Drama"/>
    <s v="Shailene Woodley"/>
    <x v="2590"/>
    <n v="205284"/>
    <s v="boating accident|daughters|father daughter relationship|hospital|marriage"/>
    <n v="439"/>
    <x v="0"/>
    <x v="0"/>
    <n v="20000000"/>
    <x v="22"/>
    <x v="4"/>
    <n v="20000000"/>
    <n v="82624961"/>
    <x v="2588"/>
    <x v="2590"/>
    <x v="4"/>
  </r>
  <r>
    <x v="536"/>
    <n v="120"/>
    <n v="12188642"/>
    <s v="Biography|Drama|History"/>
    <s v="Marco TreviÃ±o"/>
    <x v="2591"/>
    <n v="21098"/>
    <s v="disaster movie|mine|minister|president|trapped in a mine"/>
    <n v="56"/>
    <x v="0"/>
    <x v="40"/>
    <n v="26000000"/>
    <x v="1"/>
    <x v="31"/>
    <n v="27300"/>
    <n v="12798.0741"/>
    <x v="2589"/>
    <x v="2591"/>
    <x v="2"/>
  </r>
  <r>
    <x v="10"/>
    <n v="63"/>
    <n v="45645204"/>
    <s v="Action|Crime|Thriller"/>
    <s v="Stephen Root"/>
    <x v="2592"/>
    <n v="39306"/>
    <s v="counterfeit|detective|japan|police chase|yakuza"/>
    <n v="119"/>
    <x v="0"/>
    <x v="0"/>
    <n v="30000000"/>
    <x v="26"/>
    <x v="14"/>
    <n v="30000000"/>
    <n v="45645204"/>
    <x v="2590"/>
    <x v="2592"/>
    <x v="1"/>
  </r>
  <r>
    <x v="140"/>
    <n v="244"/>
    <n v="93926386"/>
    <s v="Action|Adventure|Drama|History|War"/>
    <s v="James D'Arcy"/>
    <x v="2593"/>
    <n v="168207"/>
    <s v="1800s|napoleonic wars|pursuit|royal navy|ship"/>
    <n v="684"/>
    <x v="0"/>
    <x v="0"/>
    <n v="150000000"/>
    <x v="19"/>
    <x v="39"/>
    <n v="150000000"/>
    <n v="93926386"/>
    <x v="2591"/>
    <x v="2593"/>
    <x v="1"/>
  </r>
  <r>
    <x v="39"/>
    <n v="99"/>
    <n v="38360195"/>
    <s v="Adventure|Comedy|Drama"/>
    <s v="LL Cool J"/>
    <x v="2594"/>
    <n v="21215"/>
    <s v="chef|congressman|cook|hotel|senator"/>
    <n v="116"/>
    <x v="0"/>
    <x v="0"/>
    <n v="45000000"/>
    <x v="7"/>
    <x v="24"/>
    <n v="45000000"/>
    <n v="38360195"/>
    <x v="2592"/>
    <x v="2594"/>
    <x v="0"/>
  </r>
  <r>
    <x v="1389"/>
    <n v="543"/>
    <n v="54239856"/>
    <s v="Horror"/>
    <s v="Lou Taylor Pucci"/>
    <x v="2595"/>
    <n v="125016"/>
    <s v="book of the dead|demon|h.p. lovecraft|lesbian kiss|promise"/>
    <n v="789"/>
    <x v="0"/>
    <x v="0"/>
    <n v="17000000"/>
    <x v="0"/>
    <x v="20"/>
    <n v="17000000"/>
    <n v="54239856"/>
    <x v="2593"/>
    <x v="2595"/>
    <x v="6"/>
  </r>
  <r>
    <x v="1390"/>
    <n v="26"/>
    <n v="100412"/>
    <s v="Drama"/>
    <s v="Hector Kotsifakis"/>
    <x v="2596"/>
    <n v="2112"/>
    <s v=""/>
    <n v="7"/>
    <x v="7"/>
    <x v="13"/>
    <n v="4000000"/>
    <x v="0"/>
    <x v="9"/>
    <n v="216818.76"/>
    <n v="5442.8013322799998"/>
    <x v="2594"/>
    <x v="2596"/>
    <x v="5"/>
  </r>
  <r>
    <x v="371"/>
    <n v="64"/>
    <n v="4250320"/>
    <s v="Adventure|Fantasy|Mystery|Thriller"/>
    <s v="Nicholas Rowe"/>
    <x v="2597"/>
    <n v="14870"/>
    <s v="cult|death|delusion|girl|sherlock holmes"/>
    <n v="86"/>
    <x v="0"/>
    <x v="0"/>
    <n v="18000000"/>
    <x v="37"/>
    <x v="22"/>
    <n v="18000000"/>
    <n v="4250320"/>
    <x v="2595"/>
    <x v="2597"/>
    <x v="0"/>
  </r>
  <r>
    <x v="4"/>
    <n v="195"/>
    <n v="28687835"/>
    <s v="Crime|Drama|Thriller"/>
    <s v="Billy Burke"/>
    <x v="2598"/>
    <n v="40964"/>
    <s v="cat|fbi agent|murder|serial killer|website"/>
    <n v="245"/>
    <x v="0"/>
    <x v="0"/>
    <n v="35000000"/>
    <x v="20"/>
    <x v="5"/>
    <n v="35000000"/>
    <n v="28687835"/>
    <x v="2596"/>
    <x v="2598"/>
    <x v="3"/>
  </r>
  <r>
    <x v="204"/>
    <n v="43"/>
    <n v="85222"/>
    <s v="Documentary"/>
    <s v="John August"/>
    <x v="2599"/>
    <n v="4285"/>
    <s v="actress name in title|crush|date|four word title|video camera"/>
    <n v="84"/>
    <x v="0"/>
    <x v="0"/>
    <n v="1100"/>
    <x v="2"/>
    <x v="14"/>
    <n v="1100"/>
    <n v="85222"/>
    <x v="2597"/>
    <x v="2599"/>
    <x v="7"/>
  </r>
  <r>
    <x v="97"/>
    <n v="131"/>
    <n v="26536120"/>
    <s v="Action|Crime|Drama|Mystery|Thriller"/>
    <s v="Connie Nielsen"/>
    <x v="2600"/>
    <n v="49926"/>
    <s v="2000s|army|military crime|necklace yanked off|panama"/>
    <n v="286"/>
    <x v="0"/>
    <x v="5"/>
    <n v="50000000"/>
    <x v="19"/>
    <x v="20"/>
    <n v="54237000"/>
    <n v="28784790.808800001"/>
    <x v="2598"/>
    <x v="2600"/>
    <x v="1"/>
  </r>
  <r>
    <x v="606"/>
    <n v="29"/>
    <n v="37672350"/>
    <s v="Comedy|Drama|Romance"/>
    <s v="Richard Lawson"/>
    <x v="2601"/>
    <n v="5427"/>
    <s v="female protagonist|jamaica|six word title|tragic event|vacation"/>
    <n v="51"/>
    <x v="0"/>
    <x v="0"/>
    <n v="20000000"/>
    <x v="6"/>
    <x v="28"/>
    <n v="20000000"/>
    <n v="37672350"/>
    <x v="2599"/>
    <x v="2601"/>
    <x v="4"/>
  </r>
  <r>
    <x v="298"/>
    <n v="35"/>
    <n v="50628009"/>
    <s v="Action|Adventure|Family|Fantasy|Thriller"/>
    <s v="Charlize Theron"/>
    <x v="2602"/>
    <n v="22955"/>
    <s v="animal|california|gorilla|hunter|poacher"/>
    <n v="88"/>
    <x v="0"/>
    <x v="0"/>
    <n v="90000000"/>
    <x v="6"/>
    <x v="15"/>
    <n v="90000000"/>
    <n v="50628009"/>
    <x v="2600"/>
    <x v="2602"/>
    <x v="1"/>
  </r>
  <r>
    <x v="316"/>
    <n v="403"/>
    <n v="168368427"/>
    <s v="Action|Adventure"/>
    <s v="Giancarlo Giannini"/>
    <x v="2603"/>
    <n v="330784"/>
    <s v="action hero|attempted rape|bond girl|official james bond series|revenge"/>
    <n v="1243"/>
    <x v="0"/>
    <x v="2"/>
    <n v="200000000"/>
    <x v="20"/>
    <x v="21"/>
    <n v="257079999.99999899"/>
    <n v="216420776.065799"/>
    <x v="2601"/>
    <x v="2603"/>
    <x v="1"/>
  </r>
  <r>
    <x v="769"/>
    <n v="122"/>
    <n v="27200000"/>
    <s v="Adventure|Drama|War"/>
    <s v="William Holden"/>
    <x v="2604"/>
    <n v="149444"/>
    <s v="allies|bridge|construction|jungle|sabotage"/>
    <n v="273"/>
    <x v="0"/>
    <x v="2"/>
    <n v="3000000"/>
    <x v="69"/>
    <x v="60"/>
    <n v="3856199.9999999902"/>
    <n v="34962880"/>
    <x v="2602"/>
    <x v="2604"/>
    <x v="0"/>
  </r>
  <r>
    <x v="69"/>
    <n v="284"/>
    <n v="291709845"/>
    <s v="Adventure|Family|Fantasy"/>
    <s v="Jim Broadbent"/>
    <x v="2605"/>
    <n v="286506"/>
    <s v="hide and seek|lion|magic|professor|snow"/>
    <n v="1463"/>
    <x v="0"/>
    <x v="0"/>
    <n v="180000000"/>
    <x v="25"/>
    <x v="31"/>
    <n v="180000000"/>
    <n v="291709845"/>
    <x v="2603"/>
    <x v="2605"/>
    <x v="0"/>
  </r>
  <r>
    <x v="33"/>
    <n v="94"/>
    <n v="146282411"/>
    <s v="Action|Comedy|Thriller"/>
    <s v="Jamie Lee Curtis"/>
    <x v="2606"/>
    <n v="190439"/>
    <s v="espionage|secret agent|secret mission|spy|spy film"/>
    <n v="351"/>
    <x v="0"/>
    <x v="0"/>
    <n v="115000000"/>
    <x v="5"/>
    <x v="33"/>
    <n v="115000000"/>
    <n v="146282411"/>
    <x v="2604"/>
    <x v="2606"/>
    <x v="1"/>
  </r>
  <r>
    <x v="1391"/>
    <n v="166"/>
    <n v="109176215"/>
    <s v="Comedy"/>
    <s v="Jon Favreau"/>
    <x v="2607"/>
    <n v="83506"/>
    <s v="couple|island|marriage|tropical|voyeurism"/>
    <n v="144"/>
    <x v="0"/>
    <x v="0"/>
    <n v="60000000"/>
    <x v="16"/>
    <x v="28"/>
    <n v="60000000"/>
    <n v="109176215"/>
    <x v="2605"/>
    <x v="2607"/>
    <x v="4"/>
  </r>
  <r>
    <x v="206"/>
    <n v="252"/>
    <n v="29113588"/>
    <s v="Action|Crime|Thriller"/>
    <s v="Jason Statham"/>
    <x v="2608"/>
    <n v="117999"/>
    <s v="apprentice|disobeying orders|gas station|hitman|nightclub"/>
    <n v="181"/>
    <x v="0"/>
    <x v="0"/>
    <n v="40000000"/>
    <x v="22"/>
    <x v="14"/>
    <n v="40000000"/>
    <n v="29113588"/>
    <x v="2606"/>
    <x v="2608"/>
    <x v="1"/>
  </r>
  <r>
    <x v="1016"/>
    <n v="283"/>
    <n v="84961"/>
    <s v="Action|Adventure|History"/>
    <s v="Jet Li"/>
    <x v="2609"/>
    <n v="149414"/>
    <s v="china|flying|king|palace|sword"/>
    <n v="841"/>
    <x v="15"/>
    <x v="6"/>
    <n v="31000000"/>
    <x v="13"/>
    <x v="19"/>
    <n v="4286800.8999999901"/>
    <n v="11748.7384279"/>
    <x v="2607"/>
    <x v="2609"/>
    <x v="1"/>
  </r>
  <r>
    <x v="1159"/>
    <n v="216"/>
    <n v="15785632"/>
    <s v="Biography|Comedy|Drama|Sport"/>
    <s v="Hugh Jackman"/>
    <x v="1953"/>
    <n v="32513"/>
    <s v="1988 winter olympics|coach|ski jumper|winter|winter olympics"/>
    <n v="119"/>
    <x v="0"/>
    <x v="2"/>
    <n v="23000000"/>
    <x v="24"/>
    <x v="2"/>
    <n v="29564199.999999899"/>
    <n v="20290851.372799899"/>
    <x v="1951"/>
    <x v="1953"/>
    <x v="2"/>
  </r>
  <r>
    <x v="110"/>
    <n v="71"/>
    <n v="108706165"/>
    <s v="Crime|Drama|Thriller"/>
    <s v="Kevin Spacey"/>
    <x v="2610"/>
    <n v="99558"/>
    <s v="african american|court|law|mississippi|trial"/>
    <n v="236"/>
    <x v="0"/>
    <x v="0"/>
    <n v="40000000"/>
    <x v="10"/>
    <x v="39"/>
    <n v="40000000"/>
    <n v="108706165"/>
    <x v="2608"/>
    <x v="2610"/>
    <x v="3"/>
  </r>
  <r>
    <x v="1392"/>
    <n v="276"/>
    <n v="21501098"/>
    <s v="Comedy|Drama"/>
    <s v="Steve Carell"/>
    <x v="2611"/>
    <n v="115813"/>
    <s v="awkward boy|shy kid|summer|vacation|water park"/>
    <n v="216"/>
    <x v="0"/>
    <x v="0"/>
    <n v="5000000"/>
    <x v="0"/>
    <x v="39"/>
    <n v="5000000"/>
    <n v="21501098"/>
    <x v="2609"/>
    <x v="2611"/>
    <x v="4"/>
  </r>
  <r>
    <x v="1393"/>
    <n v="62"/>
    <n v="32333860"/>
    <s v="Action|Comedy"/>
    <s v="FranÃ§oise Yip"/>
    <x v="2612"/>
    <n v="29843"/>
    <s v="fight|gang|greed|street gang|wedding"/>
    <n v="81"/>
    <x v="2"/>
    <x v="4"/>
    <n v="7500000"/>
    <x v="33"/>
    <x v="21"/>
    <n v="960707.25"/>
    <n v="4141783.1629979899"/>
    <x v="2610"/>
    <x v="2612"/>
    <x v="1"/>
  </r>
  <r>
    <x v="1394"/>
    <n v="137"/>
    <n v="30307804"/>
    <s v="Drama|Fantasy|Horror"/>
    <s v="Aaliyah"/>
    <x v="2613"/>
    <n v="43991"/>
    <s v="fatal attraction|interspecies romance|queen|supernatural power|vampire"/>
    <n v="695"/>
    <x v="0"/>
    <x v="0"/>
    <n v="35000000"/>
    <x v="13"/>
    <x v="44"/>
    <n v="35000000"/>
    <n v="30307804"/>
    <x v="2611"/>
    <x v="2613"/>
    <x v="5"/>
  </r>
  <r>
    <x v="270"/>
    <n v="123"/>
    <n v="62933793"/>
    <s v="Drama|Family|Music|Romance"/>
    <s v="Kelly Preston"/>
    <x v="2614"/>
    <n v="62421"/>
    <s v="beach|fire|love|pianist|summer"/>
    <n v="185"/>
    <x v="0"/>
    <x v="0"/>
    <n v="20000000"/>
    <x v="11"/>
    <x v="30"/>
    <n v="20000000"/>
    <n v="62933793"/>
    <x v="2612"/>
    <x v="2614"/>
    <x v="5"/>
  </r>
  <r>
    <x v="1200"/>
    <n v="301"/>
    <n v="380838870"/>
    <s v="Adventure|Animation|Comedy|Family"/>
    <s v="Alexander Gould"/>
    <x v="2615"/>
    <n v="692482"/>
    <s v="great barrier reef|protective father|separation from family|shark|short term memory loss"/>
    <n v="866"/>
    <x v="0"/>
    <x v="0"/>
    <n v="94000000"/>
    <x v="19"/>
    <x v="60"/>
    <n v="94000000"/>
    <n v="380838870"/>
    <x v="2613"/>
    <x v="2615"/>
    <x v="0"/>
  </r>
  <r>
    <x v="1060"/>
    <n v="94"/>
    <n v="141600000"/>
    <s v="Comedy"/>
    <s v="John Belushi"/>
    <x v="2616"/>
    <n v="90177"/>
    <s v="academic probation|camera shot of feet|fraternity|school expulsion|smashing a guitar"/>
    <n v="257"/>
    <x v="0"/>
    <x v="0"/>
    <n v="3000000"/>
    <x v="44"/>
    <x v="10"/>
    <n v="3000000"/>
    <n v="141600000"/>
    <x v="2614"/>
    <x v="2616"/>
    <x v="4"/>
  </r>
  <r>
    <x v="1395"/>
    <n v="42"/>
    <n v="4193025"/>
    <s v="Comedy|Music"/>
    <s v="Natasha Lyonne"/>
    <x v="2617"/>
    <n v="30682"/>
    <s v="band|concert|high school|kiss|teenager"/>
    <n v="194"/>
    <x v="0"/>
    <x v="0"/>
    <n v="15000000"/>
    <x v="12"/>
    <x v="22"/>
    <n v="15000000"/>
    <n v="4193025"/>
    <x v="2615"/>
    <x v="2617"/>
    <x v="4"/>
  </r>
  <r>
    <x v="1262"/>
    <n v="123"/>
    <n v="10965209"/>
    <s v="Action|Crime|Drama|Thriller"/>
    <s v="Tyler Labine"/>
    <x v="2618"/>
    <n v="25558"/>
    <s v="boss|communications|computer|genius|job"/>
    <n v="221"/>
    <x v="0"/>
    <x v="0"/>
    <n v="30000000"/>
    <x v="9"/>
    <x v="7"/>
    <n v="30000000"/>
    <n v="10965209"/>
    <x v="2616"/>
    <x v="2618"/>
    <x v="1"/>
  </r>
  <r>
    <x v="166"/>
    <n v="104"/>
    <n v="50026353"/>
    <s v="Animation|Comedy|Family|Music|Western"/>
    <s v="Steve Buscemi"/>
    <x v="2619"/>
    <n v="13581"/>
    <s v="cattle|cow|dairy farm|farm|rustler"/>
    <n v="88"/>
    <x v="0"/>
    <x v="0"/>
    <n v="110000000"/>
    <x v="2"/>
    <x v="26"/>
    <n v="110000000"/>
    <n v="50026353"/>
    <x v="2617"/>
    <x v="2619"/>
    <x v="8"/>
  </r>
  <r>
    <x v="676"/>
    <n v="105"/>
    <n v="73701902"/>
    <s v="Comedy|Family"/>
    <s v="Jamie Lee Curtis"/>
    <x v="2620"/>
    <n v="27548"/>
    <s v="act of kindness|christmas|christmas eve|neighbor|vacation"/>
    <n v="209"/>
    <x v="0"/>
    <x v="0"/>
    <n v="60000000"/>
    <x v="2"/>
    <x v="44"/>
    <n v="60000000"/>
    <n v="73701902"/>
    <x v="2618"/>
    <x v="2620"/>
    <x v="4"/>
  </r>
  <r>
    <x v="295"/>
    <n v="211"/>
    <n v="20338609"/>
    <s v="Comedy|Drama|Music"/>
    <s v="Meryl Streep"/>
    <x v="2621"/>
    <n v="19655"/>
    <s v="backstage|country music|cowboy|radio|singing"/>
    <n v="280"/>
    <x v="0"/>
    <x v="0"/>
    <n v="10000000"/>
    <x v="7"/>
    <x v="22"/>
    <n v="10000000"/>
    <n v="20338609"/>
    <x v="2619"/>
    <x v="2621"/>
    <x v="4"/>
  </r>
  <r>
    <x v="1396"/>
    <n v="166"/>
    <n v="32600000"/>
    <s v="Horror|Thriller"/>
    <s v="Judie Aronson"/>
    <x v="2622"/>
    <n v="29488"/>
    <s v="friday the thirteenth|hockey mask|jason voorhees|morgue|slasher"/>
    <n v="326"/>
    <x v="0"/>
    <x v="0"/>
    <n v="1800000"/>
    <x v="17"/>
    <x v="0"/>
    <n v="1800000"/>
    <n v="32600000"/>
    <x v="2620"/>
    <x v="2622"/>
    <x v="6"/>
  </r>
  <r>
    <x v="366"/>
    <n v="128"/>
    <n v="17071230"/>
    <s v="Comedy|Crime"/>
    <s v="Woody Allen"/>
    <x v="2623"/>
    <n v="31169"/>
    <s v="apartment building|crook|new york city|three word title|written and directed by cast member"/>
    <n v="192"/>
    <x v="0"/>
    <x v="0"/>
    <n v="18000000"/>
    <x v="4"/>
    <x v="21"/>
    <n v="18000000"/>
    <n v="17071230"/>
    <x v="2621"/>
    <x v="2623"/>
    <x v="4"/>
  </r>
  <r>
    <x v="1397"/>
    <n v="173"/>
    <n v="17529157"/>
    <s v="Adventure|Drama|Horror|Mystery|Thriller"/>
    <s v="Radha Mitchell"/>
    <x v="2624"/>
    <n v="49888"/>
    <s v="18th birthday|alternate reality|introduction|nightmare|on the run"/>
    <n v="220"/>
    <x v="0"/>
    <x v="8"/>
    <n v="20000000"/>
    <x v="28"/>
    <x v="53"/>
    <n v="21694800"/>
    <n v="19014577.764180001"/>
    <x v="2622"/>
    <x v="2624"/>
    <x v="0"/>
  </r>
  <r>
    <x v="1398"/>
    <n v="42"/>
    <n v="2961991"/>
    <s v="Biography|Drama"/>
    <s v="Gary Oldman"/>
    <x v="2625"/>
    <n v="15885"/>
    <s v="andy warhol|art|artist|friendship|street artist"/>
    <n v="78"/>
    <x v="0"/>
    <x v="0"/>
    <n v="3300000"/>
    <x v="10"/>
    <x v="31"/>
    <n v="3300000"/>
    <n v="2961991"/>
    <x v="2623"/>
    <x v="2625"/>
    <x v="2"/>
  </r>
  <r>
    <x v="724"/>
    <n v="107"/>
    <n v="14015786"/>
    <s v="Drama|Romance"/>
    <s v="Jake Gyllenhaal"/>
    <x v="2626"/>
    <n v="37952"/>
    <s v="dysfunctional marriage|marijuana|small town|store|trying to conceive"/>
    <n v="298"/>
    <x v="0"/>
    <x v="0"/>
    <n v="5000000"/>
    <x v="13"/>
    <x v="20"/>
    <n v="5000000"/>
    <n v="14015786"/>
    <x v="2624"/>
    <x v="2626"/>
    <x v="5"/>
  </r>
  <r>
    <x v="194"/>
    <n v="321"/>
    <n v="127997349"/>
    <s v="Adventure|Comedy|Drama|Fantasy|Musical"/>
    <s v="Johnny Depp"/>
    <x v="2627"/>
    <n v="101178"/>
    <s v="based on stage musical|cinderella|little red riding hood|singing|witch"/>
    <n v="779"/>
    <x v="0"/>
    <x v="0"/>
    <n v="50000000"/>
    <x v="27"/>
    <x v="11"/>
    <n v="50000000"/>
    <n v="127997349"/>
    <x v="2625"/>
    <x v="2627"/>
    <x v="0"/>
  </r>
  <r>
    <x v="607"/>
    <n v="65"/>
    <n v="91030827"/>
    <s v="Comedy|Drama"/>
    <s v="Julia Roberts"/>
    <x v="2628"/>
    <n v="46482"/>
    <s v="attorney|cancer|custody|fashion photographer|photographer"/>
    <n v="252"/>
    <x v="0"/>
    <x v="0"/>
    <n v="50000000"/>
    <x v="6"/>
    <x v="21"/>
    <n v="50000000"/>
    <n v="91030827"/>
    <x v="2626"/>
    <x v="2628"/>
    <x v="4"/>
  </r>
  <r>
    <x v="929"/>
    <n v="75"/>
    <n v="55762229"/>
    <s v="Comedy|Sci-Fi"/>
    <s v="Louis Lombardi"/>
    <x v="2629"/>
    <n v="47383"/>
    <s v="camera focus on a female butt|cartoon on tv|forest|hairy buttocks|seal the animal"/>
    <n v="132"/>
    <x v="0"/>
    <x v="0"/>
    <n v="22000000"/>
    <x v="9"/>
    <x v="45"/>
    <n v="22000000"/>
    <n v="55762229"/>
    <x v="2627"/>
    <x v="2629"/>
    <x v="4"/>
  </r>
  <r>
    <x v="1399"/>
    <n v="11"/>
    <n v="69700000"/>
    <s v="Comedy|Musical"/>
    <s v="Dolly Parton"/>
    <x v="2630"/>
    <n v="7748"/>
    <s v="chicken|governor|locker room|sheriff|texas"/>
    <n v="48"/>
    <x v="0"/>
    <x v="0"/>
    <n v="35000000"/>
    <x v="42"/>
    <x v="30"/>
    <n v="35000000"/>
    <n v="69700000"/>
    <x v="2628"/>
    <x v="2630"/>
    <x v="4"/>
  </r>
  <r>
    <x v="110"/>
    <n v="216"/>
    <n v="46563158"/>
    <s v="Crime|Thriller"/>
    <s v="Radha Mitchell"/>
    <x v="2631"/>
    <n v="207934"/>
    <s v="phone booth|publicist|single set production|sniper|sniper rifle"/>
    <n v="629"/>
    <x v="0"/>
    <x v="0"/>
    <n v="13000000"/>
    <x v="13"/>
    <x v="17"/>
    <n v="13000000"/>
    <n v="46563158"/>
    <x v="2629"/>
    <x v="2631"/>
    <x v="3"/>
  </r>
  <r>
    <x v="561"/>
    <n v="92"/>
    <n v="27338033"/>
    <s v="Comedy|Romance"/>
    <s v="Hugh Jackman"/>
    <x v="2632"/>
    <n v="19709"/>
    <s v="apartment|girl in panties|roommate|thong panties|upskirt"/>
    <n v="167"/>
    <x v="0"/>
    <x v="0"/>
    <n v="23000000"/>
    <x v="9"/>
    <x v="7"/>
    <n v="23000000"/>
    <n v="27338033"/>
    <x v="2630"/>
    <x v="2632"/>
    <x v="4"/>
  </r>
  <r>
    <x v="828"/>
    <n v="182"/>
    <n v="4244155"/>
    <s v="Comedy|Drama"/>
    <s v="Judy Greer"/>
    <x v="2633"/>
    <n v="56005"/>
    <s v="basement|errand|secret admirer|slacker|wrong number"/>
    <n v="112"/>
    <x v="0"/>
    <x v="0"/>
    <n v="10000000"/>
    <x v="22"/>
    <x v="20"/>
    <n v="10000000"/>
    <n v="4244155"/>
    <x v="2631"/>
    <x v="2633"/>
    <x v="4"/>
  </r>
  <r>
    <x v="380"/>
    <n v="125"/>
    <n v="30695227"/>
    <s v="Drama|Fantasy|Sport"/>
    <s v="Matt Damon"/>
    <x v="2634"/>
    <n v="45296"/>
    <s v="caddy|game|golf|golf course|golfer"/>
    <n v="267"/>
    <x v="0"/>
    <x v="0"/>
    <n v="60000000"/>
    <x v="4"/>
    <x v="21"/>
    <n v="60000000"/>
    <n v="30695227"/>
    <x v="2632"/>
    <x v="2634"/>
    <x v="5"/>
  </r>
  <r>
    <x v="702"/>
    <n v="124"/>
    <n v="2975649"/>
    <s v="Biography|Drama|Romance"/>
    <s v="Emily Watson"/>
    <x v="2635"/>
    <n v="23864"/>
    <s v="book|children|friend|illustrator|letter"/>
    <n v="142"/>
    <x v="0"/>
    <x v="2"/>
    <n v="30000000"/>
    <x v="7"/>
    <x v="16"/>
    <n v="38562000"/>
    <n v="3824899.2245999998"/>
    <x v="2633"/>
    <x v="2635"/>
    <x v="2"/>
  </r>
  <r>
    <x v="332"/>
    <n v="63"/>
    <n v="38747385"/>
    <s v="Comedy|Horror|Musical|Sci-Fi"/>
    <s v="Bill Murray"/>
    <x v="2636"/>
    <n v="49349"/>
    <s v="eclipse|florist|nerd|plant|shop"/>
    <n v="165"/>
    <x v="0"/>
    <x v="0"/>
    <n v="25000000"/>
    <x v="18"/>
    <x v="31"/>
    <n v="25000000"/>
    <n v="38747385"/>
    <x v="2634"/>
    <x v="2636"/>
    <x v="4"/>
  </r>
  <r>
    <x v="101"/>
    <n v="81"/>
    <n v="101228120"/>
    <s v="Action|Drama|Mystery|Thriller"/>
    <s v="Vanessa Williams"/>
    <x v="2637"/>
    <n v="84424"/>
    <s v="assassination attempt|corporate crime|rogue agent|witness|witness protection program"/>
    <n v="131"/>
    <x v="0"/>
    <x v="0"/>
    <n v="100000000"/>
    <x v="10"/>
    <x v="7"/>
    <n v="100000000"/>
    <n v="101228120"/>
    <x v="2635"/>
    <x v="2637"/>
    <x v="1"/>
  </r>
  <r>
    <x v="62"/>
    <n v="158"/>
    <n v="37339525"/>
    <s v="Crime|Drama|Romance|Thriller"/>
    <s v="Don Cheadle"/>
    <x v="2638"/>
    <n v="71708"/>
    <s v="heist|neo noir|one last job|opposites attract|u.s. marshal"/>
    <n v="307"/>
    <x v="0"/>
    <x v="0"/>
    <n v="48000000"/>
    <x v="6"/>
    <x v="16"/>
    <n v="48000000"/>
    <n v="37339525"/>
    <x v="2636"/>
    <x v="2638"/>
    <x v="3"/>
  </r>
  <r>
    <x v="1400"/>
    <n v="78"/>
    <n v="2126511"/>
    <s v="Action|Biography|Drama|History"/>
    <s v="Mike Tyson"/>
    <x v="2639"/>
    <n v="21912"/>
    <s v="1950s|cancer|hong kong|martial arts school|wing chun"/>
    <n v="45"/>
    <x v="2"/>
    <x v="4"/>
    <n v="36000000"/>
    <x v="1"/>
    <x v="33"/>
    <n v="4611394.8"/>
    <n v="272393.93798729999"/>
    <x v="2637"/>
    <x v="2639"/>
    <x v="1"/>
  </r>
  <r>
    <x v="180"/>
    <n v="63"/>
    <n v="65807024"/>
    <s v="Action|Comedy|Crime|Drama|Thriller"/>
    <s v="Will Smith"/>
    <x v="2640"/>
    <n v="172405"/>
    <s v="drugs|heroin|murder|police|witness"/>
    <n v="203"/>
    <x v="0"/>
    <x v="0"/>
    <n v="19000000"/>
    <x v="33"/>
    <x v="22"/>
    <n v="19000000"/>
    <n v="65807024"/>
    <x v="2638"/>
    <x v="2640"/>
    <x v="1"/>
  </r>
  <r>
    <x v="90"/>
    <n v="225"/>
    <n v="214966"/>
    <s v="Crime|Drama|Thriller"/>
    <s v="Liam Aiken"/>
    <x v="2641"/>
    <n v="28483"/>
    <s v="deputy|murder|revenge|sheriff|texas"/>
    <n v="176"/>
    <x v="0"/>
    <x v="0"/>
    <n v="13000000"/>
    <x v="11"/>
    <x v="7"/>
    <n v="13000000"/>
    <n v="214966"/>
    <x v="2639"/>
    <x v="2641"/>
    <x v="3"/>
  </r>
  <r>
    <x v="490"/>
    <n v="279"/>
    <n v="31471430"/>
    <s v="Drama|History|Thriller"/>
    <s v="Christian Clemenson"/>
    <x v="2642"/>
    <n v="83374"/>
    <s v="flight|passenger|plane|september 11 2001|terrorist"/>
    <n v="828"/>
    <x v="0"/>
    <x v="0"/>
    <n v="15000000"/>
    <x v="7"/>
    <x v="10"/>
    <n v="15000000"/>
    <n v="31471430"/>
    <x v="2640"/>
    <x v="2642"/>
    <x v="5"/>
  </r>
  <r>
    <x v="1283"/>
    <n v="299"/>
    <n v="49024969"/>
    <s v="Crime|Drama|Mystery|Thriller"/>
    <s v="Tom Wilkinson"/>
    <x v="2643"/>
    <n v="133367"/>
    <s v="attorney|debt|fixer|law|law firm"/>
    <n v="363"/>
    <x v="0"/>
    <x v="0"/>
    <n v="25000000"/>
    <x v="15"/>
    <x v="4"/>
    <n v="25000000"/>
    <n v="49024969"/>
    <x v="2641"/>
    <x v="2643"/>
    <x v="3"/>
  </r>
  <r>
    <x v="1401"/>
    <n v="29"/>
    <n v="279282"/>
    <s v="Comedy|Drama|Romance"/>
    <s v="Shiri Appleby"/>
    <x v="2644"/>
    <n v="3806"/>
    <s v="bully comeuppance|high school|painter|reference to led zeppelin|wetting pants"/>
    <n v="49"/>
    <x v="0"/>
    <x v="0"/>
    <n v="1000000"/>
    <x v="19"/>
    <x v="7"/>
    <n v="1000000"/>
    <n v="279282"/>
    <x v="2642"/>
    <x v="2644"/>
    <x v="4"/>
  </r>
  <r>
    <x v="407"/>
    <n v="447"/>
    <n v="98780042"/>
    <s v="Action|Comedy|Crime|Sci-Fi|Thriller"/>
    <s v="Christoph Waltz"/>
    <x v="2645"/>
    <n v="136019"/>
    <s v="heir|kung fu|party|playboy|superhero"/>
    <n v="443"/>
    <x v="0"/>
    <x v="0"/>
    <n v="120000000"/>
    <x v="22"/>
    <x v="30"/>
    <n v="120000000"/>
    <n v="98780042"/>
    <x v="2643"/>
    <x v="2645"/>
    <x v="1"/>
  </r>
  <r>
    <x v="227"/>
    <n v="109"/>
    <n v="32616869"/>
    <s v="Action|Drama|Sport"/>
    <s v="Sylvester Stallone"/>
    <x v="2646"/>
    <n v="34435"/>
    <s v="car race|german|race car|race car driver|rookie"/>
    <n v="346"/>
    <x v="0"/>
    <x v="0"/>
    <n v="72000000"/>
    <x v="9"/>
    <x v="47"/>
    <n v="72000000"/>
    <n v="32616869"/>
    <x v="2644"/>
    <x v="2646"/>
    <x v="1"/>
  </r>
  <r>
    <x v="529"/>
    <n v="279"/>
    <n v="9483821"/>
    <s v="Action|Thriller"/>
    <s v="Sylvester Stallone"/>
    <x v="2647"/>
    <n v="39247"/>
    <s v="bar|bullet|corruption|detective|lawyer"/>
    <n v="131"/>
    <x v="0"/>
    <x v="0"/>
    <n v="55000000"/>
    <x v="28"/>
    <x v="35"/>
    <n v="55000000"/>
    <n v="9483821"/>
    <x v="2645"/>
    <x v="2647"/>
    <x v="1"/>
  </r>
  <r>
    <x v="140"/>
    <n v="83"/>
    <n v="65500000"/>
    <s v="Crime|Drama|Romance|Thriller"/>
    <s v="Harrison Ford"/>
    <x v="2648"/>
    <n v="66966"/>
    <s v="amish|love|murder|police|train"/>
    <n v="175"/>
    <x v="0"/>
    <x v="0"/>
    <n v="12000000"/>
    <x v="37"/>
    <x v="39"/>
    <n v="12000000"/>
    <n v="65500000"/>
    <x v="2646"/>
    <x v="2648"/>
    <x v="3"/>
  </r>
  <r>
    <x v="765"/>
    <n v="192"/>
    <n v="866778"/>
    <s v="Drama|Romance"/>
    <s v="Natalie Portman"/>
    <x v="2649"/>
    <n v="44208"/>
    <s v="blueberry pie|diner|nevada|new york city|pie"/>
    <n v="117"/>
    <x v="0"/>
    <x v="4"/>
    <n v="10000000"/>
    <x v="15"/>
    <x v="21"/>
    <n v="1280943"/>
    <n v="111029.321165399"/>
    <x v="2647"/>
    <x v="2649"/>
    <x v="5"/>
  </r>
  <r>
    <x v="538"/>
    <n v="77"/>
    <n v="26400000"/>
    <s v="Action|Adventure|Fantasy"/>
    <s v="Mako"/>
    <x v="2650"/>
    <n v="62009"/>
    <s v="gods|princess|queen|rescue|wizard"/>
    <n v="109"/>
    <x v="0"/>
    <x v="0"/>
    <n v="18000000"/>
    <x v="17"/>
    <x v="30"/>
    <n v="18000000"/>
    <n v="26400000"/>
    <x v="2648"/>
    <x v="2650"/>
    <x v="1"/>
  </r>
  <r>
    <x v="805"/>
    <n v="198"/>
    <n v="181166115"/>
    <s v="Action|Adventure|Sci-Fi|Thriller"/>
    <s v="Michael Jeter"/>
    <x v="2651"/>
    <n v="219501"/>
    <s v="dinosaur|island|jurassic park|paleontologist|search"/>
    <n v="1236"/>
    <x v="0"/>
    <x v="0"/>
    <n v="93000000"/>
    <x v="9"/>
    <x v="0"/>
    <n v="93000000"/>
    <n v="181166115"/>
    <x v="2649"/>
    <x v="2651"/>
    <x v="1"/>
  </r>
  <r>
    <x v="603"/>
    <n v="193"/>
    <n v="47806295"/>
    <s v="Horror|Mystery|Thriller"/>
    <s v="Gena Rowlands"/>
    <x v="2652"/>
    <n v="87447"/>
    <s v="attic|bound and gagged|hoodoo|secret|southern gothic"/>
    <n v="371"/>
    <x v="0"/>
    <x v="0"/>
    <n v="43000000"/>
    <x v="25"/>
    <x v="20"/>
    <n v="43000000"/>
    <n v="47806295"/>
    <x v="2650"/>
    <x v="2652"/>
    <x v="6"/>
  </r>
  <r>
    <x v="891"/>
    <n v="153"/>
    <n v="26384919"/>
    <s v="Drama"/>
    <s v="Don Cheadle"/>
    <x v="2653"/>
    <n v="189032"/>
    <s v="1970s|adult entertainment industry|nightclub|porn industry|san fernando valley california"/>
    <n v="560"/>
    <x v="0"/>
    <x v="0"/>
    <n v="15000000"/>
    <x v="31"/>
    <x v="19"/>
    <n v="15000000"/>
    <n v="26384919"/>
    <x v="2651"/>
    <x v="2653"/>
    <x v="5"/>
  </r>
  <r>
    <x v="179"/>
    <n v="102"/>
    <n v="8396942"/>
    <s v="Adventure|Comedy|Romance"/>
    <s v="Katrina Bowden"/>
    <x v="2654"/>
    <n v="72715"/>
    <s v="amish|friend|friendship|high school|virgin"/>
    <n v="103"/>
    <x v="0"/>
    <x v="0"/>
    <n v="19000000"/>
    <x v="20"/>
    <x v="20"/>
    <n v="19000000"/>
    <n v="8396942"/>
    <x v="2652"/>
    <x v="2654"/>
    <x v="0"/>
  </r>
  <r>
    <x v="1402"/>
    <n v="39"/>
    <n v="886410"/>
    <s v="Drama|History"/>
    <s v="Elpidia Carrillo"/>
    <x v="2655"/>
    <n v="1024"/>
    <s v="1520s|aztec|indian|spanish colonization|spanish conquest"/>
    <n v="494"/>
    <x v="9"/>
    <x v="13"/>
    <n v="3500000"/>
    <x v="6"/>
    <x v="22"/>
    <n v="189716.41500000001"/>
    <n v="48047.579262899999"/>
    <x v="2653"/>
    <x v="2655"/>
    <x v="5"/>
  </r>
  <r>
    <x v="1403"/>
    <n v="218"/>
    <n v="12555230"/>
    <s v="Drama|Horror|Mystery|Thriller"/>
    <s v="Eric Sheffer Stevens"/>
    <x v="2656"/>
    <n v="18566"/>
    <s v="bound and gagged|girl|haunted house|hearing noises|uninterrupted shot"/>
    <n v="154"/>
    <x v="0"/>
    <x v="8"/>
    <n v="2000000"/>
    <x v="22"/>
    <x v="1"/>
    <n v="2169480"/>
    <n v="13619160.190199999"/>
    <x v="2654"/>
    <x v="2656"/>
    <x v="5"/>
  </r>
  <r>
    <x v="1404"/>
    <n v="143"/>
    <n v="424760"/>
    <s v="Drama|Sci-Fi|Thriller"/>
    <s v="Shane Carruth"/>
    <x v="2657"/>
    <n v="72639"/>
    <s v="changing the future|independent film|invention|nonlinear timeline|time travel"/>
    <n v="371"/>
    <x v="0"/>
    <x v="0"/>
    <n v="7000"/>
    <x v="2"/>
    <x v="16"/>
    <n v="7000"/>
    <n v="424760"/>
    <x v="2655"/>
    <x v="2657"/>
    <x v="5"/>
  </r>
  <r>
    <x v="135"/>
    <n v="31"/>
    <n v="53146000"/>
    <s v="Crime|Drama|Thriller"/>
    <s v="Joe Mantegna"/>
    <x v="2658"/>
    <n v="9845"/>
    <s v="justice|rape|self defense|support group|vigilante"/>
    <n v="77"/>
    <x v="0"/>
    <x v="0"/>
    <n v="20000000"/>
    <x v="10"/>
    <x v="7"/>
    <n v="20000000"/>
    <n v="53146000"/>
    <x v="2656"/>
    <x v="2658"/>
    <x v="3"/>
  </r>
  <r>
    <x v="1119"/>
    <n v="192"/>
    <n v="5501940"/>
    <s v="Biography|Drama|History|War"/>
    <s v="Thomas Kretschmann"/>
    <x v="2659"/>
    <n v="248354"/>
    <s v="bunker|hitler|nazi|no exit|war ruins"/>
    <n v="564"/>
    <x v="7"/>
    <x v="5"/>
    <n v="13500000"/>
    <x v="2"/>
    <x v="36"/>
    <n v="14643990"/>
    <n v="5968174.3956000004"/>
    <x v="2657"/>
    <x v="2659"/>
    <x v="2"/>
  </r>
  <r>
    <x v="774"/>
    <n v="88"/>
    <n v="18882880"/>
    <s v="Comedy|Drama"/>
    <s v="Hector Elizondo"/>
    <x v="2660"/>
    <n v="20539"/>
    <s v="alcoholic|rules|secret|summer|teenager"/>
    <n v="125"/>
    <x v="0"/>
    <x v="0"/>
    <n v="20000000"/>
    <x v="15"/>
    <x v="0"/>
    <n v="20000000"/>
    <n v="18882880"/>
    <x v="2658"/>
    <x v="2660"/>
    <x v="4"/>
  </r>
  <r>
    <x v="462"/>
    <n v="183"/>
    <n v="68558662"/>
    <s v="Adventure|Family|Fantasy"/>
    <s v="Logan Lerman"/>
    <x v="2661"/>
    <n v="86627"/>
    <s v="golden fleece|half brother|magical tree|sea|tree"/>
    <n v="204"/>
    <x v="0"/>
    <x v="0"/>
    <n v="90000000"/>
    <x v="0"/>
    <x v="0"/>
    <n v="90000000"/>
    <n v="68558662"/>
    <x v="2659"/>
    <x v="2661"/>
    <x v="0"/>
  </r>
  <r>
    <x v="1405"/>
    <n v="189"/>
    <n v="22451"/>
    <s v="Drama|Fantasy|Mystery|Romance"/>
    <s v="Matt Bomer"/>
    <x v="2662"/>
    <n v="41288"/>
    <s v="black and white photograph|drawing with blood|falling through ice|playing piano|red haired woman"/>
    <n v="126"/>
    <x v="0"/>
    <x v="0"/>
    <n v="60000000"/>
    <x v="27"/>
    <x v="5"/>
    <n v="60000000"/>
    <n v="22451"/>
    <x v="2660"/>
    <x v="2662"/>
    <x v="5"/>
  </r>
  <r>
    <x v="771"/>
    <n v="99"/>
    <n v="52287414"/>
    <s v="Adventure|Drama"/>
    <s v="Marshall Bell"/>
    <x v="2663"/>
    <n v="271794"/>
    <s v="friendship|summertime|treehouse|walking on train tracks|woods"/>
    <n v="584"/>
    <x v="0"/>
    <x v="0"/>
    <n v="8000000"/>
    <x v="18"/>
    <x v="40"/>
    <n v="8000000"/>
    <n v="52287414"/>
    <x v="2661"/>
    <x v="2663"/>
    <x v="0"/>
  </r>
  <r>
    <x v="1406"/>
    <n v="181"/>
    <n v="5004648"/>
    <s v="Drama|Romance"/>
    <s v="Flavio Parenti"/>
    <x v="2664"/>
    <n v="14031"/>
    <s v="chef|friend|italy|restaurant|russian"/>
    <n v="114"/>
    <x v="1"/>
    <x v="1"/>
    <n v="10000000"/>
    <x v="16"/>
    <x v="16"/>
    <n v="10847400"/>
    <n v="5428741.8715199996"/>
    <x v="2662"/>
    <x v="2664"/>
    <x v="5"/>
  </r>
  <r>
    <x v="1407"/>
    <n v="29"/>
    <n v="12200000"/>
    <s v="Action|Crime|Drama|Thriller|Western"/>
    <s v="David Carradine"/>
    <x v="2665"/>
    <n v="7973"/>
    <s v="drugs|martial arts|texas|texas ranger|weapon"/>
    <n v="65"/>
    <x v="0"/>
    <x v="0"/>
    <n v="5000000"/>
    <x v="30"/>
    <x v="23"/>
    <n v="5000000"/>
    <n v="12200000"/>
    <x v="937"/>
    <x v="2665"/>
    <x v="1"/>
  </r>
  <r>
    <x v="1408"/>
    <n v="57"/>
    <n v="49797148"/>
    <s v="Comedy|Sport"/>
    <s v="Corbin Bernsen"/>
    <x v="2666"/>
    <n v="49007"/>
    <s v="cleveland indians|league|manager|owner|team"/>
    <n v="97"/>
    <x v="0"/>
    <x v="0"/>
    <n v="11000000"/>
    <x v="26"/>
    <x v="33"/>
    <n v="11000000"/>
    <n v="49797148"/>
    <x v="2663"/>
    <x v="2666"/>
    <x v="4"/>
  </r>
  <r>
    <x v="1409"/>
    <n v="49"/>
    <n v="28972187"/>
    <s v="Comedy"/>
    <s v="Zooey Deschanel"/>
    <x v="2667"/>
    <n v="28805"/>
    <s v="cheerleader|geek|high school|prison|reference to janet jackson"/>
    <n v="159"/>
    <x v="0"/>
    <x v="0"/>
    <n v="13000000"/>
    <x v="13"/>
    <x v="0"/>
    <n v="13000000"/>
    <n v="28972187"/>
    <x v="2664"/>
    <x v="2667"/>
    <x v="4"/>
  </r>
  <r>
    <x v="1410"/>
    <n v="112"/>
    <n v="3629758"/>
    <s v="Drama|Music"/>
    <s v="Jean-Baptiste Maunier"/>
    <x v="2668"/>
    <n v="44151"/>
    <s v="boarding school|boy|choir|school|teacher"/>
    <n v="110"/>
    <x v="4"/>
    <x v="8"/>
    <n v="5500000"/>
    <x v="2"/>
    <x v="19"/>
    <n v="5966070"/>
    <n v="3937343.6929199998"/>
    <x v="2665"/>
    <x v="2668"/>
    <x v="5"/>
  </r>
  <r>
    <x v="1411"/>
    <n v="52"/>
    <n v="13235267"/>
    <s v="Comedy|Family"/>
    <s v="Lochlyn Munro"/>
    <x v="2669"/>
    <n v="12339"/>
    <s v="competition|estranged father|skunk|summer camp|wall"/>
    <n v="32"/>
    <x v="0"/>
    <x v="0"/>
    <n v="6000000"/>
    <x v="15"/>
    <x v="70"/>
    <n v="6000000"/>
    <n v="13235267"/>
    <x v="2666"/>
    <x v="2669"/>
    <x v="4"/>
  </r>
  <r>
    <x v="1412"/>
    <n v="31"/>
    <n v="399793"/>
    <s v="Drama"/>
    <s v="Kelly Macdonald"/>
    <x v="2670"/>
    <n v="2877"/>
    <s v="1950s|italian|murder|tunisia|vomiting"/>
    <n v="70"/>
    <x v="0"/>
    <x v="0"/>
    <n v="4000000"/>
    <x v="12"/>
    <x v="26"/>
    <n v="4000000"/>
    <n v="399793"/>
    <x v="2667"/>
    <x v="2670"/>
    <x v="5"/>
  </r>
  <r>
    <x v="6"/>
    <n v="140"/>
    <n v="39647595"/>
    <s v="Crime|Thriller"/>
    <s v="Robert De Niro"/>
    <x v="2671"/>
    <n v="239540"/>
    <s v="arms dealer|atf|bail|money|multiple perspectives"/>
    <n v="462"/>
    <x v="0"/>
    <x v="0"/>
    <n v="12000000"/>
    <x v="31"/>
    <x v="2"/>
    <n v="12000000"/>
    <n v="39647595"/>
    <x v="2668"/>
    <x v="2671"/>
    <x v="3"/>
  </r>
  <r>
    <x v="1364"/>
    <n v="184"/>
    <n v="70001065"/>
    <s v="Action|Horror"/>
    <s v="Sanaa Lathan"/>
    <x v="2672"/>
    <n v="191437"/>
    <s v="1990s|blade|blood|vampire|vampire hunter"/>
    <n v="582"/>
    <x v="0"/>
    <x v="0"/>
    <n v="45000000"/>
    <x v="6"/>
    <x v="17"/>
    <n v="45000000"/>
    <n v="70001065"/>
    <x v="2669"/>
    <x v="2672"/>
    <x v="1"/>
  </r>
  <r>
    <x v="827"/>
    <n v="183"/>
    <n v="118683135"/>
    <s v="Comedy|Drama|Romance"/>
    <s v="Jon Favreau"/>
    <x v="2673"/>
    <n v="102167"/>
    <s v="art|break up|football video game|kitchen|talking to one's self in a mirror"/>
    <n v="483"/>
    <x v="0"/>
    <x v="0"/>
    <n v="52000000"/>
    <x v="7"/>
    <x v="30"/>
    <n v="52000000"/>
    <n v="118683135"/>
    <x v="2670"/>
    <x v="2673"/>
    <x v="4"/>
  </r>
  <r>
    <x v="828"/>
    <n v="51"/>
    <n v="192467"/>
    <s v="Comedy|Drama|Romance"/>
    <s v="Mark Duplass"/>
    <x v="2674"/>
    <n v="4067"/>
    <s v="birthday|gift|motel|new york city|upholsterer"/>
    <n v="71"/>
    <x v="0"/>
    <x v="0"/>
    <n v="15000"/>
    <x v="25"/>
    <x v="14"/>
    <n v="15000"/>
    <n v="192467"/>
    <x v="2671"/>
    <x v="2674"/>
    <x v="4"/>
  </r>
  <r>
    <x v="1413"/>
    <n v="238"/>
    <n v="100659"/>
    <s v="Horror"/>
    <s v="Lena Dunham"/>
    <x v="2675"/>
    <n v="30160"/>
    <s v="cult film|eclipse|haunted house|lunar eclipse|secret"/>
    <n v="193"/>
    <x v="0"/>
    <x v="0"/>
    <n v="900000"/>
    <x v="16"/>
    <x v="24"/>
    <n v="900000"/>
    <n v="100659"/>
    <x v="2672"/>
    <x v="2675"/>
    <x v="6"/>
  </r>
  <r>
    <x v="68"/>
    <n v="62"/>
    <n v="6712451"/>
    <s v="Comedy|Romance"/>
    <s v="Del Zamora"/>
    <x v="2676"/>
    <n v="4102"/>
    <s v="anniversary|architect|cellist|friend|hardware store"/>
    <n v="89"/>
    <x v="0"/>
    <x v="0"/>
    <n v="90000000"/>
    <x v="9"/>
    <x v="8"/>
    <n v="90000000"/>
    <n v="6712451"/>
    <x v="2673"/>
    <x v="2676"/>
    <x v="4"/>
  </r>
  <r>
    <x v="34"/>
    <n v="174"/>
    <n v="88915214"/>
    <s v="Comedy|Romance"/>
    <s v="Gerard Butler"/>
    <x v="2677"/>
    <n v="163665"/>
    <s v="call in|chick flick|date|hot air balloon|show producer"/>
    <n v="169"/>
    <x v="0"/>
    <x v="0"/>
    <n v="38000000"/>
    <x v="16"/>
    <x v="20"/>
    <n v="38000000"/>
    <n v="88915214"/>
    <x v="2674"/>
    <x v="2677"/>
    <x v="4"/>
  </r>
  <r>
    <x v="1414"/>
    <n v="97"/>
    <n v="11614236"/>
    <s v="Comedy"/>
    <s v="Jeff Bridges"/>
    <x v="2678"/>
    <n v="9294"/>
    <s v="directed by star|muse|satire|screenwriter|tiffany's"/>
    <n v="140"/>
    <x v="0"/>
    <x v="0"/>
    <n v="15000000"/>
    <x v="12"/>
    <x v="15"/>
    <n v="15000000"/>
    <n v="11614236"/>
    <x v="2675"/>
    <x v="2678"/>
    <x v="4"/>
  </r>
  <r>
    <x v="1415"/>
    <n v="46"/>
    <n v="90443603"/>
    <s v="Adventure|Animation|Comedy|Family|Fantasy|Sci-Fi|Sport"/>
    <s v="Bill Murray"/>
    <x v="2679"/>
    <n v="112167"/>
    <s v="alien|basketball|basketball game|cult film|monstars"/>
    <n v="123"/>
    <x v="0"/>
    <x v="0"/>
    <n v="80000000"/>
    <x v="10"/>
    <x v="23"/>
    <n v="80000000"/>
    <n v="90443603"/>
    <x v="2676"/>
    <x v="2679"/>
    <x v="0"/>
  </r>
  <r>
    <x v="327"/>
    <n v="178"/>
    <n v="42638165"/>
    <s v="Drama|Fantasy|Horror|Mystery|Thriller"/>
    <s v="Gary Oldman"/>
    <x v="376"/>
    <n v="42183"/>
    <s v="babysitting|experiment|nightmare|possession|twin"/>
    <n v="230"/>
    <x v="0"/>
    <x v="0"/>
    <n v="16000000"/>
    <x v="16"/>
    <x v="45"/>
    <n v="16000000"/>
    <n v="42638165"/>
    <x v="376"/>
    <x v="376"/>
    <x v="5"/>
  </r>
  <r>
    <x v="1416"/>
    <n v="166"/>
    <n v="83024900"/>
    <s v="Adventure|Animation|Comedy|Family|Sport"/>
    <s v="Ryan Reynolds"/>
    <x v="2680"/>
    <n v="62424"/>
    <s v="accident|freak accident|race|snail|underdog"/>
    <n v="90"/>
    <x v="0"/>
    <x v="0"/>
    <n v="135000000"/>
    <x v="0"/>
    <x v="20"/>
    <n v="135000000"/>
    <n v="83024900"/>
    <x v="2677"/>
    <x v="2680"/>
    <x v="0"/>
  </r>
  <r>
    <x v="366"/>
    <n v="177"/>
    <n v="10515579"/>
    <s v="Comedy|Crime|Mystery"/>
    <s v="Scarlett Johansson"/>
    <x v="2681"/>
    <n v="66840"/>
    <s v="english garden|fake drowning|fake parent|musical instrument|poker the card game"/>
    <n v="248"/>
    <x v="0"/>
    <x v="2"/>
    <n v="4000000"/>
    <x v="7"/>
    <x v="21"/>
    <n v="5141599.9999999898"/>
    <n v="13516725.2465999"/>
    <x v="2678"/>
    <x v="2681"/>
    <x v="4"/>
  </r>
  <r>
    <x v="305"/>
    <n v="90"/>
    <n v="4280577"/>
    <s v="Drama|Romance|Sport"/>
    <s v="Sean Pertwee"/>
    <x v="2682"/>
    <n v="50919"/>
    <s v="barrio|border|newcastle united|party|soccer"/>
    <n v="114"/>
    <x v="0"/>
    <x v="0"/>
    <n v="10000000"/>
    <x v="25"/>
    <x v="22"/>
    <n v="10000000"/>
    <n v="4280577"/>
    <x v="2679"/>
    <x v="2682"/>
    <x v="5"/>
  </r>
  <r>
    <x v="1417"/>
    <n v="39"/>
    <n v="5430822"/>
    <s v="Action|Crime|Horror|Sci-Fi|Thriller"/>
    <s v="Michael J. Pollard"/>
    <x v="2683"/>
    <n v="8391"/>
    <s v="appearing from water|breasts|creature|partner|water"/>
    <n v="75"/>
    <x v="0"/>
    <x v="2"/>
    <n v="7000000"/>
    <x v="8"/>
    <x v="5"/>
    <n v="8997800"/>
    <n v="6980778.5987999896"/>
    <x v="2680"/>
    <x v="2683"/>
    <x v="1"/>
  </r>
  <r>
    <x v="776"/>
    <n v="25"/>
    <n v="22189039"/>
    <s v="Action|Crime|Drama|Romance|Thriller"/>
    <s v="Kieran Culkin"/>
    <x v="2684"/>
    <n v="17074"/>
    <s v="business|escaped convict|farm|motorcycle|widow"/>
    <n v="55"/>
    <x v="0"/>
    <x v="0"/>
    <n v="15000000"/>
    <x v="23"/>
    <x v="28"/>
    <n v="15000000"/>
    <n v="22189039"/>
    <x v="2681"/>
    <x v="2684"/>
    <x v="1"/>
  </r>
  <r>
    <x v="683"/>
    <n v="142"/>
    <n v="7156933"/>
    <s v="Comedy|Drama"/>
    <s v="Hope Davis"/>
    <x v="2685"/>
    <n v="14581"/>
    <s v="book|fabrication|fake|hoax|manuscript"/>
    <n v="74"/>
    <x v="0"/>
    <x v="0"/>
    <n v="25000000"/>
    <x v="7"/>
    <x v="21"/>
    <n v="25000000"/>
    <n v="7156933"/>
    <x v="2682"/>
    <x v="2685"/>
    <x v="4"/>
  </r>
  <r>
    <x v="1418"/>
    <n v="82"/>
    <n v="72000000"/>
    <s v="Drama|Family|Musical|Romance"/>
    <s v="Jeremy Brett"/>
    <x v="2686"/>
    <n v="66959"/>
    <s v="colonel|flower girl|professor|street|wager"/>
    <n v="258"/>
    <x v="0"/>
    <x v="0"/>
    <n v="17000000"/>
    <x v="3"/>
    <x v="19"/>
    <n v="17000000"/>
    <n v="72000000"/>
    <x v="2683"/>
    <x v="2686"/>
    <x v="5"/>
  </r>
  <r>
    <x v="1419"/>
    <n v="151"/>
    <n v="13987482"/>
    <s v="Comedy|Romance"/>
    <s v="Chris Evans"/>
    <x v="2687"/>
    <n v="58957"/>
    <s v="ex boyfriend|morning after|prince charming|quarrel|womanizer"/>
    <n v="91"/>
    <x v="0"/>
    <x v="0"/>
    <n v="20000000"/>
    <x v="22"/>
    <x v="11"/>
    <n v="20000000"/>
    <n v="13987482"/>
    <x v="2684"/>
    <x v="2687"/>
    <x v="4"/>
  </r>
  <r>
    <x v="1420"/>
    <n v="83"/>
    <n v="25615792"/>
    <s v="Action|Comedy|Music"/>
    <s v="Damon Wayans Jr."/>
    <x v="2688"/>
    <n v="10161"/>
    <s v="african american|dance|overalls|parody|rap"/>
    <n v="50"/>
    <x v="0"/>
    <x v="0"/>
    <n v="25000000"/>
    <x v="16"/>
    <x v="51"/>
    <n v="25000000"/>
    <n v="25615792"/>
    <x v="2685"/>
    <x v="2688"/>
    <x v="1"/>
  </r>
  <r>
    <x v="34"/>
    <n v="163"/>
    <n v="95001351"/>
    <s v="Comedy|Romance"/>
    <s v="Linda Cardellini"/>
    <x v="2689"/>
    <n v="131801"/>
    <s v="blonde|harvard|law|law school|sorority"/>
    <n v="548"/>
    <x v="0"/>
    <x v="0"/>
    <n v="18000000"/>
    <x v="9"/>
    <x v="5"/>
    <n v="18000000"/>
    <n v="95001351"/>
    <x v="2686"/>
    <x v="2689"/>
    <x v="4"/>
  </r>
  <r>
    <x v="1421"/>
    <n v="215"/>
    <n v="18469"/>
    <s v="Drama|Horror|Sci-Fi"/>
    <s v="Connor Paolo"/>
    <x v="2690"/>
    <n v="34263"/>
    <s v="canada|post apocalypse|road movie|vampire|vampire hunter"/>
    <n v="141"/>
    <x v="0"/>
    <x v="0"/>
    <n v="650000"/>
    <x v="11"/>
    <x v="20"/>
    <n v="650000"/>
    <n v="18469"/>
    <x v="2687"/>
    <x v="2690"/>
    <x v="5"/>
  </r>
  <r>
    <x v="866"/>
    <n v="128"/>
    <n v="90556401"/>
    <s v="Comedy|Drama|Family|Music|Musical|Romance"/>
    <s v="Lucas Grabeel"/>
    <x v="2691"/>
    <n v="43795"/>
    <s v="basketball|curtain call|graduation|high school|high school senior"/>
    <n v="171"/>
    <x v="0"/>
    <x v="0"/>
    <n v="11000000"/>
    <x v="20"/>
    <x v="47"/>
    <n v="11000000"/>
    <n v="90556401"/>
    <x v="2688"/>
    <x v="2691"/>
    <x v="4"/>
  </r>
  <r>
    <x v="1422"/>
    <n v="218"/>
    <n v="38297305"/>
    <s v="Action|Adventure|Drama|Fantasy"/>
    <s v="Keanu Reeves"/>
    <x v="2692"/>
    <n v="116994"/>
    <s v="box office flop|ronin|samurai|shogun|tournament"/>
    <n v="324"/>
    <x v="0"/>
    <x v="0"/>
    <n v="175000000"/>
    <x v="0"/>
    <x v="23"/>
    <n v="175000000"/>
    <n v="38297305"/>
    <x v="2689"/>
    <x v="2692"/>
    <x v="1"/>
  </r>
  <r>
    <x v="297"/>
    <n v="362"/>
    <n v="127490802"/>
    <s v="Drama|Fantasy|Romance"/>
    <s v="Brad Pitt"/>
    <x v="2693"/>
    <n v="459346"/>
    <s v="deformed baby|diary|lingerie slip|older man younger woman relationship|premature aging"/>
    <n v="822"/>
    <x v="0"/>
    <x v="0"/>
    <n v="150000000"/>
    <x v="20"/>
    <x v="38"/>
    <n v="150000000"/>
    <n v="127490802"/>
    <x v="2690"/>
    <x v="2693"/>
    <x v="5"/>
  </r>
  <r>
    <x v="120"/>
    <n v="136"/>
    <n v="31874869"/>
    <s v="Crime|Mystery|Thriller"/>
    <s v="Ryan Gosling"/>
    <x v="122"/>
    <n v="43575"/>
    <s v="disposing of a dead body|high school student|murder|sociopath|teenage boy"/>
    <n v="302"/>
    <x v="0"/>
    <x v="0"/>
    <n v="50000000"/>
    <x v="13"/>
    <x v="7"/>
    <n v="50000000"/>
    <n v="31874869"/>
    <x v="122"/>
    <x v="122"/>
    <x v="3"/>
  </r>
  <r>
    <x v="1423"/>
    <n v="8"/>
    <n v="11798"/>
    <s v="Comedy|Fantasy|Horror|Musical"/>
    <s v="Tony Doupe"/>
    <x v="2694"/>
    <n v="179"/>
    <s v="conspiracy|feminist|hippie|motorcycle|slapstick comedy"/>
    <n v="18"/>
    <x v="0"/>
    <x v="0"/>
    <n v="100000"/>
    <x v="19"/>
    <x v="27"/>
    <n v="100000"/>
    <n v="11798"/>
    <x v="2691"/>
    <x v="2694"/>
    <x v="4"/>
  </r>
  <r>
    <x v="1424"/>
    <n v="60"/>
    <n v="42660000"/>
    <s v="Action|Adventure|Comedy|Family|Fantasy|Sci-Fi"/>
    <s v="Paige Turco"/>
    <x v="2695"/>
    <n v="25086"/>
    <s v="battle|japan|magic|samurai|turtle"/>
    <n v="87"/>
    <x v="0"/>
    <x v="0"/>
    <n v="17000000"/>
    <x v="23"/>
    <x v="45"/>
    <n v="17000000"/>
    <n v="42660000"/>
    <x v="2692"/>
    <x v="2695"/>
    <x v="1"/>
  </r>
  <r>
    <x v="628"/>
    <n v="234"/>
    <n v="1163508"/>
    <s v="Drama|Fantasy|Horror|Thriller"/>
    <s v="Sid Haig"/>
    <x v="2696"/>
    <n v="20376"/>
    <s v="blood|flashback|radio dj|radio station|vinyl"/>
    <n v="166"/>
    <x v="0"/>
    <x v="0"/>
    <n v="2500000"/>
    <x v="28"/>
    <x v="37"/>
    <n v="2500000"/>
    <n v="1163508"/>
    <x v="2693"/>
    <x v="2696"/>
    <x v="5"/>
  </r>
  <r>
    <x v="201"/>
    <n v="83"/>
    <n v="13560960"/>
    <s v="Biography|Drama|History"/>
    <s v="Anthony Hopkins"/>
    <x v="2697"/>
    <n v="23996"/>
    <s v="courtship|election|paranoia|president|quaker"/>
    <n v="161"/>
    <x v="0"/>
    <x v="0"/>
    <n v="50000000"/>
    <x v="33"/>
    <x v="17"/>
    <n v="50000000"/>
    <n v="13560960"/>
    <x v="2694"/>
    <x v="2697"/>
    <x v="2"/>
  </r>
  <r>
    <x v="30"/>
    <n v="80"/>
    <n v="2856622"/>
    <s v="Comedy|Drama"/>
    <s v="Stacy Edwards"/>
    <x v="2698"/>
    <n v="11550"/>
    <s v="business trip|love|misogynist|office|secretary"/>
    <n v="197"/>
    <x v="0"/>
    <x v="9"/>
    <n v="25000"/>
    <x v="31"/>
    <x v="4"/>
    <n v="18085.125"/>
    <n v="2066494.63790999"/>
    <x v="2695"/>
    <x v="2698"/>
    <x v="4"/>
  </r>
  <r>
    <x v="805"/>
    <n v="510"/>
    <n v="176636816"/>
    <s v="Action|Adventure|Sci-Fi"/>
    <s v="Chris Evans"/>
    <x v="2699"/>
    <n v="508818"/>
    <s v="arctic|captain america|scientist|tesseract|war bond"/>
    <n v="679"/>
    <x v="0"/>
    <x v="0"/>
    <n v="140000000"/>
    <x v="22"/>
    <x v="31"/>
    <n v="140000000"/>
    <n v="176636816"/>
    <x v="2696"/>
    <x v="2699"/>
    <x v="1"/>
  </r>
  <r>
    <x v="1425"/>
    <n v="167"/>
    <n v="7002255"/>
    <s v="Animation|Comedy|Drama"/>
    <s v="Michel Robin"/>
    <x v="2700"/>
    <n v="42462"/>
    <s v="belleville|dog|mafia|tour de france|very little dialogue"/>
    <n v="312"/>
    <x v="4"/>
    <x v="8"/>
    <n v="9500000"/>
    <x v="19"/>
    <x v="38"/>
    <n v="10305030"/>
    <n v="7595626.0887000002"/>
    <x v="2697"/>
    <x v="2700"/>
    <x v="8"/>
  </r>
  <r>
    <x v="1426"/>
    <n v="324"/>
    <n v="200807262"/>
    <s v="Adventure|Animation|Comedy|Family|Fantasy|Musical|Romance"/>
    <s v="Brad Garrett"/>
    <x v="2701"/>
    <n v="294810"/>
    <s v="17th century|based on fairy tale|disney|flower|tower"/>
    <n v="387"/>
    <x v="0"/>
    <x v="0"/>
    <n v="260000000"/>
    <x v="11"/>
    <x v="38"/>
    <n v="260000000"/>
    <n v="200807262"/>
    <x v="2698"/>
    <x v="2701"/>
    <x v="0"/>
  </r>
  <r>
    <x v="355"/>
    <n v="588"/>
    <n v="42335698"/>
    <s v="Comedy|Drama|Romance"/>
    <s v="Emma Stone"/>
    <x v="2702"/>
    <n v="395087"/>
    <s v="actor|artist|broadway play|replacement|stage"/>
    <n v="1101"/>
    <x v="0"/>
    <x v="0"/>
    <n v="18000000"/>
    <x v="27"/>
    <x v="38"/>
    <n v="18000000"/>
    <n v="42335698"/>
    <x v="2699"/>
    <x v="2702"/>
    <x v="4"/>
  </r>
  <r>
    <x v="227"/>
    <n v="102"/>
    <n v="49369900"/>
    <s v="Fantasy|Horror|Thriller"/>
    <s v="Tuesday Knight"/>
    <x v="2703"/>
    <n v="36108"/>
    <s v="demon|dream|elm street|freddy krueger|nightmare"/>
    <n v="260"/>
    <x v="0"/>
    <x v="0"/>
    <n v="7000000"/>
    <x v="34"/>
    <x v="35"/>
    <n v="7000000"/>
    <n v="49369900"/>
    <x v="2700"/>
    <x v="2703"/>
    <x v="9"/>
  </r>
  <r>
    <x v="1095"/>
    <n v="109"/>
    <n v="37766350"/>
    <s v="Drama"/>
    <s v="Nate Parker"/>
    <x v="2704"/>
    <n v="19440"/>
    <s v="beekeeping|insect in title|racism|sister|south carolina"/>
    <n v="56"/>
    <x v="0"/>
    <x v="0"/>
    <n v="11000000"/>
    <x v="20"/>
    <x v="4"/>
    <n v="11000000"/>
    <n v="37766350"/>
    <x v="2701"/>
    <x v="2704"/>
    <x v="5"/>
  </r>
  <r>
    <x v="665"/>
    <n v="84"/>
    <n v="1029017"/>
    <s v="Drama|Romance"/>
    <s v="Robin Wright"/>
    <x v="2705"/>
    <n v="12049"/>
    <s v="hand job|hugging|long hair|new york city|two men one woman"/>
    <n v="135"/>
    <x v="0"/>
    <x v="0"/>
    <n v="6500000"/>
    <x v="2"/>
    <x v="22"/>
    <n v="6500000"/>
    <n v="1029017"/>
    <x v="2702"/>
    <x v="2705"/>
    <x v="5"/>
  </r>
  <r>
    <x v="823"/>
    <n v="100"/>
    <n v="23106"/>
    <s v="Comedy|Crime|Drama|Romance"/>
    <s v="Michael Angarano"/>
    <x v="2706"/>
    <n v="9003"/>
    <s v="gang|gun|loner|love|outcast"/>
    <n v="58"/>
    <x v="0"/>
    <x v="1"/>
    <n v="50000000"/>
    <x v="2"/>
    <x v="14"/>
    <n v="54237000"/>
    <n v="25064.00244"/>
    <x v="2703"/>
    <x v="2706"/>
    <x v="4"/>
  </r>
  <r>
    <x v="1065"/>
    <n v="231"/>
    <n v="17536788"/>
    <s v="Comedy|Drama|Romance"/>
    <s v="Christopher Nicholas Smith"/>
    <x v="2707"/>
    <n v="49240"/>
    <s v="dating|divorcee|ex husband|ex wife|party"/>
    <n v="142"/>
    <x v="0"/>
    <x v="0"/>
    <n v="8000000"/>
    <x v="0"/>
    <x v="17"/>
    <n v="8000000"/>
    <n v="17536788"/>
    <x v="2704"/>
    <x v="2707"/>
    <x v="4"/>
  </r>
  <r>
    <x v="774"/>
    <n v="82"/>
    <n v="178406268"/>
    <s v="Comedy|Romance"/>
    <s v="Julia Roberts"/>
    <x v="2708"/>
    <n v="213476"/>
    <s v="businessman|falling in love with a prostitute|hotel|prostitute|rich man poor woman"/>
    <n v="271"/>
    <x v="0"/>
    <x v="0"/>
    <n v="14000000"/>
    <x v="32"/>
    <x v="31"/>
    <n v="14000000"/>
    <n v="178406268"/>
    <x v="2705"/>
    <x v="2708"/>
    <x v="4"/>
  </r>
  <r>
    <x v="1427"/>
    <n v="55"/>
    <n v="23222861"/>
    <s v="Action|Adventure|Comedy|Family|Romance|Sci-Fi"/>
    <s v="Daniel Roebuck"/>
    <x v="2709"/>
    <n v="11092"/>
    <s v="chase|evil scientist|gadget|mind control|tough girl"/>
    <n v="44"/>
    <x v="0"/>
    <x v="0"/>
    <n v="26000000"/>
    <x v="2"/>
    <x v="47"/>
    <n v="26000000"/>
    <n v="23222861"/>
    <x v="2706"/>
    <x v="2709"/>
    <x v="1"/>
  </r>
  <r>
    <x v="16"/>
    <n v="113"/>
    <n v="10996440"/>
    <s v="Adventure|Drama|Sci-Fi"/>
    <s v="J.K. Simmons"/>
    <x v="2710"/>
    <n v="19707"/>
    <s v="bank|fbi|fuel|rocket|space travel"/>
    <n v="128"/>
    <x v="0"/>
    <x v="0"/>
    <n v="13000000"/>
    <x v="7"/>
    <x v="23"/>
    <n v="13000000"/>
    <n v="10996440"/>
    <x v="2707"/>
    <x v="2710"/>
    <x v="0"/>
  </r>
  <r>
    <x v="1188"/>
    <n v="91"/>
    <n v="43575716"/>
    <s v="Action|Comedy|Family|Fantasy"/>
    <s v="Jack McBrayer"/>
    <x v="2711"/>
    <n v="10233"/>
    <s v="cartoon on tv|cat|dog|kitty|special agent"/>
    <n v="63"/>
    <x v="0"/>
    <x v="0"/>
    <n v="85000000"/>
    <x v="11"/>
    <x v="46"/>
    <n v="85000000"/>
    <n v="43575716"/>
    <x v="2708"/>
    <x v="2711"/>
    <x v="1"/>
  </r>
  <r>
    <x v="1428"/>
    <n v="47"/>
    <n v="104257"/>
    <s v="Comedy|Music"/>
    <s v="Danny Dyer"/>
    <x v="2712"/>
    <n v="19194"/>
    <s v="friday|friend|hip hop|techno rave|weekend"/>
    <n v="160"/>
    <x v="0"/>
    <x v="2"/>
    <n v="2200000"/>
    <x v="12"/>
    <x v="17"/>
    <n v="2827879.9999999902"/>
    <n v="134011.94779999999"/>
    <x v="2709"/>
    <x v="2712"/>
    <x v="4"/>
  </r>
  <r>
    <x v="1429"/>
    <n v="146"/>
    <n v="43818159"/>
    <s v="Horror|Mystery"/>
    <s v="Ming-Na Wen"/>
    <x v="2713"/>
    <n v="27664"/>
    <s v="friend|hotel|killer|murder|prom"/>
    <n v="260"/>
    <x v="0"/>
    <x v="0"/>
    <n v="20000000"/>
    <x v="20"/>
    <x v="52"/>
    <n v="20000000"/>
    <n v="43818159"/>
    <x v="2710"/>
    <x v="2713"/>
    <x v="6"/>
  </r>
  <r>
    <x v="1430"/>
    <n v="11"/>
    <n v="1111"/>
    <s v="Crime|Documentary"/>
    <s v="Darryl Hunt"/>
    <x v="2714"/>
    <n v="771"/>
    <s v="false accusation|murder|north carolina|trial|wrongful conviction"/>
    <n v="10"/>
    <x v="0"/>
    <x v="0"/>
    <n v="200000"/>
    <x v="7"/>
    <x v="9"/>
    <n v="200000"/>
    <n v="1111"/>
    <x v="2711"/>
    <x v="2714"/>
    <x v="3"/>
  </r>
  <r>
    <x v="1431"/>
    <n v="308"/>
    <n v="336029560"/>
    <s v="Action|Animation|Comedy|Family|Sci-Fi"/>
    <s v="Steve Carell"/>
    <x v="2715"/>
    <n v="142403"/>
    <s v="antarctica|minion|queen|super villain|villain"/>
    <n v="275"/>
    <x v="0"/>
    <x v="0"/>
    <n v="74000000"/>
    <x v="1"/>
    <x v="24"/>
    <n v="74000000"/>
    <n v="336029560"/>
    <x v="2712"/>
    <x v="2715"/>
    <x v="1"/>
  </r>
  <r>
    <x v="1025"/>
    <n v="139"/>
    <n v="77264926"/>
    <s v="Comedy|Family"/>
    <s v="Bailee Madison"/>
    <x v="2716"/>
    <n v="21176"/>
    <s v="chores|father figure|helicopter parents|in laws|punishment"/>
    <n v="107"/>
    <x v="0"/>
    <x v="0"/>
    <n v="25000000"/>
    <x v="28"/>
    <x v="7"/>
    <n v="25000000"/>
    <n v="77264926"/>
    <x v="2713"/>
    <x v="2716"/>
    <x v="4"/>
  </r>
  <r>
    <x v="1326"/>
    <n v="316"/>
    <n v="134568845"/>
    <s v="Action|Crime|Fantasy|Thriller"/>
    <s v="Angelina Jolie Pitt"/>
    <x v="2717"/>
    <n v="299852"/>
    <s v="assassin|bobble head doll|femme fatale|rejuvenation|strong female lead"/>
    <n v="713"/>
    <x v="0"/>
    <x v="0"/>
    <n v="75000000"/>
    <x v="20"/>
    <x v="21"/>
    <n v="75000000"/>
    <n v="134568845"/>
    <x v="2714"/>
    <x v="2717"/>
    <x v="1"/>
  </r>
  <r>
    <x v="1432"/>
    <n v="326"/>
    <n v="124868837"/>
    <s v="Drama|Romance"/>
    <s v="Shailene Woodley"/>
    <x v="2718"/>
    <n v="249688"/>
    <s v="cancer|falling in love|friendship|novel|teenager"/>
    <n v="548"/>
    <x v="0"/>
    <x v="0"/>
    <n v="12000000"/>
    <x v="27"/>
    <x v="38"/>
    <n v="12000000"/>
    <n v="124868837"/>
    <x v="2715"/>
    <x v="2718"/>
    <x v="5"/>
  </r>
  <r>
    <x v="209"/>
    <n v="446"/>
    <n v="218051260"/>
    <s v="Action|Adventure|Drama|Romance"/>
    <s v="Naomi Watts"/>
    <x v="223"/>
    <n v="316027"/>
    <s v="animal name in title|ape abducts a woman|gorilla|island|king kong"/>
    <n v="2618"/>
    <x v="0"/>
    <x v="11"/>
    <n v="207000000"/>
    <x v="25"/>
    <x v="33"/>
    <n v="121870214.999999"/>
    <n v="128376589.068699"/>
    <x v="223"/>
    <x v="223"/>
    <x v="1"/>
  </r>
  <r>
    <x v="227"/>
    <n v="113"/>
    <n v="12232937"/>
    <s v="Action|Crime|Thriller"/>
    <s v="Taylor Cole"/>
    <x v="2719"/>
    <n v="22823"/>
    <s v="2000s|detective|sadist|terrorism|terrorist"/>
    <n v="113"/>
    <x v="0"/>
    <x v="0"/>
    <n v="22000000"/>
    <x v="16"/>
    <x v="15"/>
    <n v="22000000"/>
    <n v="12232937"/>
    <x v="2716"/>
    <x v="2719"/>
    <x v="1"/>
  </r>
  <r>
    <x v="201"/>
    <n v="72"/>
    <n v="70001698"/>
    <s v="Biography|Drama|War"/>
    <s v="Tom Cruise"/>
    <x v="2720"/>
    <n v="76842"/>
    <s v="desert|drunkenness|religious mother|strict mother|vietnam war"/>
    <n v="173"/>
    <x v="0"/>
    <x v="0"/>
    <n v="14000000"/>
    <x v="26"/>
    <x v="33"/>
    <n v="14000000"/>
    <n v="70001698"/>
    <x v="2717"/>
    <x v="2720"/>
    <x v="2"/>
  </r>
  <r>
    <x v="395"/>
    <n v="101"/>
    <n v="15131330"/>
    <s v="Adventure|Animation|Family|Fantasy"/>
    <s v="Mia Farrow"/>
    <x v="2721"/>
    <n v="25843"/>
    <s v="boy|debt|garden|princess|treasure"/>
    <n v="64"/>
    <x v="0"/>
    <x v="8"/>
    <n v="86000000"/>
    <x v="7"/>
    <x v="11"/>
    <n v="93287640"/>
    <n v="16413558.904200001"/>
    <x v="2718"/>
    <x v="2721"/>
    <x v="0"/>
  </r>
  <r>
    <x v="1433"/>
    <n v="200"/>
    <n v="2268296"/>
    <s v="Drama|Thriller"/>
    <s v="Alexander SkarsgÃ¥rd"/>
    <x v="2722"/>
    <n v="41856"/>
    <s v="anarchist|corporation|greedy institution|vomiting|watching television"/>
    <n v="119"/>
    <x v="0"/>
    <x v="2"/>
    <n v="6500000"/>
    <x v="0"/>
    <x v="31"/>
    <n v="8355099.9999999898"/>
    <n v="2915667.6783999898"/>
    <x v="2719"/>
    <x v="2722"/>
    <x v="5"/>
  </r>
  <r>
    <x v="167"/>
    <n v="366"/>
    <n v="148085755"/>
    <s v="Drama"/>
    <s v="Clint Eastwood"/>
    <x v="2723"/>
    <n v="561773"/>
    <s v="gang|gang rape|hmong|teenager|widower"/>
    <n v="871"/>
    <x v="0"/>
    <x v="0"/>
    <n v="33000000"/>
    <x v="20"/>
    <x v="60"/>
    <n v="33000000"/>
    <n v="148085755"/>
    <x v="2720"/>
    <x v="2723"/>
    <x v="5"/>
  </r>
  <r>
    <x v="130"/>
    <n v="57"/>
    <n v="66528842"/>
    <s v="Drama|Romance|War|Western"/>
    <s v="Anthony Hopkins"/>
    <x v="2724"/>
    <n v="112175"/>
    <s v="epic|heart|killing an animal|passion|usa"/>
    <n v="329"/>
    <x v="0"/>
    <x v="0"/>
    <n v="30000000"/>
    <x v="5"/>
    <x v="2"/>
    <n v="30000000"/>
    <n v="66528842"/>
    <x v="2721"/>
    <x v="2724"/>
    <x v="5"/>
  </r>
  <r>
    <x v="112"/>
    <n v="185"/>
    <n v="155370362"/>
    <s v="Drama|Fantasy|Horror|Mystery|Thriller"/>
    <s v="Harrison Ford"/>
    <x v="2725"/>
    <n v="98403"/>
    <s v="ghost|haunted house|research|secret|vermont"/>
    <n v="683"/>
    <x v="0"/>
    <x v="0"/>
    <n v="100000000"/>
    <x v="4"/>
    <x v="14"/>
    <n v="100000000"/>
    <n v="155370362"/>
    <x v="2722"/>
    <x v="2725"/>
    <x v="5"/>
  </r>
  <r>
    <x v="837"/>
    <n v="261"/>
    <n v="255950375"/>
    <s v="Biography|Drama|Sport"/>
    <s v="Catherine Dyer"/>
    <x v="2726"/>
    <n v="223127"/>
    <s v="american football|based on true story|football star|high school football|left tackle"/>
    <n v="420"/>
    <x v="0"/>
    <x v="0"/>
    <n v="29000000"/>
    <x v="16"/>
    <x v="9"/>
    <n v="29000000"/>
    <n v="255950375"/>
    <x v="2723"/>
    <x v="2726"/>
    <x v="2"/>
  </r>
  <r>
    <x v="296"/>
    <n v="133"/>
    <n v="29580087"/>
    <s v="Comedy|Drama|Romance"/>
    <s v="Michael Kelly"/>
    <x v="2727"/>
    <n v="29523"/>
    <s v="fbi|murder|witness|witness protection|wyoming"/>
    <n v="121"/>
    <x v="0"/>
    <x v="0"/>
    <n v="58000000"/>
    <x v="16"/>
    <x v="27"/>
    <n v="58000000"/>
    <n v="29580087"/>
    <x v="2724"/>
    <x v="2727"/>
    <x v="4"/>
  </r>
  <r>
    <x v="1339"/>
    <n v="516"/>
    <n v="407197282"/>
    <s v="Action|Adventure|Sci-Fi"/>
    <s v="Robert Downey Jr."/>
    <x v="2728"/>
    <n v="272670"/>
    <s v="based on comic book|knife|marvel cinematic universe|returning character killed off|superhero"/>
    <n v="1022"/>
    <x v="0"/>
    <x v="0"/>
    <n v="250000000"/>
    <x v="24"/>
    <x v="60"/>
    <n v="250000000"/>
    <n v="407197282"/>
    <x v="2725"/>
    <x v="2728"/>
    <x v="1"/>
  </r>
  <r>
    <x v="448"/>
    <n v="94"/>
    <n v="84185387"/>
    <s v="Adventure|Comedy|Family|Fantasy|Horror|Mystery"/>
    <s v="Sarah Michelle Gellar"/>
    <x v="2729"/>
    <n v="33180"/>
    <s v="ghost|masked villain|monster|museum|tv"/>
    <n v="149"/>
    <x v="0"/>
    <x v="0"/>
    <n v="80000000"/>
    <x v="2"/>
    <x v="18"/>
    <n v="80000000"/>
    <n v="84185387"/>
    <x v="2726"/>
    <x v="2729"/>
    <x v="0"/>
  </r>
  <r>
    <x v="259"/>
    <n v="158"/>
    <n v="40566655"/>
    <s v="Comedy|Drama|Romance"/>
    <s v="Sharon Small"/>
    <x v="2730"/>
    <n v="144021"/>
    <s v="boy|friend|imaginary son|single father|single mother"/>
    <n v="391"/>
    <x v="0"/>
    <x v="2"/>
    <n v="30000000"/>
    <x v="13"/>
    <x v="17"/>
    <n v="38562000"/>
    <n v="52144378.336999997"/>
    <x v="2727"/>
    <x v="2730"/>
    <x v="4"/>
  </r>
  <r>
    <x v="1434"/>
    <n v="18"/>
    <n v="5858"/>
    <s v="Documentary"/>
    <s v="Ariel Hsing"/>
    <x v="2731"/>
    <n v="260"/>
    <s v=""/>
    <n v="2"/>
    <x v="0"/>
    <x v="0"/>
    <n v="150000"/>
    <x v="27"/>
    <x v="17"/>
    <n v="150000"/>
    <n v="5858"/>
    <x v="2728"/>
    <x v="2731"/>
    <x v="7"/>
  </r>
  <r>
    <x v="1435"/>
    <n v="45"/>
    <n v="12782508"/>
    <s v="Drama"/>
    <s v="Leonardo DiCaprio"/>
    <x v="2732"/>
    <n v="20163"/>
    <s v="house|leukemia|mental institution|nursing home|transplant"/>
    <n v="71"/>
    <x v="0"/>
    <x v="0"/>
    <n v="23000000"/>
    <x v="10"/>
    <x v="21"/>
    <n v="23000000"/>
    <n v="12782508"/>
    <x v="2729"/>
    <x v="2732"/>
    <x v="5"/>
  </r>
  <r>
    <x v="196"/>
    <n v="105"/>
    <n v="33105600"/>
    <s v="Action|Adventure|Comedy|Thriller"/>
    <s v="Gary Cole"/>
    <x v="2733"/>
    <n v="41663"/>
    <s v="boxer|espionage|spy|stealth|top secret"/>
    <n v="141"/>
    <x v="0"/>
    <x v="0"/>
    <n v="70000000"/>
    <x v="13"/>
    <x v="26"/>
    <n v="70000000"/>
    <n v="33105600"/>
    <x v="2730"/>
    <x v="2733"/>
    <x v="1"/>
  </r>
  <r>
    <x v="1188"/>
    <n v="178"/>
    <n v="103812241"/>
    <s v="Action|Adventure|Comedy|Family|Fantasy|Sci-Fi"/>
    <s v="Josh Hutcherson"/>
    <x v="2734"/>
    <n v="67296"/>
    <s v="gold|hurricane|island|mountain|mysterious island"/>
    <n v="133"/>
    <x v="0"/>
    <x v="0"/>
    <n v="79000000"/>
    <x v="28"/>
    <x v="30"/>
    <n v="79000000"/>
    <n v="103812241"/>
    <x v="2731"/>
    <x v="2734"/>
    <x v="1"/>
  </r>
  <r>
    <x v="936"/>
    <n v="41"/>
    <n v="107458785"/>
    <s v="Comedy|Drama|Sport"/>
    <s v="Tom Hanks"/>
    <x v="2735"/>
    <n v="71754"/>
    <s v="baseball|friend|oregon|rivalry|softball"/>
    <n v="166"/>
    <x v="0"/>
    <x v="0"/>
    <n v="40000000"/>
    <x v="8"/>
    <x v="33"/>
    <n v="40000000"/>
    <n v="107458785"/>
    <x v="2732"/>
    <x v="2735"/>
    <x v="4"/>
  </r>
  <r>
    <x v="1436"/>
    <n v="18"/>
    <n v="13493"/>
    <s v="Drama"/>
    <s v="William Smith"/>
    <x v="2736"/>
    <n v="531"/>
    <s v="independent film|katana sword|los angeles storm drain"/>
    <n v="19"/>
    <x v="0"/>
    <x v="0"/>
    <n v="600000"/>
    <x v="6"/>
    <x v="14"/>
    <n v="600000"/>
    <n v="13493"/>
    <x v="2733"/>
    <x v="2736"/>
    <x v="5"/>
  </r>
  <r>
    <x v="814"/>
    <n v="135"/>
    <n v="40048332"/>
    <s v="Action|Drama|Thriller"/>
    <s v="Raymond Cruz"/>
    <x v="2737"/>
    <n v="61417"/>
    <s v="bare chested boy|car explosion|colombia|explosion|terrorism"/>
    <n v="339"/>
    <x v="0"/>
    <x v="0"/>
    <n v="85000000"/>
    <x v="13"/>
    <x v="28"/>
    <n v="85000000"/>
    <n v="40048332"/>
    <x v="2734"/>
    <x v="2737"/>
    <x v="1"/>
  </r>
  <r>
    <x v="1437"/>
    <n v="120"/>
    <n v="43894863"/>
    <s v="Comedy|Romance"/>
    <s v="Stockard Channing"/>
    <x v="2738"/>
    <n v="25883"/>
    <s v="date|dating|dog|love|teacher"/>
    <n v="262"/>
    <x v="0"/>
    <x v="0"/>
    <n v="30000000"/>
    <x v="25"/>
    <x v="0"/>
    <n v="30000000"/>
    <n v="43894863"/>
    <x v="2735"/>
    <x v="2738"/>
    <x v="4"/>
  </r>
  <r>
    <x v="1021"/>
    <n v="286"/>
    <n v="25121291"/>
    <s v="Action|Crime|Mystery|Sci-Fi|Thriller"/>
    <s v="Sylvester Stallone"/>
    <x v="2739"/>
    <n v="177653"/>
    <s v="cia agent|escape|muslim|prison|ship"/>
    <n v="279"/>
    <x v="0"/>
    <x v="0"/>
    <n v="50000000"/>
    <x v="0"/>
    <x v="21"/>
    <n v="50000000"/>
    <n v="25121291"/>
    <x v="2736"/>
    <x v="2739"/>
    <x v="1"/>
  </r>
  <r>
    <x v="1009"/>
    <n v="101"/>
    <n v="91038276"/>
    <s v="Drama|Music|Romance"/>
    <s v="Sean Patrick Thomas"/>
    <x v="2740"/>
    <n v="47876"/>
    <s v="dance|dancing|ghetto|hip hop|imperative in title"/>
    <n v="320"/>
    <x v="0"/>
    <x v="0"/>
    <n v="13000000"/>
    <x v="9"/>
    <x v="7"/>
    <n v="13000000"/>
    <n v="91038276"/>
    <x v="2737"/>
    <x v="2740"/>
    <x v="5"/>
  </r>
  <r>
    <x v="1438"/>
    <n v="242"/>
    <n v="52200504"/>
    <s v="Fantasy|Horror|Thriller"/>
    <s v="Lin Shaye"/>
    <x v="2741"/>
    <n v="54190"/>
    <s v="demon|possession|psychic|supernatural|teenager"/>
    <n v="183"/>
    <x v="0"/>
    <x v="9"/>
    <n v="10000000"/>
    <x v="1"/>
    <x v="7"/>
    <n v="7234050"/>
    <n v="37762105.59612"/>
    <x v="2738"/>
    <x v="2741"/>
    <x v="9"/>
  </r>
  <r>
    <x v="449"/>
    <n v="226"/>
    <n v="28837115"/>
    <s v="Comedy"/>
    <s v="Milla Jovovich"/>
    <x v="2742"/>
    <n v="34964"/>
    <s v="chosen one|fashion|fashion model|model|retired"/>
    <n v="150"/>
    <x v="0"/>
    <x v="0"/>
    <n v="50000000"/>
    <x v="24"/>
    <x v="45"/>
    <n v="50000000"/>
    <n v="28837115"/>
    <x v="2739"/>
    <x v="2742"/>
    <x v="4"/>
  </r>
  <r>
    <x v="1439"/>
    <n v="35"/>
    <n v="174635000"/>
    <s v="Adventure|Comedy"/>
    <s v="Paul Hogan"/>
    <x v="2743"/>
    <n v="74743"/>
    <s v="australian outback|crocodile|female reporter|journalist|new york city"/>
    <n v="93"/>
    <x v="0"/>
    <x v="3"/>
    <n v="8800000"/>
    <x v="18"/>
    <x v="20"/>
    <n v="5754144"/>
    <n v="114190333.8"/>
    <x v="2740"/>
    <x v="2743"/>
    <x v="0"/>
  </r>
  <r>
    <x v="357"/>
    <n v="152"/>
    <n v="2912363"/>
    <s v="Crime|Drama"/>
    <s v="Terry Pheto"/>
    <x v="2744"/>
    <n v="25063"/>
    <s v="baby|bathing a baby|criminal|slum|vomiting"/>
    <n v="177"/>
    <x v="32"/>
    <x v="2"/>
    <n v="3000000"/>
    <x v="25"/>
    <x v="4"/>
    <n v="3856199.9999999902"/>
    <n v="3743551.4001999898"/>
    <x v="2741"/>
    <x v="2744"/>
    <x v="3"/>
  </r>
  <r>
    <x v="1440"/>
    <n v="205"/>
    <n v="12610731"/>
    <s v="Action|Horror|Sci-Fi|Thriller"/>
    <s v="Peter Mensah"/>
    <x v="2745"/>
    <n v="38985"/>
    <s v="jason voorhees|lake|machete|scientist|slasher"/>
    <n v="673"/>
    <x v="0"/>
    <x v="0"/>
    <n v="11000000"/>
    <x v="9"/>
    <x v="8"/>
    <n v="11000000"/>
    <n v="12610731"/>
    <x v="2742"/>
    <x v="2745"/>
    <x v="1"/>
  </r>
  <r>
    <x v="1441"/>
    <n v="8"/>
    <n v="73678"/>
    <s v="Drama|History|War"/>
    <s v="Johnny Pacar"/>
    <x v="2746"/>
    <n v="266"/>
    <s v=""/>
    <n v="8"/>
    <x v="0"/>
    <x v="0"/>
    <n v="3000000"/>
    <x v="22"/>
    <x v="0"/>
    <n v="3000000"/>
    <n v="73678"/>
    <x v="2743"/>
    <x v="2746"/>
    <x v="5"/>
  </r>
  <r>
    <x v="667"/>
    <n v="298"/>
    <n v="26616999"/>
    <s v="Action|Adventure|Romance|Sci-Fi|Thriller"/>
    <s v="J.D. Evermore"/>
    <x v="2747"/>
    <n v="92461"/>
    <s v="alien|alien creature|body snatching|desert|parasite"/>
    <n v="347"/>
    <x v="0"/>
    <x v="0"/>
    <n v="40000000"/>
    <x v="0"/>
    <x v="0"/>
    <n v="40000000"/>
    <n v="26616999"/>
    <x v="2744"/>
    <x v="2747"/>
    <x v="1"/>
  </r>
  <r>
    <x v="226"/>
    <n v="81"/>
    <n v="60573641"/>
    <s v="Comedy|Family"/>
    <s v="Jim Belushi"/>
    <x v="2748"/>
    <n v="68406"/>
    <s v="action figure|christmas|hero|karate|toy"/>
    <n v="162"/>
    <x v="0"/>
    <x v="0"/>
    <n v="60000000"/>
    <x v="10"/>
    <x v="26"/>
    <n v="60000000"/>
    <n v="60573641"/>
    <x v="2745"/>
    <x v="2748"/>
    <x v="4"/>
  </r>
  <r>
    <x v="1153"/>
    <n v="45"/>
    <n v="63408614"/>
    <s v="Action|Comedy|Crime|Thriller"/>
    <s v="Sylvester Stallone"/>
    <x v="2749"/>
    <n v="75365"/>
    <s v="1980s|80s action|escape|plea bargain|prison"/>
    <n v="149"/>
    <x v="0"/>
    <x v="0"/>
    <n v="55000000"/>
    <x v="26"/>
    <x v="23"/>
    <n v="55000000"/>
    <n v="63408614"/>
    <x v="2746"/>
    <x v="2749"/>
    <x v="1"/>
  </r>
  <r>
    <x v="1442"/>
    <n v="149"/>
    <n v="4946250"/>
    <s v="Documentary|Music"/>
    <s v="Sheryl Crow"/>
    <x v="2750"/>
    <n v="9540"/>
    <s v="backup singer|band|bechdel test passed|concert footage|singer"/>
    <n v="80"/>
    <x v="0"/>
    <x v="0"/>
    <n v="1000000"/>
    <x v="0"/>
    <x v="39"/>
    <n v="1000000"/>
    <n v="4946250"/>
    <x v="2747"/>
    <x v="2750"/>
    <x v="7"/>
  </r>
  <r>
    <x v="57"/>
    <n v="288"/>
    <n v="119078393"/>
    <s v="Documentary|Drama|War"/>
    <s v="Osama bin Laden"/>
    <x v="2751"/>
    <n v="113152"/>
    <s v="anti war|interview|iraq|paranoia|war on terrorism"/>
    <n v="1416"/>
    <x v="0"/>
    <x v="0"/>
    <n v="6000000"/>
    <x v="2"/>
    <x v="2"/>
    <n v="6000000"/>
    <n v="119078393"/>
    <x v="2748"/>
    <x v="2751"/>
    <x v="7"/>
  </r>
  <r>
    <x v="376"/>
    <n v="145"/>
    <n v="106694016"/>
    <s v="Comedy|Crime"/>
    <s v="Robert De Niro"/>
    <x v="2752"/>
    <n v="123940"/>
    <s v="analyst|mafia|patient|psychiatrist|wedding"/>
    <n v="337"/>
    <x v="0"/>
    <x v="0"/>
    <n v="30000000"/>
    <x v="12"/>
    <x v="21"/>
    <n v="30000000"/>
    <n v="106694016"/>
    <x v="2749"/>
    <x v="2752"/>
    <x v="4"/>
  </r>
  <r>
    <x v="364"/>
    <n v="287"/>
    <n v="51774002"/>
    <s v="Action|Fantasy|Thriller"/>
    <s v="Nicolas Cage"/>
    <x v="2753"/>
    <n v="87745"/>
    <s v="deal with the devil|devil|eastern europe|ghost rider|monk"/>
    <n v="331"/>
    <x v="0"/>
    <x v="0"/>
    <n v="57000000"/>
    <x v="22"/>
    <x v="46"/>
    <n v="57000000"/>
    <n v="51774002"/>
    <x v="2750"/>
    <x v="2753"/>
    <x v="1"/>
  </r>
  <r>
    <x v="742"/>
    <n v="118"/>
    <n v="44737059"/>
    <s v="Comedy|Sport"/>
    <s v="Keanu Reeves"/>
    <x v="2754"/>
    <n v="48322"/>
    <s v="coach|football player|misfits|strike|sumo wrestler"/>
    <n v="261"/>
    <x v="0"/>
    <x v="0"/>
    <n v="50000000"/>
    <x v="4"/>
    <x v="20"/>
    <n v="50000000"/>
    <n v="44737059"/>
    <x v="2751"/>
    <x v="2754"/>
    <x v="4"/>
  </r>
  <r>
    <x v="258"/>
    <n v="145"/>
    <n v="101736215"/>
    <s v="Comedy"/>
    <s v="Alyson Hannigan"/>
    <x v="2755"/>
    <n v="315549"/>
    <s v="1990s|first love|milf|prom|virginity"/>
    <n v="789"/>
    <x v="0"/>
    <x v="0"/>
    <n v="11000000"/>
    <x v="12"/>
    <x v="16"/>
    <n v="11000000"/>
    <n v="101736215"/>
    <x v="2752"/>
    <x v="2755"/>
    <x v="4"/>
  </r>
  <r>
    <x v="328"/>
    <n v="245"/>
    <n v="25450527"/>
    <s v="Action|Crime|Drama|Mystery|Thriller"/>
    <s v="Naomi Watts"/>
    <x v="2756"/>
    <n v="80196"/>
    <s v="bank|chase|district attorney|interpol|murder"/>
    <n v="190"/>
    <x v="0"/>
    <x v="0"/>
    <n v="50000000"/>
    <x v="16"/>
    <x v="20"/>
    <n v="50000000"/>
    <n v="25450527"/>
    <x v="2753"/>
    <x v="2756"/>
    <x v="1"/>
  </r>
  <r>
    <x v="1443"/>
    <n v="30"/>
    <n v="33349949"/>
    <s v="Documentary"/>
    <s v="Barack Obama"/>
    <x v="2757"/>
    <n v="9010"/>
    <s v="critically bashed|partisan commentary|political propoganda|punctuation in title|reenactment"/>
    <n v="199"/>
    <x v="0"/>
    <x v="0"/>
    <n v="2500000"/>
    <x v="28"/>
    <x v="37"/>
    <n v="2500000"/>
    <n v="33349949"/>
    <x v="2754"/>
    <x v="2757"/>
    <x v="7"/>
  </r>
  <r>
    <x v="1031"/>
    <n v="147"/>
    <n v="140244"/>
    <s v="Horror|Musical|Sci-Fi"/>
    <s v="Alexa PenaVega"/>
    <x v="2758"/>
    <n v="20419"/>
    <s v="future|murder|opera|repossession|surgery"/>
    <n v="259"/>
    <x v="0"/>
    <x v="0"/>
    <n v="8500000"/>
    <x v="20"/>
    <x v="21"/>
    <n v="8500000"/>
    <n v="140244"/>
    <x v="2755"/>
    <x v="2758"/>
    <x v="6"/>
  </r>
  <r>
    <x v="332"/>
    <n v="140"/>
    <n v="66365290"/>
    <s v="Comedy"/>
    <s v="Robert Downey Jr."/>
    <x v="2759"/>
    <n v="56874"/>
    <s v="film within a film|filmmaking|guerrilla filmmaking|making of a movie|scientology parody"/>
    <n v="358"/>
    <x v="0"/>
    <x v="0"/>
    <n v="55000000"/>
    <x v="12"/>
    <x v="24"/>
    <n v="55000000"/>
    <n v="66365290"/>
    <x v="2756"/>
    <x v="2759"/>
    <x v="4"/>
  </r>
  <r>
    <x v="804"/>
    <n v="108"/>
    <n v="161487252"/>
    <s v="Comedy|Sport"/>
    <s v="Adam Sandler"/>
    <x v="2760"/>
    <n v="119450"/>
    <s v="coach|college|college football|domineering mother|football"/>
    <n v="300"/>
    <x v="0"/>
    <x v="0"/>
    <n v="20000000"/>
    <x v="6"/>
    <x v="7"/>
    <n v="20000000"/>
    <n v="161487252"/>
    <x v="2757"/>
    <x v="2760"/>
    <x v="4"/>
  </r>
  <r>
    <x v="209"/>
    <n v="308"/>
    <n v="43982842"/>
    <s v="Drama|Fantasy|Thriller"/>
    <s v="Michael Imperioli"/>
    <x v="267"/>
    <n v="125109"/>
    <s v="1970s|afterlife|heaven|pedophile|rape"/>
    <n v="593"/>
    <x v="0"/>
    <x v="0"/>
    <n v="65000000"/>
    <x v="16"/>
    <x v="21"/>
    <n v="65000000"/>
    <n v="43982842"/>
    <x v="267"/>
    <x v="267"/>
    <x v="5"/>
  </r>
  <r>
    <x v="1444"/>
    <n v="190"/>
    <n v="3148482"/>
    <s v="Drama|Romance"/>
    <s v="Isabella Rossellini"/>
    <x v="2761"/>
    <n v="29613"/>
    <s v="jewish|love|married man|neighbor|photograph"/>
    <n v="98"/>
    <x v="0"/>
    <x v="0"/>
    <n v="12000000"/>
    <x v="20"/>
    <x v="17"/>
    <n v="12000000"/>
    <n v="3148482"/>
    <x v="2758"/>
    <x v="2761"/>
    <x v="5"/>
  </r>
  <r>
    <x v="1445"/>
    <n v="268"/>
    <n v="41008532"/>
    <s v="Crime|Drama|Thriller"/>
    <s v="Julia Roberts"/>
    <x v="2762"/>
    <n v="19611"/>
    <s v="death|hostage|money|shot in the chest|shot in the heart"/>
    <n v="103"/>
    <x v="0"/>
    <x v="0"/>
    <n v="27000000"/>
    <x v="24"/>
    <x v="21"/>
    <n v="27000000"/>
    <n v="41008532"/>
    <x v="2759"/>
    <x v="2762"/>
    <x v="3"/>
  </r>
  <r>
    <x v="292"/>
    <n v="138"/>
    <n v="54228104"/>
    <s v="Action|Adventure|Drama|Romance|Thriller"/>
    <s v="Henry Cavill"/>
    <x v="2763"/>
    <n v="104991"/>
    <s v="count|escape|island|revenge|sailor"/>
    <n v="544"/>
    <x v="0"/>
    <x v="2"/>
    <n v="35000000"/>
    <x v="13"/>
    <x v="9"/>
    <n v="44988999.999999903"/>
    <n v="69704804.881599903"/>
    <x v="2760"/>
    <x v="2763"/>
    <x v="1"/>
  </r>
  <r>
    <x v="97"/>
    <n v="217"/>
    <n v="59735548"/>
    <s v="Action|Horror|Sci-Fi"/>
    <s v="Shane Black"/>
    <x v="2764"/>
    <n v="290949"/>
    <s v="box office hit|commando|death of friend|jungle|severed arm"/>
    <n v="629"/>
    <x v="0"/>
    <x v="0"/>
    <n v="15000000"/>
    <x v="21"/>
    <x v="38"/>
    <n v="15000000"/>
    <n v="59735548"/>
    <x v="2761"/>
    <x v="2764"/>
    <x v="1"/>
  </r>
  <r>
    <x v="40"/>
    <n v="133"/>
    <n v="28871190"/>
    <s v="Biography|Drama"/>
    <s v="Angelina Jolie Pitt"/>
    <x v="2765"/>
    <n v="125421"/>
    <s v="1960s|father daughter incest|mental hospital|suicide|suicide attempt"/>
    <n v="385"/>
    <x v="0"/>
    <x v="0"/>
    <n v="24000000"/>
    <x v="12"/>
    <x v="4"/>
    <n v="24000000"/>
    <n v="28871190"/>
    <x v="2762"/>
    <x v="2765"/>
    <x v="2"/>
  </r>
  <r>
    <x v="1193"/>
    <n v="91"/>
    <n v="75074950"/>
    <s v="Comedy|Drama"/>
    <s v="Sean Patrick Thomas"/>
    <x v="2766"/>
    <n v="22147"/>
    <s v="barber|barbershop|blaxploitation|loan shark|theft"/>
    <n v="156"/>
    <x v="0"/>
    <x v="0"/>
    <n v="12000000"/>
    <x v="13"/>
    <x v="23"/>
    <n v="12000000"/>
    <n v="75074950"/>
    <x v="2763"/>
    <x v="2766"/>
    <x v="4"/>
  </r>
  <r>
    <x v="1446"/>
    <n v="217"/>
    <n v="10880926"/>
    <s v="Action|Crime|Drama|Thriller"/>
    <s v="Dominic Cooper"/>
    <x v="2767"/>
    <n v="54147"/>
    <s v="crime lord|dead body|dead body in a freezer|new york city|truck explosion"/>
    <n v="127"/>
    <x v="0"/>
    <x v="0"/>
    <n v="30000000"/>
    <x v="0"/>
    <x v="20"/>
    <n v="30000000"/>
    <n v="10880926"/>
    <x v="2764"/>
    <x v="2767"/>
    <x v="1"/>
  </r>
  <r>
    <x v="148"/>
    <n v="138"/>
    <n v="42385520"/>
    <s v="Drama|Music|Romance"/>
    <s v="Alyson Stoner"/>
    <x v="2768"/>
    <n v="47297"/>
    <s v="dance|dance crew|dancer|mortgage|new york city"/>
    <n v="86"/>
    <x v="0"/>
    <x v="0"/>
    <n v="30000000"/>
    <x v="11"/>
    <x v="5"/>
    <n v="30000000"/>
    <n v="42385520"/>
    <x v="2765"/>
    <x v="2768"/>
    <x v="5"/>
  </r>
  <r>
    <x v="69"/>
    <n v="212"/>
    <n v="267652016"/>
    <s v="Adventure|Animation|Comedy|Family|Fantasy"/>
    <s v="Kathleen Freeman"/>
    <x v="2769"/>
    <n v="467113"/>
    <s v="donkey|fairy tale|ogre|princess|swamp"/>
    <n v="945"/>
    <x v="0"/>
    <x v="0"/>
    <n v="60000000"/>
    <x v="9"/>
    <x v="19"/>
    <n v="60000000"/>
    <n v="267652016"/>
    <x v="2766"/>
    <x v="2769"/>
    <x v="0"/>
  </r>
  <r>
    <x v="273"/>
    <n v="289"/>
    <n v="214948780"/>
    <s v="Action|Adventure|Fantasy|Sci-Fi|Thriller"/>
    <s v="Hugh Jackman"/>
    <x v="2770"/>
    <n v="405973"/>
    <s v="mutant|prison|professor|school|x men"/>
    <n v="1055"/>
    <x v="0"/>
    <x v="9"/>
    <n v="110000000"/>
    <x v="19"/>
    <x v="2"/>
    <n v="79574550"/>
    <n v="155495022.19589999"/>
    <x v="2767"/>
    <x v="2770"/>
    <x v="1"/>
  </r>
  <r>
    <x v="1447"/>
    <n v="75"/>
    <n v="712294"/>
    <s v="Drama"/>
    <s v="Beau Bridges"/>
    <x v="2771"/>
    <n v="9408"/>
    <s v="commune|defecation|environmentalism|fellatio|island"/>
    <n v="68"/>
    <x v="0"/>
    <x v="0"/>
    <n v="1500000"/>
    <x v="25"/>
    <x v="21"/>
    <n v="1500000"/>
    <n v="712294"/>
    <x v="2768"/>
    <x v="2771"/>
    <x v="5"/>
  </r>
  <r>
    <x v="579"/>
    <n v="171"/>
    <n v="25296447"/>
    <s v="Action|Crime|Thriller"/>
    <s v="Jason Statham"/>
    <x v="2772"/>
    <n v="237248"/>
    <s v="bar|gunfight|human trafficking|mixed martial arts|tire iron"/>
    <n v="460"/>
    <x v="0"/>
    <x v="8"/>
    <n v="21000000"/>
    <x v="13"/>
    <x v="22"/>
    <n v="22779540"/>
    <n v="27440067.918779999"/>
    <x v="2769"/>
    <x v="2772"/>
    <x v="1"/>
  </r>
  <r>
    <x v="1448"/>
    <n v="93"/>
    <n v="10956379"/>
    <s v="Action|Drama|Fantasy|Horror|Thriller"/>
    <s v="Robert Forster"/>
    <x v="2773"/>
    <n v="21506"/>
    <s v="antique shop|asian dragon|dragon|korean|reporter"/>
    <n v="364"/>
    <x v="0"/>
    <x v="14"/>
    <n v="35000000"/>
    <x v="15"/>
    <x v="12"/>
    <n v="25335.345000000001"/>
    <n v="7930.9611975930002"/>
    <x v="2770"/>
    <x v="2773"/>
    <x v="1"/>
  </r>
  <r>
    <x v="1449"/>
    <n v="62"/>
    <n v="50382128"/>
    <s v="Comedy|Drama|Romance"/>
    <s v="Cicely Tyson"/>
    <x v="2774"/>
    <n v="10472"/>
    <s v="comic relief|diary|kiss|madea series|state flag"/>
    <n v="202"/>
    <x v="0"/>
    <x v="0"/>
    <n v="5500000"/>
    <x v="25"/>
    <x v="15"/>
    <n v="5500000"/>
    <n v="50382128"/>
    <x v="2771"/>
    <x v="2774"/>
    <x v="4"/>
  </r>
  <r>
    <x v="1450"/>
    <n v="18"/>
    <n v="4308981"/>
    <s v="Comedy|Family"/>
    <s v="Paul Walker"/>
    <x v="2775"/>
    <n v="2265"/>
    <s v="accidental kiss|eating a worm|park|worm|yellowstone national park"/>
    <n v="37"/>
    <x v="0"/>
    <x v="0"/>
    <n v="24000000"/>
    <x v="6"/>
    <x v="52"/>
    <n v="24000000"/>
    <n v="4308981"/>
    <x v="2772"/>
    <x v="2775"/>
    <x v="4"/>
  </r>
  <r>
    <x v="133"/>
    <n v="50"/>
    <n v="14891000"/>
    <s v="Comedy"/>
    <s v="Lily Tomlin"/>
    <x v="2776"/>
    <n v="15088"/>
    <s v="adoption|armpit fetish|mistaken identity|new mexico|overalls"/>
    <n v="105"/>
    <x v="0"/>
    <x v="0"/>
    <n v="7000000"/>
    <x v="10"/>
    <x v="22"/>
    <n v="7000000"/>
    <n v="14891000"/>
    <x v="2773"/>
    <x v="2776"/>
    <x v="4"/>
  </r>
  <r>
    <x v="32"/>
    <n v="451"/>
    <n v="334185206"/>
    <s v="Adventure|Family|Fantasy"/>
    <s v="Johnny Depp"/>
    <x v="767"/>
    <n v="306336"/>
    <s v="alice in wonderland|mistaking reality for dream|queen|shrinking|shrinking potion"/>
    <n v="736"/>
    <x v="0"/>
    <x v="0"/>
    <n v="200000000"/>
    <x v="11"/>
    <x v="20"/>
    <n v="200000000"/>
    <n v="334185206"/>
    <x v="767"/>
    <x v="767"/>
    <x v="0"/>
  </r>
  <r>
    <x v="110"/>
    <n v="49"/>
    <n v="61490000"/>
    <s v="Drama|Horror|Sci-Fi|Thriller"/>
    <s v="Julia Roberts"/>
    <x v="2777"/>
    <n v="62037"/>
    <s v="childhood trauma|death|medical student|memory|near death experience"/>
    <n v="148"/>
    <x v="0"/>
    <x v="0"/>
    <n v="26000000"/>
    <x v="32"/>
    <x v="14"/>
    <n v="26000000"/>
    <n v="61490000"/>
    <x v="2774"/>
    <x v="2777"/>
    <x v="5"/>
  </r>
  <r>
    <x v="754"/>
    <n v="191"/>
    <n v="64149837"/>
    <s v="Comedy|Drama|Family|Fantasy|Romance"/>
    <s v="Matthew Perry"/>
    <x v="2778"/>
    <n v="146899"/>
    <s v="adult as child|father son relationship|high school student|janitor|school"/>
    <n v="185"/>
    <x v="0"/>
    <x v="0"/>
    <n v="20000000"/>
    <x v="16"/>
    <x v="24"/>
    <n v="20000000"/>
    <n v="64149837"/>
    <x v="2775"/>
    <x v="2778"/>
    <x v="4"/>
  </r>
  <r>
    <x v="430"/>
    <n v="105"/>
    <n v="18535191"/>
    <s v="Comedy|Romance"/>
    <s v="Minnie Driver"/>
    <x v="2779"/>
    <n v="12980"/>
    <s v="bachelor|blackmail|character says i love you|flirting|social satire"/>
    <n v="132"/>
    <x v="0"/>
    <x v="2"/>
    <n v="14000000"/>
    <x v="12"/>
    <x v="31"/>
    <n v="17995600"/>
    <n v="23825134.511399999"/>
    <x v="2776"/>
    <x v="2779"/>
    <x v="4"/>
  </r>
  <r>
    <x v="1451"/>
    <n v="138"/>
    <n v="108229"/>
    <s v="Drama|Horror|Mystery|Thriller"/>
    <s v="Liam Neeson"/>
    <x v="2780"/>
    <n v="30836"/>
    <s v="breath on mirror|buried alive|engagement ring|looking at one's self in a mirror|serial killer"/>
    <n v="137"/>
    <x v="0"/>
    <x v="0"/>
    <n v="4500000"/>
    <x v="16"/>
    <x v="0"/>
    <n v="4500000"/>
    <n v="108229"/>
    <x v="2777"/>
    <x v="2780"/>
    <x v="5"/>
  </r>
  <r>
    <x v="975"/>
    <n v="81"/>
    <n v="1980338"/>
    <s v="Comedy|Crime|Drama|Mystery|Thriller"/>
    <s v="Kim Dickens"/>
    <x v="2781"/>
    <n v="12366"/>
    <s v="blackmail|client|private detective|private investigator|tycoon"/>
    <n v="151"/>
    <x v="0"/>
    <x v="0"/>
    <n v="5000000"/>
    <x v="6"/>
    <x v="16"/>
    <n v="5000000"/>
    <n v="1980338"/>
    <x v="2778"/>
    <x v="2781"/>
    <x v="4"/>
  </r>
  <r>
    <x v="1452"/>
    <n v="51"/>
    <n v="124494"/>
    <s v="Action|Adventure|Comedy|Drama|Music|Sci-Fi"/>
    <s v="Jeffrey Falcon"/>
    <x v="2782"/>
    <n v="5613"/>
    <s v="boy|guitar|orphan|rock 'n' roll|sword"/>
    <n v="102"/>
    <x v="0"/>
    <x v="0"/>
    <n v="2000000"/>
    <x v="6"/>
    <x v="21"/>
    <n v="2000000"/>
    <n v="124494"/>
    <x v="2779"/>
    <x v="2782"/>
    <x v="1"/>
  </r>
  <r>
    <x v="1218"/>
    <n v="186"/>
    <n v="16235293"/>
    <s v="Horror"/>
    <s v="Oliver Hudson"/>
    <x v="2783"/>
    <n v="19918"/>
    <s v="attic|christmas|house|incest|sorority"/>
    <n v="278"/>
    <x v="0"/>
    <x v="0"/>
    <n v="9000000"/>
    <x v="7"/>
    <x v="47"/>
    <n v="9000000"/>
    <n v="16235293"/>
    <x v="2780"/>
    <x v="2783"/>
    <x v="6"/>
  </r>
  <r>
    <x v="209"/>
    <n v="422"/>
    <n v="255108370"/>
    <s v="Adventure|Fantasy"/>
    <s v="Aidan Turner"/>
    <x v="2784"/>
    <n v="354228"/>
    <s v="army|elf|hobbit|middle earth|orc"/>
    <n v="802"/>
    <x v="0"/>
    <x v="11"/>
    <n v="250000000"/>
    <x v="27"/>
    <x v="2"/>
    <n v="147186250"/>
    <n v="150193777.29565001"/>
    <x v="2781"/>
    <x v="2784"/>
    <x v="0"/>
  </r>
  <r>
    <x v="1453"/>
    <n v="119"/>
    <n v="22466994"/>
    <s v="Action|Crime|Thriller"/>
    <s v="Jason Statham"/>
    <x v="2785"/>
    <n v="72673"/>
    <s v="assassin|betrayal|fbi|fbi agent|yakuza"/>
    <n v="166"/>
    <x v="0"/>
    <x v="0"/>
    <n v="25000000"/>
    <x v="15"/>
    <x v="23"/>
    <n v="25000000"/>
    <n v="22466994"/>
    <x v="2782"/>
    <x v="2785"/>
    <x v="1"/>
  </r>
  <r>
    <x v="1454"/>
    <n v="19"/>
    <n v="1200000"/>
    <s v="Action"/>
    <s v="Burt Young"/>
    <x v="2786"/>
    <n v="922"/>
    <s v="exercise bicycle|face in food|police|police brutality|policeman"/>
    <n v="23"/>
    <x v="0"/>
    <x v="0"/>
    <n v="3000000"/>
    <x v="23"/>
    <x v="37"/>
    <n v="3000000"/>
    <n v="1200000"/>
    <x v="2783"/>
    <x v="2786"/>
    <x v="1"/>
  </r>
  <r>
    <x v="1455"/>
    <n v="285"/>
    <n v="70269171"/>
    <s v="Drama|Sport"/>
    <s v="Sylvester Stallone"/>
    <x v="2787"/>
    <n v="162130"/>
    <s v="boxing|fight|heavyweight champion|restaurant|retired boxer"/>
    <n v="962"/>
    <x v="0"/>
    <x v="0"/>
    <n v="24000000"/>
    <x v="7"/>
    <x v="33"/>
    <n v="24000000"/>
    <n v="70269171"/>
    <x v="2784"/>
    <x v="2787"/>
    <x v="5"/>
  </r>
  <r>
    <x v="1456"/>
    <n v="65"/>
    <n v="381186"/>
    <s v="Drama|Thriller"/>
    <s v="Katy Mixon"/>
    <x v="2788"/>
    <n v="13485"/>
    <s v="deaf|death|dysfunctional family|godparent|secret"/>
    <n v="90"/>
    <x v="0"/>
    <x v="0"/>
    <n v="900000"/>
    <x v="25"/>
    <x v="24"/>
    <n v="900000"/>
    <n v="381186"/>
    <x v="2785"/>
    <x v="2788"/>
    <x v="5"/>
  </r>
  <r>
    <x v="456"/>
    <n v="43"/>
    <n v="58571513"/>
    <s v="Crime|Drama|Mystery|Thriller"/>
    <s v="Al Pacino"/>
    <x v="2789"/>
    <n v="30213"/>
    <s v="detective|love|single|suspect|title from song"/>
    <n v="112"/>
    <x v="0"/>
    <x v="0"/>
    <n v="19000000"/>
    <x v="26"/>
    <x v="22"/>
    <n v="19000000"/>
    <n v="58571513"/>
    <x v="2786"/>
    <x v="2789"/>
    <x v="3"/>
  </r>
  <r>
    <x v="110"/>
    <n v="153"/>
    <n v="51225796"/>
    <s v="Drama|Musical|Romance|Thriller"/>
    <s v="Gerard Butler"/>
    <x v="2790"/>
    <n v="96654"/>
    <s v="based on stage musical based on novel|disfigurement|mask|opera|singer"/>
    <n v="2047"/>
    <x v="0"/>
    <x v="2"/>
    <n v="70000000"/>
    <x v="2"/>
    <x v="39"/>
    <n v="89977999.999999896"/>
    <n v="65845638.178399898"/>
    <x v="2787"/>
    <x v="2790"/>
    <x v="5"/>
  </r>
  <r>
    <x v="369"/>
    <n v="125"/>
    <n v="16298046"/>
    <s v="Horror|Mystery|Thriller"/>
    <s v="Sissy Spacek"/>
    <x v="2791"/>
    <n v="22207"/>
    <s v="flashback|lifting someone into the air|paranormal phenomena|voice over letter|year 1818"/>
    <n v="747"/>
    <x v="0"/>
    <x v="2"/>
    <n v="14000000"/>
    <x v="25"/>
    <x v="53"/>
    <n v="17995600"/>
    <n v="20949508.3283999"/>
    <x v="2788"/>
    <x v="2791"/>
    <x v="6"/>
  </r>
  <r>
    <x v="620"/>
    <n v="85"/>
    <n v="30105968"/>
    <s v="Adventure|Animation|Comedy|Family|Sci-Fi"/>
    <s v="Cheryl Hines"/>
    <x v="2792"/>
    <n v="8860"/>
    <s v="astronaut|attacked by a plant|planet|senator|space travel"/>
    <n v="45"/>
    <x v="0"/>
    <x v="0"/>
    <n v="37000000"/>
    <x v="20"/>
    <x v="47"/>
    <n v="37000000"/>
    <n v="30105968"/>
    <x v="2789"/>
    <x v="2792"/>
    <x v="0"/>
  </r>
  <r>
    <x v="1457"/>
    <n v="21"/>
    <n v="167780960"/>
    <s v="Comedy|Drama|Family"/>
    <s v="Tom Selleck"/>
    <x v="2793"/>
    <n v="36918"/>
    <s v="1980s|baby|heroin|package|questioned by police"/>
    <n v="42"/>
    <x v="0"/>
    <x v="0"/>
    <n v="11000000"/>
    <x v="21"/>
    <x v="0"/>
    <n v="11000000"/>
    <n v="167780960"/>
    <x v="2790"/>
    <x v="2793"/>
    <x v="4"/>
  </r>
  <r>
    <x v="1143"/>
    <n v="80"/>
    <n v="100117603"/>
    <s v="Animation|Drama|Family|Musical|Romance"/>
    <s v="Demi Moore"/>
    <x v="2794"/>
    <n v="102933"/>
    <s v="15th century|cathedral|gypsy|paris|victor hugo"/>
    <n v="230"/>
    <x v="0"/>
    <x v="0"/>
    <n v="100000000"/>
    <x v="10"/>
    <x v="31"/>
    <n v="100000000"/>
    <n v="100117603"/>
    <x v="2791"/>
    <x v="2794"/>
    <x v="8"/>
  </r>
  <r>
    <x v="1035"/>
    <n v="119"/>
    <n v="57744720"/>
    <s v="Action|Crime|Thriller"/>
    <s v="Paul Walker"/>
    <x v="2795"/>
    <n v="46961"/>
    <s v="armored car|bank|falling out among thieves|heist|planning"/>
    <n v="132"/>
    <x v="0"/>
    <x v="0"/>
    <n v="20000000"/>
    <x v="11"/>
    <x v="5"/>
    <n v="20000000"/>
    <n v="57744720"/>
    <x v="2792"/>
    <x v="2795"/>
    <x v="1"/>
  </r>
  <r>
    <x v="1458"/>
    <n v="7"/>
    <n v="215185"/>
    <s v="Documentary|History|Music"/>
    <s v="Matisyahu"/>
    <x v="2796"/>
    <n v="48"/>
    <s v="fair trade|human trafficking|non profit|rockumentary|slavery"/>
    <n v="2"/>
    <x v="0"/>
    <x v="0"/>
    <n v="200000"/>
    <x v="20"/>
    <x v="2"/>
    <n v="200000"/>
    <n v="215185"/>
    <x v="2793"/>
    <x v="2796"/>
    <x v="7"/>
  </r>
  <r>
    <x v="543"/>
    <n v="174"/>
    <n v="58183966"/>
    <s v="Biography|Drama|Sport"/>
    <s v="Will Smith"/>
    <x v="2797"/>
    <n v="79186"/>
    <s v="african american protagonist|african americans|boxing gym|gym|rumble in the jungle"/>
    <n v="386"/>
    <x v="0"/>
    <x v="0"/>
    <n v="107000000"/>
    <x v="9"/>
    <x v="22"/>
    <n v="107000000"/>
    <n v="58183966"/>
    <x v="2794"/>
    <x v="2797"/>
    <x v="2"/>
  </r>
  <r>
    <x v="684"/>
    <n v="241"/>
    <n v="32721635"/>
    <s v="Crime|Horror|Thriller"/>
    <s v="Tony Goldwyn"/>
    <x v="939"/>
    <n v="67822"/>
    <s v="kidnapping|lake|microwave oven|psychopath|woods"/>
    <n v="279"/>
    <x v="0"/>
    <x v="0"/>
    <n v="15000000"/>
    <x v="16"/>
    <x v="14"/>
    <n v="15000000"/>
    <n v="32721635"/>
    <x v="939"/>
    <x v="939"/>
    <x v="3"/>
  </r>
  <r>
    <x v="54"/>
    <n v="181"/>
    <n v="84136909"/>
    <s v="Comedy"/>
    <s v="Darcy Donavan"/>
    <x v="2798"/>
    <n v="267921"/>
    <s v="1970s|anchorman|news anchor|newsroom|tv station"/>
    <n v="577"/>
    <x v="0"/>
    <x v="0"/>
    <n v="26000000"/>
    <x v="2"/>
    <x v="33"/>
    <n v="26000000"/>
    <n v="84136909"/>
    <x v="2795"/>
    <x v="2798"/>
    <x v="4"/>
  </r>
  <r>
    <x v="1459"/>
    <n v="31"/>
    <n v="287761"/>
    <s v="Adventure|Biography|Documentary|Drama"/>
    <s v="Josh Swanson"/>
    <x v="2799"/>
    <n v="2482"/>
    <s v="antarctica"/>
    <n v="16"/>
    <x v="0"/>
    <x v="11"/>
    <n v="1000000"/>
    <x v="0"/>
    <x v="10"/>
    <n v="588745"/>
    <n v="169417.84994499999"/>
    <x v="2796"/>
    <x v="2799"/>
    <x v="0"/>
  </r>
  <r>
    <x v="1460"/>
    <n v="25"/>
    <n v="2148212"/>
    <s v="Drama|Family"/>
    <s v="Bruce McGill"/>
    <x v="2800"/>
    <n v="781"/>
    <s v="artist|box office flop|dog|drawing|flanders"/>
    <n v="20"/>
    <x v="0"/>
    <x v="0"/>
    <n v="7000000"/>
    <x v="12"/>
    <x v="23"/>
    <n v="7000000"/>
    <n v="2148212"/>
    <x v="2797"/>
    <x v="2800"/>
    <x v="5"/>
  </r>
  <r>
    <x v="1328"/>
    <n v="76"/>
    <n v="49994804"/>
    <s v="Biography|Drama|History|Musical"/>
    <s v="Andrea Corr"/>
    <x v="2801"/>
    <n v="29205"/>
    <s v="actress|argentina|military|politics|singer"/>
    <n v="194"/>
    <x v="0"/>
    <x v="0"/>
    <n v="55000000"/>
    <x v="10"/>
    <x v="23"/>
    <n v="55000000"/>
    <n v="49994804"/>
    <x v="2798"/>
    <x v="2801"/>
    <x v="2"/>
  </r>
  <r>
    <x v="1362"/>
    <n v="148"/>
    <n v="78900000"/>
    <s v="Action|Adventure|Sci-Fi"/>
    <s v="Leonard Nimoy"/>
    <x v="2802"/>
    <n v="91414"/>
    <s v="jamming communications|planet|space station|taunt|trap"/>
    <n v="359"/>
    <x v="0"/>
    <x v="0"/>
    <n v="11000000"/>
    <x v="42"/>
    <x v="9"/>
    <n v="11000000"/>
    <n v="78900000"/>
    <x v="2799"/>
    <x v="2802"/>
    <x v="1"/>
  </r>
  <r>
    <x v="754"/>
    <n v="117"/>
    <n v="31136950"/>
    <s v="Drama|Fantasy|Romance"/>
    <s v="Augustus Prew"/>
    <x v="2803"/>
    <n v="47364"/>
    <s v="brother brother relationship|death of brother|ghost|seeing dead people|talking with the dead"/>
    <n v="75"/>
    <x v="0"/>
    <x v="0"/>
    <n v="44000000"/>
    <x v="11"/>
    <x v="20"/>
    <n v="44000000"/>
    <n v="31136950"/>
    <x v="2800"/>
    <x v="2803"/>
    <x v="5"/>
  </r>
  <r>
    <x v="681"/>
    <n v="274"/>
    <n v="57981889"/>
    <s v="Crime|Drama|Thriller"/>
    <s v="Matthew McConaughey"/>
    <x v="2804"/>
    <n v="173848"/>
    <s v="defense attorney|defense lawyer|lawyer|plot twist|prostitute"/>
    <n v="203"/>
    <x v="0"/>
    <x v="0"/>
    <n v="40000000"/>
    <x v="22"/>
    <x v="4"/>
    <n v="40000000"/>
    <n v="57981889"/>
    <x v="2801"/>
    <x v="2804"/>
    <x v="3"/>
  </r>
  <r>
    <x v="366"/>
    <n v="104"/>
    <n v="10569071"/>
    <s v="Comedy"/>
    <s v="Woody Allen"/>
    <x v="2805"/>
    <n v="35586"/>
    <s v="marriage|novelist|panties pulled down|writer's block|writing"/>
    <n v="131"/>
    <x v="0"/>
    <x v="0"/>
    <n v="20000000"/>
    <x v="31"/>
    <x v="39"/>
    <n v="20000000"/>
    <n v="10569071"/>
    <x v="2802"/>
    <x v="2805"/>
    <x v="4"/>
  </r>
  <r>
    <x v="848"/>
    <n v="203"/>
    <n v="23324666"/>
    <s v="Action|Thriller"/>
    <s v="Kasia Smutniak"/>
    <x v="2806"/>
    <n v="97775"/>
    <s v="ambassador|cia|dinner|spy|terrorist"/>
    <n v="211"/>
    <x v="0"/>
    <x v="8"/>
    <n v="52000000"/>
    <x v="11"/>
    <x v="20"/>
    <n v="56406480"/>
    <n v="25301198.196839999"/>
    <x v="2803"/>
    <x v="2806"/>
    <x v="1"/>
  </r>
  <r>
    <x v="1461"/>
    <n v="117"/>
    <n v="104077"/>
    <s v="Comedy|Drama|Fantasy|Romance"/>
    <s v="Leslie Bibb"/>
    <x v="2807"/>
    <n v="46076"/>
    <s v="afterlife|camping|death|hitchhiker|suicide"/>
    <n v="88"/>
    <x v="0"/>
    <x v="0"/>
    <n v="1000000"/>
    <x v="7"/>
    <x v="39"/>
    <n v="1000000"/>
    <n v="104077"/>
    <x v="2804"/>
    <x v="2807"/>
    <x v="4"/>
  </r>
  <r>
    <x v="297"/>
    <n v="556"/>
    <n v="96917897"/>
    <s v="Biography|Drama"/>
    <s v="Andrew Garfield"/>
    <x v="2808"/>
    <n v="479453"/>
    <s v="competitiveness|creator|entrepreneur|facebook|intellectual property"/>
    <n v="696"/>
    <x v="0"/>
    <x v="0"/>
    <n v="40000000"/>
    <x v="11"/>
    <x v="9"/>
    <n v="40000000"/>
    <n v="96917897"/>
    <x v="2805"/>
    <x v="2808"/>
    <x v="2"/>
  </r>
  <r>
    <x v="1329"/>
    <n v="50"/>
    <n v="19693891"/>
    <s v="Comedy|Drama|Romance|Sport"/>
    <s v="Marc Blucas"/>
    <x v="2809"/>
    <n v="12993"/>
    <s v="baseball|baseball player|night|rivalry|summer"/>
    <n v="107"/>
    <x v="0"/>
    <x v="0"/>
    <n v="34000000"/>
    <x v="9"/>
    <x v="18"/>
    <n v="34000000"/>
    <n v="19693891"/>
    <x v="2806"/>
    <x v="2809"/>
    <x v="4"/>
  </r>
  <r>
    <x v="1462"/>
    <n v="150"/>
    <n v="18225165"/>
    <s v="Adventure|Comedy"/>
    <s v="Ethan Embry"/>
    <x v="2810"/>
    <n v="155262"/>
    <s v="marijuana|police|road trip|stoner|white castle"/>
    <n v="316"/>
    <x v="0"/>
    <x v="0"/>
    <n v="9000000"/>
    <x v="2"/>
    <x v="17"/>
    <n v="9000000"/>
    <n v="18225165"/>
    <x v="2807"/>
    <x v="2810"/>
    <x v="0"/>
  </r>
  <r>
    <x v="1463"/>
    <n v="36"/>
    <n v="20915465"/>
    <s v="Adventure|Comedy|Family|Fantasy|Sci-Fi"/>
    <s v="Bob Hoskins"/>
    <x v="2811"/>
    <n v="38203"/>
    <s v="based on video game|dinosaur|king|mario|plumber"/>
    <n v="290"/>
    <x v="0"/>
    <x v="2"/>
    <n v="42000000"/>
    <x v="23"/>
    <x v="56"/>
    <n v="53986799.999999903"/>
    <n v="26884738.710999999"/>
    <x v="2808"/>
    <x v="2811"/>
    <x v="0"/>
  </r>
  <r>
    <x v="132"/>
    <n v="177"/>
    <n v="229074524"/>
    <s v="Action|Adventure|Sci-Fi"/>
    <s v="Ariana Richards"/>
    <x v="2812"/>
    <n v="278362"/>
    <s v="capture|dinosaur|island|jurassic|jurassic park"/>
    <n v="552"/>
    <x v="0"/>
    <x v="0"/>
    <n v="73000000"/>
    <x v="31"/>
    <x v="20"/>
    <n v="73000000"/>
    <n v="229074524"/>
    <x v="2809"/>
    <x v="2812"/>
    <x v="1"/>
  </r>
  <r>
    <x v="1464"/>
    <n v="44"/>
    <n v="37788228"/>
    <s v="Comedy"/>
    <s v="Bernie Mac"/>
    <x v="2813"/>
    <n v="15046"/>
    <s v="alderman|party|president|presidential candidate|washington d.c."/>
    <n v="80"/>
    <x v="0"/>
    <x v="0"/>
    <n v="35200000"/>
    <x v="19"/>
    <x v="26"/>
    <n v="35200000"/>
    <n v="37788228"/>
    <x v="2810"/>
    <x v="2813"/>
    <x v="4"/>
  </r>
  <r>
    <x v="193"/>
    <n v="231"/>
    <n v="182618434"/>
    <s v="Action|Adventure|Drama|Thriller"/>
    <s v="Karen Allen"/>
    <x v="2814"/>
    <n v="133076"/>
    <s v="death|fish|fishing|sea|storm"/>
    <n v="779"/>
    <x v="0"/>
    <x v="0"/>
    <n v="140000000"/>
    <x v="4"/>
    <x v="24"/>
    <n v="140000000"/>
    <n v="182618434"/>
    <x v="2811"/>
    <x v="2814"/>
    <x v="1"/>
  </r>
  <r>
    <x v="124"/>
    <n v="191"/>
    <n v="124870275"/>
    <s v="Animation|Comedy|Family|Sci-Fi"/>
    <s v="Will Forte"/>
    <x v="2815"/>
    <n v="152601"/>
    <s v="food|giant food|mayor|sardine|weather"/>
    <n v="156"/>
    <x v="0"/>
    <x v="0"/>
    <n v="100000000"/>
    <x v="16"/>
    <x v="16"/>
    <n v="100000000"/>
    <n v="124870275"/>
    <x v="2812"/>
    <x v="2815"/>
    <x v="8"/>
  </r>
  <r>
    <x v="774"/>
    <n v="186"/>
    <n v="110476776"/>
    <s v="Comedy|Romance"/>
    <s v="Bradley Cooper"/>
    <x v="2816"/>
    <n v="95437"/>
    <s v="flower|indian restaurant|tv station|valentine|valentine's day"/>
    <n v="211"/>
    <x v="0"/>
    <x v="0"/>
    <n v="52000000"/>
    <x v="11"/>
    <x v="35"/>
    <n v="52000000"/>
    <n v="110476776"/>
    <x v="2813"/>
    <x v="2816"/>
    <x v="4"/>
  </r>
  <r>
    <x v="1465"/>
    <n v="99"/>
    <n v="489220"/>
    <s v="Mystery|Sci-Fi|Thriller"/>
    <s v="David Hewlett"/>
    <x v="2817"/>
    <n v="160511"/>
    <s v="escape|labyrinth|maze|red light|trap"/>
    <n v="696"/>
    <x v="0"/>
    <x v="9"/>
    <n v="365000"/>
    <x v="31"/>
    <x v="4"/>
    <n v="264042.82500000001"/>
    <n v="353904.19409999897"/>
    <x v="2814"/>
    <x v="2817"/>
    <x v="10"/>
  </r>
  <r>
    <x v="688"/>
    <n v="198"/>
    <n v="40076438"/>
    <s v="Action|Crime|Drama|Mystery|Thriller"/>
    <s v="Robert De Niro"/>
    <x v="2818"/>
    <n v="73368"/>
    <s v="blood splatter|execution|new york city|nypd|serial killer"/>
    <n v="248"/>
    <x v="0"/>
    <x v="0"/>
    <n v="60000000"/>
    <x v="20"/>
    <x v="11"/>
    <n v="60000000"/>
    <n v="40076438"/>
    <x v="2815"/>
    <x v="2818"/>
    <x v="1"/>
  </r>
  <r>
    <x v="1466"/>
    <n v="110"/>
    <n v="43853424"/>
    <s v="Biography|Drama|Family|Sport"/>
    <s v="Dennis Quaid"/>
    <x v="2819"/>
    <n v="35514"/>
    <s v="christian|christian film|shark|surfer|surfing"/>
    <n v="114"/>
    <x v="0"/>
    <x v="0"/>
    <n v="18000000"/>
    <x v="22"/>
    <x v="17"/>
    <n v="18000000"/>
    <n v="43853424"/>
    <x v="2816"/>
    <x v="2819"/>
    <x v="2"/>
  </r>
  <r>
    <x v="235"/>
    <n v="231"/>
    <n v="4001121"/>
    <s v="Biography|Drama|Music"/>
    <s v="Christian Bale"/>
    <x v="2820"/>
    <n v="48346"/>
    <s v="1960s|actor|horseback riding|reporter|riding the rails"/>
    <n v="230"/>
    <x v="0"/>
    <x v="0"/>
    <n v="20000000"/>
    <x v="15"/>
    <x v="16"/>
    <n v="20000000"/>
    <n v="4001121"/>
    <x v="2817"/>
    <x v="2820"/>
    <x v="2"/>
  </r>
  <r>
    <x v="471"/>
    <n v="34"/>
    <n v="43490057"/>
    <s v="Comedy|Drama"/>
    <s v="Vanessa Williams"/>
    <x v="2821"/>
    <n v="5275"/>
    <s v="1990s|family relationships|food in title|sister|unity"/>
    <n v="30"/>
    <x v="0"/>
    <x v="0"/>
    <n v="7500000"/>
    <x v="31"/>
    <x v="31"/>
    <n v="7500000"/>
    <n v="43490057"/>
    <x v="2818"/>
    <x v="2821"/>
    <x v="4"/>
  </r>
  <r>
    <x v="1467"/>
    <n v="152"/>
    <n v="25799043"/>
    <s v="Horror|Sci-Fi|Thriller"/>
    <s v="Olivia Wilde"/>
    <x v="2822"/>
    <n v="28513"/>
    <s v="electrocuted|experiment|hell|serum|university"/>
    <n v="126"/>
    <x v="0"/>
    <x v="0"/>
    <n v="3300000"/>
    <x v="1"/>
    <x v="44"/>
    <n v="3300000"/>
    <n v="25799043"/>
    <x v="2819"/>
    <x v="2822"/>
    <x v="6"/>
  </r>
  <r>
    <x v="521"/>
    <n v="165"/>
    <n v="60470220"/>
    <s v="Action|Adventure|Comedy"/>
    <s v="Fann Wong"/>
    <x v="2823"/>
    <n v="81444"/>
    <s v="1880s|arrow|imperial seal|murder|revenge"/>
    <n v="192"/>
    <x v="0"/>
    <x v="0"/>
    <n v="50000000"/>
    <x v="19"/>
    <x v="5"/>
    <n v="50000000"/>
    <n v="60470220"/>
    <x v="2820"/>
    <x v="2823"/>
    <x v="1"/>
  </r>
  <r>
    <x v="778"/>
    <n v="156"/>
    <n v="108012170"/>
    <s v="Adventure|Animation|Comedy|Family|Fantasy"/>
    <s v="Gary Cole"/>
    <x v="2824"/>
    <n v="24089"/>
    <s v="drummer|easter|easter bunny|piaggio vespa gtv 250|slacker"/>
    <n v="82"/>
    <x v="0"/>
    <x v="0"/>
    <n v="63000000"/>
    <x v="22"/>
    <x v="28"/>
    <n v="63000000"/>
    <n v="108012170"/>
    <x v="2821"/>
    <x v="2824"/>
    <x v="0"/>
  </r>
  <r>
    <x v="1413"/>
    <n v="292"/>
    <n v="77501"/>
    <s v="Horror"/>
    <s v="Lena Dunham"/>
    <x v="2825"/>
    <n v="27260"/>
    <s v="bathtub|dead body in a bathtub|dead body in bathtub|hotel|inn"/>
    <n v="247"/>
    <x v="0"/>
    <x v="0"/>
    <n v="750000"/>
    <x v="22"/>
    <x v="28"/>
    <n v="750000"/>
    <n v="77501"/>
    <x v="2822"/>
    <x v="2825"/>
    <x v="6"/>
  </r>
  <r>
    <x v="1468"/>
    <n v="184"/>
    <n v="47852604"/>
    <s v="Drama|Mystery|Thriller"/>
    <s v="Nia Long"/>
    <x v="2826"/>
    <n v="62364"/>
    <s v="car|car accident|housewife|sheriff|suburb"/>
    <n v="337"/>
    <x v="0"/>
    <x v="0"/>
    <n v="20000000"/>
    <x v="15"/>
    <x v="0"/>
    <n v="20000000"/>
    <n v="47852604"/>
    <x v="2823"/>
    <x v="2826"/>
    <x v="5"/>
  </r>
  <r>
    <x v="1469"/>
    <n v="154"/>
    <n v="58867694"/>
    <s v="Animation|Comedy|Family|Sport"/>
    <s v="Jeff Bridges"/>
    <x v="2827"/>
    <n v="54077"/>
    <s v="chicken|competition|island|penguin|surfing"/>
    <n v="112"/>
    <x v="0"/>
    <x v="0"/>
    <n v="100000000"/>
    <x v="15"/>
    <x v="22"/>
    <n v="100000000"/>
    <n v="58867694"/>
    <x v="2824"/>
    <x v="2827"/>
    <x v="8"/>
  </r>
  <r>
    <x v="294"/>
    <n v="130"/>
    <n v="43100000"/>
    <s v="Action|Adventure|Thriller"/>
    <s v="Donald Pleasence"/>
    <x v="2828"/>
    <n v="75280"/>
    <s v="faked death|japan|japanese|poison|secret headquarters"/>
    <n v="267"/>
    <x v="0"/>
    <x v="2"/>
    <n v="9500000"/>
    <x v="70"/>
    <x v="31"/>
    <n v="12211299.999999899"/>
    <n v="55400739.999999903"/>
    <x v="2825"/>
    <x v="2828"/>
    <x v="1"/>
  </r>
  <r>
    <x v="635"/>
    <n v="42"/>
    <n v="46815748"/>
    <s v="Action|Adventure|Crime|Thriller"/>
    <s v="Meryl Streep"/>
    <x v="2829"/>
    <n v="32544"/>
    <s v="criminal|rafting|river|robber|white water rafting"/>
    <n v="69"/>
    <x v="0"/>
    <x v="0"/>
    <n v="45000000"/>
    <x v="5"/>
    <x v="23"/>
    <n v="45000000"/>
    <n v="46815748"/>
    <x v="2826"/>
    <x v="2829"/>
    <x v="1"/>
  </r>
  <r>
    <x v="975"/>
    <n v="171"/>
    <n v="18317151"/>
    <s v="Comedy|Music"/>
    <s v="Tim Meadows"/>
    <x v="2830"/>
    <n v="55630"/>
    <s v="drugs|elvis|musician|singer|the beatles"/>
    <n v="200"/>
    <x v="0"/>
    <x v="0"/>
    <n v="35000000"/>
    <x v="15"/>
    <x v="21"/>
    <n v="35000000"/>
    <n v="18317151"/>
    <x v="2827"/>
    <x v="2830"/>
    <x v="4"/>
  </r>
  <r>
    <x v="157"/>
    <n v="77"/>
    <n v="82569532"/>
    <s v="Adventure|Comedy|Family"/>
    <s v="Taylor Lautner"/>
    <x v="2831"/>
    <n v="42737"/>
    <s v="children|competition|rival|second part|vacation"/>
    <n v="128"/>
    <x v="0"/>
    <x v="0"/>
    <n v="60000000"/>
    <x v="25"/>
    <x v="26"/>
    <n v="60000000"/>
    <n v="82569532"/>
    <x v="2828"/>
    <x v="2831"/>
    <x v="0"/>
  </r>
  <r>
    <x v="1470"/>
    <n v="45"/>
    <n v="100491683"/>
    <s v="Adventure|Animation|Comedy|Drama|Family|Musical"/>
    <s v="Elizabeth Daily"/>
    <x v="2832"/>
    <n v="14005"/>
    <s v="baby|home|hospital|lost|newborn baby"/>
    <n v="67"/>
    <x v="0"/>
    <x v="0"/>
    <n v="24000000"/>
    <x v="6"/>
    <x v="0"/>
    <n v="24000000"/>
    <n v="100491683"/>
    <x v="2829"/>
    <x v="2832"/>
    <x v="0"/>
  </r>
  <r>
    <x v="1071"/>
    <n v="175"/>
    <n v="13650738"/>
    <s v="Comedy|Drama"/>
    <s v="Bradley Cooper"/>
    <x v="2833"/>
    <n v="61360"/>
    <s v="chef|gay kiss|michelin star|restaurant|violent behavior"/>
    <n v="129"/>
    <x v="0"/>
    <x v="0"/>
    <n v="20000000"/>
    <x v="1"/>
    <x v="14"/>
    <n v="20000000"/>
    <n v="13650738"/>
    <x v="2830"/>
    <x v="2833"/>
    <x v="4"/>
  </r>
  <r>
    <x v="87"/>
    <n v="137"/>
    <n v="106635996"/>
    <s v="Action|Adventure|Thriller"/>
    <s v="Izabella Scorupco"/>
    <x v="2834"/>
    <n v="199025"/>
    <s v="agent|cossack|official james bond series|russia|russian"/>
    <n v="416"/>
    <x v="0"/>
    <x v="2"/>
    <n v="58000000"/>
    <x v="33"/>
    <x v="33"/>
    <n v="74553200"/>
    <n v="137069909.25839999"/>
    <x v="2831"/>
    <x v="2834"/>
    <x v="1"/>
  </r>
  <r>
    <x v="1471"/>
    <n v="207"/>
    <n v="31597131"/>
    <s v="Drama|Thriller"/>
    <s v="Robin Williams"/>
    <x v="2835"/>
    <n v="97938"/>
    <s v="insanity|photo lab|photo shop|photography|voyeur"/>
    <n v="605"/>
    <x v="0"/>
    <x v="0"/>
    <n v="12000000"/>
    <x v="13"/>
    <x v="22"/>
    <n v="12000000"/>
    <n v="31597131"/>
    <x v="2832"/>
    <x v="2835"/>
    <x v="5"/>
  </r>
  <r>
    <x v="456"/>
    <n v="79"/>
    <n v="32940507"/>
    <s v="Action|Crime|Drama|Thriller"/>
    <s v="Bruce Willis"/>
    <x v="2836"/>
    <n v="54314"/>
    <s v="autistic child|boy|child in danger|fbi|nsa"/>
    <n v="127"/>
    <x v="0"/>
    <x v="0"/>
    <n v="60000000"/>
    <x v="6"/>
    <x v="7"/>
    <n v="60000000"/>
    <n v="32940507"/>
    <x v="2833"/>
    <x v="2836"/>
    <x v="1"/>
  </r>
  <r>
    <x v="672"/>
    <n v="271"/>
    <n v="4007792"/>
    <s v="Comedy|Drama|Romance"/>
    <s v="Mary Lynn Rajskub"/>
    <x v="2837"/>
    <n v="101287"/>
    <s v="classified ad|intern|magazine|time machine|time travel"/>
    <n v="260"/>
    <x v="0"/>
    <x v="0"/>
    <n v="750000"/>
    <x v="28"/>
    <x v="16"/>
    <n v="750000"/>
    <n v="4007792"/>
    <x v="2834"/>
    <x v="2837"/>
    <x v="4"/>
  </r>
  <r>
    <x v="1256"/>
    <n v="358"/>
    <n v="50815288"/>
    <s v="Drama|Thriller"/>
    <s v="Matt Damon"/>
    <x v="2246"/>
    <n v="109191"/>
    <s v="cia|hezbollah|lebanon|oil|prince"/>
    <n v="625"/>
    <x v="0"/>
    <x v="0"/>
    <n v="50000000"/>
    <x v="25"/>
    <x v="16"/>
    <n v="50000000"/>
    <n v="50815288"/>
    <x v="2244"/>
    <x v="2246"/>
    <x v="5"/>
  </r>
  <r>
    <x v="774"/>
    <n v="93"/>
    <n v="37486138"/>
    <s v="Comedy|Drama|Romance"/>
    <s v="Amber Valletta"/>
    <x v="2838"/>
    <n v="30890"/>
    <s v="fashion show|female protagonist|love|pastor|queens new york city"/>
    <n v="106"/>
    <x v="0"/>
    <x v="0"/>
    <n v="50000000"/>
    <x v="2"/>
    <x v="11"/>
    <n v="50000000"/>
    <n v="37486138"/>
    <x v="2835"/>
    <x v="2838"/>
    <x v="4"/>
  </r>
  <r>
    <x v="297"/>
    <n v="210"/>
    <n v="55473600"/>
    <s v="Action|Horror|Sci-Fi"/>
    <s v="Charles S. Dutton"/>
    <x v="2839"/>
    <n v="207686"/>
    <s v="alien|crash|planet|prison|survivor"/>
    <n v="776"/>
    <x v="0"/>
    <x v="0"/>
    <n v="50000000"/>
    <x v="8"/>
    <x v="24"/>
    <n v="50000000"/>
    <n v="55473600"/>
    <x v="2836"/>
    <x v="2839"/>
    <x v="1"/>
  </r>
  <r>
    <x v="377"/>
    <n v="141"/>
    <n v="63695760"/>
    <s v="Drama"/>
    <s v="Julia Roberts"/>
    <x v="2840"/>
    <n v="61490"/>
    <s v="art|college|school|student|wellesley college"/>
    <n v="264"/>
    <x v="0"/>
    <x v="0"/>
    <n v="65000000"/>
    <x v="19"/>
    <x v="24"/>
    <n v="65000000"/>
    <n v="63695760"/>
    <x v="2837"/>
    <x v="2840"/>
    <x v="5"/>
  </r>
  <r>
    <x v="1129"/>
    <n v="127"/>
    <n v="1987287"/>
    <s v="Crime|Drama"/>
    <s v="Ian McNeice"/>
    <x v="2841"/>
    <n v="25474"/>
    <s v="boy|character name in title|orphan|pickpocket|workhouse"/>
    <n v="138"/>
    <x v="0"/>
    <x v="2"/>
    <n v="50000000"/>
    <x v="25"/>
    <x v="31"/>
    <n v="64269999.999999903"/>
    <n v="2554458.7097999998"/>
    <x v="2838"/>
    <x v="2841"/>
    <x v="3"/>
  </r>
  <r>
    <x v="156"/>
    <n v="59"/>
    <n v="65012000"/>
    <s v="Drama|Horror|Romance|Thriller"/>
    <s v="David Hyde Pierce"/>
    <x v="2842"/>
    <n v="43559"/>
    <s v="blood|publisher|publishing house|werewolf|wolf"/>
    <n v="137"/>
    <x v="0"/>
    <x v="0"/>
    <n v="70000000"/>
    <x v="5"/>
    <x v="5"/>
    <n v="70000000"/>
    <n v="65012000"/>
    <x v="2839"/>
    <x v="2842"/>
    <x v="5"/>
  </r>
  <r>
    <x v="1472"/>
    <n v="106"/>
    <n v="24044532"/>
    <s v="Drama|Romance"/>
    <s v="Sonia Braga"/>
    <x v="2843"/>
    <n v="19686"/>
    <s v="apartment|fate|gun|love|mysterious man"/>
    <n v="180"/>
    <x v="0"/>
    <x v="0"/>
    <n v="38000000"/>
    <x v="9"/>
    <x v="15"/>
    <n v="38000000"/>
    <n v="24044532"/>
    <x v="2840"/>
    <x v="2843"/>
    <x v="5"/>
  </r>
  <r>
    <x v="1473"/>
    <n v="56"/>
    <n v="1521"/>
    <s v="Comedy|Horror"/>
    <s v="Stephen McHattie"/>
    <x v="2844"/>
    <n v="1231"/>
    <s v="art teacher|cannibal|inspiration|painter|sleepwalking"/>
    <n v="10"/>
    <x v="0"/>
    <x v="9"/>
    <n v="1500000"/>
    <x v="28"/>
    <x v="35"/>
    <n v="1085107.5"/>
    <n v="1100.2990049999901"/>
    <x v="2841"/>
    <x v="2844"/>
    <x v="4"/>
  </r>
  <r>
    <x v="1474"/>
    <n v="130"/>
    <n v="14334645"/>
    <s v="Drama|Horror|Sci-Fi|Thriller"/>
    <s v="Robert De Niro"/>
    <x v="2845"/>
    <n v="22449"/>
    <s v="birthday|boy|clone|cloning|doctor"/>
    <n v="191"/>
    <x v="0"/>
    <x v="0"/>
    <n v="25000000"/>
    <x v="2"/>
    <x v="45"/>
    <n v="25000000"/>
    <n v="14334645"/>
    <x v="2842"/>
    <x v="2845"/>
    <x v="5"/>
  </r>
  <r>
    <x v="1475"/>
    <n v="94"/>
    <n v="2436"/>
    <s v="Comedy|Fantasy|Musical|Sci-Fi"/>
    <s v="Kate Maberly"/>
    <x v="2846"/>
    <n v="344"/>
    <s v="1950s|independent film|outlaw|trial"/>
    <n v="19"/>
    <x v="0"/>
    <x v="0"/>
    <n v="2000000"/>
    <x v="28"/>
    <x v="35"/>
    <n v="2000000"/>
    <n v="2436"/>
    <x v="2843"/>
    <x v="2846"/>
    <x v="4"/>
  </r>
  <r>
    <x v="68"/>
    <n v="118"/>
    <n v="57887882"/>
    <s v="Comedy|Drama|Romance"/>
    <s v="Lisa Ann Walter"/>
    <x v="2847"/>
    <n v="35508"/>
    <s v="dance|dance competition|dance lesson|love|teacher"/>
    <n v="211"/>
    <x v="0"/>
    <x v="0"/>
    <n v="50000000"/>
    <x v="2"/>
    <x v="7"/>
    <n v="50000000"/>
    <n v="57887882"/>
    <x v="2844"/>
    <x v="2847"/>
    <x v="4"/>
  </r>
  <r>
    <x v="345"/>
    <n v="297"/>
    <n v="13782838"/>
    <s v="Horror|Mystery|Sci-Fi"/>
    <s v="Wilford Brimley"/>
    <x v="2848"/>
    <n v="258078"/>
    <s v="alien creature|alien life form|antarctica|isolation|paranoia"/>
    <n v="911"/>
    <x v="0"/>
    <x v="0"/>
    <n v="15000000"/>
    <x v="42"/>
    <x v="60"/>
    <n v="15000000"/>
    <n v="13782838"/>
    <x v="2845"/>
    <x v="2848"/>
    <x v="6"/>
  </r>
  <r>
    <x v="812"/>
    <n v="62"/>
    <n v="38553833"/>
    <s v="Adventure|Drama|Horror|Thriller"/>
    <s v="Tom Wilkinson"/>
    <x v="2849"/>
    <n v="46239"/>
    <s v="bridge|engineer|hunter|lion|railway"/>
    <n v="155"/>
    <x v="0"/>
    <x v="0"/>
    <n v="55000000"/>
    <x v="10"/>
    <x v="22"/>
    <n v="55000000"/>
    <n v="38553833"/>
    <x v="2846"/>
    <x v="2849"/>
    <x v="0"/>
  </r>
  <r>
    <x v="940"/>
    <n v="197"/>
    <n v="45506619"/>
    <s v="Adventure|Comedy|Crime|Music"/>
    <s v="Holly Hunter"/>
    <x v="2850"/>
    <n v="225102"/>
    <s v="baby|bank|blind prophet|convict|sirens"/>
    <n v="862"/>
    <x v="0"/>
    <x v="2"/>
    <n v="26000000"/>
    <x v="4"/>
    <x v="38"/>
    <n v="33420399.999999899"/>
    <n v="58494208.062599897"/>
    <x v="2847"/>
    <x v="2850"/>
    <x v="0"/>
  </r>
  <r>
    <x v="1476"/>
    <n v="7"/>
    <n v="4074023"/>
    <s v="Documentary"/>
    <s v="Norbert Ferrer"/>
    <x v="2851"/>
    <n v="296"/>
    <s v="3d|imax|plesiosaur|sea|water"/>
    <n v="4"/>
    <x v="0"/>
    <x v="2"/>
    <n v="5000000"/>
    <x v="11"/>
    <x v="31"/>
    <n v="6426999.9999999898"/>
    <n v="5236749.1641999902"/>
    <x v="2848"/>
    <x v="2851"/>
    <x v="7"/>
  </r>
  <r>
    <x v="1477"/>
    <n v="128"/>
    <n v="46012734"/>
    <s v="Comedy|Romance"/>
    <s v="Busy Philipps"/>
    <x v="2852"/>
    <n v="54421"/>
    <s v="friend|love|maid|maid of honor|marriage"/>
    <n v="101"/>
    <x v="0"/>
    <x v="0"/>
    <n v="40000000"/>
    <x v="20"/>
    <x v="30"/>
    <n v="40000000"/>
    <n v="46012734"/>
    <x v="2849"/>
    <x v="2852"/>
    <x v="4"/>
  </r>
  <r>
    <x v="771"/>
    <n v="87"/>
    <n v="1752214"/>
    <s v="Comedy|Drama|Romance"/>
    <s v="Madeline Carroll"/>
    <x v="2853"/>
    <n v="60460"/>
    <s v="apology|falling in love|multiple perspectives|narrated by a girl|younger version of character"/>
    <n v="104"/>
    <x v="0"/>
    <x v="0"/>
    <n v="14000000"/>
    <x v="11"/>
    <x v="9"/>
    <n v="14000000"/>
    <n v="1752214"/>
    <x v="2850"/>
    <x v="2853"/>
    <x v="4"/>
  </r>
  <r>
    <x v="29"/>
    <n v="155"/>
    <n v="106126012"/>
    <s v="Action|Crime|Thriller"/>
    <s v="Jason Statham"/>
    <x v="2854"/>
    <n v="285623"/>
    <s v="gold|heist|revenge|traffic jam|venice italy"/>
    <n v="497"/>
    <x v="0"/>
    <x v="0"/>
    <n v="60000000"/>
    <x v="19"/>
    <x v="16"/>
    <n v="60000000"/>
    <n v="106126012"/>
    <x v="2851"/>
    <x v="2854"/>
    <x v="1"/>
  </r>
  <r>
    <x v="1478"/>
    <n v="39"/>
    <n v="151389"/>
    <s v="Documentary"/>
    <s v="David Mamet"/>
    <x v="2855"/>
    <n v="774"/>
    <s v="stage magician"/>
    <n v="7"/>
    <x v="0"/>
    <x v="0"/>
    <n v="500000"/>
    <x v="28"/>
    <x v="17"/>
    <n v="500000"/>
    <n v="151389"/>
    <x v="2852"/>
    <x v="2855"/>
    <x v="7"/>
  </r>
  <r>
    <x v="869"/>
    <n v="156"/>
    <n v="63992328"/>
    <s v="Animation|Comedy|Family|Musical"/>
    <s v="Robin Williams"/>
    <x v="2856"/>
    <n v="32399"/>
    <s v="3d|antarctica|krill|penguin|sequel"/>
    <n v="79"/>
    <x v="0"/>
    <x v="3"/>
    <n v="135000000"/>
    <x v="22"/>
    <x v="0"/>
    <n v="88273800"/>
    <n v="41843303.432640001"/>
    <x v="2853"/>
    <x v="2856"/>
    <x v="8"/>
  </r>
  <r>
    <x v="795"/>
    <n v="175"/>
    <n v="101643008"/>
    <s v="Action|Crime|Thriller"/>
    <s v="Nicolas Cage"/>
    <x v="2857"/>
    <n v="218341"/>
    <s v="auto theft|brother|car|theft|thief"/>
    <n v="498"/>
    <x v="0"/>
    <x v="0"/>
    <n v="90000000"/>
    <x v="4"/>
    <x v="20"/>
    <n v="90000000"/>
    <n v="101643008"/>
    <x v="2854"/>
    <x v="2857"/>
    <x v="1"/>
  </r>
  <r>
    <x v="507"/>
    <n v="108"/>
    <n v="7204138"/>
    <s v="Comedy"/>
    <s v="Joel McHale"/>
    <x v="2858"/>
    <n v="34809"/>
    <s v="alaska|birding|competition|migration|storm"/>
    <n v="125"/>
    <x v="0"/>
    <x v="0"/>
    <n v="41000000"/>
    <x v="22"/>
    <x v="5"/>
    <n v="41000000"/>
    <n v="7204138"/>
    <x v="2855"/>
    <x v="2858"/>
    <x v="4"/>
  </r>
  <r>
    <x v="692"/>
    <n v="95"/>
    <n v="33927476"/>
    <s v="Horror|Mystery|Sci-Fi|Thriller"/>
    <s v="John Kapelos"/>
    <x v="2859"/>
    <n v="19176"/>
    <s v="fire|helicopter|museum|police sergeant|relic"/>
    <n v="165"/>
    <x v="0"/>
    <x v="2"/>
    <n v="40000000"/>
    <x v="31"/>
    <x v="35"/>
    <n v="51415999.999999903"/>
    <n v="43610377.650399998"/>
    <x v="2856"/>
    <x v="2859"/>
    <x v="6"/>
  </r>
  <r>
    <x v="514"/>
    <n v="27"/>
    <n v="111936400"/>
    <s v="Comedy|Crime"/>
    <s v="Kelly Preston"/>
    <x v="2860"/>
    <n v="87538"/>
    <s v="bare chested male|brother|catholic orphanage|long lost siblings|twins"/>
    <n v="79"/>
    <x v="0"/>
    <x v="0"/>
    <n v="15000000"/>
    <x v="34"/>
    <x v="11"/>
    <n v="15000000"/>
    <n v="111936400"/>
    <x v="2857"/>
    <x v="2860"/>
    <x v="4"/>
  </r>
  <r>
    <x v="128"/>
    <n v="146"/>
    <n v="32853640"/>
    <s v="Comedy|Drama"/>
    <s v="Lisa Ann Walter"/>
    <x v="2861"/>
    <n v="50199"/>
    <s v="bodyguard|bully|generation y|high school|nerd"/>
    <n v="101"/>
    <x v="0"/>
    <x v="0"/>
    <n v="40000000"/>
    <x v="20"/>
    <x v="35"/>
    <n v="40000000"/>
    <n v="32853640"/>
    <x v="2858"/>
    <x v="2861"/>
    <x v="4"/>
  </r>
  <r>
    <x v="1479"/>
    <n v="95"/>
    <n v="17000000"/>
    <s v="Horror|Sci-Fi"/>
    <s v="Woody Strode"/>
    <x v="2862"/>
    <n v="3274"/>
    <s v="death|farm|hotel|spider|tarantula"/>
    <n v="84"/>
    <x v="0"/>
    <x v="0"/>
    <n v="500000"/>
    <x v="35"/>
    <x v="0"/>
    <n v="500000"/>
    <n v="17000000"/>
    <x v="2859"/>
    <x v="2862"/>
    <x v="6"/>
  </r>
  <r>
    <x v="1480"/>
    <n v="61"/>
    <n v="9054736"/>
    <s v="Drama"/>
    <s v="Peter Fonda"/>
    <x v="2863"/>
    <n v="5744"/>
    <s v="beekeeper|bound and gagged|dysfunctional family|man with glasses|tied to a chair"/>
    <n v="57"/>
    <x v="0"/>
    <x v="0"/>
    <n v="2700000"/>
    <x v="31"/>
    <x v="17"/>
    <n v="2700000"/>
    <n v="9054736"/>
    <x v="2860"/>
    <x v="2863"/>
    <x v="5"/>
  </r>
  <r>
    <x v="156"/>
    <n v="212"/>
    <n v="33987757"/>
    <s v="Drama|Romance"/>
    <s v="Natalie Portman"/>
    <x v="2864"/>
    <n v="168314"/>
    <s v="cheating wife|film camera|hasselblad camera|leica camera|medium format camera"/>
    <n v="903"/>
    <x v="0"/>
    <x v="0"/>
    <n v="27000000"/>
    <x v="2"/>
    <x v="4"/>
    <n v="27000000"/>
    <n v="33987757"/>
    <x v="2861"/>
    <x v="2864"/>
    <x v="5"/>
  </r>
  <r>
    <x v="1481"/>
    <n v="209"/>
    <n v="56068547"/>
    <s v="Animation|Comedy|Family|Mystery|Sci-Fi"/>
    <s v="Mark Gatiss"/>
    <x v="2865"/>
    <n v="98160"/>
    <s v="competition|giant vegetable|pest control|stop motion animation|vegetable"/>
    <n v="307"/>
    <x v="0"/>
    <x v="2"/>
    <n v="30000000"/>
    <x v="25"/>
    <x v="2"/>
    <n v="38562000"/>
    <n v="72070510.313799903"/>
    <x v="2862"/>
    <x v="2865"/>
    <x v="8"/>
  </r>
  <r>
    <x v="297"/>
    <n v="568"/>
    <n v="167735396"/>
    <s v="Crime|Drama|Mystery|Thriller"/>
    <s v="Patrick Fugit"/>
    <x v="2866"/>
    <n v="569841"/>
    <s v="based on novel|disappearance|missing person|missing wife|murder suspect"/>
    <n v="1127"/>
    <x v="0"/>
    <x v="0"/>
    <n v="61000000"/>
    <x v="27"/>
    <x v="40"/>
    <n v="61000000"/>
    <n v="167735396"/>
    <x v="2863"/>
    <x v="2866"/>
    <x v="3"/>
  </r>
  <r>
    <x v="66"/>
    <n v="186"/>
    <n v="31199215"/>
    <s v="Comedy|Drama|Romance|Sport"/>
    <s v="Robert Baker"/>
    <x v="2867"/>
    <n v="27664"/>
    <s v="college football|fight|football|hero|surrender"/>
    <n v="120"/>
    <x v="0"/>
    <x v="0"/>
    <n v="58000000"/>
    <x v="20"/>
    <x v="11"/>
    <n v="58000000"/>
    <n v="31199215"/>
    <x v="2864"/>
    <x v="2867"/>
    <x v="4"/>
  </r>
  <r>
    <x v="1482"/>
    <n v="71"/>
    <n v="5595428"/>
    <s v="Drama"/>
    <s v="Fernanda Montenegro"/>
    <x v="2868"/>
    <n v="28951"/>
    <s v="brazil|letter|rio de janeiro brazil|sertao|teacher"/>
    <n v="257"/>
    <x v="14"/>
    <x v="19"/>
    <n v="2900000"/>
    <x v="6"/>
    <x v="3"/>
    <n v="513765.45"/>
    <n v="991288.82219400001"/>
    <x v="2865"/>
    <x v="2868"/>
    <x v="5"/>
  </r>
  <r>
    <x v="1483"/>
    <n v="146"/>
    <n v="3950294"/>
    <s v="Comedy|Drama|Romance"/>
    <s v="Robert Downey Jr."/>
    <x v="2869"/>
    <n v="56654"/>
    <s v="drugs|high school|prescription drugs|private school|student"/>
    <n v="124"/>
    <x v="0"/>
    <x v="0"/>
    <n v="12000000"/>
    <x v="15"/>
    <x v="16"/>
    <n v="12000000"/>
    <n v="3950294"/>
    <x v="2866"/>
    <x v="2869"/>
    <x v="4"/>
  </r>
  <r>
    <x v="1343"/>
    <n v="78"/>
    <n v="303439"/>
    <s v="Drama|Mystery|Thriller"/>
    <s v="Eva Amurri Martino"/>
    <x v="2870"/>
    <n v="12125"/>
    <s v="best friend|nonlinear timeline|school shooting|self sacrifice|shooting"/>
    <n v="78"/>
    <x v="0"/>
    <x v="0"/>
    <n v="8000000"/>
    <x v="15"/>
    <x v="24"/>
    <n v="8000000"/>
    <n v="303439"/>
    <x v="2867"/>
    <x v="2870"/>
    <x v="5"/>
  </r>
  <r>
    <x v="667"/>
    <n v="175"/>
    <n v="12339633"/>
    <s v="Drama|Sci-Fi|Thriller"/>
    <s v="Blair Underwood"/>
    <x v="2871"/>
    <n v="220591"/>
    <s v="accident|future|genetics|mission|police"/>
    <n v="641"/>
    <x v="0"/>
    <x v="0"/>
    <n v="36000000"/>
    <x v="31"/>
    <x v="38"/>
    <n v="36000000"/>
    <n v="12339633"/>
    <x v="2868"/>
    <x v="2871"/>
    <x v="5"/>
  </r>
  <r>
    <x v="177"/>
    <n v="384"/>
    <n v="47375327"/>
    <s v="Action|Adventure|Sci-Fi"/>
    <s v="Channing Tatum"/>
    <x v="2872"/>
    <n v="139593"/>
    <s v="box office flop|critically bashed|planet earth|space opera|woman in bra and panties"/>
    <n v="720"/>
    <x v="0"/>
    <x v="0"/>
    <n v="176000000"/>
    <x v="1"/>
    <x v="26"/>
    <n v="176000000"/>
    <n v="47375327"/>
    <x v="2869"/>
    <x v="2872"/>
    <x v="1"/>
  </r>
  <r>
    <x v="695"/>
    <n v="134"/>
    <n v="12561"/>
    <s v="Comedy|Romance"/>
    <s v="Adam Scott"/>
    <x v="2873"/>
    <n v="71276"/>
    <s v="ireland|irish|journey|tradition|travel"/>
    <n v="181"/>
    <x v="0"/>
    <x v="0"/>
    <n v="19000000"/>
    <x v="11"/>
    <x v="24"/>
    <n v="19000000"/>
    <n v="12561"/>
    <x v="2870"/>
    <x v="2873"/>
    <x v="4"/>
  </r>
  <r>
    <x v="62"/>
    <n v="198"/>
    <n v="125531634"/>
    <s v="Crime|Thriller"/>
    <s v="Brad Pitt"/>
    <x v="2874"/>
    <n v="284852"/>
    <s v="father daughter relationship|heist|pretending to be pregnant|sequel|thief"/>
    <n v="627"/>
    <x v="0"/>
    <x v="0"/>
    <n v="110000000"/>
    <x v="2"/>
    <x v="24"/>
    <n v="110000000"/>
    <n v="125531634"/>
    <x v="2871"/>
    <x v="2874"/>
    <x v="3"/>
  </r>
  <r>
    <x v="1015"/>
    <n v="127"/>
    <n v="38120554"/>
    <s v="Adventure|Animation|Family|Sci-Fi"/>
    <s v="Joseph Gordon-Levitt"/>
    <x v="2875"/>
    <n v="71527"/>
    <s v="alien|cyborg|pirate|planet|treasure"/>
    <n v="217"/>
    <x v="0"/>
    <x v="0"/>
    <n v="140000000"/>
    <x v="13"/>
    <x v="17"/>
    <n v="140000000"/>
    <n v="38120554"/>
    <x v="2872"/>
    <x v="2875"/>
    <x v="0"/>
  </r>
  <r>
    <x v="1228"/>
    <n v="284"/>
    <n v="83503161"/>
    <s v="Action|Drama|Fantasy|Romance"/>
    <s v="Henry Cavill"/>
    <x v="2876"/>
    <n v="138190"/>
    <s v="burned alive|castration|olympus|torture|torture device"/>
    <n v="405"/>
    <x v="0"/>
    <x v="0"/>
    <n v="75000000"/>
    <x v="22"/>
    <x v="7"/>
    <n v="75000000"/>
    <n v="83503161"/>
    <x v="2873"/>
    <x v="2876"/>
    <x v="1"/>
  </r>
  <r>
    <x v="131"/>
    <n v="199"/>
    <n v="36883539"/>
    <s v="Action|Crime|Drama|Thriller"/>
    <s v="Bruce Willis"/>
    <x v="2877"/>
    <n v="112769"/>
    <s v="alcoholic|courthouse|detective|jail|witness"/>
    <n v="305"/>
    <x v="0"/>
    <x v="5"/>
    <n v="52000000"/>
    <x v="7"/>
    <x v="14"/>
    <n v="56406480"/>
    <n v="40009050.094860002"/>
    <x v="2874"/>
    <x v="2877"/>
    <x v="1"/>
  </r>
  <r>
    <x v="380"/>
    <n v="227"/>
    <n v="14998070"/>
    <s v="Drama|Thriller|War"/>
    <s v="Meryl Streep"/>
    <x v="2878"/>
    <n v="41170"/>
    <s v="afghanistan|professor|reporter|student|university"/>
    <n v="298"/>
    <x v="0"/>
    <x v="0"/>
    <n v="35000000"/>
    <x v="15"/>
    <x v="5"/>
    <n v="35000000"/>
    <n v="14998070"/>
    <x v="2875"/>
    <x v="2878"/>
    <x v="5"/>
  </r>
  <r>
    <x v="1484"/>
    <n v="17"/>
    <n v="869325"/>
    <s v="Action|Adventure|Fantasy|Sci-Fi"/>
    <s v="Michael Berryman"/>
    <x v="2879"/>
    <n v="2281"/>
    <s v="beast|beastmaster|psychotronic|sword and sorcery|warrior"/>
    <n v="16"/>
    <x v="0"/>
    <x v="0"/>
    <n v="6000000"/>
    <x v="38"/>
    <x v="54"/>
    <n v="6000000"/>
    <n v="869325"/>
    <x v="2876"/>
    <x v="2879"/>
    <x v="1"/>
  </r>
  <r>
    <x v="412"/>
    <n v="151"/>
    <n v="110000082"/>
    <s v="Comedy"/>
    <s v="Regina Hall"/>
    <x v="2880"/>
    <n v="111526"/>
    <s v="crop circle|farm|orchestral music score|reference to michael jackson|videotape"/>
    <n v="347"/>
    <x v="0"/>
    <x v="0"/>
    <n v="48000000"/>
    <x v="19"/>
    <x v="28"/>
    <n v="48000000"/>
    <n v="110000082"/>
    <x v="2877"/>
    <x v="2880"/>
    <x v="4"/>
  </r>
  <r>
    <x v="115"/>
    <n v="138"/>
    <n v="20991497"/>
    <s v="Comedy|Drama|Romance"/>
    <s v="Emma Stone"/>
    <x v="2881"/>
    <n v="39782"/>
    <s v="box office flop|critically bashed|hawaii|one word title|written by director"/>
    <n v="172"/>
    <x v="0"/>
    <x v="0"/>
    <n v="37000000"/>
    <x v="1"/>
    <x v="26"/>
    <n v="37000000"/>
    <n v="20991497"/>
    <x v="2878"/>
    <x v="2881"/>
    <x v="4"/>
  </r>
  <r>
    <x v="276"/>
    <n v="70"/>
    <n v="3034181"/>
    <s v="Comedy|Music|Romance"/>
    <s v="Michael McKean"/>
    <x v="2882"/>
    <n v="13622"/>
    <s v="bollywood|illegal immigrant|live television|restaurant|waiter"/>
    <n v="128"/>
    <x v="0"/>
    <x v="2"/>
    <n v="11000000"/>
    <x v="13"/>
    <x v="26"/>
    <n v="14139399.999999899"/>
    <n v="3900136.2573999902"/>
    <x v="2879"/>
    <x v="2882"/>
    <x v="4"/>
  </r>
  <r>
    <x v="862"/>
    <n v="91"/>
    <n v="2882062"/>
    <s v="Comedy|Drama|Romance"/>
    <s v="Bebe Neuwirth"/>
    <x v="2883"/>
    <n v="5178"/>
    <s v="best friend|boy|french|friend|love"/>
    <n v="101"/>
    <x v="0"/>
    <x v="0"/>
    <n v="150000"/>
    <x v="4"/>
    <x v="23"/>
    <n v="150000"/>
    <n v="2882062"/>
    <x v="2880"/>
    <x v="2883"/>
    <x v="4"/>
  </r>
  <r>
    <x v="1485"/>
    <n v="61"/>
    <n v="11806119"/>
    <s v="Action|Biography|Drama|Sport"/>
    <s v="Bolo Yeung"/>
    <x v="2884"/>
    <n v="57578"/>
    <s v="hand to hand combat|hong kong|kumite|martial arts|tournament"/>
    <n v="210"/>
    <x v="0"/>
    <x v="0"/>
    <n v="1100000"/>
    <x v="34"/>
    <x v="22"/>
    <n v="1100000"/>
    <n v="11806119"/>
    <x v="2881"/>
    <x v="2884"/>
    <x v="1"/>
  </r>
  <r>
    <x v="1486"/>
    <n v="174"/>
    <n v="21471685"/>
    <s v="Action|Adventure|Sci-Fi"/>
    <s v="Richard Tyson"/>
    <x v="2885"/>
    <n v="65464"/>
    <s v="alien|bad acting|pulp fiction|resistance fighter|voyager golden record"/>
    <n v="1308"/>
    <x v="0"/>
    <x v="0"/>
    <n v="44000000"/>
    <x v="4"/>
    <x v="64"/>
    <n v="44000000"/>
    <n v="21471685"/>
    <x v="2882"/>
    <x v="2885"/>
    <x v="1"/>
  </r>
  <r>
    <x v="553"/>
    <n v="500"/>
    <n v="146405371"/>
    <s v="Action|Adventure|Sci-Fi"/>
    <s v="Jennifer Lawrence"/>
    <x v="2886"/>
    <n v="518537"/>
    <s v="cia|cia agent|mutant|nuclear war|professor"/>
    <n v="698"/>
    <x v="0"/>
    <x v="0"/>
    <n v="160000000"/>
    <x v="22"/>
    <x v="38"/>
    <n v="160000000"/>
    <n v="146405371"/>
    <x v="2883"/>
    <x v="2886"/>
    <x v="1"/>
  </r>
  <r>
    <x v="132"/>
    <n v="151"/>
    <n v="77032279"/>
    <s v="Comedy|Drama"/>
    <s v="Tom Hanks"/>
    <x v="2887"/>
    <n v="303864"/>
    <s v="airport|construction site|fish out of water|flight attendant|man without a country"/>
    <n v="596"/>
    <x v="0"/>
    <x v="0"/>
    <n v="60000000"/>
    <x v="2"/>
    <x v="4"/>
    <n v="60000000"/>
    <n v="77032279"/>
    <x v="2884"/>
    <x v="2887"/>
    <x v="4"/>
  </r>
  <r>
    <x v="297"/>
    <n v="157"/>
    <n v="48265581"/>
    <s v="Drama|Mystery|Thriller"/>
    <s v="Deborah Kara Unger"/>
    <x v="2888"/>
    <n v="261069"/>
    <s v="birthday|falling through a glass roof|game|hitchcockian|suicide"/>
    <n v="506"/>
    <x v="0"/>
    <x v="0"/>
    <n v="50000000"/>
    <x v="31"/>
    <x v="38"/>
    <n v="50000000"/>
    <n v="48265581"/>
    <x v="2885"/>
    <x v="2888"/>
    <x v="5"/>
  </r>
  <r>
    <x v="1487"/>
    <n v="90"/>
    <n v="7927"/>
    <s v="Crime|Drama|Film-Noir|Mystery|Thriller"/>
    <s v="Rita Hayworth"/>
    <x v="2889"/>
    <n v="19236"/>
    <s v="law partner|murder|partner|seaman|yacht"/>
    <n v="175"/>
    <x v="0"/>
    <x v="0"/>
    <n v="2300000"/>
    <x v="71"/>
    <x v="9"/>
    <n v="2300000"/>
    <n v="7927"/>
    <x v="2886"/>
    <x v="2889"/>
    <x v="3"/>
  </r>
  <r>
    <x v="578"/>
    <n v="432"/>
    <n v="13401683"/>
    <s v="Action|Sci-Fi"/>
    <s v="Wood Harris"/>
    <x v="749"/>
    <n v="203461"/>
    <s v="brutality|dark humor|female antagonist|female warrior|post apocalypse"/>
    <n v="588"/>
    <x v="0"/>
    <x v="2"/>
    <n v="35000000"/>
    <x v="28"/>
    <x v="17"/>
    <n v="44988999.999999903"/>
    <n v="17226523.328199901"/>
    <x v="749"/>
    <x v="749"/>
    <x v="1"/>
  </r>
  <r>
    <x v="6"/>
    <n v="486"/>
    <n v="120523073"/>
    <s v="Adventure|Drama|War"/>
    <s v="Michael Fassbender"/>
    <x v="2890"/>
    <n v="885175"/>
    <s v="france|german|nazis|revenge|scalping"/>
    <n v="1527"/>
    <x v="0"/>
    <x v="0"/>
    <n v="75000000"/>
    <x v="16"/>
    <x v="36"/>
    <n v="75000000"/>
    <n v="120523073"/>
    <x v="2887"/>
    <x v="2890"/>
    <x v="0"/>
  </r>
  <r>
    <x v="183"/>
    <n v="233"/>
    <n v="10499968"/>
    <s v="Action|Crime|Drama|Thriller"/>
    <s v="Mireille Enos"/>
    <x v="560"/>
    <n v="47498"/>
    <s v="dea|drug cartel|kicked in the crotch|strip club|tough girl"/>
    <n v="212"/>
    <x v="0"/>
    <x v="0"/>
    <n v="35000000"/>
    <x v="27"/>
    <x v="35"/>
    <n v="35000000"/>
    <n v="10499968"/>
    <x v="560"/>
    <x v="560"/>
    <x v="1"/>
  </r>
  <r>
    <x v="1457"/>
    <n v="106"/>
    <n v="109713132"/>
    <s v="Adventure|Comedy|Sci-Fi"/>
    <s v="Leonard Nimoy"/>
    <x v="2891"/>
    <n v="61621"/>
    <s v="alien probe|humpback whales|probe|time travel|whale"/>
    <n v="219"/>
    <x v="0"/>
    <x v="0"/>
    <n v="25000000"/>
    <x v="18"/>
    <x v="4"/>
    <n v="25000000"/>
    <n v="109713132"/>
    <x v="2888"/>
    <x v="2891"/>
    <x v="0"/>
  </r>
  <r>
    <x v="719"/>
    <n v="18"/>
    <n v="3562749"/>
    <s v="Animation|Comedy|Family|Fantasy|Musical"/>
    <s v="George Kennedy"/>
    <x v="2892"/>
    <n v="5600"/>
    <s v="animal|cat|child star|hollywood|star"/>
    <n v="49"/>
    <x v="0"/>
    <x v="0"/>
    <n v="32000000"/>
    <x v="31"/>
    <x v="31"/>
    <n v="32000000"/>
    <n v="3562749"/>
    <x v="2889"/>
    <x v="2892"/>
    <x v="8"/>
  </r>
  <r>
    <x v="36"/>
    <n v="206"/>
    <n v="62318875"/>
    <s v="Action|Adventure|Fantasy|Sci-Fi|Thriller"/>
    <s v="Sophia Myles"/>
    <x v="2893"/>
    <n v="156225"/>
    <s v="death|feud|forbidden love|vampire|werewolf"/>
    <n v="502"/>
    <x v="0"/>
    <x v="0"/>
    <n v="50000000"/>
    <x v="7"/>
    <x v="22"/>
    <n v="50000000"/>
    <n v="62318875"/>
    <x v="2890"/>
    <x v="2893"/>
    <x v="1"/>
  </r>
  <r>
    <x v="1488"/>
    <n v="101"/>
    <n v="37752931"/>
    <s v="Drama|Romance"/>
    <s v="J.K. Simmons"/>
    <x v="2894"/>
    <n v="20201"/>
    <s v="may december romance|new york|new york city|rockefeller center|title directed by female"/>
    <n v="180"/>
    <x v="0"/>
    <x v="0"/>
    <n v="40000000"/>
    <x v="4"/>
    <x v="28"/>
    <n v="40000000"/>
    <n v="37752931"/>
    <x v="2891"/>
    <x v="2894"/>
    <x v="5"/>
  </r>
  <r>
    <x v="132"/>
    <n v="77"/>
    <n v="44175394"/>
    <s v="Drama|History"/>
    <s v="Anthony Hopkins"/>
    <x v="2895"/>
    <n v="56509"/>
    <s v="courtroom|mutiny|ship|slave ship|slave trade"/>
    <n v="227"/>
    <x v="0"/>
    <x v="0"/>
    <n v="36000000"/>
    <x v="31"/>
    <x v="33"/>
    <n v="36000000"/>
    <n v="44175394"/>
    <x v="2892"/>
    <x v="2895"/>
    <x v="5"/>
  </r>
  <r>
    <x v="326"/>
    <n v="241"/>
    <n v="54758461"/>
    <s v="Action|Comedy|Romance"/>
    <s v="Tom Hardy"/>
    <x v="2896"/>
    <n v="147641"/>
    <s v="best friend|cia|cia agent|dating|undercover"/>
    <n v="238"/>
    <x v="0"/>
    <x v="0"/>
    <n v="65000000"/>
    <x v="28"/>
    <x v="23"/>
    <n v="65000000"/>
    <n v="54758461"/>
    <x v="2893"/>
    <x v="2896"/>
    <x v="1"/>
  </r>
  <r>
    <x v="1489"/>
    <n v="27"/>
    <n v="70527"/>
    <s v="Comedy|Drama"/>
    <s v="Zooey Deschanel"/>
    <x v="2897"/>
    <n v="7690"/>
    <s v="dysfunctional family|family relationships|family reunion|funeral|twin"/>
    <n v="68"/>
    <x v="0"/>
    <x v="0"/>
    <n v="6500000"/>
    <x v="2"/>
    <x v="21"/>
    <n v="6500000"/>
    <n v="70527"/>
    <x v="2894"/>
    <x v="2897"/>
    <x v="4"/>
  </r>
  <r>
    <x v="273"/>
    <n v="539"/>
    <n v="233914986"/>
    <s v="Action|Adventure|Fantasy|Sci-Fi|Thriller"/>
    <s v="Jennifer Lawrence"/>
    <x v="2898"/>
    <n v="514125"/>
    <s v="dystopia|super strength|supernatural power|time paradox|time travel"/>
    <n v="752"/>
    <x v="0"/>
    <x v="0"/>
    <n v="200000000"/>
    <x v="27"/>
    <x v="3"/>
    <n v="200000000"/>
    <n v="233914986"/>
    <x v="2895"/>
    <x v="2898"/>
    <x v="1"/>
  </r>
  <r>
    <x v="1490"/>
    <n v="93"/>
    <n v="7739049"/>
    <s v="Comedy|Drama|Romance"/>
    <s v="Miriam Margolyes"/>
    <x v="2899"/>
    <n v="10680"/>
    <s v="diva|marriage|open marriage|revenge|social climber"/>
    <n v="112"/>
    <x v="0"/>
    <x v="9"/>
    <n v="18000000"/>
    <x v="2"/>
    <x v="17"/>
    <n v="13021290"/>
    <n v="5598466.7418449996"/>
    <x v="2896"/>
    <x v="2899"/>
    <x v="4"/>
  </r>
  <r>
    <x v="1491"/>
    <n v="181"/>
    <n v="82234139"/>
    <s v="Adventure|Drama|Family|Fantasy"/>
    <s v="Josh Hutcherson"/>
    <x v="2900"/>
    <n v="110390"/>
    <s v="bully|friend|imagination|reality|troll"/>
    <n v="522"/>
    <x v="0"/>
    <x v="0"/>
    <n v="17000000"/>
    <x v="15"/>
    <x v="33"/>
    <n v="17000000"/>
    <n v="82234139"/>
    <x v="2897"/>
    <x v="2900"/>
    <x v="0"/>
  </r>
  <r>
    <x v="110"/>
    <n v="39"/>
    <n v="92115211"/>
    <s v="Crime|Drama|Mystery|Thriller"/>
    <s v="Bradley Whitford"/>
    <x v="2901"/>
    <n v="45798"/>
    <s v="boy|brother|lawyer|mafia|senator"/>
    <n v="94"/>
    <x v="0"/>
    <x v="0"/>
    <n v="45000000"/>
    <x v="5"/>
    <x v="21"/>
    <n v="45000000"/>
    <n v="92115211"/>
    <x v="2898"/>
    <x v="2901"/>
    <x v="3"/>
  </r>
  <r>
    <x v="162"/>
    <n v="236"/>
    <n v="39825798"/>
    <s v="Drama|Mystery|Romance|Thriller"/>
    <s v="Rufus Sewell"/>
    <x v="2902"/>
    <n v="295375"/>
    <s v="duchess|illusionist|magician|prince|supernatural power"/>
    <n v="645"/>
    <x v="0"/>
    <x v="0"/>
    <n v="16000000"/>
    <x v="7"/>
    <x v="10"/>
    <n v="16000000"/>
    <n v="39825798"/>
    <x v="2899"/>
    <x v="2902"/>
    <x v="5"/>
  </r>
  <r>
    <x v="111"/>
    <n v="112"/>
    <n v="8662318"/>
    <s v="Comedy|Romance"/>
    <s v="Nia Vardalos"/>
    <x v="2903"/>
    <n v="15033"/>
    <s v="greece|greek|tour bus|tour guide|tourist"/>
    <n v="75"/>
    <x v="0"/>
    <x v="0"/>
    <n v="17000000"/>
    <x v="16"/>
    <x v="0"/>
    <n v="17000000"/>
    <n v="8662318"/>
    <x v="2900"/>
    <x v="2903"/>
    <x v="4"/>
  </r>
  <r>
    <x v="1492"/>
    <n v="38"/>
    <n v="1027119"/>
    <s v="Drama"/>
    <s v="Dan Futterman"/>
    <x v="2904"/>
    <n v="2742"/>
    <s v="hot dog bun|needle|new york|rat|tourist"/>
    <n v="73"/>
    <x v="0"/>
    <x v="0"/>
    <n v="225000"/>
    <x v="4"/>
    <x v="16"/>
    <n v="225000"/>
    <n v="1027119"/>
    <x v="2901"/>
    <x v="2904"/>
    <x v="5"/>
  </r>
  <r>
    <x v="607"/>
    <n v="253"/>
    <n v="78747585"/>
    <s v="Action|Animation|Comedy|Sci-Fi"/>
    <s v="Peter Dinklage"/>
    <x v="2905"/>
    <n v="89770"/>
    <s v="alien|arcade game|chase|driving in reverse|video gamer"/>
    <n v="342"/>
    <x v="0"/>
    <x v="0"/>
    <n v="88000000"/>
    <x v="1"/>
    <x v="15"/>
    <n v="88000000"/>
    <n v="78747585"/>
    <x v="2902"/>
    <x v="2905"/>
    <x v="1"/>
  </r>
  <r>
    <x v="364"/>
    <n v="93"/>
    <n v="1712111"/>
    <s v="Horror|Thriller"/>
    <s v="Djimon Hounsou"/>
    <x v="2906"/>
    <n v="7199"/>
    <s v="evil|injury|possession|priest|vatican"/>
    <n v="53"/>
    <x v="0"/>
    <x v="0"/>
    <n v="8495000"/>
    <x v="1"/>
    <x v="47"/>
    <n v="8495000"/>
    <n v="1712111"/>
    <x v="2903"/>
    <x v="2906"/>
    <x v="6"/>
  </r>
  <r>
    <x v="1025"/>
    <n v="91"/>
    <n v="25677801"/>
    <s v="Comedy|Family|Romance"/>
    <s v="Jamie Lee Curtis"/>
    <x v="2907"/>
    <n v="41273"/>
    <s v="dancing|dog|flight|hostility|travel"/>
    <n v="136"/>
    <x v="0"/>
    <x v="0"/>
    <n v="20000000"/>
    <x v="11"/>
    <x v="30"/>
    <n v="20000000"/>
    <n v="25677801"/>
    <x v="2904"/>
    <x v="2907"/>
    <x v="4"/>
  </r>
  <r>
    <x v="308"/>
    <n v="29"/>
    <n v="8600000"/>
    <s v="Action|Adventure|Drama|History|Romance"/>
    <s v="Liam Neeson"/>
    <x v="2908"/>
    <n v="17982"/>
    <s v="lieutenant|lifeboat|mutiny|sailing ship|ship"/>
    <n v="95"/>
    <x v="0"/>
    <x v="2"/>
    <n v="25000000"/>
    <x v="17"/>
    <x v="16"/>
    <n v="32134999.999999899"/>
    <n v="11054439.999999899"/>
    <x v="2905"/>
    <x v="2908"/>
    <x v="1"/>
  </r>
  <r>
    <x v="148"/>
    <n v="97"/>
    <n v="58006147"/>
    <s v="Drama|Music|Musical|Romance"/>
    <s v="Cassie Ventura"/>
    <x v="2909"/>
    <n v="67653"/>
    <s v="audition|dance|kissing in the rain|student|subway"/>
    <n v="108"/>
    <x v="0"/>
    <x v="0"/>
    <n v="23000000"/>
    <x v="20"/>
    <x v="5"/>
    <n v="23000000"/>
    <n v="58006147"/>
    <x v="2906"/>
    <x v="2909"/>
    <x v="5"/>
  </r>
  <r>
    <x v="528"/>
    <n v="232"/>
    <n v="5480996"/>
    <s v="Animation|Drama|Mystery|Sci-Fi|Thriller"/>
    <s v="Robert Downey Jr."/>
    <x v="2910"/>
    <n v="89383"/>
    <s v="detective|drugs|substance d|undercover|undercover cop"/>
    <n v="293"/>
    <x v="0"/>
    <x v="0"/>
    <n v="8700000"/>
    <x v="7"/>
    <x v="17"/>
    <n v="8700000"/>
    <n v="5480996"/>
    <x v="2907"/>
    <x v="2910"/>
    <x v="8"/>
  </r>
  <r>
    <x v="332"/>
    <n v="25"/>
    <n v="35617599"/>
    <s v="Drama|Family|Fantasy"/>
    <s v="Steve Coogan"/>
    <x v="2911"/>
    <n v="20688"/>
    <s v="best friend|birthday|boy|friend|magic"/>
    <n v="47"/>
    <x v="0"/>
    <x v="0"/>
    <n v="45000000"/>
    <x v="33"/>
    <x v="0"/>
    <n v="45000000"/>
    <n v="35617599"/>
    <x v="2908"/>
    <x v="2911"/>
    <x v="5"/>
  </r>
  <r>
    <x v="1493"/>
    <n v="98"/>
    <n v="26288320"/>
    <s v="Adventure|Animation|Comedy|Drama|Family|Fantasy|Romance"/>
    <s v="Brad Pitt"/>
    <x v="2912"/>
    <n v="36144"/>
    <s v="book|framed|goddess|prince|sinbad"/>
    <n v="91"/>
    <x v="0"/>
    <x v="0"/>
    <n v="60000000"/>
    <x v="19"/>
    <x v="21"/>
    <n v="60000000"/>
    <n v="26288320"/>
    <x v="2909"/>
    <x v="2912"/>
    <x v="0"/>
  </r>
  <r>
    <x v="26"/>
    <n v="256"/>
    <n v="26505000"/>
    <s v="Horror"/>
    <s v="Johnny Depp"/>
    <x v="26"/>
    <n v="149293"/>
    <s v="freddy krueger|lucid dream|serial killer|slasher|sleep deprivation"/>
    <n v="668"/>
    <x v="0"/>
    <x v="0"/>
    <n v="1800000"/>
    <x v="17"/>
    <x v="2"/>
    <n v="1800000"/>
    <n v="26505000"/>
    <x v="26"/>
    <x v="26"/>
    <x v="6"/>
  </r>
  <r>
    <x v="1494"/>
    <n v="12"/>
    <n v="58936"/>
    <s v="Comedy|Music"/>
    <s v="Lemmy"/>
    <x v="2913"/>
    <n v="91"/>
    <s v="female bassist|female drummer|female guitarist|female singer|portland oregon"/>
    <n v="4"/>
    <x v="0"/>
    <x v="0"/>
    <n v="1200000"/>
    <x v="9"/>
    <x v="7"/>
    <n v="1200000"/>
    <n v="58936"/>
    <x v="2910"/>
    <x v="2913"/>
    <x v="4"/>
  </r>
  <r>
    <x v="434"/>
    <n v="120"/>
    <n v="43792641"/>
    <s v="Comedy|Romance"/>
    <s v="Robin Williams"/>
    <x v="2914"/>
    <n v="32157"/>
    <s v="box office flop|church|kissing|usa|wedding"/>
    <n v="119"/>
    <x v="0"/>
    <x v="0"/>
    <n v="35000000"/>
    <x v="15"/>
    <x v="1"/>
    <n v="35000000"/>
    <n v="43792641"/>
    <x v="2911"/>
    <x v="2914"/>
    <x v="4"/>
  </r>
  <r>
    <x v="570"/>
    <n v="231"/>
    <n v="4398392"/>
    <s v="Drama|Thriller|War"/>
    <s v="Michiel Huisman"/>
    <x v="2915"/>
    <n v="59507"/>
    <s v="boat|escape|hiding|nazi|resistance"/>
    <n v="232"/>
    <x v="24"/>
    <x v="31"/>
    <n v="21000000"/>
    <x v="7"/>
    <x v="38"/>
    <n v="22779540"/>
    <n v="4771111.7380799996"/>
    <x v="2912"/>
    <x v="2915"/>
    <x v="5"/>
  </r>
  <r>
    <x v="227"/>
    <n v="199"/>
    <n v="73648142"/>
    <s v="Action|Sci-Fi|Thriller"/>
    <s v="LL Cool J"/>
    <x v="2916"/>
    <n v="99043"/>
    <s v="alzheimer's disease|experiment|human versus shark|research|underwater headquarters"/>
    <n v="643"/>
    <x v="0"/>
    <x v="0"/>
    <n v="60000000"/>
    <x v="12"/>
    <x v="30"/>
    <n v="60000000"/>
    <n v="73648142"/>
    <x v="2913"/>
    <x v="2916"/>
    <x v="1"/>
  </r>
  <r>
    <x v="1229"/>
    <n v="159"/>
    <n v="5773519"/>
    <s v="Drama|Horror|Sci-Fi|Thriller"/>
    <s v="Daniel Radcliffe"/>
    <x v="2917"/>
    <n v="28618"/>
    <s v="assistant|experiment|frankenstein|medical student|scientist"/>
    <n v="91"/>
    <x v="0"/>
    <x v="0"/>
    <n v="40000000"/>
    <x v="1"/>
    <x v="11"/>
    <n v="40000000"/>
    <n v="5773519"/>
    <x v="2914"/>
    <x v="2917"/>
    <x v="5"/>
  </r>
  <r>
    <x v="932"/>
    <n v="419"/>
    <n v="35887263"/>
    <s v="Biography|Drama|Romance"/>
    <s v="Eddie Redmayne"/>
    <x v="2918"/>
    <n v="265507"/>
    <s v="based on memoir|cambridge university|husband wife relationship|lou gehrig's disease|physicist"/>
    <n v="388"/>
    <x v="0"/>
    <x v="2"/>
    <n v="15000000"/>
    <x v="27"/>
    <x v="9"/>
    <n v="19281000"/>
    <n v="46129487.860199898"/>
    <x v="2915"/>
    <x v="2918"/>
    <x v="2"/>
  </r>
  <r>
    <x v="1495"/>
    <n v="43"/>
    <n v="5669081"/>
    <s v="Drama|History|War"/>
    <s v="Santiago Cabrera"/>
    <x v="2919"/>
    <n v="3665"/>
    <s v="catholic|hanging|mexico|rebellion|soldier"/>
    <n v="57"/>
    <x v="9"/>
    <x v="13"/>
    <n v="10818775"/>
    <x v="28"/>
    <x v="14"/>
    <n v="586428.34505474998"/>
    <n v="307290.77818988898"/>
    <x v="2916"/>
    <x v="2919"/>
    <x v="5"/>
  </r>
  <r>
    <x v="1496"/>
    <n v="12"/>
    <n v="169379"/>
    <s v="Drama|History|War"/>
    <s v="Jorge Luis Moreno"/>
    <x v="2920"/>
    <n v="683"/>
    <s v=""/>
    <n v="3"/>
    <x v="9"/>
    <x v="13"/>
    <n v="10000000"/>
    <x v="0"/>
    <x v="5"/>
    <n v="542046.9"/>
    <n v="9181.1361875099992"/>
    <x v="2917"/>
    <x v="2920"/>
    <x v="5"/>
  </r>
  <r>
    <x v="632"/>
    <n v="403"/>
    <n v="337103873"/>
    <s v="Adventure|Sci-Fi|Thriller"/>
    <s v="Jennifer Lawrence"/>
    <x v="2921"/>
    <n v="305008"/>
    <s v="based on young adult novel|manipulation|rebellion|symbol|uprising"/>
    <n v="591"/>
    <x v="0"/>
    <x v="0"/>
    <n v="125000000"/>
    <x v="27"/>
    <x v="21"/>
    <n v="125000000"/>
    <n v="337103873"/>
    <x v="2918"/>
    <x v="2921"/>
    <x v="0"/>
  </r>
  <r>
    <x v="1497"/>
    <n v="23"/>
    <n v="3333823"/>
    <s v="Drama|Mystery|Sci-Fi"/>
    <s v="Robert Picardo"/>
    <x v="2922"/>
    <n v="5612"/>
    <s v="box office flop|critically bashed|government|industrialist|railroad"/>
    <n v="122"/>
    <x v="0"/>
    <x v="0"/>
    <n v="10000000"/>
    <x v="28"/>
    <x v="28"/>
    <n v="10000000"/>
    <n v="3333823"/>
    <x v="2919"/>
    <x v="2922"/>
    <x v="5"/>
  </r>
  <r>
    <x v="812"/>
    <n v="119"/>
    <n v="30669413"/>
    <s v="Action|Horror|Sci-Fi"/>
    <s v="Adam Baldwin"/>
    <x v="2923"/>
    <n v="105478"/>
    <s v="alien|drug lord|gang|hunter|predator"/>
    <n v="291"/>
    <x v="0"/>
    <x v="0"/>
    <n v="35000000"/>
    <x v="32"/>
    <x v="5"/>
    <n v="35000000"/>
    <n v="30669413"/>
    <x v="2920"/>
    <x v="2923"/>
    <x v="1"/>
  </r>
  <r>
    <x v="1498"/>
    <n v="225"/>
    <n v="62401264"/>
    <s v="Action|Crime|Drama|Thriller"/>
    <s v="Gerard Butler"/>
    <x v="2924"/>
    <n v="69484"/>
    <s v="british|funeral|good versus evil|mole|sequel"/>
    <n v="323"/>
    <x v="0"/>
    <x v="2"/>
    <n v="60000000"/>
    <x v="24"/>
    <x v="0"/>
    <n v="77124000"/>
    <n v="80210584.745599896"/>
    <x v="2921"/>
    <x v="2924"/>
    <x v="1"/>
  </r>
  <r>
    <x v="1371"/>
    <n v="143"/>
    <n v="8047690"/>
    <s v="Drama|Romance"/>
    <s v="Toby Jones"/>
    <x v="2925"/>
    <n v="77656"/>
    <s v="china|cholera|epidemic|love|marriage"/>
    <n v="220"/>
    <x v="15"/>
    <x v="6"/>
    <n v="19400000"/>
    <x v="7"/>
    <x v="2"/>
    <n v="2682707.6599999899"/>
    <n v="1112865.9591909901"/>
    <x v="2922"/>
    <x v="2925"/>
    <x v="5"/>
  </r>
  <r>
    <x v="1499"/>
    <n v="488"/>
    <n v="237282182"/>
    <s v="Adventure|Animation|Comedy|Family|Fantasy"/>
    <s v="Kelly Macdonald"/>
    <x v="2926"/>
    <n v="273556"/>
    <s v="archery|coming of age|female warrior|princess|rebellious daughter"/>
    <n v="428"/>
    <x v="0"/>
    <x v="0"/>
    <n v="185000000"/>
    <x v="28"/>
    <x v="33"/>
    <n v="185000000"/>
    <n v="237282182"/>
    <x v="2923"/>
    <x v="2926"/>
    <x v="0"/>
  </r>
  <r>
    <x v="304"/>
    <n v="101"/>
    <n v="8712564"/>
    <s v="Crime|Drama|Mystery|Thriller"/>
    <s v="Harry Lennix"/>
    <x v="2927"/>
    <n v="16555"/>
    <s v="fbi|fbi agent|murder|salesman|serial killer"/>
    <n v="139"/>
    <x v="0"/>
    <x v="0"/>
    <n v="27000000"/>
    <x v="2"/>
    <x v="0"/>
    <n v="27000000"/>
    <n v="8712564"/>
    <x v="2924"/>
    <x v="2927"/>
    <x v="3"/>
  </r>
  <r>
    <x v="1500"/>
    <n v="148"/>
    <n v="37036404"/>
    <s v="Comedy|Drama|Romance"/>
    <s v="Lisa Edelstein"/>
    <x v="2928"/>
    <n v="44816"/>
    <s v="celibacy|jewish|priest|rabbi|synagogue"/>
    <n v="259"/>
    <x v="0"/>
    <x v="0"/>
    <n v="30000000"/>
    <x v="4"/>
    <x v="24"/>
    <n v="30000000"/>
    <n v="37036404"/>
    <x v="2925"/>
    <x v="2928"/>
    <x v="4"/>
  </r>
  <r>
    <x v="710"/>
    <n v="76"/>
    <n v="37901509"/>
    <s v="Adventure|Biography|Drama|History|War"/>
    <s v="Brad Pitt"/>
    <x v="2929"/>
    <n v="96385"/>
    <s v="austria|dalai lama|himalaya|mountain|tibet"/>
    <n v="119"/>
    <x v="0"/>
    <x v="0"/>
    <n v="70000000"/>
    <x v="31"/>
    <x v="16"/>
    <n v="70000000"/>
    <n v="37901509"/>
    <x v="2926"/>
    <x v="2929"/>
    <x v="0"/>
  </r>
  <r>
    <x v="1501"/>
    <n v="92"/>
    <n v="141600000"/>
    <s v="Adventure|Animation|Drama|Family|History|Musical|Romance"/>
    <s v="Christian Bale"/>
    <x v="2930"/>
    <n v="119675"/>
    <s v="actor playing multiple roles|love|one word title|unsubtitled foreign language|virginia"/>
    <n v="216"/>
    <x v="0"/>
    <x v="0"/>
    <n v="55000000"/>
    <x v="33"/>
    <x v="14"/>
    <n v="55000000"/>
    <n v="141600000"/>
    <x v="2927"/>
    <x v="2930"/>
    <x v="0"/>
  </r>
  <r>
    <x v="1482"/>
    <n v="252"/>
    <n v="717753"/>
    <s v="Adventure|Drama"/>
    <s v="Kristen Stewart"/>
    <x v="2931"/>
    <n v="33107"/>
    <s v="benzedrine|cactus|drugs|poem|year 1949"/>
    <n v="128"/>
    <x v="0"/>
    <x v="8"/>
    <n v="25000000"/>
    <x v="28"/>
    <x v="7"/>
    <n v="27118500"/>
    <n v="778575.38922000001"/>
    <x v="2928"/>
    <x v="2931"/>
    <x v="0"/>
  </r>
  <r>
    <x v="376"/>
    <n v="125"/>
    <n v="37879996"/>
    <s v="Comedy|Fantasy|Romance"/>
    <s v="Brendan Fraser"/>
    <x v="2932"/>
    <n v="81888"/>
    <s v="contract|devil|dream|soul|wish"/>
    <n v="254"/>
    <x v="0"/>
    <x v="0"/>
    <n v="48000000"/>
    <x v="4"/>
    <x v="11"/>
    <n v="48000000"/>
    <n v="37879996"/>
    <x v="2929"/>
    <x v="2932"/>
    <x v="4"/>
  </r>
  <r>
    <x v="1502"/>
    <n v="265"/>
    <n v="6619173"/>
    <s v="Adventure|Comedy|Drama|Romance|Sci-Fi"/>
    <s v="Steve Carell"/>
    <x v="2933"/>
    <n v="87203"/>
    <s v="candle|end of the world|letter|record|road trip"/>
    <n v="221"/>
    <x v="0"/>
    <x v="0"/>
    <n v="10000000"/>
    <x v="28"/>
    <x v="21"/>
    <n v="10000000"/>
    <n v="6619173"/>
    <x v="2930"/>
    <x v="2933"/>
    <x v="0"/>
  </r>
  <r>
    <x v="1503"/>
    <n v="223"/>
    <n v="290158751"/>
    <s v="Action|Adventure|Fantasy|Sci-Fi"/>
    <s v="Harrison Ford"/>
    <x v="2934"/>
    <n v="837759"/>
    <s v="duel|famous twist|rebel|rescue|snowy landscape"/>
    <n v="900"/>
    <x v="0"/>
    <x v="0"/>
    <n v="18000000"/>
    <x v="52"/>
    <x v="55"/>
    <n v="18000000"/>
    <n v="290158751"/>
    <x v="2931"/>
    <x v="2934"/>
    <x v="1"/>
  </r>
  <r>
    <x v="26"/>
    <n v="212"/>
    <n v="89138076"/>
    <s v="Horror|Mystery"/>
    <s v="Kelly Rutherford"/>
    <x v="2935"/>
    <n v="98535"/>
    <s v="death|ghostface|murder|scream|survivor"/>
    <n v="734"/>
    <x v="0"/>
    <x v="0"/>
    <n v="40000000"/>
    <x v="4"/>
    <x v="28"/>
    <n v="40000000"/>
    <n v="89138076"/>
    <x v="2932"/>
    <x v="2935"/>
    <x v="6"/>
  </r>
  <r>
    <x v="232"/>
    <n v="175"/>
    <n v="260031035"/>
    <s v="Comedy|Family|Fantasy"/>
    <s v="Clint Howard"/>
    <x v="2936"/>
    <n v="141414"/>
    <s v="box office hit|christmas|materialism|public humiliation|snowflake"/>
    <n v="482"/>
    <x v="0"/>
    <x v="0"/>
    <n v="123000000"/>
    <x v="4"/>
    <x v="11"/>
    <n v="123000000"/>
    <n v="260031035"/>
    <x v="2933"/>
    <x v="2936"/>
    <x v="4"/>
  </r>
  <r>
    <x v="1504"/>
    <n v="76"/>
    <n v="396035"/>
    <s v="Drama|Romance"/>
    <s v="Shirley Henderson"/>
    <x v="2937"/>
    <n v="2725"/>
    <s v="beach|lebanese|loss|muslim|restaurant"/>
    <n v="48"/>
    <x v="0"/>
    <x v="2"/>
    <n v="1000000"/>
    <x v="2"/>
    <x v="31"/>
    <n v="1285399.99999999"/>
    <n v="509063.38899999898"/>
    <x v="2934"/>
    <x v="2937"/>
    <x v="5"/>
  </r>
  <r>
    <x v="1505"/>
    <n v="33"/>
    <n v="13684949"/>
    <s v="Adventure|Animation|Comedy|Family"/>
    <s v="Jennifer Jason Leigh"/>
    <x v="2938"/>
    <n v="4564"/>
    <s v="castle thunder|document|neighborhood|punctuation in title|villain arrested"/>
    <n v="43"/>
    <x v="0"/>
    <x v="0"/>
    <n v="3000000"/>
    <x v="13"/>
    <x v="0"/>
    <n v="3000000"/>
    <n v="13684949"/>
    <x v="2935"/>
    <x v="2938"/>
    <x v="0"/>
  </r>
  <r>
    <x v="9"/>
    <n v="53"/>
    <n v="38168022"/>
    <s v="Comedy|Documentary"/>
    <s v="Bernie Mac"/>
    <x v="2939"/>
    <n v="4687"/>
    <s v="backstage|comedian|concert film|emcee|stand up comedian"/>
    <n v="83"/>
    <x v="0"/>
    <x v="0"/>
    <n v="3000000"/>
    <x v="4"/>
    <x v="14"/>
    <n v="3000000"/>
    <n v="38168022"/>
    <x v="2936"/>
    <x v="2939"/>
    <x v="4"/>
  </r>
  <r>
    <x v="875"/>
    <n v="125"/>
    <n v="6998324"/>
    <s v="Comedy|Drama"/>
    <s v="Dominic Flores"/>
    <x v="2940"/>
    <n v="11476"/>
    <s v="bolivia|box office flop|inspired by documentary|presidential campaign|year 2002"/>
    <n v="50"/>
    <x v="0"/>
    <x v="0"/>
    <n v="28000000"/>
    <x v="1"/>
    <x v="7"/>
    <n v="28000000"/>
    <n v="6998324"/>
    <x v="2937"/>
    <x v="2940"/>
    <x v="4"/>
  </r>
  <r>
    <x v="811"/>
    <n v="127"/>
    <n v="10460089"/>
    <s v="Crime|Drama|Mystery|Thriller"/>
    <s v="Jason Patric"/>
    <x v="2941"/>
    <n v="34098"/>
    <s v="blood splatter|cover up|murder|police shootout|undercover"/>
    <n v="214"/>
    <x v="0"/>
    <x v="0"/>
    <n v="7500000"/>
    <x v="13"/>
    <x v="33"/>
    <n v="7500000"/>
    <n v="10460089"/>
    <x v="2938"/>
    <x v="2941"/>
    <x v="3"/>
  </r>
  <r>
    <x v="1506"/>
    <n v="384"/>
    <n v="222487711"/>
    <s v="Action|Adventure|Animation|Comedy|Drama|Family|Sci-Fi"/>
    <s v="Damon Wayans Jr."/>
    <x v="2942"/>
    <n v="279093"/>
    <s v="high tech|martial arts|masked man|robot|superhero"/>
    <n v="433"/>
    <x v="0"/>
    <x v="0"/>
    <n v="165000000"/>
    <x v="27"/>
    <x v="19"/>
    <n v="165000000"/>
    <n v="222487711"/>
    <x v="2939"/>
    <x v="2942"/>
    <x v="1"/>
  </r>
  <r>
    <x v="1507"/>
    <n v="157"/>
    <n v="6855137"/>
    <s v="Action|Crime|Drama|Thriller"/>
    <s v="Paul Walker"/>
    <x v="2943"/>
    <n v="88590"/>
    <s v="adult child friendship|corrupt cop|fistfight|gangster|thug"/>
    <n v="419"/>
    <x v="0"/>
    <x v="5"/>
    <n v="17000000"/>
    <x v="7"/>
    <x v="39"/>
    <n v="18440580"/>
    <n v="7436041.3093800005"/>
    <x v="2940"/>
    <x v="2943"/>
    <x v="1"/>
  </r>
  <r>
    <x v="1508"/>
    <n v="41"/>
    <n v="562059"/>
    <s v="Drama|Thriller"/>
    <s v="Chazz Palminteri"/>
    <x v="2944"/>
    <n v="8535"/>
    <s v="beating|hustler|jail|money|revenge"/>
    <n v="113"/>
    <x v="0"/>
    <x v="0"/>
    <n v="4000000"/>
    <x v="13"/>
    <x v="16"/>
    <n v="4000000"/>
    <n v="562059"/>
    <x v="2941"/>
    <x v="2944"/>
    <x v="5"/>
  </r>
  <r>
    <x v="411"/>
    <n v="147"/>
    <n v="2077046"/>
    <s v="Comedy|Drama|Romance"/>
    <s v="Mary-Kate Olsen"/>
    <x v="2945"/>
    <n v="27266"/>
    <s v="ice cream|marijuana|new york city|summer|therapy"/>
    <n v="75"/>
    <x v="0"/>
    <x v="0"/>
    <n v="6000000"/>
    <x v="20"/>
    <x v="16"/>
    <n v="6000000"/>
    <n v="2077046"/>
    <x v="2942"/>
    <x v="2945"/>
    <x v="4"/>
  </r>
  <r>
    <x v="26"/>
    <n v="109"/>
    <n v="18090181"/>
    <s v="Fantasy|Horror|Mystery|Thriller"/>
    <s v="Miko Hughes"/>
    <x v="2946"/>
    <n v="38191"/>
    <s v="earthquake|elm street|freddy krueger|nightmare|sleep"/>
    <n v="271"/>
    <x v="0"/>
    <x v="0"/>
    <n v="8000000"/>
    <x v="5"/>
    <x v="24"/>
    <n v="8000000"/>
    <n v="18090181"/>
    <x v="2943"/>
    <x v="2946"/>
    <x v="9"/>
  </r>
  <r>
    <x v="1361"/>
    <n v="135"/>
    <n v="24185781"/>
    <s v="Drama|Mystery"/>
    <s v="Anthony Hopkins"/>
    <x v="2947"/>
    <n v="30339"/>
    <s v="based on multiple works|bully|kiss|memory|mysterious stranger"/>
    <n v="268"/>
    <x v="0"/>
    <x v="0"/>
    <n v="31000000"/>
    <x v="9"/>
    <x v="31"/>
    <n v="31000000"/>
    <n v="24185781"/>
    <x v="2944"/>
    <x v="2947"/>
    <x v="5"/>
  </r>
  <r>
    <x v="115"/>
    <n v="138"/>
    <n v="20991497"/>
    <s v="Comedy|Drama|Romance"/>
    <s v="Emma Stone"/>
    <x v="2881"/>
    <n v="39778"/>
    <s v="box office flop|critically bashed|hawaii|one word title|written by director"/>
    <n v="172"/>
    <x v="0"/>
    <x v="0"/>
    <n v="37000000"/>
    <x v="1"/>
    <x v="26"/>
    <n v="37000000"/>
    <n v="20991497"/>
    <x v="2878"/>
    <x v="2881"/>
    <x v="4"/>
  </r>
  <r>
    <x v="1509"/>
    <n v="54"/>
    <n v="713413"/>
    <s v="Crime|Drama|Mystery"/>
    <s v="Jan Decleir"/>
    <x v="2948"/>
    <n v="9171"/>
    <s v="bailiff|lawyer|office|police|school"/>
    <n v="68"/>
    <x v="24"/>
    <x v="31"/>
    <n v="4500000"/>
    <x v="31"/>
    <x v="38"/>
    <n v="4881330"/>
    <n v="773867.61762000003"/>
    <x v="2945"/>
    <x v="2948"/>
    <x v="3"/>
  </r>
  <r>
    <x v="482"/>
    <n v="181"/>
    <n v="66002193"/>
    <s v="Action|Adventure|Mystery|Sci-Fi|Thriller"/>
    <s v="Naomi Watts"/>
    <x v="2949"/>
    <n v="44296"/>
    <s v="based on young adult novel|dystopia|genetic experimentation|strong female character|strong female lead"/>
    <n v="144"/>
    <x v="0"/>
    <x v="0"/>
    <n v="110000000"/>
    <x v="24"/>
    <x v="30"/>
    <n v="110000000"/>
    <n v="66002193"/>
    <x v="2946"/>
    <x v="2949"/>
    <x v="1"/>
  </r>
  <r>
    <x v="87"/>
    <n v="258"/>
    <n v="43290977"/>
    <s v="Crime|Drama|Mystery|Thriller"/>
    <s v="Bojana Novakovic"/>
    <x v="2950"/>
    <n v="75201"/>
    <s v="activist|detective|father daughter relationship|investigation|vigilantism"/>
    <n v="256"/>
    <x v="0"/>
    <x v="2"/>
    <n v="80000000"/>
    <x v="11"/>
    <x v="14"/>
    <n v="102831999.999999"/>
    <n v="55646221.835799903"/>
    <x v="2947"/>
    <x v="2950"/>
    <x v="3"/>
  </r>
  <r>
    <x v="404"/>
    <n v="331"/>
    <n v="29959436"/>
    <s v="Biography|Drama|History"/>
    <s v="Meryl Streep"/>
    <x v="2951"/>
    <n v="82327"/>
    <s v="british prime minister|female prime minister|politics|prime minister|told in flashback"/>
    <n v="350"/>
    <x v="0"/>
    <x v="2"/>
    <n v="13000000"/>
    <x v="22"/>
    <x v="24"/>
    <n v="16710199.999999899"/>
    <n v="38509859.034399897"/>
    <x v="2948"/>
    <x v="2951"/>
    <x v="2"/>
  </r>
  <r>
    <x v="354"/>
    <n v="358"/>
    <n v="18298649"/>
    <s v="Comedy|Horror"/>
    <s v="Grace Phipps"/>
    <x v="2952"/>
    <n v="85024"/>
    <s v="neighbor|remake|suburb|teenager|vampire"/>
    <n v="242"/>
    <x v="0"/>
    <x v="0"/>
    <n v="30000000"/>
    <x v="22"/>
    <x v="24"/>
    <n v="30000000"/>
    <n v="18298649"/>
    <x v="2949"/>
    <x v="2952"/>
    <x v="4"/>
  </r>
  <r>
    <x v="804"/>
    <n v="178"/>
    <n v="80360866"/>
    <s v="Comedy|Family|Romance"/>
    <s v="Rosario Dawson"/>
    <x v="2953"/>
    <n v="44662"/>
    <s v="champagne bottle|coca cola|jewelry box|red bull|zoo"/>
    <n v="127"/>
    <x v="0"/>
    <x v="0"/>
    <n v="80000000"/>
    <x v="22"/>
    <x v="44"/>
    <n v="80000000"/>
    <n v="80360866"/>
    <x v="2950"/>
    <x v="2953"/>
    <x v="4"/>
  </r>
  <r>
    <x v="150"/>
    <n v="76"/>
    <n v="38536376"/>
    <s v="Action|Adventure|Comedy|Family|Sci-Fi"/>
    <s v="Alexa PenaVega"/>
    <x v="2954"/>
    <n v="15866"/>
    <s v="2010s|3 dimensional|breath holding contest|child spy|spy"/>
    <n v="83"/>
    <x v="0"/>
    <x v="0"/>
    <n v="27000000"/>
    <x v="22"/>
    <x v="12"/>
    <n v="27000000"/>
    <n v="38536376"/>
    <x v="2951"/>
    <x v="2954"/>
    <x v="1"/>
  </r>
  <r>
    <x v="1510"/>
    <n v="51"/>
    <n v="1744858"/>
    <s v="Comedy|Drama|Romance|Sport"/>
    <s v="Justin Theroux"/>
    <x v="2955"/>
    <n v="6084"/>
    <s v="friend|gay|lesbian|photographer|restaurant"/>
    <n v="120"/>
    <x v="0"/>
    <x v="0"/>
    <n v="1000000"/>
    <x v="4"/>
    <x v="16"/>
    <n v="1000000"/>
    <n v="1744858"/>
    <x v="2952"/>
    <x v="2955"/>
    <x v="4"/>
  </r>
  <r>
    <x v="167"/>
    <n v="251"/>
    <n v="13753931"/>
    <s v="Drama|History|War"/>
    <s v="Yuki Matsuzaki"/>
    <x v="2956"/>
    <n v="132149"/>
    <s v="blood splatter|general|island|japan|world war two"/>
    <n v="316"/>
    <x v="8"/>
    <x v="0"/>
    <n v="19000000"/>
    <x v="7"/>
    <x v="19"/>
    <n v="19000000"/>
    <n v="13753931"/>
    <x v="2953"/>
    <x v="2956"/>
    <x v="5"/>
  </r>
  <r>
    <x v="1136"/>
    <n v="85"/>
    <n v="40219708"/>
    <s v="Drama|Sport"/>
    <s v="Keanu Reeves"/>
    <x v="2957"/>
    <n v="22649"/>
    <s v="coach|gambling|housing project|little league|little league baseball"/>
    <n v="131"/>
    <x v="0"/>
    <x v="0"/>
    <n v="21000000"/>
    <x v="9"/>
    <x v="23"/>
    <n v="21000000"/>
    <n v="40219708"/>
    <x v="2954"/>
    <x v="2957"/>
    <x v="5"/>
  </r>
  <r>
    <x v="514"/>
    <n v="52"/>
    <n v="85300000"/>
    <s v="Action|Comedy|War"/>
    <s v="Bill Murray"/>
    <x v="2958"/>
    <n v="48629"/>
    <s v="army|boot camp|breasts|graduation|rescue"/>
    <n v="134"/>
    <x v="0"/>
    <x v="0"/>
    <n v="10000000"/>
    <x v="43"/>
    <x v="31"/>
    <n v="10000000"/>
    <n v="85300000"/>
    <x v="2955"/>
    <x v="2958"/>
    <x v="1"/>
  </r>
  <r>
    <x v="746"/>
    <n v="585"/>
    <n v="100189501"/>
    <s v="Action|Adventure|Sci-Fi"/>
    <s v="Tom Cruise"/>
    <x v="2959"/>
    <n v="431620"/>
    <s v="alien|combat|dying repeatedly|end of the world|time loop"/>
    <n v="741"/>
    <x v="0"/>
    <x v="0"/>
    <n v="178000000"/>
    <x v="27"/>
    <x v="19"/>
    <n v="178000000"/>
    <n v="100189501"/>
    <x v="2956"/>
    <x v="2959"/>
    <x v="1"/>
  </r>
  <r>
    <x v="1047"/>
    <n v="210"/>
    <n v="4018695"/>
    <s v="Adventure|Drama|Thriller"/>
    <s v="Shah Rukh Khan"/>
    <x v="2960"/>
    <n v="69759"/>
    <s v="airport|asperger's syndrome|autism|muslim|racial profiling"/>
    <n v="235"/>
    <x v="5"/>
    <x v="10"/>
    <n v="12000000"/>
    <x v="11"/>
    <x v="3"/>
    <n v="143297.51999999999"/>
    <n v="47989.085594700002"/>
    <x v="2957"/>
    <x v="2960"/>
    <x v="0"/>
  </r>
  <r>
    <x v="1511"/>
    <n v="96"/>
    <n v="3041803"/>
    <s v="Drama|Romance"/>
    <s v="Eric Stoltz"/>
    <x v="2961"/>
    <n v="6377"/>
    <s v="high society|love|money|reputation|wealth"/>
    <n v="181"/>
    <x v="0"/>
    <x v="2"/>
    <n v="10000000"/>
    <x v="4"/>
    <x v="17"/>
    <n v="12853999.999999899"/>
    <n v="3909933.5761999902"/>
    <x v="2958"/>
    <x v="2961"/>
    <x v="5"/>
  </r>
  <r>
    <x v="1512"/>
    <n v="178"/>
    <n v="25857987"/>
    <s v="Action|Sci-Fi"/>
    <s v="Charlize Theron"/>
    <x v="2962"/>
    <n v="110614"/>
    <s v="based on cult favorite|disease|female hero|female protagonist|future"/>
    <n v="532"/>
    <x v="0"/>
    <x v="0"/>
    <n v="62000000"/>
    <x v="25"/>
    <x v="28"/>
    <n v="62000000"/>
    <n v="25857987"/>
    <x v="2959"/>
    <x v="2962"/>
    <x v="1"/>
  </r>
  <r>
    <x v="1136"/>
    <n v="76"/>
    <n v="61112916"/>
    <s v="Comedy|Family|Fantasy"/>
    <s v="Robert Downey Jr."/>
    <x v="2963"/>
    <n v="14888"/>
    <s v="animal as human|dog movie|elevator|human becoming an animal|sheepdog"/>
    <n v="83"/>
    <x v="0"/>
    <x v="0"/>
    <n v="50000000"/>
    <x v="7"/>
    <x v="8"/>
    <n v="50000000"/>
    <n v="61112916"/>
    <x v="2960"/>
    <x v="2963"/>
    <x v="4"/>
  </r>
  <r>
    <x v="1229"/>
    <n v="202"/>
    <n v="22494487"/>
    <s v="Crime|Drama|Mystery|Thriller"/>
    <s v="Bruce Willis"/>
    <x v="2152"/>
    <n v="262153"/>
    <s v="coroner|death|gay son|love|mistaken identity"/>
    <n v="507"/>
    <x v="0"/>
    <x v="5"/>
    <n v="27000000"/>
    <x v="7"/>
    <x v="38"/>
    <n v="29287980"/>
    <n v="24400669.82838"/>
    <x v="2150"/>
    <x v="2152"/>
    <x v="3"/>
  </r>
  <r>
    <x v="1229"/>
    <n v="159"/>
    <n v="5773519"/>
    <s v="Drama|Horror|Sci-Fi|Thriller"/>
    <s v="Daniel Radcliffe"/>
    <x v="2917"/>
    <n v="28621"/>
    <s v="assistant|experiment|frankenstein|medical student|scientist"/>
    <n v="91"/>
    <x v="0"/>
    <x v="0"/>
    <n v="40000000"/>
    <x v="1"/>
    <x v="11"/>
    <n v="40000000"/>
    <n v="5773519"/>
    <x v="2914"/>
    <x v="2917"/>
    <x v="5"/>
  </r>
  <r>
    <x v="313"/>
    <n v="9"/>
    <n v="2850263"/>
    <s v="Adventure|Comedy|Sport"/>
    <s v="Alanna Ubach"/>
    <x v="2964"/>
    <n v="5061"/>
    <s v="cincinnati ohio|high school|hockey|jock strap|zoologist"/>
    <n v="70"/>
    <x v="0"/>
    <x v="0"/>
    <n v="2600000"/>
    <x v="23"/>
    <x v="5"/>
    <n v="2600000"/>
    <n v="2850263"/>
    <x v="2961"/>
    <x v="2964"/>
    <x v="0"/>
  </r>
  <r>
    <x v="737"/>
    <n v="275"/>
    <n v="134455175"/>
    <s v="Comedy|Crime"/>
    <s v="Jon Favreau"/>
    <x v="2965"/>
    <n v="97664"/>
    <s v="bounty hunter|credit card|cross country|identity|police"/>
    <n v="232"/>
    <x v="0"/>
    <x v="0"/>
    <n v="35000000"/>
    <x v="0"/>
    <x v="35"/>
    <n v="35000000"/>
    <n v="134455175"/>
    <x v="2962"/>
    <x v="2965"/>
    <x v="4"/>
  </r>
  <r>
    <x v="266"/>
    <n v="118"/>
    <n v="21000000"/>
    <s v="Action|Adventure|Thriller"/>
    <s v="Christopher Lee"/>
    <x v="2966"/>
    <n v="73950"/>
    <s v="assassin|bikini|girl in a bikini|mission|secret agent"/>
    <n v="258"/>
    <x v="0"/>
    <x v="2"/>
    <n v="13000000"/>
    <x v="48"/>
    <x v="22"/>
    <n v="16710199.999999899"/>
    <n v="26993399.999999899"/>
    <x v="2963"/>
    <x v="2966"/>
    <x v="1"/>
  </r>
  <r>
    <x v="1513"/>
    <n v="148"/>
    <n v="37481242"/>
    <s v="Comedy|Romance"/>
    <s v="Danneel Ackles"/>
    <x v="2967"/>
    <n v="40654"/>
    <s v="artificial insemination|baby|cheese|chick flick|pet shop"/>
    <n v="97"/>
    <x v="0"/>
    <x v="0"/>
    <n v="35000000"/>
    <x v="11"/>
    <x v="1"/>
    <n v="35000000"/>
    <n v="37481242"/>
    <x v="2964"/>
    <x v="2967"/>
    <x v="4"/>
  </r>
  <r>
    <x v="1514"/>
    <n v="78"/>
    <n v="37606"/>
    <s v="Comedy|Crime|Drama"/>
    <s v="Michael Kelly"/>
    <x v="2968"/>
    <n v="31836"/>
    <s v="gun running|organized crime|pimp|superhero|vigilante"/>
    <n v="90"/>
    <x v="0"/>
    <x v="9"/>
    <n v="3500000"/>
    <x v="16"/>
    <x v="22"/>
    <n v="2531917.5"/>
    <n v="27204.368429999999"/>
    <x v="2965"/>
    <x v="2968"/>
    <x v="4"/>
  </r>
  <r>
    <x v="978"/>
    <n v="45"/>
    <n v="27141959"/>
    <s v="Comedy|Crime|Family|Sci-Fi"/>
    <s v="Kathleen Turner"/>
    <x v="2969"/>
    <n v="19547"/>
    <s v="baby|boy|science|scientist|toddler"/>
    <n v="168"/>
    <x v="0"/>
    <x v="0"/>
    <n v="18000000"/>
    <x v="12"/>
    <x v="71"/>
    <n v="18000000"/>
    <n v="27141959"/>
    <x v="2966"/>
    <x v="2969"/>
    <x v="4"/>
  </r>
  <r>
    <x v="1515"/>
    <n v="36"/>
    <n v="13391174"/>
    <s v="Biography|Drama|History"/>
    <s v="James Callis"/>
    <x v="2970"/>
    <n v="5796"/>
    <s v="biblical|book of esther|esther|persia|treachery"/>
    <n v="177"/>
    <x v="0"/>
    <x v="0"/>
    <n v="20000000"/>
    <x v="7"/>
    <x v="23"/>
    <n v="20000000"/>
    <n v="13391174"/>
    <x v="2967"/>
    <x v="2970"/>
    <x v="2"/>
  </r>
  <r>
    <x v="1516"/>
    <n v="63"/>
    <n v="33423521"/>
    <s v="Action|Adventure|Comedy|Thriller"/>
    <s v="Ming-Na Wen"/>
    <x v="2971"/>
    <n v="53115"/>
    <s v="guile|hostage|ransom|soldier|united nations"/>
    <n v="282"/>
    <x v="0"/>
    <x v="15"/>
    <n v="35000000"/>
    <x v="5"/>
    <x v="54"/>
    <n v="227381"/>
    <n v="217139.24652859999"/>
    <x v="2968"/>
    <x v="2971"/>
    <x v="1"/>
  </r>
  <r>
    <x v="1517"/>
    <n v="78"/>
    <n v="1779284"/>
    <s v="Comedy|Drama"/>
    <s v="Kieran Culkin"/>
    <x v="2972"/>
    <n v="12047"/>
    <s v="book|boy|catholic|comic book|friend"/>
    <n v="122"/>
    <x v="0"/>
    <x v="0"/>
    <n v="12000000"/>
    <x v="13"/>
    <x v="17"/>
    <n v="12000000"/>
    <n v="1779284"/>
    <x v="2969"/>
    <x v="2972"/>
    <x v="4"/>
  </r>
  <r>
    <x v="639"/>
    <n v="343"/>
    <n v="201148159"/>
    <s v="Drama|Family|Fantasy|Romance"/>
    <s v="Hayley Atwell"/>
    <x v="2171"/>
    <n v="103749"/>
    <s v="dress|duke|fairy godmother|fairy tale|pumpkin"/>
    <n v="323"/>
    <x v="0"/>
    <x v="0"/>
    <n v="95000000"/>
    <x v="1"/>
    <x v="16"/>
    <n v="95000000"/>
    <n v="201148159"/>
    <x v="2169"/>
    <x v="2171"/>
    <x v="5"/>
  </r>
  <r>
    <x v="913"/>
    <n v="208"/>
    <n v="31598308"/>
    <s v="Horror|Mystery|Thriller"/>
    <s v="Johnny Depp"/>
    <x v="2973"/>
    <n v="124765"/>
    <s v="freemason|jack the ripper|opium|prostitute|victorian era"/>
    <n v="541"/>
    <x v="0"/>
    <x v="0"/>
    <n v="35000000"/>
    <x v="9"/>
    <x v="22"/>
    <n v="35000000"/>
    <n v="31598308"/>
    <x v="2970"/>
    <x v="2973"/>
    <x v="6"/>
  </r>
  <r>
    <x v="431"/>
    <n v="277"/>
    <n v="51178893"/>
    <s v="Adventure|Comedy|Crime|Family|Musical"/>
    <s v="Ty Burrell"/>
    <x v="2974"/>
    <n v="24285"/>
    <s v="europe|frog|gulag|prison break|puppet"/>
    <n v="110"/>
    <x v="0"/>
    <x v="0"/>
    <n v="50000000"/>
    <x v="27"/>
    <x v="24"/>
    <n v="50000000"/>
    <n v="51178893"/>
    <x v="2971"/>
    <x v="2974"/>
    <x v="0"/>
  </r>
  <r>
    <x v="1518"/>
    <n v="258"/>
    <n v="18600911"/>
    <s v="Action|Crime|Thriller"/>
    <s v="Robert Clohessy"/>
    <x v="2975"/>
    <n v="125198"/>
    <s v="detective|diamond|hotel|police|rooftop"/>
    <n v="153"/>
    <x v="0"/>
    <x v="0"/>
    <n v="42000000"/>
    <x v="28"/>
    <x v="14"/>
    <n v="42000000"/>
    <n v="18600911"/>
    <x v="2972"/>
    <x v="2975"/>
    <x v="1"/>
  </r>
  <r>
    <x v="1110"/>
    <n v="93"/>
    <n v="41256277"/>
    <s v="Action|Thriller"/>
    <s v="Armin Mueller-Stahl"/>
    <x v="2976"/>
    <n v="46451"/>
    <s v="nuclear explosion|nuclear weapon|russia|train|train crash"/>
    <n v="156"/>
    <x v="0"/>
    <x v="0"/>
    <n v="50000000"/>
    <x v="31"/>
    <x v="0"/>
    <n v="50000000"/>
    <n v="41256277"/>
    <x v="2973"/>
    <x v="2976"/>
    <x v="1"/>
  </r>
  <r>
    <x v="906"/>
    <n v="50"/>
    <n v="2892582"/>
    <s v="Comedy"/>
    <s v="Catherine O'Hara"/>
    <x v="2977"/>
    <n v="22697"/>
    <s v="amateur theater|dentist|missouri|small town|travel agent"/>
    <n v="202"/>
    <x v="0"/>
    <x v="0"/>
    <n v="4000000"/>
    <x v="10"/>
    <x v="10"/>
    <n v="4000000"/>
    <n v="2892582"/>
    <x v="2974"/>
    <x v="2977"/>
    <x v="4"/>
  </r>
  <r>
    <x v="89"/>
    <n v="255"/>
    <n v="86897182"/>
    <s v="Comedy"/>
    <s v="Will Ferrell"/>
    <x v="2978"/>
    <n v="106790"/>
    <s v="campaigning|congressman|north carolina|title at the end|u.s. congressman"/>
    <n v="177"/>
    <x v="0"/>
    <x v="0"/>
    <n v="95000000"/>
    <x v="28"/>
    <x v="5"/>
    <n v="95000000"/>
    <n v="86897182"/>
    <x v="2975"/>
    <x v="2978"/>
    <x v="4"/>
  </r>
  <r>
    <x v="1519"/>
    <n v="43"/>
    <n v="16988996"/>
    <s v="Comedy|Family|Music|Musical"/>
    <s v="Haley Joel Osment"/>
    <x v="2979"/>
    <n v="3875"/>
    <s v="animal in title|bear|box office flop|disney|satire"/>
    <n v="75"/>
    <x v="0"/>
    <x v="0"/>
    <n v="35000000"/>
    <x v="13"/>
    <x v="56"/>
    <n v="35000000"/>
    <n v="16988996"/>
    <x v="2976"/>
    <x v="2979"/>
    <x v="4"/>
  </r>
  <r>
    <x v="1520"/>
    <n v="6"/>
    <n v="35688"/>
    <s v="Comedy"/>
    <s v="Shane Dawson"/>
    <x v="2980"/>
    <n v="4167"/>
    <s v=""/>
    <n v="72"/>
    <x v="0"/>
    <x v="0"/>
    <n v="600000"/>
    <x v="27"/>
    <x v="37"/>
    <n v="600000"/>
    <n v="35688"/>
    <x v="2977"/>
    <x v="2980"/>
    <x v="4"/>
  </r>
  <r>
    <x v="2"/>
    <n v="154"/>
    <n v="15709385"/>
    <s v="Crime|Drama|Thriller"/>
    <s v="Jennifer Ehle"/>
    <x v="2981"/>
    <n v="53053"/>
    <s v="brother in law|corruption|drug dealer|drugs|police"/>
    <n v="132"/>
    <x v="0"/>
    <x v="0"/>
    <n v="30000000"/>
    <x v="20"/>
    <x v="21"/>
    <n v="30000000"/>
    <n v="15709385"/>
    <x v="2978"/>
    <x v="2981"/>
    <x v="3"/>
  </r>
  <r>
    <x v="281"/>
    <n v="300"/>
    <n v="373377893"/>
    <s v="Action|Adventure|Fantasy|Romance"/>
    <s v="J.K. Simmons"/>
    <x v="2982"/>
    <n v="411164"/>
    <s v="death|doctor|scientist|super villain|tentacle"/>
    <n v="1303"/>
    <x v="0"/>
    <x v="0"/>
    <n v="200000000"/>
    <x v="2"/>
    <x v="4"/>
    <n v="200000000"/>
    <n v="373377893"/>
    <x v="2979"/>
    <x v="2982"/>
    <x v="1"/>
  </r>
  <r>
    <x v="757"/>
    <n v="318"/>
    <n v="206435493"/>
    <s v="Animation|Comedy|Family|Fantasy"/>
    <s v="Janeane Garofalo"/>
    <x v="2983"/>
    <n v="473887"/>
    <s v="chef|food|french|rat|restaurant"/>
    <n v="626"/>
    <x v="0"/>
    <x v="0"/>
    <n v="150000000"/>
    <x v="15"/>
    <x v="3"/>
    <n v="150000000"/>
    <n v="206435493"/>
    <x v="2980"/>
    <x v="2983"/>
    <x v="8"/>
  </r>
  <r>
    <x v="62"/>
    <n v="450"/>
    <n v="32154410"/>
    <s v="Crime|Drama|Thriller"/>
    <s v="Channing Tatum"/>
    <x v="661"/>
    <n v="148327"/>
    <s v="clinical trial|female protagonist|neuropharmacology|psychiatrist|side effect"/>
    <n v="274"/>
    <x v="0"/>
    <x v="0"/>
    <n v="30000000"/>
    <x v="0"/>
    <x v="17"/>
    <n v="30000000"/>
    <n v="32154410"/>
    <x v="661"/>
    <x v="661"/>
    <x v="3"/>
  </r>
  <r>
    <x v="1326"/>
    <n v="393"/>
    <n v="37516013"/>
    <s v="Action|Fantasy|Horror"/>
    <s v="Rufus Sewell"/>
    <x v="2984"/>
    <n v="128629"/>
    <s v="chopping down a tree|hanging upside down|shopkeeper|vampire|vampire hunter"/>
    <n v="348"/>
    <x v="0"/>
    <x v="0"/>
    <n v="69000000"/>
    <x v="28"/>
    <x v="0"/>
    <n v="69000000"/>
    <n v="37516013"/>
    <x v="2981"/>
    <x v="2984"/>
    <x v="1"/>
  </r>
  <r>
    <x v="1521"/>
    <n v="47"/>
    <n v="11508423"/>
    <s v="Biography|Comedy|Drama|Family|Sport"/>
    <s v="Tasha Smith"/>
    <x v="2985"/>
    <n v="3174"/>
    <s v="absent father|american football|based on true story|middle school"/>
    <n v="19"/>
    <x v="0"/>
    <x v="0"/>
    <n v="23000000"/>
    <x v="20"/>
    <x v="37"/>
    <n v="23000000"/>
    <n v="11508423"/>
    <x v="2982"/>
    <x v="2985"/>
    <x v="2"/>
  </r>
  <r>
    <x v="484"/>
    <n v="202"/>
    <n v="202007640"/>
    <s v="Action|Adventure|Fantasy|Thriller"/>
    <s v="Dwayne Johnson"/>
    <x v="2986"/>
    <n v="248045"/>
    <s v="ancient egypt|bracelet|king|scorpion|son"/>
    <n v="890"/>
    <x v="0"/>
    <x v="0"/>
    <n v="98000000"/>
    <x v="9"/>
    <x v="23"/>
    <n v="98000000"/>
    <n v="202007640"/>
    <x v="2983"/>
    <x v="2986"/>
    <x v="1"/>
  </r>
  <r>
    <x v="108"/>
    <n v="108"/>
    <n v="4291965"/>
    <s v="Biography|Drama|History"/>
    <s v="Derek Luke"/>
    <x v="2987"/>
    <n v="9334"/>
    <s v="attack|coach|colonel|jail|oil refinery"/>
    <n v="59"/>
    <x v="0"/>
    <x v="8"/>
    <n v="14000000"/>
    <x v="7"/>
    <x v="21"/>
    <n v="15186360"/>
    <n v="4655666.1140999999"/>
    <x v="2984"/>
    <x v="2987"/>
    <x v="2"/>
  </r>
  <r>
    <x v="54"/>
    <n v="164"/>
    <n v="148213377"/>
    <s v="Action|Comedy|Sport"/>
    <s v="Will Ferrell"/>
    <x v="2988"/>
    <n v="130776"/>
    <s v="car racing|french|friend|nascar|racing"/>
    <n v="437"/>
    <x v="0"/>
    <x v="0"/>
    <n v="73000000"/>
    <x v="7"/>
    <x v="14"/>
    <n v="73000000"/>
    <n v="148213377"/>
    <x v="2985"/>
    <x v="2988"/>
    <x v="1"/>
  </r>
  <r>
    <x v="987"/>
    <n v="157"/>
    <n v="2086345"/>
    <s v="Biography|Drama|Romance"/>
    <s v="BelÃ©n Rueda"/>
    <x v="2989"/>
    <n v="64556"/>
    <s v="dignity|euthanasia|freedom|lawyer|sailor"/>
    <n v="140"/>
    <x v="9"/>
    <x v="12"/>
    <n v="10000000"/>
    <x v="2"/>
    <x v="40"/>
    <n v="10847400"/>
    <n v="2263141.8753"/>
    <x v="2986"/>
    <x v="2989"/>
    <x v="2"/>
  </r>
  <r>
    <x v="329"/>
    <n v="341"/>
    <n v="60338891"/>
    <s v="Comedy|Drama"/>
    <s v="J.K. Simmons"/>
    <x v="2990"/>
    <n v="248468"/>
    <s v="cia|divorce|embassy|gym|memoir"/>
    <n v="545"/>
    <x v="0"/>
    <x v="0"/>
    <n v="37000000"/>
    <x v="20"/>
    <x v="16"/>
    <n v="37000000"/>
    <n v="60338891"/>
    <x v="2987"/>
    <x v="2990"/>
    <x v="4"/>
  </r>
  <r>
    <x v="631"/>
    <n v="91"/>
    <n v="112950721"/>
    <s v="Comedy|Family|Fantasy"/>
    <s v="Raven-SymonÃ©"/>
    <x v="2991"/>
    <n v="33884"/>
    <s v="bear|doctor|false accusation|man with glasses|second part"/>
    <n v="79"/>
    <x v="0"/>
    <x v="0"/>
    <n v="72000000"/>
    <x v="9"/>
    <x v="34"/>
    <n v="72000000"/>
    <n v="112950721"/>
    <x v="2988"/>
    <x v="2991"/>
    <x v="4"/>
  </r>
  <r>
    <x v="1193"/>
    <n v="262"/>
    <n v="131920333"/>
    <s v="Action|Adventure|Sci-Fi|Thriller"/>
    <s v="Chris Evans"/>
    <x v="2992"/>
    <n v="213275"/>
    <s v="fantastic four|space|strong female character|strong female lead|superheroine"/>
    <n v="436"/>
    <x v="0"/>
    <x v="0"/>
    <n v="130000000"/>
    <x v="15"/>
    <x v="15"/>
    <n v="130000000"/>
    <n v="131920333"/>
    <x v="2989"/>
    <x v="2992"/>
    <x v="1"/>
  </r>
  <r>
    <x v="112"/>
    <n v="125"/>
    <n v="118500000"/>
    <s v="Adventure|Comedy|Sci-Fi"/>
    <s v="Lea Thompson"/>
    <x v="2993"/>
    <n v="340085"/>
    <s v="alternate timeline|same actor playing two characters simultaneously on screen|second part|year 2015|younger version of character"/>
    <n v="327"/>
    <x v="0"/>
    <x v="0"/>
    <n v="40000000"/>
    <x v="26"/>
    <x v="38"/>
    <n v="40000000"/>
    <n v="118500000"/>
    <x v="2990"/>
    <x v="2993"/>
    <x v="0"/>
  </r>
  <r>
    <x v="281"/>
    <n v="397"/>
    <n v="42057340"/>
    <s v="Horror|Thriller"/>
    <s v="Bojana Novakovic"/>
    <x v="2994"/>
    <n v="158354"/>
    <s v="evil|fight|hell|psychic|psychologist"/>
    <n v="691"/>
    <x v="0"/>
    <x v="0"/>
    <n v="30000000"/>
    <x v="16"/>
    <x v="14"/>
    <n v="30000000"/>
    <n v="42057340"/>
    <x v="2991"/>
    <x v="2994"/>
    <x v="6"/>
  </r>
  <r>
    <x v="1522"/>
    <n v="59"/>
    <n v="6157157"/>
    <s v="Comedy|Drama"/>
    <s v="Fran Drescher"/>
    <x v="2995"/>
    <n v="21416"/>
    <s v="gambling|imagination|television|television station|tv show"/>
    <n v="198"/>
    <x v="0"/>
    <x v="0"/>
    <n v="5000000"/>
    <x v="26"/>
    <x v="16"/>
    <n v="5000000"/>
    <n v="6157157"/>
    <x v="2992"/>
    <x v="2995"/>
    <x v="4"/>
  </r>
  <r>
    <x v="783"/>
    <n v="126"/>
    <n v="4599680"/>
    <s v="Drama"/>
    <s v="Holly Hunter"/>
    <x v="2996"/>
    <n v="68222"/>
    <s v="13 year olds|adolescence|friend|peer pressure|teacher"/>
    <n v="545"/>
    <x v="0"/>
    <x v="0"/>
    <n v="1500000"/>
    <x v="19"/>
    <x v="22"/>
    <n v="1500000"/>
    <n v="4599680"/>
    <x v="2993"/>
    <x v="2996"/>
    <x v="5"/>
  </r>
  <r>
    <x v="552"/>
    <n v="221"/>
    <n v="183436380"/>
    <s v="Comedy|Music"/>
    <s v="Anna Kendrick"/>
    <x v="2997"/>
    <n v="97697"/>
    <s v="2010s|a cappella|box office hit|second part|sequel"/>
    <n v="185"/>
    <x v="0"/>
    <x v="0"/>
    <n v="29000000"/>
    <x v="1"/>
    <x v="20"/>
    <n v="29000000"/>
    <n v="183436380"/>
    <x v="2994"/>
    <x v="2997"/>
    <x v="4"/>
  </r>
  <r>
    <x v="657"/>
    <n v="111"/>
    <n v="37188667"/>
    <s v="Comedy|Drama"/>
    <s v="Britney Spears"/>
    <x v="2998"/>
    <n v="34219"/>
    <s v="audition|friendship|graduation|high school graduation|love"/>
    <n v="578"/>
    <x v="0"/>
    <x v="0"/>
    <n v="12000000"/>
    <x v="13"/>
    <x v="57"/>
    <n v="12000000"/>
    <n v="37188667"/>
    <x v="2995"/>
    <x v="2998"/>
    <x v="4"/>
  </r>
  <r>
    <x v="67"/>
    <n v="143"/>
    <n v="6197866"/>
    <s v="Biography|Drama"/>
    <s v="Sissy Spacek"/>
    <x v="2999"/>
    <n v="63733"/>
    <s v="cane|iowa|lawn mower|tractor|wisconsin"/>
    <n v="414"/>
    <x v="0"/>
    <x v="8"/>
    <n v="10000000"/>
    <x v="12"/>
    <x v="3"/>
    <n v="10847400"/>
    <n v="6723073.1648399998"/>
    <x v="2996"/>
    <x v="2999"/>
    <x v="2"/>
  </r>
  <r>
    <x v="1523"/>
    <n v="51"/>
    <n v="94900000"/>
    <s v="Drama|Music|Romance"/>
    <s v="Michael Nouri"/>
    <x v="3000"/>
    <n v="35172"/>
    <s v="ballet school|dance|dancer|overalls|steel worker"/>
    <n v="128"/>
    <x v="0"/>
    <x v="0"/>
    <n v="4000000"/>
    <x v="30"/>
    <x v="7"/>
    <n v="4000000"/>
    <n v="94900000"/>
    <x v="2997"/>
    <x v="3000"/>
    <x v="5"/>
  </r>
  <r>
    <x v="107"/>
    <n v="77"/>
    <n v="39025000"/>
    <s v="Crime|Drama"/>
    <s v="Lois Smith"/>
    <x v="3001"/>
    <n v="73193"/>
    <s v="death|execution|nun|solitary confinement|visit"/>
    <n v="190"/>
    <x v="0"/>
    <x v="2"/>
    <n v="11000000"/>
    <x v="33"/>
    <x v="10"/>
    <n v="14139399.999999899"/>
    <n v="50162734.999999903"/>
    <x v="2998"/>
    <x v="3001"/>
    <x v="3"/>
  </r>
  <r>
    <x v="784"/>
    <n v="98"/>
    <n v="72601713"/>
    <s v="Animation|Comedy|Family"/>
    <s v="Rob Paulsen"/>
    <x v="3002"/>
    <n v="21396"/>
    <s v="cow|farmer|howl|howling at the moon|vegetarian"/>
    <n v="155"/>
    <x v="0"/>
    <x v="5"/>
    <n v="51000000"/>
    <x v="7"/>
    <x v="15"/>
    <n v="55321740"/>
    <n v="78753982.159620002"/>
    <x v="2999"/>
    <x v="3002"/>
    <x v="8"/>
  </r>
  <r>
    <x v="368"/>
    <n v="129"/>
    <n v="1150403"/>
    <s v="Biography|Crime|Drama"/>
    <s v="Toby Jones"/>
    <x v="3003"/>
    <n v="14143"/>
    <s v="blood|book|cold calculation|murder|writer"/>
    <n v="102"/>
    <x v="0"/>
    <x v="0"/>
    <n v="13000000"/>
    <x v="7"/>
    <x v="17"/>
    <n v="13000000"/>
    <n v="1150403"/>
    <x v="3000"/>
    <x v="3003"/>
    <x v="2"/>
  </r>
  <r>
    <x v="1524"/>
    <n v="205"/>
    <n v="613556"/>
    <s v="Action|Drama"/>
    <s v="Qi Shu"/>
    <x v="3004"/>
    <n v="9427"/>
    <s v="black magic|china|love|refusal to kill|wuxia"/>
    <n v="87"/>
    <x v="15"/>
    <x v="21"/>
    <n v="15000000"/>
    <x v="1"/>
    <x v="24"/>
    <n v="458184.6"/>
    <n v="18741.46069584"/>
    <x v="3001"/>
    <x v="3004"/>
    <x v="1"/>
  </r>
  <r>
    <x v="1525"/>
    <n v="113"/>
    <n v="36073232"/>
    <s v="Adventure|Animation|Family"/>
    <s v="Charlie Rowe"/>
    <x v="3005"/>
    <n v="8913"/>
    <s v="brother|dinosaur|head butt|hero|orphan"/>
    <n v="66"/>
    <x v="0"/>
    <x v="0"/>
    <n v="80000000"/>
    <x v="0"/>
    <x v="44"/>
    <n v="80000000"/>
    <n v="36073232"/>
    <x v="3002"/>
    <x v="3005"/>
    <x v="0"/>
  </r>
  <r>
    <x v="1369"/>
    <n v="76"/>
    <n v="25339117"/>
    <s v="Comedy|Romance"/>
    <s v="Ethan Embry"/>
    <x v="3006"/>
    <n v="37885"/>
    <s v="graduation|high school|letter|nerd|party"/>
    <n v="247"/>
    <x v="0"/>
    <x v="0"/>
    <n v="10000000"/>
    <x v="6"/>
    <x v="20"/>
    <n v="10000000"/>
    <n v="25339117"/>
    <x v="3003"/>
    <x v="3006"/>
    <x v="4"/>
  </r>
  <r>
    <x v="390"/>
    <n v="177"/>
    <n v="20285518"/>
    <s v="Action|Crime|Drama|Thriller"/>
    <s v="Paul Walker"/>
    <x v="3007"/>
    <n v="32103"/>
    <s v="bare chested male bondage|crime lord|die hard scenario|two word title|undercover"/>
    <n v="112"/>
    <x v="0"/>
    <x v="8"/>
    <n v="28000000"/>
    <x v="27"/>
    <x v="35"/>
    <n v="30372720"/>
    <n v="22004512.79532"/>
    <x v="3004"/>
    <x v="3007"/>
    <x v="1"/>
  </r>
  <r>
    <x v="128"/>
    <n v="94"/>
    <n v="58156435"/>
    <s v="Adventure|Comedy|Mystery"/>
    <s v="Antony Starr"/>
    <x v="3008"/>
    <n v="37479"/>
    <s v="death|friend|hijacker|river|tree house"/>
    <n v="152"/>
    <x v="0"/>
    <x v="0"/>
    <n v="19000000"/>
    <x v="2"/>
    <x v="0"/>
    <n v="19000000"/>
    <n v="58156435"/>
    <x v="3005"/>
    <x v="3008"/>
    <x v="0"/>
  </r>
  <r>
    <x v="274"/>
    <n v="277"/>
    <n v="30859000"/>
    <s v="Horror|Thriller"/>
    <s v="Gunnar Hansen"/>
    <x v="3009"/>
    <n v="96410"/>
    <s v="cannibal|chainsaw|hitchhiker|independent film|leatherface"/>
    <n v="826"/>
    <x v="0"/>
    <x v="0"/>
    <n v="83532"/>
    <x v="48"/>
    <x v="2"/>
    <n v="83532"/>
    <n v="30859000"/>
    <x v="3006"/>
    <x v="3009"/>
    <x v="6"/>
  </r>
  <r>
    <x v="730"/>
    <n v="262"/>
    <n v="62647540"/>
    <s v="Action|Drama|War"/>
    <s v="Jake Gyllenhaal"/>
    <x v="3010"/>
    <n v="143525"/>
    <s v="american abroad|gulf war|u.s. military|u.s. soldier|usmc"/>
    <n v="657"/>
    <x v="0"/>
    <x v="5"/>
    <n v="70000000"/>
    <x v="25"/>
    <x v="17"/>
    <n v="75931800"/>
    <n v="67956292.5396"/>
    <x v="3007"/>
    <x v="3010"/>
    <x v="1"/>
  </r>
  <r>
    <x v="187"/>
    <n v="136"/>
    <n v="3151130"/>
    <s v="Comedy"/>
    <s v="Jason Mewes"/>
    <x v="3011"/>
    <n v="181749"/>
    <s v="clerk|friend|hockey|video|video store"/>
    <n v="615"/>
    <x v="0"/>
    <x v="0"/>
    <n v="230000"/>
    <x v="5"/>
    <x v="38"/>
    <n v="230000"/>
    <n v="3151130"/>
    <x v="3008"/>
    <x v="3011"/>
    <x v="4"/>
  </r>
  <r>
    <x v="1526"/>
    <n v="351"/>
    <n v="38317535"/>
    <s v="Drama|Romance"/>
    <s v="Julie Walters"/>
    <x v="3012"/>
    <n v="73249"/>
    <s v="1950s|immigrant|irish|irish accent|torn between two worlds"/>
    <n v="212"/>
    <x v="0"/>
    <x v="2"/>
    <n v="11000000"/>
    <x v="1"/>
    <x v="2"/>
    <n v="14139399.999999899"/>
    <n v="49253359.488999903"/>
    <x v="3009"/>
    <x v="3012"/>
    <x v="5"/>
  </r>
  <r>
    <x v="84"/>
    <n v="78"/>
    <n v="29500000"/>
    <s v="Fantasy|Horror|Sci-Fi"/>
    <s v="Albert Brooks"/>
    <x v="3013"/>
    <n v="25613"/>
    <s v="1940s|1960s|bar|kick the can|remake"/>
    <n v="121"/>
    <x v="0"/>
    <x v="0"/>
    <n v="10000000"/>
    <x v="30"/>
    <x v="20"/>
    <n v="10000000"/>
    <n v="29500000"/>
    <x v="3010"/>
    <x v="3013"/>
    <x v="9"/>
  </r>
  <r>
    <x v="1081"/>
    <n v="88"/>
    <n v="56631572"/>
    <s v="Comedy|Romance"/>
    <s v="Donald Faison"/>
    <x v="3014"/>
    <n v="123390"/>
    <s v="female protagonist|high school|makeover|matchmaker|popularity"/>
    <n v="248"/>
    <x v="0"/>
    <x v="0"/>
    <n v="12000000"/>
    <x v="33"/>
    <x v="22"/>
    <n v="12000000"/>
    <n v="56631572"/>
    <x v="3011"/>
    <x v="3014"/>
    <x v="4"/>
  </r>
  <r>
    <x v="1375"/>
    <n v="172"/>
    <n v="5023275"/>
    <s v="Adventure|Crime|Drama|Mystery|Western"/>
    <s v="Levon Helm"/>
    <x v="3015"/>
    <n v="34194"/>
    <s v="cemetery|friend|journey|mexico|promise"/>
    <n v="199"/>
    <x v="0"/>
    <x v="8"/>
    <n v="15000000"/>
    <x v="25"/>
    <x v="2"/>
    <n v="16271100"/>
    <n v="5448947.3234999999"/>
    <x v="3012"/>
    <x v="3015"/>
    <x v="0"/>
  </r>
  <r>
    <x v="1527"/>
    <n v="214"/>
    <n v="125014030"/>
    <s v="Drama|Romance"/>
    <s v="Channing Tatum"/>
    <x v="3016"/>
    <n v="145852"/>
    <s v="car accident|life support|memory loss|trauma|voice recording"/>
    <n v="164"/>
    <x v="0"/>
    <x v="0"/>
    <n v="30000000"/>
    <x v="28"/>
    <x v="22"/>
    <n v="30000000"/>
    <n v="125014030"/>
    <x v="3013"/>
    <x v="3016"/>
    <x v="5"/>
  </r>
  <r>
    <x v="884"/>
    <n v="63"/>
    <n v="115862"/>
    <s v="Drama|Romance"/>
    <s v="Jennifer Ehle"/>
    <x v="3017"/>
    <n v="7394"/>
    <s v="car crash|loss|self help group|teenage mother|title directed by female"/>
    <n v="50"/>
    <x v="0"/>
    <x v="0"/>
    <n v="6000000"/>
    <x v="16"/>
    <x v="21"/>
    <n v="6000000"/>
    <n v="115862"/>
    <x v="3014"/>
    <x v="3017"/>
    <x v="5"/>
  </r>
  <r>
    <x v="150"/>
    <n v="103"/>
    <n v="85570368"/>
    <s v="Action|Adventure|Comedy|Family|Sci-Fi"/>
    <s v="Steve Buscemi"/>
    <x v="3018"/>
    <n v="44885"/>
    <s v="island|mad scientist|scientist|sequel|spy"/>
    <n v="107"/>
    <x v="0"/>
    <x v="0"/>
    <n v="38000000"/>
    <x v="13"/>
    <x v="37"/>
    <n v="38000000"/>
    <n v="85570368"/>
    <x v="3015"/>
    <x v="3018"/>
    <x v="1"/>
  </r>
  <r>
    <x v="1528"/>
    <n v="4"/>
    <n v="2024854"/>
    <s v="Drama|Western"/>
    <s v="Emily Podleski"/>
    <x v="3019"/>
    <n v="564"/>
    <s v="estrangement|missouri|mormon|mormon church|mormon temple"/>
    <n v="21"/>
    <x v="0"/>
    <x v="0"/>
    <n v="6500000"/>
    <x v="25"/>
    <x v="14"/>
    <n v="6500000"/>
    <n v="2024854"/>
    <x v="3016"/>
    <x v="3019"/>
    <x v="5"/>
  </r>
  <r>
    <x v="746"/>
    <n v="77"/>
    <n v="4505922"/>
    <s v="Comedy|Drama"/>
    <s v="Jon Favreau"/>
    <x v="3020"/>
    <n v="63951"/>
    <s v="actor|black panties|cult film|friend|upskirt"/>
    <n v="252"/>
    <x v="0"/>
    <x v="0"/>
    <n v="200000"/>
    <x v="10"/>
    <x v="39"/>
    <n v="200000"/>
    <n v="4505922"/>
    <x v="3017"/>
    <x v="3020"/>
    <x v="4"/>
  </r>
  <r>
    <x v="1529"/>
    <n v="216"/>
    <n v="11434867"/>
    <s v="Drama|Mystery|Romance|Thriller"/>
    <s v="J.K. Simmons"/>
    <x v="3021"/>
    <n v="59637"/>
    <s v="american in paris|book|love|novel|writer"/>
    <n v="130"/>
    <x v="0"/>
    <x v="0"/>
    <n v="6000000"/>
    <x v="28"/>
    <x v="17"/>
    <n v="6000000"/>
    <n v="11434867"/>
    <x v="3018"/>
    <x v="3021"/>
    <x v="5"/>
  </r>
  <r>
    <x v="1530"/>
    <n v="73"/>
    <n v="6173485"/>
    <s v="Biography|Drama"/>
    <s v="Merab Ninidze"/>
    <x v="3022"/>
    <n v="10672"/>
    <s v="breasts|farm|jew|kenya|tween girl"/>
    <n v="84"/>
    <x v="0"/>
    <x v="5"/>
    <n v="7000000"/>
    <x v="9"/>
    <x v="9"/>
    <n v="7593180"/>
    <n v="6696626.1189000001"/>
    <x v="3019"/>
    <x v="3022"/>
    <x v="2"/>
  </r>
  <r>
    <x v="1523"/>
    <n v="94"/>
    <n v="156645693"/>
    <s v="Drama|Romance|Thriller"/>
    <s v="Fred Gwynne"/>
    <x v="3023"/>
    <n v="55101"/>
    <s v="borderline personality disorder|killing a pet|madame butterfly|new york|new york city"/>
    <n v="201"/>
    <x v="0"/>
    <x v="0"/>
    <n v="14000000"/>
    <x v="21"/>
    <x v="31"/>
    <n v="14000000"/>
    <n v="156645693"/>
    <x v="3020"/>
    <x v="3023"/>
    <x v="5"/>
  </r>
  <r>
    <x v="1531"/>
    <n v="191"/>
    <n v="15417771"/>
    <s v="Horror|Thriller"/>
    <s v="Kevin Zegers"/>
    <x v="3024"/>
    <n v="87494"/>
    <s v="forest|mountain|road|stupid victim|west virginia"/>
    <n v="540"/>
    <x v="0"/>
    <x v="0"/>
    <n v="12600000"/>
    <x v="19"/>
    <x v="7"/>
    <n v="12600000"/>
    <n v="15417771"/>
    <x v="3021"/>
    <x v="3024"/>
    <x v="6"/>
  </r>
  <r>
    <x v="1448"/>
    <n v="4"/>
    <n v="163591"/>
    <s v="Comedy"/>
    <s v="Jason Mewes"/>
    <x v="3025"/>
    <n v="912"/>
    <s v="mafia|mafia boss|mafiosi|mafioso|three word title"/>
    <n v="17"/>
    <x v="0"/>
    <x v="14"/>
    <n v="13400000"/>
    <x v="11"/>
    <x v="12"/>
    <n v="9699.8178000000007"/>
    <n v="118.41812639699999"/>
    <x v="3022"/>
    <x v="3025"/>
    <x v="4"/>
  </r>
  <r>
    <x v="142"/>
    <n v="228"/>
    <n v="40687294"/>
    <s v="Action|Crime|Drama|Mystery|Thriller"/>
    <s v="Mila Kunis"/>
    <x v="3026"/>
    <n v="107772"/>
    <s v="corporation|death|ex partner|hallucination|police detective"/>
    <n v="398"/>
    <x v="0"/>
    <x v="9"/>
    <n v="35000000"/>
    <x v="20"/>
    <x v="26"/>
    <n v="25319175"/>
    <n v="29433391.916069999"/>
    <x v="3023"/>
    <x v="3026"/>
    <x v="1"/>
  </r>
  <r>
    <x v="857"/>
    <n v="187"/>
    <n v="112703470"/>
    <s v="Comedy|Drama|Romance"/>
    <s v="Meryl Streep"/>
    <x v="3027"/>
    <n v="69860"/>
    <s v="affair|divorce|graduation|vomiting|watching television"/>
    <n v="214"/>
    <x v="0"/>
    <x v="0"/>
    <n v="85000000"/>
    <x v="16"/>
    <x v="14"/>
    <n v="85000000"/>
    <n v="112703470"/>
    <x v="3024"/>
    <x v="3027"/>
    <x v="4"/>
  </r>
  <r>
    <x v="277"/>
    <n v="94"/>
    <n v="24788807"/>
    <s v="Comedy"/>
    <s v="James Nesbitt"/>
    <x v="3028"/>
    <n v="21245"/>
    <s v="dead body|death|lottery|small town|village"/>
    <n v="213"/>
    <x v="0"/>
    <x v="2"/>
    <n v="3000000"/>
    <x v="6"/>
    <x v="39"/>
    <n v="3856199.9999999902"/>
    <n v="31863532.517799899"/>
    <x v="3025"/>
    <x v="3028"/>
    <x v="4"/>
  </r>
  <r>
    <x v="87"/>
    <n v="137"/>
    <n v="45356386"/>
    <s v="Action|Adventure|Western"/>
    <s v="Michael Emerson"/>
    <x v="3029"/>
    <n v="71574"/>
    <s v="california|fight|hero|mask|zorro"/>
    <n v="244"/>
    <x v="9"/>
    <x v="0"/>
    <n v="75000000"/>
    <x v="25"/>
    <x v="0"/>
    <n v="75000000"/>
    <n v="45356386"/>
    <x v="3026"/>
    <x v="3029"/>
    <x v="1"/>
  </r>
  <r>
    <x v="1532"/>
    <n v="138"/>
    <n v="37300107"/>
    <s v="Drama|Horror|Thriller"/>
    <s v="Leighton Meester"/>
    <x v="3030"/>
    <n v="29147"/>
    <s v="animal abuse(non graphic)|cat killer|college|dead cat|death of cat"/>
    <n v="115"/>
    <x v="0"/>
    <x v="0"/>
    <n v="16000000"/>
    <x v="22"/>
    <x v="45"/>
    <n v="16000000"/>
    <n v="37300107"/>
    <x v="3027"/>
    <x v="3030"/>
    <x v="5"/>
  </r>
  <r>
    <x v="391"/>
    <n v="121"/>
    <n v="75764085"/>
    <s v="Comedy|Drama|Fantasy|Romance"/>
    <s v="Nicolas Cage"/>
    <x v="3031"/>
    <n v="85844"/>
    <s v="bowling|christmas|parallel universe|salesman|unfaithfulness"/>
    <n v="322"/>
    <x v="0"/>
    <x v="0"/>
    <n v="60000000"/>
    <x v="4"/>
    <x v="21"/>
    <n v="60000000"/>
    <n v="75764085"/>
    <x v="3028"/>
    <x v="3031"/>
    <x v="4"/>
  </r>
  <r>
    <x v="1533"/>
    <n v="28"/>
    <n v="64148"/>
    <s v="Drama"/>
    <s v="Charlotte Rampling"/>
    <x v="3032"/>
    <n v="2601"/>
    <s v="death|ferry|lawyer|norway|vomiting"/>
    <n v="35"/>
    <x v="0"/>
    <x v="2"/>
    <n v="6500000"/>
    <x v="4"/>
    <x v="4"/>
    <n v="8355099.9999999898"/>
    <n v="82455.8391999999"/>
    <x v="3029"/>
    <x v="3032"/>
    <x v="5"/>
  </r>
  <r>
    <x v="366"/>
    <n v="154"/>
    <n v="39200000"/>
    <s v="Comedy|Romance"/>
    <s v="Woody Allen"/>
    <x v="3033"/>
    <n v="192940"/>
    <s v="breaking the fourth wall|comedian|jewish|neurosis|singer"/>
    <n v="491"/>
    <x v="0"/>
    <x v="0"/>
    <n v="4000000"/>
    <x v="35"/>
    <x v="40"/>
    <n v="4000000"/>
    <n v="39200000"/>
    <x v="3030"/>
    <x v="3033"/>
    <x v="4"/>
  </r>
  <r>
    <x v="484"/>
    <n v="106"/>
    <n v="11146409"/>
    <s v="Action|Adventure|Horror|Sci-Fi"/>
    <s v="Djimon Hounsou"/>
    <x v="3034"/>
    <n v="26551"/>
    <s v="creature feature|hijacker|ocean|ship|shot in the leg"/>
    <n v="273"/>
    <x v="0"/>
    <x v="0"/>
    <n v="45000000"/>
    <x v="6"/>
    <x v="11"/>
    <n v="45000000"/>
    <n v="11146409"/>
    <x v="3031"/>
    <x v="3034"/>
    <x v="1"/>
  </r>
  <r>
    <x v="32"/>
    <n v="267"/>
    <n v="53337608"/>
    <s v="Animation|Drama|Family|Fantasy|Musical|Romance"/>
    <s v="Johnny Depp"/>
    <x v="3035"/>
    <n v="188785"/>
    <s v="arranged marriage|bride|corpse|groom|woods"/>
    <n v="467"/>
    <x v="0"/>
    <x v="0"/>
    <n v="40000000"/>
    <x v="25"/>
    <x v="39"/>
    <n v="40000000"/>
    <n v="53337608"/>
    <x v="3032"/>
    <x v="3035"/>
    <x v="8"/>
  </r>
  <r>
    <x v="302"/>
    <n v="62"/>
    <n v="24944213"/>
    <s v="Comedy|Sport"/>
    <s v="Bill Murray"/>
    <x v="3036"/>
    <n v="63459"/>
    <s v="amish|bowling|on the road|rubber hand|tournament"/>
    <n v="185"/>
    <x v="0"/>
    <x v="0"/>
    <n v="27000000"/>
    <x v="10"/>
    <x v="31"/>
    <n v="27000000"/>
    <n v="24944213"/>
    <x v="3033"/>
    <x v="3036"/>
    <x v="4"/>
  </r>
  <r>
    <x v="1534"/>
    <n v="248"/>
    <n v="2221809"/>
    <s v="Drama"/>
    <s v="Dianne Wiest"/>
    <x v="3037"/>
    <n v="40618"/>
    <s v="car|comic book|comic book artist|iphone|memory"/>
    <n v="144"/>
    <x v="0"/>
    <x v="0"/>
    <n v="5000000"/>
    <x v="11"/>
    <x v="16"/>
    <n v="5000000"/>
    <n v="2221809"/>
    <x v="3034"/>
    <x v="3037"/>
    <x v="5"/>
  </r>
  <r>
    <x v="268"/>
    <n v="51"/>
    <n v="33357476"/>
    <s v="Action|Comedy|Crime|Family"/>
    <s v="Leslie Bibb"/>
    <x v="3038"/>
    <n v="7392"/>
    <s v="boy|fbi|mailman|van|witness protection"/>
    <n v="53"/>
    <x v="0"/>
    <x v="0"/>
    <n v="35000000"/>
    <x v="9"/>
    <x v="26"/>
    <n v="35000000"/>
    <n v="33357476"/>
    <x v="3035"/>
    <x v="3038"/>
    <x v="1"/>
  </r>
  <r>
    <x v="232"/>
    <n v="79"/>
    <n v="136448821"/>
    <s v="Crime|Thriller"/>
    <s v="Lili Taylor"/>
    <x v="3039"/>
    <n v="98989"/>
    <s v="bounty|fbi|millionaire|money|ransom"/>
    <n v="158"/>
    <x v="0"/>
    <x v="0"/>
    <n v="80000000"/>
    <x v="10"/>
    <x v="14"/>
    <n v="80000000"/>
    <n v="136448821"/>
    <x v="3036"/>
    <x v="3039"/>
    <x v="3"/>
  </r>
  <r>
    <x v="1535"/>
    <n v="1"/>
    <n v="14616"/>
    <s v="Drama"/>
    <s v="Christopher Lambert"/>
    <x v="3040"/>
    <n v="314"/>
    <s v=""/>
    <n v="10"/>
    <x v="0"/>
    <x v="0"/>
    <n v="12000000"/>
    <x v="1"/>
    <x v="2"/>
    <n v="12000000"/>
    <n v="14616"/>
    <x v="3037"/>
    <x v="3040"/>
    <x v="5"/>
  </r>
  <r>
    <x v="1536"/>
    <n v="92"/>
    <n v="16017403"/>
    <s v="Drama|Romance|Thriller"/>
    <s v="Mekhi Phifer"/>
    <x v="3041"/>
    <n v="17333"/>
    <s v="basketball|basketball player|boarding school|love|shakespeare's othello"/>
    <n v="153"/>
    <x v="0"/>
    <x v="0"/>
    <n v="5000000"/>
    <x v="9"/>
    <x v="5"/>
    <n v="5000000"/>
    <n v="16017403"/>
    <x v="3038"/>
    <x v="3041"/>
    <x v="5"/>
  </r>
  <r>
    <x v="1537"/>
    <n v="28"/>
    <n v="777423"/>
    <s v="Biography|Drama|Sport"/>
    <s v="Billy Burke"/>
    <x v="3042"/>
    <n v="5841"/>
    <s v="car crash|coach|death|oregon|university of oregon"/>
    <n v="57"/>
    <x v="0"/>
    <x v="0"/>
    <n v="25000000"/>
    <x v="6"/>
    <x v="33"/>
    <n v="25000000"/>
    <n v="777423"/>
    <x v="3039"/>
    <x v="3042"/>
    <x v="2"/>
  </r>
  <r>
    <x v="273"/>
    <n v="434"/>
    <n v="200069408"/>
    <s v="Action|Adventure|Sci-Fi"/>
    <s v="Kevin Spacey"/>
    <x v="3043"/>
    <n v="240396"/>
    <s v="crystal|epic|lex luthor|lois lane|return to earth"/>
    <n v="2367"/>
    <x v="0"/>
    <x v="0"/>
    <n v="209000000"/>
    <x v="7"/>
    <x v="7"/>
    <n v="209000000"/>
    <n v="200069408"/>
    <x v="3040"/>
    <x v="3043"/>
    <x v="1"/>
  </r>
  <r>
    <x v="1538"/>
    <n v="75"/>
    <n v="43984230"/>
    <s v="Biography|Drama|History"/>
    <s v="Cary-Hiroyuki Tagawa"/>
    <x v="3044"/>
    <n v="70274"/>
    <s v="abdication|china|emperor|forbidden city|republic"/>
    <n v="133"/>
    <x v="0"/>
    <x v="6"/>
    <n v="23000000"/>
    <x v="21"/>
    <x v="38"/>
    <n v="3180529.6999999899"/>
    <n v="6082310.86289699"/>
    <x v="3041"/>
    <x v="3044"/>
    <x v="2"/>
  </r>
  <r>
    <x v="1539"/>
    <n v="136"/>
    <n v="7691700"/>
    <s v="Drama|War"/>
    <s v="Kristin Scott Thomas"/>
    <x v="3045"/>
    <n v="12937"/>
    <s v="apartment|escape|jewish family|journalist|key"/>
    <n v="73"/>
    <x v="4"/>
    <x v="8"/>
    <n v="10000000"/>
    <x v="11"/>
    <x v="2"/>
    <n v="10847400"/>
    <n v="8343494.6579999998"/>
    <x v="3042"/>
    <x v="3045"/>
    <x v="5"/>
  </r>
  <r>
    <x v="1540"/>
    <n v="70"/>
    <n v="85884815"/>
    <s v="Adventure|Animation|Comedy|Family|Fantasy|Music"/>
    <s v="Bella Thorne"/>
    <x v="3046"/>
    <n v="9418"/>
    <s v="chipmunk|highway travel|on the road|plane|road movie"/>
    <n v="53"/>
    <x v="0"/>
    <x v="0"/>
    <n v="90000000"/>
    <x v="1"/>
    <x v="53"/>
    <n v="90000000"/>
    <n v="85884815"/>
    <x v="3043"/>
    <x v="3046"/>
    <x v="0"/>
  </r>
  <r>
    <x v="472"/>
    <n v="64"/>
    <n v="57504069"/>
    <s v="Crime|Drama"/>
    <s v="John Cothran"/>
    <x v="3047"/>
    <n v="94139"/>
    <s v="drugs|escape|football|friend|violence"/>
    <n v="183"/>
    <x v="0"/>
    <x v="0"/>
    <n v="6000000"/>
    <x v="38"/>
    <x v="38"/>
    <n v="6000000"/>
    <n v="57504069"/>
    <x v="3044"/>
    <x v="3047"/>
    <x v="3"/>
  </r>
  <r>
    <x v="301"/>
    <n v="191"/>
    <n v="242589580"/>
    <s v="Comedy|Drama"/>
    <s v="Morgan Freeman"/>
    <x v="3048"/>
    <n v="296904"/>
    <s v="answer to prayer|breast expansion|pleading with god|supernatural power|walking on water"/>
    <n v="604"/>
    <x v="0"/>
    <x v="0"/>
    <n v="81000000"/>
    <x v="19"/>
    <x v="21"/>
    <n v="81000000"/>
    <n v="242589580"/>
    <x v="3045"/>
    <x v="3048"/>
    <x v="4"/>
  </r>
  <r>
    <x v="122"/>
    <n v="324"/>
    <n v="31838002"/>
    <s v="Biography|Drama|History"/>
    <s v="James Franco"/>
    <x v="3049"/>
    <n v="136673"/>
    <s v="california|gay|gay activist|gay pickup|gay rights"/>
    <n v="281"/>
    <x v="0"/>
    <x v="0"/>
    <n v="20000000"/>
    <x v="20"/>
    <x v="10"/>
    <n v="20000000"/>
    <n v="31838002"/>
    <x v="3046"/>
    <x v="3049"/>
    <x v="2"/>
  </r>
  <r>
    <x v="193"/>
    <n v="96"/>
    <n v="11433134"/>
    <s v="Adventure|Drama|Thriller|War"/>
    <s v="JÃ¼rgen Prochnow"/>
    <x v="3050"/>
    <n v="168203"/>
    <s v="duty|submarine|submarine movie|tension|u boat"/>
    <n v="426"/>
    <x v="7"/>
    <x v="41"/>
    <n v="14000000"/>
    <x v="43"/>
    <x v="25"/>
    <n v="15186360"/>
    <n v="12401977.77516"/>
    <x v="3047"/>
    <x v="3050"/>
    <x v="0"/>
  </r>
  <r>
    <x v="895"/>
    <n v="56"/>
    <n v="50800000"/>
    <s v="Drama|History|War"/>
    <s v="Ryan O'Neal"/>
    <x v="3051"/>
    <n v="40277"/>
    <s v="airborne troops|allies|operation market garden|panzer|paratrooper"/>
    <n v="210"/>
    <x v="0"/>
    <x v="0"/>
    <n v="26000000"/>
    <x v="35"/>
    <x v="39"/>
    <n v="26000000"/>
    <n v="50800000"/>
    <x v="3048"/>
    <x v="3051"/>
    <x v="5"/>
  </r>
  <r>
    <x v="1541"/>
    <n v="127"/>
    <n v="23020488"/>
    <s v="Action|Comedy|Fantasy"/>
    <s v="Jaime King"/>
    <x v="3052"/>
    <n v="42324"/>
    <s v="monastery|monk|scroll|tibetan|tibetan monk"/>
    <n v="180"/>
    <x v="0"/>
    <x v="0"/>
    <n v="52000000"/>
    <x v="19"/>
    <x v="28"/>
    <n v="52000000"/>
    <n v="23020488"/>
    <x v="3049"/>
    <x v="3052"/>
    <x v="1"/>
  </r>
  <r>
    <x v="333"/>
    <n v="86"/>
    <n v="9589875"/>
    <s v="Biography|Drama|Sport"/>
    <s v="Dennis Quaid"/>
    <x v="3053"/>
    <n v="16673"/>
    <s v="african american|coach|football movie|nonlinear timeline|syracuse university"/>
    <n v="45"/>
    <x v="0"/>
    <x v="0"/>
    <n v="40000000"/>
    <x v="20"/>
    <x v="4"/>
    <n v="40000000"/>
    <n v="9589875"/>
    <x v="3050"/>
    <x v="3053"/>
    <x v="2"/>
  </r>
  <r>
    <x v="102"/>
    <n v="58"/>
    <n v="6563357"/>
    <s v="Adventure|Comedy"/>
    <s v="Kevin Alejandro"/>
    <x v="3054"/>
    <n v="18571"/>
    <s v="bigfoot|critically bashed|ecuador|friend|tv show"/>
    <n v="120"/>
    <x v="0"/>
    <x v="0"/>
    <n v="20000000"/>
    <x v="20"/>
    <x v="1"/>
    <n v="20000000"/>
    <n v="6563357"/>
    <x v="3051"/>
    <x v="3054"/>
    <x v="0"/>
  </r>
  <r>
    <x v="1193"/>
    <n v="52"/>
    <n v="65182182"/>
    <s v="Comedy|Romance"/>
    <s v="Romany Malco"/>
    <x v="3055"/>
    <n v="15310"/>
    <s v="african american|imperative in title|las vegas nevada|nevada|wedding"/>
    <n v="38"/>
    <x v="0"/>
    <x v="0"/>
    <n v="24000000"/>
    <x v="27"/>
    <x v="35"/>
    <n v="24000000"/>
    <n v="65182182"/>
    <x v="3052"/>
    <x v="3055"/>
    <x v="4"/>
  </r>
  <r>
    <x v="1542"/>
    <n v="173"/>
    <n v="38108"/>
    <s v="Horror|Mystery|Sci-Fi|Thriller"/>
    <s v="Karra Elejalde"/>
    <x v="3056"/>
    <n v="40878"/>
    <s v="binoculars|hitchcockian|scissors|time machine|woods"/>
    <n v="124"/>
    <x v="9"/>
    <x v="12"/>
    <n v="2600000"/>
    <x v="15"/>
    <x v="33"/>
    <n v="2820324"/>
    <n v="41337.271919999999"/>
    <x v="3053"/>
    <x v="3056"/>
    <x v="6"/>
  </r>
  <r>
    <x v="759"/>
    <n v="163"/>
    <n v="128200012"/>
    <s v="Adventure|Animation|Comedy|Family|Sci-Fi"/>
    <s v="Jim Broadbent"/>
    <x v="3057"/>
    <n v="103022"/>
    <s v="actor voicing multiple characters|box office hit|coffee|plate|robot"/>
    <n v="269"/>
    <x v="0"/>
    <x v="0"/>
    <n v="75000000"/>
    <x v="25"/>
    <x v="23"/>
    <n v="75000000"/>
    <n v="128200012"/>
    <x v="3054"/>
    <x v="3057"/>
    <x v="0"/>
  </r>
  <r>
    <x v="1543"/>
    <n v="144"/>
    <n v="17768000"/>
    <s v="Horror|Thriller"/>
    <s v="Donald Pleasence"/>
    <x v="3058"/>
    <n v="29629"/>
    <s v="halloween|michael myers|murder|niece|october"/>
    <n v="374"/>
    <x v="0"/>
    <x v="0"/>
    <n v="5000000"/>
    <x v="34"/>
    <x v="0"/>
    <n v="5000000"/>
    <n v="17768000"/>
    <x v="3055"/>
    <x v="3058"/>
    <x v="6"/>
  </r>
  <r>
    <x v="1544"/>
    <n v="41"/>
    <n v="1046166"/>
    <s v="Comedy|Music|Romance"/>
    <s v="Fisher Stevens"/>
    <x v="3059"/>
    <n v="2599"/>
    <s v="bare chested male|box office flop|diner|german shepherd|one word title"/>
    <n v="45"/>
    <x v="0"/>
    <x v="5"/>
    <n v="9000000"/>
    <x v="25"/>
    <x v="32"/>
    <n v="9762660"/>
    <n v="1134818.10684"/>
    <x v="3056"/>
    <x v="3059"/>
    <x v="4"/>
  </r>
  <r>
    <x v="804"/>
    <n v="188"/>
    <n v="24004159"/>
    <s v="Action|Adventure|Comedy"/>
    <s v="Jim Broadbent"/>
    <x v="3060"/>
    <n v="68720"/>
    <s v="19th century|around the world|inventor|martial arts|train"/>
    <n v="191"/>
    <x v="0"/>
    <x v="0"/>
    <n v="110000000"/>
    <x v="2"/>
    <x v="30"/>
    <n v="110000000"/>
    <n v="24004159"/>
    <x v="3057"/>
    <x v="3060"/>
    <x v="1"/>
  </r>
  <r>
    <x v="281"/>
    <n v="525"/>
    <n v="234903076"/>
    <s v="Adventure|Family|Fantasy"/>
    <s v="Tim Holmes"/>
    <x v="728"/>
    <n v="175413"/>
    <s v="circus|magic|magician|oz|witch"/>
    <n v="511"/>
    <x v="0"/>
    <x v="0"/>
    <n v="215000000"/>
    <x v="0"/>
    <x v="24"/>
    <n v="215000000"/>
    <n v="234903076"/>
    <x v="728"/>
    <x v="728"/>
    <x v="0"/>
  </r>
  <r>
    <x v="1545"/>
    <n v="190"/>
    <n v="23993605"/>
    <s v="Comedy|Crime|Drama"/>
    <s v="Collette Wolfe"/>
    <x v="3061"/>
    <n v="52467"/>
    <s v="male pubic hair|mall|police detective|pubic hair|security guard"/>
    <n v="248"/>
    <x v="0"/>
    <x v="0"/>
    <n v="18000000"/>
    <x v="16"/>
    <x v="30"/>
    <n v="18000000"/>
    <n v="23993605"/>
    <x v="3058"/>
    <x v="3061"/>
    <x v="4"/>
  </r>
  <r>
    <x v="10"/>
    <n v="314"/>
    <n v="65007045"/>
    <s v="Action|Adventure|Drama"/>
    <s v="Christian Bale"/>
    <x v="1061"/>
    <n v="128694"/>
    <s v="egypt|exodus|moses|pharaoh|plague"/>
    <n v="657"/>
    <x v="0"/>
    <x v="2"/>
    <n v="140000000"/>
    <x v="27"/>
    <x v="7"/>
    <n v="179955999.99999899"/>
    <n v="83560055.642999902"/>
    <x v="1061"/>
    <x v="1061"/>
    <x v="1"/>
  </r>
  <r>
    <x v="1546"/>
    <n v="5"/>
    <n v="11784000"/>
    <s v="Action|Comedy|Family"/>
    <s v="Victor Wong"/>
    <x v="3062"/>
    <n v="6701"/>
    <s v="1990s|dagger|japan|mousetrap|stick fight"/>
    <n v="26"/>
    <x v="0"/>
    <x v="0"/>
    <n v="20000000"/>
    <x v="5"/>
    <x v="46"/>
    <n v="20000000"/>
    <n v="11784000"/>
    <x v="3059"/>
    <x v="3062"/>
    <x v="1"/>
  </r>
  <r>
    <x v="209"/>
    <n v="93"/>
    <n v="3049135"/>
    <s v="Biography|Crime|Drama|Romance|Thriller"/>
    <s v="Kate Winslet"/>
    <x v="3063"/>
    <n v="50197"/>
    <s v="fantasy life|friend|friendship|love|teenage crush"/>
    <n v="265"/>
    <x v="0"/>
    <x v="11"/>
    <n v="5000000"/>
    <x v="5"/>
    <x v="39"/>
    <n v="2943725"/>
    <n v="1795162.98557499"/>
    <x v="3060"/>
    <x v="3063"/>
    <x v="2"/>
  </r>
  <r>
    <x v="257"/>
    <n v="110"/>
    <n v="7022940"/>
    <s v="Comedy|Drama|Romance"/>
    <s v="Scott Cohen"/>
    <x v="3064"/>
    <n v="14018"/>
    <s v="friend|friendship|journalist|new york city|personal ad"/>
    <n v="190"/>
    <x v="0"/>
    <x v="0"/>
    <n v="1000000"/>
    <x v="9"/>
    <x v="21"/>
    <n v="1000000"/>
    <n v="7022940"/>
    <x v="3061"/>
    <x v="3064"/>
    <x v="4"/>
  </r>
  <r>
    <x v="814"/>
    <n v="47"/>
    <n v="20550712"/>
    <s v="Action|Drama|Sci-Fi|Thriller"/>
    <s v="Keanu Reeves"/>
    <x v="3065"/>
    <n v="40346"/>
    <s v="cold fusion|die hard scenario|man with glasses|on the run|outrunning explosion"/>
    <n v="95"/>
    <x v="0"/>
    <x v="0"/>
    <n v="50000000"/>
    <x v="10"/>
    <x v="15"/>
    <n v="50000000"/>
    <n v="20550712"/>
    <x v="3062"/>
    <x v="3065"/>
    <x v="1"/>
  </r>
  <r>
    <x v="77"/>
    <n v="154"/>
    <n v="180965237"/>
    <s v="Action|Adventure|Thriller"/>
    <s v="Tom Cruise"/>
    <x v="3066"/>
    <n v="300542"/>
    <s v="disguise|mission|spy|stealing|traitor"/>
    <n v="378"/>
    <x v="0"/>
    <x v="0"/>
    <n v="80000000"/>
    <x v="10"/>
    <x v="17"/>
    <n v="80000000"/>
    <n v="180965237"/>
    <x v="3063"/>
    <x v="3066"/>
    <x v="1"/>
  </r>
  <r>
    <x v="227"/>
    <n v="61"/>
    <n v="11000000"/>
    <s v="Action|Adventure|Comedy"/>
    <s v="Christopher Masterson"/>
    <x v="3067"/>
    <n v="21102"/>
    <s v="latin|pirate|pirate ship|treasure|treasure map"/>
    <n v="169"/>
    <x v="0"/>
    <x v="0"/>
    <n v="98000000"/>
    <x v="33"/>
    <x v="15"/>
    <n v="98000000"/>
    <n v="11000000"/>
    <x v="3064"/>
    <x v="3067"/>
    <x v="1"/>
  </r>
  <r>
    <x v="1335"/>
    <n v="119"/>
    <n v="65557989"/>
    <s v="Action|Adventure|Horror|Thriller"/>
    <s v="Frank Welker"/>
    <x v="3068"/>
    <n v="73539"/>
    <s v="amazon|anaconda|boat|jungle|snake"/>
    <n v="271"/>
    <x v="0"/>
    <x v="0"/>
    <n v="45000000"/>
    <x v="31"/>
    <x v="34"/>
    <n v="45000000"/>
    <n v="65557989"/>
    <x v="3065"/>
    <x v="3068"/>
    <x v="1"/>
  </r>
  <r>
    <x v="1547"/>
    <n v="141"/>
    <n v="26876529"/>
    <s v="Horror|Mystery"/>
    <s v="Johnny Lewis"/>
    <x v="3069"/>
    <n v="26624"/>
    <s v="death|lifting someone into the air|telephone|telephone call|voice mail"/>
    <n v="189"/>
    <x v="0"/>
    <x v="15"/>
    <n v="27000000"/>
    <x v="20"/>
    <x v="52"/>
    <n v="175408.2"/>
    <n v="174606.05830139999"/>
    <x v="3066"/>
    <x v="3069"/>
    <x v="6"/>
  </r>
  <r>
    <x v="1548"/>
    <n v="60"/>
    <n v="36830"/>
    <s v="Adventure|Comedy|Horror"/>
    <s v="Zak Penn"/>
    <x v="3070"/>
    <n v="3291"/>
    <s v="boat|director|loch ness|loch ness monster|monster"/>
    <n v="63"/>
    <x v="0"/>
    <x v="2"/>
    <n v="1400000"/>
    <x v="2"/>
    <x v="14"/>
    <n v="1799559.99999999"/>
    <n v="47341.281999999897"/>
    <x v="3067"/>
    <x v="3070"/>
    <x v="0"/>
  </r>
  <r>
    <x v="63"/>
    <n v="81"/>
    <n v="6241697"/>
    <s v="Comedy"/>
    <s v="Ryan Reynolds"/>
    <x v="3071"/>
    <n v="16059"/>
    <s v="political cover up|political satire|teenage girl|white house|witness"/>
    <n v="210"/>
    <x v="0"/>
    <x v="8"/>
    <n v="13000000"/>
    <x v="12"/>
    <x v="7"/>
    <n v="14101620"/>
    <n v="6770618.4037800003"/>
    <x v="3068"/>
    <x v="3071"/>
    <x v="4"/>
  </r>
  <r>
    <x v="531"/>
    <n v="78"/>
    <n v="22843047"/>
    <s v="Drama|History|Horror"/>
    <s v="Oprah Winfrey"/>
    <x v="3072"/>
    <n v="6082"/>
    <s v="farm|freedom|ohio|slavery|spirit"/>
    <n v="207"/>
    <x v="0"/>
    <x v="0"/>
    <n v="55000000"/>
    <x v="6"/>
    <x v="0"/>
    <n v="55000000"/>
    <n v="22843047"/>
    <x v="3069"/>
    <x v="3072"/>
    <x v="5"/>
  </r>
  <r>
    <x v="1549"/>
    <n v="197"/>
    <n v="13763130"/>
    <s v="Action|Crime|Sci-Fi|Thriller"/>
    <s v="Alice Braga"/>
    <x v="3073"/>
    <n v="87768"/>
    <s v="artificial organ|best friend|enforcer|future|near future"/>
    <n v="187"/>
    <x v="0"/>
    <x v="0"/>
    <n v="32000000"/>
    <x v="11"/>
    <x v="23"/>
    <n v="32000000"/>
    <n v="13763130"/>
    <x v="3070"/>
    <x v="3073"/>
    <x v="1"/>
  </r>
  <r>
    <x v="1550"/>
    <n v="209"/>
    <n v="27667947"/>
    <s v="Crime|Drama|Thriller"/>
    <s v="Li Gong"/>
    <x v="3074"/>
    <n v="86374"/>
    <s v="aunt|cannibalism|faked death|medical student|revenge"/>
    <n v="392"/>
    <x v="0"/>
    <x v="2"/>
    <n v="50000000"/>
    <x v="15"/>
    <x v="5"/>
    <n v="64269999.999999903"/>
    <n v="35564379.073799998"/>
    <x v="3071"/>
    <x v="3074"/>
    <x v="3"/>
  </r>
  <r>
    <x v="1225"/>
    <n v="48"/>
    <n v="53854588"/>
    <s v="Comedy|Drama|Romance|Sport"/>
    <s v="Don Johnson"/>
    <x v="3075"/>
    <n v="37911"/>
    <s v="driving range|golf|golfer|tournament|winnebago"/>
    <n v="73"/>
    <x v="0"/>
    <x v="0"/>
    <n v="45000000"/>
    <x v="10"/>
    <x v="23"/>
    <n v="45000000"/>
    <n v="53854588"/>
    <x v="3072"/>
    <x v="3075"/>
    <x v="4"/>
  </r>
  <r>
    <x v="351"/>
    <n v="55"/>
    <n v="81022333"/>
    <s v="Action|Adventure|Mystery|Sci-Fi"/>
    <s v="Dylan Walsh"/>
    <x v="3076"/>
    <n v="34471"/>
    <s v="captain|congo|expedition|laser|lost city"/>
    <n v="147"/>
    <x v="0"/>
    <x v="0"/>
    <n v="50000000"/>
    <x v="33"/>
    <x v="53"/>
    <n v="50000000"/>
    <n v="81022333"/>
    <x v="3073"/>
    <x v="3076"/>
    <x v="1"/>
  </r>
  <r>
    <x v="671"/>
    <n v="222"/>
    <n v="127706877"/>
    <s v="Animation|Comedy|Family|Fantasy|Musical|Romance"/>
    <s v="Jeff Bennett"/>
    <x v="3077"/>
    <n v="142496"/>
    <s v="fairy tale|lawyer|love|new york|prince"/>
    <n v="399"/>
    <x v="0"/>
    <x v="0"/>
    <n v="85000000"/>
    <x v="15"/>
    <x v="17"/>
    <n v="85000000"/>
    <n v="127706877"/>
    <x v="3074"/>
    <x v="3077"/>
    <x v="8"/>
  </r>
  <r>
    <x v="900"/>
    <n v="350"/>
    <n v="5749134"/>
    <s v="Action|Crime|Drama|Thriller"/>
    <s v="David Oyelowo"/>
    <x v="3078"/>
    <n v="45799"/>
    <s v="american dream|immigrant|new york city|oil|violence"/>
    <n v="180"/>
    <x v="0"/>
    <x v="0"/>
    <n v="20000000"/>
    <x v="27"/>
    <x v="16"/>
    <n v="20000000"/>
    <n v="5749134"/>
    <x v="3075"/>
    <x v="3078"/>
    <x v="1"/>
  </r>
  <r>
    <x v="302"/>
    <n v="124"/>
    <n v="42071069"/>
    <s v="Comedy|Drama|Romance|Sport"/>
    <s v="Jimmy Fallon"/>
    <x v="3079"/>
    <n v="36223"/>
    <s v="baltimore orioles|boston red sox|promotion|ups|world series"/>
    <n v="208"/>
    <x v="0"/>
    <x v="0"/>
    <n v="30000000"/>
    <x v="25"/>
    <x v="5"/>
    <n v="30000000"/>
    <n v="42071069"/>
    <x v="3076"/>
    <x v="3079"/>
    <x v="4"/>
  </r>
  <r>
    <x v="1551"/>
    <n v="16"/>
    <n v="872643"/>
    <s v="Comedy|Family|Romance"/>
    <s v="Saif Ali Khan"/>
    <x v="3080"/>
    <n v="2909"/>
    <s v="comeback|family relationships|marriage|new york|racer"/>
    <n v="37"/>
    <x v="5"/>
    <x v="0"/>
    <n v="6000000"/>
    <x v="15"/>
    <x v="26"/>
    <n v="6000000"/>
    <n v="872643"/>
    <x v="3077"/>
    <x v="3080"/>
    <x v="4"/>
  </r>
  <r>
    <x v="349"/>
    <n v="252"/>
    <n v="20433940"/>
    <s v="Horror"/>
    <s v="Tony Nappo"/>
    <x v="3081"/>
    <n v="78883"/>
    <s v="apocalypse|mercenary|skyscraper|urban setting|zombie apocalypse"/>
    <n v="662"/>
    <x v="0"/>
    <x v="9"/>
    <n v="15000000"/>
    <x v="25"/>
    <x v="5"/>
    <n v="10851075"/>
    <n v="14782014.3656999"/>
    <x v="3078"/>
    <x v="3081"/>
    <x v="6"/>
  </r>
  <r>
    <x v="185"/>
    <n v="83"/>
    <n v="14060950"/>
    <s v="Drama"/>
    <s v="Gabriel Millman"/>
    <x v="3082"/>
    <n v="14354"/>
    <s v="classroom|fund raising|headmaster|reunion|roman"/>
    <n v="139"/>
    <x v="0"/>
    <x v="0"/>
    <n v="12500000"/>
    <x v="13"/>
    <x v="31"/>
    <n v="12500000"/>
    <n v="14060950"/>
    <x v="3079"/>
    <x v="3082"/>
    <x v="5"/>
  </r>
  <r>
    <x v="391"/>
    <n v="334"/>
    <n v="234360014"/>
    <s v="Action|Adventure|Fantasy|Sci-Fi|Thriller"/>
    <s v="Hugh Jackman"/>
    <x v="3083"/>
    <n v="383427"/>
    <s v="battle|mutant|outrage|walking through a wall|x men"/>
    <n v="1912"/>
    <x v="0"/>
    <x v="9"/>
    <n v="210000000"/>
    <x v="7"/>
    <x v="22"/>
    <n v="151915050"/>
    <n v="169537205.92767"/>
    <x v="3080"/>
    <x v="3083"/>
    <x v="1"/>
  </r>
  <r>
    <x v="745"/>
    <n v="66"/>
    <n v="42877165"/>
    <s v="Action|Crime|Drama|Thriller"/>
    <s v="Harrison Ford"/>
    <x v="3084"/>
    <n v="45602"/>
    <s v="friendship|murder|northern ireland|police officer|terrorist"/>
    <n v="114"/>
    <x v="0"/>
    <x v="0"/>
    <n v="86000000"/>
    <x v="31"/>
    <x v="7"/>
    <n v="86000000"/>
    <n v="42877165"/>
    <x v="3081"/>
    <x v="3084"/>
    <x v="1"/>
  </r>
  <r>
    <x v="106"/>
    <n v="142"/>
    <n v="48291624"/>
    <s v="Comedy|Fantasy|Romance"/>
    <s v="Jon Heder"/>
    <x v="3085"/>
    <n v="82819"/>
    <s v="apartment|architect|coma|doctor|spirit"/>
    <n v="263"/>
    <x v="0"/>
    <x v="0"/>
    <n v="58000000"/>
    <x v="25"/>
    <x v="21"/>
    <n v="58000000"/>
    <n v="48291624"/>
    <x v="3082"/>
    <x v="3085"/>
    <x v="4"/>
  </r>
  <r>
    <x v="435"/>
    <n v="204"/>
    <n v="103028109"/>
    <s v="Comedy|Romance"/>
    <s v="Adam Sandler"/>
    <x v="3086"/>
    <n v="172878"/>
    <s v="chick flick|hawaii|love|plastic surgeon|woman wearing a string bikini"/>
    <n v="203"/>
    <x v="0"/>
    <x v="0"/>
    <n v="80000000"/>
    <x v="22"/>
    <x v="24"/>
    <n v="80000000"/>
    <n v="103028109"/>
    <x v="3083"/>
    <x v="3086"/>
    <x v="4"/>
  </r>
  <r>
    <x v="1080"/>
    <n v="144"/>
    <n v="10824921"/>
    <s v="Comedy"/>
    <s v="Gary Cole"/>
    <x v="3087"/>
    <n v="200293"/>
    <s v="boss|computer|downsizing|neighbor|office"/>
    <n v="621"/>
    <x v="0"/>
    <x v="0"/>
    <n v="10000000"/>
    <x v="12"/>
    <x v="38"/>
    <n v="10000000"/>
    <n v="10824921"/>
    <x v="3084"/>
    <x v="3087"/>
    <x v="4"/>
  </r>
  <r>
    <x v="1552"/>
    <n v="159"/>
    <n v="22201636"/>
    <s v="Crime|Drama|Music"/>
    <s v="Isaac Hayes"/>
    <x v="3088"/>
    <n v="33567"/>
    <s v="baby|friend|hip hop|pimp|stripper"/>
    <n v="206"/>
    <x v="0"/>
    <x v="0"/>
    <n v="8000000"/>
    <x v="25"/>
    <x v="39"/>
    <n v="8000000"/>
    <n v="22201636"/>
    <x v="3085"/>
    <x v="3088"/>
    <x v="3"/>
  </r>
  <r>
    <x v="1553"/>
    <n v="24"/>
    <n v="11144518"/>
    <s v="Adventure|Family"/>
    <s v="Trevor Morgan"/>
    <x v="3089"/>
    <n v="2724"/>
    <s v="apostrophe in title|critically bashed|hit on the head with a ball|punctuation in title|tyrannosaurus rex"/>
    <n v="53"/>
    <x v="0"/>
    <x v="9"/>
    <n v="15000000"/>
    <x v="6"/>
    <x v="58"/>
    <n v="10851075"/>
    <n v="8062000.0437899996"/>
    <x v="3086"/>
    <x v="3089"/>
    <x v="0"/>
  </r>
  <r>
    <x v="1554"/>
    <n v="79"/>
    <n v="19819494"/>
    <s v="Action|Crime|Drama|Thriller"/>
    <s v="Morgan Freeman"/>
    <x v="3090"/>
    <n v="26893"/>
    <s v="dam|flood|money|police|sheriff"/>
    <n v="126"/>
    <x v="0"/>
    <x v="0"/>
    <n v="70000000"/>
    <x v="6"/>
    <x v="30"/>
    <n v="70000000"/>
    <n v="19819494"/>
    <x v="3087"/>
    <x v="3090"/>
    <x v="1"/>
  </r>
  <r>
    <x v="180"/>
    <n v="335"/>
    <n v="49874933"/>
    <s v="Comedy|Crime|Drama"/>
    <s v="Dwayne Johnson"/>
    <x v="3091"/>
    <n v="161168"/>
    <s v="american dream|bodybuilder|money|punch into the camera|reference to julia roberts"/>
    <n v="287"/>
    <x v="0"/>
    <x v="0"/>
    <n v="26000000"/>
    <x v="0"/>
    <x v="20"/>
    <n v="26000000"/>
    <n v="49874933"/>
    <x v="3088"/>
    <x v="3091"/>
    <x v="4"/>
  </r>
  <r>
    <x v="502"/>
    <n v="66"/>
    <n v="35990505"/>
    <s v="Comedy|Drama|Family|Romance"/>
    <s v="Colin Firth"/>
    <x v="3092"/>
    <n v="48095"/>
    <s v="american|daughter|england|father|politician"/>
    <n v="194"/>
    <x v="0"/>
    <x v="0"/>
    <n v="20000000"/>
    <x v="19"/>
    <x v="30"/>
    <n v="20000000"/>
    <n v="35990505"/>
    <x v="3089"/>
    <x v="3092"/>
    <x v="4"/>
  </r>
  <r>
    <x v="1555"/>
    <n v="179"/>
    <n v="35918429"/>
    <s v="Crime|Drama"/>
    <s v="Tom Wilkinson"/>
    <x v="3093"/>
    <n v="32415"/>
    <s v="doctor|maine|only son|school choir|summer"/>
    <n v="510"/>
    <x v="0"/>
    <x v="0"/>
    <n v="1700000"/>
    <x v="9"/>
    <x v="2"/>
    <n v="1700000"/>
    <n v="35918429"/>
    <x v="3090"/>
    <x v="3093"/>
    <x v="3"/>
  </r>
  <r>
    <x v="1039"/>
    <n v="149"/>
    <n v="41867960"/>
    <s v="Horror"/>
    <s v="Shannon Elizabeth"/>
    <x v="3094"/>
    <n v="65512"/>
    <s v="collector|ghost|ghost hunter|glass house|machine"/>
    <n v="478"/>
    <x v="0"/>
    <x v="0"/>
    <n v="20000000"/>
    <x v="9"/>
    <x v="28"/>
    <n v="20000000"/>
    <n v="41867960"/>
    <x v="3091"/>
    <x v="3094"/>
    <x v="6"/>
  </r>
  <r>
    <x v="788"/>
    <n v="283"/>
    <n v="50859889"/>
    <s v="Action|Adventure|Drama|Thriller"/>
    <s v="Rudy Youngblood"/>
    <x v="3095"/>
    <n v="236000"/>
    <s v="jaguar|mayan|solar eclipse|tribe|village"/>
    <n v="1043"/>
    <x v="33"/>
    <x v="0"/>
    <n v="40000000"/>
    <x v="7"/>
    <x v="38"/>
    <n v="40000000"/>
    <n v="50859889"/>
    <x v="3092"/>
    <x v="3095"/>
    <x v="1"/>
  </r>
  <r>
    <x v="1216"/>
    <n v="46"/>
    <n v="14108518"/>
    <s v="Comedy|Drama|Romance"/>
    <s v="Dylan Baker"/>
    <x v="3096"/>
    <n v="8215"/>
    <s v="best friend|high school|mother|sister|wedding"/>
    <n v="95"/>
    <x v="0"/>
    <x v="0"/>
    <n v="16000000"/>
    <x v="19"/>
    <x v="35"/>
    <n v="16000000"/>
    <n v="14108518"/>
    <x v="3093"/>
    <x v="3096"/>
    <x v="4"/>
  </r>
  <r>
    <x v="1556"/>
    <n v="63"/>
    <n v="127437"/>
    <s v="Action|Adventure|Drama|History|War"/>
    <s v="Bingbing Li"/>
    <x v="3097"/>
    <n v="4670"/>
    <s v="china|disarming someone|qing dynasty|stabbed with a bayonet|war violence"/>
    <n v="27"/>
    <x v="15"/>
    <x v="6"/>
    <n v="18000000"/>
    <x v="22"/>
    <x v="11"/>
    <n v="2489110.1999999899"/>
    <n v="17622.485364299999"/>
    <x v="3094"/>
    <x v="3097"/>
    <x v="1"/>
  </r>
  <r>
    <x v="1557"/>
    <n v="48"/>
    <n v="4142507"/>
    <s v="Comedy|Romance"/>
    <s v="Callie Thorne"/>
    <x v="3098"/>
    <n v="3665"/>
    <s v="dating|diner|masturbation|urination|washington square manhattan new york city"/>
    <n v="81"/>
    <x v="0"/>
    <x v="0"/>
    <n v="3000000"/>
    <x v="4"/>
    <x v="8"/>
    <n v="3000000"/>
    <n v="4142507"/>
    <x v="3095"/>
    <x v="3098"/>
    <x v="4"/>
  </r>
  <r>
    <x v="1558"/>
    <n v="57"/>
    <n v="27052167"/>
    <s v="Action|Comedy|Crime|Thriller"/>
    <s v="Bokeem Woodbine"/>
    <x v="3099"/>
    <n v="24834"/>
    <s v="hitman|kidnapping|kosher|vhs|video store"/>
    <n v="168"/>
    <x v="0"/>
    <x v="0"/>
    <n v="13000000"/>
    <x v="6"/>
    <x v="7"/>
    <n v="13000000"/>
    <n v="27052167"/>
    <x v="3096"/>
    <x v="3099"/>
    <x v="1"/>
  </r>
  <r>
    <x v="1559"/>
    <n v="192"/>
    <n v="18439082"/>
    <s v="Comedy|Fantasy|Romance"/>
    <s v="Jennifer Garner"/>
    <x v="3100"/>
    <n v="94292"/>
    <s v="genetics|heaven|lie|screenwriter|truth"/>
    <n v="287"/>
    <x v="0"/>
    <x v="0"/>
    <n v="18500000"/>
    <x v="16"/>
    <x v="24"/>
    <n v="18500000"/>
    <n v="18439082"/>
    <x v="3097"/>
    <x v="3100"/>
    <x v="4"/>
  </r>
  <r>
    <x v="223"/>
    <n v="166"/>
    <n v="31487293"/>
    <s v="Comedy|Drama|Music|Romance"/>
    <s v="Ari Graynor"/>
    <x v="3101"/>
    <n v="74887"/>
    <s v="band|gay|gay friend|love|night"/>
    <n v="129"/>
    <x v="0"/>
    <x v="0"/>
    <n v="9000000"/>
    <x v="20"/>
    <x v="21"/>
    <n v="9000000"/>
    <n v="31487293"/>
    <x v="3098"/>
    <x v="3101"/>
    <x v="4"/>
  </r>
  <r>
    <x v="794"/>
    <n v="86"/>
    <n v="28563926"/>
    <s v="Drama|Thriller"/>
    <s v="Erika Christensen"/>
    <x v="3102"/>
    <n v="16300"/>
    <s v="high school|hospital|new jersey|stanford university|swimming"/>
    <n v="217"/>
    <x v="0"/>
    <x v="0"/>
    <n v="8500000"/>
    <x v="13"/>
    <x v="53"/>
    <n v="8500000"/>
    <n v="28563926"/>
    <x v="3099"/>
    <x v="3102"/>
    <x v="5"/>
  </r>
  <r>
    <x v="1010"/>
    <n v="212"/>
    <n v="31165421"/>
    <s v="Fantasy|Horror|Mystery|Romance"/>
    <s v="Aidan Turner"/>
    <x v="3103"/>
    <n v="107028"/>
    <s v="battle|demon|magic|secret|warrior"/>
    <n v="457"/>
    <x v="0"/>
    <x v="0"/>
    <n v="60000000"/>
    <x v="0"/>
    <x v="11"/>
    <n v="60000000"/>
    <n v="31165421"/>
    <x v="3100"/>
    <x v="3103"/>
    <x v="9"/>
  </r>
  <r>
    <x v="1226"/>
    <n v="91"/>
    <n v="19179969"/>
    <s v="Comedy"/>
    <s v="Chris Moss"/>
    <x v="3104"/>
    <n v="54710"/>
    <s v="beer|competition|germany|oktoberfest|prostitute"/>
    <n v="177"/>
    <x v="0"/>
    <x v="0"/>
    <n v="17500000"/>
    <x v="7"/>
    <x v="23"/>
    <n v="17500000"/>
    <n v="19179969"/>
    <x v="3101"/>
    <x v="3104"/>
    <x v="4"/>
  </r>
  <r>
    <x v="9"/>
    <n v="103"/>
    <n v="27545445"/>
    <s v="Drama"/>
    <s v="Ruby Dee"/>
    <x v="3105"/>
    <n v="59524"/>
    <s v="black militant|frustration|pizza|pizza parlor|pizzeria"/>
    <n v="418"/>
    <x v="0"/>
    <x v="0"/>
    <n v="6500000"/>
    <x v="26"/>
    <x v="19"/>
    <n v="6500000"/>
    <n v="27545445"/>
    <x v="3102"/>
    <x v="3105"/>
    <x v="5"/>
  </r>
  <r>
    <x v="266"/>
    <n v="136"/>
    <n v="35400000"/>
    <s v="Action|Adventure|Thriller"/>
    <s v="Yaphet Kotto"/>
    <x v="3106"/>
    <n v="74957"/>
    <s v="british|cards|heroin|murder|tarot card"/>
    <n v="251"/>
    <x v="0"/>
    <x v="2"/>
    <n v="7000000"/>
    <x v="46"/>
    <x v="22"/>
    <n v="8997800"/>
    <n v="45503159.999999903"/>
    <x v="3103"/>
    <x v="3106"/>
    <x v="1"/>
  </r>
  <r>
    <x v="821"/>
    <n v="99"/>
    <n v="76400000"/>
    <s v="Animation|Family|Fantasy|Music"/>
    <s v="Leopold Stokowski"/>
    <x v="3107"/>
    <n v="71321"/>
    <s v="apprentice|classical music|disney|mouse|orchestra"/>
    <n v="230"/>
    <x v="0"/>
    <x v="0"/>
    <n v="2280000"/>
    <x v="39"/>
    <x v="38"/>
    <n v="2280000"/>
    <n v="76400000"/>
    <x v="3104"/>
    <x v="3107"/>
    <x v="8"/>
  </r>
  <r>
    <x v="1560"/>
    <n v="64"/>
    <n v="146402"/>
    <s v="Comedy|Drama"/>
    <s v="Luis Tosar"/>
    <x v="3108"/>
    <n v="9913"/>
    <s v="australia|bar|shipyard|siamese twins|tuna"/>
    <n v="38"/>
    <x v="9"/>
    <x v="12"/>
    <n v="4000000"/>
    <x v="13"/>
    <x v="9"/>
    <n v="4338960"/>
    <n v="158808.10548"/>
    <x v="3105"/>
    <x v="3108"/>
    <x v="4"/>
  </r>
  <r>
    <x v="1561"/>
    <n v="56"/>
    <n v="6719300"/>
    <s v="Comedy|Drama"/>
    <s v="Michael Greyeyes"/>
    <x v="3109"/>
    <n v="8224"/>
    <s v="family abandonment|fire|loss of father|native american protagonist|native american reservation"/>
    <n v="132"/>
    <x v="0"/>
    <x v="9"/>
    <n v="2000000"/>
    <x v="6"/>
    <x v="33"/>
    <n v="1446810"/>
    <n v="4860775.2165000001"/>
    <x v="3106"/>
    <x v="3109"/>
    <x v="4"/>
  </r>
  <r>
    <x v="1253"/>
    <n v="278"/>
    <n v="12574715"/>
    <s v="Drama"/>
    <s v="Dominic Cooper"/>
    <x v="3110"/>
    <n v="112138"/>
    <s v="1960s|age difference|france|loss of virginity|oxford"/>
    <n v="237"/>
    <x v="0"/>
    <x v="2"/>
    <n v="4500000"/>
    <x v="16"/>
    <x v="4"/>
    <n v="5784299.9999999898"/>
    <n v="16163538.6609999"/>
    <x v="3107"/>
    <x v="3110"/>
    <x v="5"/>
  </r>
  <r>
    <x v="1334"/>
    <n v="305"/>
    <n v="2181290"/>
    <s v="Drama|Mystery|Thriller"/>
    <s v="Min-sik Choi"/>
    <x v="3111"/>
    <n v="356181"/>
    <s v="brother sister relationship|hypnosis|imprisonment|love|revenge"/>
    <n v="809"/>
    <x v="10"/>
    <x v="14"/>
    <n v="3000000"/>
    <x v="19"/>
    <x v="25"/>
    <n v="2171.6010000000001"/>
    <n v="1578.9638484300001"/>
    <x v="3108"/>
    <x v="3111"/>
    <x v="5"/>
  </r>
  <r>
    <x v="1080"/>
    <n v="192"/>
    <n v="10814185"/>
    <s v="Comedy|Crime|Romance"/>
    <s v="J.K. Simmons"/>
    <x v="3112"/>
    <n v="37530"/>
    <s v="freak accident|gigolo|hit in the crotch|nosy neighbor|on the job injury"/>
    <n v="106"/>
    <x v="0"/>
    <x v="0"/>
    <n v="8000000"/>
    <x v="16"/>
    <x v="5"/>
    <n v="8000000"/>
    <n v="10814185"/>
    <x v="3109"/>
    <x v="3112"/>
    <x v="4"/>
  </r>
  <r>
    <x v="418"/>
    <n v="138"/>
    <n v="3216970"/>
    <s v="Drama|Mystery|Thriller"/>
    <s v="Mark Margolis"/>
    <x v="3113"/>
    <n v="142619"/>
    <s v="mathematician|nature|numbers|pattern|using a metal detector on a beach"/>
    <n v="586"/>
    <x v="0"/>
    <x v="0"/>
    <n v="60000"/>
    <x v="6"/>
    <x v="2"/>
    <n v="60000"/>
    <n v="3216970"/>
    <x v="3110"/>
    <x v="3113"/>
    <x v="5"/>
  </r>
  <r>
    <x v="316"/>
    <n v="201"/>
    <n v="15797907"/>
    <s v="Drama"/>
    <s v="Mustafa Haidari"/>
    <x v="3114"/>
    <n v="68119"/>
    <s v="afghanistan|based on novel|boy|friend|kite"/>
    <n v="230"/>
    <x v="28"/>
    <x v="0"/>
    <n v="20000000"/>
    <x v="15"/>
    <x v="10"/>
    <n v="20000000"/>
    <n v="15797907"/>
    <x v="3111"/>
    <x v="3114"/>
    <x v="5"/>
  </r>
  <r>
    <x v="1457"/>
    <n v="110"/>
    <n v="76400000"/>
    <s v="Action|Adventure|Sci-Fi"/>
    <s v="Leonard Nimoy"/>
    <x v="3115"/>
    <n v="58743"/>
    <s v="dying planet|planet|regaining one's memory|sacrifice|stabbed to death"/>
    <n v="192"/>
    <x v="0"/>
    <x v="0"/>
    <n v="17000000"/>
    <x v="17"/>
    <x v="14"/>
    <n v="17000000"/>
    <n v="76400000"/>
    <x v="3112"/>
    <x v="3115"/>
    <x v="1"/>
  </r>
  <r>
    <x v="875"/>
    <n v="208"/>
    <n v="21557240"/>
    <s v="Adventure|Comedy|Fantasy"/>
    <s v="Natalie Portman"/>
    <x v="3116"/>
    <n v="85237"/>
    <s v="knight|prince|quest|rescue|thong bikini"/>
    <n v="274"/>
    <x v="0"/>
    <x v="0"/>
    <n v="49900000"/>
    <x v="22"/>
    <x v="15"/>
    <n v="49900000"/>
    <n v="21557240"/>
    <x v="3113"/>
    <x v="3116"/>
    <x v="0"/>
  </r>
  <r>
    <x v="1562"/>
    <n v="28"/>
    <n v="4756"/>
    <s v="Adventure|Family|Fantasy"/>
    <s v="Ioan Gruffudd"/>
    <x v="3117"/>
    <n v="4191"/>
    <s v="based on novel|drowning|hanging from a flagpole|hanging from a rope|magic"/>
    <n v="32"/>
    <x v="0"/>
    <x v="2"/>
    <n v="25000000"/>
    <x v="0"/>
    <x v="26"/>
    <n v="32134999.999999899"/>
    <n v="6113.36239999999"/>
    <x v="3114"/>
    <x v="3117"/>
    <x v="0"/>
  </r>
  <r>
    <x v="371"/>
    <n v="130"/>
    <n v="43022524"/>
    <s v="Comedy|Drama"/>
    <s v="Robert De Niro"/>
    <x v="3118"/>
    <n v="67604"/>
    <s v="death|election|hollywood|president|scandal"/>
    <n v="218"/>
    <x v="0"/>
    <x v="0"/>
    <n v="15000000"/>
    <x v="31"/>
    <x v="17"/>
    <n v="15000000"/>
    <n v="43022524"/>
    <x v="3115"/>
    <x v="3118"/>
    <x v="4"/>
  </r>
  <r>
    <x v="594"/>
    <n v="175"/>
    <n v="120147445"/>
    <s v="Drama|History|Sport"/>
    <s v="Jeff Bridges"/>
    <x v="3119"/>
    <n v="57661"/>
    <s v="horse|horse racing|jockey|limp|seabiscuit"/>
    <n v="455"/>
    <x v="0"/>
    <x v="0"/>
    <n v="87000000"/>
    <x v="19"/>
    <x v="4"/>
    <n v="87000000"/>
    <n v="120147445"/>
    <x v="3116"/>
    <x v="3119"/>
    <x v="5"/>
  </r>
  <r>
    <x v="75"/>
    <n v="134"/>
    <n v="82300000"/>
    <s v="Adventure|Mystery|Sci-Fi"/>
    <s v="Leonard Nimoy"/>
    <x v="3120"/>
    <n v="63330"/>
    <s v="alien|space|space station|spacecraft|warp speed"/>
    <n v="405"/>
    <x v="0"/>
    <x v="0"/>
    <n v="35000000"/>
    <x v="36"/>
    <x v="24"/>
    <n v="35000000"/>
    <n v="82300000"/>
    <x v="557"/>
    <x v="3120"/>
    <x v="0"/>
  </r>
  <r>
    <x v="1563"/>
    <n v="223"/>
    <n v="64998368"/>
    <s v="Comedy|Music|Romance"/>
    <s v="Anna Kendrick"/>
    <x v="3121"/>
    <n v="213898"/>
    <s v="a cappella|competition|dj|female protagonist|lesbian"/>
    <n v="250"/>
    <x v="0"/>
    <x v="0"/>
    <n v="17000000"/>
    <x v="28"/>
    <x v="33"/>
    <n v="17000000"/>
    <n v="64998368"/>
    <x v="3117"/>
    <x v="3121"/>
    <x v="4"/>
  </r>
  <r>
    <x v="1564"/>
    <n v="129"/>
    <n v="14343976"/>
    <s v="Adventure|Horror"/>
    <s v="Kane Hodder"/>
    <x v="3122"/>
    <n v="22961"/>
    <s v="cult film|friday the thirteenth|hockey mask|jason voorhees|murder spree"/>
    <n v="291"/>
    <x v="0"/>
    <x v="0"/>
    <n v="5000000"/>
    <x v="26"/>
    <x v="47"/>
    <n v="5000000"/>
    <n v="14343976"/>
    <x v="3118"/>
    <x v="3122"/>
    <x v="0"/>
  </r>
  <r>
    <x v="1565"/>
    <n v="2"/>
    <n v="1000000"/>
    <s v="Action|Adventure|History"/>
    <s v="Christopher Lee"/>
    <x v="3123"/>
    <n v="524"/>
    <s v="afghanistan|caravan|rebel|russian|tribe"/>
    <n v="8"/>
    <x v="0"/>
    <x v="18"/>
    <n v="14000000"/>
    <x v="44"/>
    <x v="20"/>
    <n v="332.502072"/>
    <n v="23.750147999999999"/>
    <x v="3119"/>
    <x v="3123"/>
    <x v="1"/>
  </r>
  <r>
    <x v="958"/>
    <n v="377"/>
    <n v="9701559"/>
    <s v="Drama|Romance"/>
    <s v="Ryan Gosling"/>
    <x v="3124"/>
    <n v="141425"/>
    <s v="dog hit by a car|dysfunctional family|falling in love|female in shower|unhappily married woman"/>
    <n v="283"/>
    <x v="0"/>
    <x v="0"/>
    <n v="3500000"/>
    <x v="11"/>
    <x v="39"/>
    <n v="3500000"/>
    <n v="9701559"/>
    <x v="3120"/>
    <x v="3124"/>
    <x v="5"/>
  </r>
  <r>
    <x v="1060"/>
    <n v="125"/>
    <n v="54200000"/>
    <s v="Action|Comedy|Crime|Music"/>
    <s v="John Belushi"/>
    <x v="3125"/>
    <n v="142448"/>
    <s v="band|catholic|money|parolee|prison"/>
    <n v="319"/>
    <x v="0"/>
    <x v="0"/>
    <n v="27000000"/>
    <x v="52"/>
    <x v="19"/>
    <n v="27000000"/>
    <n v="54200000"/>
    <x v="3121"/>
    <x v="3125"/>
    <x v="1"/>
  </r>
  <r>
    <x v="1228"/>
    <n v="178"/>
    <n v="12276810"/>
    <s v="Action|Mystery|Sci-Fi|Thriller"/>
    <s v="Ryan Reynolds"/>
    <x v="3126"/>
    <n v="57674"/>
    <s v="cancer|elderly man|funeral|medical|transhumanism"/>
    <n v="126"/>
    <x v="0"/>
    <x v="0"/>
    <n v="26000000"/>
    <x v="1"/>
    <x v="20"/>
    <n v="26000000"/>
    <n v="12276810"/>
    <x v="3122"/>
    <x v="3126"/>
    <x v="1"/>
  </r>
  <r>
    <x v="1566"/>
    <n v="38"/>
    <n v="6482195"/>
    <s v="Crime|Mystery|Thriller"/>
    <s v="Gregory Scott Cummins"/>
    <x v="3127"/>
    <n v="9740"/>
    <s v="deputy|fbi agent|knife held to throat|serial killer|sheriff"/>
    <n v="81"/>
    <x v="0"/>
    <x v="0"/>
    <n v="37000000"/>
    <x v="31"/>
    <x v="24"/>
    <n v="37000000"/>
    <n v="6482195"/>
    <x v="3123"/>
    <x v="3127"/>
    <x v="3"/>
  </r>
  <r>
    <x v="358"/>
    <n v="71"/>
    <n v="64736114"/>
    <s v="Adventure|Animation|Comedy|Family|Fantasy"/>
    <s v="Nathan Lane"/>
    <x v="3128"/>
    <n v="36471"/>
    <s v="anthropomorphic mouse|falcon|marshmallow|second part|soccer"/>
    <n v="69"/>
    <x v="0"/>
    <x v="0"/>
    <n v="120000000"/>
    <x v="13"/>
    <x v="26"/>
    <n v="120000000"/>
    <n v="64736114"/>
    <x v="3124"/>
    <x v="3128"/>
    <x v="0"/>
  </r>
  <r>
    <x v="118"/>
    <n v="276"/>
    <n v="79363785"/>
    <s v="Drama|Sci-Fi|Thriller"/>
    <s v="Keanu Reeves"/>
    <x v="1096"/>
    <n v="139423"/>
    <s v="alien|earth|giant robot|military|scientist"/>
    <n v="698"/>
    <x v="0"/>
    <x v="0"/>
    <n v="80000000"/>
    <x v="20"/>
    <x v="28"/>
    <n v="80000000"/>
    <n v="79363785"/>
    <x v="1096"/>
    <x v="1096"/>
    <x v="5"/>
  </r>
  <r>
    <x v="982"/>
    <n v="676"/>
    <n v="35054909"/>
    <s v="Crime|Drama"/>
    <s v="Ryan Gosling"/>
    <x v="3129"/>
    <n v="431578"/>
    <s v="kissing in an elevator|mythical hero|neo noir|protective male|silent protagonist"/>
    <n v="1264"/>
    <x v="0"/>
    <x v="0"/>
    <n v="15000000"/>
    <x v="22"/>
    <x v="38"/>
    <n v="15000000"/>
    <n v="35054909"/>
    <x v="3125"/>
    <x v="3129"/>
    <x v="3"/>
  </r>
  <r>
    <x v="1567"/>
    <n v="99"/>
    <n v="617228"/>
    <s v="Comedy|Drama|Romance|War"/>
    <s v="Julia Jentsch"/>
    <x v="3130"/>
    <n v="6183"/>
    <s v="hotel|legs|lingerie|waiter|wealth"/>
    <n v="27"/>
    <x v="34"/>
    <x v="33"/>
    <n v="84450000"/>
    <x v="7"/>
    <x v="39"/>
    <n v="3610120.1145000001"/>
    <n v="26385.6390530799"/>
    <x v="3126"/>
    <x v="3130"/>
    <x v="4"/>
  </r>
  <r>
    <x v="110"/>
    <n v="106"/>
    <n v="1569918"/>
    <s v="Biography|Crime|Drama|Thriller"/>
    <s v="Brenda Fricker"/>
    <x v="3131"/>
    <n v="16234"/>
    <s v="criminal|drug lord|gunshot|irish|journalist"/>
    <n v="113"/>
    <x v="0"/>
    <x v="7"/>
    <n v="17000000"/>
    <x v="19"/>
    <x v="31"/>
    <n v="18440580"/>
    <n v="1702952.8513199999"/>
    <x v="3127"/>
    <x v="3131"/>
    <x v="2"/>
  </r>
  <r>
    <x v="1015"/>
    <n v="124"/>
    <n v="217350219"/>
    <s v="Adventure|Animation|Comedy|Family|Fantasy|Musical|Romance"/>
    <s v="Robin Williams"/>
    <x v="3132"/>
    <n v="260939"/>
    <s v="arab|genie|magic|princess|reference to a thousand and one nights"/>
    <n v="244"/>
    <x v="0"/>
    <x v="0"/>
    <n v="28000000"/>
    <x v="8"/>
    <x v="3"/>
    <n v="28000000"/>
    <n v="217350219"/>
    <x v="3128"/>
    <x v="3132"/>
    <x v="0"/>
  </r>
  <r>
    <x v="515"/>
    <n v="107"/>
    <n v="15988876"/>
    <s v="Action|Crime|Thriller"/>
    <s v="Andrew Fiscella"/>
    <x v="3133"/>
    <n v="26236"/>
    <s v="armored truck|blood splatter|die hard scenario|guard|heist"/>
    <n v="110"/>
    <x v="0"/>
    <x v="0"/>
    <n v="27000000"/>
    <x v="16"/>
    <x v="35"/>
    <n v="27000000"/>
    <n v="15988876"/>
    <x v="3129"/>
    <x v="3133"/>
    <x v="1"/>
  </r>
  <r>
    <x v="1568"/>
    <n v="40"/>
    <n v="81525"/>
    <s v="Action|Comedy|Crime|Drama|Thriller"/>
    <s v="Carole Bouquet"/>
    <x v="3134"/>
    <n v="29392"/>
    <s v="french|inheritance|japan|letter|police detective hero"/>
    <n v="91"/>
    <x v="4"/>
    <x v="8"/>
    <n v="15300000"/>
    <x v="9"/>
    <x v="14"/>
    <n v="16596522"/>
    <n v="88433.428499999995"/>
    <x v="3130"/>
    <x v="3134"/>
    <x v="1"/>
  </r>
  <r>
    <x v="32"/>
    <n v="111"/>
    <n v="56362352"/>
    <s v="Fantasy|Romance"/>
    <s v="Johnny Depp"/>
    <x v="3135"/>
    <n v="357581"/>
    <s v="creation|inventor|magical realism|scissors|suburb"/>
    <n v="588"/>
    <x v="0"/>
    <x v="0"/>
    <n v="20000000"/>
    <x v="32"/>
    <x v="19"/>
    <n v="20000000"/>
    <n v="56362352"/>
    <x v="3131"/>
    <x v="3135"/>
    <x v="9"/>
  </r>
  <r>
    <x v="427"/>
    <n v="79"/>
    <n v="17593391"/>
    <s v="Action|Adventure|Drama|Sci-Fi"/>
    <s v="Olivia Williams"/>
    <x v="3136"/>
    <n v="56403"/>
    <s v="drifter|escape|hope|postman|usa"/>
    <n v="376"/>
    <x v="0"/>
    <x v="0"/>
    <n v="80000000"/>
    <x v="31"/>
    <x v="11"/>
    <n v="80000000"/>
    <n v="17593391"/>
    <x v="3132"/>
    <x v="3136"/>
    <x v="1"/>
  </r>
  <r>
    <x v="1569"/>
    <n v="47"/>
    <n v="5002310"/>
    <s v="Adventure|Comedy|Romance|Sci-Fi"/>
    <s v="Jake Gyllenhaal"/>
    <x v="3137"/>
    <n v="25541"/>
    <s v="cigarette smoking|hand on butt|niagara falls|plastic bubble|wedding"/>
    <n v="181"/>
    <x v="0"/>
    <x v="0"/>
    <n v="13000000"/>
    <x v="9"/>
    <x v="15"/>
    <n v="13000000"/>
    <n v="5002310"/>
    <x v="3133"/>
    <x v="3137"/>
    <x v="0"/>
  </r>
  <r>
    <x v="746"/>
    <n v="233"/>
    <n v="186336103"/>
    <s v="Action|Comedy|Crime|Romance|Thriller"/>
    <s v="Brad Pitt"/>
    <x v="3138"/>
    <n v="348861"/>
    <s v="assassin|marriage|secret agent|suburb|target"/>
    <n v="798"/>
    <x v="0"/>
    <x v="0"/>
    <n v="120000000"/>
    <x v="25"/>
    <x v="20"/>
    <n v="120000000"/>
    <n v="186336103"/>
    <x v="3134"/>
    <x v="3138"/>
    <x v="1"/>
  </r>
  <r>
    <x v="1570"/>
    <n v="292"/>
    <n v="29975979"/>
    <s v="Action|Horror|Sci-Fi|Thriller"/>
    <s v="Jay Laga'aia"/>
    <x v="3139"/>
    <n v="105797"/>
    <s v="blood|rationing|vampire|vampire society|year 2019"/>
    <n v="281"/>
    <x v="0"/>
    <x v="3"/>
    <n v="20000000"/>
    <x v="16"/>
    <x v="20"/>
    <n v="13077600"/>
    <n v="19600693.14852"/>
    <x v="3135"/>
    <x v="3139"/>
    <x v="1"/>
  </r>
  <r>
    <x v="1571"/>
    <n v="260"/>
    <n v="26435"/>
    <s v="Drama|Sci-Fi"/>
    <s v="Brigitte Helm"/>
    <x v="3140"/>
    <n v="111841"/>
    <s v="art deco|bible quote|dance|silent film|worker"/>
    <n v="413"/>
    <x v="7"/>
    <x v="5"/>
    <n v="6000000"/>
    <x v="72"/>
    <x v="36"/>
    <n v="6508440"/>
    <n v="28675.101900000001"/>
    <x v="3136"/>
    <x v="3140"/>
    <x v="5"/>
  </r>
  <r>
    <x v="1572"/>
    <n v="300"/>
    <n v="7159147"/>
    <s v="Drama|Mystery|Thriller"/>
    <s v="Geraldine Chaplin"/>
    <x v="3141"/>
    <n v="120189"/>
    <s v="dead children|ghost|missing child|orphan|orphanage"/>
    <n v="308"/>
    <x v="9"/>
    <x v="12"/>
    <n v="3400000"/>
    <x v="15"/>
    <x v="2"/>
    <n v="3688116"/>
    <n v="7765813.1167799998"/>
    <x v="3137"/>
    <x v="3141"/>
    <x v="5"/>
  </r>
  <r>
    <x v="31"/>
    <n v="239"/>
    <n v="186739919"/>
    <s v="Action|Adventure|Sci-Fi|Thriller"/>
    <s v="Jake Gyllenhaal"/>
    <x v="3142"/>
    <n v="333248"/>
    <s v="climate|end of the world|global warming|natural disaster|weather"/>
    <n v="1159"/>
    <x v="0"/>
    <x v="0"/>
    <n v="125000000"/>
    <x v="2"/>
    <x v="24"/>
    <n v="125000000"/>
    <n v="186739919"/>
    <x v="3138"/>
    <x v="3142"/>
    <x v="1"/>
  </r>
  <r>
    <x v="1573"/>
    <n v="141"/>
    <n v="50461335"/>
    <s v="Drama|Fantasy|Music|Romance"/>
    <s v="ChloÃ« Grace Moretz"/>
    <x v="3143"/>
    <n v="83893"/>
    <s v="car accident|coma|out of body experience|reference to the exploited|teenage girl"/>
    <n v="132"/>
    <x v="0"/>
    <x v="0"/>
    <n v="11000000"/>
    <x v="27"/>
    <x v="22"/>
    <n v="11000000"/>
    <n v="50461335"/>
    <x v="3139"/>
    <x v="3143"/>
    <x v="5"/>
  </r>
  <r>
    <x v="1574"/>
    <n v="246"/>
    <n v="488872"/>
    <s v="Action|Comedy|Sport"/>
    <s v="Wei Zhao"/>
    <x v="3144"/>
    <n v="56923"/>
    <s v="cult film|kung fu|martial arts|shaolin|soccer"/>
    <n v="243"/>
    <x v="2"/>
    <x v="4"/>
    <n v="10000000"/>
    <x v="9"/>
    <x v="4"/>
    <n v="1280943"/>
    <n v="62621.7166296"/>
    <x v="3140"/>
    <x v="3144"/>
    <x v="1"/>
  </r>
  <r>
    <x v="484"/>
    <n v="250"/>
    <n v="150167630"/>
    <s v="Action|Adventure|Sci-Fi|Thriller"/>
    <s v="Joseph Gordon-Levitt"/>
    <x v="3145"/>
    <n v="174578"/>
    <s v="cobra|gi joe|snake|train|warhead"/>
    <n v="534"/>
    <x v="0"/>
    <x v="0"/>
    <n v="175000000"/>
    <x v="16"/>
    <x v="30"/>
    <n v="175000000"/>
    <n v="150167630"/>
    <x v="3141"/>
    <x v="3145"/>
    <x v="1"/>
  </r>
  <r>
    <x v="280"/>
    <n v="72"/>
    <n v="11702090"/>
    <s v="Comedy|Romance"/>
    <s v="Danny Strong"/>
    <x v="3146"/>
    <n v="37700"/>
    <s v="college|college girl|female protagonist|sorority|sorority house"/>
    <n v="50"/>
    <x v="0"/>
    <x v="0"/>
    <n v="16500000"/>
    <x v="15"/>
    <x v="23"/>
    <n v="16500000"/>
    <n v="11702090"/>
    <x v="3142"/>
    <x v="3146"/>
    <x v="4"/>
  </r>
  <r>
    <x v="945"/>
    <n v="12"/>
    <n v="12836"/>
    <s v="Biography|Drama"/>
    <s v="Keanu Reeves"/>
    <x v="3147"/>
    <n v="1686"/>
    <s v="1940s|female bare foot|picket fence|tire|vomiting"/>
    <n v="28"/>
    <x v="0"/>
    <x v="0"/>
    <n v="4000000"/>
    <x v="31"/>
    <x v="30"/>
    <n v="4000000"/>
    <n v="12836"/>
    <x v="3143"/>
    <x v="3147"/>
    <x v="2"/>
  </r>
  <r>
    <x v="1575"/>
    <n v="354"/>
    <n v="7098492"/>
    <s v="Drama|Mystery"/>
    <s v="Shahab Hosseini"/>
    <x v="3148"/>
    <n v="151812"/>
    <s v="alzheimer's disease|caregiver|divorce|iran|iranian"/>
    <n v="264"/>
    <x v="13"/>
    <x v="18"/>
    <n v="500000"/>
    <x v="22"/>
    <x v="25"/>
    <n v="11.875074"/>
    <n v="168.59023557681499"/>
    <x v="3144"/>
    <x v="3148"/>
    <x v="5"/>
  </r>
  <r>
    <x v="838"/>
    <n v="122"/>
    <n v="36658108"/>
    <s v="Comedy"/>
    <s v="Diedrich Bader"/>
    <x v="3149"/>
    <n v="39095"/>
    <s v="cat|friend|love|sheriff|teenager"/>
    <n v="187"/>
    <x v="0"/>
    <x v="0"/>
    <n v="20000000"/>
    <x v="11"/>
    <x v="51"/>
    <n v="20000000"/>
    <n v="36658108"/>
    <x v="3145"/>
    <x v="3149"/>
    <x v="4"/>
  </r>
  <r>
    <x v="1576"/>
    <n v="82"/>
    <n v="5518918"/>
    <s v="Action|Adventure|Animation|Comedy|Fantasy|Sci-Fi"/>
    <s v="Tina Fey"/>
    <x v="3150"/>
    <n v="12160"/>
    <s v="based on cult tv series|critically acclaimed|exercise machine|midnight movie|robot"/>
    <n v="73"/>
    <x v="0"/>
    <x v="0"/>
    <n v="750000"/>
    <x v="15"/>
    <x v="31"/>
    <n v="750000"/>
    <n v="5518918"/>
    <x v="3146"/>
    <x v="3150"/>
    <x v="1"/>
  </r>
  <r>
    <x v="652"/>
    <n v="219"/>
    <n v="198332128"/>
    <s v="Action|Adventure|Animation|Comedy|Family|Sci-Fi"/>
    <s v="Amy Poehler"/>
    <x v="3151"/>
    <n v="114553"/>
    <s v="alien|alien invasion|alien space craft|giant|giantess"/>
    <n v="187"/>
    <x v="0"/>
    <x v="0"/>
    <n v="175000000"/>
    <x v="16"/>
    <x v="20"/>
    <n v="175000000"/>
    <n v="198332128"/>
    <x v="3147"/>
    <x v="3151"/>
    <x v="1"/>
  </r>
  <r>
    <x v="1235"/>
    <n v="76"/>
    <n v="8054280"/>
    <s v="Comedy|Crime|Music"/>
    <s v="Debbie Reynolds"/>
    <x v="3152"/>
    <n v="6838"/>
    <s v="box office flop|drag queen|gender disguise|mafia|witness"/>
    <n v="117"/>
    <x v="0"/>
    <x v="0"/>
    <n v="20000000"/>
    <x v="2"/>
    <x v="23"/>
    <n v="20000000"/>
    <n v="8054280"/>
    <x v="3148"/>
    <x v="3152"/>
    <x v="4"/>
  </r>
  <r>
    <x v="291"/>
    <n v="140"/>
    <n v="32131483"/>
    <s v="Horror|Mystery|Thriller"/>
    <s v="Sullivan Stapleton"/>
    <x v="3153"/>
    <n v="25870"/>
    <s v="boy|darkness|light|tooth|tooth fairy"/>
    <n v="369"/>
    <x v="0"/>
    <x v="0"/>
    <n v="11000000"/>
    <x v="19"/>
    <x v="18"/>
    <n v="11000000"/>
    <n v="32131483"/>
    <x v="3149"/>
    <x v="3153"/>
    <x v="6"/>
  </r>
  <r>
    <x v="1577"/>
    <n v="9"/>
    <n v="4239767"/>
    <s v="Comedy|Drama|Romance|Sport"/>
    <s v="Molly Parker"/>
    <x v="3154"/>
    <n v="3709"/>
    <s v="championship|coach|curling|marriage|rural setting"/>
    <n v="83"/>
    <x v="0"/>
    <x v="9"/>
    <n v="7500000"/>
    <x v="13"/>
    <x v="11"/>
    <n v="5425537.5"/>
    <n v="3067068.6466349899"/>
    <x v="3150"/>
    <x v="3154"/>
    <x v="4"/>
  </r>
  <r>
    <x v="1471"/>
    <n v="328"/>
    <n v="2412045"/>
    <s v="Drama|Romance|Sci-Fi"/>
    <s v="Andrew Garfield"/>
    <x v="3155"/>
    <n v="109873"/>
    <s v="boarding school|childhood|love|love triangle|organ donation"/>
    <n v="320"/>
    <x v="0"/>
    <x v="2"/>
    <n v="15000000"/>
    <x v="11"/>
    <x v="33"/>
    <n v="19281000"/>
    <n v="3100442.6429999899"/>
    <x v="3151"/>
    <x v="3155"/>
    <x v="5"/>
  </r>
  <r>
    <x v="353"/>
    <n v="247"/>
    <n v="80281096"/>
    <s v="Action|Horror|Sci-Fi|Thriller"/>
    <s v="Sanaa Lathan"/>
    <x v="3156"/>
    <n v="143628"/>
    <s v="alien|antarctica|predator|pyramid|satellite"/>
    <n v="1283"/>
    <x v="0"/>
    <x v="0"/>
    <n v="60000000"/>
    <x v="2"/>
    <x v="15"/>
    <n v="60000000"/>
    <n v="80281096"/>
    <x v="3152"/>
    <x v="3156"/>
    <x v="1"/>
  </r>
  <r>
    <x v="1578"/>
    <n v="222"/>
    <n v="4440055"/>
    <s v="Biography|Drama|Romance"/>
    <s v="Abbie Cornish"/>
    <x v="3157"/>
    <n v="21360"/>
    <s v="19th century|friend|john keats|passion|poet"/>
    <n v="110"/>
    <x v="0"/>
    <x v="2"/>
    <n v="8500000"/>
    <x v="16"/>
    <x v="16"/>
    <n v="10925899.999999899"/>
    <n v="5707246.6969999997"/>
    <x v="3153"/>
    <x v="3157"/>
    <x v="2"/>
  </r>
  <r>
    <x v="196"/>
    <n v="116"/>
    <n v="37035515"/>
    <s v="Comedy|Drama"/>
    <s v="Steve Buscemi"/>
    <x v="3158"/>
    <n v="34597"/>
    <s v="12 step program|box office hit|car accident|vomiting|wedding"/>
    <n v="194"/>
    <x v="0"/>
    <x v="0"/>
    <n v="43000000"/>
    <x v="4"/>
    <x v="11"/>
    <n v="43000000"/>
    <n v="37035515"/>
    <x v="3154"/>
    <x v="3158"/>
    <x v="4"/>
  </r>
  <r>
    <x v="1512"/>
    <n v="300"/>
    <n v="16204793"/>
    <s v="Comedy|Fantasy|Horror"/>
    <s v="J.K. Simmons"/>
    <x v="3159"/>
    <n v="92712"/>
    <s v="cannibalism|cheerleader|condom|hook for hand|satanic ritual"/>
    <n v="294"/>
    <x v="0"/>
    <x v="0"/>
    <n v="16000000"/>
    <x v="16"/>
    <x v="37"/>
    <n v="16000000"/>
    <n v="16204793"/>
    <x v="3155"/>
    <x v="3159"/>
    <x v="4"/>
  </r>
  <r>
    <x v="448"/>
    <n v="138"/>
    <n v="153288182"/>
    <s v="Adventure|Comedy|Mystery"/>
    <s v="Sarah Michelle Gellar"/>
    <x v="3160"/>
    <n v="71424"/>
    <s v="amusement park|island|motorcycle|scooby doo|tough girl"/>
    <n v="521"/>
    <x v="0"/>
    <x v="0"/>
    <n v="84000000"/>
    <x v="13"/>
    <x v="18"/>
    <n v="84000000"/>
    <n v="153288182"/>
    <x v="3156"/>
    <x v="3160"/>
    <x v="0"/>
  </r>
  <r>
    <x v="1579"/>
    <n v="121"/>
    <n v="64238770"/>
    <s v="Adventure|Animation|Comedy|Family"/>
    <s v="Liam Neeson"/>
    <x v="3161"/>
    <n v="19547"/>
    <s v="bank robbery|heist|raccoon|rat|squirrel"/>
    <n v="64"/>
    <x v="0"/>
    <x v="9"/>
    <n v="42000000"/>
    <x v="27"/>
    <x v="30"/>
    <n v="30383010"/>
    <n v="46470647.411849998"/>
    <x v="3157"/>
    <x v="3161"/>
    <x v="0"/>
  </r>
  <r>
    <x v="1144"/>
    <n v="363"/>
    <n v="2201412"/>
    <s v="Comedy|Drama|Horror|Sci-Fi"/>
    <s v="Doona Bae"/>
    <x v="2747"/>
    <n v="68883"/>
    <s v="daughter|han river|monster|river|seoul"/>
    <n v="279"/>
    <x v="10"/>
    <x v="14"/>
    <n v="12215500000"/>
    <x v="7"/>
    <x v="16"/>
    <n v="8842397.3385000005"/>
    <n v="1593.529500204"/>
    <x v="3158"/>
    <x v="2747"/>
    <x v="4"/>
  </r>
  <r>
    <x v="805"/>
    <n v="357"/>
    <n v="61937495"/>
    <s v="Drama|Fantasy|Horror|Thriller"/>
    <s v="Anthony Hopkins"/>
    <x v="3162"/>
    <n v="89442"/>
    <s v="asylum|death|full moon|transformation|werewolf"/>
    <n v="432"/>
    <x v="0"/>
    <x v="0"/>
    <n v="150000000"/>
    <x v="11"/>
    <x v="30"/>
    <n v="150000000"/>
    <n v="61937495"/>
    <x v="3159"/>
    <x v="3162"/>
    <x v="5"/>
  </r>
  <r>
    <x v="465"/>
    <n v="256"/>
    <n v="244052771"/>
    <s v="Adventure|Animation|Comedy|Family|Sport"/>
    <s v="John Ratzenberger"/>
    <x v="3163"/>
    <n v="263853"/>
    <s v="car|desert|route 66|tow truck|truck"/>
    <n v="584"/>
    <x v="0"/>
    <x v="0"/>
    <n v="120000000"/>
    <x v="7"/>
    <x v="33"/>
    <n v="120000000"/>
    <n v="244052771"/>
    <x v="3160"/>
    <x v="3163"/>
    <x v="0"/>
  </r>
  <r>
    <x v="306"/>
    <n v="224"/>
    <n v="81645152"/>
    <s v="Action|Horror|Sci-Fi|Thriller"/>
    <s v="Norman Reedus"/>
    <x v="3164"/>
    <n v="158267"/>
    <s v="blade the character|cult film|mutation|vampire|warrior"/>
    <n v="559"/>
    <x v="0"/>
    <x v="0"/>
    <n v="54000000"/>
    <x v="13"/>
    <x v="21"/>
    <n v="54000000"/>
    <n v="81645152"/>
    <x v="3161"/>
    <x v="3164"/>
    <x v="1"/>
  </r>
  <r>
    <x v="1580"/>
    <n v="53"/>
    <n v="36500000"/>
    <s v="Biography|Crime|Drama"/>
    <s v="Clint Eastwood"/>
    <x v="3165"/>
    <n v="87090"/>
    <s v="alcatraz|escape|inmate|island|prison"/>
    <n v="142"/>
    <x v="0"/>
    <x v="0"/>
    <n v="8000000"/>
    <x v="36"/>
    <x v="10"/>
    <n v="8000000"/>
    <n v="36500000"/>
    <x v="3162"/>
    <x v="3165"/>
    <x v="2"/>
  </r>
  <r>
    <x v="1581"/>
    <n v="233"/>
    <n v="148337537"/>
    <s v="Action|Animation|Comedy|Family|Sci-Fi"/>
    <s v="J.K. Simmons"/>
    <x v="3166"/>
    <n v="172754"/>
    <s v="battle|city|planet|prison|superhero"/>
    <n v="187"/>
    <x v="0"/>
    <x v="0"/>
    <n v="130000000"/>
    <x v="11"/>
    <x v="4"/>
    <n v="130000000"/>
    <n v="148337537"/>
    <x v="3163"/>
    <x v="3166"/>
    <x v="1"/>
  </r>
  <r>
    <x v="414"/>
    <n v="175"/>
    <n v="33631221"/>
    <s v="Crime|Drama|Thriller"/>
    <s v="George Kennedy"/>
    <x v="498"/>
    <n v="48559"/>
    <s v="dog|gambler|gambling|gangster|professor"/>
    <n v="145"/>
    <x v="0"/>
    <x v="0"/>
    <n v="25000000"/>
    <x v="27"/>
    <x v="11"/>
    <n v="25000000"/>
    <n v="33631221"/>
    <x v="498"/>
    <x v="498"/>
    <x v="3"/>
  </r>
  <r>
    <x v="1582"/>
    <n v="159"/>
    <n v="22757819"/>
    <s v="Horror|Thriller"/>
    <s v="Pfeifer Brown"/>
    <x v="3167"/>
    <n v="13521"/>
    <s v="breaking and entering|gallows|hanging|high school|stage"/>
    <n v="150"/>
    <x v="0"/>
    <x v="0"/>
    <n v="100000"/>
    <x v="1"/>
    <x v="32"/>
    <n v="100000"/>
    <n v="22757819"/>
    <x v="3164"/>
    <x v="3167"/>
    <x v="6"/>
  </r>
  <r>
    <x v="1583"/>
    <n v="139"/>
    <n v="48006503"/>
    <s v="Adventure|Comedy|Family|Fantasy"/>
    <s v="Gerard Butler"/>
    <x v="3168"/>
    <n v="28109"/>
    <s v="author|girl|island|reading|scientist"/>
    <n v="110"/>
    <x v="0"/>
    <x v="0"/>
    <n v="37000000"/>
    <x v="20"/>
    <x v="11"/>
    <n v="37000000"/>
    <n v="48006503"/>
    <x v="3165"/>
    <x v="3168"/>
    <x v="0"/>
  </r>
  <r>
    <x v="528"/>
    <n v="121"/>
    <n v="5400000"/>
    <s v="Drama|Romance"/>
    <s v="Hanno PÃ¶schl"/>
    <x v="3169"/>
    <n v="183288"/>
    <s v="american|conversations|kiss|love|train"/>
    <n v="395"/>
    <x v="0"/>
    <x v="0"/>
    <n v="2500000"/>
    <x v="33"/>
    <x v="40"/>
    <n v="2500000"/>
    <n v="5400000"/>
    <x v="656"/>
    <x v="3169"/>
    <x v="5"/>
  </r>
  <r>
    <x v="301"/>
    <n v="55"/>
    <n v="135014968"/>
    <s v="Biography|Comedy|Drama|Romance"/>
    <s v="Robin Williams"/>
    <x v="3170"/>
    <n v="80580"/>
    <s v="doctor|hospital|mental institution|nurse|student"/>
    <n v="375"/>
    <x v="0"/>
    <x v="0"/>
    <n v="50000000"/>
    <x v="6"/>
    <x v="21"/>
    <n v="50000000"/>
    <n v="135014968"/>
    <x v="3166"/>
    <x v="3170"/>
    <x v="2"/>
  </r>
  <r>
    <x v="1584"/>
    <n v="133"/>
    <n v="5895238"/>
    <s v="Comedy|Western"/>
    <s v="Will Ferrell"/>
    <x v="3171"/>
    <n v="17169"/>
    <s v="absurd humor|drug lord|mexico|ranch|spaghetti western"/>
    <n v="70"/>
    <x v="9"/>
    <x v="0"/>
    <n v="6000000"/>
    <x v="28"/>
    <x v="28"/>
    <n v="6000000"/>
    <n v="5895238"/>
    <x v="3167"/>
    <x v="3171"/>
    <x v="4"/>
  </r>
  <r>
    <x v="381"/>
    <n v="53"/>
    <n v="5132222"/>
    <s v="Drama|Mystery|Romance"/>
    <s v="Bruce Greenwood"/>
    <x v="3172"/>
    <n v="14112"/>
    <s v="bird|cult film|egg|nightclub|toronto"/>
    <n v="83"/>
    <x v="0"/>
    <x v="9"/>
    <n v="2000000"/>
    <x v="5"/>
    <x v="33"/>
    <n v="1446810"/>
    <n v="3712675.0559099899"/>
    <x v="3168"/>
    <x v="3172"/>
    <x v="5"/>
  </r>
  <r>
    <x v="1226"/>
    <n v="100"/>
    <n v="18488314"/>
    <s v="Comedy|Crime|Mystery"/>
    <s v="Geoffrey Arend"/>
    <x v="3173"/>
    <n v="76151"/>
    <s v="drugs|highway|police|state trooper|vermont"/>
    <n v="333"/>
    <x v="0"/>
    <x v="0"/>
    <n v="1200000"/>
    <x v="9"/>
    <x v="17"/>
    <n v="1200000"/>
    <n v="18488314"/>
    <x v="3169"/>
    <x v="3173"/>
    <x v="4"/>
  </r>
  <r>
    <x v="82"/>
    <n v="121"/>
    <n v="2426851"/>
    <s v="Comedy|Crime|Romance|Thriller"/>
    <s v="Philip Baker Hall"/>
    <x v="3174"/>
    <n v="16224"/>
    <s v="alcoholic|buffalo new york|claim in title|embalming|mortuary"/>
    <n v="76"/>
    <x v="0"/>
    <x v="0"/>
    <n v="4000000"/>
    <x v="15"/>
    <x v="20"/>
    <n v="4000000"/>
    <n v="2426851"/>
    <x v="3170"/>
    <x v="3174"/>
    <x v="4"/>
  </r>
  <r>
    <x v="1543"/>
    <n v="94"/>
    <n v="31526393"/>
    <s v="Action|Adventure|Horror|Thriller"/>
    <s v="Nicholas Gonzalez"/>
    <x v="3175"/>
    <n v="22243"/>
    <s v="anaconda|blood|borneo|flower|orchid"/>
    <n v="144"/>
    <x v="0"/>
    <x v="0"/>
    <n v="25000000"/>
    <x v="2"/>
    <x v="34"/>
    <n v="25000000"/>
    <n v="31526393"/>
    <x v="3171"/>
    <x v="3175"/>
    <x v="1"/>
  </r>
  <r>
    <x v="199"/>
    <n v="131"/>
    <n v="22751979"/>
    <s v="Action|Adventure|Animation|Family|Sci-Fi"/>
    <s v="Matt Damon"/>
    <x v="3176"/>
    <n v="52244"/>
    <s v="alien|captain|escape|pilot|scientist"/>
    <n v="377"/>
    <x v="0"/>
    <x v="0"/>
    <n v="75000000"/>
    <x v="4"/>
    <x v="14"/>
    <n v="75000000"/>
    <n v="22751979"/>
    <x v="3172"/>
    <x v="3176"/>
    <x v="1"/>
  </r>
  <r>
    <x v="207"/>
    <n v="56"/>
    <n v="70492685"/>
    <s v="Comedy|Drama"/>
    <s v="Harold Perrineau"/>
    <x v="3177"/>
    <n v="11600"/>
    <s v="childbirth|christmas|gay slur|infidelity|punched in the nose"/>
    <n v="64"/>
    <x v="0"/>
    <x v="0"/>
    <n v="17000000"/>
    <x v="0"/>
    <x v="21"/>
    <n v="17000000"/>
    <n v="70492685"/>
    <x v="3173"/>
    <x v="3177"/>
    <x v="4"/>
  </r>
  <r>
    <x v="1585"/>
    <n v="32"/>
    <n v="20400000"/>
    <s v="Drama|Romance|Western"/>
    <s v="Joseph Cotten"/>
    <x v="3178"/>
    <n v="6304"/>
    <s v="box office hit|half breed|infidelity|shooting|texas"/>
    <n v="87"/>
    <x v="0"/>
    <x v="0"/>
    <n v="8000000"/>
    <x v="55"/>
    <x v="31"/>
    <n v="8000000"/>
    <n v="20400000"/>
    <x v="3174"/>
    <x v="3178"/>
    <x v="5"/>
  </r>
  <r>
    <x v="1586"/>
    <n v="168"/>
    <n v="71500556"/>
    <s v="Comedy|Drama|Romance"/>
    <s v="Colin Firth"/>
    <x v="3179"/>
    <n v="171568"/>
    <s v="american actress playing british character|book publishing|calorie counting|employer employee relationship|rabbit costume"/>
    <n v="571"/>
    <x v="0"/>
    <x v="2"/>
    <n v="26000000"/>
    <x v="9"/>
    <x v="21"/>
    <n v="33420399.999999899"/>
    <n v="91906814.682399899"/>
    <x v="3175"/>
    <x v="3179"/>
    <x v="4"/>
  </r>
  <r>
    <x v="112"/>
    <n v="198"/>
    <n v="210609762"/>
    <s v="Adventure|Comedy|Sci-Fi"/>
    <s v="Lea Thompson"/>
    <x v="3180"/>
    <n v="732212"/>
    <s v="clock tower|delorean|future|time travel|time travel comedy"/>
    <n v="809"/>
    <x v="0"/>
    <x v="0"/>
    <n v="19000000"/>
    <x v="37"/>
    <x v="59"/>
    <n v="19000000"/>
    <n v="210609762"/>
    <x v="3176"/>
    <x v="3180"/>
    <x v="0"/>
  </r>
  <r>
    <x v="1587"/>
    <n v="27"/>
    <n v="124720"/>
    <s v="Drama|Romance"/>
    <s v="Adam Scott"/>
    <x v="3181"/>
    <n v="1560"/>
    <s v="christmas|fable|old man"/>
    <n v="15"/>
    <x v="0"/>
    <x v="0"/>
    <n v="5000000"/>
    <x v="20"/>
    <x v="4"/>
    <n v="5000000"/>
    <n v="124720"/>
    <x v="3177"/>
    <x v="3181"/>
    <x v="5"/>
  </r>
  <r>
    <x v="1588"/>
    <n v="147"/>
    <n v="162495848"/>
    <s v="Adventure|Animation|Comedy|Family|Fantasy"/>
    <s v="Tim Conway"/>
    <x v="3182"/>
    <n v="34359"/>
    <s v="book|magic|pirate|plankton|time machine"/>
    <n v="133"/>
    <x v="0"/>
    <x v="0"/>
    <n v="74000000"/>
    <x v="1"/>
    <x v="11"/>
    <n v="74000000"/>
    <n v="162495848"/>
    <x v="3178"/>
    <x v="3182"/>
    <x v="0"/>
  </r>
  <r>
    <x v="1589"/>
    <n v="148"/>
    <n v="17016190"/>
    <s v="Comedy|Fantasy|Horror|Thriller"/>
    <s v="Jason Flemyng"/>
    <x v="3183"/>
    <n v="28632"/>
    <s v="actress|killer doll|murder|vixen|vomiting"/>
    <n v="214"/>
    <x v="0"/>
    <x v="42"/>
    <n v="12000000"/>
    <x v="2"/>
    <x v="18"/>
    <n v="2619690"/>
    <n v="3714761.8984249998"/>
    <x v="3179"/>
    <x v="3183"/>
    <x v="4"/>
  </r>
  <r>
    <x v="947"/>
    <n v="45"/>
    <n v="2275557"/>
    <s v="Action|Comedy|Crime|Thriller"/>
    <s v="Cary-Hiroyuki Tagawa"/>
    <x v="3184"/>
    <n v="12561"/>
    <s v="bare chested male|detective|electric torture|japanese american|yakuza"/>
    <n v="102"/>
    <x v="0"/>
    <x v="0"/>
    <n v="8000000"/>
    <x v="38"/>
    <x v="11"/>
    <n v="8000000"/>
    <n v="2275557"/>
    <x v="3180"/>
    <x v="3184"/>
    <x v="1"/>
  </r>
  <r>
    <x v="477"/>
    <n v="160"/>
    <n v="70117571"/>
    <s v="Action|Adventure|Sci-Fi|Thriller"/>
    <s v="LeVar Burton"/>
    <x v="3185"/>
    <n v="56741"/>
    <s v="alien|captain|commander|conspiracy|planet"/>
    <n v="515"/>
    <x v="0"/>
    <x v="0"/>
    <n v="58000000"/>
    <x v="6"/>
    <x v="24"/>
    <n v="58000000"/>
    <n v="70117571"/>
    <x v="3181"/>
    <x v="3185"/>
    <x v="1"/>
  </r>
  <r>
    <x v="1021"/>
    <n v="116"/>
    <n v="36020063"/>
    <s v="Drama|Thriller"/>
    <s v="Denis O'Hare"/>
    <x v="3186"/>
    <n v="62584"/>
    <s v="drink|hotel|police|staged rape|thief"/>
    <n v="375"/>
    <x v="0"/>
    <x v="0"/>
    <n v="22000000"/>
    <x v="25"/>
    <x v="14"/>
    <n v="22000000"/>
    <n v="36020063"/>
    <x v="3182"/>
    <x v="3186"/>
    <x v="5"/>
  </r>
  <r>
    <x v="1590"/>
    <n v="59"/>
    <n v="28501605"/>
    <s v="Fantasy|Horror"/>
    <s v="Jenny Agutter"/>
    <x v="3187"/>
    <n v="31371"/>
    <s v="boy|doll|foster home|killer doll|serial killer"/>
    <n v="166"/>
    <x v="0"/>
    <x v="0"/>
    <n v="13000000"/>
    <x v="32"/>
    <x v="35"/>
    <n v="13000000"/>
    <n v="28501605"/>
    <x v="3183"/>
    <x v="3187"/>
    <x v="9"/>
  </r>
  <r>
    <x v="282"/>
    <n v="341"/>
    <n v="53082743"/>
    <s v="Drama|Mystery|Sci-Fi|Thriller"/>
    <s v="Christian Bale"/>
    <x v="3188"/>
    <n v="844052"/>
    <s v="illusion|magician|obsession|rivalry|secret"/>
    <n v="1100"/>
    <x v="0"/>
    <x v="0"/>
    <n v="40000000"/>
    <x v="7"/>
    <x v="59"/>
    <n v="40000000"/>
    <n v="53082743"/>
    <x v="3184"/>
    <x v="3188"/>
    <x v="5"/>
  </r>
  <r>
    <x v="824"/>
    <n v="151"/>
    <n v="47592825"/>
    <s v="Action|Adventure|Comedy|Thriller"/>
    <s v="Dwayne Johnson"/>
    <x v="3189"/>
    <n v="82731"/>
    <s v="amazon|bounty hunter|fight|hunter|jungle"/>
    <n v="255"/>
    <x v="0"/>
    <x v="0"/>
    <n v="85000000"/>
    <x v="19"/>
    <x v="21"/>
    <n v="85000000"/>
    <n v="47592825"/>
    <x v="3185"/>
    <x v="3189"/>
    <x v="1"/>
  </r>
  <r>
    <x v="1591"/>
    <n v="35"/>
    <n v="3123749"/>
    <s v="Comedy|Romance"/>
    <s v="Dyan Cannon"/>
    <x v="3190"/>
    <n v="746"/>
    <s v="title spoken by character"/>
    <n v="27"/>
    <x v="0"/>
    <x v="0"/>
    <n v="1500000"/>
    <x v="25"/>
    <x v="20"/>
    <n v="1500000"/>
    <n v="3123749"/>
    <x v="3186"/>
    <x v="3190"/>
    <x v="4"/>
  </r>
  <r>
    <x v="316"/>
    <n v="134"/>
    <n v="537580"/>
    <s v="Action|Biography|Crime|Drama"/>
    <s v="Gerard Butler"/>
    <x v="3191"/>
    <n v="52972"/>
    <s v="africa|biker|church|orphanage|preacher"/>
    <n v="124"/>
    <x v="0"/>
    <x v="0"/>
    <n v="30000000"/>
    <x v="22"/>
    <x v="22"/>
    <n v="30000000"/>
    <n v="537580"/>
    <x v="3187"/>
    <x v="3191"/>
    <x v="1"/>
  </r>
  <r>
    <x v="1025"/>
    <n v="112"/>
    <n v="90636983"/>
    <s v="Comedy|Family|Sport"/>
    <s v="Dwayne Johnson"/>
    <x v="3192"/>
    <n v="44021"/>
    <s v="family relationships|football movie|publicist|sports team|tween girl"/>
    <n v="83"/>
    <x v="0"/>
    <x v="0"/>
    <n v="22000000"/>
    <x v="15"/>
    <x v="5"/>
    <n v="22000000"/>
    <n v="90636983"/>
    <x v="3188"/>
    <x v="3192"/>
    <x v="4"/>
  </r>
  <r>
    <x v="53"/>
    <n v="191"/>
    <n v="141204016"/>
    <s v="Action|Adventure|Thriller"/>
    <s v="Vin Diesel"/>
    <x v="3193"/>
    <n v="142569"/>
    <s v="agent|nsa|nsa agent|prague|russian"/>
    <n v="737"/>
    <x v="0"/>
    <x v="0"/>
    <n v="70000000"/>
    <x v="13"/>
    <x v="30"/>
    <n v="70000000"/>
    <n v="141204016"/>
    <x v="3189"/>
    <x v="3193"/>
    <x v="1"/>
  </r>
  <r>
    <x v="1592"/>
    <n v="274"/>
    <n v="28637507"/>
    <s v="Drama|Horror|Sci-Fi"/>
    <s v="Jeremy Renner"/>
    <x v="3194"/>
    <n v="212167"/>
    <s v="paris france|rage|sniper|u.s. army|zombie apocalypse"/>
    <n v="713"/>
    <x v="0"/>
    <x v="2"/>
    <n v="15000000"/>
    <x v="15"/>
    <x v="16"/>
    <n v="19281000"/>
    <n v="36810651.4978"/>
    <x v="3190"/>
    <x v="3194"/>
    <x v="5"/>
  </r>
  <r>
    <x v="624"/>
    <n v="44"/>
    <n v="1055654"/>
    <s v="Drama|Romance|Sport"/>
    <s v="Scott Mechlowicz"/>
    <x v="3195"/>
    <n v="20426"/>
    <s v="college|college athlete|comeback|gymnast|olympics"/>
    <n v="175"/>
    <x v="0"/>
    <x v="5"/>
    <n v="10000000"/>
    <x v="7"/>
    <x v="4"/>
    <n v="10847400"/>
    <n v="1145110.11996"/>
    <x v="3191"/>
    <x v="3195"/>
    <x v="5"/>
  </r>
  <r>
    <x v="1593"/>
    <n v="109"/>
    <n v="58214"/>
    <s v="Crime|Drama|Thriller"/>
    <s v="Noah Emmerich"/>
    <x v="3196"/>
    <n v="34224"/>
    <s v="counselor|fbi|revenge motive|school|teenage girl"/>
    <n v="137"/>
    <x v="0"/>
    <x v="0"/>
    <n v="9500000"/>
    <x v="11"/>
    <x v="16"/>
    <n v="9500000"/>
    <n v="58214"/>
    <x v="3192"/>
    <x v="3196"/>
    <x v="3"/>
  </r>
  <r>
    <x v="40"/>
    <n v="131"/>
    <n v="44886089"/>
    <s v="Crime|Drama|Thriller"/>
    <s v="Robert De Niro"/>
    <x v="3197"/>
    <n v="69576"/>
    <s v="corruption|faked death|falling off a roof|internal affairs|nypd"/>
    <n v="207"/>
    <x v="0"/>
    <x v="0"/>
    <n v="10000000"/>
    <x v="31"/>
    <x v="31"/>
    <n v="10000000"/>
    <n v="44886089"/>
    <x v="3193"/>
    <x v="3197"/>
    <x v="3"/>
  </r>
  <r>
    <x v="449"/>
    <n v="308"/>
    <n v="110416702"/>
    <s v="Action|Comedy"/>
    <s v="Robert Downey Jr."/>
    <x v="3198"/>
    <n v="307539"/>
    <s v="film director|parody|spoof|vietnam|written and directed by cast member"/>
    <n v="577"/>
    <x v="0"/>
    <x v="0"/>
    <n v="92000000"/>
    <x v="20"/>
    <x v="16"/>
    <n v="92000000"/>
    <n v="110416702"/>
    <x v="3194"/>
    <x v="3198"/>
    <x v="1"/>
  </r>
  <r>
    <x v="607"/>
    <n v="37"/>
    <n v="173585516"/>
    <s v="Adventure|Comedy|Family"/>
    <s v="Macaulay Culkin"/>
    <x v="3199"/>
    <n v="200077"/>
    <s v="airport|christmas|florida|new york city|toy store"/>
    <n v="189"/>
    <x v="0"/>
    <x v="0"/>
    <n v="18000000"/>
    <x v="8"/>
    <x v="14"/>
    <n v="18000000"/>
    <n v="173585516"/>
    <x v="3195"/>
    <x v="3199"/>
    <x v="0"/>
  </r>
  <r>
    <x v="815"/>
    <n v="121"/>
    <n v="119500000"/>
    <s v="Comedy|Western"/>
    <s v="Madeline Kahn"/>
    <x v="3200"/>
    <n v="95294"/>
    <s v="railroad|reference to douglas fairbanks|reference to jesse owens|reference to randolph scott|year 1874"/>
    <n v="363"/>
    <x v="0"/>
    <x v="0"/>
    <n v="2600000"/>
    <x v="48"/>
    <x v="38"/>
    <n v="2600000"/>
    <n v="119500000"/>
    <x v="3196"/>
    <x v="3200"/>
    <x v="4"/>
  </r>
  <r>
    <x v="549"/>
    <n v="208"/>
    <n v="190418803"/>
    <s v="Action|Adventure|Comedy|Family|Fantasy|Mystery|Sci-Fi"/>
    <s v="Will Smith"/>
    <x v="3201"/>
    <n v="270207"/>
    <s v="alien|lingerie|lingerie model|m.i.b.|pug"/>
    <n v="606"/>
    <x v="0"/>
    <x v="0"/>
    <n v="140000000"/>
    <x v="13"/>
    <x v="7"/>
    <n v="140000000"/>
    <n v="190418803"/>
    <x v="3197"/>
    <x v="3201"/>
    <x v="1"/>
  </r>
  <r>
    <x v="1472"/>
    <n v="85"/>
    <n v="52799004"/>
    <s v="Drama|Romance"/>
    <s v="Robin Wright"/>
    <x v="3202"/>
    <n v="28942"/>
    <s v="beach|bottle|jogging|letter|love"/>
    <n v="223"/>
    <x v="0"/>
    <x v="0"/>
    <n v="55000000"/>
    <x v="12"/>
    <x v="7"/>
    <n v="55000000"/>
    <n v="52799004"/>
    <x v="3198"/>
    <x v="3202"/>
    <x v="5"/>
  </r>
  <r>
    <x v="1594"/>
    <n v="176"/>
    <n v="13746550"/>
    <s v="Action|Comedy|Romance"/>
    <s v="Bradley Cooper"/>
    <x v="3203"/>
    <n v="29322"/>
    <s v="gay cop|getaway driver|masturbation|penis|witness protection"/>
    <n v="104"/>
    <x v="0"/>
    <x v="0"/>
    <n v="2000000"/>
    <x v="28"/>
    <x v="7"/>
    <n v="2000000"/>
    <n v="13746550"/>
    <x v="3199"/>
    <x v="3203"/>
    <x v="1"/>
  </r>
  <r>
    <x v="740"/>
    <n v="308"/>
    <n v="3675072"/>
    <s v="Adventure|Sci-Fi|Thriller"/>
    <s v="Chris Evans"/>
    <x v="3204"/>
    <n v="190132"/>
    <s v="astronaut|earth|future|icarus|sun"/>
    <n v="801"/>
    <x v="0"/>
    <x v="2"/>
    <n v="26000000"/>
    <x v="15"/>
    <x v="4"/>
    <n v="33420399.999999899"/>
    <n v="4723937.5488"/>
    <x v="3200"/>
    <x v="3204"/>
    <x v="0"/>
  </r>
  <r>
    <x v="816"/>
    <n v="156"/>
    <n v="27669413"/>
    <s v="Horror|Mystery"/>
    <s v="Costas Mandylor"/>
    <x v="3205"/>
    <n v="76207"/>
    <s v="deception|flash photography|game of death|jigsaw|pig mask"/>
    <n v="194"/>
    <x v="0"/>
    <x v="9"/>
    <n v="11000000"/>
    <x v="16"/>
    <x v="11"/>
    <n v="7957455"/>
    <n v="20016191.711264901"/>
    <x v="3201"/>
    <x v="3205"/>
    <x v="6"/>
  </r>
  <r>
    <x v="1595"/>
    <n v="145"/>
    <n v="17473245"/>
    <s v="Action|Sci-Fi|Thriller"/>
    <s v="Bob Neill"/>
    <x v="3206"/>
    <n v="47612"/>
    <s v="astronaut|mars|robot|robot as menace|survival"/>
    <n v="348"/>
    <x v="0"/>
    <x v="0"/>
    <n v="70000000"/>
    <x v="4"/>
    <x v="35"/>
    <n v="70000000"/>
    <n v="17473245"/>
    <x v="3202"/>
    <x v="3206"/>
    <x v="1"/>
  </r>
  <r>
    <x v="391"/>
    <n v="162"/>
    <n v="140080850"/>
    <s v="Action|Comedy|Crime|Thriller"/>
    <s v="Tzi Ma"/>
    <x v="3207"/>
    <n v="121084"/>
    <s v="ambassador|assassination|chinese|french|triad"/>
    <n v="221"/>
    <x v="0"/>
    <x v="0"/>
    <n v="140000000"/>
    <x v="15"/>
    <x v="5"/>
    <n v="140000000"/>
    <n v="140080850"/>
    <x v="3203"/>
    <x v="3207"/>
    <x v="1"/>
  </r>
  <r>
    <x v="1193"/>
    <n v="119"/>
    <n v="90835030"/>
    <s v="Action|Comedy"/>
    <s v="Olivia Munn"/>
    <x v="3208"/>
    <n v="28621"/>
    <s v="computer hacker|crime boss|detective|drugs|wedding"/>
    <n v="58"/>
    <x v="0"/>
    <x v="0"/>
    <n v="40000000"/>
    <x v="24"/>
    <x v="0"/>
    <n v="40000000"/>
    <n v="90835030"/>
    <x v="3204"/>
    <x v="3208"/>
    <x v="1"/>
  </r>
  <r>
    <x v="757"/>
    <n v="283"/>
    <n v="261437578"/>
    <s v="Action|Adventure|Animation|Family"/>
    <s v="Holly Hunter"/>
    <x v="3209"/>
    <n v="479166"/>
    <s v="hero|island|lawsuit|secret|superhero"/>
    <n v="815"/>
    <x v="0"/>
    <x v="0"/>
    <n v="92000000"/>
    <x v="2"/>
    <x v="3"/>
    <n v="92000000"/>
    <n v="261437578"/>
    <x v="3205"/>
    <x v="3209"/>
    <x v="1"/>
  </r>
  <r>
    <x v="255"/>
    <n v="107"/>
    <n v="10654581"/>
    <s v="Drama|Sci-Fi|Thriller"/>
    <s v="Johnny Depp"/>
    <x v="284"/>
    <n v="45500"/>
    <s v="astronaut|electrocuted in bathtub|mission|pilot|sister"/>
    <n v="260"/>
    <x v="0"/>
    <x v="0"/>
    <n v="34000000"/>
    <x v="12"/>
    <x v="1"/>
    <n v="34000000"/>
    <n v="10654581"/>
    <x v="284"/>
    <x v="284"/>
    <x v="5"/>
  </r>
  <r>
    <x v="785"/>
    <n v="173"/>
    <n v="13622333"/>
    <s v="Adventure|Comedy|Drama|Romance"/>
    <s v="Maribel VerdÃº"/>
    <x v="3210"/>
    <n v="91377"/>
    <s v="beach|cleaning a swimming pool|male male kiss|mexico|on the road"/>
    <n v="385"/>
    <x v="9"/>
    <x v="13"/>
    <n v="2000000"/>
    <x v="9"/>
    <x v="9"/>
    <n v="108409.38"/>
    <n v="738394.33734176995"/>
    <x v="3206"/>
    <x v="3210"/>
    <x v="0"/>
  </r>
  <r>
    <x v="60"/>
    <n v="349"/>
    <n v="60522097"/>
    <s v="Action|Adventure|Sci-Fi"/>
    <s v="Will Smith"/>
    <x v="3211"/>
    <n v="158720"/>
    <s v="box office flop|father son team|fear|race against time|real life father and son playing father and son"/>
    <n v="744"/>
    <x v="0"/>
    <x v="0"/>
    <n v="130000000"/>
    <x v="0"/>
    <x v="18"/>
    <n v="130000000"/>
    <n v="60522097"/>
    <x v="3207"/>
    <x v="3211"/>
    <x v="1"/>
  </r>
  <r>
    <x v="352"/>
    <n v="33"/>
    <n v="21210"/>
    <s v="Comedy|Crime"/>
    <s v="Harvey Fierstein"/>
    <x v="3212"/>
    <n v="2735"/>
    <s v="gangster|organized crime|robbery|rosh hashanah|safecracking"/>
    <n v="52"/>
    <x v="0"/>
    <x v="0"/>
    <n v="1000000"/>
    <x v="6"/>
    <x v="7"/>
    <n v="1000000"/>
    <n v="21210"/>
    <x v="3208"/>
    <x v="3212"/>
    <x v="4"/>
  </r>
  <r>
    <x v="632"/>
    <n v="389"/>
    <n v="281666058"/>
    <s v="Adventure|Sci-Fi"/>
    <s v="Jennifer Lawrence"/>
    <x v="3213"/>
    <n v="166137"/>
    <s v="death of sister|dystopia|execution|rebellion|revolution"/>
    <n v="383"/>
    <x v="0"/>
    <x v="0"/>
    <n v="160000000"/>
    <x v="1"/>
    <x v="14"/>
    <n v="160000000"/>
    <n v="281666058"/>
    <x v="3209"/>
    <x v="3213"/>
    <x v="0"/>
  </r>
  <r>
    <x v="1201"/>
    <n v="93"/>
    <n v="69586544"/>
    <s v="Drama"/>
    <s v="Ellen Burstyn"/>
    <x v="3214"/>
    <n v="15352"/>
    <s v="flashback|interview|louisiana|playwright|secret society"/>
    <n v="199"/>
    <x v="0"/>
    <x v="0"/>
    <n v="27000000"/>
    <x v="13"/>
    <x v="11"/>
    <n v="27000000"/>
    <n v="69586544"/>
    <x v="3210"/>
    <x v="3214"/>
    <x v="5"/>
  </r>
  <r>
    <x v="329"/>
    <n v="341"/>
    <n v="9190525"/>
    <s v="Comedy|Drama"/>
    <s v="Michael Stuhlbarg"/>
    <x v="3215"/>
    <n v="102125"/>
    <s v="bar mitzvah|jewish|marital breakup|nose job|rabbi"/>
    <n v="324"/>
    <x v="0"/>
    <x v="0"/>
    <n v="7000000"/>
    <x v="16"/>
    <x v="16"/>
    <n v="7000000"/>
    <n v="9190525"/>
    <x v="3211"/>
    <x v="3215"/>
    <x v="4"/>
  </r>
  <r>
    <x v="1466"/>
    <n v="46"/>
    <n v="10411980"/>
    <s v="Family|Music|Romance"/>
    <s v="Oliver James"/>
    <x v="3216"/>
    <n v="22649"/>
    <s v="music school|scholarship|small town|stage fright|three word title"/>
    <n v="212"/>
    <x v="0"/>
    <x v="0"/>
    <n v="15000000"/>
    <x v="2"/>
    <x v="0"/>
    <n v="15000000"/>
    <n v="10411980"/>
    <x v="3212"/>
    <x v="3216"/>
    <x v="11"/>
  </r>
  <r>
    <x v="1596"/>
    <n v="118"/>
    <n v="7486906"/>
    <s v="Comedy|Drama|Family"/>
    <s v="Oliver Platt"/>
    <x v="3217"/>
    <n v="17436"/>
    <s v="adopted son|adoption|boy|mars the planet|widower"/>
    <n v="71"/>
    <x v="0"/>
    <x v="0"/>
    <n v="27000000"/>
    <x v="15"/>
    <x v="22"/>
    <n v="27000000"/>
    <n v="7486906"/>
    <x v="3213"/>
    <x v="3217"/>
    <x v="4"/>
  </r>
  <r>
    <x v="621"/>
    <n v="271"/>
    <n v="84263837"/>
    <s v="Horror|Mystery"/>
    <s v="Alfre Woodard"/>
    <x v="3218"/>
    <n v="81699"/>
    <s v="horror movie prequel|murder|paranormal activity|self sacrifice|suicide"/>
    <n v="291"/>
    <x v="0"/>
    <x v="0"/>
    <n v="6500000"/>
    <x v="27"/>
    <x v="26"/>
    <n v="6500000"/>
    <n v="84263837"/>
    <x v="3214"/>
    <x v="3218"/>
    <x v="6"/>
  </r>
  <r>
    <x v="639"/>
    <n v="85"/>
    <n v="4414535"/>
    <s v="Drama"/>
    <s v="Julie Christie"/>
    <x v="3219"/>
    <n v="30618"/>
    <s v="classic literature|denmark|funeral|madness|prince"/>
    <n v="224"/>
    <x v="0"/>
    <x v="2"/>
    <n v="18000000"/>
    <x v="10"/>
    <x v="38"/>
    <n v="23137199.999999899"/>
    <n v="5674443.2889999999"/>
    <x v="3215"/>
    <x v="3219"/>
    <x v="5"/>
  </r>
  <r>
    <x v="771"/>
    <n v="107"/>
    <n v="15155772"/>
    <s v="Comedy|Drama|Romance"/>
    <s v="Yaya DaCosta"/>
    <x v="3220"/>
    <n v="8895"/>
    <s v="four word title|grandparent grandchild relationship|reference to facebook|reference to the internet|singer"/>
    <n v="48"/>
    <x v="0"/>
    <x v="0"/>
    <n v="18000000"/>
    <x v="27"/>
    <x v="35"/>
    <n v="18000000"/>
    <n v="15155772"/>
    <x v="3216"/>
    <x v="3220"/>
    <x v="4"/>
  </r>
  <r>
    <x v="360"/>
    <n v="167"/>
    <n v="66790248"/>
    <s v="Drama|Thriller"/>
    <s v="Sydney Pollack"/>
    <x v="3221"/>
    <n v="57281"/>
    <s v="car accident|feud|lawyer|revenge|road rage"/>
    <n v="350"/>
    <x v="0"/>
    <x v="0"/>
    <n v="45000000"/>
    <x v="13"/>
    <x v="20"/>
    <n v="45000000"/>
    <n v="66790248"/>
    <x v="3217"/>
    <x v="3221"/>
    <x v="5"/>
  </r>
  <r>
    <x v="1597"/>
    <n v="84"/>
    <n v="25077977"/>
    <s v="Adventure|Animation|Comedy|Family|Romance"/>
    <s v="Kevin Sussman"/>
    <x v="3222"/>
    <n v="10986"/>
    <s v="arranged marriage|geese|idaho|national park|park"/>
    <n v="84"/>
    <x v="0"/>
    <x v="0"/>
    <n v="20000000"/>
    <x v="11"/>
    <x v="1"/>
    <n v="20000000"/>
    <n v="25077977"/>
    <x v="3218"/>
    <x v="3222"/>
    <x v="0"/>
  </r>
  <r>
    <x v="1598"/>
    <n v="29"/>
    <n v="7888703"/>
    <s v="Comedy|Fantasy"/>
    <s v="John Astin"/>
    <x v="3223"/>
    <n v="8465"/>
    <s v="falling in love|glowing eyes|insult|teenager|three word title"/>
    <n v="65"/>
    <x v="0"/>
    <x v="0"/>
    <n v="3000000"/>
    <x v="21"/>
    <x v="72"/>
    <n v="3000000"/>
    <n v="7888703"/>
    <x v="3219"/>
    <x v="3223"/>
    <x v="4"/>
  </r>
  <r>
    <x v="1599"/>
    <n v="121"/>
    <n v="1506998"/>
    <s v="Crime|Drama|Romance"/>
    <s v="David Richmond-Peck"/>
    <x v="3224"/>
    <n v="8014"/>
    <s v="bachelor|best friend|divorce|poison|widow"/>
    <n v="50"/>
    <x v="0"/>
    <x v="0"/>
    <n v="12000000"/>
    <x v="15"/>
    <x v="23"/>
    <n v="12000000"/>
    <n v="1506998"/>
    <x v="3220"/>
    <x v="3224"/>
    <x v="3"/>
  </r>
  <r>
    <x v="1600"/>
    <n v="421"/>
    <n v="14677654"/>
    <s v="Drama"/>
    <s v="Joan Allen"/>
    <x v="3225"/>
    <n v="161288"/>
    <s v="based on novel|escape|imprisonment|kidnapping|mother son relationship"/>
    <n v="351"/>
    <x v="0"/>
    <x v="7"/>
    <n v="13000000"/>
    <x v="1"/>
    <x v="36"/>
    <n v="14101620"/>
    <n v="15921438.39996"/>
    <x v="3221"/>
    <x v="3225"/>
    <x v="5"/>
  </r>
  <r>
    <x v="1045"/>
    <n v="132"/>
    <n v="7060876"/>
    <s v="Biography|Drama"/>
    <s v="Kate Winslet"/>
    <x v="3226"/>
    <n v="44795"/>
    <s v="asylum|lust|male pubic hair|penis|pubic hair"/>
    <n v="314"/>
    <x v="0"/>
    <x v="2"/>
    <n v="13500000"/>
    <x v="4"/>
    <x v="39"/>
    <n v="17352900"/>
    <n v="9076050.0103999991"/>
    <x v="3222"/>
    <x v="3226"/>
    <x v="2"/>
  </r>
  <r>
    <x v="1601"/>
    <n v="206"/>
    <n v="3388210"/>
    <s v="Drama|Romance"/>
    <s v="Jennifer Lawrence"/>
    <x v="3227"/>
    <n v="46813"/>
    <s v="girlfriend|immigration|long distance relationship|parents|student visa"/>
    <n v="150"/>
    <x v="0"/>
    <x v="0"/>
    <n v="250000"/>
    <x v="22"/>
    <x v="21"/>
    <n v="250000"/>
    <n v="3388210"/>
    <x v="3223"/>
    <x v="3227"/>
    <x v="5"/>
  </r>
  <r>
    <x v="1602"/>
    <n v="156"/>
    <n v="42194060"/>
    <s v="Adventure|Animation|Comedy|Family|Sci-Fi"/>
    <s v="Dwayne Johnson"/>
    <x v="3228"/>
    <n v="41259"/>
    <s v="alien|alien planet|astronaut|planet|teenager"/>
    <n v="72"/>
    <x v="0"/>
    <x v="12"/>
    <n v="70000000"/>
    <x v="16"/>
    <x v="7"/>
    <n v="75931800"/>
    <n v="45769584.644400001"/>
    <x v="3224"/>
    <x v="3228"/>
    <x v="0"/>
  </r>
  <r>
    <x v="180"/>
    <n v="257"/>
    <n v="35799026"/>
    <s v="Action|Adventure|Romance|Sci-Fi|Thriller"/>
    <s v="Scarlett Johansson"/>
    <x v="1393"/>
    <n v="263336"/>
    <s v="clone|environment|escape|island|lottery"/>
    <n v="899"/>
    <x v="0"/>
    <x v="0"/>
    <n v="126000000"/>
    <x v="25"/>
    <x v="31"/>
    <n v="126000000"/>
    <n v="35799026"/>
    <x v="1392"/>
    <x v="1393"/>
    <x v="1"/>
  </r>
  <r>
    <x v="32"/>
    <n v="230"/>
    <n v="180011740"/>
    <s v="Action|Adventure|Sci-Fi|Thriller"/>
    <s v="Cary-Hiroyuki Tagawa"/>
    <x v="983"/>
    <n v="177725"/>
    <s v="astronaut|cage|planet|wilhelm scream|year 2029"/>
    <n v="1368"/>
    <x v="0"/>
    <x v="0"/>
    <n v="100000000"/>
    <x v="9"/>
    <x v="35"/>
    <n v="100000000"/>
    <n v="180011740"/>
    <x v="983"/>
    <x v="983"/>
    <x v="1"/>
  </r>
  <r>
    <x v="158"/>
    <n v="114"/>
    <n v="8373585"/>
    <s v="Drama"/>
    <s v="Irvin Kershner"/>
    <x v="3229"/>
    <n v="39680"/>
    <s v="carpenter|exorcism|faith|reference to jesus christ|temptation"/>
    <n v="308"/>
    <x v="0"/>
    <x v="0"/>
    <n v="7000000"/>
    <x v="34"/>
    <x v="10"/>
    <n v="7000000"/>
    <n v="8373585"/>
    <x v="3225"/>
    <x v="3229"/>
    <x v="5"/>
  </r>
  <r>
    <x v="998"/>
    <n v="221"/>
    <n v="1939441"/>
    <s v="Biography|Crime|Drama"/>
    <s v="Chris Evans"/>
    <x v="3230"/>
    <n v="55567"/>
    <s v="based on true story|contract killer|crime family|murder of a girl|serial murderer"/>
    <n v="144"/>
    <x v="0"/>
    <x v="0"/>
    <n v="10000000"/>
    <x v="28"/>
    <x v="31"/>
    <n v="10000000"/>
    <n v="1939441"/>
    <x v="3226"/>
    <x v="3230"/>
    <x v="2"/>
  </r>
  <r>
    <x v="345"/>
    <n v="104"/>
    <n v="25407250"/>
    <s v="Action|Adventure|Sci-Fi|Thriller"/>
    <s v="Steve Buscemi"/>
    <x v="3231"/>
    <n v="54021"/>
    <s v="escape|island|los angeles california|machismo|president's daughter"/>
    <n v="227"/>
    <x v="0"/>
    <x v="0"/>
    <n v="50000000"/>
    <x v="10"/>
    <x v="35"/>
    <n v="50000000"/>
    <n v="25407250"/>
    <x v="3227"/>
    <x v="3231"/>
    <x v="1"/>
  </r>
  <r>
    <x v="111"/>
    <n v="98"/>
    <n v="17324744"/>
    <s v="Comedy|Fantasy|Romance"/>
    <s v="Samaire Armstrong"/>
    <x v="3232"/>
    <n v="44103"/>
    <s v="bad luck|band|kiss|luck|masquerade"/>
    <n v="149"/>
    <x v="0"/>
    <x v="0"/>
    <n v="28000000"/>
    <x v="7"/>
    <x v="1"/>
    <n v="28000000"/>
    <n v="17324744"/>
    <x v="3228"/>
    <x v="3232"/>
    <x v="4"/>
  </r>
  <r>
    <x v="11"/>
    <n v="35"/>
    <n v="183490"/>
    <s v="Drama|War"/>
    <s v="Brian Lee Franklin"/>
    <x v="3233"/>
    <n v="463"/>
    <s v="american|filipino|friendship|guerrilla army|village"/>
    <n v="8"/>
    <x v="0"/>
    <x v="0"/>
    <n v="1700000"/>
    <x v="11"/>
    <x v="30"/>
    <n v="1700000"/>
    <n v="183490"/>
    <x v="3229"/>
    <x v="3233"/>
    <x v="5"/>
  </r>
  <r>
    <x v="1266"/>
    <n v="63"/>
    <n v="2954405"/>
    <s v="Biography|Comedy|Romance"/>
    <s v="Stockard Channing"/>
    <x v="3234"/>
    <n v="1977"/>
    <s v="autistic son|cancer|female protagonist|new york city|son"/>
    <n v="64"/>
    <x v="0"/>
    <x v="0"/>
    <n v="36000000"/>
    <x v="4"/>
    <x v="1"/>
    <n v="36000000"/>
    <n v="2954405"/>
    <x v="3230"/>
    <x v="3234"/>
    <x v="2"/>
  </r>
  <r>
    <x v="1603"/>
    <n v="61"/>
    <n v="121697350"/>
    <s v="Comedy|Music"/>
    <s v="Tia Carrere"/>
    <x v="3235"/>
    <n v="114610"/>
    <s v="basement|lead actor's first film|long hair|public access|title directed by female"/>
    <n v="176"/>
    <x v="0"/>
    <x v="0"/>
    <n v="20000000"/>
    <x v="8"/>
    <x v="16"/>
    <n v="20000000"/>
    <n v="121697350"/>
    <x v="3231"/>
    <x v="3235"/>
    <x v="4"/>
  </r>
  <r>
    <x v="897"/>
    <n v="390"/>
    <n v="12134420"/>
    <s v="Drama|Fantasy|Horror|Mystery"/>
    <s v="ChloÃ« Grace Moretz"/>
    <x v="3236"/>
    <n v="92237"/>
    <s v="blood|boy|night|school|vampire"/>
    <n v="366"/>
    <x v="0"/>
    <x v="2"/>
    <n v="20000000"/>
    <x v="11"/>
    <x v="33"/>
    <n v="25707999.999999899"/>
    <n v="15597583.4679999"/>
    <x v="3232"/>
    <x v="3236"/>
    <x v="5"/>
  </r>
  <r>
    <x v="1231"/>
    <n v="3"/>
    <n v="1111615"/>
    <s v="Comedy|Crime|Family"/>
    <s v="Kirby Heyborne"/>
    <x v="3237"/>
    <n v="651"/>
    <s v="latter day saints|missionary|pickup truck|police|video camera"/>
    <n v="34"/>
    <x v="0"/>
    <x v="0"/>
    <n v="500000"/>
    <x v="19"/>
    <x v="11"/>
    <n v="500000"/>
    <n v="1111615"/>
    <x v="3233"/>
    <x v="3237"/>
    <x v="4"/>
  </r>
  <r>
    <x v="1604"/>
    <n v="161"/>
    <n v="35033759"/>
    <s v="Adventure|Comedy"/>
    <s v="Patton Oswalt"/>
    <x v="3238"/>
    <n v="55008"/>
    <s v="christmas|christmas tree|fire|new york city|stoner"/>
    <n v="93"/>
    <x v="0"/>
    <x v="0"/>
    <n v="19000000"/>
    <x v="22"/>
    <x v="23"/>
    <n v="19000000"/>
    <n v="35033759"/>
    <x v="3234"/>
    <x v="3238"/>
    <x v="0"/>
  </r>
  <r>
    <x v="405"/>
    <n v="175"/>
    <n v="46455802"/>
    <s v="Horror|Thriller"/>
    <s v="Sarah Carter"/>
    <x v="3239"/>
    <n v="120786"/>
    <s v="car accident|death|freak accident|hospital|premonition"/>
    <n v="472"/>
    <x v="0"/>
    <x v="0"/>
    <n v="26000000"/>
    <x v="19"/>
    <x v="5"/>
    <n v="26000000"/>
    <n v="46455802"/>
    <x v="3235"/>
    <x v="3239"/>
    <x v="6"/>
  </r>
  <r>
    <x v="1605"/>
    <n v="44"/>
    <n v="36000000"/>
    <s v="Drama|Family|Romance"/>
    <s v="Gloria Grahame"/>
    <x v="3240"/>
    <n v="9456"/>
    <s v="circus|clown|elephant trainer|trapeze|trapeze artist"/>
    <n v="107"/>
    <x v="0"/>
    <x v="0"/>
    <n v="4000000"/>
    <x v="73"/>
    <x v="21"/>
    <n v="4000000"/>
    <n v="36000000"/>
    <x v="3236"/>
    <x v="3240"/>
    <x v="5"/>
  </r>
  <r>
    <x v="267"/>
    <n v="100"/>
    <n v="115000000"/>
    <s v="Comedy|Drama|Music"/>
    <s v="Harrison Ford"/>
    <x v="3241"/>
    <n v="63839"/>
    <s v="california|car|drag racing|high school|rock 'n' roll"/>
    <n v="238"/>
    <x v="0"/>
    <x v="0"/>
    <n v="777000"/>
    <x v="46"/>
    <x v="2"/>
    <n v="777000"/>
    <n v="115000000"/>
    <x v="3237"/>
    <x v="3241"/>
    <x v="4"/>
  </r>
  <r>
    <x v="503"/>
    <n v="522"/>
    <n v="54696902"/>
    <s v="Mystery|Sci-Fi|Thriller"/>
    <s v="Jake Gyllenhaal"/>
    <x v="3242"/>
    <n v="379462"/>
    <s v="bomber|time|time loop|train|trapped in a time loop"/>
    <n v="571"/>
    <x v="0"/>
    <x v="0"/>
    <n v="32000000"/>
    <x v="22"/>
    <x v="2"/>
    <n v="32000000"/>
    <n v="54696902"/>
    <x v="3238"/>
    <x v="3242"/>
    <x v="10"/>
  </r>
  <r>
    <x v="61"/>
    <n v="253"/>
    <n v="80050171"/>
    <s v="Drama|Mystery|Thriller"/>
    <s v="Sarah Roemer"/>
    <x v="61"/>
    <n v="186982"/>
    <s v="binoculars|electronic tag|house arrest|neighbor|watching someone"/>
    <n v="491"/>
    <x v="0"/>
    <x v="0"/>
    <n v="20000000"/>
    <x v="15"/>
    <x v="31"/>
    <n v="20000000"/>
    <n v="80050171"/>
    <x v="61"/>
    <x v="61"/>
    <x v="5"/>
  </r>
  <r>
    <x v="366"/>
    <n v="67"/>
    <n v="13383737"/>
    <s v="Comedy|Crime"/>
    <s v="Jim Broadbent"/>
    <x v="3243"/>
    <n v="29385"/>
    <s v="actress|bodyguard|new york city|play|playwright"/>
    <n v="86"/>
    <x v="0"/>
    <x v="0"/>
    <n v="20000000"/>
    <x v="5"/>
    <x v="2"/>
    <n v="20000000"/>
    <n v="13383737"/>
    <x v="3239"/>
    <x v="3243"/>
    <x v="4"/>
  </r>
  <r>
    <x v="1606"/>
    <n v="224"/>
    <n v="76137505"/>
    <s v="Animation|Comedy|Family|Fantasy"/>
    <s v="Julie Walters"/>
    <x v="3244"/>
    <n v="49207"/>
    <s v="bear|ear wax cleaning|fake newsreel|paddington station london|taxidermist"/>
    <n v="174"/>
    <x v="0"/>
    <x v="2"/>
    <n v="55000000"/>
    <x v="27"/>
    <x v="33"/>
    <n v="70697000"/>
    <n v="97867148.926999897"/>
    <x v="3240"/>
    <x v="3244"/>
    <x v="8"/>
  </r>
  <r>
    <x v="1607"/>
    <n v="80"/>
    <n v="145109"/>
    <s v="Drama|History|Thriller|War"/>
    <s v="Lars Mikkelsen"/>
    <x v="3245"/>
    <n v="14247"/>
    <s v="danish|double agent|nazi|nazi occupation|resistance"/>
    <n v="44"/>
    <x v="19"/>
    <x v="23"/>
    <n v="45000000"/>
    <x v="20"/>
    <x v="4"/>
    <n v="6540412.4999999898"/>
    <n v="21090.504832499999"/>
    <x v="3241"/>
    <x v="3245"/>
    <x v="5"/>
  </r>
  <r>
    <x v="1298"/>
    <n v="81"/>
    <n v="26161406"/>
    <s v="Adventure|Comedy|Family|Fantasy"/>
    <s v="Sierra McCormick"/>
    <x v="3246"/>
    <n v="13874"/>
    <s v="aunt|cat|death of pet|girl|no opening credits"/>
    <n v="52"/>
    <x v="0"/>
    <x v="0"/>
    <n v="15000000"/>
    <x v="11"/>
    <x v="21"/>
    <n v="15000000"/>
    <n v="26161406"/>
    <x v="3242"/>
    <x v="3246"/>
    <x v="0"/>
  </r>
  <r>
    <x v="180"/>
    <n v="94"/>
    <n v="138396624"/>
    <s v="Action|Comedy|Crime|Thriller"/>
    <s v="Will Smith"/>
    <x v="3247"/>
    <n v="178126"/>
    <s v="cuba|dea|drugs|money|undercover"/>
    <n v="511"/>
    <x v="0"/>
    <x v="0"/>
    <n v="130000000"/>
    <x v="19"/>
    <x v="14"/>
    <n v="130000000"/>
    <n v="138396624"/>
    <x v="3243"/>
    <x v="3247"/>
    <x v="1"/>
  </r>
  <r>
    <x v="769"/>
    <n v="89"/>
    <n v="111722000"/>
    <s v="Drama|Romance|War"/>
    <s v="Julie Christie"/>
    <x v="3248"/>
    <n v="55816"/>
    <s v="bolshevik|poet|poetry|russia|russian revolution"/>
    <n v="255"/>
    <x v="0"/>
    <x v="0"/>
    <n v="11000000"/>
    <x v="29"/>
    <x v="3"/>
    <n v="11000000"/>
    <n v="111722000"/>
    <x v="3244"/>
    <x v="3248"/>
    <x v="5"/>
  </r>
  <r>
    <x v="493"/>
    <n v="137"/>
    <n v="11034436"/>
    <s v="Comedy|Drama|Music|War"/>
    <s v="Bob Hoskins"/>
    <x v="3249"/>
    <n v="13505"/>
    <s v="anti semitism|breasts|chamberlain|friend|theatre"/>
    <n v="180"/>
    <x v="0"/>
    <x v="2"/>
    <n v="20000000"/>
    <x v="25"/>
    <x v="17"/>
    <n v="25707999.999999899"/>
    <n v="14183664.034399999"/>
    <x v="3245"/>
    <x v="3249"/>
    <x v="4"/>
  </r>
  <r>
    <x v="1608"/>
    <n v="65"/>
    <n v="129115"/>
    <s v="Action|Drama"/>
    <s v="Siu-Wong Fan"/>
    <x v="3250"/>
    <n v="5900"/>
    <s v="fight|kung fu|martial arts|police|wire fu"/>
    <n v="26"/>
    <x v="2"/>
    <x v="6"/>
    <n v="25000000"/>
    <x v="27"/>
    <x v="20"/>
    <n v="3457097.4999999902"/>
    <n v="17854.525748499898"/>
    <x v="3246"/>
    <x v="3250"/>
    <x v="1"/>
  </r>
  <r>
    <x v="824"/>
    <n v="100"/>
    <n v="9801782"/>
    <s v="Comedy|Crime|Thriller"/>
    <s v="Jon Favreau"/>
    <x v="3251"/>
    <n v="39331"/>
    <s v="bachelor party|breasts|friend|prostitute|wedding"/>
    <n v="481"/>
    <x v="0"/>
    <x v="0"/>
    <n v="10000000"/>
    <x v="6"/>
    <x v="23"/>
    <n v="10000000"/>
    <n v="9801782"/>
    <x v="3247"/>
    <x v="3251"/>
    <x v="4"/>
  </r>
  <r>
    <x v="839"/>
    <n v="173"/>
    <n v="55865715"/>
    <s v="Drama|Horror|Mystery|Thriller"/>
    <s v="Deborah Kara Unger"/>
    <x v="3252"/>
    <n v="41763"/>
    <s v="architect|grave|obsession|river|voice"/>
    <n v="403"/>
    <x v="0"/>
    <x v="2"/>
    <n v="10000000"/>
    <x v="25"/>
    <x v="28"/>
    <n v="12853999.999999899"/>
    <n v="71809790.0609999"/>
    <x v="3248"/>
    <x v="3252"/>
    <x v="5"/>
  </r>
  <r>
    <x v="9"/>
    <n v="158"/>
    <n v="7916887"/>
    <s v="Action|Crime|Drama|Thriller|War"/>
    <s v="Joseph Gordon-Levitt"/>
    <x v="3253"/>
    <n v="15697"/>
    <s v="boy|german soldier|partisan|trapped|village"/>
    <n v="182"/>
    <x v="0"/>
    <x v="0"/>
    <n v="45000000"/>
    <x v="20"/>
    <x v="11"/>
    <n v="45000000"/>
    <n v="7916887"/>
    <x v="3249"/>
    <x v="3253"/>
    <x v="1"/>
  </r>
  <r>
    <x v="428"/>
    <n v="111"/>
    <n v="48472213"/>
    <s v="Action|Comedy|Crime"/>
    <s v="Eileen Brennan"/>
    <x v="3254"/>
    <n v="51252"/>
    <s v="bodyguard|fbi|fbi agent|female protagonist|undercover"/>
    <n v="156"/>
    <x v="0"/>
    <x v="0"/>
    <n v="45000000"/>
    <x v="25"/>
    <x v="53"/>
    <n v="45000000"/>
    <n v="48472213"/>
    <x v="3250"/>
    <x v="3254"/>
    <x v="1"/>
  </r>
  <r>
    <x v="687"/>
    <n v="131"/>
    <n v="39143839"/>
    <s v="Horror|Thriller"/>
    <s v="Sarah Michelle Gellar"/>
    <x v="3255"/>
    <n v="38658"/>
    <s v="curse|ghost|haunted house|high school|schoolgirl"/>
    <n v="284"/>
    <x v="0"/>
    <x v="0"/>
    <n v="20000000"/>
    <x v="7"/>
    <x v="53"/>
    <n v="20000000"/>
    <n v="39143839"/>
    <x v="3251"/>
    <x v="3255"/>
    <x v="6"/>
  </r>
  <r>
    <x v="48"/>
    <n v="131"/>
    <n v="90646554"/>
    <s v="Adventure|Animation|Comedy|Family"/>
    <s v="Sylvester Stallone"/>
    <x v="3256"/>
    <n v="124641"/>
    <s v="ant|friend|princess|soldier|worker"/>
    <n v="289"/>
    <x v="0"/>
    <x v="0"/>
    <n v="105000000"/>
    <x v="6"/>
    <x v="14"/>
    <n v="105000000"/>
    <n v="90646554"/>
    <x v="3252"/>
    <x v="3256"/>
    <x v="0"/>
  </r>
  <r>
    <x v="1609"/>
    <n v="36"/>
    <n v="2808000"/>
    <s v="Musical|Romance"/>
    <s v="Anita Page"/>
    <x v="3257"/>
    <n v="4546"/>
    <s v="sibling rivalry|singer|sister act|whistling|wisecrack humor"/>
    <n v="71"/>
    <x v="0"/>
    <x v="0"/>
    <n v="379000"/>
    <x v="74"/>
    <x v="23"/>
    <n v="379000"/>
    <n v="2808000"/>
    <x v="3253"/>
    <x v="3257"/>
    <x v="12"/>
  </r>
  <r>
    <x v="273"/>
    <n v="269"/>
    <n v="83077470"/>
    <s v="Drama|History|Thriller|War"/>
    <s v="Tom Cruise"/>
    <x v="3258"/>
    <n v="183247"/>
    <s v="american actor playing foreigner|assassination|conspiracy|military|nazis"/>
    <n v="440"/>
    <x v="0"/>
    <x v="0"/>
    <n v="75000000"/>
    <x v="20"/>
    <x v="17"/>
    <n v="75000000"/>
    <n v="83077470"/>
    <x v="3254"/>
    <x v="3258"/>
    <x v="5"/>
  </r>
  <r>
    <x v="1610"/>
    <n v="60"/>
    <n v="5480318"/>
    <s v="Comedy|Drama"/>
    <s v="Natasha Lyonne"/>
    <x v="3259"/>
    <n v="9427"/>
    <s v="flatulence|menstrual blood|nomad|nursing school|title directed by female"/>
    <n v="79"/>
    <x v="0"/>
    <x v="0"/>
    <n v="5000000"/>
    <x v="6"/>
    <x v="14"/>
    <n v="5000000"/>
    <n v="5480318"/>
    <x v="3255"/>
    <x v="3259"/>
    <x v="4"/>
  </r>
  <r>
    <x v="268"/>
    <n v="65"/>
    <n v="70163652"/>
    <s v="Comedy|Crime"/>
    <s v="ChloÃ« Grace Moretz"/>
    <x v="3260"/>
    <n v="31968"/>
    <s v="cheerleading|fbi|fbi agent|nanny|undercover"/>
    <n v="82"/>
    <x v="0"/>
    <x v="0"/>
    <n v="40000000"/>
    <x v="7"/>
    <x v="34"/>
    <n v="40000000"/>
    <n v="70163652"/>
    <x v="3256"/>
    <x v="3260"/>
    <x v="4"/>
  </r>
  <r>
    <x v="1328"/>
    <n v="141"/>
    <n v="19593740"/>
    <s v="Crime|Drama|Thriller"/>
    <s v="Kevin Spacey"/>
    <x v="3261"/>
    <n v="88270"/>
    <s v="activist|death|death row|murder|texas"/>
    <n v="420"/>
    <x v="0"/>
    <x v="0"/>
    <n v="50000000"/>
    <x v="19"/>
    <x v="2"/>
    <n v="50000000"/>
    <n v="19593740"/>
    <x v="3257"/>
    <x v="3261"/>
    <x v="3"/>
  </r>
  <r>
    <x v="244"/>
    <n v="552"/>
    <n v="124976634"/>
    <s v="Adventure|Drama|Fantasy"/>
    <s v="Suraj Sharma"/>
    <x v="3262"/>
    <n v="440084"/>
    <s v="animal|faith|india|journey|tiger"/>
    <n v="755"/>
    <x v="0"/>
    <x v="0"/>
    <n v="120000000"/>
    <x v="28"/>
    <x v="3"/>
    <n v="120000000"/>
    <n v="124976634"/>
    <x v="3258"/>
    <x v="3262"/>
    <x v="0"/>
  </r>
  <r>
    <x v="1611"/>
    <n v="213"/>
    <n v="80574010"/>
    <s v="Drama|Romance"/>
    <s v="James Franco"/>
    <x v="3263"/>
    <n v="63493"/>
    <s v="divorce|emotional balance|female protagonist|indonesia|inner peace"/>
    <n v="302"/>
    <x v="0"/>
    <x v="0"/>
    <n v="60000000"/>
    <x v="11"/>
    <x v="35"/>
    <n v="60000000"/>
    <n v="80574010"/>
    <x v="3259"/>
    <x v="3263"/>
    <x v="5"/>
  </r>
  <r>
    <x v="1228"/>
    <n v="225"/>
    <n v="61280963"/>
    <s v="Horror|Sci-Fi|Thriller"/>
    <s v="Dylan Baker"/>
    <x v="3264"/>
    <n v="79877"/>
    <s v="coma|fbi|race against time|serial killer|strong female lead"/>
    <n v="677"/>
    <x v="0"/>
    <x v="0"/>
    <n v="33000000"/>
    <x v="4"/>
    <x v="23"/>
    <n v="33000000"/>
    <n v="61280963"/>
    <x v="3260"/>
    <x v="3264"/>
    <x v="6"/>
  </r>
  <r>
    <x v="496"/>
    <n v="250"/>
    <n v="289907418"/>
    <s v="Adventure|Animation|Comedy|Family|Fantasy"/>
    <s v="Steve Buscemi"/>
    <x v="3265"/>
    <n v="585659"/>
    <s v="friend|little girl|monster|rival|scream"/>
    <n v="593"/>
    <x v="0"/>
    <x v="0"/>
    <n v="115000000"/>
    <x v="9"/>
    <x v="40"/>
    <n v="115000000"/>
    <n v="289907418"/>
    <x v="3261"/>
    <x v="3265"/>
    <x v="0"/>
  </r>
  <r>
    <x v="456"/>
    <n v="79"/>
    <n v="32940507"/>
    <s v="Action|Crime|Drama|Thriller"/>
    <s v="Bruce Willis"/>
    <x v="2836"/>
    <n v="54316"/>
    <s v="autistic child|boy|child in danger|fbi|nsa"/>
    <n v="127"/>
    <x v="0"/>
    <x v="0"/>
    <n v="60000000"/>
    <x v="6"/>
    <x v="7"/>
    <n v="60000000"/>
    <n v="32940507"/>
    <x v="2833"/>
    <x v="2836"/>
    <x v="1"/>
  </r>
  <r>
    <x v="145"/>
    <n v="25"/>
    <n v="5694308"/>
    <s v="Comedy|Sport"/>
    <s v="Jeffrey Jones"/>
    <x v="3266"/>
    <n v="13815"/>
    <s v="2000s|golf caddy|golf course|golfer|question mark in title"/>
    <n v="46"/>
    <x v="0"/>
    <x v="0"/>
    <n v="7000000"/>
    <x v="15"/>
    <x v="73"/>
    <n v="7000000"/>
    <n v="5694308"/>
    <x v="3262"/>
    <x v="3266"/>
    <x v="4"/>
  </r>
  <r>
    <x v="493"/>
    <n v="137"/>
    <n v="8111360"/>
    <s v="Crime|Drama|Thriller"/>
    <s v="Sophie Okonedo"/>
    <x v="3267"/>
    <n v="34848"/>
    <s v="hotel|immigrant|nigerian|surgery|underwear"/>
    <n v="203"/>
    <x v="0"/>
    <x v="2"/>
    <n v="10000000"/>
    <x v="13"/>
    <x v="39"/>
    <n v="12853999.999999899"/>
    <n v="10426342.143999999"/>
    <x v="3263"/>
    <x v="3267"/>
    <x v="3"/>
  </r>
  <r>
    <x v="1017"/>
    <n v="140"/>
    <n v="24848292"/>
    <s v="Action|Drama|Sport"/>
    <s v="Djimon Hounsou"/>
    <x v="3268"/>
    <n v="80556"/>
    <s v="club|fight|fighting|high school|mixed martial arts"/>
    <n v="184"/>
    <x v="0"/>
    <x v="0"/>
    <n v="20000000"/>
    <x v="20"/>
    <x v="14"/>
    <n v="20000000"/>
    <n v="24848292"/>
    <x v="3264"/>
    <x v="3268"/>
    <x v="1"/>
  </r>
  <r>
    <x v="167"/>
    <n v="69"/>
    <n v="70960517"/>
    <s v="Drama|Romance"/>
    <s v="Clint Eastwood"/>
    <x v="3269"/>
    <n v="54631"/>
    <s v="1960s|bridge|housewife|love|photographer"/>
    <n v="192"/>
    <x v="0"/>
    <x v="0"/>
    <n v="35000000"/>
    <x v="33"/>
    <x v="2"/>
    <n v="35000000"/>
    <n v="70960517"/>
    <x v="3265"/>
    <x v="3269"/>
    <x v="5"/>
  </r>
  <r>
    <x v="1612"/>
    <n v="360"/>
    <n v="140530114"/>
    <s v="Horror"/>
    <s v="Heather Donahue"/>
    <x v="3270"/>
    <n v="186786"/>
    <s v="found footage|looking at the camera|lost in the woods|maryland|screaming in horror"/>
    <n v="3400"/>
    <x v="0"/>
    <x v="0"/>
    <n v="60000"/>
    <x v="12"/>
    <x v="24"/>
    <n v="60000"/>
    <n v="140530114"/>
    <x v="3266"/>
    <x v="3270"/>
    <x v="6"/>
  </r>
  <r>
    <x v="229"/>
    <n v="157"/>
    <n v="65653758"/>
    <s v="Action|Adventure|Fantasy"/>
    <s v="Gerard Butler"/>
    <x v="3271"/>
    <n v="102747"/>
    <s v="duology|female hero|female lead|orb|pandora's box"/>
    <n v="316"/>
    <x v="0"/>
    <x v="0"/>
    <n v="95000000"/>
    <x v="19"/>
    <x v="28"/>
    <n v="95000000"/>
    <n v="65653758"/>
    <x v="3267"/>
    <x v="3271"/>
    <x v="1"/>
  </r>
  <r>
    <x v="812"/>
    <n v="102"/>
    <n v="69102910"/>
    <s v="Action|Adventure|Family|Sci-Fi|Thriller"/>
    <s v="Gary Oldman"/>
    <x v="3272"/>
    <n v="58402"/>
    <s v="based on tv series|remake|robot|scientist|spaceship"/>
    <n v="370"/>
    <x v="0"/>
    <x v="0"/>
    <n v="80000000"/>
    <x v="6"/>
    <x v="37"/>
    <n v="80000000"/>
    <n v="69102910"/>
    <x v="3268"/>
    <x v="3272"/>
    <x v="1"/>
  </r>
  <r>
    <x v="1613"/>
    <n v="40"/>
    <n v="1181197"/>
    <s v="Drama|Mystery|Thriller"/>
    <s v="Mekhi Phifer"/>
    <x v="3273"/>
    <n v="3299"/>
    <s v="district attorney|interview|murder|prosecutor|reporter"/>
    <n v="24"/>
    <x v="0"/>
    <x v="0"/>
    <n v="15500000"/>
    <x v="25"/>
    <x v="0"/>
    <n v="15500000"/>
    <n v="1181197"/>
    <x v="3269"/>
    <x v="3273"/>
    <x v="5"/>
  </r>
  <r>
    <x v="209"/>
    <n v="446"/>
    <n v="218051260"/>
    <s v="Action|Adventure|Drama|Romance"/>
    <s v="Naomi Watts"/>
    <x v="223"/>
    <n v="316020"/>
    <s v="animal name in title|ape abducts a woman|gorilla|island|king kong"/>
    <n v="2618"/>
    <x v="0"/>
    <x v="11"/>
    <n v="207000000"/>
    <x v="25"/>
    <x v="33"/>
    <n v="121870214.999999"/>
    <n v="128376589.068699"/>
    <x v="223"/>
    <x v="223"/>
    <x v="1"/>
  </r>
  <r>
    <x v="1277"/>
    <n v="306"/>
    <n v="368049635"/>
    <s v="Animation|Comedy|Family|Sci-Fi"/>
    <s v="Steve Carell"/>
    <x v="3274"/>
    <n v="286877"/>
    <s v="dating|minion|overprotective father|undercover spy|woman agent"/>
    <n v="284"/>
    <x v="0"/>
    <x v="0"/>
    <n v="76000000"/>
    <x v="0"/>
    <x v="2"/>
    <n v="76000000"/>
    <n v="368049635"/>
    <x v="3270"/>
    <x v="3274"/>
    <x v="8"/>
  </r>
  <r>
    <x v="142"/>
    <n v="412"/>
    <n v="67344392"/>
    <s v="Action|Thriller"/>
    <s v="Bruce Willis"/>
    <x v="3275"/>
    <n v="165618"/>
    <s v="bomb|cia|courthouse|escape|russian"/>
    <n v="503"/>
    <x v="0"/>
    <x v="0"/>
    <n v="92000000"/>
    <x v="0"/>
    <x v="1"/>
    <n v="92000000"/>
    <n v="67344392"/>
    <x v="3271"/>
    <x v="3275"/>
    <x v="1"/>
  </r>
  <r>
    <x v="51"/>
    <n v="264"/>
    <n v="160201106"/>
    <s v="Action|Adventure|Thriller"/>
    <s v="Toby Stephens"/>
    <x v="3276"/>
    <n v="169914"/>
    <s v="catfight|clinic|colonel|diamond|patricide"/>
    <n v="1185"/>
    <x v="0"/>
    <x v="2"/>
    <n v="142000000"/>
    <x v="13"/>
    <x v="7"/>
    <n v="182526799.99999899"/>
    <n v="205922501.65239999"/>
    <x v="3272"/>
    <x v="3276"/>
    <x v="1"/>
  </r>
  <r>
    <x v="618"/>
    <n v="173"/>
    <n v="88200225"/>
    <s v="Comedy|Crime"/>
    <s v="Snoop Dogg"/>
    <x v="3277"/>
    <n v="120795"/>
    <s v="cocaine|cop|criminal|partner|police"/>
    <n v="308"/>
    <x v="0"/>
    <x v="0"/>
    <n v="60000000"/>
    <x v="2"/>
    <x v="7"/>
    <n v="60000000"/>
    <n v="88200225"/>
    <x v="3273"/>
    <x v="3277"/>
    <x v="4"/>
  </r>
  <r>
    <x v="303"/>
    <n v="19"/>
    <n v="22723"/>
    <s v="Action|Comedy|Drama|War"/>
    <s v="Eddie Izzard"/>
    <x v="3278"/>
    <n v="2236"/>
    <s v="apostrophe in title|behind enemy lines|box office flop|gay interest|punctuation in title"/>
    <n v="40"/>
    <x v="0"/>
    <x v="5"/>
    <n v="25000000"/>
    <x v="9"/>
    <x v="47"/>
    <n v="27118500"/>
    <n v="24648.547020000002"/>
    <x v="3274"/>
    <x v="3278"/>
    <x v="1"/>
  </r>
  <r>
    <x v="1129"/>
    <n v="193"/>
    <n v="32519322"/>
    <s v="Biography|Drama|War"/>
    <s v="Emilia Fox"/>
    <x v="3279"/>
    <n v="497946"/>
    <s v="ghetto|holocaust|jewish|piano|warsaw ghetto"/>
    <n v="761"/>
    <x v="0"/>
    <x v="8"/>
    <n v="35000000"/>
    <x v="13"/>
    <x v="59"/>
    <n v="37965900"/>
    <n v="35275009.346280001"/>
    <x v="3275"/>
    <x v="3279"/>
    <x v="2"/>
  </r>
  <r>
    <x v="1614"/>
    <n v="116"/>
    <n v="864959"/>
    <s v="Adventure|Fantasy"/>
    <s v="Stephanie Leonidas"/>
    <x v="3280"/>
    <n v="20275"/>
    <s v="circus|dark fantasy|dream|dream world|fantasy world"/>
    <n v="151"/>
    <x v="0"/>
    <x v="2"/>
    <n v="4000000"/>
    <x v="25"/>
    <x v="31"/>
    <n v="5141599.9999999898"/>
    <n v="1111818.2985999901"/>
    <x v="3276"/>
    <x v="3280"/>
    <x v="0"/>
  </r>
  <r>
    <x v="1615"/>
    <n v="38"/>
    <n v="325491"/>
    <s v="Crime|Drama|Thriller"/>
    <s v="Kirk Fox"/>
    <x v="3281"/>
    <n v="4387"/>
    <s v="bag over head|buddhist temple|loss of friend|male bonding|nightclub"/>
    <n v="67"/>
    <x v="0"/>
    <x v="0"/>
    <n v="17500000"/>
    <x v="13"/>
    <x v="11"/>
    <n v="17500000"/>
    <n v="325491"/>
    <x v="3277"/>
    <x v="3281"/>
    <x v="3"/>
  </r>
  <r>
    <x v="549"/>
    <n v="55"/>
    <n v="113502246"/>
    <s v="Comedy|Fantasy"/>
    <s v="Anjelica Huston"/>
    <x v="3282"/>
    <n v="96607"/>
    <s v="accountant|loan shark|macabre|uncle|uncle fester"/>
    <n v="125"/>
    <x v="0"/>
    <x v="0"/>
    <n v="38000000"/>
    <x v="38"/>
    <x v="22"/>
    <n v="38000000"/>
    <n v="113502246"/>
    <x v="3278"/>
    <x v="3282"/>
    <x v="4"/>
  </r>
  <r>
    <x v="1616"/>
    <n v="125"/>
    <n v="29655590"/>
    <s v="Action|Comedy|Fantasy|Sci-Fi"/>
    <s v="Janeane Garofalo"/>
    <x v="3283"/>
    <n v="53970"/>
    <s v="bowling|rajah|sphinx|spleen|superhero"/>
    <n v="435"/>
    <x v="0"/>
    <x v="0"/>
    <n v="65000000"/>
    <x v="12"/>
    <x v="11"/>
    <n v="65000000"/>
    <n v="29655590"/>
    <x v="3279"/>
    <x v="3283"/>
    <x v="1"/>
  </r>
  <r>
    <x v="62"/>
    <n v="223"/>
    <n v="124107476"/>
    <s v="Crime|Drama|Thriller"/>
    <s v="Michael O'Neill"/>
    <x v="3284"/>
    <n v="170684"/>
    <s v="cocaine|drug smuggling|interlinked stories|judge|mexico"/>
    <n v="867"/>
    <x v="0"/>
    <x v="0"/>
    <n v="48000000"/>
    <x v="4"/>
    <x v="10"/>
    <n v="48000000"/>
    <n v="124107476"/>
    <x v="3280"/>
    <x v="3284"/>
    <x v="3"/>
  </r>
  <r>
    <x v="1617"/>
    <n v="284"/>
    <n v="165230261"/>
    <s v="Action|Adventure|Animation|Comedy|Family"/>
    <s v="Angelina Jolie Pitt"/>
    <x v="3285"/>
    <n v="182718"/>
    <s v="china|kung fu|panda|peacock|tigress"/>
    <n v="209"/>
    <x v="0"/>
    <x v="0"/>
    <n v="150000000"/>
    <x v="22"/>
    <x v="4"/>
    <n v="150000000"/>
    <n v="165230261"/>
    <x v="3281"/>
    <x v="3285"/>
    <x v="1"/>
  </r>
  <r>
    <x v="1480"/>
    <n v="11"/>
    <n v="1001437"/>
    <s v="Drama|Romance"/>
    <s v="Allison Dean"/>
    <x v="3286"/>
    <n v="2039"/>
    <s v="desire|florida|identity|resort town|sales"/>
    <n v="28"/>
    <x v="0"/>
    <x v="0"/>
    <n v="800000"/>
    <x v="23"/>
    <x v="33"/>
    <n v="800000"/>
    <n v="1001437"/>
    <x v="3282"/>
    <x v="3286"/>
    <x v="5"/>
  </r>
  <r>
    <x v="104"/>
    <n v="370"/>
    <n v="362645141"/>
    <s v="Adventure|Drama|Family|Fantasy"/>
    <s v="Scarlett Johansson"/>
    <x v="105"/>
    <n v="106072"/>
    <s v="fire|jungle|remake|tiger|wolf"/>
    <n v="398"/>
    <x v="0"/>
    <x v="2"/>
    <n v="175000000"/>
    <x v="24"/>
    <x v="38"/>
    <n v="224944999.99999899"/>
    <n v="466144064.24139899"/>
    <x v="105"/>
    <x v="105"/>
    <x v="0"/>
  </r>
  <r>
    <x v="32"/>
    <n v="235"/>
    <n v="66257002"/>
    <s v="Adventure|Drama|Fantasy"/>
    <s v="Steve Buscemi"/>
    <x v="3287"/>
    <n v="350698"/>
    <s v="dog saved from a fire|flashback|growing up|multiple narrators|traveling salesman"/>
    <n v="816"/>
    <x v="0"/>
    <x v="0"/>
    <n v="70000000"/>
    <x v="19"/>
    <x v="3"/>
    <n v="70000000"/>
    <n v="66257002"/>
    <x v="3283"/>
    <x v="3287"/>
    <x v="0"/>
  </r>
  <r>
    <x v="368"/>
    <n v="169"/>
    <n v="9639242"/>
    <s v="Comedy|Romance"/>
    <s v="Olivia Munn"/>
    <x v="3288"/>
    <n v="16437"/>
    <s v="black comedy|delivery boy|dinner|gym|punishment"/>
    <n v="68"/>
    <x v="0"/>
    <x v="0"/>
    <n v="24000000"/>
    <x v="22"/>
    <x v="18"/>
    <n v="24000000"/>
    <n v="9639242"/>
    <x v="3284"/>
    <x v="3288"/>
    <x v="4"/>
  </r>
  <r>
    <x v="1611"/>
    <n v="132"/>
    <n v="6754898"/>
    <s v="Comedy|Drama"/>
    <s v="Jill Clayburgh"/>
    <x v="3289"/>
    <n v="20000"/>
    <s v="alcoholic|fame|therapist|writer|writing"/>
    <n v="188"/>
    <x v="0"/>
    <x v="0"/>
    <n v="12000000"/>
    <x v="7"/>
    <x v="5"/>
    <n v="12000000"/>
    <n v="6754898"/>
    <x v="3285"/>
    <x v="3289"/>
    <x v="4"/>
  </r>
  <r>
    <x v="1618"/>
    <n v="210"/>
    <n v="143523463"/>
    <s v="Action|Adventure|Animation|Comedy|Family"/>
    <s v="J.K. Simmons"/>
    <x v="3290"/>
    <n v="64322"/>
    <s v="china|kung fu|panda|pig|village"/>
    <n v="145"/>
    <x v="0"/>
    <x v="0"/>
    <n v="145000000"/>
    <x v="24"/>
    <x v="33"/>
    <n v="145000000"/>
    <n v="143523463"/>
    <x v="3286"/>
    <x v="3290"/>
    <x v="1"/>
  </r>
  <r>
    <x v="630"/>
    <n v="101"/>
    <n v="17596256"/>
    <s v="Comedy|Family"/>
    <s v="Brendan Fraser"/>
    <x v="3291"/>
    <n v="12399"/>
    <s v="animal|bear|land developer|real estate|real estate developer"/>
    <n v="84"/>
    <x v="0"/>
    <x v="0"/>
    <n v="35000000"/>
    <x v="11"/>
    <x v="54"/>
    <n v="35000000"/>
    <n v="17596256"/>
    <x v="3287"/>
    <x v="3291"/>
    <x v="4"/>
  </r>
  <r>
    <x v="543"/>
    <n v="261"/>
    <n v="7097125"/>
    <s v="Action|Crime|Drama|Mystery|Thriller"/>
    <s v="Chris Hemsworth"/>
    <x v="3292"/>
    <n v="38983"/>
    <s v="chinese|computer|cybercrime|hacker|one word title"/>
    <n v="207"/>
    <x v="0"/>
    <x v="0"/>
    <n v="70000000"/>
    <x v="1"/>
    <x v="26"/>
    <n v="70000000"/>
    <n v="7097125"/>
    <x v="3288"/>
    <x v="3292"/>
    <x v="1"/>
  </r>
  <r>
    <x v="944"/>
    <n v="293"/>
    <n v="6105175"/>
    <s v="Comedy"/>
    <s v="James Franco"/>
    <x v="3293"/>
    <n v="247020"/>
    <s v="assassination attempt|communist dictatorship|dictator|exploding helicopter|finger bitten off"/>
    <n v="835"/>
    <x v="0"/>
    <x v="0"/>
    <n v="44000000"/>
    <x v="27"/>
    <x v="14"/>
    <n v="44000000"/>
    <n v="6105175"/>
    <x v="3289"/>
    <x v="3293"/>
    <x v="4"/>
  </r>
  <r>
    <x v="385"/>
    <n v="169"/>
    <n v="3753806"/>
    <s v="Crime|Drama"/>
    <s v="Eddie Marsan"/>
    <x v="3294"/>
    <n v="20307"/>
    <s v="1950s|miscarriage|neighbor|pregnancy|tailor"/>
    <n v="165"/>
    <x v="0"/>
    <x v="2"/>
    <n v="11000000"/>
    <x v="2"/>
    <x v="9"/>
    <n v="14139399.999999899"/>
    <n v="4825142.2323999899"/>
    <x v="3290"/>
    <x v="3294"/>
    <x v="3"/>
  </r>
  <r>
    <x v="127"/>
    <n v="258"/>
    <n v="38542418"/>
    <s v="Action|Sci-Fi|Thriller"/>
    <s v="Bruce Willis"/>
    <x v="3295"/>
    <n v="151424"/>
    <s v="android|fbi agent|future|murder|robot"/>
    <n v="252"/>
    <x v="0"/>
    <x v="0"/>
    <n v="80000000"/>
    <x v="16"/>
    <x v="23"/>
    <n v="80000000"/>
    <n v="38542418"/>
    <x v="3291"/>
    <x v="3295"/>
    <x v="1"/>
  </r>
  <r>
    <x v="1619"/>
    <n v="106"/>
    <n v="73215310"/>
    <s v="Adventure|Animation|Family|Western"/>
    <s v="Matt Damon"/>
    <x v="3296"/>
    <n v="44143"/>
    <s v="cavalry|escape|herd|stallion|wild stallion"/>
    <n v="216"/>
    <x v="0"/>
    <x v="0"/>
    <n v="80000000"/>
    <x v="13"/>
    <x v="16"/>
    <n v="80000000"/>
    <n v="73215310"/>
    <x v="3292"/>
    <x v="3296"/>
    <x v="0"/>
  </r>
  <r>
    <x v="210"/>
    <n v="83"/>
    <n v="28873374"/>
    <s v="Documentary|Music"/>
    <s v="Harry Styles"/>
    <x v="3297"/>
    <n v="22161"/>
    <s v="3 dimensional|concert footage|englishman abroad|reference to keith richards|reference to the doors"/>
    <n v="68"/>
    <x v="0"/>
    <x v="0"/>
    <n v="10000000"/>
    <x v="0"/>
    <x v="13"/>
    <n v="10000000"/>
    <n v="28873374"/>
    <x v="3293"/>
    <x v="3297"/>
    <x v="7"/>
  </r>
  <r>
    <x v="349"/>
    <n v="280"/>
    <n v="952620"/>
    <s v="Horror"/>
    <s v="Megan Park"/>
    <x v="3298"/>
    <n v="40800"/>
    <s v="barn|film student|hospital|mummy|video camera"/>
    <n v="332"/>
    <x v="0"/>
    <x v="0"/>
    <n v="2000000"/>
    <x v="15"/>
    <x v="35"/>
    <n v="2000000"/>
    <n v="952620"/>
    <x v="3294"/>
    <x v="3298"/>
    <x v="6"/>
  </r>
  <r>
    <x v="371"/>
    <n v="100"/>
    <n v="172825435"/>
    <s v="Drama"/>
    <s v="Tom Cruise"/>
    <x v="3299"/>
    <n v="383784"/>
    <s v="buick|convertible|last will and testament|savant|travel"/>
    <n v="331"/>
    <x v="0"/>
    <x v="0"/>
    <n v="25000000"/>
    <x v="34"/>
    <x v="3"/>
    <n v="25000000"/>
    <n v="172825435"/>
    <x v="3295"/>
    <x v="3299"/>
    <x v="5"/>
  </r>
  <r>
    <x v="227"/>
    <n v="48"/>
    <n v="21413502"/>
    <s v="Action|Adventure|Comedy|Crime|Music|Mystery"/>
    <s v="Lauren Holly"/>
    <x v="3300"/>
    <n v="14429"/>
    <s v="detective|groupie|murder|music industry|rock n roll"/>
    <n v="113"/>
    <x v="0"/>
    <x v="0"/>
    <n v="40000000"/>
    <x v="32"/>
    <x v="23"/>
    <n v="40000000"/>
    <n v="21413502"/>
    <x v="3296"/>
    <x v="3300"/>
    <x v="1"/>
  </r>
  <r>
    <x v="1620"/>
    <n v="134"/>
    <n v="9600000"/>
    <s v="Crime|Drama|Romance"/>
    <s v="Marlon Brando"/>
    <x v="3301"/>
    <n v="100890"/>
    <s v="death|dock|longshoreman|murder|union"/>
    <n v="281"/>
    <x v="0"/>
    <x v="0"/>
    <n v="910000"/>
    <x v="58"/>
    <x v="60"/>
    <n v="910000"/>
    <n v="9600000"/>
    <x v="3297"/>
    <x v="3301"/>
    <x v="3"/>
  </r>
  <r>
    <x v="172"/>
    <n v="34"/>
    <n v="13801755"/>
    <s v="Action|Comedy|Crime|Thriller"/>
    <s v="Bill Murray"/>
    <x v="3302"/>
    <n v="23928"/>
    <s v="assassin|bomb|dominatrix|mistaken identity|spy"/>
    <n v="100"/>
    <x v="0"/>
    <x v="0"/>
    <n v="20000000"/>
    <x v="31"/>
    <x v="14"/>
    <n v="20000000"/>
    <n v="13801755"/>
    <x v="3298"/>
    <x v="3302"/>
    <x v="1"/>
  </r>
  <r>
    <x v="1621"/>
    <n v="156"/>
    <n v="50150619"/>
    <s v="Adventure|Animation|Comedy|Family|Fantasy|Romance"/>
    <s v="Channing Tatum"/>
    <x v="3303"/>
    <n v="45580"/>
    <s v="afterlife|bullfight|bullfighting|love triangle|mexico"/>
    <n v="102"/>
    <x v="0"/>
    <x v="0"/>
    <n v="50000000"/>
    <x v="27"/>
    <x v="4"/>
    <n v="50000000"/>
    <n v="50150619"/>
    <x v="3299"/>
    <x v="3303"/>
    <x v="0"/>
  </r>
  <r>
    <x v="1622"/>
    <n v="189"/>
    <n v="856942"/>
    <s v="Drama"/>
    <s v="John Robinson"/>
    <x v="3304"/>
    <n v="12241"/>
    <s v="car|dog|flip phone|rape threat|vulnerable"/>
    <n v="112"/>
    <x v="0"/>
    <x v="0"/>
    <n v="200000"/>
    <x v="20"/>
    <x v="17"/>
    <n v="200000"/>
    <n v="856942"/>
    <x v="3300"/>
    <x v="3304"/>
    <x v="5"/>
  </r>
  <r>
    <x v="730"/>
    <n v="602"/>
    <n v="200074175"/>
    <s v="Action|Adventure|Thriller"/>
    <s v="Christoph Waltz"/>
    <x v="3305"/>
    <n v="275868"/>
    <s v="bomb|espionage|sequel|spy|terrorist"/>
    <n v="994"/>
    <x v="0"/>
    <x v="2"/>
    <n v="245000000"/>
    <x v="1"/>
    <x v="22"/>
    <n v="314922999.99999899"/>
    <n v="257175344.54499999"/>
    <x v="3301"/>
    <x v="3305"/>
    <x v="1"/>
  </r>
  <r>
    <x v="158"/>
    <n v="112"/>
    <n v="32645"/>
    <s v="Crime|Drama|Romance|Thriller"/>
    <s v="Robert De Niro"/>
    <x v="3306"/>
    <n v="67797"/>
    <s v="bar|catholic guilt|epilepsy|italian american|money"/>
    <n v="223"/>
    <x v="0"/>
    <x v="0"/>
    <n v="500000"/>
    <x v="46"/>
    <x v="39"/>
    <n v="500000"/>
    <n v="32645"/>
    <x v="3302"/>
    <x v="3306"/>
    <x v="3"/>
  </r>
  <r>
    <x v="3"/>
    <n v="111"/>
    <n v="5300000"/>
    <s v="Crime|Drama"/>
    <s v="Robert De Niro"/>
    <x v="3307"/>
    <n v="221000"/>
    <s v="1920s|ambiguity|childhood friend|new york|speakeasy"/>
    <n v="495"/>
    <x v="0"/>
    <x v="1"/>
    <n v="30000000"/>
    <x v="17"/>
    <x v="25"/>
    <n v="32542200"/>
    <n v="5749122"/>
    <x v="3303"/>
    <x v="3307"/>
    <x v="3"/>
  </r>
  <r>
    <x v="281"/>
    <n v="392"/>
    <n v="336530303"/>
    <s v="Action|Adventure|Romance"/>
    <s v="J.K. Simmons"/>
    <x v="316"/>
    <n v="383056"/>
    <s v="sandman|spider man|symbiote|venom|villain"/>
    <n v="1902"/>
    <x v="0"/>
    <x v="0"/>
    <n v="258000000"/>
    <x v="15"/>
    <x v="5"/>
    <n v="258000000"/>
    <n v="336530303"/>
    <x v="316"/>
    <x v="316"/>
    <x v="1"/>
  </r>
  <r>
    <x v="638"/>
    <n v="285"/>
    <n v="71519230"/>
    <s v="Action|Horror|Sci-Fi|Thriller"/>
    <s v="Noel Gugliemi"/>
    <x v="3308"/>
    <n v="92364"/>
    <s v="held at gunpoint|machete|masked man|sequel|violence"/>
    <n v="244"/>
    <x v="0"/>
    <x v="0"/>
    <n v="9000000"/>
    <x v="27"/>
    <x v="20"/>
    <n v="9000000"/>
    <n v="71519230"/>
    <x v="3304"/>
    <x v="3308"/>
    <x v="1"/>
  </r>
  <r>
    <x v="1623"/>
    <n v="267"/>
    <n v="46982632"/>
    <s v="Adventure|Horror|Mystery"/>
    <s v="Radha Mitchell"/>
    <x v="3309"/>
    <n v="172792"/>
    <s v="gothic|police|police officer|silent hill|sleepwalking"/>
    <n v="1740"/>
    <x v="0"/>
    <x v="9"/>
    <n v="50000000"/>
    <x v="7"/>
    <x v="14"/>
    <n v="36170250"/>
    <n v="33987470.90196"/>
    <x v="3305"/>
    <x v="3309"/>
    <x v="0"/>
  </r>
  <r>
    <x v="1624"/>
    <n v="453"/>
    <n v="414984497"/>
    <s v="Adventure|Animation|Comedy|Family|Fantasy"/>
    <s v="Tom Hanks"/>
    <x v="3310"/>
    <n v="544884"/>
    <s v="college|day care|escape|teddy bear|toy"/>
    <n v="733"/>
    <x v="0"/>
    <x v="0"/>
    <n v="200000000"/>
    <x v="11"/>
    <x v="36"/>
    <n v="200000000"/>
    <n v="414984497"/>
    <x v="3306"/>
    <x v="3310"/>
    <x v="0"/>
  </r>
  <r>
    <x v="1361"/>
    <n v="171"/>
    <n v="43097652"/>
    <s v="Comedy|Drama|Romance"/>
    <s v="ZoÃ« Kravitz"/>
    <x v="3311"/>
    <n v="59068"/>
    <s v="chef|cooking|guardian|kitchen|restaurant"/>
    <n v="128"/>
    <x v="0"/>
    <x v="0"/>
    <n v="28000000"/>
    <x v="15"/>
    <x v="23"/>
    <n v="28000000"/>
    <n v="43097652"/>
    <x v="3307"/>
    <x v="3311"/>
    <x v="4"/>
  </r>
  <r>
    <x v="1625"/>
    <n v="75"/>
    <n v="102922376"/>
    <s v="Adventure|Horror|Thriller"/>
    <s v="Roy Scheider"/>
    <x v="3312"/>
    <n v="51314"/>
    <s v="great white shark|island|mayor|police chief|shark"/>
    <n v="265"/>
    <x v="0"/>
    <x v="0"/>
    <n v="20000000"/>
    <x v="44"/>
    <x v="35"/>
    <n v="20000000"/>
    <n v="102922376"/>
    <x v="3308"/>
    <x v="3312"/>
    <x v="0"/>
  </r>
  <r>
    <x v="713"/>
    <n v="143"/>
    <n v="1550000"/>
    <s v="Action|Adventure|Fantasy|Horror"/>
    <s v="Meat Loaf"/>
    <x v="3313"/>
    <n v="30628"/>
    <s v="escape|half human|king|vampire|vampire hunter"/>
    <n v="471"/>
    <x v="0"/>
    <x v="0"/>
    <n v="25000000"/>
    <x v="25"/>
    <x v="70"/>
    <n v="25000000"/>
    <n v="1550000"/>
    <x v="3309"/>
    <x v="3313"/>
    <x v="1"/>
  </r>
  <r>
    <x v="1626"/>
    <n v="66"/>
    <n v="42672630"/>
    <s v="Adventure|Comedy|Family|Music|Romance"/>
    <s v="Clayton Snyder"/>
    <x v="3314"/>
    <n v="27580"/>
    <s v="best friend|roma|singer|spaghetti|teenager"/>
    <n v="172"/>
    <x v="0"/>
    <x v="0"/>
    <n v="17000000"/>
    <x v="19"/>
    <x v="1"/>
    <n v="17000000"/>
    <n v="42672630"/>
    <x v="3310"/>
    <x v="3314"/>
    <x v="0"/>
  </r>
  <r>
    <x v="579"/>
    <n v="384"/>
    <n v="117698894"/>
    <s v="Crime|Mystery|Thriller"/>
    <s v="Morgan Freeman"/>
    <x v="3315"/>
    <n v="447979"/>
    <s v="bank|fbi|heist|interpol|magician"/>
    <n v="629"/>
    <x v="0"/>
    <x v="0"/>
    <n v="75000000"/>
    <x v="0"/>
    <x v="4"/>
    <n v="75000000"/>
    <n v="117698894"/>
    <x v="3311"/>
    <x v="3315"/>
    <x v="3"/>
  </r>
  <r>
    <x v="103"/>
    <n v="216"/>
    <n v="95001343"/>
    <s v="Biography|Drama|Sport"/>
    <s v="Harrison Ford"/>
    <x v="3316"/>
    <n v="66511"/>
    <s v="baseball|baseball player|brooklyn dodgers|major league baseball|racism"/>
    <n v="200"/>
    <x v="0"/>
    <x v="0"/>
    <n v="40000000"/>
    <x v="0"/>
    <x v="2"/>
    <n v="40000000"/>
    <n v="95001343"/>
    <x v="3312"/>
    <x v="3316"/>
    <x v="2"/>
  </r>
  <r>
    <x v="1260"/>
    <n v="24"/>
    <n v="2154540"/>
    <s v="Action|Thriller"/>
    <s v="Sam Waterston"/>
    <x v="3317"/>
    <n v="3803"/>
    <s v="american president|assassin|conspiracy|president|white house"/>
    <n v="41"/>
    <x v="0"/>
    <x v="0"/>
    <n v="45000000"/>
    <x v="31"/>
    <x v="18"/>
    <n v="45000000"/>
    <n v="2154540"/>
    <x v="3313"/>
    <x v="3317"/>
    <x v="1"/>
  </r>
  <r>
    <x v="1627"/>
    <n v="245"/>
    <n v="3081925"/>
    <s v="Comedy|Drama|Romance"/>
    <s v="Philip Seymour Hoffman"/>
    <x v="3318"/>
    <n v="55842"/>
    <s v="actress|director|play|theatre director|warehouse"/>
    <n v="274"/>
    <x v="0"/>
    <x v="0"/>
    <n v="21000000"/>
    <x v="20"/>
    <x v="2"/>
    <n v="21000000"/>
    <n v="3081925"/>
    <x v="3314"/>
    <x v="3318"/>
    <x v="4"/>
  </r>
  <r>
    <x v="1628"/>
    <n v="151"/>
    <n v="56154094"/>
    <s v="Drama|Romance"/>
    <s v="Sam Claflin"/>
    <x v="3319"/>
    <n v="44723"/>
    <s v="accident|caretaker|economic hardship|quadriplegic|wheelchair"/>
    <n v="130"/>
    <x v="0"/>
    <x v="2"/>
    <n v="20000000"/>
    <x v="24"/>
    <x v="10"/>
    <n v="25707999.999999899"/>
    <n v="72180472.427599996"/>
    <x v="3315"/>
    <x v="3319"/>
    <x v="5"/>
  </r>
  <r>
    <x v="1106"/>
    <n v="163"/>
    <n v="80197993"/>
    <s v="Comedy|Family|Sport"/>
    <s v="Ana de la Reguera"/>
    <x v="3320"/>
    <n v="65551"/>
    <s v="lucha libre|monastery|nun|orphan|wrestling"/>
    <n v="441"/>
    <x v="0"/>
    <x v="5"/>
    <n v="32000000"/>
    <x v="7"/>
    <x v="35"/>
    <n v="34711680"/>
    <n v="86993970.926819995"/>
    <x v="3316"/>
    <x v="3320"/>
    <x v="4"/>
  </r>
  <r>
    <x v="353"/>
    <n v="239"/>
    <n v="42345531"/>
    <s v="Action|Horror|Sci-Fi|Thriller"/>
    <s v="Milla Jovovich"/>
    <x v="3321"/>
    <n v="104831"/>
    <s v="corporation|fight|rescue|umbrella|zombie"/>
    <n v="423"/>
    <x v="0"/>
    <x v="5"/>
    <n v="65000000"/>
    <x v="28"/>
    <x v="26"/>
    <n v="70508100"/>
    <n v="45933891.296939999"/>
    <x v="3317"/>
    <x v="3321"/>
    <x v="1"/>
  </r>
  <r>
    <x v="326"/>
    <n v="422"/>
    <n v="125320003"/>
    <s v="Action|Adventure|Sci-Fi"/>
    <s v="Christian Bale"/>
    <x v="3322"/>
    <n v="286095"/>
    <s v="death row|future|machine|rescue|skynet"/>
    <n v="974"/>
    <x v="0"/>
    <x v="0"/>
    <n v="200000000"/>
    <x v="16"/>
    <x v="14"/>
    <n v="200000000"/>
    <n v="125320003"/>
    <x v="3318"/>
    <x v="3322"/>
    <x v="1"/>
  </r>
  <r>
    <x v="610"/>
    <n v="188"/>
    <n v="10991381"/>
    <s v="Biography|Drama|History|Romance"/>
    <s v="Michiel Huisman"/>
    <x v="3323"/>
    <n v="44931"/>
    <s v="19th century|courtship|female protagonist|princess|queen of england"/>
    <n v="100"/>
    <x v="0"/>
    <x v="2"/>
    <n v="35000000"/>
    <x v="16"/>
    <x v="4"/>
    <n v="44988999.999999903"/>
    <n v="14128321.137399999"/>
    <x v="3319"/>
    <x v="3323"/>
    <x v="2"/>
  </r>
  <r>
    <x v="1629"/>
    <n v="19"/>
    <n v="1100000"/>
    <s v="Crime|Drama"/>
    <s v="Dana Delany"/>
    <x v="3324"/>
    <n v="3665"/>
    <s v="bare breasts|drugs|existentialism|new york city|redemption"/>
    <n v="39"/>
    <x v="0"/>
    <x v="0"/>
    <n v="5000000"/>
    <x v="8"/>
    <x v="22"/>
    <n v="5000000"/>
    <n v="1100000"/>
    <x v="3320"/>
    <x v="3324"/>
    <x v="3"/>
  </r>
  <r>
    <x v="60"/>
    <n v="294"/>
    <n v="94999143"/>
    <s v="Drama|Mystery|Sci-Fi|Thriller"/>
    <s v="Robin Wright"/>
    <x v="3325"/>
    <n v="245152"/>
    <s v="child with gun|comic book|invulnerability|superhero|train crash"/>
    <n v="1344"/>
    <x v="0"/>
    <x v="0"/>
    <n v="75000000"/>
    <x v="4"/>
    <x v="33"/>
    <n v="75000000"/>
    <n v="94999143"/>
    <x v="3321"/>
    <x v="3325"/>
    <x v="5"/>
  </r>
  <r>
    <x v="204"/>
    <n v="11"/>
    <n v="12985267"/>
    <s v="Drama"/>
    <s v="Alexa PenaVega"/>
    <x v="3326"/>
    <n v="4977"/>
    <s v="belief|faith|pastor|question in title|three word title"/>
    <n v="63"/>
    <x v="0"/>
    <x v="0"/>
    <n v="2300000"/>
    <x v="1"/>
    <x v="0"/>
    <n v="2300000"/>
    <n v="12985267"/>
    <x v="3322"/>
    <x v="3326"/>
    <x v="5"/>
  </r>
  <r>
    <x v="1630"/>
    <n v="46"/>
    <n v="52166"/>
    <s v="Drama"/>
    <s v="Jimmy Bennett"/>
    <x v="3327"/>
    <n v="2792"/>
    <s v="cancer|cigarette smoking|hospital|one night stand|trucker"/>
    <n v="22"/>
    <x v="0"/>
    <x v="0"/>
    <n v="2000000"/>
    <x v="20"/>
    <x v="21"/>
    <n v="2000000"/>
    <n v="52166"/>
    <x v="3323"/>
    <x v="3327"/>
    <x v="5"/>
  </r>
  <r>
    <x v="852"/>
    <n v="35"/>
    <n v="24629916"/>
    <s v="Comedy|Drama|Family|Sport"/>
    <s v="Kevin Zegers"/>
    <x v="3328"/>
    <n v="12942"/>
    <s v="basketball|boy|dog|dog movie|golden retriever"/>
    <n v="34"/>
    <x v="0"/>
    <x v="0"/>
    <n v="3000000"/>
    <x v="31"/>
    <x v="37"/>
    <n v="3000000"/>
    <n v="24629916"/>
    <x v="3324"/>
    <x v="3328"/>
    <x v="4"/>
  </r>
  <r>
    <x v="133"/>
    <n v="539"/>
    <n v="132088910"/>
    <s v="Comedy|Drama|Romance"/>
    <s v="Jennifer Lawrence"/>
    <x v="3329"/>
    <n v="533607"/>
    <s v="adulterous wife|bipolar disorder|obsessive compulsive personality disorder|unhappy marriage|widow"/>
    <n v="692"/>
    <x v="0"/>
    <x v="0"/>
    <n v="21000000"/>
    <x v="28"/>
    <x v="38"/>
    <n v="21000000"/>
    <n v="132088910"/>
    <x v="3325"/>
    <x v="3329"/>
    <x v="4"/>
  </r>
  <r>
    <x v="1631"/>
    <n v="120"/>
    <n v="38122105"/>
    <s v="Action|Crime|Sci-Fi|Thriller"/>
    <s v="Yaphet Kotto"/>
    <x v="3330"/>
    <n v="112669"/>
    <s v="game of death|government conspiracy|latina|oppression|police"/>
    <n v="226"/>
    <x v="0"/>
    <x v="0"/>
    <n v="27000000"/>
    <x v="21"/>
    <x v="14"/>
    <n v="27000000"/>
    <n v="38122105"/>
    <x v="3326"/>
    <x v="3330"/>
    <x v="1"/>
  </r>
  <r>
    <x v="529"/>
    <n v="64"/>
    <n v="12398628"/>
    <s v="Action|Crime|Drama|Sport"/>
    <s v="Fisher Stevens"/>
    <x v="3331"/>
    <n v="21542"/>
    <s v="boxing|fight|heavyweight champion|iceman|prison"/>
    <n v="88"/>
    <x v="0"/>
    <x v="0"/>
    <n v="20000000"/>
    <x v="13"/>
    <x v="7"/>
    <n v="20000000"/>
    <n v="12398628"/>
    <x v="3327"/>
    <x v="3331"/>
    <x v="1"/>
  </r>
  <r>
    <x v="70"/>
    <n v="50"/>
    <n v="33451479"/>
    <s v="Drama|Romance"/>
    <s v="Kirk Cameron"/>
    <x v="3332"/>
    <n v="17068"/>
    <s v="christian film|dare|firefighter|internet pornography|marriage"/>
    <n v="215"/>
    <x v="0"/>
    <x v="0"/>
    <n v="500000"/>
    <x v="20"/>
    <x v="20"/>
    <n v="500000"/>
    <n v="33451479"/>
    <x v="3328"/>
    <x v="3332"/>
    <x v="5"/>
  </r>
  <r>
    <x v="381"/>
    <n v="120"/>
    <n v="4306697"/>
    <s v="Drama"/>
    <s v="Bruce Greenwood"/>
    <x v="3333"/>
    <n v="26720"/>
    <s v="anger|bus|child|lawyer|school"/>
    <n v="196"/>
    <x v="0"/>
    <x v="9"/>
    <n v="5000000"/>
    <x v="31"/>
    <x v="9"/>
    <n v="3617025"/>
    <n v="3115486.14328499"/>
    <x v="3329"/>
    <x v="3333"/>
    <x v="5"/>
  </r>
  <r>
    <x v="859"/>
    <n v="251"/>
    <n v="3645438"/>
    <s v="Horror"/>
    <s v="CÃ©cile De France"/>
    <x v="3334"/>
    <n v="55040"/>
    <s v="car chase|plot twist|police van|rear ending a car|slasher"/>
    <n v="539"/>
    <x v="4"/>
    <x v="8"/>
    <n v="2200000"/>
    <x v="19"/>
    <x v="22"/>
    <n v="2386428"/>
    <n v="3954352.4161200002"/>
    <x v="3330"/>
    <x v="3334"/>
    <x v="6"/>
  </r>
  <r>
    <x v="1632"/>
    <n v="15"/>
    <n v="638951"/>
    <s v="Drama"/>
    <s v="Long Nguyen"/>
    <x v="3335"/>
    <n v="775"/>
    <s v="1970s|1980s|nonlinear timeline|rescue|vietnam war"/>
    <n v="19"/>
    <x v="35"/>
    <x v="0"/>
    <n v="1592000"/>
    <x v="7"/>
    <x v="39"/>
    <n v="1592000"/>
    <n v="638951"/>
    <x v="3331"/>
    <x v="3335"/>
    <x v="5"/>
  </r>
  <r>
    <x v="778"/>
    <n v="131"/>
    <n v="217326336"/>
    <s v="Animation|Comedy|Family|Fantasy|Music"/>
    <s v="Jesse McCartney"/>
    <x v="3336"/>
    <n v="57276"/>
    <s v="based on cartoon|chipmunk|concert|fart joke|talking animal"/>
    <n v="146"/>
    <x v="0"/>
    <x v="0"/>
    <n v="60000000"/>
    <x v="15"/>
    <x v="44"/>
    <n v="60000000"/>
    <n v="217326336"/>
    <x v="3332"/>
    <x v="3336"/>
    <x v="8"/>
  </r>
  <r>
    <x v="1455"/>
    <n v="424"/>
    <n v="102981571"/>
    <s v="Action|Adventure|Thriller"/>
    <s v="Jason Statham"/>
    <x v="3337"/>
    <n v="270226"/>
    <s v="action hero|assassination attempt|explosion|machine gun|rescue mission"/>
    <n v="741"/>
    <x v="0"/>
    <x v="0"/>
    <n v="80000000"/>
    <x v="11"/>
    <x v="20"/>
    <n v="80000000"/>
    <n v="102981571"/>
    <x v="3333"/>
    <x v="3337"/>
    <x v="1"/>
  </r>
  <r>
    <x v="144"/>
    <n v="135"/>
    <n v="34238611"/>
    <s v="Action|Crime|Drama|Thriller"/>
    <s v="Connie Nielsen"/>
    <x v="3338"/>
    <n v="35830"/>
    <s v="capture|combat|fbi|hunter|special forces"/>
    <n v="321"/>
    <x v="0"/>
    <x v="0"/>
    <n v="55000000"/>
    <x v="19"/>
    <x v="11"/>
    <n v="55000000"/>
    <n v="34238611"/>
    <x v="3334"/>
    <x v="3338"/>
    <x v="1"/>
  </r>
  <r>
    <x v="29"/>
    <n v="68"/>
    <n v="44484065"/>
    <s v="Action|Crime|Drama|Mystery|Thriller"/>
    <s v="Kevin Spacey"/>
    <x v="3339"/>
    <n v="107227"/>
    <s v="hostage|innocence|murder|negotiator|police"/>
    <n v="279"/>
    <x v="0"/>
    <x v="5"/>
    <n v="50000000"/>
    <x v="6"/>
    <x v="4"/>
    <n v="54237000"/>
    <n v="48253644.668099999"/>
    <x v="3335"/>
    <x v="3339"/>
    <x v="1"/>
  </r>
  <r>
    <x v="891"/>
    <n v="398"/>
    <n v="40218903"/>
    <s v="Drama"/>
    <s v="Jim Meskimen"/>
    <x v="3340"/>
    <n v="372990"/>
    <s v="alcoholic|alcoholism|money|oil|turn of the century"/>
    <n v="1107"/>
    <x v="0"/>
    <x v="0"/>
    <n v="25000000"/>
    <x v="15"/>
    <x v="40"/>
    <n v="25000000"/>
    <n v="40218903"/>
    <x v="3336"/>
    <x v="3340"/>
    <x v="5"/>
  </r>
  <r>
    <x v="1136"/>
    <n v="67"/>
    <n v="52885587"/>
    <s v="Comedy|Drama|Romance|Sport"/>
    <s v="Paul Walker"/>
    <x v="3341"/>
    <n v="35312"/>
    <s v="coach|coyote|popularity|quarterback|texas"/>
    <n v="267"/>
    <x v="0"/>
    <x v="0"/>
    <n v="16000000"/>
    <x v="12"/>
    <x v="24"/>
    <n v="16000000"/>
    <n v="52885587"/>
    <x v="3337"/>
    <x v="3341"/>
    <x v="4"/>
  </r>
  <r>
    <x v="202"/>
    <n v="279"/>
    <n v="53846915"/>
    <s v="Comedy|Crime|Drama|Romance"/>
    <s v="Will Smith"/>
    <x v="3342"/>
    <n v="149337"/>
    <s v="con artist|con man|deception|rivalry|seduction"/>
    <n v="221"/>
    <x v="0"/>
    <x v="0"/>
    <n v="50100000"/>
    <x v="1"/>
    <x v="14"/>
    <n v="50100000"/>
    <n v="53846915"/>
    <x v="3338"/>
    <x v="3342"/>
    <x v="4"/>
  </r>
  <r>
    <x v="411"/>
    <n v="452"/>
    <n v="66359959"/>
    <s v="Comedy|Horror|Romance"/>
    <s v="Cory Hardrict"/>
    <x v="3343"/>
    <n v="184641"/>
    <s v="fight|memory|teenager|undead|zombie"/>
    <n v="326"/>
    <x v="0"/>
    <x v="0"/>
    <n v="35000000"/>
    <x v="0"/>
    <x v="31"/>
    <n v="35000000"/>
    <n v="66359959"/>
    <x v="3339"/>
    <x v="3343"/>
    <x v="4"/>
  </r>
  <r>
    <x v="1633"/>
    <n v="134"/>
    <n v="83400000"/>
    <s v="Comedy"/>
    <s v="Peter Graves"/>
    <x v="3344"/>
    <n v="160281"/>
    <s v="air traffic controller|airplane|airport|pilot|spoof"/>
    <n v="427"/>
    <x v="0"/>
    <x v="0"/>
    <n v="3500000"/>
    <x v="52"/>
    <x v="38"/>
    <n v="3500000"/>
    <n v="83400000"/>
    <x v="3340"/>
    <x v="3344"/>
    <x v="4"/>
  </r>
  <r>
    <x v="229"/>
    <n v="114"/>
    <n v="241688385"/>
    <s v="Action|Adventure|Drama|Thriller"/>
    <s v="Philip Seymour Hoffman"/>
    <x v="3345"/>
    <n v="144053"/>
    <s v="device|disaster|divorce|storm|tornado"/>
    <n v="395"/>
    <x v="0"/>
    <x v="0"/>
    <n v="92000000"/>
    <x v="10"/>
    <x v="23"/>
    <n v="92000000"/>
    <n v="241688385"/>
    <x v="3341"/>
    <x v="3345"/>
    <x v="1"/>
  </r>
  <r>
    <x v="91"/>
    <n v="216"/>
    <n v="54098051"/>
    <s v="Horror"/>
    <s v="Chelan Simmons"/>
    <x v="3346"/>
    <n v="102861"/>
    <s v="amusement park|death|fate|premonition|roller coaster"/>
    <n v="571"/>
    <x v="0"/>
    <x v="5"/>
    <n v="25000000"/>
    <x v="7"/>
    <x v="30"/>
    <n v="27118500"/>
    <n v="58682319.841739997"/>
    <x v="3342"/>
    <x v="3346"/>
    <x v="6"/>
  </r>
  <r>
    <x v="1634"/>
    <n v="163"/>
    <n v="8460995"/>
    <s v="Action|Comedy|Romance"/>
    <s v="Jasper Cole"/>
    <x v="3347"/>
    <n v="35888"/>
    <s v="colonel|lieutenant|nuclear warhead|team|washington d.c."/>
    <n v="125"/>
    <x v="0"/>
    <x v="0"/>
    <n v="10000000"/>
    <x v="11"/>
    <x v="28"/>
    <n v="10000000"/>
    <n v="8460995"/>
    <x v="3343"/>
    <x v="3347"/>
    <x v="1"/>
  </r>
  <r>
    <x v="232"/>
    <n v="159"/>
    <n v="172071312"/>
    <s v="Adventure|Drama|History"/>
    <s v="Tom Hanks"/>
    <x v="3348"/>
    <n v="208817"/>
    <s v="cape kennedy|news footage|reference to christopher columbus|rocket|trapped in space"/>
    <n v="296"/>
    <x v="0"/>
    <x v="0"/>
    <n v="62000000"/>
    <x v="33"/>
    <x v="10"/>
    <n v="62000000"/>
    <n v="172071312"/>
    <x v="3344"/>
    <x v="3348"/>
    <x v="0"/>
  </r>
  <r>
    <x v="771"/>
    <n v="81"/>
    <n v="141340178"/>
    <s v="Drama|Thriller"/>
    <s v="Tom Cruise"/>
    <x v="3349"/>
    <n v="181879"/>
    <s v="cuba|guantanamo|lance corporal|lawyer|murder"/>
    <n v="319"/>
    <x v="0"/>
    <x v="0"/>
    <n v="40000000"/>
    <x v="8"/>
    <x v="10"/>
    <n v="40000000"/>
    <n v="141340178"/>
    <x v="3345"/>
    <x v="3349"/>
    <x v="5"/>
  </r>
  <r>
    <x v="1635"/>
    <n v="112"/>
    <n v="21835784"/>
    <s v="Comedy|Drama|Romance"/>
    <s v="Aimee Garcia"/>
    <x v="3350"/>
    <n v="58297"/>
    <s v="flight|hasselblad camera|los angeles california|love|medium format camera"/>
    <n v="161"/>
    <x v="0"/>
    <x v="0"/>
    <n v="30000000"/>
    <x v="25"/>
    <x v="14"/>
    <n v="30000000"/>
    <n v="21835784"/>
    <x v="3346"/>
    <x v="3350"/>
    <x v="4"/>
  </r>
  <r>
    <x v="46"/>
    <n v="73"/>
    <n v="16647384"/>
    <s v="Adventure|Comedy|Family|Romance"/>
    <s v="Tyler James Williams"/>
    <x v="3351"/>
    <n v="8398"/>
    <s v="airport|black comedy|blizzard|christmas|pennsylvania"/>
    <n v="56"/>
    <x v="0"/>
    <x v="0"/>
    <n v="26000000"/>
    <x v="7"/>
    <x v="37"/>
    <n v="26000000"/>
    <n v="16647384"/>
    <x v="3347"/>
    <x v="3351"/>
    <x v="0"/>
  </r>
  <r>
    <x v="108"/>
    <n v="330"/>
    <n v="118311368"/>
    <s v="Action|Crime|Mystery|Thriller"/>
    <s v="Angelina Jolie Pitt"/>
    <x v="3352"/>
    <n v="245621"/>
    <s v="cia|on the run|russian|russian spy|strong female lead"/>
    <n v="514"/>
    <x v="0"/>
    <x v="0"/>
    <n v="110000000"/>
    <x v="11"/>
    <x v="24"/>
    <n v="110000000"/>
    <n v="118311368"/>
    <x v="3348"/>
    <x v="3352"/>
    <x v="1"/>
  </r>
  <r>
    <x v="1016"/>
    <n v="189"/>
    <n v="6565495"/>
    <s v="Drama|Romance"/>
    <s v="Li Gong"/>
    <x v="3353"/>
    <n v="36455"/>
    <s v="china|chrysanthemum|emperor|empress|prince"/>
    <n v="229"/>
    <x v="15"/>
    <x v="6"/>
    <n v="45000000"/>
    <x v="7"/>
    <x v="16"/>
    <n v="6222775.4999999898"/>
    <n v="907902.25403049996"/>
    <x v="3349"/>
    <x v="3353"/>
    <x v="5"/>
  </r>
  <r>
    <x v="60"/>
    <n v="208"/>
    <n v="227965690"/>
    <s v="Drama|Sci-Fi|Thriller"/>
    <s v="Rory Culkin"/>
    <x v="3354"/>
    <n v="271592"/>
    <s v="crop circle|faith|farm|glass of water|loss of faith"/>
    <n v="2335"/>
    <x v="0"/>
    <x v="0"/>
    <n v="72000000"/>
    <x v="13"/>
    <x v="21"/>
    <n v="72000000"/>
    <n v="227965690"/>
    <x v="3350"/>
    <x v="3354"/>
    <x v="5"/>
  </r>
  <r>
    <x v="274"/>
    <n v="277"/>
    <n v="30859000"/>
    <s v="Horror|Thriller"/>
    <s v="Gunnar Hansen"/>
    <x v="3009"/>
    <n v="96411"/>
    <s v="cannibal|chainsaw|hitchhiker|independent film|leatherface"/>
    <n v="826"/>
    <x v="0"/>
    <x v="0"/>
    <n v="83532"/>
    <x v="48"/>
    <x v="2"/>
    <n v="83532"/>
    <n v="30859000"/>
    <x v="3006"/>
    <x v="3009"/>
    <x v="6"/>
  </r>
  <r>
    <x v="1540"/>
    <n v="124"/>
    <n v="49474048"/>
    <s v="Comedy|Family"/>
    <s v="Robin Williams"/>
    <x v="3355"/>
    <n v="31191"/>
    <s v="best friend|business deal|impulse|public relations|twin"/>
    <n v="120"/>
    <x v="0"/>
    <x v="0"/>
    <n v="35000000"/>
    <x v="16"/>
    <x v="26"/>
    <n v="35000000"/>
    <n v="49474048"/>
    <x v="3351"/>
    <x v="3355"/>
    <x v="4"/>
  </r>
  <r>
    <x v="167"/>
    <n v="264"/>
    <n v="35707327"/>
    <s v="Crime|Drama|Mystery|Thriller"/>
    <s v="Angelina Jolie Pitt"/>
    <x v="3356"/>
    <n v="199056"/>
    <s v="execution by hanging|los angeles police department|miscarriage of justice|missing child|wrongful conviction"/>
    <n v="387"/>
    <x v="0"/>
    <x v="0"/>
    <n v="55000000"/>
    <x v="20"/>
    <x v="38"/>
    <n v="55000000"/>
    <n v="35707327"/>
    <x v="3352"/>
    <x v="3356"/>
    <x v="3"/>
  </r>
  <r>
    <x v="6"/>
    <n v="173"/>
    <n v="2812029"/>
    <s v="Crime|Drama|Thriller"/>
    <s v="Quentin Tarantino"/>
    <x v="3357"/>
    <n v="664719"/>
    <s v="gang|heist|heist gone wrong|nonlinear timeline|robbery"/>
    <n v="931"/>
    <x v="0"/>
    <x v="0"/>
    <n v="1200000"/>
    <x v="8"/>
    <x v="25"/>
    <n v="1200000"/>
    <n v="2812029"/>
    <x v="3353"/>
    <x v="3357"/>
    <x v="3"/>
  </r>
  <r>
    <x v="709"/>
    <n v="330"/>
    <n v="25592632"/>
    <s v="Horror"/>
    <s v="Toby Jones"/>
    <x v="3358"/>
    <n v="220475"/>
    <s v="desperation|fog|giant insect|survival|survival horror"/>
    <n v="1066"/>
    <x v="0"/>
    <x v="0"/>
    <n v="18000000"/>
    <x v="15"/>
    <x v="33"/>
    <n v="18000000"/>
    <n v="25592632"/>
    <x v="3354"/>
    <x v="3358"/>
    <x v="6"/>
  </r>
  <r>
    <x v="486"/>
    <n v="94"/>
    <n v="177200000"/>
    <s v="Comedy|Drama|Romance"/>
    <s v="Bill Murray"/>
    <x v="3359"/>
    <n v="77366"/>
    <s v="actor|actress|friend|love|reputation"/>
    <n v="194"/>
    <x v="0"/>
    <x v="0"/>
    <n v="22000000"/>
    <x v="42"/>
    <x v="39"/>
    <n v="22000000"/>
    <n v="177200000"/>
    <x v="3355"/>
    <x v="3359"/>
    <x v="4"/>
  </r>
  <r>
    <x v="1636"/>
    <n v="57"/>
    <n v="1400000"/>
    <s v="Action|Drama|Horror|Thriller"/>
    <s v="Terry Kiser"/>
    <x v="3360"/>
    <n v="1324"/>
    <s v="bathtub|cult film|neck breaking|tennessee|wraparound story"/>
    <n v="37"/>
    <x v="0"/>
    <x v="0"/>
    <n v="1100000"/>
    <x v="21"/>
    <x v="0"/>
    <n v="1100000"/>
    <n v="1400000"/>
    <x v="3356"/>
    <x v="3360"/>
    <x v="1"/>
  </r>
  <r>
    <x v="1361"/>
    <n v="95"/>
    <n v="14378353"/>
    <s v="Drama|Mystery|Romance|Thriller"/>
    <s v="Rick Yune"/>
    <x v="3361"/>
    <n v="12375"/>
    <s v="fisherman|japanese|love|trial|washington state"/>
    <n v="194"/>
    <x v="0"/>
    <x v="0"/>
    <n v="36000000"/>
    <x v="12"/>
    <x v="22"/>
    <n v="36000000"/>
    <n v="14378353"/>
    <x v="3357"/>
    <x v="3361"/>
    <x v="5"/>
  </r>
  <r>
    <x v="531"/>
    <n v="185"/>
    <n v="130727000"/>
    <s v="Crime|Drama|Horror|Thriller"/>
    <s v="Anthony Hopkins"/>
    <x v="3362"/>
    <n v="887467"/>
    <s v="case file|fbi agent|psycho thriller|psychopath|serial killer"/>
    <n v="916"/>
    <x v="0"/>
    <x v="0"/>
    <n v="19000000"/>
    <x v="38"/>
    <x v="43"/>
    <n v="19000000"/>
    <n v="130727000"/>
    <x v="3358"/>
    <x v="3362"/>
    <x v="3"/>
  </r>
  <r>
    <x v="935"/>
    <n v="158"/>
    <n v="62494975"/>
    <s v="Action|Crime|Thriller"/>
    <s v="Amber Stevens West"/>
    <x v="3363"/>
    <n v="179500"/>
    <s v="car|challenge|drift racing|drifting|tokyo japan"/>
    <n v="378"/>
    <x v="0"/>
    <x v="0"/>
    <n v="85000000"/>
    <x v="7"/>
    <x v="11"/>
    <n v="85000000"/>
    <n v="62494975"/>
    <x v="3359"/>
    <x v="3363"/>
    <x v="1"/>
  </r>
  <r>
    <x v="167"/>
    <n v="268"/>
    <n v="100422786"/>
    <s v="Drama|Sport"/>
    <s v="Clint Eastwood"/>
    <x v="3364"/>
    <n v="482064"/>
    <s v="boxing|boxing trainer|death|suicide attempt|women boxing"/>
    <n v="1106"/>
    <x v="0"/>
    <x v="0"/>
    <n v="30000000"/>
    <x v="2"/>
    <x v="40"/>
    <n v="30000000"/>
    <n v="100422786"/>
    <x v="3360"/>
    <x v="3364"/>
    <x v="5"/>
  </r>
  <r>
    <x v="310"/>
    <n v="264"/>
    <n v="46377022"/>
    <s v="Comedy|Drama"/>
    <s v="Tom Wilkinson"/>
    <x v="3365"/>
    <n v="75306"/>
    <s v="hotel|india|marigold|retiree|retirement"/>
    <n v="266"/>
    <x v="0"/>
    <x v="2"/>
    <n v="10000000"/>
    <x v="22"/>
    <x v="4"/>
    <n v="12853999.999999899"/>
    <n v="59613024.078799903"/>
    <x v="3361"/>
    <x v="3365"/>
    <x v="4"/>
  </r>
  <r>
    <x v="1540"/>
    <n v="96"/>
    <n v="21005329"/>
    <s v="Comedy|Romance"/>
    <s v="Ryan Reynolds"/>
    <x v="3366"/>
    <n v="89128"/>
    <s v="college|love|party|reporter|tuition"/>
    <n v="258"/>
    <x v="0"/>
    <x v="5"/>
    <n v="6000000"/>
    <x v="13"/>
    <x v="24"/>
    <n v="6508440"/>
    <n v="22785320.579459999"/>
    <x v="3362"/>
    <x v="3366"/>
    <x v="4"/>
  </r>
  <r>
    <x v="1206"/>
    <n v="27"/>
    <n v="56007"/>
    <s v="Comedy|Crime|Drama|Romance|Thriller"/>
    <s v="Sarah Michelle Gellar"/>
    <x v="3367"/>
    <n v="3754"/>
    <s v="basketball|cheerleader|college|harvard|philosophy"/>
    <n v="69"/>
    <x v="0"/>
    <x v="0"/>
    <n v="5500000"/>
    <x v="9"/>
    <x v="18"/>
    <n v="5500000"/>
    <n v="56007"/>
    <x v="3363"/>
    <x v="3367"/>
    <x v="4"/>
  </r>
  <r>
    <x v="89"/>
    <n v="150"/>
    <n v="166225040"/>
    <s v="Comedy"/>
    <s v="Robert De Niro"/>
    <x v="3368"/>
    <n v="260442"/>
    <s v="cat|cia|jewish|male nurse|nurse"/>
    <n v="507"/>
    <x v="0"/>
    <x v="0"/>
    <n v="55000000"/>
    <x v="4"/>
    <x v="16"/>
    <n v="55000000"/>
    <n v="166225040"/>
    <x v="3364"/>
    <x v="3368"/>
    <x v="4"/>
  </r>
  <r>
    <x v="1110"/>
    <n v="125"/>
    <n v="140459099"/>
    <s v="Action|Drama|Romance|Sci-Fi|Thriller"/>
    <s v="Morgan Freeman"/>
    <x v="3369"/>
    <n v="135601"/>
    <s v="astronomer|comet|mission|president|secretary"/>
    <n v="493"/>
    <x v="0"/>
    <x v="0"/>
    <n v="75000000"/>
    <x v="6"/>
    <x v="7"/>
    <n v="75000000"/>
    <n v="140459099"/>
    <x v="3365"/>
    <x v="3369"/>
    <x v="1"/>
  </r>
  <r>
    <x v="26"/>
    <n v="34"/>
    <n v="19900000"/>
    <s v="Comedy|Fantasy|Horror|Romance"/>
    <s v="John Witherspoon"/>
    <x v="3370"/>
    <n v="17262"/>
    <s v="blood|destiny|nightmare|partner|vampire"/>
    <n v="53"/>
    <x v="0"/>
    <x v="0"/>
    <n v="20000000"/>
    <x v="33"/>
    <x v="47"/>
    <n v="20000000"/>
    <n v="19900000"/>
    <x v="3366"/>
    <x v="3370"/>
    <x v="4"/>
  </r>
  <r>
    <x v="1637"/>
    <n v="70"/>
    <n v="3500000"/>
    <s v="Action|Horror|Romance|Sci-Fi|Thriller"/>
    <s v="Clint Howard"/>
    <x v="3371"/>
    <n v="10082"/>
    <s v="arizona|death|gang|police|sheriff"/>
    <n v="100"/>
    <x v="0"/>
    <x v="0"/>
    <n v="2700000"/>
    <x v="18"/>
    <x v="0"/>
    <n v="2700000"/>
    <n v="3500000"/>
    <x v="3367"/>
    <x v="3371"/>
    <x v="1"/>
  </r>
  <r>
    <x v="366"/>
    <n v="109"/>
    <n v="4839383"/>
    <s v="Comedy|Romance"/>
    <s v="Woody Allen"/>
    <x v="3372"/>
    <n v="21613"/>
    <s v="blind|director|psychosomatic blindness|self deprecating|studio"/>
    <n v="148"/>
    <x v="0"/>
    <x v="0"/>
    <n v="16000000"/>
    <x v="13"/>
    <x v="14"/>
    <n v="16000000"/>
    <n v="4839383"/>
    <x v="3368"/>
    <x v="3372"/>
    <x v="4"/>
  </r>
  <r>
    <x v="1322"/>
    <n v="104"/>
    <n v="22433915"/>
    <s v="Crime|Drama|Mystery|Thriller"/>
    <s v="Robert De Niro"/>
    <x v="3373"/>
    <n v="21319"/>
    <s v="beach|grandson|murder|new york city|police"/>
    <n v="166"/>
    <x v="0"/>
    <x v="0"/>
    <n v="60000000"/>
    <x v="13"/>
    <x v="5"/>
    <n v="60000000"/>
    <n v="22433915"/>
    <x v="3369"/>
    <x v="3373"/>
    <x v="3"/>
  </r>
  <r>
    <x v="181"/>
    <n v="155"/>
    <n v="112225777"/>
    <s v="Action|Crime|Sci-Fi|Thriller"/>
    <s v="Nicolas Cage"/>
    <x v="3374"/>
    <n v="283967"/>
    <s v="death of child|face|face transplant|prison|terrorist"/>
    <n v="535"/>
    <x v="0"/>
    <x v="0"/>
    <n v="80000000"/>
    <x v="31"/>
    <x v="4"/>
    <n v="80000000"/>
    <n v="112225777"/>
    <x v="3370"/>
    <x v="3374"/>
    <x v="1"/>
  </r>
  <r>
    <x v="740"/>
    <n v="412"/>
    <n v="17750583"/>
    <s v="Biography|Drama"/>
    <s v="Kate Winslet"/>
    <x v="3375"/>
    <n v="93548"/>
    <s v="apple computer|box office flop|computer|dialogue driven|father daughter relationship"/>
    <n v="307"/>
    <x v="0"/>
    <x v="2"/>
    <n v="30000000"/>
    <x v="1"/>
    <x v="33"/>
    <n v="38562000"/>
    <n v="22816599.388199899"/>
    <x v="3371"/>
    <x v="3375"/>
    <x v="2"/>
  </r>
  <r>
    <x v="345"/>
    <n v="40"/>
    <n v="14358033"/>
    <s v="Comedy|Romance|Sci-Fi|Thriller"/>
    <s v="Richard Epcar"/>
    <x v="3376"/>
    <n v="17365"/>
    <s v="accident|bar|chase|cia|laboratory"/>
    <n v="66"/>
    <x v="0"/>
    <x v="0"/>
    <n v="40000000"/>
    <x v="8"/>
    <x v="0"/>
    <n v="40000000"/>
    <n v="14358033"/>
    <x v="3372"/>
    <x v="3376"/>
    <x v="4"/>
  </r>
  <r>
    <x v="948"/>
    <n v="25"/>
    <n v="141853"/>
    <s v="Comedy|Drama"/>
    <s v="Kyra Sedgwick"/>
    <x v="3377"/>
    <n v="1427"/>
    <s v="half sister|hospital|latex gloves|medicine|nun"/>
    <n v="12"/>
    <x v="0"/>
    <x v="3"/>
    <n v="12000000"/>
    <x v="31"/>
    <x v="11"/>
    <n v="7846560"/>
    <n v="92754.839640000006"/>
    <x v="3373"/>
    <x v="3377"/>
    <x v="4"/>
  </r>
  <r>
    <x v="1287"/>
    <n v="60"/>
    <n v="68750000"/>
    <s v="Action|Adventure|Thriller"/>
    <s v="Oliver Platt"/>
    <x v="3378"/>
    <n v="40858"/>
    <s v="bomb|hostage|military|plane|terrorist"/>
    <n v="144"/>
    <x v="0"/>
    <x v="0"/>
    <n v="55000000"/>
    <x v="10"/>
    <x v="24"/>
    <n v="55000000"/>
    <n v="68750000"/>
    <x v="3374"/>
    <x v="3378"/>
    <x v="1"/>
  </r>
  <r>
    <x v="1286"/>
    <n v="163"/>
    <n v="2445646"/>
    <s v="Biography|Crime|Drama|Mystery|Thriller"/>
    <s v="Jeremy Renner"/>
    <x v="3379"/>
    <n v="32382"/>
    <s v="based on true story|cia|cocaine|journalist|smear campaign"/>
    <n v="99"/>
    <x v="0"/>
    <x v="0"/>
    <n v="5000000"/>
    <x v="27"/>
    <x v="16"/>
    <n v="5000000"/>
    <n v="2445646"/>
    <x v="3375"/>
    <x v="3379"/>
    <x v="2"/>
  </r>
  <r>
    <x v="367"/>
    <n v="20"/>
    <n v="10070000"/>
    <s v="Comedy|Drama|Romance"/>
    <s v="Brendan Fraser"/>
    <x v="3380"/>
    <n v="5668"/>
    <s v="love|train|train wreck|twin brother|two word title"/>
    <n v="50"/>
    <x v="0"/>
    <x v="0"/>
    <n v="25000000"/>
    <x v="10"/>
    <x v="5"/>
    <n v="25000000"/>
    <n v="10070000"/>
    <x v="3376"/>
    <x v="3380"/>
    <x v="4"/>
  </r>
  <r>
    <x v="282"/>
    <n v="478"/>
    <n v="205343774"/>
    <s v="Action|Adventure"/>
    <s v="Christian Bale"/>
    <x v="3381"/>
    <n v="980946"/>
    <s v="armored car|gangster|gotham|mixed martial arts|social decay"/>
    <n v="2685"/>
    <x v="0"/>
    <x v="0"/>
    <n v="150000000"/>
    <x v="25"/>
    <x v="36"/>
    <n v="150000000"/>
    <n v="205343774"/>
    <x v="3377"/>
    <x v="3381"/>
    <x v="1"/>
  </r>
  <r>
    <x v="241"/>
    <n v="116"/>
    <n v="75367693"/>
    <s v="Animation|Comedy|Family|Fantasy"/>
    <s v="Bill Murray"/>
    <x v="3382"/>
    <n v="58961"/>
    <s v="cat|dog|first part|lasagna|veterinarian"/>
    <n v="232"/>
    <x v="0"/>
    <x v="0"/>
    <n v="35000000"/>
    <x v="2"/>
    <x v="53"/>
    <n v="35000000"/>
    <n v="75367693"/>
    <x v="3378"/>
    <x v="3382"/>
    <x v="8"/>
  </r>
  <r>
    <x v="403"/>
    <n v="164"/>
    <n v="21133087"/>
    <s v="Horror|Mystery|Thriller"/>
    <s v="Illeana Douglas"/>
    <x v="3383"/>
    <n v="62468"/>
    <s v="disappearance|hearing voices|hypnosis|post hypnotic suggestion|seeing a ghost"/>
    <n v="374"/>
    <x v="0"/>
    <x v="0"/>
    <n v="12000000"/>
    <x v="12"/>
    <x v="16"/>
    <n v="12000000"/>
    <n v="21133087"/>
    <x v="3379"/>
    <x v="3383"/>
    <x v="6"/>
  </r>
  <r>
    <x v="1444"/>
    <n v="222"/>
    <n v="28563179"/>
    <s v="Crime|Drama|Thriller"/>
    <s v="Robert Duvall"/>
    <x v="3384"/>
    <n v="72693"/>
    <s v="arrest|drugs|loyalty|raid|violence"/>
    <n v="199"/>
    <x v="0"/>
    <x v="0"/>
    <n v="21000000"/>
    <x v="15"/>
    <x v="31"/>
    <n v="21000000"/>
    <n v="28563179"/>
    <x v="3380"/>
    <x v="3384"/>
    <x v="3"/>
  </r>
  <r>
    <x v="132"/>
    <n v="252"/>
    <n v="52792307"/>
    <s v="Adventure|Family|Fantasy"/>
    <s v="Mark Rylance"/>
    <x v="3385"/>
    <n v="12572"/>
    <s v="cannibal|evil brother|giant|london england|queen"/>
    <n v="106"/>
    <x v="0"/>
    <x v="2"/>
    <n v="140000000"/>
    <x v="24"/>
    <x v="22"/>
    <n v="179955999.99999899"/>
    <n v="67859231.417799994"/>
    <x v="3381"/>
    <x v="3385"/>
    <x v="0"/>
  </r>
  <r>
    <x v="1638"/>
    <n v="597"/>
    <n v="56667870"/>
    <s v="Biography|Drama|History"/>
    <s v="QuvenzhanÃ© Wallis"/>
    <x v="3386"/>
    <n v="439176"/>
    <s v="racism|separation from family|social injustice|torture|whipping"/>
    <n v="695"/>
    <x v="0"/>
    <x v="0"/>
    <n v="20000000"/>
    <x v="0"/>
    <x v="40"/>
    <n v="20000000"/>
    <n v="56667870"/>
    <x v="3382"/>
    <x v="3386"/>
    <x v="2"/>
  </r>
  <r>
    <x v="1639"/>
    <n v="11"/>
    <n v="243347"/>
    <s v="Crime|Drama|Thriller"/>
    <s v="Monica Calhoun"/>
    <x v="3387"/>
    <n v="553"/>
    <s v="abuse of power|friendship|prison|prison guard|title directed by female"/>
    <n v="24"/>
    <x v="0"/>
    <x v="0"/>
    <n v="500000"/>
    <x v="13"/>
    <x v="1"/>
    <n v="500000"/>
    <n v="243347"/>
    <x v="3383"/>
    <x v="3387"/>
    <x v="3"/>
  </r>
  <r>
    <x v="1640"/>
    <n v="148"/>
    <n v="46813366"/>
    <s v="Comedy|Romance"/>
    <s v="Alison Brie"/>
    <x v="3388"/>
    <n v="39440"/>
    <s v="motor scooter|new york city|newborn baby|scooter|single"/>
    <n v="83"/>
    <x v="0"/>
    <x v="0"/>
    <n v="38000000"/>
    <x v="24"/>
    <x v="7"/>
    <n v="38000000"/>
    <n v="46813366"/>
    <x v="3384"/>
    <x v="3388"/>
    <x v="4"/>
  </r>
  <r>
    <x v="804"/>
    <n v="188"/>
    <n v="24004159"/>
    <s v="Action|Adventure|Comedy"/>
    <s v="Jim Broadbent"/>
    <x v="3060"/>
    <n v="68722"/>
    <s v="19th century|around the world|inventor|martial arts|train"/>
    <n v="191"/>
    <x v="0"/>
    <x v="0"/>
    <n v="110000000"/>
    <x v="2"/>
    <x v="30"/>
    <n v="110000000"/>
    <n v="24004159"/>
    <x v="3057"/>
    <x v="3060"/>
    <x v="1"/>
  </r>
  <r>
    <x v="1523"/>
    <n v="152"/>
    <n v="52752475"/>
    <s v="Drama|Thriller"/>
    <s v="Olivier Martinez"/>
    <x v="3389"/>
    <n v="63067"/>
    <s v="erotic thriller|infidelity|marital infidelity|unfaithfulness|wife's lover murdered by husband"/>
    <n v="533"/>
    <x v="0"/>
    <x v="0"/>
    <n v="50000000"/>
    <x v="13"/>
    <x v="21"/>
    <n v="50000000"/>
    <n v="52752475"/>
    <x v="3385"/>
    <x v="3389"/>
    <x v="5"/>
  </r>
  <r>
    <x v="161"/>
    <n v="492"/>
    <n v="58607007"/>
    <s v="Action|Crime|Sci-Fi|Thriller"/>
    <s v="Gary Oldman"/>
    <x v="168"/>
    <n v="182910"/>
    <s v="law enforcement|police|robocop|robot|technology"/>
    <n v="630"/>
    <x v="0"/>
    <x v="0"/>
    <n v="100000000"/>
    <x v="27"/>
    <x v="5"/>
    <n v="100000000"/>
    <n v="58607007"/>
    <x v="168"/>
    <x v="168"/>
    <x v="1"/>
  </r>
  <r>
    <x v="1641"/>
    <n v="83"/>
    <n v="30050028"/>
    <s v="Action|Thriller"/>
    <s v="Ben Gazzara"/>
    <x v="3390"/>
    <n v="42987"/>
    <s v="bikini|cult film|fired from the job|martial arts|violence"/>
    <n v="201"/>
    <x v="0"/>
    <x v="0"/>
    <n v="17000000"/>
    <x v="26"/>
    <x v="20"/>
    <n v="17000000"/>
    <n v="30050028"/>
    <x v="3386"/>
    <x v="3390"/>
    <x v="1"/>
  </r>
  <r>
    <x v="133"/>
    <n v="315"/>
    <n v="56443482"/>
    <s v="Biography|Comedy|Drama"/>
    <s v="Jennifer Lawrence"/>
    <x v="3391"/>
    <n v="75329"/>
    <s v="based on real person|female inventor|mop|sales pitch|woman holding a shotgun"/>
    <n v="256"/>
    <x v="0"/>
    <x v="0"/>
    <n v="60000000"/>
    <x v="1"/>
    <x v="14"/>
    <n v="60000000"/>
    <n v="56443482"/>
    <x v="3387"/>
    <x v="3391"/>
    <x v="2"/>
  </r>
  <r>
    <x v="316"/>
    <n v="654"/>
    <n v="202351611"/>
    <s v="Action|Adventure|Horror|Sci-Fi|Thriller"/>
    <s v="Peter Capaldi"/>
    <x v="3392"/>
    <n v="465019"/>
    <s v="chaos|disease|infection|pandemic|zombie"/>
    <n v="995"/>
    <x v="0"/>
    <x v="0"/>
    <n v="190000000"/>
    <x v="0"/>
    <x v="16"/>
    <n v="190000000"/>
    <n v="202351611"/>
    <x v="3388"/>
    <x v="3392"/>
    <x v="1"/>
  </r>
  <r>
    <x v="49"/>
    <n v="304"/>
    <n v="39568996"/>
    <s v="Horror"/>
    <s v="Danny Huston"/>
    <x v="3393"/>
    <n v="138435"/>
    <s v="alaska|small town|snow|vampire|winter"/>
    <n v="527"/>
    <x v="0"/>
    <x v="0"/>
    <n v="32000000"/>
    <x v="15"/>
    <x v="14"/>
    <n v="32000000"/>
    <n v="39568996"/>
    <x v="3389"/>
    <x v="3393"/>
    <x v="6"/>
  </r>
  <r>
    <x v="150"/>
    <n v="93"/>
    <n v="111760631"/>
    <s v="Action|Adventure|Comedy|Family|Sci-Fi"/>
    <s v="Sylvester Stallone"/>
    <x v="3394"/>
    <n v="40227"/>
    <s v="mission|spy|surfing|trapped|virtual reality"/>
    <n v="188"/>
    <x v="0"/>
    <x v="0"/>
    <n v="38000000"/>
    <x v="19"/>
    <x v="13"/>
    <n v="38000000"/>
    <n v="111760631"/>
    <x v="3390"/>
    <x v="3394"/>
    <x v="1"/>
  </r>
  <r>
    <x v="377"/>
    <n v="115"/>
    <n v="4584886"/>
    <s v="Drama|Romance"/>
    <s v="Marcela Mar"/>
    <x v="3395"/>
    <n v="19114"/>
    <s v="19th century|colombia|love|marriage|widow"/>
    <n v="115"/>
    <x v="0"/>
    <x v="0"/>
    <n v="45000000"/>
    <x v="15"/>
    <x v="24"/>
    <n v="45000000"/>
    <n v="4584886"/>
    <x v="3391"/>
    <x v="3395"/>
    <x v="5"/>
  </r>
  <r>
    <x v="57"/>
    <n v="263"/>
    <n v="24530513"/>
    <s v="Documentary|Drama"/>
    <s v="Michael Moore"/>
    <x v="3396"/>
    <n v="66610"/>
    <s v="canada|cuba|france|guantanamo|hmo"/>
    <n v="429"/>
    <x v="0"/>
    <x v="0"/>
    <n v="9000000"/>
    <x v="15"/>
    <x v="3"/>
    <n v="9000000"/>
    <n v="24530513"/>
    <x v="3392"/>
    <x v="3396"/>
    <x v="7"/>
  </r>
  <r>
    <x v="1642"/>
    <n v="22"/>
    <n v="115504"/>
    <s v="Comedy|Drama|Romance"/>
    <s v="Larry Miller"/>
    <x v="3397"/>
    <n v="4820"/>
    <s v="birthday|call center|fiance|hotel|indian"/>
    <n v="26"/>
    <x v="0"/>
    <x v="2"/>
    <n v="14000000"/>
    <x v="20"/>
    <x v="5"/>
    <n v="17995600"/>
    <n v="148468.841599999"/>
    <x v="3393"/>
    <x v="3397"/>
    <x v="4"/>
  </r>
  <r>
    <x v="434"/>
    <n v="161"/>
    <n v="93952276"/>
    <s v="Comedy|Drama|Romance"/>
    <s v="Carmen Perez"/>
    <x v="3398"/>
    <n v="132048"/>
    <s v="advertising|bar|dating|lingerie slip|six word title"/>
    <n v="203"/>
    <x v="0"/>
    <x v="0"/>
    <n v="40000000"/>
    <x v="16"/>
    <x v="24"/>
    <n v="40000000"/>
    <n v="93952276"/>
    <x v="3394"/>
    <x v="3398"/>
    <x v="4"/>
  </r>
  <r>
    <x v="1229"/>
    <n v="98"/>
    <n v="12831121"/>
    <s v="Drama|Mystery|Romance|Thriller"/>
    <s v="Jessica ParÃ©"/>
    <x v="3399"/>
    <n v="44979"/>
    <s v="flashback|flashback within a flashback|multiple perspectives|obsession|split screen"/>
    <n v="298"/>
    <x v="0"/>
    <x v="0"/>
    <n v="30000000"/>
    <x v="2"/>
    <x v="16"/>
    <n v="30000000"/>
    <n v="12831121"/>
    <x v="3395"/>
    <x v="3399"/>
    <x v="5"/>
  </r>
  <r>
    <x v="207"/>
    <n v="153"/>
    <n v="32014289"/>
    <s v="Comedy"/>
    <s v="Marisa Saks"/>
    <x v="3400"/>
    <n v="50337"/>
    <s v="2010s|ape|ballet|psychic|supernatural"/>
    <n v="177"/>
    <x v="0"/>
    <x v="0"/>
    <n v="20000000"/>
    <x v="0"/>
    <x v="51"/>
    <n v="20000000"/>
    <n v="32014289"/>
    <x v="3396"/>
    <x v="3400"/>
    <x v="4"/>
  </r>
  <r>
    <x v="1361"/>
    <n v="170"/>
    <n v="60443237"/>
    <s v="Drama|Romance"/>
    <s v="Blythe Danner"/>
    <x v="3401"/>
    <n v="76882"/>
    <s v="arrogance|child in peril|disarming someone|kennel|post traumatic stress disorder"/>
    <n v="106"/>
    <x v="0"/>
    <x v="0"/>
    <n v="25000000"/>
    <x v="28"/>
    <x v="20"/>
    <n v="25000000"/>
    <n v="60443237"/>
    <x v="3397"/>
    <x v="3401"/>
    <x v="5"/>
  </r>
  <r>
    <x v="554"/>
    <n v="175"/>
    <n v="14879556"/>
    <s v="Comedy|Drama"/>
    <s v="Matthew Broderick"/>
    <x v="3402"/>
    <n v="73640"/>
    <s v="female protagonist|high school|self destructiveness|student council president|student government"/>
    <n v="441"/>
    <x v="0"/>
    <x v="0"/>
    <n v="8000000"/>
    <x v="12"/>
    <x v="4"/>
    <n v="8000000"/>
    <n v="14879556"/>
    <x v="3398"/>
    <x v="3402"/>
    <x v="4"/>
  </r>
  <r>
    <x v="1444"/>
    <n v="230"/>
    <n v="1984743"/>
    <s v="Drama|Romance"/>
    <s v="Jeremy Renner"/>
    <x v="3403"/>
    <n v="20616"/>
    <s v="immigrant|immigration|magician|money|prostitution"/>
    <n v="70"/>
    <x v="0"/>
    <x v="0"/>
    <n v="16000000"/>
    <x v="0"/>
    <x v="14"/>
    <n v="16000000"/>
    <n v="1984743"/>
    <x v="3399"/>
    <x v="3403"/>
    <x v="5"/>
  </r>
  <r>
    <x v="226"/>
    <n v="67"/>
    <n v="81150692"/>
    <s v="Adventure|Comedy|Family|Sport"/>
    <s v="James Coburn"/>
    <x v="3404"/>
    <n v="20219"/>
    <s v="dentist|dog|inheritance|race|sled dog"/>
    <n v="100"/>
    <x v="0"/>
    <x v="9"/>
    <n v="35000000"/>
    <x v="13"/>
    <x v="37"/>
    <n v="25319175"/>
    <n v="58704816.346259996"/>
    <x v="3400"/>
    <x v="3404"/>
    <x v="0"/>
  </r>
  <r>
    <x v="1643"/>
    <n v="20"/>
    <n v="5561"/>
    <s v="Comedy|Romance"/>
    <s v="Drew Fuller"/>
    <x v="3405"/>
    <n v="4995"/>
    <s v="boss|business|career|confidence|female protagonist"/>
    <n v="34"/>
    <x v="0"/>
    <x v="0"/>
    <n v="10000000"/>
    <x v="15"/>
    <x v="52"/>
    <n v="10000000"/>
    <n v="5561"/>
    <x v="3401"/>
    <x v="3405"/>
    <x v="4"/>
  </r>
  <r>
    <x v="746"/>
    <n v="238"/>
    <n v="80170146"/>
    <s v="Action|Adventure|Sci-Fi|Thriller"/>
    <s v="Kristen Stewart"/>
    <x v="3406"/>
    <n v="243053"/>
    <s v="bank|based on novel|ice|teleportation|vault"/>
    <n v="488"/>
    <x v="0"/>
    <x v="0"/>
    <n v="85000000"/>
    <x v="20"/>
    <x v="7"/>
    <n v="85000000"/>
    <n v="80170146"/>
    <x v="3402"/>
    <x v="3406"/>
    <x v="1"/>
  </r>
  <r>
    <x v="146"/>
    <n v="488"/>
    <n v="148775460"/>
    <s v="Drama|Musical|Romance"/>
    <s v="Hugh Jackman"/>
    <x v="3407"/>
    <n v="243834"/>
    <s v="barricade|innkeeper|parole|rebellion|student"/>
    <n v="845"/>
    <x v="0"/>
    <x v="0"/>
    <n v="61000000"/>
    <x v="28"/>
    <x v="10"/>
    <n v="61000000"/>
    <n v="148775460"/>
    <x v="3403"/>
    <x v="3407"/>
    <x v="5"/>
  </r>
  <r>
    <x v="1214"/>
    <n v="79"/>
    <n v="131617"/>
    <s v="Drama|Thriller"/>
    <s v="Joe Mantegna"/>
    <x v="3408"/>
    <n v="9971"/>
    <s v="bipolar disorder|sodomy|stabbing|street life|violence"/>
    <n v="119"/>
    <x v="0"/>
    <x v="0"/>
    <n v="10000000"/>
    <x v="25"/>
    <x v="23"/>
    <n v="10000000"/>
    <n v="131617"/>
    <x v="3404"/>
    <x v="3408"/>
    <x v="5"/>
  </r>
  <r>
    <x v="1165"/>
    <n v="478"/>
    <n v="46875468"/>
    <s v="Action|Crime|Drama|Mystery|Thriller"/>
    <s v="Edgar Arreola"/>
    <x v="3409"/>
    <n v="196217"/>
    <s v="critically acclaimed|drug cartel|juarez mexico|u.s. mexico border|war on drugs"/>
    <n v="461"/>
    <x v="0"/>
    <x v="0"/>
    <n v="30000000"/>
    <x v="1"/>
    <x v="10"/>
    <n v="30000000"/>
    <n v="46875468"/>
    <x v="3405"/>
    <x v="3409"/>
    <x v="1"/>
  </r>
  <r>
    <x v="1644"/>
    <n v="172"/>
    <n v="327919"/>
    <s v="Crime|Drama"/>
    <s v="Stephen Graham"/>
    <x v="3410"/>
    <n v="99177"/>
    <s v="england|racism|racist|skinhead|violence"/>
    <n v="192"/>
    <x v="0"/>
    <x v="2"/>
    <n v="1500000"/>
    <x v="7"/>
    <x v="9"/>
    <n v="1928099.99999999"/>
    <n v="421507.08259999898"/>
    <x v="3406"/>
    <x v="3410"/>
    <x v="3"/>
  </r>
  <r>
    <x v="568"/>
    <n v="183"/>
    <n v="871577"/>
    <s v="Biography|Drama|Music"/>
    <s v="Sam Riley"/>
    <x v="3411"/>
    <n v="51353"/>
    <s v="band|employment agency|singer|stage fright|suicide"/>
    <n v="143"/>
    <x v="0"/>
    <x v="2"/>
    <n v="4500000"/>
    <x v="15"/>
    <x v="9"/>
    <n v="5784299.9999999898"/>
    <n v="1120325.0758"/>
    <x v="3407"/>
    <x v="3411"/>
    <x v="2"/>
  </r>
  <r>
    <x v="1645"/>
    <n v="88"/>
    <n v="23000"/>
    <s v="Comedy|Horror|Musical"/>
    <s v="John Karyus"/>
    <x v="3412"/>
    <n v="5931"/>
    <s v="castration|chicken|fast food|indian burial ground|protest"/>
    <n v="58"/>
    <x v="0"/>
    <x v="0"/>
    <n v="500000"/>
    <x v="7"/>
    <x v="5"/>
    <n v="500000"/>
    <n v="23000"/>
    <x v="3408"/>
    <x v="3412"/>
    <x v="4"/>
  </r>
  <r>
    <x v="570"/>
    <n v="192"/>
    <n v="54700065"/>
    <s v="Action|Sci-Fi|War"/>
    <s v="Jake Busey"/>
    <x v="3413"/>
    <n v="221521"/>
    <s v="alien|federation|future|military|planet"/>
    <n v="1049"/>
    <x v="0"/>
    <x v="0"/>
    <n v="105000000"/>
    <x v="31"/>
    <x v="33"/>
    <n v="105000000"/>
    <n v="54700065"/>
    <x v="3409"/>
    <x v="3413"/>
    <x v="1"/>
  </r>
  <r>
    <x v="1646"/>
    <n v="92"/>
    <n v="14294842"/>
    <s v="Action|Crime|Sci-Fi|Thriller"/>
    <s v="Talisa Soto"/>
    <x v="3414"/>
    <n v="16761"/>
    <s v="blood splatter|camera shot from inside human body|combat|die hard scenario|fbi"/>
    <n v="277"/>
    <x v="0"/>
    <x v="0"/>
    <n v="70000000"/>
    <x v="13"/>
    <x v="12"/>
    <n v="70000000"/>
    <n v="14294842"/>
    <x v="3410"/>
    <x v="3414"/>
    <x v="1"/>
  </r>
  <r>
    <x v="1647"/>
    <n v="49"/>
    <n v="792966"/>
    <s v="Action|Comedy|Horror|Sci-Fi"/>
    <s v="Phoebe Legere"/>
    <x v="3415"/>
    <n v="4663"/>
    <s v="bare breasts|japan|tokyo japan|toxic avenger|troma"/>
    <n v="40"/>
    <x v="0"/>
    <x v="0"/>
    <n v="2300000"/>
    <x v="26"/>
    <x v="37"/>
    <n v="2300000"/>
    <n v="792966"/>
    <x v="3411"/>
    <x v="3415"/>
    <x v="1"/>
  </r>
  <r>
    <x v="579"/>
    <n v="344"/>
    <n v="163192114"/>
    <s v="Action|Adventure|Fantasy"/>
    <s v="Liam Neeson"/>
    <x v="750"/>
    <n v="229687"/>
    <s v="famous line|hand to hand combat|kraken|rape|zeus"/>
    <n v="637"/>
    <x v="0"/>
    <x v="0"/>
    <n v="125000000"/>
    <x v="11"/>
    <x v="30"/>
    <n v="125000000"/>
    <n v="163192114"/>
    <x v="750"/>
    <x v="750"/>
    <x v="1"/>
  </r>
  <r>
    <x v="607"/>
    <n v="258"/>
    <n v="317557891"/>
    <s v="Adventure|Family|Fantasy"/>
    <s v="Daniel Radcliffe"/>
    <x v="3416"/>
    <n v="444683"/>
    <s v="based on novel|birthday|evil wizard|quidditch|wizard"/>
    <n v="1571"/>
    <x v="0"/>
    <x v="2"/>
    <n v="125000000"/>
    <x v="9"/>
    <x v="2"/>
    <n v="160674999.99999899"/>
    <n v="408188913.09139901"/>
    <x v="3412"/>
    <x v="3416"/>
    <x v="0"/>
  </r>
  <r>
    <x v="87"/>
    <n v="134"/>
    <n v="68473360"/>
    <s v="Action|Adventure|Drama|Thriller"/>
    <s v="Nicholas Lea"/>
    <x v="3417"/>
    <n v="49536"/>
    <s v="death|die hard scenario|k2|rescue|urination"/>
    <n v="379"/>
    <x v="0"/>
    <x v="0"/>
    <n v="75000000"/>
    <x v="4"/>
    <x v="0"/>
    <n v="75000000"/>
    <n v="68473360"/>
    <x v="3413"/>
    <x v="3417"/>
    <x v="1"/>
  </r>
  <r>
    <x v="345"/>
    <n v="156"/>
    <n v="8434601"/>
    <s v="Action|Horror|Sci-Fi"/>
    <s v="Jason Statham"/>
    <x v="3418"/>
    <n v="43006"/>
    <s v="head on a stake|machine gun|martian|nuclear reactor|outer space"/>
    <n v="460"/>
    <x v="0"/>
    <x v="0"/>
    <n v="28000000"/>
    <x v="9"/>
    <x v="18"/>
    <n v="28000000"/>
    <n v="8434601"/>
    <x v="3414"/>
    <x v="3418"/>
    <x v="1"/>
  </r>
  <r>
    <x v="1648"/>
    <n v="67"/>
    <n v="10076136"/>
    <s v="Action|Comedy|Thriller"/>
    <s v="Paul Sorvino"/>
    <x v="3419"/>
    <n v="11512"/>
    <s v="cia|hong kong|market|undercover|van"/>
    <n v="141"/>
    <x v="0"/>
    <x v="43"/>
    <n v="35000000"/>
    <x v="6"/>
    <x v="45"/>
    <n v="19445044.499999899"/>
    <n v="5598026.0830871901"/>
    <x v="3415"/>
    <x v="3419"/>
    <x v="1"/>
  </r>
  <r>
    <x v="1137"/>
    <n v="121"/>
    <n v="21078145"/>
    <s v="Biography|Drama"/>
    <s v="Denzel Washington"/>
    <x v="3420"/>
    <n v="26493"/>
    <s v="black american|extortion|navy|psychiatrist|sailor"/>
    <n v="159"/>
    <x v="0"/>
    <x v="0"/>
    <n v="12500000"/>
    <x v="13"/>
    <x v="4"/>
    <n v="12500000"/>
    <n v="21078145"/>
    <x v="3416"/>
    <x v="3420"/>
    <x v="2"/>
  </r>
  <r>
    <x v="965"/>
    <n v="167"/>
    <n v="13248477"/>
    <s v="Horror|Mystery|Thriller"/>
    <s v="Bradley Cooper"/>
    <x v="3421"/>
    <n v="60555"/>
    <s v="death|fear|hairy chest|social worker|spinning in chair"/>
    <n v="174"/>
    <x v="0"/>
    <x v="0"/>
    <n v="27000000"/>
    <x v="16"/>
    <x v="5"/>
    <n v="27000000"/>
    <n v="13248477"/>
    <x v="3417"/>
    <x v="3421"/>
    <x v="6"/>
  </r>
  <r>
    <x v="613"/>
    <n v="82"/>
    <n v="25200412"/>
    <s v="Adventure|Comedy|Family|Fantasy|Sci-Fi"/>
    <s v="Malese Jow"/>
    <x v="3422"/>
    <n v="16580"/>
    <s v="alien|attic|boyfriend|mind control|nintendo ds"/>
    <n v="55"/>
    <x v="0"/>
    <x v="0"/>
    <n v="45000000"/>
    <x v="16"/>
    <x v="26"/>
    <n v="45000000"/>
    <n v="25200412"/>
    <x v="3418"/>
    <x v="3422"/>
    <x v="0"/>
  </r>
  <r>
    <x v="514"/>
    <n v="245"/>
    <n v="70625986"/>
    <s v="Comedy|Romance"/>
    <s v="Natalie Portman"/>
    <x v="3423"/>
    <n v="168717"/>
    <s v="ex girlfriend|funeral|hospital|male objectification|summer camp"/>
    <n v="178"/>
    <x v="0"/>
    <x v="0"/>
    <n v="25000000"/>
    <x v="22"/>
    <x v="5"/>
    <n v="25000000"/>
    <n v="70625986"/>
    <x v="3419"/>
    <x v="3423"/>
    <x v="4"/>
  </r>
  <r>
    <x v="1339"/>
    <n v="136"/>
    <n v="75604320"/>
    <s v="Comedy|Romance"/>
    <s v="Todd Stashwick"/>
    <x v="3424"/>
    <n v="68417"/>
    <s v="best friend|foot fetish|houseguest|newlywed|wedding"/>
    <n v="195"/>
    <x v="0"/>
    <x v="0"/>
    <n v="54000000"/>
    <x v="7"/>
    <x v="15"/>
    <n v="54000000"/>
    <n v="75604320"/>
    <x v="3420"/>
    <x v="3424"/>
    <x v="4"/>
  </r>
  <r>
    <x v="1649"/>
    <n v="77"/>
    <n v="10561238"/>
    <s v="Comedy|Romance|Thriller"/>
    <s v="Kirsten Dunst"/>
    <x v="3425"/>
    <n v="27265"/>
    <s v="beauty pageant|blonde|cheerleader uniform|small town|upskirt"/>
    <n v="321"/>
    <x v="0"/>
    <x v="5"/>
    <n v="10000000"/>
    <x v="12"/>
    <x v="20"/>
    <n v="10847400"/>
    <n v="11456197.308119999"/>
    <x v="3421"/>
    <x v="3425"/>
    <x v="4"/>
  </r>
  <r>
    <x v="723"/>
    <n v="77"/>
    <n v="38413606"/>
    <s v="Action|Comedy|Crime|Thriller"/>
    <s v="Robert De Niro"/>
    <x v="3426"/>
    <n v="54042"/>
    <s v="accountant|bounty hunter|fbi|mafia|mob"/>
    <n v="215"/>
    <x v="0"/>
    <x v="0"/>
    <n v="30000000"/>
    <x v="34"/>
    <x v="10"/>
    <n v="30000000"/>
    <n v="38413606"/>
    <x v="3422"/>
    <x v="3426"/>
    <x v="1"/>
  </r>
  <r>
    <x v="84"/>
    <n v="161"/>
    <n v="17986000"/>
    <s v="Horror"/>
    <s v="Patrick Macnee"/>
    <x v="3427"/>
    <n v="22773"/>
    <s v="1980s|forest|lycanthrope|shapeshifting|werewolf transformation"/>
    <n v="195"/>
    <x v="0"/>
    <x v="0"/>
    <n v="1000000"/>
    <x v="43"/>
    <x v="14"/>
    <n v="1000000"/>
    <n v="17986000"/>
    <x v="3423"/>
    <x v="3427"/>
    <x v="6"/>
  </r>
  <r>
    <x v="443"/>
    <n v="342"/>
    <n v="26005908"/>
    <s v="Adventure|Horror|Thriller"/>
    <s v="MyAnna Buring"/>
    <x v="3428"/>
    <n v="154938"/>
    <s v="cave|expedition|friendship between women|group of friends|survival horror"/>
    <n v="1100"/>
    <x v="0"/>
    <x v="2"/>
    <n v="3500000"/>
    <x v="25"/>
    <x v="33"/>
    <n v="4498900"/>
    <n v="33427994.143199898"/>
    <x v="3424"/>
    <x v="3428"/>
    <x v="0"/>
  </r>
  <r>
    <x v="249"/>
    <n v="202"/>
    <n v="27356090"/>
    <s v="Action|Adventure|Fantasy"/>
    <s v="Vin Diesel"/>
    <x v="3429"/>
    <n v="58752"/>
    <s v="box office flop|burned to death|magic|witch|witch hunter"/>
    <n v="117"/>
    <x v="0"/>
    <x v="0"/>
    <n v="90000000"/>
    <x v="1"/>
    <x v="11"/>
    <n v="90000000"/>
    <n v="27356090"/>
    <x v="3425"/>
    <x v="3429"/>
    <x v="1"/>
  </r>
  <r>
    <x v="1650"/>
    <n v="29"/>
    <n v="6982680"/>
    <s v="Comedy|Crime"/>
    <s v="Sarah Silverman"/>
    <x v="3430"/>
    <n v="6965"/>
    <s v="chauffeur|disorganized crime|dog|ransom|slapstick"/>
    <n v="69"/>
    <x v="0"/>
    <x v="0"/>
    <n v="10000000"/>
    <x v="4"/>
    <x v="35"/>
    <n v="10000000"/>
    <n v="6982680"/>
    <x v="3426"/>
    <x v="3430"/>
    <x v="4"/>
  </r>
  <r>
    <x v="385"/>
    <n v="248"/>
    <n v="3205244"/>
    <s v="Comedy|Drama"/>
    <s v="Jim Broadbent"/>
    <x v="3431"/>
    <n v="23629"/>
    <s v="autumn|four seasons|friend|looking at one's self in a mirror|unhappiness"/>
    <n v="141"/>
    <x v="0"/>
    <x v="2"/>
    <n v="10000000"/>
    <x v="11"/>
    <x v="4"/>
    <n v="12853999.999999899"/>
    <n v="4120020.6375999898"/>
    <x v="3427"/>
    <x v="3431"/>
    <x v="4"/>
  </r>
  <r>
    <x v="159"/>
    <n v="359"/>
    <n v="35266619"/>
    <s v="Drama|Fantasy|Horror"/>
    <s v="ChloÃ« Grace Moretz"/>
    <x v="2316"/>
    <n v="108242"/>
    <s v="outcast|prom|self injury|telekinesis|tragic event"/>
    <n v="371"/>
    <x v="0"/>
    <x v="0"/>
    <n v="30000000"/>
    <x v="0"/>
    <x v="0"/>
    <n v="30000000"/>
    <n v="35266619"/>
    <x v="2314"/>
    <x v="2316"/>
    <x v="5"/>
  </r>
  <r>
    <x v="272"/>
    <n v="12"/>
    <n v="9658370"/>
    <s v="Comedy|Romance"/>
    <s v="Donald Faison"/>
    <x v="3432"/>
    <n v="1180"/>
    <s v=""/>
    <n v="9"/>
    <x v="0"/>
    <x v="0"/>
    <n v="5000000"/>
    <x v="24"/>
    <x v="47"/>
    <n v="5000000"/>
    <n v="9658370"/>
    <x v="3428"/>
    <x v="3432"/>
    <x v="4"/>
  </r>
  <r>
    <x v="936"/>
    <n v="99"/>
    <n v="114968774"/>
    <s v="Comedy|Drama|Family|Fantasy|Romance"/>
    <s v="Tom Hanks"/>
    <x v="3433"/>
    <n v="153468"/>
    <s v="friend|job|new york city|toy|wish"/>
    <n v="204"/>
    <x v="0"/>
    <x v="0"/>
    <n v="18000000"/>
    <x v="34"/>
    <x v="4"/>
    <n v="18000000"/>
    <n v="114968774"/>
    <x v="3429"/>
    <x v="3433"/>
    <x v="4"/>
  </r>
  <r>
    <x v="448"/>
    <n v="172"/>
    <n v="142614158"/>
    <s v="Adventure|Animation|Comedy|Family|Fantasy"/>
    <s v="Mahadeo Shivraj"/>
    <x v="3434"/>
    <n v="66593"/>
    <s v="blue|new york|new york city|no opening credits|smurf"/>
    <n v="153"/>
    <x v="0"/>
    <x v="0"/>
    <n v="110000000"/>
    <x v="22"/>
    <x v="28"/>
    <n v="110000000"/>
    <n v="142614158"/>
    <x v="3430"/>
    <x v="3434"/>
    <x v="0"/>
  </r>
  <r>
    <x v="1651"/>
    <n v="9"/>
    <n v="703"/>
    <s v="Comedy|Drama"/>
    <s v="Lynn Cohen"/>
    <x v="3435"/>
    <n v="480"/>
    <s v="based on play|character name in title"/>
    <n v="21"/>
    <x v="0"/>
    <x v="0"/>
    <n v="1500000"/>
    <x v="9"/>
    <x v="26"/>
    <n v="1500000"/>
    <n v="703"/>
    <x v="3431"/>
    <x v="3435"/>
    <x v="4"/>
  </r>
  <r>
    <x v="1652"/>
    <n v="30"/>
    <n v="3275585"/>
    <s v="Action|Crime|Drama|Thriller"/>
    <s v="Gary Oldman"/>
    <x v="3436"/>
    <n v="10735"/>
    <s v="detective|police|protection|russian|sergeant"/>
    <n v="88"/>
    <x v="0"/>
    <x v="2"/>
    <n v="11500000"/>
    <x v="23"/>
    <x v="14"/>
    <n v="14782099.999999899"/>
    <n v="4210436.9589999998"/>
    <x v="3432"/>
    <x v="3436"/>
    <x v="1"/>
  </r>
  <r>
    <x v="869"/>
    <n v="177"/>
    <n v="9003011"/>
    <s v="Action|Adventure|Sci-Fi|Thriller"/>
    <s v="Vernon Wells"/>
    <x v="3437"/>
    <n v="133966"/>
    <s v="australian|gasoline|post apocalypse|refinery|warrior"/>
    <n v="294"/>
    <x v="0"/>
    <x v="3"/>
    <n v="2000000"/>
    <x v="43"/>
    <x v="10"/>
    <n v="1307760"/>
    <n v="5886888.83268"/>
    <x v="3433"/>
    <x v="3437"/>
    <x v="1"/>
  </r>
  <r>
    <x v="301"/>
    <n v="73"/>
    <n v="181395380"/>
    <s v="Comedy|Fantasy|Romance"/>
    <s v="Maura Tierney"/>
    <x v="3438"/>
    <n v="220392"/>
    <s v="birthday|birthday wish|father disappoints child|lie|workaholic"/>
    <n v="243"/>
    <x v="0"/>
    <x v="0"/>
    <n v="45000000"/>
    <x v="31"/>
    <x v="22"/>
    <n v="45000000"/>
    <n v="181395380"/>
    <x v="3434"/>
    <x v="3438"/>
    <x v="4"/>
  </r>
  <r>
    <x v="1146"/>
    <n v="322"/>
    <n v="292298923"/>
    <s v="Adventure|Drama|Fantasy|Romance"/>
    <s v="Robert Pattinson"/>
    <x v="3439"/>
    <n v="185394"/>
    <s v="battle|friend|super strength|vampire|vision"/>
    <n v="329"/>
    <x v="0"/>
    <x v="0"/>
    <n v="120000000"/>
    <x v="28"/>
    <x v="28"/>
    <n v="120000000"/>
    <n v="292298923"/>
    <x v="3435"/>
    <x v="3439"/>
    <x v="0"/>
  </r>
  <r>
    <x v="1653"/>
    <n v="29"/>
    <n v="155984"/>
    <s v="Documentary"/>
    <s v="Temple Grandin"/>
    <x v="3440"/>
    <n v="586"/>
    <s v="horse|journey|mongolia|shaman|travel"/>
    <n v="9"/>
    <x v="0"/>
    <x v="0"/>
    <n v="160000"/>
    <x v="16"/>
    <x v="39"/>
    <n v="160000"/>
    <n v="155984"/>
    <x v="3436"/>
    <x v="3440"/>
    <x v="7"/>
  </r>
  <r>
    <x v="1445"/>
    <n v="276"/>
    <n v="958319"/>
    <s v="Drama"/>
    <s v="Jennifer Lawrence"/>
    <x v="3441"/>
    <n v="39764"/>
    <s v="beaver puppet|depression|dysfunctional family|puppet|speech"/>
    <n v="148"/>
    <x v="0"/>
    <x v="0"/>
    <n v="21000000"/>
    <x v="22"/>
    <x v="21"/>
    <n v="21000000"/>
    <n v="958319"/>
    <x v="3437"/>
    <x v="3441"/>
    <x v="5"/>
  </r>
  <r>
    <x v="46"/>
    <n v="464"/>
    <n v="118099659"/>
    <s v="Action|Comedy|Fantasy|Sci-Fi"/>
    <s v="Ed Begley Jr."/>
    <x v="46"/>
    <n v="69757"/>
    <s v="ghost|ghostbuster|ghostbusters|male objectification|reboot"/>
    <n v="1211"/>
    <x v="0"/>
    <x v="0"/>
    <n v="144000000"/>
    <x v="24"/>
    <x v="28"/>
    <n v="144000000"/>
    <n v="118099659"/>
    <x v="46"/>
    <x v="46"/>
    <x v="1"/>
  </r>
  <r>
    <x v="310"/>
    <n v="96"/>
    <n v="25528495"/>
    <s v="Drama|Music|Romance|War"/>
    <s v="Christian Bale"/>
    <x v="3442"/>
    <n v="28099"/>
    <s v="captain|greek|island|italian|love"/>
    <n v="220"/>
    <x v="0"/>
    <x v="2"/>
    <n v="57000000"/>
    <x v="9"/>
    <x v="0"/>
    <n v="73267800"/>
    <n v="32814327.472999901"/>
    <x v="3438"/>
    <x v="3442"/>
    <x v="5"/>
  </r>
  <r>
    <x v="377"/>
    <n v="306"/>
    <n v="90755643"/>
    <s v="Action|Adventure|Fantasy|Romance"/>
    <s v="Jake Gyllenhaal"/>
    <x v="3443"/>
    <n v="222403"/>
    <s v="alamut|dagger|king|persia|princess"/>
    <n v="453"/>
    <x v="0"/>
    <x v="0"/>
    <n v="200000000"/>
    <x v="11"/>
    <x v="14"/>
    <n v="200000000"/>
    <n v="90755643"/>
    <x v="3439"/>
    <x v="3443"/>
    <x v="1"/>
  </r>
  <r>
    <x v="282"/>
    <n v="712"/>
    <n v="187991439"/>
    <s v="Adventure|Drama|Sci-Fi"/>
    <s v="Matthew McConaughey"/>
    <x v="3444"/>
    <n v="928227"/>
    <s v="black hole|father daughter relationship|saving the world|space travel|wormhole"/>
    <n v="2725"/>
    <x v="0"/>
    <x v="0"/>
    <n v="165000000"/>
    <x v="27"/>
    <x v="43"/>
    <n v="165000000"/>
    <n v="187991439"/>
    <x v="3440"/>
    <x v="3444"/>
    <x v="0"/>
  </r>
  <r>
    <x v="215"/>
    <n v="41"/>
    <n v="55184721"/>
    <s v="Comedy|Drama"/>
    <s v="Michael Jai White"/>
    <x v="3445"/>
    <n v="9811"/>
    <s v="marriage|overweight|psychologist|secret|work"/>
    <n v="100"/>
    <x v="0"/>
    <x v="0"/>
    <n v="15000000"/>
    <x v="15"/>
    <x v="15"/>
    <n v="15000000"/>
    <n v="55184721"/>
    <x v="3441"/>
    <x v="3445"/>
    <x v="4"/>
  </r>
  <r>
    <x v="1654"/>
    <n v="61"/>
    <n v="28399192"/>
    <s v="Action|Adventure|Comedy|Family"/>
    <s v="Steve Irwin"/>
    <x v="3446"/>
    <n v="5663"/>
    <s v="cia|crocodile|satellite|snake|spider"/>
    <n v="106"/>
    <x v="0"/>
    <x v="3"/>
    <n v="13000000"/>
    <x v="13"/>
    <x v="26"/>
    <n v="8500440"/>
    <n v="18569663.664960001"/>
    <x v="3442"/>
    <x v="3446"/>
    <x v="1"/>
  </r>
  <r>
    <x v="948"/>
    <n v="79"/>
    <n v="54000000"/>
    <s v="Drama"/>
    <s v="Charlotte Rampling"/>
    <x v="3447"/>
    <n v="26310"/>
    <s v="archdiocese|court|hospital|lawyer|malpractice"/>
    <n v="154"/>
    <x v="0"/>
    <x v="0"/>
    <n v="16000000"/>
    <x v="42"/>
    <x v="38"/>
    <n v="16000000"/>
    <n v="54000000"/>
    <x v="3443"/>
    <x v="3447"/>
    <x v="5"/>
  </r>
  <r>
    <x v="1655"/>
    <n v="65"/>
    <n v="7369373"/>
    <s v="Horror|Mystery|Thriller"/>
    <s v="Kathleen Wilhoite"/>
    <x v="3448"/>
    <n v="4288"/>
    <s v="evil spirit|hatchet|ouija|ouija board|psychopathic killer"/>
    <n v="74"/>
    <x v="0"/>
    <x v="2"/>
    <n v="2000000"/>
    <x v="18"/>
    <x v="35"/>
    <n v="2570799.9999999902"/>
    <n v="9472592.0541999992"/>
    <x v="3444"/>
    <x v="3448"/>
    <x v="6"/>
  </r>
  <r>
    <x v="215"/>
    <n v="40"/>
    <n v="60072596"/>
    <s v="Comedy|Drama|Romance"/>
    <s v="Michael Jai White"/>
    <x v="3449"/>
    <n v="7664"/>
    <s v="question mark in title|returning character killed off|sequel|six word title|writer director"/>
    <n v="68"/>
    <x v="0"/>
    <x v="0"/>
    <n v="20000000"/>
    <x v="11"/>
    <x v="8"/>
    <n v="20000000"/>
    <n v="60072596"/>
    <x v="3445"/>
    <x v="3449"/>
    <x v="4"/>
  </r>
  <r>
    <x v="490"/>
    <n v="239"/>
    <n v="176049130"/>
    <s v="Action|Mystery|Thriller"/>
    <s v="Matt Damon"/>
    <x v="3450"/>
    <n v="348232"/>
    <s v="assassin|car chase|cia|hidden truth|one against many"/>
    <n v="806"/>
    <x v="0"/>
    <x v="0"/>
    <n v="75000000"/>
    <x v="2"/>
    <x v="38"/>
    <n v="75000000"/>
    <n v="176049130"/>
    <x v="3446"/>
    <x v="3450"/>
    <x v="1"/>
  </r>
  <r>
    <x v="722"/>
    <n v="303"/>
    <n v="47277326"/>
    <s v="Horror"/>
    <s v="Jay Hernandez"/>
    <x v="3451"/>
    <n v="138814"/>
    <s v="bratislava|hostel|sadistic horror|torture|travel"/>
    <n v="1516"/>
    <x v="0"/>
    <x v="0"/>
    <n v="4800000"/>
    <x v="25"/>
    <x v="0"/>
    <n v="4800000"/>
    <n v="47277326"/>
    <x v="3447"/>
    <x v="3451"/>
    <x v="6"/>
  </r>
  <r>
    <x v="911"/>
    <n v="437"/>
    <n v="109712885"/>
    <s v="Drama|Sport"/>
    <s v="Sylvester Stallone"/>
    <x v="3452"/>
    <n v="146708"/>
    <s v="boxing|boxing match|fight|montage|philadelphia"/>
    <n v="362"/>
    <x v="0"/>
    <x v="0"/>
    <n v="35000000"/>
    <x v="1"/>
    <x v="9"/>
    <n v="35000000"/>
    <n v="109712885"/>
    <x v="3448"/>
    <x v="3452"/>
    <x v="5"/>
  </r>
  <r>
    <x v="1656"/>
    <n v="36"/>
    <n v="62480"/>
    <s v="Drama|Sci-Fi"/>
    <s v="Nora Zehetner"/>
    <x v="3453"/>
    <n v="1048"/>
    <s v="art exhibition|augmented reality|cocaine|nervous breakdown|speculative fiction"/>
    <n v="7"/>
    <x v="0"/>
    <x v="0"/>
    <n v="1000000"/>
    <x v="1"/>
    <x v="28"/>
    <n v="1000000"/>
    <n v="62480"/>
    <x v="3449"/>
    <x v="3453"/>
    <x v="5"/>
  </r>
  <r>
    <x v="53"/>
    <n v="102"/>
    <n v="35007180"/>
    <s v="Action|Crime|Drama|Thriller"/>
    <s v="Paul Walker"/>
    <x v="3454"/>
    <n v="26846"/>
    <s v="college|friend|ivy league|secret society|suicide"/>
    <n v="193"/>
    <x v="0"/>
    <x v="0"/>
    <n v="15000000"/>
    <x v="4"/>
    <x v="15"/>
    <n v="15000000"/>
    <n v="35007180"/>
    <x v="3450"/>
    <x v="3454"/>
    <x v="1"/>
  </r>
  <r>
    <x v="93"/>
    <n v="198"/>
    <n v="5484375"/>
    <s v="Adventure|Biography|Drama|War"/>
    <s v="Christian Bale"/>
    <x v="3455"/>
    <n v="84641"/>
    <s v="bombing|guard|jungle|laos|prisoner"/>
    <n v="205"/>
    <x v="0"/>
    <x v="0"/>
    <n v="10000000"/>
    <x v="7"/>
    <x v="4"/>
    <n v="10000000"/>
    <n v="5484375"/>
    <x v="3451"/>
    <x v="3455"/>
    <x v="0"/>
  </r>
  <r>
    <x v="63"/>
    <n v="93"/>
    <n v="25584685"/>
    <s v="Comedy|Crime|Family|Mystery|Romance|Thriller"/>
    <s v="Kay Panabaker"/>
    <x v="3456"/>
    <n v="15877"/>
    <s v="chase|clue|detective|movie star|murder"/>
    <n v="102"/>
    <x v="0"/>
    <x v="0"/>
    <n v="20000000"/>
    <x v="15"/>
    <x v="0"/>
    <n v="20000000"/>
    <n v="25584685"/>
    <x v="3452"/>
    <x v="3456"/>
    <x v="4"/>
  </r>
  <r>
    <x v="1657"/>
    <n v="160"/>
    <n v="9176553"/>
    <s v="Drama|Mystery"/>
    <s v="Bill Murray"/>
    <x v="3457"/>
    <n v="19147"/>
    <s v="funeral|funeral home|hermit|party|secret"/>
    <n v="97"/>
    <x v="0"/>
    <x v="0"/>
    <n v="7500000"/>
    <x v="16"/>
    <x v="17"/>
    <n v="7500000"/>
    <n v="9176553"/>
    <x v="3453"/>
    <x v="3457"/>
    <x v="5"/>
  </r>
  <r>
    <x v="1658"/>
    <n v="121"/>
    <n v="55350897"/>
    <s v="Drama|Fantasy|Romance"/>
    <s v="Robin Williams"/>
    <x v="3458"/>
    <n v="83560"/>
    <s v="heaven|hell|soul|soul mate|suicide"/>
    <n v="619"/>
    <x v="0"/>
    <x v="0"/>
    <n v="85000000"/>
    <x v="6"/>
    <x v="16"/>
    <n v="85000000"/>
    <n v="55350897"/>
    <x v="3454"/>
    <x v="3458"/>
    <x v="5"/>
  </r>
  <r>
    <x v="175"/>
    <n v="112"/>
    <n v="62300000"/>
    <s v="Action|Adventure|Thriller"/>
    <s v="Julian Glover"/>
    <x v="3459"/>
    <n v="72085"/>
    <s v="agent|british|ice skater|ship|spy"/>
    <n v="263"/>
    <x v="0"/>
    <x v="2"/>
    <n v="28000000"/>
    <x v="43"/>
    <x v="22"/>
    <n v="35991200"/>
    <n v="80080419.999999896"/>
    <x v="3455"/>
    <x v="3459"/>
    <x v="1"/>
  </r>
  <r>
    <x v="313"/>
    <n v="142"/>
    <n v="83892374"/>
    <s v="Drama|Mystery|Sci-Fi|Thriller"/>
    <s v="Martin Landau"/>
    <x v="3460"/>
    <n v="85720"/>
    <s v="agent|alien|bomb|fbi|government"/>
    <n v="297"/>
    <x v="0"/>
    <x v="0"/>
    <n v="66000000"/>
    <x v="6"/>
    <x v="16"/>
    <n v="66000000"/>
    <n v="83892374"/>
    <x v="3456"/>
    <x v="3460"/>
    <x v="5"/>
  </r>
  <r>
    <x v="974"/>
    <n v="472"/>
    <n v="115646235"/>
    <s v="Action|Sci-Fi|Thriller"/>
    <s v="Sharlto Copley"/>
    <x v="3461"/>
    <n v="531737"/>
    <s v="alien|ghetto|prawn|refugee|refugee camp"/>
    <n v="1262"/>
    <x v="0"/>
    <x v="25"/>
    <n v="30000000"/>
    <x v="16"/>
    <x v="3"/>
    <n v="1633035"/>
    <n v="6295144.9791075001"/>
    <x v="3457"/>
    <x v="3461"/>
    <x v="1"/>
  </r>
  <r>
    <x v="9"/>
    <n v="57"/>
    <n v="2185266"/>
    <s v="Comedy|Drama|Music"/>
    <s v="Gillian White"/>
    <x v="3462"/>
    <n v="8720"/>
    <s v="actor|minstrel show|protest|success|writer"/>
    <n v="186"/>
    <x v="0"/>
    <x v="0"/>
    <n v="10000000"/>
    <x v="4"/>
    <x v="20"/>
    <n v="10000000"/>
    <n v="2185266"/>
    <x v="3458"/>
    <x v="3462"/>
    <x v="4"/>
  </r>
  <r>
    <x v="360"/>
    <n v="150"/>
    <n v="116006080"/>
    <s v="Comedy|Drama|Romance"/>
    <s v="Julia Roberts"/>
    <x v="3463"/>
    <n v="203269"/>
    <s v="actress|bookstore|friend|kiss|love"/>
    <n v="602"/>
    <x v="0"/>
    <x v="2"/>
    <n v="42000000"/>
    <x v="12"/>
    <x v="16"/>
    <n v="53986799.999999903"/>
    <n v="149114215.23199999"/>
    <x v="3459"/>
    <x v="3463"/>
    <x v="4"/>
  </r>
  <r>
    <x v="987"/>
    <n v="239"/>
    <n v="96471845"/>
    <s v="Fantasy|Horror|Thriller"/>
    <s v="Fionnula Flanagan"/>
    <x v="3464"/>
    <n v="268581"/>
    <s v="curtain|haunting|mansion|mute|xeroderma pigmentosum"/>
    <n v="1109"/>
    <x v="0"/>
    <x v="0"/>
    <n v="17000000"/>
    <x v="9"/>
    <x v="10"/>
    <n v="17000000"/>
    <n v="96471845"/>
    <x v="3460"/>
    <x v="3464"/>
    <x v="9"/>
  </r>
  <r>
    <x v="1659"/>
    <n v="168"/>
    <n v="19377727"/>
    <s v="Comedy|Musical"/>
    <s v="Jon Lovitz"/>
    <x v="3465"/>
    <n v="35140"/>
    <s v="accountant|money|opening night|scheme|swedish"/>
    <n v="409"/>
    <x v="0"/>
    <x v="0"/>
    <n v="45000000"/>
    <x v="25"/>
    <x v="24"/>
    <n v="45000000"/>
    <n v="19377727"/>
    <x v="3461"/>
    <x v="3465"/>
    <x v="4"/>
  </r>
  <r>
    <x v="532"/>
    <n v="222"/>
    <n v="14337579"/>
    <s v="Action|Drama|Fantasy|Mystery|Sci-Fi|Thriller"/>
    <s v="Rufus Sewell"/>
    <x v="3466"/>
    <n v="156929"/>
    <s v="memory|murder|neo noir|retrofuturism|tech noir"/>
    <n v="624"/>
    <x v="0"/>
    <x v="3"/>
    <n v="27000000"/>
    <x v="6"/>
    <x v="9"/>
    <n v="17654760"/>
    <n v="9375056.1565199997"/>
    <x v="3462"/>
    <x v="3466"/>
    <x v="1"/>
  </r>
  <r>
    <x v="143"/>
    <n v="211"/>
    <n v="29802761"/>
    <s v="Comedy|Sport"/>
    <s v="Robert De Niro"/>
    <x v="3467"/>
    <n v="46480"/>
    <s v="broke|promoter|retirement|trainer|training"/>
    <n v="115"/>
    <x v="0"/>
    <x v="0"/>
    <n v="40000000"/>
    <x v="0"/>
    <x v="24"/>
    <n v="40000000"/>
    <n v="29802761"/>
    <x v="3463"/>
    <x v="3467"/>
    <x v="4"/>
  </r>
  <r>
    <x v="376"/>
    <n v="105"/>
    <n v="32122249"/>
    <s v="Comedy|Crime"/>
    <s v="Robert De Niro"/>
    <x v="3468"/>
    <n v="69319"/>
    <s v="blonde|mafia|mental illness|prison|second part"/>
    <n v="138"/>
    <x v="0"/>
    <x v="0"/>
    <n v="60000000"/>
    <x v="13"/>
    <x v="0"/>
    <n v="60000000"/>
    <n v="32122249"/>
    <x v="3464"/>
    <x v="3468"/>
    <x v="4"/>
  </r>
  <r>
    <x v="144"/>
    <n v="304"/>
    <n v="204565000"/>
    <s v="Horror"/>
    <s v="Ellen Burstyn"/>
    <x v="3469"/>
    <n v="284252"/>
    <s v="demonic possession|exorcism|exorcist|loss of innocence|priest"/>
    <n v="1058"/>
    <x v="0"/>
    <x v="0"/>
    <n v="8000000"/>
    <x v="46"/>
    <x v="3"/>
    <n v="8000000"/>
    <n v="204565000"/>
    <x v="3465"/>
    <x v="3469"/>
    <x v="6"/>
  </r>
  <r>
    <x v="549"/>
    <n v="85"/>
    <n v="113745408"/>
    <s v="Action|Comedy|Sci-Fi|Western"/>
    <s v="Will Smith"/>
    <x v="3470"/>
    <n v="129601"/>
    <s v="buddy movie|general|inventor|steampunk|utah"/>
    <n v="648"/>
    <x v="0"/>
    <x v="0"/>
    <n v="170000000"/>
    <x v="12"/>
    <x v="45"/>
    <n v="170000000"/>
    <n v="113745408"/>
    <x v="3466"/>
    <x v="3470"/>
    <x v="1"/>
  </r>
  <r>
    <x v="1017"/>
    <n v="137"/>
    <n v="10042266"/>
    <s v="Drama|Horror|Mystery|Thriller"/>
    <s v="Julian Morris"/>
    <x v="3471"/>
    <n v="23021"/>
    <s v="e mail|game|school|serial killer|student"/>
    <n v="220"/>
    <x v="0"/>
    <x v="0"/>
    <n v="1000000"/>
    <x v="25"/>
    <x v="0"/>
    <n v="1000000"/>
    <n v="10042266"/>
    <x v="3467"/>
    <x v="3471"/>
    <x v="5"/>
  </r>
  <r>
    <x v="201"/>
    <n v="242"/>
    <n v="25517500"/>
    <s v="Biography|Drama|History"/>
    <s v="Toby Jones"/>
    <x v="3472"/>
    <n v="40941"/>
    <s v="bible|cabinet meeting|dog|drinking|family relationships"/>
    <n v="320"/>
    <x v="0"/>
    <x v="0"/>
    <n v="25100000"/>
    <x v="20"/>
    <x v="24"/>
    <n v="25100000"/>
    <n v="25517500"/>
    <x v="3468"/>
    <x v="3472"/>
    <x v="2"/>
  </r>
  <r>
    <x v="377"/>
    <n v="295"/>
    <n v="289994397"/>
    <s v="Adventure|Family|Fantasy|Mystery"/>
    <s v="Robert Pattinson"/>
    <x v="3473"/>
    <n v="385670"/>
    <s v="fire|goblet|magic|tournament|wizard"/>
    <n v="1896"/>
    <x v="0"/>
    <x v="2"/>
    <n v="150000000"/>
    <x v="25"/>
    <x v="10"/>
    <n v="192809999.99999899"/>
    <n v="372758797.903799"/>
    <x v="3469"/>
    <x v="3473"/>
    <x v="0"/>
  </r>
  <r>
    <x v="1660"/>
    <n v="19"/>
    <n v="15091542"/>
    <s v="Adventure|Family|Fantasy|Musical"/>
    <s v="Martin Landau"/>
    <x v="3474"/>
    <n v="4086"/>
    <s v="based on novel|human becoming an animal|slow motion|transformation|young boy"/>
    <n v="22"/>
    <x v="1"/>
    <x v="2"/>
    <n v="25000000"/>
    <x v="10"/>
    <x v="1"/>
    <n v="32134999.999999899"/>
    <n v="19398668.086799901"/>
    <x v="3470"/>
    <x v="3474"/>
    <x v="0"/>
  </r>
  <r>
    <x v="48"/>
    <n v="181"/>
    <n v="193136719"/>
    <s v="Adventure|Animation|Comedy|Family"/>
    <s v="Jada Pinkett Smith"/>
    <x v="3475"/>
    <n v="266636"/>
    <s v="escape|jungle|lemur|madagascar|zoo"/>
    <n v="385"/>
    <x v="0"/>
    <x v="0"/>
    <n v="75000000"/>
    <x v="25"/>
    <x v="31"/>
    <n v="75000000"/>
    <n v="193136719"/>
    <x v="3471"/>
    <x v="3475"/>
    <x v="0"/>
  </r>
  <r>
    <x v="247"/>
    <n v="165"/>
    <n v="177343675"/>
    <s v="Adventure|Animation|Comedy|Family|Fantasy|Sci-Fi"/>
    <s v="Jim Parsons"/>
    <x v="274"/>
    <n v="70121"/>
    <s v="alien friendship|alien invasion|australia|flying car|mother daughter relationship"/>
    <n v="214"/>
    <x v="0"/>
    <x v="0"/>
    <n v="135000000"/>
    <x v="1"/>
    <x v="21"/>
    <n v="135000000"/>
    <n v="177343675"/>
    <x v="274"/>
    <x v="274"/>
    <x v="0"/>
  </r>
  <r>
    <x v="1661"/>
    <n v="248"/>
    <n v="484221"/>
    <s v="Biography|Crime|Documentary|History"/>
    <s v="Anwar Congo"/>
    <x v="3476"/>
    <n v="23836"/>
    <s v="death squad|mass killing|musical number|reference to guantanamo bay|surrealism"/>
    <n v="107"/>
    <x v="23"/>
    <x v="2"/>
    <n v="1000000"/>
    <x v="28"/>
    <x v="60"/>
    <n v="1285399.99999999"/>
    <n v="622417.67339999997"/>
    <x v="3472"/>
    <x v="3476"/>
    <x v="2"/>
  </r>
  <r>
    <x v="1662"/>
    <n v="194"/>
    <n v="13823741"/>
    <s v="Biography|Drama|History|Romance"/>
    <s v="Dominic Cooper"/>
    <x v="3477"/>
    <n v="61777"/>
    <s v="duchess|duke|heir|infidelity|marriage"/>
    <n v="140"/>
    <x v="0"/>
    <x v="2"/>
    <n v="13500000"/>
    <x v="20"/>
    <x v="31"/>
    <n v="17352900"/>
    <n v="17769036.6813999"/>
    <x v="3473"/>
    <x v="3477"/>
    <x v="2"/>
  </r>
  <r>
    <x v="1663"/>
    <n v="44"/>
    <n v="11634458"/>
    <s v="Adventure|Comedy|Family|Fantasy|Musical"/>
    <s v="Vanessa Williams"/>
    <x v="3478"/>
    <n v="2045"/>
    <s v="based on tv series|blanket|box office flop|rescue|sesame street"/>
    <n v="37"/>
    <x v="0"/>
    <x v="0"/>
    <n v="17000000"/>
    <x v="12"/>
    <x v="30"/>
    <n v="17000000"/>
    <n v="11634458"/>
    <x v="3474"/>
    <x v="3478"/>
    <x v="0"/>
  </r>
  <r>
    <x v="112"/>
    <n v="159"/>
    <n v="100853835"/>
    <s v="Drama|Mystery|Sci-Fi|Thriller"/>
    <s v="Matthew McConaughey"/>
    <x v="3479"/>
    <n v="200556"/>
    <s v="message from outer space|religion|religion versus science|scientist|universe"/>
    <n v="611"/>
    <x v="0"/>
    <x v="0"/>
    <n v="90000000"/>
    <x v="31"/>
    <x v="39"/>
    <n v="90000000"/>
    <n v="100853835"/>
    <x v="3475"/>
    <x v="3479"/>
    <x v="5"/>
  </r>
  <r>
    <x v="1664"/>
    <n v="26"/>
    <n v="32983713"/>
    <s v="Comedy|Drama"/>
    <s v="John Witherspoon"/>
    <x v="3480"/>
    <n v="19284"/>
    <s v="apartment|christmas|christmas present|rent|security guard"/>
    <n v="66"/>
    <x v="0"/>
    <x v="0"/>
    <n v="20000000"/>
    <x v="13"/>
    <x v="30"/>
    <n v="20000000"/>
    <n v="32983713"/>
    <x v="3476"/>
    <x v="3480"/>
    <x v="4"/>
  </r>
  <r>
    <x v="1665"/>
    <n v="222"/>
    <n v="3014541"/>
    <s v="Drama"/>
    <s v="Mia Wasikowska"/>
    <x v="3481"/>
    <n v="19616"/>
    <s v="19th century|hotel|painter|waiter|woman pretending to be a man"/>
    <n v="98"/>
    <x v="0"/>
    <x v="2"/>
    <n v="8000000"/>
    <x v="22"/>
    <x v="21"/>
    <n v="10283199.999999899"/>
    <n v="3874891.0013999902"/>
    <x v="3477"/>
    <x v="3481"/>
    <x v="5"/>
  </r>
  <r>
    <x v="108"/>
    <n v="47"/>
    <n v="83287363"/>
    <s v="Action|Thriller"/>
    <s v="Harrison Ford"/>
    <x v="3482"/>
    <n v="81442"/>
    <s v="analyst|cia|ira|terrorist|terrorist attack"/>
    <n v="137"/>
    <x v="0"/>
    <x v="0"/>
    <n v="45000000"/>
    <x v="8"/>
    <x v="31"/>
    <n v="45000000"/>
    <n v="83287363"/>
    <x v="3478"/>
    <x v="3482"/>
    <x v="1"/>
  </r>
  <r>
    <x v="1666"/>
    <n v="176"/>
    <n v="118471320"/>
    <s v="Action|Drama|Thriller"/>
    <s v="Morgan Freeman"/>
    <x v="3483"/>
    <n v="86504"/>
    <s v="analyst|cia|nuclear bomb|nuclear weapons|russia"/>
    <n v="568"/>
    <x v="0"/>
    <x v="0"/>
    <n v="68000000"/>
    <x v="13"/>
    <x v="24"/>
    <n v="68000000"/>
    <n v="118471320"/>
    <x v="3479"/>
    <x v="3483"/>
    <x v="1"/>
  </r>
  <r>
    <x v="1009"/>
    <n v="50"/>
    <n v="30127963"/>
    <s v="Drama|Family|Sport"/>
    <s v="Jessie T. Usher"/>
    <x v="3484"/>
    <n v="12596"/>
    <s v="coach|high school football"/>
    <n v="64"/>
    <x v="0"/>
    <x v="0"/>
    <n v="15000000"/>
    <x v="27"/>
    <x v="21"/>
    <n v="15000000"/>
    <n v="30127963"/>
    <x v="3480"/>
    <x v="3484"/>
    <x v="5"/>
  </r>
  <r>
    <x v="539"/>
    <n v="53"/>
    <n v="8104069"/>
    <s v="Action|Comedy|Crime"/>
    <s v="Callum Rennie"/>
    <x v="3485"/>
    <n v="9785"/>
    <s v="comic violence|hand to hand combat|kung fu|talking to self in mirror|violence"/>
    <n v="26"/>
    <x v="0"/>
    <x v="0"/>
    <n v="20000000"/>
    <x v="15"/>
    <x v="47"/>
    <n v="20000000"/>
    <n v="8104069"/>
    <x v="3481"/>
    <x v="3485"/>
    <x v="1"/>
  </r>
  <r>
    <x v="1170"/>
    <n v="43"/>
    <n v="1066555"/>
    <s v="Drama|History|Romance|Western"/>
    <s v="Jon Gries"/>
    <x v="3486"/>
    <n v="2618"/>
    <s v="massacre|mormon|settler|utah|wagon train"/>
    <n v="111"/>
    <x v="0"/>
    <x v="0"/>
    <n v="11000000"/>
    <x v="15"/>
    <x v="30"/>
    <n v="11000000"/>
    <n v="1066555"/>
    <x v="3482"/>
    <x v="3486"/>
    <x v="5"/>
  </r>
  <r>
    <x v="1220"/>
    <n v="127"/>
    <n v="7221458"/>
    <s v="Drama|Thriller"/>
    <s v="Kate Winslet"/>
    <x v="3487"/>
    <n v="20740"/>
    <s v="governor|journalist|louisiana|mistress|politician"/>
    <n v="178"/>
    <x v="0"/>
    <x v="5"/>
    <n v="55000000"/>
    <x v="7"/>
    <x v="5"/>
    <n v="59660700"/>
    <n v="7833404.3509200001"/>
    <x v="3483"/>
    <x v="3487"/>
    <x v="5"/>
  </r>
  <r>
    <x v="442"/>
    <n v="252"/>
    <n v="94125426"/>
    <s v="Biography|Drama|Romance"/>
    <s v="Meryl Streep"/>
    <x v="3488"/>
    <n v="79264"/>
    <s v="american|blog|book|cook|cooking"/>
    <n v="277"/>
    <x v="0"/>
    <x v="0"/>
    <n v="40000000"/>
    <x v="16"/>
    <x v="16"/>
    <n v="40000000"/>
    <n v="94125426"/>
    <x v="3484"/>
    <x v="3488"/>
    <x v="2"/>
  </r>
  <r>
    <x v="918"/>
    <n v="31"/>
    <n v="14821531"/>
    <s v="Drama"/>
    <s v="Jurnee Smollett-Bell"/>
    <x v="3489"/>
    <n v="6915"/>
    <s v="doctor|louisiana|secret|title directed by female|witchcraft"/>
    <n v="209"/>
    <x v="0"/>
    <x v="0"/>
    <n v="6000000"/>
    <x v="31"/>
    <x v="4"/>
    <n v="6000000"/>
    <n v="14821531"/>
    <x v="3485"/>
    <x v="3489"/>
    <x v="5"/>
  </r>
  <r>
    <x v="1667"/>
    <n v="231"/>
    <n v="2283276"/>
    <s v="Animation|Biography|Documentary|Drama|History|War"/>
    <s v="Ari Folman"/>
    <x v="3490"/>
    <n v="46107"/>
    <s v="bar|dog|interview|lebanon|nightmare"/>
    <n v="156"/>
    <x v="36"/>
    <x v="44"/>
    <n v="1500000"/>
    <x v="20"/>
    <x v="3"/>
    <n v="408957.81"/>
    <n v="622509.035057039"/>
    <x v="3486"/>
    <x v="3490"/>
    <x v="8"/>
  </r>
  <r>
    <x v="10"/>
    <n v="238"/>
    <n v="39380442"/>
    <s v="Action|Drama|Thriller"/>
    <s v="Leonardo DiCaprio"/>
    <x v="3491"/>
    <n v="174248"/>
    <s v="cia|jordan|middle east|spy|terrorist"/>
    <n v="263"/>
    <x v="0"/>
    <x v="0"/>
    <n v="70000000"/>
    <x v="20"/>
    <x v="17"/>
    <n v="70000000"/>
    <n v="39380442"/>
    <x v="3487"/>
    <x v="3491"/>
    <x v="1"/>
  </r>
  <r>
    <x v="1388"/>
    <n v="94"/>
    <n v="876671"/>
    <s v="Adventure|Comedy|Drama|Romance|Thriller|War"/>
    <s v="James Brolin"/>
    <x v="3492"/>
    <n v="22010"/>
    <s v="bosnia|cia|fox|hunt|war criminal"/>
    <n v="90"/>
    <x v="0"/>
    <x v="0"/>
    <n v="25000000"/>
    <x v="15"/>
    <x v="31"/>
    <n v="25000000"/>
    <n v="876671"/>
    <x v="3488"/>
    <x v="3492"/>
    <x v="0"/>
  </r>
  <r>
    <x v="1482"/>
    <n v="196"/>
    <n v="25472967"/>
    <s v="Drama|Horror|Thriller"/>
    <s v="Dougray Scott"/>
    <x v="3493"/>
    <n v="44966"/>
    <s v="apartment|hello kitty|school|teacher|water"/>
    <n v="411"/>
    <x v="0"/>
    <x v="0"/>
    <n v="30000000"/>
    <x v="25"/>
    <x v="15"/>
    <n v="30000000"/>
    <n v="25472967"/>
    <x v="3489"/>
    <x v="3493"/>
    <x v="5"/>
  </r>
  <r>
    <x v="497"/>
    <n v="364"/>
    <n v="52066000"/>
    <s v="Biography|Drama|History"/>
    <s v="David Oyelowo"/>
    <x v="3494"/>
    <n v="61114"/>
    <s v="civil rights|courage|protest|selma alabama|u.s. politics"/>
    <n v="212"/>
    <x v="0"/>
    <x v="2"/>
    <n v="20000000"/>
    <x v="27"/>
    <x v="2"/>
    <n v="25707999.999999899"/>
    <n v="66925636.399999902"/>
    <x v="3490"/>
    <x v="3494"/>
    <x v="2"/>
  </r>
  <r>
    <x v="1668"/>
    <n v="101"/>
    <n v="34703228"/>
    <s v="Drama|Music"/>
    <s v="Alfre Woodard"/>
    <x v="3495"/>
    <n v="21767"/>
    <s v="ballroom|dance|dance teacher|student|teacher"/>
    <n v="127"/>
    <x v="0"/>
    <x v="0"/>
    <n v="30000000"/>
    <x v="7"/>
    <x v="21"/>
    <n v="30000000"/>
    <n v="34703228"/>
    <x v="3491"/>
    <x v="3495"/>
    <x v="5"/>
  </r>
  <r>
    <x v="1669"/>
    <n v="68"/>
    <n v="78656813"/>
    <s v="Action|Adventure|Comedy|Family|Sci-Fi"/>
    <s v="Kevin Nash"/>
    <x v="3496"/>
    <n v="42765"/>
    <s v="chop socky|mutant|ninja|shredder|turtle"/>
    <n v="93"/>
    <x v="0"/>
    <x v="0"/>
    <n v="25000000"/>
    <x v="38"/>
    <x v="11"/>
    <n v="25000000"/>
    <n v="78656813"/>
    <x v="3492"/>
    <x v="3496"/>
    <x v="1"/>
  </r>
  <r>
    <x v="1309"/>
    <n v="191"/>
    <n v="114324072"/>
    <s v="Comedy|Sport"/>
    <s v="Gary Cole"/>
    <x v="2399"/>
    <n v="185338"/>
    <s v="dodgeball|gym|las vegas|pirate|ups"/>
    <n v="392"/>
    <x v="0"/>
    <x v="0"/>
    <n v="20000000"/>
    <x v="2"/>
    <x v="21"/>
    <n v="20000000"/>
    <n v="114324072"/>
    <x v="2397"/>
    <x v="2399"/>
    <x v="4"/>
  </r>
  <r>
    <x v="555"/>
    <n v="44"/>
    <n v="24048000"/>
    <s v="Action|Crime|Sci-Fi|Thriller"/>
    <s v="Denzel Washington"/>
    <x v="3497"/>
    <n v="23579"/>
    <s v="android|ex cop|serial killer|virtual character come to life|virtual reality"/>
    <n v="88"/>
    <x v="0"/>
    <x v="0"/>
    <n v="30000000"/>
    <x v="33"/>
    <x v="28"/>
    <n v="30000000"/>
    <n v="24048000"/>
    <x v="3493"/>
    <x v="3497"/>
    <x v="1"/>
  </r>
  <r>
    <x v="1670"/>
    <n v="27"/>
    <n v="8000000"/>
    <s v="Biography|Drama|History"/>
    <s v="Martin Landau"/>
    <x v="3498"/>
    <n v="6484"/>
    <s v="70mm film|biblical epic|faith|jewish|king herod"/>
    <n v="100"/>
    <x v="0"/>
    <x v="0"/>
    <n v="20000000"/>
    <x v="29"/>
    <x v="14"/>
    <n v="20000000"/>
    <n v="8000000"/>
    <x v="1598"/>
    <x v="3498"/>
    <x v="2"/>
  </r>
  <r>
    <x v="25"/>
    <n v="20"/>
    <n v="21413105"/>
    <s v="Action|Adventure|Drama|Romance|Western"/>
    <s v="Alan Rickman"/>
    <x v="3499"/>
    <n v="15230"/>
    <s v="aborigine|australian|australian aborigine|australian outback|rancher"/>
    <n v="97"/>
    <x v="0"/>
    <x v="3"/>
    <n v="20000000"/>
    <x v="32"/>
    <x v="22"/>
    <n v="13077600"/>
    <n v="14001601.0974"/>
    <x v="3494"/>
    <x v="3499"/>
    <x v="1"/>
  </r>
  <r>
    <x v="1671"/>
    <n v="149"/>
    <n v="119922"/>
    <s v="Drama|History|War"/>
    <s v="Ye Liu"/>
    <x v="3500"/>
    <n v="8429"/>
    <s v="atrocity|battle|chinese|horseback riding|martial arts"/>
    <n v="62"/>
    <x v="15"/>
    <x v="6"/>
    <n v="12000000"/>
    <x v="16"/>
    <x v="9"/>
    <n v="1659406.79999999"/>
    <n v="16583.2818558"/>
    <x v="3495"/>
    <x v="3500"/>
    <x v="5"/>
  </r>
  <r>
    <x v="1672"/>
    <n v="126"/>
    <n v="603943"/>
    <s v="Crime|Drama"/>
    <s v="Rory Culkin"/>
    <x v="3501"/>
    <n v="26407"/>
    <s v="boat|bully|dare|friend|river"/>
    <n v="154"/>
    <x v="0"/>
    <x v="0"/>
    <n v="500000"/>
    <x v="2"/>
    <x v="4"/>
    <n v="500000"/>
    <n v="603943"/>
    <x v="3496"/>
    <x v="3501"/>
    <x v="3"/>
  </r>
  <r>
    <x v="435"/>
    <n v="90"/>
    <n v="57651794"/>
    <s v="Comedy|Romance|Sport"/>
    <s v="Jon Lovitz"/>
    <x v="3502"/>
    <n v="40651"/>
    <s v="baseball|baseball team|bully|millionaire|team"/>
    <n v="209"/>
    <x v="0"/>
    <x v="0"/>
    <n v="33000000"/>
    <x v="7"/>
    <x v="15"/>
    <n v="33000000"/>
    <n v="57651794"/>
    <x v="3497"/>
    <x v="3502"/>
    <x v="4"/>
  </r>
  <r>
    <x v="26"/>
    <n v="160"/>
    <n v="14637490"/>
    <s v="Horror|Mystery|Thriller"/>
    <s v="Frank Grillo"/>
    <x v="3503"/>
    <n v="16411"/>
    <s v="evil|killer|murder|psychopath|serial killer"/>
    <n v="136"/>
    <x v="0"/>
    <x v="0"/>
    <n v="25000000"/>
    <x v="11"/>
    <x v="45"/>
    <n v="25000000"/>
    <n v="14637490"/>
    <x v="3498"/>
    <x v="3503"/>
    <x v="6"/>
  </r>
  <r>
    <x v="1673"/>
    <n v="425"/>
    <n v="25138292"/>
    <s v="Horror|Mystery"/>
    <s v="Julian Richings"/>
    <x v="3504"/>
    <n v="66483"/>
    <s v="black magic|goat|isolation|naked woman|witch"/>
    <n v="452"/>
    <x v="0"/>
    <x v="0"/>
    <n v="3500000"/>
    <x v="1"/>
    <x v="22"/>
    <n v="3500000"/>
    <n v="25138292"/>
    <x v="3499"/>
    <x v="3504"/>
    <x v="6"/>
  </r>
  <r>
    <x v="1574"/>
    <n v="377"/>
    <n v="17104669"/>
    <s v="Action|Comedy|Crime|Fantasy"/>
    <s v="Shengyi Huang"/>
    <x v="3505"/>
    <n v="99353"/>
    <s v="1940s|axe|china|gang|sign language"/>
    <n v="354"/>
    <x v="2"/>
    <x v="4"/>
    <n v="20000000"/>
    <x v="2"/>
    <x v="38"/>
    <n v="2561886"/>
    <n v="2191010.6022866899"/>
    <x v="3500"/>
    <x v="3505"/>
    <x v="1"/>
  </r>
  <r>
    <x v="1674"/>
    <n v="164"/>
    <n v="33472850"/>
    <s v="Comedy|Sport"/>
    <s v="Will Ferrell"/>
    <x v="3506"/>
    <n v="67005"/>
    <s v="flint michigan|merger|michigan|nba|team"/>
    <n v="119"/>
    <x v="0"/>
    <x v="0"/>
    <n v="55000000"/>
    <x v="20"/>
    <x v="30"/>
    <n v="55000000"/>
    <n v="33472850"/>
    <x v="3501"/>
    <x v="3506"/>
    <x v="4"/>
  </r>
  <r>
    <x v="490"/>
    <n v="266"/>
    <n v="35024475"/>
    <s v="Action|Drama|Thriller|War"/>
    <s v="Matt Damon"/>
    <x v="3507"/>
    <n v="110364"/>
    <s v="cia|iraq|iraqi|political military conspiracy|weapon of mass destruction"/>
    <n v="261"/>
    <x v="0"/>
    <x v="8"/>
    <n v="100000000"/>
    <x v="11"/>
    <x v="31"/>
    <n v="108474000"/>
    <n v="37992449.011500001"/>
    <x v="3502"/>
    <x v="3507"/>
    <x v="1"/>
  </r>
  <r>
    <x v="1675"/>
    <n v="24"/>
    <n v="12438"/>
    <s v="Drama|Romance"/>
    <s v="Yaphet Kotto"/>
    <x v="3508"/>
    <n v="891"/>
    <s v="1960s|father|railroad|town|worker"/>
    <n v="26"/>
    <x v="0"/>
    <x v="0"/>
    <n v="160000"/>
    <x v="3"/>
    <x v="40"/>
    <n v="160000"/>
    <n v="12438"/>
    <x v="3503"/>
    <x v="3508"/>
    <x v="5"/>
  </r>
  <r>
    <x v="1676"/>
    <n v="23"/>
    <n v="34151"/>
    <s v="Documentary|History"/>
    <s v="Amos Oz"/>
    <x v="3509"/>
    <n v="186"/>
    <s v=""/>
    <n v="3"/>
    <x v="36"/>
    <x v="44"/>
    <n v="450000"/>
    <x v="1"/>
    <x v="33"/>
    <n v="122687.34299999999"/>
    <n v="9310.8787795400003"/>
    <x v="3504"/>
    <x v="3509"/>
    <x v="7"/>
  </r>
  <r>
    <x v="101"/>
    <n v="100"/>
    <n v="29374178"/>
    <s v="Crime|Drama|Horror|Thriller"/>
    <s v="Rufus Sewell"/>
    <x v="3510"/>
    <n v="12093"/>
    <s v="easter|fbi|luminol|nurse|omen"/>
    <n v="188"/>
    <x v="0"/>
    <x v="0"/>
    <n v="40000000"/>
    <x v="4"/>
    <x v="37"/>
    <n v="40000000"/>
    <n v="29374178"/>
    <x v="3505"/>
    <x v="3510"/>
    <x v="3"/>
  </r>
  <r>
    <x v="1309"/>
    <n v="177"/>
    <n v="126088877"/>
    <s v="Action|Comedy|Crime"/>
    <s v="Dwayne Johnson"/>
    <x v="3511"/>
    <n v="33354"/>
    <s v="accountant|blooper|espionage|facebook|high school reunion"/>
    <n v="110"/>
    <x v="0"/>
    <x v="0"/>
    <n v="50000000"/>
    <x v="24"/>
    <x v="14"/>
    <n v="50000000"/>
    <n v="126088877"/>
    <x v="3506"/>
    <x v="3511"/>
    <x v="1"/>
  </r>
  <r>
    <x v="1105"/>
    <n v="168"/>
    <n v="25675765"/>
    <s v="Comedy"/>
    <s v="Justin Chon"/>
    <x v="3512"/>
    <n v="60407"/>
    <s v="21st birthday|college student|drunken man|pubic hair|standing up to father"/>
    <n v="84"/>
    <x v="0"/>
    <x v="0"/>
    <n v="13000000"/>
    <x v="0"/>
    <x v="0"/>
    <n v="13000000"/>
    <n v="25675765"/>
    <x v="3507"/>
    <x v="3512"/>
    <x v="4"/>
  </r>
  <r>
    <x v="559"/>
    <n v="37"/>
    <n v="27362712"/>
    <s v="Comedy|Drama|Music|Romance"/>
    <s v="Boris Kodjoe"/>
    <x v="3513"/>
    <n v="5971"/>
    <s v="basketball|hip hop|rap music|record company|writer"/>
    <n v="60"/>
    <x v="0"/>
    <x v="0"/>
    <n v="8000000"/>
    <x v="13"/>
    <x v="20"/>
    <n v="8000000"/>
    <n v="27362712"/>
    <x v="3508"/>
    <x v="3513"/>
    <x v="4"/>
  </r>
  <r>
    <x v="1677"/>
    <n v="489"/>
    <n v="25440971"/>
    <s v="Drama|Mystery|Sci-Fi|Thriller"/>
    <s v="Elina Alminas"/>
    <x v="3514"/>
    <n v="289508"/>
    <s v="artificial intelligence|robot|robot human relationship|turing test|video surveillance"/>
    <n v="611"/>
    <x v="0"/>
    <x v="2"/>
    <n v="15000000"/>
    <x v="1"/>
    <x v="9"/>
    <n v="19281000"/>
    <n v="32701824.123399898"/>
    <x v="3509"/>
    <x v="3514"/>
    <x v="5"/>
  </r>
  <r>
    <x v="553"/>
    <n v="228"/>
    <n v="38345403"/>
    <s v="Adventure|Family|Fantasy|Romance"/>
    <s v="Henry Cavill"/>
    <x v="3515"/>
    <n v="212085"/>
    <s v="king|magic|one word title|pirate|village"/>
    <n v="492"/>
    <x v="0"/>
    <x v="2"/>
    <n v="70000000"/>
    <x v="15"/>
    <x v="9"/>
    <n v="89977999.999999896"/>
    <n v="49289181.016199999"/>
    <x v="3510"/>
    <x v="3515"/>
    <x v="0"/>
  </r>
  <r>
    <x v="1572"/>
    <n v="371"/>
    <n v="18996755"/>
    <s v="Drama|Thriller"/>
    <s v="Naomi Watts"/>
    <x v="3516"/>
    <n v="145270"/>
    <s v="christmas|resort|thailand|tourist|tsunami"/>
    <n v="322"/>
    <x v="0"/>
    <x v="12"/>
    <n v="45000000"/>
    <x v="28"/>
    <x v="10"/>
    <n v="48813300"/>
    <n v="20606540.0187"/>
    <x v="3511"/>
    <x v="3516"/>
    <x v="5"/>
  </r>
  <r>
    <x v="1072"/>
    <n v="469"/>
    <n v="172051787"/>
    <s v="Action|Adventure|Sci-Fi"/>
    <s v="Jeff Bridges"/>
    <x v="1746"/>
    <n v="264183"/>
    <s v="arcade|bridge|disappearance|escape|warrior"/>
    <n v="665"/>
    <x v="0"/>
    <x v="0"/>
    <n v="170000000"/>
    <x v="11"/>
    <x v="22"/>
    <n v="170000000"/>
    <n v="172051787"/>
    <x v="1744"/>
    <x v="1746"/>
    <x v="1"/>
  </r>
  <r>
    <x v="429"/>
    <n v="495"/>
    <n v="202853933"/>
    <s v="Action|Adventure|Fantasy|Sci-Fi"/>
    <s v="Emma Stone"/>
    <x v="3517"/>
    <n v="321227"/>
    <s v="costumed hero|death of girlfriend|masked vigilante|returning character killed off|teenager"/>
    <n v="1067"/>
    <x v="0"/>
    <x v="0"/>
    <n v="200000000"/>
    <x v="27"/>
    <x v="21"/>
    <n v="200000000"/>
    <n v="202853933"/>
    <x v="3512"/>
    <x v="3517"/>
    <x v="1"/>
  </r>
  <r>
    <x v="1678"/>
    <n v="44"/>
    <n v="464126"/>
    <s v="Drama"/>
    <s v="Frances Fisher"/>
    <x v="3518"/>
    <n v="3142"/>
    <s v="contest|poetry|refusing to eat|starving oneself|teenage girl"/>
    <n v="68"/>
    <x v="0"/>
    <x v="0"/>
    <n v="1000000"/>
    <x v="13"/>
    <x v="21"/>
    <n v="1000000"/>
    <n v="464126"/>
    <x v="3513"/>
    <x v="3518"/>
    <x v="5"/>
  </r>
  <r>
    <x v="486"/>
    <n v="56"/>
    <n v="158348400"/>
    <s v="Drama|Mystery|Thriller"/>
    <s v="Tom Cruise"/>
    <x v="3519"/>
    <n v="88844"/>
    <s v="bar|fbi|law|law firm|lawyer"/>
    <n v="142"/>
    <x v="0"/>
    <x v="0"/>
    <n v="42000000"/>
    <x v="23"/>
    <x v="22"/>
    <n v="42000000"/>
    <n v="158348400"/>
    <x v="3514"/>
    <x v="3519"/>
    <x v="5"/>
  </r>
  <r>
    <x v="631"/>
    <n v="167"/>
    <n v="20819129"/>
    <s v="Action|Comedy|Crime"/>
    <s v="Erick Avari"/>
    <x v="3520"/>
    <n v="84209"/>
    <s v="cell phone|hostage|mall|security guard|text messaging"/>
    <n v="201"/>
    <x v="0"/>
    <x v="0"/>
    <n v="26000000"/>
    <x v="16"/>
    <x v="44"/>
    <n v="26000000"/>
    <n v="20819129"/>
    <x v="3515"/>
    <x v="3520"/>
    <x v="1"/>
  </r>
  <r>
    <x v="1679"/>
    <n v="81"/>
    <n v="16295774"/>
    <s v="Action|Adventure|Comedy|Romance|Sci-Fi"/>
    <s v="Lea Thompson"/>
    <x v="3521"/>
    <n v="33669"/>
    <s v="alien|duck|laser|planet|singer"/>
    <n v="269"/>
    <x v="0"/>
    <x v="0"/>
    <n v="35000000"/>
    <x v="18"/>
    <x v="34"/>
    <n v="35000000"/>
    <n v="16295774"/>
    <x v="3516"/>
    <x v="352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3F6056-0CDE-47F8-A6F9-43B44C1383A8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D32" firstHeaderRow="0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6">
        <item x="49"/>
        <item x="72"/>
        <item x="74"/>
        <item x="60"/>
        <item x="45"/>
        <item x="65"/>
        <item x="68"/>
        <item x="66"/>
        <item x="39"/>
        <item x="55"/>
        <item x="71"/>
        <item x="14"/>
        <item x="67"/>
        <item x="73"/>
        <item x="63"/>
        <item x="58"/>
        <item x="69"/>
        <item x="56"/>
        <item x="53"/>
        <item x="54"/>
        <item x="57"/>
        <item x="41"/>
        <item x="3"/>
        <item x="29"/>
        <item x="64"/>
        <item x="70"/>
        <item x="47"/>
        <item x="62"/>
        <item x="50"/>
        <item x="40"/>
        <item x="61"/>
        <item x="46"/>
        <item x="48"/>
        <item x="51"/>
        <item x="59"/>
        <item x="35"/>
        <item x="44"/>
        <item x="36"/>
        <item x="52"/>
        <item x="43"/>
        <item x="42"/>
        <item x="30"/>
        <item x="17"/>
        <item x="37"/>
        <item x="18"/>
        <item x="21"/>
        <item x="34"/>
        <item x="26"/>
        <item x="32"/>
        <item x="38"/>
        <item x="8"/>
        <item x="23"/>
        <item x="5"/>
        <item x="33"/>
        <item x="10"/>
        <item x="31"/>
        <item x="6"/>
        <item x="12"/>
        <item x="4"/>
        <item x="9"/>
        <item x="13"/>
        <item x="19"/>
        <item x="2"/>
        <item x="25"/>
        <item x="7"/>
        <item x="15"/>
        <item x="20"/>
        <item x="16"/>
        <item x="11"/>
        <item x="22"/>
        <item x="28"/>
        <item x="0"/>
        <item x="27"/>
        <item x="1"/>
        <item x="24"/>
        <item t="default"/>
      </items>
    </pivotField>
    <pivotField showAll="0"/>
    <pivotField dataField="1" showAll="0"/>
    <pivotField dataField="1" showAll="0"/>
    <pivotField dataField="1" showAll="0"/>
    <pivotField axis="axisRow" showAll="0" measureFilter="1">
      <items count="3523">
        <item x="583"/>
        <item x="1429"/>
        <item x="2476"/>
        <item x="2398"/>
        <item x="1366"/>
        <item x="3040"/>
        <item x="757"/>
        <item x="919"/>
        <item x="81"/>
        <item x="2719"/>
        <item x="3386"/>
        <item x="1979"/>
        <item x="1259"/>
        <item x="1910"/>
        <item x="2057"/>
        <item x="929"/>
        <item x="2877"/>
        <item x="2778"/>
        <item x="3097"/>
        <item x="1312"/>
        <item x="2141"/>
        <item x="2750"/>
        <item x="1964"/>
        <item x="611"/>
        <item x="527"/>
        <item x="2757"/>
        <item x="1093"/>
        <item x="701"/>
        <item x="3512"/>
        <item x="1073"/>
        <item x="1379"/>
        <item x="126"/>
        <item x="1273"/>
        <item x="831"/>
        <item x="3158"/>
        <item x="1042"/>
        <item x="3194"/>
        <item x="1689"/>
        <item x="2793"/>
        <item x="3062"/>
        <item x="1054"/>
        <item x="932"/>
        <item x="3393"/>
        <item x="2552"/>
        <item x="1935"/>
        <item x="1081"/>
        <item x="3316"/>
        <item x="1274"/>
        <item x="2692"/>
        <item x="2468"/>
        <item x="441"/>
        <item x="494"/>
        <item x="1773"/>
        <item x="1798"/>
        <item x="850"/>
        <item x="948"/>
        <item x="2553"/>
        <item x="944"/>
        <item x="1869"/>
        <item x="1599"/>
        <item x="1139"/>
        <item x="2330"/>
        <item x="2324"/>
        <item x="3051"/>
        <item x="577"/>
        <item x="2555"/>
        <item x="1191"/>
        <item x="2131"/>
        <item x="88"/>
        <item x="2800"/>
        <item x="3349"/>
        <item x="3"/>
        <item x="3275"/>
        <item x="385"/>
        <item x="592"/>
        <item x="631"/>
        <item x="1003"/>
        <item x="2705"/>
        <item x="1663"/>
        <item x="2735"/>
        <item x="2003"/>
        <item x="3350"/>
        <item x="50"/>
        <item x="752"/>
        <item x="370"/>
        <item x="2176"/>
        <item x="2519"/>
        <item x="3078"/>
        <item x="731"/>
        <item x="510"/>
        <item x="26"/>
        <item x="1546"/>
        <item x="962"/>
        <item x="2703"/>
        <item x="2528"/>
        <item x="1725"/>
        <item x="966"/>
        <item x="2621"/>
        <item x="2910"/>
        <item x="3148"/>
        <item x="3215"/>
        <item x="2178"/>
        <item x="740"/>
        <item x="953"/>
        <item x="1201"/>
        <item x="1896"/>
        <item x="2610"/>
        <item x="3238"/>
        <item x="233"/>
        <item x="741"/>
        <item x="2349"/>
        <item x="721"/>
        <item x="164"/>
        <item x="2297"/>
        <item x="2962"/>
        <item x="2513"/>
        <item x="587"/>
        <item x="3032"/>
        <item x="2730"/>
        <item x="712"/>
        <item x="1697"/>
        <item x="2984"/>
        <item x="302"/>
        <item x="1120"/>
        <item x="564"/>
        <item x="437"/>
        <item x="292"/>
        <item x="2269"/>
        <item x="2361"/>
        <item x="1487"/>
        <item x="43"/>
        <item x="3211"/>
        <item x="1779"/>
        <item x="2780"/>
        <item x="1907"/>
        <item x="1610"/>
        <item x="2709"/>
        <item x="1544"/>
        <item x="2020"/>
        <item x="3328"/>
        <item x="576"/>
        <item x="2964"/>
        <item x="3344"/>
        <item x="368"/>
        <item x="3132"/>
        <item x="3481"/>
        <item x="100"/>
        <item x="2120"/>
        <item x="1723"/>
        <item x="1212"/>
        <item x="790"/>
        <item x="1015"/>
        <item x="1778"/>
        <item x="2797"/>
        <item x="1094"/>
        <item x="767"/>
        <item x="735"/>
        <item x="2588"/>
        <item x="2839"/>
        <item x="616"/>
        <item x="33"/>
        <item x="3422"/>
        <item x="78"/>
        <item x="2470"/>
        <item x="2173"/>
        <item x="1287"/>
        <item x="1338"/>
        <item x="1223"/>
        <item x="3487"/>
        <item x="803"/>
        <item x="3278"/>
        <item x="2544"/>
        <item x="2949"/>
        <item x="425"/>
        <item x="2530"/>
        <item x="2881"/>
        <item x="1908"/>
        <item x="51"/>
        <item x="408"/>
        <item x="3222"/>
        <item x="3336"/>
        <item x="2299"/>
        <item x="3046"/>
        <item x="687"/>
        <item x="140"/>
        <item x="1269"/>
        <item x="160"/>
        <item x="1460"/>
        <item x="340"/>
        <item x="990"/>
        <item x="3241"/>
        <item x="1370"/>
        <item x="2368"/>
        <item x="38"/>
        <item x="1062"/>
        <item x="2755"/>
        <item x="1543"/>
        <item x="2308"/>
        <item x="2133"/>
        <item x="927"/>
        <item x="3233"/>
        <item x="2895"/>
        <item x="2520"/>
        <item x="541"/>
        <item x="800"/>
        <item x="2404"/>
        <item x="1545"/>
        <item x="2791"/>
        <item x="3110"/>
        <item x="802"/>
        <item x="2779"/>
        <item x="1174"/>
        <item x="3068"/>
        <item x="3175"/>
        <item x="3468"/>
        <item x="2752"/>
        <item x="211"/>
        <item x="348"/>
        <item x="2798"/>
        <item x="3220"/>
        <item x="2843"/>
        <item x="2429"/>
        <item x="1873"/>
        <item x="2616"/>
        <item x="2458"/>
        <item x="3218"/>
        <item x="762"/>
        <item x="2061"/>
        <item x="3033"/>
        <item x="1373"/>
        <item x="2321"/>
        <item x="3431"/>
        <item x="2113"/>
        <item x="2799"/>
        <item x="2618"/>
        <item x="1190"/>
        <item x="3420"/>
        <item x="3256"/>
        <item x="2393"/>
        <item x="1383"/>
        <item x="557"/>
        <item x="3095"/>
        <item x="3348"/>
        <item x="470"/>
        <item x="2576"/>
        <item x="3150"/>
        <item x="2372"/>
        <item x="591"/>
        <item x="1845"/>
        <item x="1743"/>
        <item x="1555"/>
        <item x="1754"/>
        <item x="2300"/>
        <item x="3133"/>
        <item x="1656"/>
        <item x="3060"/>
        <item x="2721"/>
        <item x="2424"/>
        <item x="1066"/>
        <item x="836"/>
        <item x="2442"/>
        <item x="1278"/>
        <item x="595"/>
        <item x="543"/>
        <item x="241"/>
        <item x="1916"/>
        <item x="2922"/>
        <item x="2154"/>
        <item x="1628"/>
        <item x="1219"/>
        <item x="1745"/>
        <item x="1205"/>
        <item x="90"/>
        <item x="1215"/>
        <item x="2894"/>
        <item x="2351"/>
        <item x="394"/>
        <item x="3156"/>
        <item x="2464"/>
        <item x="1481"/>
        <item x="1646"/>
        <item x="973"/>
        <item x="2539"/>
        <item x="2566"/>
        <item x="655"/>
        <item x="2969"/>
        <item x="905"/>
        <item x="531"/>
        <item x="1443"/>
        <item x="1496"/>
        <item x="3180"/>
        <item x="2993"/>
        <item x="969"/>
        <item x="2640"/>
        <item x="3247"/>
        <item x="496"/>
        <item x="238"/>
        <item x="94"/>
        <item x="1819"/>
        <item x="35"/>
        <item x="1516"/>
        <item x="128"/>
        <item x="1385"/>
        <item x="3414"/>
        <item x="3462"/>
        <item x="1898"/>
        <item x="1928"/>
        <item x="1541"/>
        <item x="2766"/>
        <item x="1826"/>
        <item x="3089"/>
        <item x="3002"/>
        <item x="2600"/>
        <item x="2625"/>
        <item x="2292"/>
        <item x="288"/>
        <item x="3381"/>
        <item x="111"/>
        <item x="32"/>
        <item x="1732"/>
        <item x="2323"/>
        <item x="332"/>
        <item x="785"/>
        <item x="2885"/>
        <item x="2278"/>
        <item x="1944"/>
        <item x="570"/>
        <item x="1114"/>
        <item x="2879"/>
        <item x="1940"/>
        <item x="2462"/>
        <item x="1758"/>
        <item x="700"/>
        <item x="2408"/>
        <item x="2932"/>
        <item x="1762"/>
        <item x="2313"/>
        <item x="1992"/>
        <item x="3104"/>
        <item x="2183"/>
        <item x="2291"/>
        <item x="3169"/>
        <item x="812"/>
        <item x="604"/>
        <item x="2461"/>
        <item x="148"/>
        <item x="1547"/>
        <item x="2899"/>
        <item x="2527"/>
        <item x="3072"/>
        <item x="2581"/>
        <item x="612"/>
        <item x="113"/>
        <item x="2500"/>
        <item x="1486"/>
        <item x="1521"/>
        <item x="2283"/>
        <item x="2180"/>
        <item x="1731"/>
        <item x="1714"/>
        <item x="1681"/>
        <item x="1864"/>
        <item x="2542"/>
        <item x="1395"/>
        <item x="1706"/>
        <item x="1193"/>
        <item x="3433"/>
        <item x="1041"/>
        <item x="705"/>
        <item x="3287"/>
        <item x="2942"/>
        <item x="890"/>
        <item x="551"/>
        <item x="3260"/>
        <item x="301"/>
        <item x="804"/>
        <item x="1354"/>
        <item x="266"/>
        <item x="1735"/>
        <item x="2230"/>
        <item x="2702"/>
        <item x="1462"/>
        <item x="236"/>
        <item x="2915"/>
        <item x="2783"/>
        <item x="10"/>
        <item x="1854"/>
        <item x="1529"/>
        <item x="1375"/>
        <item x="1199"/>
        <item x="2592"/>
        <item x="1925"/>
        <item x="3292"/>
        <item x="2672"/>
        <item x="3164"/>
        <item x="1884"/>
        <item x="1441"/>
        <item x="1078"/>
        <item x="1421"/>
        <item x="3200"/>
        <item x="2560"/>
        <item x="3510"/>
        <item x="1001"/>
        <item x="3405"/>
        <item x="2140"/>
        <item x="820"/>
        <item x="1590"/>
        <item x="1478"/>
        <item x="2027"/>
        <item x="3313"/>
        <item x="2884"/>
        <item x="1218"/>
        <item x="1160"/>
        <item x="3518"/>
        <item x="2499"/>
        <item x="1825"/>
        <item x="1311"/>
        <item x="1102"/>
        <item x="686"/>
        <item x="3124"/>
        <item x="690"/>
        <item x="2568"/>
        <item x="3491"/>
        <item x="282"/>
        <item x="2420"/>
        <item x="808"/>
        <item x="1369"/>
        <item x="2585"/>
        <item x="2653"/>
        <item x="628"/>
        <item x="1737"/>
        <item x="2720"/>
        <item x="2402"/>
        <item x="806"/>
        <item x="809"/>
        <item x="2369"/>
        <item x="2759"/>
        <item x="2574"/>
        <item x="1596"/>
        <item x="3190"/>
        <item x="1634"/>
        <item x="2004"/>
        <item x="3047"/>
        <item x="1225"/>
        <item x="2392"/>
        <item x="2926"/>
        <item x="1126"/>
        <item x="194"/>
        <item x="130"/>
        <item x="978"/>
        <item x="1865"/>
        <item x="3007"/>
        <item x="1176"/>
        <item x="1489"/>
        <item x="2009"/>
        <item x="2202"/>
        <item x="2900"/>
        <item x="615"/>
        <item x="3179"/>
        <item x="1556"/>
        <item x="1293"/>
        <item x="3157"/>
        <item x="1946"/>
        <item x="1471"/>
        <item x="165"/>
        <item x="538"/>
        <item x="191"/>
        <item x="2021"/>
        <item x="2736"/>
        <item x="3012"/>
        <item x="1244"/>
        <item x="737"/>
        <item x="945"/>
        <item x="2190"/>
        <item x="244"/>
        <item x="3513"/>
        <item x="3048"/>
        <item x="3137"/>
        <item x="600"/>
        <item x="2596"/>
        <item x="386"/>
        <item x="1890"/>
        <item x="2647"/>
        <item x="3052"/>
        <item x="3243"/>
        <item x="1703"/>
        <item x="755"/>
        <item x="65"/>
        <item x="1929"/>
        <item x="2990"/>
        <item x="2833"/>
        <item x="1988"/>
        <item x="2311"/>
        <item x="2796"/>
        <item x="3006"/>
        <item x="2008"/>
        <item x="838"/>
        <item x="2728"/>
        <item x="2699"/>
        <item x="2448"/>
        <item x="3442"/>
        <item x="621"/>
        <item x="1228"/>
        <item x="183"/>
        <item x="3123"/>
        <item x="2316"/>
        <item x="3163"/>
        <item x="610"/>
        <item x="3171"/>
        <item x="3421"/>
        <item x="2425"/>
        <item x="1895"/>
        <item x="371"/>
        <item x="566"/>
        <item x="981"/>
        <item x="2987"/>
        <item x="433"/>
        <item x="780"/>
        <item x="448"/>
        <item x="2711"/>
        <item x="2892"/>
        <item x="2065"/>
        <item x="1867"/>
        <item x="503"/>
        <item x="2186"/>
        <item x="1371"/>
        <item x="3509"/>
        <item x="159"/>
        <item x="3511"/>
        <item x="2868"/>
        <item x="1057"/>
        <item x="2485"/>
        <item x="1604"/>
        <item x="3065"/>
        <item x="237"/>
        <item x="3356"/>
        <item x="3221"/>
        <item x="1512"/>
        <item x="2948"/>
        <item x="1071"/>
        <item x="1294"/>
        <item x="2869"/>
        <item x="2803"/>
        <item x="834"/>
        <item x="2582"/>
        <item x="375"/>
        <item x="2454"/>
        <item x="15"/>
        <item x="1185"/>
        <item x="763"/>
        <item x="2831"/>
        <item x="1978"/>
        <item x="1289"/>
        <item x="2071"/>
        <item x="881"/>
        <item x="2477"/>
        <item x="1121"/>
        <item x="285"/>
        <item x="3187"/>
        <item x="1173"/>
        <item x="447"/>
        <item x="1033"/>
        <item x="1858"/>
        <item x="1108"/>
        <item x="2620"/>
        <item x="550"/>
        <item x="2920"/>
        <item x="2171"/>
        <item x="254"/>
        <item x="2231"/>
        <item x="3373"/>
        <item x="1413"/>
        <item x="110"/>
        <item x="872"/>
        <item x="2136"/>
        <item x="3281"/>
        <item x="3500"/>
        <item x="3387"/>
        <item x="750"/>
        <item x="662"/>
        <item x="1435"/>
        <item x="2307"/>
        <item x="1744"/>
        <item x="3011"/>
        <item x="893"/>
        <item x="1153"/>
        <item x="2488"/>
        <item x="594"/>
        <item x="377"/>
        <item x="2864"/>
        <item x="2252"/>
        <item x="2815"/>
        <item x="296"/>
        <item x="1334"/>
        <item x="2147"/>
        <item x="3014"/>
        <item x="1609"/>
        <item x="1100"/>
        <item x="1447"/>
        <item x="3485"/>
        <item x="1625"/>
        <item x="2132"/>
        <item x="2737"/>
        <item x="2025"/>
        <item x="1763"/>
        <item x="278"/>
        <item x="1593"/>
        <item x="477"/>
        <item x="826"/>
        <item x="2650"/>
        <item x="786"/>
        <item x="1148"/>
        <item x="281"/>
        <item x="3076"/>
        <item x="3152"/>
        <item x="1515"/>
        <item x="3479"/>
        <item x="1851"/>
        <item x="724"/>
        <item x="3411"/>
        <item x="1974"/>
        <item x="3197"/>
        <item x="1710"/>
        <item x="2244"/>
        <item x="562"/>
        <item x="1835"/>
        <item x="2050"/>
        <item x="3035"/>
        <item x="2353"/>
        <item x="2607"/>
        <item x="533"/>
        <item x="1976"/>
        <item x="2037"/>
        <item x="374"/>
        <item x="108"/>
        <item x="1387"/>
        <item x="480"/>
        <item x="993"/>
        <item x="1202"/>
        <item x="1649"/>
        <item x="214"/>
        <item x="1029"/>
        <item x="3453"/>
        <item x="3452"/>
        <item x="2067"/>
        <item x="1573"/>
        <item x="956"/>
        <item x="3377"/>
        <item x="2743"/>
        <item x="2492"/>
        <item x="210"/>
        <item x="904"/>
        <item x="1467"/>
        <item x="2998"/>
        <item x="873"/>
        <item x="2339"/>
        <item x="2521"/>
        <item x="3471"/>
        <item x="2817"/>
        <item x="558"/>
        <item x="3353"/>
        <item x="2287"/>
        <item x="3067"/>
        <item x="1195"/>
        <item x="1730"/>
        <item x="2669"/>
        <item x="1799"/>
        <item x="188"/>
        <item x="798"/>
        <item x="2688"/>
        <item x="1143"/>
        <item x="512"/>
        <item x="1362"/>
        <item x="2164"/>
        <item x="1364"/>
        <item x="2146"/>
        <item x="3466"/>
        <item x="1140"/>
        <item x="3493"/>
        <item x="42"/>
        <item x="3153"/>
        <item x="2222"/>
        <item x="3050"/>
        <item x="1353"/>
        <item x="1796"/>
        <item x="485"/>
        <item x="2456"/>
        <item x="3139"/>
        <item x="649"/>
        <item x="1561"/>
        <item x="670"/>
        <item x="2767"/>
        <item x="1064"/>
        <item x="3001"/>
        <item x="144"/>
        <item x="1909"/>
        <item x="1249"/>
        <item x="936"/>
        <item x="2706"/>
        <item x="2108"/>
        <item x="280"/>
        <item x="657"/>
        <item x="2137"/>
        <item x="862"/>
        <item x="2855"/>
        <item x="2805"/>
        <item x="2916"/>
        <item x="3369"/>
        <item x="3034"/>
        <item x="2968"/>
        <item x="716"/>
        <item x="1666"/>
        <item x="264"/>
        <item x="622"/>
        <item x="3186"/>
        <item x="725"/>
        <item x="1915"/>
        <item x="2309"/>
        <item x="3274"/>
        <item x="73"/>
        <item x="392"/>
        <item x="2617"/>
        <item x="926"/>
        <item x="1810"/>
        <item x="404"/>
        <item x="1399"/>
        <item x="393"/>
        <item x="297"/>
        <item x="2774"/>
        <item x="571"/>
        <item x="2570"/>
        <item x="2532"/>
        <item x="3298"/>
        <item x="3071"/>
        <item x="1694"/>
        <item x="965"/>
        <item x="2727"/>
        <item x="3276"/>
        <item x="1603"/>
        <item x="246"/>
        <item x="2105"/>
        <item x="2356"/>
        <item x="1861"/>
        <item x="430"/>
        <item x="1306"/>
        <item x="1434"/>
        <item x="3267"/>
        <item x="484"/>
        <item x="1586"/>
        <item x="3461"/>
        <item x="2377"/>
        <item x="61"/>
        <item x="2557"/>
        <item x="169"/>
        <item x="3214"/>
        <item x="1030"/>
        <item x="3105"/>
        <item x="3326"/>
        <item x="450"/>
        <item x="207"/>
        <item x="3248"/>
        <item x="2399"/>
        <item x="828"/>
        <item x="2540"/>
        <item x="1243"/>
        <item x="1801"/>
        <item x="563"/>
        <item x="2388"/>
        <item x="1806"/>
        <item x="819"/>
        <item x="1298"/>
        <item x="2325"/>
        <item x="567"/>
        <item x="1275"/>
        <item x="536"/>
        <item x="719"/>
        <item x="2301"/>
        <item x="173"/>
        <item x="1419"/>
        <item x="946"/>
        <item x="2913"/>
        <item x="455"/>
        <item x="1534"/>
        <item x="2407"/>
        <item x="2659"/>
        <item x="2991"/>
        <item x="1636"/>
        <item x="714"/>
        <item x="1141"/>
        <item x="2504"/>
        <item x="2326"/>
        <item x="2994"/>
        <item x="1234"/>
        <item x="2773"/>
        <item x="92"/>
        <item x="1034"/>
        <item x="53"/>
        <item x="1600"/>
        <item x="1444"/>
        <item x="520"/>
        <item x="744"/>
        <item x="52"/>
        <item x="1945"/>
        <item x="58"/>
        <item x="749"/>
        <item x="2517"/>
        <item x="2861"/>
        <item x="3129"/>
        <item x="805"/>
        <item x="2646"/>
        <item x="634"/>
        <item x="3425"/>
        <item x="198"/>
        <item x="2248"/>
        <item x="2282"/>
        <item x="2346"/>
        <item x="3178"/>
        <item x="1175"/>
        <item x="1017"/>
        <item x="275"/>
        <item x="1956"/>
        <item x="1699"/>
        <item x="67"/>
        <item x="717"/>
        <item x="2551"/>
        <item x="1372"/>
        <item x="1035"/>
        <item x="1708"/>
        <item x="1233"/>
        <item x="580"/>
        <item x="406"/>
        <item x="2212"/>
        <item x="3263"/>
        <item x="473"/>
        <item x="1953"/>
        <item x="2844"/>
        <item x="2950"/>
        <item x="2959"/>
        <item x="3408"/>
        <item x="2032"/>
        <item x="3135"/>
        <item x="407"/>
        <item x="457"/>
        <item x="466"/>
        <item x="1594"/>
        <item x="3402"/>
        <item x="359"/>
        <item x="2583"/>
        <item x="1833"/>
        <item x="679"/>
        <item x="979"/>
        <item x="117"/>
        <item x="1342"/>
        <item x="2310"/>
        <item x="2417"/>
        <item x="3077"/>
        <item x="1465"/>
        <item x="1335"/>
        <item x="1595"/>
        <item x="1307"/>
        <item x="987"/>
        <item x="1216"/>
        <item x="1440"/>
        <item x="2707"/>
        <item x="181"/>
        <item x="947"/>
        <item x="1213"/>
        <item x="1210"/>
        <item x="1808"/>
        <item x="2567"/>
        <item x="2637"/>
        <item x="463"/>
        <item x="1766"/>
        <item x="3165"/>
        <item x="3231"/>
        <item x="400"/>
        <item x="0"/>
        <item x="2739"/>
        <item x="178"/>
        <item x="1286"/>
        <item x="2897"/>
        <item x="486"/>
        <item x="954"/>
        <item x="2007"/>
        <item x="2127"/>
        <item x="312"/>
        <item x="2508"/>
        <item x="293"/>
        <item x="3489"/>
        <item x="2595"/>
        <item x="797"/>
        <item x="2801"/>
        <item x="3514"/>
        <item x="2786"/>
        <item x="3378"/>
        <item x="27"/>
        <item x="2109"/>
        <item x="548"/>
        <item x="1061"/>
        <item x="2263"/>
        <item x="3172"/>
        <item x="3112"/>
        <item x="1968"/>
        <item x="2366"/>
        <item x="618"/>
        <item x="2658"/>
        <item x="556"/>
        <item x="1115"/>
        <item x="3374"/>
        <item x="70"/>
        <item x="2751"/>
        <item x="469"/>
        <item x="1051"/>
        <item x="1635"/>
        <item x="1640"/>
        <item x="1261"/>
        <item x="3107"/>
        <item x="1179"/>
        <item x="2992"/>
        <item x="369"/>
        <item x="257"/>
        <item x="258"/>
        <item x="1437"/>
        <item x="1422"/>
        <item x="584"/>
        <item x="2046"/>
        <item x="3023"/>
        <item x="980"/>
        <item x="1490"/>
        <item x="1905"/>
        <item x="2100"/>
        <item x="3079"/>
        <item x="1326"/>
        <item x="438"/>
        <item x="2014"/>
        <item x="338"/>
        <item x="101"/>
        <item x="1292"/>
        <item x="1772"/>
        <item x="3239"/>
        <item x="3346"/>
        <item x="1527"/>
        <item x="748"/>
        <item x="2149"/>
        <item x="286"/>
        <item x="2615"/>
        <item x="363"/>
        <item x="2035"/>
        <item x="334"/>
        <item x="3332"/>
        <item x="1449"/>
        <item x="96"/>
        <item x="2483"/>
        <item x="884"/>
        <item x="176"/>
        <item x="3245"/>
        <item x="72"/>
        <item x="3000"/>
        <item x="2777"/>
        <item x="2350"/>
        <item x="909"/>
        <item x="1497"/>
        <item x="1570"/>
        <item x="952"/>
        <item x="821"/>
        <item x="2853"/>
        <item x="1659"/>
        <item x="2776"/>
        <item x="2254"/>
        <item x="1601"/>
        <item x="2413"/>
        <item x="3342"/>
        <item x="568"/>
        <item x="565"/>
        <item x="2919"/>
        <item x="1906"/>
        <item x="1351"/>
        <item x="3459"/>
        <item x="1691"/>
        <item x="2192"/>
        <item x="2746"/>
        <item x="2118"/>
        <item x="1070"/>
        <item x="2198"/>
        <item x="1378"/>
        <item x="442"/>
        <item x="2505"/>
        <item x="1750"/>
        <item x="1222"/>
        <item x="1488"/>
        <item x="2341"/>
        <item x="1965"/>
        <item x="1052"/>
        <item x="888"/>
        <item x="2396"/>
        <item x="1076"/>
        <item x="242"/>
        <item x="4"/>
        <item x="3480"/>
        <item x="1439"/>
        <item x="1688"/>
        <item x="397"/>
        <item x="3122"/>
        <item x="1687"/>
        <item x="2622"/>
        <item x="2410"/>
        <item x="2952"/>
        <item x="3360"/>
        <item x="2239"/>
        <item x="2973"/>
        <item x="2089"/>
        <item x="2806"/>
        <item x="868"/>
        <item x="2069"/>
        <item x="1088"/>
        <item x="2397"/>
        <item x="1359"/>
        <item x="2569"/>
        <item x="277"/>
        <item x="641"/>
        <item x="192"/>
        <item x="778"/>
        <item x="2111"/>
        <item x="3291"/>
        <item x="2097"/>
        <item x="2060"/>
        <item x="174"/>
        <item x="3145"/>
        <item x="138"/>
        <item x="422"/>
        <item x="402"/>
        <item x="569"/>
        <item x="1206"/>
        <item x="1665"/>
        <item x="3382"/>
        <item x="2871"/>
        <item x="1937"/>
        <item x="2245"/>
        <item x="2660"/>
        <item x="124"/>
        <item x="1445"/>
        <item x="270"/>
        <item x="3457"/>
        <item x="817"/>
        <item x="883"/>
        <item x="1349"/>
        <item x="2179"/>
        <item x="1380"/>
        <item x="428"/>
        <item x="1981"/>
        <item x="123"/>
        <item x="2167"/>
        <item x="362"/>
        <item x="2753"/>
        <item x="1671"/>
        <item x="1332"/>
        <item x="464"/>
        <item x="46"/>
        <item x="3418"/>
        <item x="1482"/>
        <item x="1266"/>
        <item x="2765"/>
        <item x="951"/>
        <item x="1633"/>
        <item x="2210"/>
        <item x="961"/>
        <item x="133"/>
        <item x="2562"/>
        <item x="2682"/>
        <item x="1559"/>
        <item x="2335"/>
        <item x="678"/>
        <item x="2845"/>
        <item x="1941"/>
        <item x="360"/>
        <item x="2834"/>
        <item x="2406"/>
        <item x="2866"/>
        <item x="2857"/>
        <item x="1177"/>
        <item x="80"/>
        <item x="589"/>
        <item x="2157"/>
        <item x="745"/>
        <item x="1263"/>
        <item x="1133"/>
        <item x="882"/>
        <item x="2694"/>
        <item x="335"/>
        <item x="2213"/>
        <item x="1707"/>
        <item x="2723"/>
        <item x="1921"/>
        <item x="1818"/>
        <item x="2093"/>
        <item x="2080"/>
        <item x="3507"/>
        <item x="247"/>
        <item x="579"/>
        <item x="553"/>
        <item x="715"/>
        <item x="2475"/>
        <item x="1539"/>
        <item x="585"/>
        <item x="1729"/>
        <item x="523"/>
        <item x="3467"/>
        <item x="574"/>
        <item x="792"/>
        <item x="2102"/>
        <item x="1551"/>
        <item x="379"/>
        <item x="2467"/>
        <item x="887"/>
        <item x="1270"/>
        <item x="151"/>
        <item x="1103"/>
        <item x="3058"/>
        <item x="2196"/>
        <item x="943"/>
        <item x="1455"/>
        <item x="79"/>
        <item x="3219"/>
        <item x="63"/>
        <item x="2218"/>
        <item x="1318"/>
        <item x="1059"/>
        <item x="68"/>
        <item x="3074"/>
        <item x="99"/>
        <item x="1248"/>
        <item x="1952"/>
        <item x="759"/>
        <item x="2579"/>
        <item x="2856"/>
        <item x="915"/>
        <item x="1097"/>
        <item x="3090"/>
        <item x="2957"/>
        <item x="1253"/>
        <item x="1592"/>
        <item x="2275"/>
        <item x="2810"/>
        <item x="1522"/>
        <item x="1207"/>
        <item x="2515"/>
        <item x="3473"/>
        <item x="228"/>
        <item x="1340"/>
        <item x="2016"/>
        <item x="3416"/>
        <item x="193"/>
        <item x="337"/>
        <item x="3367"/>
        <item x="1377"/>
        <item x="1192"/>
        <item x="2813"/>
        <item x="810"/>
        <item x="45"/>
        <item x="2947"/>
        <item x="1322"/>
        <item x="3063"/>
        <item x="840"/>
        <item x="1130"/>
        <item x="351"/>
        <item x="903"/>
        <item x="2586"/>
        <item x="2221"/>
        <item x="1285"/>
        <item x="1518"/>
        <item x="2478"/>
        <item x="2070"/>
        <item x="2609"/>
        <item x="3398"/>
        <item x="2423"/>
        <item x="2938"/>
        <item x="1154"/>
        <item x="1136"/>
        <item x="1405"/>
        <item x="613"/>
        <item x="1166"/>
        <item x="2691"/>
        <item x="3334"/>
        <item x="1803"/>
        <item x="1131"/>
        <item x="2381"/>
        <item x="3203"/>
        <item x="2473"/>
        <item x="1187"/>
        <item x="2013"/>
        <item x="492"/>
        <item x="2486"/>
        <item x="734"/>
        <item x="3372"/>
        <item x="2161"/>
        <item x="1846"/>
        <item x="274"/>
        <item x="793"/>
        <item x="3199"/>
        <item x="1951"/>
        <item x="2619"/>
        <item x="1692"/>
        <item x="1304"/>
        <item x="306"/>
        <item x="989"/>
        <item x="1476"/>
        <item x="1571"/>
        <item x="2182"/>
        <item x="2234"/>
        <item x="2824"/>
        <item x="209"/>
        <item x="637"/>
        <item x="1038"/>
        <item x="1760"/>
        <item x="506"/>
        <item x="3451"/>
        <item x="1012"/>
        <item x="22"/>
        <item x="499"/>
        <item x="1892"/>
        <item x="959"/>
        <item x="1891"/>
        <item x="665"/>
        <item x="718"/>
        <item x="1438"/>
        <item x="2030"/>
        <item x="2563"/>
        <item x="2260"/>
        <item x="1622"/>
        <item x="2455"/>
        <item x="1757"/>
        <item x="225"/>
        <item x="28"/>
        <item x="488"/>
        <item x="2601"/>
        <item x="2936"/>
        <item x="3388"/>
        <item x="3096"/>
        <item x="1208"/>
        <item x="37"/>
        <item x="1461"/>
        <item x="1841"/>
        <item x="3521"/>
        <item x="1643"/>
        <item x="462"/>
        <item x="2459"/>
        <item x="2251"/>
        <item x="2712"/>
        <item x="1420"/>
        <item x="3088"/>
        <item x="1389"/>
        <item x="2664"/>
        <item x="1402"/>
        <item x="2534"/>
        <item x="234"/>
        <item x="3288"/>
        <item x="493"/>
        <item x="260"/>
        <item x="434"/>
        <item x="1959"/>
        <item x="839"/>
        <item x="1425"/>
        <item x="172"/>
        <item x="3130"/>
        <item x="1069"/>
        <item x="2733"/>
        <item x="350"/>
        <item x="2159"/>
        <item x="1204"/>
        <item x="1314"/>
        <item x="2525"/>
        <item x="1082"/>
        <item x="444"/>
        <item x="597"/>
        <item x="2289"/>
        <item x="1879"/>
        <item x="2965"/>
        <item x="2206"/>
        <item x="3143"/>
        <item x="1072"/>
        <item x="2820"/>
        <item x="1711"/>
        <item x="918"/>
        <item x="1337"/>
        <item x="2876"/>
        <item x="384"/>
        <item x="383"/>
        <item x="1255"/>
        <item x="2380"/>
        <item x="289"/>
        <item x="399"/>
        <item x="3093"/>
        <item x="2698"/>
        <item x="342"/>
        <item x="2045"/>
        <item x="1931"/>
        <item x="995"/>
        <item x="1264"/>
        <item x="1886"/>
        <item x="1969"/>
        <item x="317"/>
        <item x="3070"/>
        <item x="908"/>
        <item x="252"/>
        <item x="970"/>
        <item x="532"/>
        <item x="136"/>
        <item x="1105"/>
        <item x="3003"/>
        <item x="2890"/>
        <item x="2514"/>
        <item x="2197"/>
        <item x="736"/>
        <item x="2419"/>
        <item x="1574"/>
        <item x="2117"/>
        <item x="2507"/>
        <item x="2741"/>
        <item x="2362"/>
        <item x="886"/>
        <item x="74"/>
        <item x="2415"/>
        <item x="1014"/>
        <item x="3444"/>
        <item x="895"/>
        <item x="1464"/>
        <item x="1782"/>
        <item x="849"/>
        <item x="2627"/>
        <item x="2214"/>
        <item x="309"/>
        <item x="2545"/>
        <item x="2639"/>
        <item x="187"/>
        <item x="1784"/>
        <item x="1180"/>
        <item x="2382"/>
        <item x="1357"/>
        <item x="1500"/>
        <item x="3234"/>
        <item x="313"/>
        <item x="3027"/>
        <item x="235"/>
        <item x="2063"/>
        <item x="555"/>
        <item x="1475"/>
        <item x="268"/>
        <item x="1074"/>
        <item x="1579"/>
        <item x="2162"/>
        <item x="2671"/>
        <item x="150"/>
        <item x="723"/>
        <item x="413"/>
        <item x="3010"/>
        <item x="607"/>
        <item x="212"/>
        <item x="1089"/>
        <item x="2745"/>
        <item x="1150"/>
        <item x="825"/>
        <item x="3312"/>
        <item x="507"/>
        <item x="1853"/>
        <item x="1407"/>
        <item x="829"/>
        <item x="2633"/>
        <item x="639"/>
        <item x="3159"/>
        <item x="1009"/>
        <item x="739"/>
        <item x="197"/>
        <item x="1575"/>
        <item x="2268"/>
        <item x="619"/>
        <item x="2748"/>
        <item x="1291"/>
        <item x="1658"/>
        <item x="2497"/>
        <item x="2076"/>
        <item x="19"/>
        <item x="2261"/>
        <item x="876"/>
        <item x="269"/>
        <item x="991"/>
        <item x="912"/>
        <item x="2531"/>
        <item x="2734"/>
        <item x="3335"/>
        <item x="2121"/>
        <item x="3391"/>
        <item x="1283"/>
        <item x="106"/>
        <item x="3488"/>
        <item x="3406"/>
        <item x="2303"/>
        <item x="1507"/>
        <item x="2872"/>
        <item x="474"/>
        <item x="2651"/>
        <item x="920"/>
        <item x="3086"/>
        <item x="3085"/>
        <item x="323"/>
        <item x="1832"/>
        <item x="3232"/>
        <item x="1451"/>
        <item x="155"/>
        <item x="1583"/>
        <item x="1690"/>
        <item x="1329"/>
        <item x="2451"/>
        <item x="1923"/>
        <item x="746"/>
        <item x="279"/>
        <item x="2928"/>
        <item x="1230"/>
        <item x="711"/>
        <item x="1623"/>
        <item x="1086"/>
        <item x="968"/>
        <item x="2001"/>
        <item x="1023"/>
        <item x="3379"/>
        <item x="1982"/>
        <item x="34"/>
        <item x="830"/>
        <item x="598"/>
        <item x="650"/>
        <item x="223"/>
        <item x="353"/>
        <item x="2862"/>
        <item x="3036"/>
        <item x="2432"/>
        <item x="2158"/>
        <item x="1282"/>
        <item x="1733"/>
        <item x="1087"/>
        <item x="3064"/>
        <item x="1459"/>
        <item x="1024"/>
        <item x="40"/>
        <item x="3419"/>
        <item x="1736"/>
        <item x="1008"/>
        <item x="787"/>
        <item x="2375"/>
        <item x="1838"/>
        <item x="3505"/>
        <item x="3250"/>
        <item x="1163"/>
        <item x="3285"/>
        <item x="3290"/>
        <item x="1404"/>
        <item x="758"/>
        <item x="2101"/>
        <item x="2336"/>
        <item x="801"/>
        <item x="2655"/>
        <item x="1650"/>
        <item x="2232"/>
        <item x="1063"/>
        <item x="180"/>
        <item x="18"/>
        <item x="3081"/>
        <item x="253"/>
        <item x="3271"/>
        <item x="1589"/>
        <item x="1830"/>
        <item x="666"/>
        <item x="795"/>
        <item x="2594"/>
        <item x="2494"/>
        <item x="975"/>
        <item x="753"/>
        <item x="925"/>
        <item x="1098"/>
        <item x="2526"/>
        <item x="2018"/>
        <item x="1152"/>
        <item x="2873"/>
        <item x="2867"/>
        <item x="1112"/>
        <item x="901"/>
        <item x="1111"/>
        <item x="2689"/>
        <item x="1341"/>
        <item x="395"/>
        <item x="2529"/>
        <item x="175"/>
        <item x="2724"/>
        <item x="262"/>
        <item x="1491"/>
        <item x="3407"/>
        <item x="832"/>
        <item x="3236"/>
        <item x="135"/>
        <item x="572"/>
        <item x="1406"/>
        <item x="2956"/>
        <item x="692"/>
        <item x="1320"/>
        <item x="3438"/>
        <item x="184"/>
        <item x="2914"/>
        <item x="1790"/>
        <item x="3262"/>
        <item x="1793"/>
        <item x="2224"/>
        <item x="3324"/>
        <item x="319"/>
        <item x="3227"/>
        <item x="1705"/>
        <item x="799"/>
        <item x="2327"/>
        <item x="1829"/>
        <item x="2878"/>
        <item x="784"/>
        <item x="833"/>
        <item x="813"/>
        <item x="273"/>
        <item x="131"/>
        <item x="2636"/>
        <item x="2107"/>
        <item x="380"/>
        <item x="2215"/>
        <item x="3106"/>
        <item x="1279"/>
        <item x="1327"/>
        <item x="1505"/>
        <item x="1859"/>
        <item x="1456"/>
        <item x="2139"/>
        <item x="775"/>
        <item x="2924"/>
        <item x="11"/>
        <item x="1280"/>
        <item x="2665"/>
        <item x="1557"/>
        <item x="84"/>
        <item x="1453"/>
        <item x="911"/>
        <item x="2329"/>
        <item x="1761"/>
        <item x="3272"/>
        <item x="206"/>
        <item x="452"/>
        <item x="1795"/>
        <item x="1985"/>
        <item x="1135"/>
        <item x="659"/>
        <item x="3395"/>
        <item x="1099"/>
        <item x="76"/>
        <item x="1999"/>
        <item x="3181"/>
        <item x="1994"/>
        <item x="389"/>
        <item x="2152"/>
        <item x="535"/>
        <item x="1805"/>
        <item x="1161"/>
        <item x="13"/>
        <item x="3347"/>
        <item x="2288"/>
        <item x="2445"/>
        <item x="3191"/>
        <item x="226"/>
        <item x="3437"/>
        <item x="1271"/>
        <item x="2074"/>
        <item x="2077"/>
        <item x="2170"/>
        <item x="3475"/>
        <item x="1229"/>
        <item x="48"/>
        <item x="2034"/>
        <item x="2852"/>
        <item x="923"/>
        <item x="1137"/>
        <item x="2332"/>
        <item x="2386"/>
        <item x="1572"/>
        <item x="127"/>
        <item x="1124"/>
        <item x="2666"/>
        <item x="9"/>
        <item x="185"/>
        <item x="1788"/>
        <item x="2087"/>
        <item x="1552"/>
        <item x="1748"/>
        <item x="722"/>
        <item x="482"/>
        <item x="1303"/>
        <item x="216"/>
        <item x="446"/>
        <item x="2975"/>
        <item x="1347"/>
        <item x="1678"/>
        <item x="1414"/>
        <item x="443"/>
        <item x="2580"/>
        <item x="121"/>
        <item x="1759"/>
        <item x="1618"/>
        <item x="2290"/>
        <item x="2229"/>
        <item x="1597"/>
        <item x="1060"/>
        <item x="1256"/>
        <item x="964"/>
        <item x="3224"/>
        <item x="2247"/>
        <item x="3217"/>
        <item x="2501"/>
        <item x="2732"/>
        <item x="1769"/>
        <item x="1172"/>
        <item x="2593"/>
        <item x="1178"/>
        <item x="1955"/>
        <item x="1113"/>
        <item x="3026"/>
        <item x="1624"/>
        <item x="1000"/>
        <item x="1240"/>
        <item x="889"/>
        <item x="3319"/>
        <item x="593"/>
        <item x="3501"/>
        <item x="1027"/>
        <item x="2088"/>
        <item x="3306"/>
        <item x="2374"/>
        <item x="2284"/>
        <item x="1013"/>
        <item x="2775"/>
        <item x="3368"/>
        <item x="1504"/>
        <item x="660"/>
        <item x="3166"/>
        <item x="1709"/>
        <item x="1883"/>
        <item x="1392"/>
        <item x="3376"/>
        <item x="1433"/>
        <item x="707"/>
        <item x="3201"/>
        <item x="1265"/>
        <item x="3154"/>
        <item x="1540"/>
        <item x="2836"/>
        <item x="218"/>
        <item x="3202"/>
        <item x="3140"/>
        <item x="549"/>
        <item x="365"/>
        <item x="2643"/>
        <item x="917"/>
        <item x="1991"/>
        <item x="2536"/>
        <item x="624"/>
        <item x="424"/>
        <item x="2280"/>
        <item x="3426"/>
        <item x="1382"/>
        <item x="2602"/>
        <item x="3049"/>
        <item x="410"/>
        <item x="3364"/>
        <item x="916"/>
        <item x="2715"/>
        <item x="684"/>
        <item x="2"/>
        <item x="3253"/>
        <item x="682"/>
        <item x="2151"/>
        <item x="3280"/>
        <item x="2099"/>
        <item x="870"/>
        <item x="3254"/>
        <item x="2635"/>
        <item x="843"/>
        <item x="3066"/>
        <item x="1079"/>
        <item x="251"/>
        <item x="1056"/>
        <item x="322"/>
        <item x="1817"/>
        <item x="854"/>
        <item x="1963"/>
        <item x="345"/>
        <item x="421"/>
        <item x="2840"/>
        <item x="3108"/>
        <item x="2762"/>
        <item x="1232"/>
        <item x="1674"/>
        <item x="704"/>
        <item x="2558"/>
        <item x="358"/>
        <item x="1984"/>
        <item x="1767"/>
        <item x="156"/>
        <item x="769"/>
        <item x="629"/>
        <item x="727"/>
        <item x="3151"/>
        <item x="3265"/>
        <item x="2256"/>
        <item x="688"/>
        <item x="1566"/>
        <item x="1850"/>
        <item x="1310"/>
        <item x="1412"/>
        <item x="418"/>
        <item x="938"/>
        <item x="823"/>
        <item x="481"/>
        <item x="2273"/>
        <item x="1047"/>
        <item x="710"/>
        <item x="1510"/>
        <item x="3138"/>
        <item x="1642"/>
        <item x="847"/>
        <item x="440"/>
        <item x="416"/>
        <item x="107"/>
        <item x="2033"/>
        <item x="3249"/>
        <item x="1740"/>
        <item x="3380"/>
        <item x="857"/>
        <item x="1262"/>
        <item x="265"/>
        <item x="439"/>
        <item x="1194"/>
        <item x="2091"/>
        <item x="2024"/>
        <item x="2974"/>
        <item x="122"/>
        <item x="667"/>
        <item x="2738"/>
        <item x="116"/>
        <item x="56"/>
        <item x="546"/>
        <item x="1652"/>
        <item x="2649"/>
        <item x="495"/>
        <item x="2384"/>
        <item x="2599"/>
        <item x="1162"/>
        <item x="2686"/>
        <item x="2204"/>
        <item x="149"/>
        <item x="518"/>
        <item x="2903"/>
        <item x="696"/>
        <item x="364"/>
        <item x="2960"/>
        <item x="2012"/>
        <item x="2466"/>
        <item x="3503"/>
        <item x="426"/>
        <item x="1272"/>
        <item x="2187"/>
        <item x="3283"/>
        <item x="112"/>
        <item x="3320"/>
        <item x="3456"/>
        <item x="1391"/>
        <item x="976"/>
        <item x="1821"/>
        <item x="2941"/>
        <item x="2119"/>
        <item x="1550"/>
        <item x="1996"/>
        <item x="1954"/>
        <item x="2125"/>
        <item x="1055"/>
        <item x="2264"/>
        <item x="1605"/>
        <item x="3268"/>
        <item x="3155"/>
        <item x="988"/>
        <item x="2946"/>
        <item x="1917"/>
        <item x="632"/>
        <item x="1924"/>
        <item x="1125"/>
        <item x="844"/>
        <item x="1780"/>
        <item x="427"/>
        <item x="3101"/>
        <item x="489"/>
        <item x="1787"/>
        <item x="2153"/>
        <item x="2426"/>
        <item x="643"/>
        <item x="3168"/>
        <item x="205"/>
        <item x="1542"/>
        <item x="199"/>
        <item x="2697"/>
        <item x="2587"/>
        <item x="586"/>
        <item x="2079"/>
        <item x="403"/>
        <item x="3311"/>
        <item x="3423"/>
        <item x="2391"/>
        <item x="1091"/>
        <item x="2225"/>
        <item x="147"/>
        <item x="219"/>
        <item x="2980"/>
        <item x="2541"/>
        <item x="1356"/>
        <item x="3508"/>
        <item x="1836"/>
        <item x="3463"/>
        <item x="3315"/>
        <item x="522"/>
        <item x="3022"/>
        <item x="2684"/>
        <item x="30"/>
        <item x="2066"/>
        <item x="3041"/>
        <item x="2850"/>
        <item x="3061"/>
        <item x="928"/>
        <item x="1316"/>
        <item x="62"/>
        <item x="2874"/>
        <item x="2447"/>
        <item x="2010"/>
        <item x="1469"/>
        <item x="1005"/>
        <item x="3087"/>
        <item x="3355"/>
        <item x="822"/>
        <item x="3111"/>
        <item x="2841"/>
        <item x="1494"/>
        <item x="1558"/>
        <item x="1701"/>
        <item x="1713"/>
        <item x="2503"/>
        <item x="2931"/>
        <item x="3301"/>
        <item x="669"/>
        <item x="419"/>
        <item x="3307"/>
        <item x="1365"/>
        <item x="1214"/>
        <item x="2238"/>
        <item x="3297"/>
        <item x="304"/>
        <item x="2835"/>
        <item x="248"/>
        <item x="3069"/>
        <item x="2970"/>
        <item x="922"/>
        <item x="2266"/>
        <item x="1533"/>
        <item x="1388"/>
        <item x="545"/>
        <item x="2412"/>
        <item x="2577"/>
        <item x="352"/>
        <item x="1537"/>
        <item x="2220"/>
        <item x="2274"/>
        <item x="1080"/>
        <item x="900"/>
        <item x="417"/>
        <item x="2940"/>
        <item x="1677"/>
        <item x="1032"/>
        <item x="2427"/>
        <item x="2638"/>
        <item x="2054"/>
        <item x="2223"/>
        <item x="898"/>
        <item x="1973"/>
        <item x="2286"/>
        <item x="1394"/>
        <item x="656"/>
        <item x="314"/>
        <item x="728"/>
        <item x="1774"/>
        <item x="2006"/>
        <item x="1970"/>
        <item x="3244"/>
        <item x="3091"/>
        <item x="1880"/>
        <item x="640"/>
        <item x="1484"/>
        <item x="487"/>
        <item x="2320"/>
        <item x="1427"/>
        <item x="1367"/>
        <item x="1741"/>
        <item x="1075"/>
        <item x="885"/>
        <item x="2271"/>
        <item x="760"/>
        <item x="2489"/>
        <item x="2716"/>
        <item x="1217"/>
        <item x="699"/>
        <item x="3170"/>
        <item x="2279"/>
        <item x="3482"/>
        <item x="751"/>
        <item x="3520"/>
        <item x="2496"/>
        <item x="1844"/>
        <item x="104"/>
        <item x="2322"/>
        <item x="738"/>
        <item x="3195"/>
        <item x="189"/>
        <item x="689"/>
        <item x="1647"/>
        <item x="505"/>
        <item x="295"/>
        <item x="949"/>
        <item x="2661"/>
        <item x="638"/>
        <item x="1129"/>
        <item x="794"/>
        <item x="1039"/>
        <item x="1904"/>
        <item x="676"/>
        <item x="1252"/>
        <item x="2631"/>
        <item x="3113"/>
        <item x="1031"/>
        <item x="2142"/>
        <item x="272"/>
        <item x="2005"/>
        <item x="1776"/>
        <item x="702"/>
        <item x="2506"/>
        <item x="367"/>
        <item x="1887"/>
        <item x="3121"/>
        <item x="2997"/>
        <item x="2905"/>
        <item x="3228"/>
        <item x="983"/>
        <item x="703"/>
        <item x="182"/>
        <item x="2930"/>
        <item x="777"/>
        <item x="1"/>
        <item x="24"/>
        <item x="2270"/>
        <item x="1403"/>
        <item x="992"/>
        <item x="858"/>
        <item x="409"/>
        <item x="2444"/>
        <item x="1531"/>
        <item x="910"/>
        <item x="2944"/>
        <item x="204"/>
        <item x="1246"/>
        <item x="3412"/>
        <item x="7"/>
        <item x="578"/>
        <item x="2764"/>
        <item x="2923"/>
        <item x="652"/>
        <item x="1548"/>
        <item x="1169"/>
        <item x="2826"/>
        <item x="2708"/>
        <item x="1900"/>
        <item x="2981"/>
        <item x="2318"/>
        <item x="2049"/>
        <item x="163"/>
        <item x="2657"/>
        <item x="3443"/>
        <item x="1903"/>
        <item x="2068"/>
        <item x="2394"/>
        <item x="1816"/>
        <item x="1868"/>
        <item x="2103"/>
        <item x="2040"/>
        <item x="2713"/>
        <item x="2281"/>
        <item x="1577"/>
        <item x="864"/>
        <item x="742"/>
        <item x="2043"/>
        <item x="693"/>
        <item x="6"/>
        <item x="590"/>
        <item x="1828"/>
        <item x="1764"/>
        <item x="1564"/>
        <item x="2603"/>
        <item x="227"/>
        <item x="1409"/>
        <item x="2613"/>
        <item x="3499"/>
        <item x="3226"/>
        <item x="373"/>
        <item x="627"/>
        <item x="2285"/>
        <item x="3037"/>
        <item x="1914"/>
        <item x="1721"/>
        <item x="2430"/>
        <item x="2163"/>
        <item x="2174"/>
        <item x="694"/>
        <item x="1565"/>
        <item x="3299"/>
        <item x="1998"/>
        <item x="3216"/>
        <item x="1122"/>
        <item x="2838"/>
        <item x="1317"/>
        <item x="2535"/>
        <item x="2255"/>
        <item x="3246"/>
        <item x="921"/>
        <item x="2314"/>
        <item x="3039"/>
        <item x="1667"/>
        <item x="2983"/>
        <item x="2166"/>
        <item x="1584"/>
        <item x="217"/>
        <item x="1562"/>
        <item x="865"/>
        <item x="599"/>
        <item x="1606"/>
        <item x="2082"/>
        <item x="2498"/>
        <item x="1870"/>
        <item x="3206"/>
        <item x="1203"/>
        <item x="871"/>
        <item x="2208"/>
        <item x="789"/>
        <item x="1930"/>
        <item x="167"/>
        <item x="2578"/>
        <item x="1220"/>
        <item x="636"/>
        <item x="1281"/>
        <item x="321"/>
        <item x="1423"/>
        <item x="414"/>
        <item x="2487"/>
        <item x="3073"/>
        <item x="2758"/>
        <item x="502"/>
        <item x="3455"/>
        <item x="3357"/>
        <item x="1470"/>
        <item x="2389"/>
        <item x="1654"/>
        <item x="2172"/>
        <item x="3321"/>
        <item x="2116"/>
        <item x="2403"/>
        <item x="1144"/>
        <item x="2106"/>
        <item x="1321"/>
        <item x="2235"/>
        <item x="999"/>
        <item x="2144"/>
        <item x="2058"/>
        <item x="3208"/>
        <item x="1834"/>
        <item x="1602"/>
        <item x="2818"/>
        <item x="2584"/>
        <item x="1768"/>
        <item x="1800"/>
        <item x="1568"/>
        <item x="1188"/>
        <item x="2472"/>
        <item x="1339"/>
        <item x="3390"/>
        <item x="2205"/>
        <item x="1058"/>
        <item x="1257"/>
        <item x="1700"/>
        <item x="2073"/>
        <item x="168"/>
        <item x="1893"/>
        <item x="972"/>
        <item x="3057"/>
        <item x="331"/>
        <item x="145"/>
        <item x="1251"/>
        <item x="2787"/>
        <item x="57"/>
        <item x="454"/>
        <item x="2405"/>
        <item x="1147"/>
        <item x="3436"/>
        <item x="1672"/>
        <item x="1146"/>
        <item x="3225"/>
        <item x="501"/>
        <item x="2094"/>
        <item x="2572"/>
        <item x="3286"/>
        <item x="1934"/>
        <item x="796"/>
        <item x="1315"/>
        <item x="2612"/>
        <item x="208"/>
        <item x="378"/>
        <item x="1631"/>
        <item x="934"/>
        <item x="2943"/>
        <item x="3289"/>
        <item x="459"/>
        <item x="3207"/>
        <item x="97"/>
        <item x="1517"/>
        <item x="560"/>
        <item x="1295"/>
        <item x="1477"/>
        <item x="1145"/>
        <item x="3212"/>
        <item x="2837"/>
        <item x="276"/>
        <item x="2433"/>
        <item x="2338"/>
        <item x="3352"/>
        <item x="2387"/>
        <item x="581"/>
        <item x="2047"/>
        <item x="2017"/>
        <item x="3045"/>
        <item x="644"/>
        <item x="2740"/>
        <item x="681"/>
        <item x="1209"/>
        <item x="170"/>
        <item x="2188"/>
        <item x="1171"/>
        <item x="1651"/>
        <item x="1936"/>
        <item x="1588"/>
        <item x="3205"/>
        <item x="21"/>
        <item x="77"/>
        <item x="2524"/>
        <item x="2880"/>
        <item x="3400"/>
        <item x="1932"/>
        <item x="1789"/>
        <item x="815"/>
        <item x="2211"/>
        <item x="3160"/>
        <item x="2729"/>
        <item x="2681"/>
        <item x="2465"/>
        <item x="880"/>
        <item x="996"/>
        <item x="2935"/>
        <item x="1734"/>
        <item x="3430"/>
        <item x="623"/>
        <item x="2358"/>
        <item x="2789"/>
        <item x="2851"/>
        <item x="3119"/>
        <item x="635"/>
        <item x="1871"/>
        <item x="1358"/>
        <item x="2422"/>
        <item x="3038"/>
        <item x="3183"/>
        <item x="2933"/>
        <item x="1553"/>
        <item x="3126"/>
        <item x="3494"/>
        <item x="3506"/>
        <item x="271"/>
        <item x="3486"/>
        <item x="1716"/>
        <item x="1620"/>
        <item x="1002"/>
        <item x="2416"/>
        <item x="2023"/>
        <item x="29"/>
        <item x="2062"/>
        <item x="504"/>
        <item x="1237"/>
        <item x="2929"/>
        <item x="957"/>
        <item x="1977"/>
        <item x="2654"/>
        <item x="1247"/>
        <item x="1021"/>
        <item x="3317"/>
        <item x="349"/>
        <item x="1331"/>
        <item x="1616"/>
        <item x="356"/>
        <item x="2847"/>
        <item x="1045"/>
        <item x="2823"/>
        <item x="1771"/>
        <item x="907"/>
        <item x="3144"/>
        <item x="1949"/>
        <item x="2367"/>
        <item x="647"/>
        <item x="2431"/>
        <item x="852"/>
        <item x="2352"/>
        <item x="1065"/>
        <item x="1200"/>
        <item x="1792"/>
        <item x="1641"/>
        <item x="2509"/>
        <item x="1608"/>
        <item x="2401"/>
        <item x="2571"/>
        <item x="2484"/>
        <item x="1686"/>
        <item x="3184"/>
        <item x="1479"/>
        <item x="2769"/>
        <item x="115"/>
        <item x="1664"/>
        <item x="59"/>
        <item x="2249"/>
        <item x="1885"/>
        <item x="3409"/>
        <item x="3396"/>
        <item x="661"/>
        <item x="2126"/>
        <item x="3354"/>
        <item x="3309"/>
        <item x="2624"/>
        <item x="2656"/>
        <item x="3329"/>
        <item x="937"/>
        <item x="355"/>
        <item x="1752"/>
        <item x="2177"/>
        <item x="2912"/>
        <item x="120"/>
        <item x="1336"/>
        <item x="1284"/>
        <item x="2782"/>
        <item x="412"/>
        <item x="1345"/>
        <item x="1022"/>
        <item x="1824"/>
        <item x="2184"/>
        <item x="1381"/>
        <item x="2240"/>
        <item x="1155"/>
        <item x="315"/>
        <item x="2370"/>
        <item x="773"/>
        <item x="3273"/>
        <item x="1355"/>
        <item x="3259"/>
        <item x="997"/>
        <item x="2623"/>
        <item x="894"/>
        <item x="1110"/>
        <item x="3109"/>
        <item x="1582"/>
        <item x="432"/>
        <item x="483"/>
        <item x="2276"/>
        <item x="142"/>
        <item x="950"/>
        <item x="3404"/>
        <item x="3361"/>
        <item x="39"/>
        <item x="2112"/>
        <item x="2226"/>
        <item x="1918"/>
        <item x="617"/>
        <item x="86"/>
        <item x="1025"/>
        <item x="2632"/>
        <item x="1250"/>
        <item x="1683"/>
        <item x="1090"/>
        <item x="161"/>
        <item x="85"/>
        <item x="2075"/>
        <item x="201"/>
        <item x="940"/>
        <item x="2821"/>
        <item x="2317"/>
        <item x="2819"/>
        <item x="606"/>
        <item x="3242"/>
        <item x="329"/>
        <item x="772"/>
        <item x="1343"/>
        <item x="2792"/>
        <item x="1585"/>
        <item x="2679"/>
        <item x="1376"/>
        <item x="709"/>
        <item x="697"/>
        <item x="770"/>
        <item x="1696"/>
        <item x="1724"/>
        <item x="3305"/>
        <item x="783"/>
        <item x="250"/>
        <item x="1493"/>
        <item x="1156"/>
        <item x="1785"/>
        <item x="1919"/>
        <item x="468"/>
        <item x="960"/>
        <item x="2982"/>
        <item x="316"/>
        <item x="3296"/>
        <item x="1390"/>
        <item x="2683"/>
        <item x="1242"/>
        <item x="2436"/>
        <item x="1685"/>
        <item x="3018"/>
        <item x="3394"/>
        <item x="2954"/>
        <item x="878"/>
        <item x="2690"/>
        <item x="2663"/>
        <item x="524"/>
        <item x="2371"/>
        <item x="2802"/>
        <item x="3115"/>
        <item x="2373"/>
        <item x="2891"/>
        <item x="1922"/>
        <item x="2511"/>
        <item x="2056"/>
        <item x="2241"/>
        <item x="3185"/>
        <item x="2337"/>
        <item x="3120"/>
        <item x="2195"/>
        <item x="2191"/>
        <item x="1241"/>
        <item x="298"/>
        <item x="2934"/>
        <item x="1617"/>
        <item x="3515"/>
        <item x="3413"/>
        <item x="3277"/>
        <item x="1717"/>
        <item x="300"/>
        <item x="1452"/>
        <item x="1765"/>
        <item x="530"/>
        <item x="1092"/>
        <item x="2909"/>
        <item x="2768"/>
        <item x="1807"/>
        <item x="2628"/>
        <item x="3375"/>
        <item x="554"/>
        <item x="1026"/>
        <item x="3383"/>
        <item x="2437"/>
        <item x="2228"/>
        <item x="1673"/>
        <item x="203"/>
        <item x="2537"/>
        <item x="899"/>
        <item x="215"/>
        <item x="166"/>
        <item x="1398"/>
        <item x="542"/>
        <item x="3054"/>
        <item x="1519"/>
        <item x="2971"/>
        <item x="1238"/>
        <item x="2556"/>
        <item x="2958"/>
        <item x="2272"/>
        <item x="461"/>
        <item x="3128"/>
        <item x="347"/>
        <item x="2298"/>
        <item x="2194"/>
        <item x="391"/>
        <item x="2296"/>
        <item x="2809"/>
        <item x="2443"/>
        <item x="232"/>
        <item x="3204"/>
        <item x="1226"/>
        <item x="1119"/>
        <item x="525"/>
        <item x="1614"/>
        <item x="2811"/>
        <item x="224"/>
        <item x="3173"/>
        <item x="1524"/>
        <item x="1756"/>
        <item x="472"/>
        <item x="476"/>
        <item x="1004"/>
        <item x="2135"/>
        <item x="1645"/>
        <item x="3043"/>
        <item x="671"/>
        <item x="1842"/>
        <item x="387"/>
        <item x="2827"/>
        <item x="3295"/>
        <item x="405"/>
        <item x="2927"/>
        <item x="645"/>
        <item x="816"/>
        <item x="398"/>
        <item x="963"/>
        <item x="3102"/>
        <item x="935"/>
        <item x="3020"/>
        <item x="3127"/>
        <item x="1138"/>
        <item x="3146"/>
        <item x="3318"/>
        <item x="2246"/>
        <item x="3080"/>
        <item x="2883"/>
        <item x="2418"/>
        <item x="1046"/>
        <item x="3495"/>
        <item x="2575"/>
        <item x="129"/>
        <item x="2460"/>
        <item x="2795"/>
        <item x="1786"/>
        <item x="1374"/>
        <item x="2988"/>
        <item x="1006"/>
        <item x="2701"/>
        <item x="720"/>
        <item x="2749"/>
        <item x="779"/>
        <item x="1016"/>
        <item x="318"/>
        <item x="243"/>
        <item x="529"/>
        <item x="1912"/>
        <item x="791"/>
        <item x="1277"/>
        <item x="931"/>
        <item x="3223"/>
        <item x="327"/>
        <item x="3496"/>
        <item x="2695"/>
        <item x="1797"/>
        <item x="672"/>
        <item x="765"/>
        <item x="3322"/>
        <item x="1661"/>
        <item x="879"/>
        <item x="2193"/>
        <item x="1668"/>
        <item x="95"/>
        <item x="877"/>
        <item x="2591"/>
        <item x="874"/>
        <item x="2055"/>
        <item x="663"/>
        <item x="83"/>
        <item x="134"/>
        <item x="3476"/>
        <item x="3282"/>
        <item x="1876"/>
        <item x="3117"/>
        <item x="3478"/>
        <item x="3300"/>
        <item x="601"/>
        <item x="3474"/>
        <item x="1997"/>
        <item x="658"/>
        <item x="1722"/>
        <item x="2559"/>
        <item x="2538"/>
        <item x="2022"/>
        <item x="2564"/>
        <item x="2143"/>
        <item x="514"/>
        <item x="3517"/>
        <item x="1569"/>
        <item x="1348"/>
        <item x="1018"/>
        <item x="1679"/>
        <item x="2629"/>
        <item x="141"/>
        <item x="2414"/>
        <item x="1288"/>
        <item x="154"/>
        <item x="200"/>
        <item x="3004"/>
        <item x="1142"/>
        <item x="2710"/>
        <item x="284"/>
        <item x="1296"/>
        <item x="2199"/>
        <item x="2048"/>
        <item x="2967"/>
        <item x="2771"/>
        <item x="1116"/>
        <item x="354"/>
        <item x="1328"/>
        <item x="1040"/>
        <item x="291"/>
        <item x="2644"/>
        <item x="1632"/>
        <item x="2512"/>
        <item x="3441"/>
        <item x="1401"/>
        <item x="3502"/>
        <item x="3365"/>
        <item x="2630"/>
        <item x="2400"/>
        <item x="3177"/>
        <item x="1416"/>
        <item x="1260"/>
        <item x="924"/>
        <item x="695"/>
        <item x="3385"/>
        <item x="3099"/>
        <item x="2319"/>
        <item x="1305"/>
        <item x="1655"/>
        <item x="2858"/>
        <item x="89"/>
        <item x="3270"/>
        <item x="2726"/>
        <item x="2428"/>
        <item x="3125"/>
        <item x="2134"/>
        <item x="1718"/>
        <item x="1361"/>
        <item x="3303"/>
        <item x="1638"/>
        <item x="2053"/>
        <item x="2253"/>
        <item x="2104"/>
        <item x="2200"/>
        <item x="2908"/>
        <item x="902"/>
        <item x="1428"/>
        <item x="2328"/>
        <item x="3450"/>
        <item x="2243"/>
        <item x="547"/>
        <item x="1813"/>
        <item x="55"/>
        <item x="2345"/>
        <item x="239"/>
        <item x="2673"/>
        <item x="2379"/>
        <item x="2604"/>
        <item x="3269"/>
        <item x="3257"/>
        <item x="2955"/>
        <item x="974"/>
        <item x="1350"/>
        <item x="388"/>
        <item x="1739"/>
        <item x="2250"/>
        <item x="2453"/>
        <item x="2549"/>
        <item x="1881"/>
        <item x="2295"/>
        <item x="552"/>
        <item x="2348"/>
        <item x="2978"/>
        <item x="1648"/>
        <item x="788"/>
        <item x="1183"/>
        <item x="3264"/>
        <item x="2550"/>
        <item x="2668"/>
        <item x="69"/>
        <item x="2605"/>
        <item x="1629"/>
        <item x="259"/>
        <item x="747"/>
        <item x="648"/>
        <item x="91"/>
        <item x="162"/>
        <item x="2901"/>
        <item x="305"/>
        <item x="1530"/>
        <item x="1675"/>
        <item x="733"/>
        <item x="1458"/>
        <item x="1514"/>
        <item x="897"/>
        <item x="2435"/>
        <item x="1511"/>
        <item x="1587"/>
        <item x="1820"/>
        <item x="249"/>
        <item x="2763"/>
        <item x="2979"/>
        <item x="811"/>
        <item x="608"/>
        <item x="2305"/>
        <item x="2363"/>
        <item x="3446"/>
        <item x="818"/>
        <item x="2155"/>
        <item x="1415"/>
        <item x="2693"/>
        <item x="1396"/>
        <item x="2865"/>
        <item x="1872"/>
        <item x="2084"/>
        <item x="2972"/>
        <item x="1901"/>
        <item x="537"/>
        <item x="1972"/>
        <item x="3142"/>
        <item x="1096"/>
        <item x="2493"/>
        <item x="605"/>
        <item x="540"/>
        <item x="2590"/>
        <item x="3428"/>
        <item x="625"/>
        <item x="1473"/>
        <item x="1525"/>
        <item x="515"/>
        <item x="3084"/>
        <item x="837"/>
        <item x="582"/>
        <item x="1847"/>
        <item x="1050"/>
        <item x="3477"/>
        <item x="654"/>
        <item x="2259"/>
        <item x="2722"/>
        <item x="3082"/>
        <item x="1007"/>
        <item x="1083"/>
        <item x="71"/>
        <item x="1036"/>
        <item x="3469"/>
        <item x="3337"/>
        <item x="1848"/>
        <item x="179"/>
        <item x="3053"/>
        <item x="941"/>
        <item x="1158"/>
        <item x="157"/>
        <item x="3031"/>
        <item x="1802"/>
        <item x="2479"/>
        <item x="698"/>
        <item x="3363"/>
        <item x="2718"/>
        <item x="539"/>
        <item x="1920"/>
        <item x="1812"/>
        <item x="1128"/>
        <item x="3519"/>
        <item x="1753"/>
        <item x="1324"/>
        <item x="1411"/>
        <item x="245"/>
        <item x="1418"/>
        <item x="1363"/>
        <item x="1068"/>
        <item x="2122"/>
        <item x="614"/>
        <item x="1862"/>
        <item x="1523"/>
        <item x="1167"/>
        <item x="1983"/>
        <item x="1783"/>
        <item x="3167"/>
        <item x="498"/>
        <item x="2888"/>
        <item x="2482"/>
        <item x="3192"/>
        <item x="220"/>
        <item x="2846"/>
        <item x="2849"/>
        <item x="1878"/>
        <item x="1875"/>
        <item x="851"/>
        <item x="1791"/>
        <item x="1198"/>
        <item x="1384"/>
        <item x="1613"/>
        <item x="2441"/>
        <item x="1127"/>
        <item x="2365"/>
        <item x="290"/>
        <item x="2439"/>
        <item x="2626"/>
        <item x="2217"/>
        <item x="866"/>
        <item x="1010"/>
        <item x="1630"/>
        <item x="1882"/>
        <item x="429"/>
        <item x="2522"/>
        <item x="2015"/>
        <item x="2342"/>
        <item x="1899"/>
        <item x="1712"/>
        <item x="82"/>
        <item x="3017"/>
        <item x="1957"/>
        <item x="3240"/>
        <item x="3498"/>
        <item x="2645"/>
        <item x="2546"/>
        <item x="2548"/>
        <item x="1164"/>
        <item x="942"/>
        <item x="3255"/>
        <item x="125"/>
        <item x="1107"/>
        <item x="1231"/>
        <item x="2882"/>
        <item x="287"/>
        <item x="1860"/>
        <item x="896"/>
        <item x="1814"/>
        <item x="1450"/>
        <item x="814"/>
        <item x="2081"/>
        <item x="2236"/>
        <item x="475"/>
        <item x="1408"/>
        <item x="1254"/>
        <item x="256"/>
        <item x="1268"/>
        <item x="1299"/>
        <item x="2685"/>
        <item x="1926"/>
        <item x="2784"/>
        <item x="2086"/>
        <item x="1626"/>
        <item x="1084"/>
        <item x="2547"/>
        <item x="3440"/>
        <item x="445"/>
        <item x="2747"/>
        <item x="1501"/>
        <item x="479"/>
        <item x="103"/>
        <item x="2961"/>
        <item x="2675"/>
        <item x="3427"/>
        <item x="1432"/>
        <item x="2794"/>
        <item x="2128"/>
        <item x="776"/>
        <item x="2510"/>
        <item x="2921"/>
        <item x="3213"/>
        <item x="2344"/>
        <item x="98"/>
        <item x="3338"/>
        <item x="3492"/>
        <item x="2201"/>
        <item x="906"/>
        <item x="2028"/>
        <item x="559"/>
        <item x="3230"/>
        <item x="66"/>
        <item x="2902"/>
        <item x="1468"/>
        <item x="118"/>
        <item x="3403"/>
        <item x="516"/>
        <item x="3516"/>
        <item x="1048"/>
        <item x="668"/>
        <item x="2110"/>
        <item x="3209"/>
        <item x="2911"/>
        <item x="1644"/>
        <item x="2554"/>
        <item x="2825"/>
        <item x="1495"/>
        <item x="2411"/>
        <item x="2756"/>
        <item x="1549"/>
        <item x="603"/>
        <item x="3293"/>
        <item x="1863"/>
        <item x="3100"/>
        <item x="2207"/>
        <item x="2951"/>
        <item x="1393"/>
        <item x="863"/>
        <item x="2854"/>
        <item x="2421"/>
        <item x="1528"/>
        <item x="3435"/>
        <item x="573"/>
        <item x="756"/>
        <item x="105"/>
        <item x="824"/>
        <item x="420"/>
        <item x="341"/>
        <item x="435"/>
        <item x="2641"/>
        <item x="1184"/>
        <item x="153"/>
        <item x="3114"/>
        <item x="730"/>
        <item x="1809"/>
        <item x="2889"/>
        <item x="2533"/>
        <item x="1360"/>
        <item x="2052"/>
        <item x="1181"/>
        <item x="177"/>
        <item x="2115"/>
        <item x="891"/>
        <item x="3044"/>
        <item x="1742"/>
        <item x="2203"/>
        <item x="3025"/>
        <item x="939"/>
        <item x="1526"/>
        <item x="114"/>
        <item x="1607"/>
        <item x="2262"/>
        <item x="859"/>
        <item x="2614"/>
        <item x="1578"/>
        <item x="195"/>
        <item x="3229"/>
        <item x="3147"/>
        <item x="3429"/>
        <item x="713"/>
        <item x="2822"/>
        <item x="2516"/>
        <item x="2634"/>
        <item x="436"/>
        <item x="1857"/>
        <item x="320"/>
        <item x="1506"/>
        <item x="2123"/>
        <item x="2523"/>
        <item x="3029"/>
        <item x="1986"/>
        <item x="2169"/>
        <item x="2870"/>
        <item x="3261"/>
        <item x="152"/>
        <item x="2804"/>
        <item x="1446"/>
        <item x="1159"/>
        <item x="1095"/>
        <item x="774"/>
        <item x="674"/>
        <item x="222"/>
        <item x="3314"/>
        <item x="2138"/>
        <item x="1132"/>
        <item x="1894"/>
        <item x="261"/>
        <item x="2985"/>
        <item x="544"/>
        <item x="1728"/>
        <item x="230"/>
        <item x="2696"/>
        <item x="1580"/>
        <item x="2670"/>
        <item x="2355"/>
        <item x="2450"/>
        <item x="2812"/>
        <item x="2064"/>
        <item x="267"/>
        <item x="3401"/>
        <item x="1856"/>
        <item x="1751"/>
        <item x="1975"/>
        <item x="361"/>
        <item x="986"/>
        <item x="846"/>
        <item x="1960"/>
        <item x="2044"/>
        <item x="3302"/>
        <item x="2966"/>
        <item x="1702"/>
        <item x="971"/>
        <item x="2446"/>
        <item x="2502"/>
        <item x="102"/>
        <item x="87"/>
        <item x="2031"/>
        <item x="1323"/>
        <item x="471"/>
        <item x="2589"/>
        <item x="2114"/>
        <item x="186"/>
        <item x="1239"/>
        <item x="324"/>
        <item x="2608"/>
        <item x="2148"/>
        <item x="1680"/>
        <item x="588"/>
        <item x="1950"/>
        <item x="467"/>
        <item x="675"/>
        <item x="1431"/>
        <item x="630"/>
        <item x="23"/>
        <item x="2449"/>
        <item x="3358"/>
        <item x="998"/>
        <item x="3103"/>
        <item x="1902"/>
        <item x="2986"/>
        <item x="451"/>
        <item x="1344"/>
        <item x="517"/>
        <item x="2678"/>
        <item x="1502"/>
        <item x="1591"/>
        <item x="2233"/>
        <item x="3339"/>
        <item x="2011"/>
        <item x="2029"/>
        <item x="2667"/>
        <item x="2390"/>
        <item x="1669"/>
        <item x="139"/>
        <item x="366"/>
        <item x="807"/>
        <item x="1615"/>
        <item x="3161"/>
        <item x="2385"/>
        <item x="1939"/>
        <item x="346"/>
        <item x="2359"/>
        <item x="2038"/>
        <item x="1889"/>
        <item x="1297"/>
        <item x="761"/>
        <item x="1149"/>
        <item x="263"/>
        <item x="2939"/>
        <item x="3141"/>
        <item x="2495"/>
        <item x="875"/>
        <item x="3397"/>
        <item x="54"/>
        <item x="1410"/>
        <item x="861"/>
        <item x="3464"/>
        <item x="1554"/>
        <item x="401"/>
        <item x="1424"/>
        <item x="202"/>
        <item x="2925"/>
        <item x="1958"/>
        <item x="344"/>
        <item x="2976"/>
        <item x="1417"/>
        <item x="1049"/>
        <item x="2096"/>
        <item x="781"/>
        <item x="1619"/>
        <item x="955"/>
        <item x="3432"/>
        <item x="2814"/>
        <item x="500"/>
        <item x="25"/>
        <item x="2790"/>
        <item x="3279"/>
        <item x="855"/>
        <item x="20"/>
        <item x="1855"/>
        <item x="2378"/>
        <item x="1466"/>
        <item x="1933"/>
        <item x="933"/>
        <item x="190"/>
        <item x="1227"/>
        <item x="3136"/>
        <item x="3188"/>
        <item x="673"/>
        <item x="390"/>
        <item x="1621"/>
        <item x="1101"/>
        <item x="1106"/>
        <item x="1151"/>
        <item x="3465"/>
        <item x="2457"/>
        <item x="646"/>
        <item x="835"/>
        <item x="1499"/>
        <item x="1811"/>
        <item x="2674"/>
        <item x="1538"/>
        <item x="856"/>
        <item x="3308"/>
        <item x="1346"/>
        <item x="2302"/>
        <item x="1189"/>
        <item x="1839"/>
        <item x="2788"/>
        <item x="109"/>
        <item x="3237"/>
        <item x="1938"/>
        <item x="1888"/>
        <item x="683"/>
        <item x="1196"/>
        <item x="2168"/>
        <item x="1738"/>
        <item x="47"/>
        <item x="1165"/>
        <item x="158"/>
        <item x="2859"/>
        <item x="44"/>
        <item x="651"/>
        <item x="2754"/>
        <item x="411"/>
        <item x="1684"/>
        <item x="1637"/>
        <item x="2829"/>
        <item x="2312"/>
        <item x="1749"/>
        <item x="519"/>
        <item x="431"/>
        <item x="2474"/>
        <item x="3030"/>
        <item x="171"/>
        <item x="2181"/>
        <item x="2832"/>
        <item x="2130"/>
        <item x="1852"/>
        <item x="3189"/>
        <item x="3330"/>
        <item x="2258"/>
        <item x="2039"/>
        <item x="513"/>
        <item x="2165"/>
        <item x="1480"/>
        <item x="1563"/>
        <item x="1221"/>
        <item x="2364"/>
        <item x="2989"/>
        <item x="2242"/>
        <item x="768"/>
        <item x="561"/>
        <item x="2704"/>
        <item x="1794"/>
        <item x="691"/>
        <item x="664"/>
        <item x="1472"/>
        <item x="294"/>
        <item x="2963"/>
        <item x="1053"/>
        <item x="1971"/>
        <item x="2469"/>
        <item x="2543"/>
        <item x="3362"/>
        <item x="1236"/>
        <item x="64"/>
        <item x="2156"/>
        <item x="521"/>
        <item x="283"/>
        <item x="2652"/>
        <item x="3454"/>
        <item x="41"/>
        <item x="3434"/>
        <item x="1775"/>
        <item x="2808"/>
        <item x="1509"/>
        <item x="596"/>
        <item x="653"/>
        <item x="75"/>
        <item x="1532"/>
        <item x="2438"/>
        <item x="1157"/>
        <item x="2216"/>
        <item x="985"/>
        <item x="3182"/>
        <item x="680"/>
        <item x="1386"/>
        <item x="333"/>
        <item x="2267"/>
        <item x="1483"/>
        <item x="119"/>
        <item x="1368"/>
        <item x="1866"/>
        <item x="511"/>
        <item x="2999"/>
        <item x="3483"/>
        <item x="706"/>
        <item x="3333"/>
        <item x="842"/>
        <item x="1258"/>
        <item x="343"/>
        <item x="2042"/>
        <item x="1520"/>
        <item x="2078"/>
        <item x="726"/>
        <item x="2304"/>
        <item x="2887"/>
        <item x="1325"/>
        <item x="3009"/>
        <item x="1987"/>
        <item x="382"/>
        <item x="2918"/>
        <item x="1715"/>
        <item x="2848"/>
        <item x="1874"/>
        <item x="1485"/>
        <item x="1319"/>
        <item x="396"/>
        <item x="1309"/>
        <item x="2347"/>
        <item x="12"/>
        <item x="2209"/>
        <item x="3415"/>
        <item x="2772"/>
        <item x="458"/>
        <item x="1777"/>
        <item x="2714"/>
        <item x="2700"/>
        <item x="528"/>
        <item x="1019"/>
        <item x="3439"/>
        <item x="49"/>
        <item x="1302"/>
        <item x="2677"/>
        <item x="376"/>
        <item x="490"/>
        <item x="1897"/>
        <item x="307"/>
        <item x="2906"/>
        <item x="3447"/>
        <item x="229"/>
        <item x="827"/>
        <item x="60"/>
        <item x="132"/>
        <item x="3016"/>
        <item x="2945"/>
        <item x="867"/>
        <item x="1333"/>
        <item x="1352"/>
        <item x="1843"/>
        <item x="509"/>
        <item x="2219"/>
        <item x="2481"/>
        <item x="2760"/>
        <item x="743"/>
        <item x="2611"/>
        <item x="1037"/>
        <item x="2124"/>
        <item x="1598"/>
        <item x="508"/>
        <item x="764"/>
        <item x="1186"/>
        <item x="1044"/>
        <item x="497"/>
        <item x="1911"/>
        <item x="3504"/>
        <item x="1454"/>
        <item x="2002"/>
        <item x="3162"/>
        <item x="1980"/>
        <item x="2409"/>
        <item x="1492"/>
        <item x="1611"/>
        <item x="3021"/>
        <item x="1840"/>
        <item x="3019"/>
        <item x="1276"/>
        <item x="415"/>
        <item x="1426"/>
        <item x="3371"/>
        <item x="2452"/>
        <item x="3460"/>
        <item x="1300"/>
        <item x="2092"/>
        <item x="1966"/>
        <item x="2306"/>
        <item x="3323"/>
        <item x="2072"/>
        <item x="1755"/>
        <item x="3340"/>
        <item x="677"/>
        <item x="1109"/>
        <item x="771"/>
        <item x="1576"/>
        <item x="303"/>
        <item x="3055"/>
        <item x="491"/>
        <item x="3094"/>
        <item x="2996"/>
        <item x="1197"/>
        <item x="2440"/>
        <item x="860"/>
        <item x="3410"/>
        <item x="1267"/>
        <item x="1442"/>
        <item x="2343"/>
        <item x="2896"/>
        <item x="2518"/>
        <item x="1822"/>
        <item x="1085"/>
        <item x="2083"/>
        <item x="3015"/>
        <item x="137"/>
        <item x="1670"/>
        <item x="967"/>
        <item x="977"/>
        <item x="2354"/>
        <item x="1704"/>
        <item x="2480"/>
        <item x="1513"/>
        <item x="1117"/>
        <item x="326"/>
        <item x="1612"/>
        <item x="3056"/>
        <item x="460"/>
        <item x="3075"/>
        <item x="310"/>
        <item x="1400"/>
        <item x="3176"/>
        <item x="1747"/>
        <item x="2000"/>
        <item x="1653"/>
        <item x="1067"/>
        <item x="1719"/>
        <item x="2383"/>
        <item x="1301"/>
        <item x="1308"/>
        <item x="1695"/>
        <item x="3359"/>
        <item x="913"/>
        <item x="478"/>
        <item x="2731"/>
        <item x="453"/>
        <item x="685"/>
        <item x="782"/>
        <item x="2227"/>
        <item x="1397"/>
        <item x="2676"/>
        <item x="1020"/>
        <item x="1508"/>
        <item x="3310"/>
        <item x="3284"/>
        <item x="1967"/>
        <item x="2333"/>
        <item x="2257"/>
        <item x="1961"/>
        <item x="1104"/>
        <item x="1430"/>
        <item x="1943"/>
        <item x="1170"/>
        <item x="1211"/>
        <item x="626"/>
        <item x="1962"/>
        <item x="2875"/>
        <item x="93"/>
        <item x="1581"/>
        <item x="339"/>
        <item x="1567"/>
        <item x="299"/>
        <item x="1474"/>
        <item x="1746"/>
        <item x="1849"/>
        <item x="3198"/>
        <item x="2019"/>
        <item x="3327"/>
        <item x="1927"/>
        <item x="2606"/>
        <item x="642"/>
        <item x="3196"/>
        <item x="2237"/>
        <item x="2744"/>
        <item x="1942"/>
        <item x="1720"/>
        <item x="2680"/>
        <item x="1028"/>
        <item x="994"/>
        <item x="1118"/>
        <item x="3013"/>
        <item x="16"/>
        <item x="2860"/>
        <item x="3345"/>
        <item x="1827"/>
        <item x="984"/>
        <item x="2090"/>
        <item x="2761"/>
        <item x="336"/>
        <item x="1660"/>
        <item x="2995"/>
        <item x="2863"/>
        <item x="8"/>
        <item x="3351"/>
        <item x="3325"/>
        <item x="2051"/>
        <item x="2573"/>
        <item x="602"/>
        <item x="1134"/>
        <item x="221"/>
        <item x="36"/>
        <item x="1436"/>
        <item x="2893"/>
        <item x="534"/>
        <item x="3059"/>
        <item x="3331"/>
        <item x="3389"/>
        <item x="2491"/>
        <item x="1947"/>
        <item x="2642"/>
        <item x="526"/>
        <item x="914"/>
        <item x="2085"/>
        <item x="2471"/>
        <item x="2598"/>
        <item x="620"/>
        <item x="2189"/>
        <item x="2293"/>
        <item x="465"/>
        <item x="14"/>
        <item x="2904"/>
        <item x="1235"/>
        <item x="423"/>
        <item x="2026"/>
        <item x="2816"/>
        <item x="2565"/>
        <item x="3258"/>
        <item x="17"/>
        <item x="3370"/>
        <item x="729"/>
        <item x="3149"/>
        <item x="2334"/>
        <item x="3366"/>
        <item x="1560"/>
        <item x="1804"/>
        <item x="982"/>
        <item x="3341"/>
        <item x="143"/>
        <item x="3294"/>
        <item x="3131"/>
        <item x="3417"/>
        <item x="3251"/>
        <item x="2917"/>
        <item x="3497"/>
        <item x="372"/>
        <item x="3472"/>
        <item x="3118"/>
        <item x="2376"/>
        <item x="2977"/>
        <item x="1639"/>
        <item x="3028"/>
        <item x="2830"/>
        <item x="1823"/>
        <item x="1727"/>
        <item x="5"/>
        <item x="3005"/>
        <item x="2160"/>
        <item x="1245"/>
        <item x="2561"/>
        <item x="3490"/>
        <item x="2717"/>
        <item x="2785"/>
        <item x="146"/>
        <item x="308"/>
        <item x="2294"/>
        <item x="633"/>
        <item x="1877"/>
        <item x="231"/>
        <item x="1682"/>
        <item x="3343"/>
        <item x="1535"/>
        <item x="1043"/>
        <item x="3134"/>
        <item x="845"/>
        <item x="328"/>
        <item x="3235"/>
        <item x="609"/>
        <item x="1463"/>
        <item x="1182"/>
        <item x="3384"/>
        <item x="1815"/>
        <item x="841"/>
        <item x="1123"/>
        <item x="449"/>
        <item x="3304"/>
        <item x="1077"/>
        <item x="848"/>
        <item x="2036"/>
        <item x="3092"/>
        <item x="3458"/>
        <item x="325"/>
        <item x="2360"/>
        <item x="2725"/>
        <item x="1837"/>
        <item x="2150"/>
        <item x="240"/>
        <item x="2331"/>
        <item x="1657"/>
        <item x="1831"/>
        <item x="2687"/>
        <item x="1913"/>
        <item x="958"/>
        <item x="3484"/>
        <item x="2463"/>
        <item x="1993"/>
        <item x="2395"/>
        <item x="1726"/>
        <item x="1011"/>
        <item x="3098"/>
        <item x="1290"/>
        <item x="196"/>
        <item x="31"/>
        <item x="3252"/>
        <item x="2434"/>
        <item x="330"/>
        <item x="1995"/>
        <item x="1781"/>
        <item x="3266"/>
        <item x="3449"/>
        <item x="3445"/>
        <item x="3399"/>
        <item x="1536"/>
        <item x="1224"/>
        <item x="3470"/>
        <item x="2129"/>
        <item x="2357"/>
        <item x="766"/>
        <item x="1313"/>
        <item x="2098"/>
        <item x="1627"/>
        <item x="2059"/>
        <item x="1948"/>
        <item x="1770"/>
        <item x="357"/>
        <item x="2662"/>
        <item x="381"/>
        <item x="3448"/>
        <item x="3008"/>
        <item x="3042"/>
        <item x="1457"/>
        <item x="2648"/>
        <item x="2842"/>
        <item x="1698"/>
        <item x="869"/>
        <item x="2490"/>
        <item x="575"/>
        <item x="311"/>
        <item x="732"/>
        <item x="213"/>
        <item x="3392"/>
        <item x="1448"/>
        <item x="708"/>
        <item x="2807"/>
        <item x="3024"/>
        <item x="892"/>
        <item x="2277"/>
        <item x="2770"/>
        <item x="1330"/>
        <item x="1693"/>
        <item x="2898"/>
        <item x="2886"/>
        <item x="3083"/>
        <item x="3193"/>
        <item x="754"/>
        <item x="3210"/>
        <item x="2265"/>
        <item x="2340"/>
        <item x="2937"/>
        <item x="1676"/>
        <item x="456"/>
        <item x="2907"/>
        <item x="2185"/>
        <item x="2145"/>
        <item x="255"/>
        <item x="3174"/>
        <item x="2828"/>
        <item x="1503"/>
        <item x="3424"/>
        <item x="853"/>
        <item x="1168"/>
        <item x="1990"/>
        <item x="2597"/>
        <item x="3116"/>
        <item x="2315"/>
        <item x="2041"/>
        <item x="1498"/>
        <item x="1662"/>
        <item x="2781"/>
        <item x="2095"/>
        <item x="1989"/>
        <item x="2953"/>
        <item x="2175"/>
        <item x="2742"/>
        <item x="930"/>
        <item t="default"/>
      </items>
    </pivotField>
    <pivotField axis="axisRow" showAll="0">
      <items count="18">
        <item x="1"/>
        <item x="0"/>
        <item x="8"/>
        <item x="2"/>
        <item x="4"/>
        <item x="3"/>
        <item x="7"/>
        <item x="5"/>
        <item x="11"/>
        <item x="9"/>
        <item x="6"/>
        <item x="12"/>
        <item x="10"/>
        <item x="16"/>
        <item x="15"/>
        <item x="14"/>
        <item x="13"/>
        <item t="default"/>
      </items>
    </pivotField>
  </pivotFields>
  <rowFields count="3">
    <field x="17"/>
    <field x="12"/>
    <field x="18"/>
  </rowFields>
  <rowItems count="31">
    <i>
      <x v="275"/>
    </i>
    <i r="1">
      <x v="67"/>
    </i>
    <i r="2">
      <x/>
    </i>
    <i>
      <x v="827"/>
    </i>
    <i r="1">
      <x v="40"/>
    </i>
    <i r="2">
      <x v="8"/>
    </i>
    <i>
      <x v="1400"/>
    </i>
    <i r="1">
      <x v="73"/>
    </i>
    <i r="2">
      <x/>
    </i>
    <i>
      <x v="2359"/>
    </i>
    <i r="1">
      <x v="57"/>
    </i>
    <i r="2">
      <x/>
    </i>
    <i>
      <x v="2362"/>
    </i>
    <i r="1">
      <x v="35"/>
    </i>
    <i r="2">
      <x/>
    </i>
    <i>
      <x v="2521"/>
    </i>
    <i r="1">
      <x v="70"/>
    </i>
    <i r="2">
      <x/>
    </i>
    <i>
      <x v="2637"/>
    </i>
    <i r="1">
      <x v="66"/>
    </i>
    <i r="2">
      <x/>
    </i>
    <i>
      <x v="2824"/>
    </i>
    <i r="1">
      <x v="74"/>
    </i>
    <i r="2">
      <x v="1"/>
    </i>
    <i>
      <x v="2876"/>
    </i>
    <i r="1">
      <x v="52"/>
    </i>
    <i r="2">
      <x v="1"/>
    </i>
    <i>
      <x v="3250"/>
    </i>
    <i r="1">
      <x v="55"/>
    </i>
    <i r="2"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budget_us_dollar" fld="14" baseField="0" baseItem="0"/>
    <dataField name="Sum of profit _us_dollar" fld="16" baseField="0" baseItem="0"/>
    <dataField name="Sum of gross_us_dollar" fld="15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17" type="count" evalOrder="-1" id="1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C8F121-4FC6-4FA2-8D7D-33B999AAB232}" name="PivotTable8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H1:AI12" firstHeaderRow="1" firstDataRow="1" firstDataCol="1"/>
  <pivotFields count="19">
    <pivotField axis="axisRow" showAll="0" measureFilter="1">
      <items count="1681">
        <item x="562"/>
        <item x="937"/>
        <item x="1657"/>
        <item x="908"/>
        <item x="1090"/>
        <item x="901"/>
        <item x="164"/>
        <item x="200"/>
        <item x="54"/>
        <item x="1087"/>
        <item x="1395"/>
        <item x="157"/>
        <item x="1523"/>
        <item x="1023"/>
        <item x="455"/>
        <item x="1451"/>
        <item x="803"/>
        <item x="851"/>
        <item x="1405"/>
        <item x="424"/>
        <item x="750"/>
        <item x="745"/>
        <item x="1265"/>
        <item x="1328"/>
        <item x="1513"/>
        <item x="706"/>
        <item x="1034"/>
        <item x="589"/>
        <item x="1414"/>
        <item x="913"/>
        <item x="912"/>
        <item x="987"/>
        <item x="355"/>
        <item x="627"/>
        <item x="1618"/>
        <item x="73"/>
        <item x="1677"/>
        <item x="224"/>
        <item x="70"/>
        <item x="532"/>
        <item x="806"/>
        <item x="41"/>
        <item x="218"/>
        <item x="554"/>
        <item x="1032"/>
        <item x="859"/>
        <item x="785"/>
        <item x="573"/>
        <item x="999"/>
        <item x="1178"/>
        <item x="506"/>
        <item x="1180"/>
        <item x="338"/>
        <item x="1081"/>
        <item x="695"/>
        <item x="961"/>
        <item x="1073"/>
        <item x="169"/>
        <item x="69"/>
        <item x="1266"/>
        <item x="375"/>
        <item x="814"/>
        <item x="625"/>
        <item x="727"/>
        <item x="363"/>
        <item x="63"/>
        <item x="1302"/>
        <item x="667"/>
        <item x="1200"/>
        <item x="423"/>
        <item x="1153"/>
        <item x="325"/>
        <item x="15"/>
        <item x="1025"/>
        <item x="1294"/>
        <item x="460"/>
        <item x="244"/>
        <item x="1066"/>
        <item x="1187"/>
        <item x="440"/>
        <item x="216"/>
        <item x="590"/>
        <item x="1463"/>
        <item x="415"/>
        <item x="43"/>
        <item x="1597"/>
        <item x="648"/>
        <item x="1044"/>
        <item x="760"/>
        <item x="1459"/>
        <item x="1339"/>
        <item x="71"/>
        <item x="568"/>
        <item x="1236"/>
        <item x="1030"/>
        <item x="1595"/>
        <item x="731"/>
        <item x="1667"/>
        <item x="516"/>
        <item x="576"/>
        <item x="998"/>
        <item x="1312"/>
        <item x="1518"/>
        <item x="1575"/>
        <item x="1469"/>
        <item x="381"/>
        <item x="485"/>
        <item x="497"/>
        <item x="1498"/>
        <item x="564"/>
        <item x="120"/>
        <item x="530"/>
        <item x="1525"/>
        <item x="371"/>
        <item x="1205"/>
        <item x="549"/>
        <item x="1374"/>
        <item x="597"/>
        <item x="744"/>
        <item x="494"/>
        <item x="994"/>
        <item x="718"/>
        <item x="449"/>
        <item x="1321"/>
        <item x="717"/>
        <item x="1154"/>
        <item x="1656"/>
        <item x="547"/>
        <item x="601"/>
        <item x="1538"/>
        <item x="196"/>
        <item x="1297"/>
        <item x="1146"/>
        <item x="1373"/>
        <item x="1360"/>
        <item x="777"/>
        <item x="272"/>
        <item x="592"/>
        <item x="512"/>
        <item x="732"/>
        <item x="1569"/>
        <item x="1248"/>
        <item x="1029"/>
        <item x="871"/>
        <item x="978"/>
        <item x="781"/>
        <item x="1258"/>
        <item x="1222"/>
        <item x="406"/>
        <item x="1145"/>
        <item x="302"/>
        <item x="1311"/>
        <item x="1473"/>
        <item x="498"/>
        <item x="757"/>
        <item x="681"/>
        <item x="1188"/>
        <item x="231"/>
        <item x="1168"/>
        <item x="519"/>
        <item x="977"/>
        <item x="249"/>
        <item x="736"/>
        <item x="555"/>
        <item x="391"/>
        <item x="1062"/>
        <item x="535"/>
        <item x="77"/>
        <item x="103"/>
        <item x="903"/>
        <item x="1529"/>
        <item x="86"/>
        <item x="226"/>
        <item x="1191"/>
        <item x="1136"/>
        <item x="344"/>
        <item x="1365"/>
        <item x="976"/>
        <item x="504"/>
        <item x="317"/>
        <item x="1116"/>
        <item x="604"/>
        <item x="1109"/>
        <item x="1337"/>
        <item x="818"/>
        <item x="1244"/>
        <item x="273"/>
        <item x="754"/>
        <item x="615"/>
        <item x="1067"/>
        <item x="581"/>
        <item x="0"/>
        <item x="1201"/>
        <item x="115"/>
        <item x="390"/>
        <item x="673"/>
        <item x="1422"/>
        <item x="394"/>
        <item x="480"/>
        <item x="560"/>
        <item x="1379"/>
        <item x="967"/>
        <item x="1530"/>
        <item x="726"/>
        <item x="1219"/>
        <item x="1310"/>
        <item x="783"/>
        <item x="1140"/>
        <item x="1605"/>
        <item x="1242"/>
        <item x="1334"/>
        <item x="1163"/>
        <item x="290"/>
        <item x="257"/>
        <item x="852"/>
        <item x="951"/>
        <item x="1139"/>
        <item x="1088"/>
        <item x="973"/>
        <item x="1546"/>
        <item x="1627"/>
        <item x="972"/>
        <item x="373"/>
        <item x="762"/>
        <item x="1355"/>
        <item x="880"/>
        <item x="607"/>
        <item x="1561"/>
        <item x="1166"/>
        <item x="1403"/>
        <item x="476"/>
        <item x="59"/>
        <item x="872"/>
        <item x="702"/>
        <item x="1089"/>
        <item x="1208"/>
        <item x="1464"/>
        <item x="233"/>
        <item x="759"/>
        <item x="259"/>
        <item x="965"/>
        <item x="873"/>
        <item x="1640"/>
        <item x="147"/>
        <item x="1532"/>
        <item x="285"/>
        <item x="844"/>
        <item x="1410"/>
        <item x="1623"/>
        <item x="1170"/>
        <item x="242"/>
        <item x="906"/>
        <item x="586"/>
        <item x="1598"/>
        <item x="230"/>
        <item x="282"/>
        <item x="919"/>
        <item x="764"/>
        <item x="1671"/>
        <item x="101"/>
        <item x="644"/>
        <item x="898"/>
        <item x="1216"/>
        <item x="775"/>
        <item x="960"/>
        <item x="861"/>
        <item x="766"/>
        <item x="1368"/>
        <item x="1224"/>
        <item x="1042"/>
        <item x="167"/>
        <item x="265"/>
        <item x="1399"/>
        <item x="78"/>
        <item x="672"/>
        <item x="383"/>
        <item x="962"/>
        <item x="153"/>
        <item x="1308"/>
        <item x="369"/>
        <item x="1249"/>
        <item x="1552"/>
        <item x="354"/>
        <item x="399"/>
        <item x="261"/>
        <item x="1003"/>
        <item x="635"/>
        <item x="1276"/>
        <item x="61"/>
        <item x="645"/>
        <item x="276"/>
        <item x="729"/>
        <item x="721"/>
        <item x="1420"/>
        <item x="350"/>
        <item x="1038"/>
        <item x="575"/>
        <item x="1234"/>
        <item x="510"/>
        <item x="1058"/>
        <item x="941"/>
        <item x="262"/>
        <item x="566"/>
        <item x="914"/>
        <item x="264"/>
        <item x="836"/>
        <item x="779"/>
        <item x="799"/>
        <item x="849"/>
        <item x="1612"/>
        <item x="830"/>
        <item x="1069"/>
        <item x="740"/>
        <item x="305"/>
        <item x="409"/>
        <item x="1462"/>
        <item x="985"/>
        <item x="1046"/>
        <item x="708"/>
        <item x="418"/>
        <item x="1449"/>
        <item x="1031"/>
        <item x="802"/>
        <item x="1121"/>
        <item x="459"/>
        <item x="467"/>
        <item x="1614"/>
        <item x="1353"/>
        <item x="183"/>
        <item x="445"/>
        <item x="1048"/>
        <item x="1255"/>
        <item x="88"/>
        <item x="521"/>
        <item x="1261"/>
        <item x="922"/>
        <item x="284"/>
        <item x="297"/>
        <item x="507"/>
        <item x="1366"/>
        <item x="1467"/>
        <item x="875"/>
        <item x="1002"/>
        <item x="387"/>
        <item x="656"/>
        <item x="403"/>
        <item x="769"/>
        <item x="67"/>
        <item x="605"/>
        <item x="1342"/>
        <item x="45"/>
        <item x="807"/>
        <item x="542"/>
        <item x="1378"/>
        <item x="133"/>
        <item x="1594"/>
        <item x="405"/>
        <item x="221"/>
        <item x="327"/>
        <item x="1408"/>
        <item x="1593"/>
        <item x="850"/>
        <item x="865"/>
        <item x="49"/>
        <item x="1416"/>
        <item x="236"/>
        <item x="386"/>
        <item x="1327"/>
        <item x="213"/>
        <item x="412"/>
        <item x="1057"/>
        <item x="611"/>
        <item x="1124"/>
        <item x="134"/>
        <item x="1495"/>
        <item x="1181"/>
        <item x="311"/>
        <item x="758"/>
        <item x="1212"/>
        <item x="1165"/>
        <item x="502"/>
        <item x="435"/>
        <item x="684"/>
        <item x="893"/>
        <item x="1137"/>
        <item x="1006"/>
        <item x="958"/>
        <item x="463"/>
        <item x="518"/>
        <item x="920"/>
        <item x="1159"/>
        <item x="1011"/>
        <item x="889"/>
        <item x="119"/>
        <item x="1443"/>
        <item x="479"/>
        <item x="747"/>
        <item x="795"/>
        <item x="1241"/>
        <item x="199"/>
        <item x="1506"/>
        <item x="1589"/>
        <item x="145"/>
        <item x="527"/>
        <item x="1580"/>
        <item x="111"/>
        <item x="113"/>
        <item x="746"/>
        <item x="791"/>
        <item x="368"/>
        <item x="1601"/>
        <item x="1064"/>
        <item x="1275"/>
        <item x="503"/>
        <item x="930"/>
        <item x="1543"/>
        <item x="304"/>
        <item x="1409"/>
        <item x="1243"/>
        <item x="928"/>
        <item x="100"/>
        <item x="22"/>
        <item x="787"/>
        <item x="1500"/>
        <item x="130"/>
        <item x="1401"/>
        <item x="970"/>
        <item x="722"/>
        <item x="1620"/>
        <item x="1298"/>
        <item x="552"/>
        <item x="389"/>
        <item x="1303"/>
        <item x="1382"/>
        <item x="793"/>
        <item x="251"/>
        <item x="991"/>
        <item x="1130"/>
        <item x="388"/>
        <item x="1358"/>
        <item x="48"/>
        <item x="883"/>
        <item x="1007"/>
        <item x="58"/>
        <item x="1547"/>
        <item x="1"/>
        <item x="1024"/>
        <item x="243"/>
        <item x="329"/>
        <item x="1273"/>
        <item x="1363"/>
        <item x="1318"/>
        <item x="944"/>
        <item x="29"/>
        <item x="986"/>
        <item x="1280"/>
        <item x="1389"/>
        <item x="1560"/>
        <item x="715"/>
        <item x="647"/>
        <item x="433"/>
        <item x="421"/>
        <item x="1113"/>
        <item x="12"/>
        <item x="1078"/>
        <item x="198"/>
        <item x="151"/>
        <item x="691"/>
        <item x="1104"/>
        <item x="725"/>
        <item x="346"/>
        <item x="632"/>
        <item x="438"/>
        <item x="804"/>
        <item x="709"/>
        <item x="171"/>
        <item x="351"/>
        <item x="1238"/>
        <item x="666"/>
        <item x="332"/>
        <item x="1172"/>
        <item x="1651"/>
        <item x="1091"/>
        <item x="1134"/>
        <item x="1521"/>
        <item x="1411"/>
        <item x="1357"/>
        <item x="1386"/>
        <item x="102"/>
        <item x="315"/>
        <item x="1571"/>
        <item x="1568"/>
        <item x="1491"/>
        <item x="173"/>
        <item x="500"/>
        <item x="1131"/>
        <item x="774"/>
        <item x="879"/>
        <item x="1380"/>
        <item x="1437"/>
        <item x="333"/>
        <item x="1663"/>
        <item x="703"/>
        <item x="1169"/>
        <item x="1022"/>
        <item x="594"/>
        <item x="640"/>
        <item x="796"/>
        <item x="1143"/>
        <item x="862"/>
        <item x="357"/>
        <item x="2"/>
        <item x="892"/>
        <item x="558"/>
        <item x="1190"/>
        <item x="839"/>
        <item x="349"/>
        <item x="984"/>
        <item x="66"/>
        <item x="1418"/>
        <item x="165"/>
        <item x="1135"/>
        <item x="211"/>
        <item x="267"/>
        <item x="869"/>
        <item x="1127"/>
        <item x="1260"/>
        <item x="1305"/>
        <item x="426"/>
        <item x="1195"/>
        <item x="1670"/>
        <item x="471"/>
        <item x="583"/>
        <item x="149"/>
        <item x="1539"/>
        <item x="330"/>
        <item x="1095"/>
        <item x="863"/>
        <item x="1218"/>
        <item x="202"/>
        <item x="397"/>
        <item x="1461"/>
        <item x="1227"/>
        <item x="320"/>
        <item x="1103"/>
        <item x="1043"/>
        <item x="1510"/>
        <item x="1319"/>
        <item x="1348"/>
        <item x="580"/>
        <item x="1133"/>
        <item x="4"/>
        <item x="1304"/>
        <item x="993"/>
        <item x="881"/>
        <item x="511"/>
        <item x="7"/>
        <item x="963"/>
        <item x="306"/>
        <item x="819"/>
        <item x="122"/>
        <item x="266"/>
        <item x="1359"/>
        <item x="636"/>
        <item x="1063"/>
        <item x="520"/>
        <item x="1632"/>
        <item x="1533"/>
        <item x="1010"/>
        <item x="1648"/>
        <item x="992"/>
        <item x="456"/>
        <item x="1285"/>
        <item x="376"/>
        <item x="1609"/>
        <item x="1369"/>
        <item x="517"/>
        <item x="571"/>
        <item x="924"/>
        <item x="842"/>
        <item x="526"/>
        <item x="927"/>
        <item x="1284"/>
        <item x="655"/>
        <item x="1074"/>
        <item x="312"/>
        <item x="458"/>
        <item x="1122"/>
        <item x="577"/>
        <item x="1271"/>
        <item x="742"/>
        <item x="432"/>
        <item x="121"/>
        <item x="1524"/>
        <item x="410"/>
        <item x="817"/>
        <item x="24"/>
        <item x="593"/>
        <item x="1448"/>
        <item x="603"/>
        <item x="1150"/>
        <item x="1470"/>
        <item x="1599"/>
        <item x="1503"/>
        <item x="222"/>
        <item x="545"/>
        <item x="1490"/>
        <item x="514"/>
        <item x="522"/>
        <item x="1572"/>
        <item x="21"/>
        <item x="900"/>
        <item x="286"/>
        <item x="1215"/>
        <item x="988"/>
        <item x="1672"/>
        <item x="677"/>
        <item x="513"/>
        <item x="975"/>
        <item x="720"/>
        <item x="701"/>
        <item x="1239"/>
        <item x="821"/>
        <item x="431"/>
        <item x="877"/>
        <item x="33"/>
        <item x="464"/>
        <item x="749"/>
        <item x="638"/>
        <item x="1642"/>
        <item x="1565"/>
        <item x="253"/>
        <item x="1444"/>
        <item x="436"/>
        <item x="1440"/>
        <item x="44"/>
        <item x="28"/>
        <item x="1230"/>
        <item x="40"/>
        <item x="932"/>
        <item x="950"/>
        <item x="189"/>
        <item x="1630"/>
        <item x="1245"/>
        <item x="1206"/>
        <item x="952"/>
        <item x="966"/>
        <item x="91"/>
        <item x="1456"/>
        <item x="393"/>
        <item x="229"/>
        <item x="1578"/>
        <item x="384"/>
        <item x="1106"/>
        <item x="287"/>
        <item x="125"/>
        <item x="826"/>
        <item x="838"/>
        <item x="1563"/>
        <item x="637"/>
        <item x="752"/>
        <item x="42"/>
        <item x="197"/>
        <item x="1226"/>
        <item x="828"/>
        <item x="1522"/>
        <item x="89"/>
        <item x="810"/>
        <item x="478"/>
        <item x="710"/>
        <item x="1098"/>
        <item x="610"/>
        <item x="626"/>
        <item x="1625"/>
        <item x="915"/>
        <item x="136"/>
        <item x="1566"/>
        <item x="370"/>
        <item x="1636"/>
        <item x="770"/>
        <item x="1232"/>
        <item x="1112"/>
        <item x="1272"/>
        <item x="743"/>
        <item x="219"/>
        <item x="1017"/>
        <item x="1330"/>
        <item x="1320"/>
        <item x="1583"/>
        <item x="1173"/>
        <item x="1617"/>
        <item x="705"/>
        <item x="1306"/>
        <item x="772"/>
        <item x="633"/>
        <item x="846"/>
        <item x="1435"/>
        <item x="1036"/>
        <item x="408"/>
        <item x="76"/>
        <item x="217"/>
        <item x="829"/>
        <item x="1633"/>
        <item x="1626"/>
        <item x="1093"/>
        <item x="1160"/>
        <item x="664"/>
        <item x="957"/>
        <item x="1421"/>
        <item x="225"/>
        <item x="475"/>
        <item x="658"/>
        <item x="1567"/>
        <item x="1488"/>
        <item x="1346"/>
        <item x="1445"/>
        <item x="1545"/>
        <item x="499"/>
        <item x="492"/>
        <item x="811"/>
        <item x="1247"/>
        <item x="1019"/>
        <item x="84"/>
        <item x="805"/>
        <item x="280"/>
        <item x="1415"/>
        <item x="676"/>
        <item x="585"/>
        <item x="508"/>
        <item x="940"/>
        <item x="1126"/>
        <item x="205"/>
        <item x="110"/>
        <item x="56"/>
        <item x="1082"/>
        <item x="137"/>
        <item x="1128"/>
        <item x="1338"/>
        <item x="1185"/>
        <item x="1479"/>
        <item x="1534"/>
        <item x="342"/>
        <item x="487"/>
        <item x="345"/>
        <item x="1356"/>
        <item x="1526"/>
        <item x="1371"/>
        <item x="82"/>
        <item x="609"/>
        <item x="212"/>
        <item x="425"/>
        <item x="365"/>
        <item x="643"/>
        <item x="362"/>
        <item x="52"/>
        <item x="175"/>
        <item x="921"/>
        <item x="307"/>
        <item x="352"/>
        <item x="678"/>
        <item x="969"/>
        <item x="80"/>
        <item x="1590"/>
        <item x="1060"/>
        <item x="465"/>
        <item x="837"/>
        <item x="1035"/>
        <item x="310"/>
        <item x="980"/>
        <item x="97"/>
        <item x="123"/>
        <item x="623"/>
        <item x="142"/>
        <item x="14"/>
        <item x="428"/>
        <item x="934"/>
        <item x="794"/>
        <item x="1497"/>
        <item x="621"/>
        <item x="11"/>
        <item x="135"/>
        <item x="613"/>
        <item x="472"/>
        <item x="1654"/>
        <item x="734"/>
        <item x="419"/>
        <item x="1071"/>
        <item x="268"/>
        <item x="181"/>
        <item x="27"/>
        <item x="858"/>
        <item x="172"/>
        <item x="688"/>
        <item x="104"/>
        <item x="204"/>
        <item x="1454"/>
        <item x="1269"/>
        <item x="1149"/>
        <item x="1105"/>
        <item x="148"/>
        <item x="1483"/>
        <item x="1492"/>
        <item x="417"/>
        <item x="74"/>
        <item x="711"/>
        <item x="283"/>
        <item x="246"/>
        <item x="531"/>
        <item x="477"/>
        <item x="955"/>
        <item x="983"/>
        <item x="444"/>
        <item x="400"/>
        <item x="411"/>
        <item x="291"/>
        <item x="843"/>
        <item x="127"/>
        <item x="1562"/>
        <item x="537"/>
        <item x="1144"/>
        <item x="1602"/>
        <item x="1621"/>
        <item x="1390"/>
        <item x="1634"/>
        <item x="13"/>
        <item x="161"/>
        <item x="1125"/>
        <item x="1008"/>
        <item x="599"/>
        <item x="1072"/>
        <item x="1070"/>
        <item x="1041"/>
        <item x="422"/>
        <item x="1396"/>
        <item x="1432"/>
        <item x="299"/>
        <item x="250"/>
        <item x="322"/>
        <item x="1251"/>
        <item x="682"/>
        <item x="1661"/>
        <item x="1274"/>
        <item x="1383"/>
        <item x="340"/>
        <item x="1592"/>
        <item x="454"/>
        <item x="595"/>
        <item x="1314"/>
        <item x="1398"/>
        <item x="270"/>
        <item x="457"/>
        <item x="1246"/>
        <item x="341"/>
        <item x="378"/>
        <item x="1458"/>
        <item x="1428"/>
        <item x="935"/>
        <item x="1033"/>
        <item x="1344"/>
        <item x="1047"/>
        <item x="1678"/>
        <item x="899"/>
        <item x="765"/>
        <item x="1512"/>
        <item x="918"/>
        <item x="584"/>
        <item x="85"/>
        <item x="1441"/>
        <item x="1267"/>
        <item x="1001"/>
        <item x="321"/>
        <item x="1152"/>
        <item x="1336"/>
        <item x="50"/>
        <item x="64"/>
        <item x="1619"/>
        <item x="1171"/>
        <item x="1622"/>
        <item x="434"/>
        <item x="239"/>
        <item x="639"/>
        <item x="1083"/>
        <item x="1013"/>
        <item x="866"/>
        <item x="1674"/>
        <item x="356"/>
        <item x="1427"/>
        <item x="5"/>
        <item x="1460"/>
        <item x="427"/>
        <item x="728"/>
        <item x="816"/>
        <item x="1293"/>
        <item x="661"/>
        <item x="671"/>
        <item x="979"/>
        <item x="917"/>
        <item x="292"/>
        <item x="606"/>
        <item x="187"/>
        <item x="99"/>
        <item x="864"/>
        <item x="1655"/>
        <item x="654"/>
        <item x="1162"/>
        <item x="1175"/>
        <item x="159"/>
        <item x="1585"/>
        <item x="1616"/>
        <item x="620"/>
        <item x="277"/>
        <item x="1558"/>
        <item x="841"/>
        <item x="933"/>
        <item x="943"/>
        <item x="1313"/>
        <item x="1231"/>
        <item x="1494"/>
        <item x="8"/>
        <item x="1431"/>
        <item x="707"/>
        <item x="177"/>
        <item x="228"/>
        <item x="1452"/>
        <item x="1341"/>
        <item x="469"/>
        <item x="700"/>
        <item x="797"/>
        <item x="683"/>
        <item x="300"/>
        <item x="751"/>
        <item x="154"/>
        <item x="574"/>
        <item x="466"/>
        <item x="51"/>
        <item x="1372"/>
        <item x="1624"/>
        <item x="1438"/>
        <item x="36"/>
        <item x="926"/>
        <item x="1600"/>
        <item x="1240"/>
        <item x="1457"/>
        <item x="539"/>
        <item x="847"/>
        <item x="968"/>
        <item x="1156"/>
        <item x="294"/>
        <item x="1107"/>
        <item x="1556"/>
        <item x="372"/>
        <item x="1668"/>
        <item x="870"/>
        <item x="1645"/>
        <item x="1253"/>
        <item x="1502"/>
        <item x="579"/>
        <item x="1282"/>
        <item x="395"/>
        <item x="1387"/>
        <item x="1406"/>
        <item x="544"/>
        <item x="470"/>
        <item x="761"/>
        <item x="1335"/>
        <item x="1472"/>
        <item x="612"/>
        <item x="929"/>
        <item x="822"/>
        <item x="60"/>
        <item x="942"/>
        <item x="271"/>
        <item x="1291"/>
        <item x="1199"/>
        <item x="1349"/>
        <item x="207"/>
        <item x="1295"/>
        <item x="72"/>
        <item x="557"/>
        <item x="1138"/>
        <item x="316"/>
        <item x="296"/>
        <item x="1254"/>
        <item x="1270"/>
        <item x="429"/>
        <item x="214"/>
        <item x="1196"/>
        <item x="792"/>
        <item x="981"/>
        <item x="1664"/>
        <item x="649"/>
        <item x="1050"/>
        <item x="1499"/>
        <item x="1184"/>
        <item x="1096"/>
        <item x="719"/>
        <item x="1290"/>
        <item x="768"/>
        <item x="947"/>
        <item x="1419"/>
        <item x="364"/>
        <item x="808"/>
        <item x="1077"/>
        <item x="1350"/>
        <item x="1471"/>
        <item x="693"/>
        <item x="163"/>
        <item x="401"/>
        <item x="309"/>
        <item x="1076"/>
        <item x="1182"/>
        <item x="106"/>
        <item x="1508"/>
        <item x="723"/>
        <item x="87"/>
        <item x="1157"/>
        <item x="832"/>
        <item x="420"/>
        <item x="158"/>
        <item x="234"/>
        <item x="608"/>
        <item x="1301"/>
        <item x="1257"/>
        <item x="439"/>
        <item x="339"/>
        <item x="1615"/>
        <item x="1576"/>
        <item x="1584"/>
        <item x="897"/>
        <item x="1345"/>
        <item x="587"/>
        <item x="453"/>
        <item x="1005"/>
        <item x="553"/>
        <item x="925"/>
        <item x="690"/>
        <item x="1354"/>
        <item x="1179"/>
        <item x="956"/>
        <item x="326"/>
        <item x="1544"/>
        <item x="815"/>
        <item x="788"/>
        <item x="813"/>
        <item x="343"/>
        <item x="1468"/>
        <item x="1596"/>
        <item x="437"/>
        <item x="1221"/>
        <item x="825"/>
        <item x="180"/>
        <item x="1322"/>
        <item x="155"/>
        <item x="629"/>
        <item x="1489"/>
        <item x="853"/>
        <item x="1286"/>
        <item x="780"/>
        <item x="1296"/>
        <item x="1299"/>
        <item x="1198"/>
        <item x="182"/>
        <item x="1647"/>
        <item x="185"/>
        <item x="1397"/>
        <item x="641"/>
        <item x="392"/>
        <item x="1235"/>
        <item x="543"/>
        <item x="237"/>
        <item x="665"/>
        <item x="663"/>
        <item x="1331"/>
        <item x="801"/>
        <item x="57"/>
        <item x="1515"/>
        <item x="1649"/>
        <item x="1167"/>
        <item x="16"/>
        <item x="1669"/>
        <item x="473"/>
        <item x="572"/>
        <item x="1675"/>
        <item x="1394"/>
        <item x="660"/>
        <item x="1570"/>
        <item x="1527"/>
        <item x="716"/>
        <item x="1329"/>
        <item x="569"/>
        <item x="90"/>
        <item x="407"/>
        <item x="190"/>
        <item x="1653"/>
        <item x="323"/>
        <item x="617"/>
        <item x="724"/>
        <item x="1549"/>
        <item x="1021"/>
        <item x="1554"/>
        <item x="675"/>
        <item x="160"/>
        <item x="1114"/>
        <item x="1281"/>
        <item x="712"/>
        <item x="1412"/>
        <item x="1177"/>
        <item x="1501"/>
        <item x="1080"/>
        <item x="385"/>
        <item x="1637"/>
        <item x="374"/>
        <item x="699"/>
        <item x="904"/>
        <item x="668"/>
        <item x="377"/>
        <item x="156"/>
        <item x="1509"/>
        <item x="867"/>
        <item x="1110"/>
        <item x="894"/>
        <item x="659"/>
        <item x="931"/>
        <item x="1478"/>
        <item x="1676"/>
        <item x="565"/>
        <item x="1442"/>
        <item x="210"/>
        <item x="541"/>
        <item x="116"/>
        <item x="1223"/>
        <item x="1542"/>
        <item x="174"/>
        <item x="857"/>
        <item x="314"/>
        <item x="1392"/>
        <item x="1426"/>
        <item x="1639"/>
        <item x="162"/>
        <item x="669"/>
        <item x="30"/>
        <item x="443"/>
        <item x="974"/>
        <item x="1123"/>
        <item x="1429"/>
        <item x="1485"/>
        <item x="1587"/>
        <item x="152"/>
        <item x="1111"/>
        <item x="1362"/>
        <item x="748"/>
        <item x="19"/>
        <item x="188"/>
        <item x="1474"/>
        <item x="600"/>
        <item x="548"/>
        <item x="1014"/>
        <item x="982"/>
        <item x="1065"/>
        <item x="1446"/>
        <item x="1635"/>
        <item x="714"/>
        <item x="1209"/>
        <item x="515"/>
        <item x="738"/>
        <item x="1264"/>
        <item x="1340"/>
        <item x="860"/>
        <item x="442"/>
        <item x="245"/>
        <item x="254"/>
        <item x="670"/>
        <item x="1118"/>
        <item x="845"/>
        <item x="1607"/>
        <item x="1119"/>
        <item x="430"/>
        <item x="201"/>
        <item x="840"/>
        <item x="126"/>
        <item x="1158"/>
        <item x="1068"/>
        <item x="1487"/>
        <item x="114"/>
        <item x="1120"/>
        <item x="619"/>
        <item x="413"/>
        <item x="997"/>
        <item x="536"/>
        <item x="953"/>
        <item x="1493"/>
        <item x="170"/>
        <item x="556"/>
        <item x="551"/>
        <item x="614"/>
        <item x="441"/>
        <item x="1085"/>
        <item x="938"/>
        <item x="855"/>
        <item x="1475"/>
        <item x="361"/>
        <item x="46"/>
        <item x="490"/>
        <item x="1577"/>
        <item x="319"/>
        <item x="1541"/>
        <item x="1606"/>
        <item x="1020"/>
        <item x="1229"/>
        <item x="1631"/>
        <item x="1629"/>
        <item x="891"/>
        <item x="1588"/>
        <item x="570"/>
        <item x="353"/>
        <item x="1477"/>
        <item x="258"/>
        <item x="1603"/>
        <item x="936"/>
        <item x="398"/>
        <item x="496"/>
        <item x="1040"/>
        <item x="578"/>
        <item x="252"/>
        <item x="824"/>
        <item x="1391"/>
        <item x="1517"/>
        <item x="336"/>
        <item x="68"/>
        <item x="1439"/>
        <item x="248"/>
        <item x="1519"/>
        <item x="735"/>
        <item x="241"/>
        <item x="896"/>
        <item x="1262"/>
        <item x="692"/>
        <item x="209"/>
        <item x="563"/>
        <item x="1332"/>
        <item x="602"/>
        <item x="1579"/>
        <item x="651"/>
        <item x="1557"/>
        <item x="1370"/>
        <item x="1652"/>
        <item x="1059"/>
        <item x="1097"/>
        <item x="143"/>
        <item x="223"/>
        <item x="1514"/>
        <item x="1550"/>
        <item x="140"/>
        <item x="827"/>
        <item x="1666"/>
        <item x="450"/>
        <item x="124"/>
        <item x="1237"/>
        <item x="1453"/>
        <item x="1045"/>
        <item x="129"/>
        <item x="108"/>
        <item x="404"/>
        <item x="1277"/>
        <item x="848"/>
        <item x="1197"/>
        <item x="954"/>
        <item x="1102"/>
        <item x="642"/>
        <item x="1385"/>
        <item x="6"/>
        <item x="1176"/>
        <item x="1573"/>
        <item x="1307"/>
        <item x="596"/>
        <item x="1496"/>
        <item x="448"/>
        <item x="835"/>
        <item x="220"/>
        <item x="255"/>
        <item x="186"/>
        <item x="616"/>
        <item x="890"/>
        <item x="1309"/>
        <item x="834"/>
        <item x="495"/>
        <item x="109"/>
        <item x="1447"/>
        <item x="1377"/>
        <item x="1101"/>
        <item x="227"/>
        <item x="905"/>
        <item x="138"/>
        <item x="782"/>
        <item x="260"/>
        <item x="550"/>
        <item x="895"/>
        <item x="367"/>
        <item x="1051"/>
        <item x="131"/>
        <item x="995"/>
        <item x="1300"/>
        <item x="909"/>
        <item x="538"/>
        <item x="324"/>
        <item x="446"/>
        <item x="279"/>
        <item x="756"/>
        <item x="501"/>
        <item x="528"/>
        <item x="95"/>
        <item x="1012"/>
        <item x="1142"/>
        <item x="1388"/>
        <item x="337"/>
        <item x="1192"/>
        <item x="47"/>
        <item x="559"/>
        <item x="1333"/>
        <item x="79"/>
        <item x="1430"/>
        <item x="1559"/>
        <item x="10"/>
        <item x="1018"/>
        <item x="1164"/>
        <item x="1075"/>
        <item x="313"/>
        <item x="53"/>
        <item x="1564"/>
        <item x="652"/>
        <item x="194"/>
        <item x="358"/>
        <item x="1189"/>
        <item x="771"/>
        <item x="1531"/>
        <item x="628"/>
        <item x="1204"/>
        <item x="295"/>
        <item x="37"/>
        <item x="733"/>
        <item x="178"/>
        <item x="1317"/>
        <item x="1673"/>
        <item x="318"/>
        <item x="776"/>
        <item x="831"/>
        <item x="1186"/>
        <item x="34"/>
        <item x="1132"/>
        <item x="81"/>
        <item x="380"/>
        <item x="150"/>
        <item x="482"/>
        <item x="1086"/>
        <item x="176"/>
        <item x="1537"/>
        <item x="1233"/>
        <item x="75"/>
        <item x="112"/>
        <item x="798"/>
        <item x="1315"/>
        <item x="168"/>
        <item x="582"/>
        <item x="1665"/>
        <item x="946"/>
        <item x="481"/>
        <item x="1486"/>
        <item x="308"/>
        <item x="630"/>
        <item x="360"/>
        <item x="1000"/>
        <item x="83"/>
        <item x="31"/>
        <item x="964"/>
        <item x="1129"/>
        <item x="1117"/>
        <item x="1015"/>
        <item x="468"/>
        <item x="232"/>
        <item x="996"/>
        <item x="1225"/>
        <item x="298"/>
        <item x="1476"/>
        <item x="741"/>
        <item x="1641"/>
        <item x="1213"/>
        <item x="773"/>
        <item x="461"/>
        <item x="739"/>
        <item x="1211"/>
        <item x="451"/>
        <item x="414"/>
        <item x="1056"/>
        <item x="1352"/>
        <item x="1108"/>
        <item x="263"/>
        <item x="1092"/>
        <item x="939"/>
        <item x="911"/>
        <item x="868"/>
        <item x="1288"/>
        <item x="1611"/>
        <item x="1055"/>
        <item x="335"/>
        <item x="1028"/>
        <item x="591"/>
        <item x="1504"/>
        <item x="1402"/>
        <item x="1202"/>
        <item x="38"/>
        <item x="730"/>
        <item x="347"/>
        <item x="786"/>
        <item x="281"/>
        <item x="698"/>
        <item x="1434"/>
        <item x="800"/>
        <item x="1325"/>
        <item x="1662"/>
        <item x="1650"/>
        <item x="833"/>
        <item x="118"/>
        <item x="1292"/>
        <item x="1361"/>
        <item x="348"/>
        <item x="1643"/>
        <item x="1100"/>
        <item x="238"/>
        <item x="1217"/>
        <item x="1436"/>
        <item x="179"/>
        <item x="1466"/>
        <item x="680"/>
        <item x="694"/>
        <item x="3"/>
        <item x="737"/>
        <item x="679"/>
        <item x="884"/>
        <item x="1004"/>
        <item x="910"/>
        <item x="1404"/>
        <item x="1520"/>
        <item x="1644"/>
        <item x="686"/>
        <item x="1586"/>
        <item x="203"/>
        <item x="533"/>
        <item x="923"/>
        <item x="1376"/>
        <item x="1551"/>
        <item x="1268"/>
        <item x="1027"/>
        <item x="948"/>
        <item x="1052"/>
        <item x="885"/>
        <item x="206"/>
        <item x="25"/>
        <item x="907"/>
        <item x="195"/>
        <item x="208"/>
        <item x="1324"/>
        <item x="989"/>
        <item x="9"/>
        <item x="1084"/>
        <item x="278"/>
        <item x="491"/>
        <item x="1393"/>
        <item x="303"/>
        <item x="1384"/>
        <item x="1381"/>
        <item x="452"/>
        <item x="489"/>
        <item x="416"/>
        <item x="1574"/>
        <item x="402"/>
        <item x="493"/>
        <item x="1256"/>
        <item x="141"/>
        <item x="534"/>
        <item x="812"/>
        <item x="1194"/>
        <item x="945"/>
        <item x="1278"/>
        <item x="1364"/>
        <item x="484"/>
        <item x="1528"/>
        <item x="65"/>
        <item x="1660"/>
        <item x="1039"/>
        <item x="1026"/>
        <item x="1481"/>
        <item x="1450"/>
        <item x="92"/>
        <item x="631"/>
        <item x="1407"/>
        <item x="1553"/>
        <item x="1279"/>
        <item x="990"/>
        <item x="379"/>
        <item x="1638"/>
        <item x="18"/>
        <item x="784"/>
        <item x="696"/>
        <item x="790"/>
        <item x="886"/>
        <item x="622"/>
        <item x="128"/>
        <item x="1516"/>
        <item x="634"/>
        <item x="753"/>
        <item x="1054"/>
        <item x="1323"/>
        <item x="62"/>
        <item x="132"/>
        <item x="1220"/>
        <item x="685"/>
        <item x="888"/>
        <item x="359"/>
        <item x="1287"/>
        <item x="887"/>
        <item x="1424"/>
        <item x="1214"/>
        <item x="1423"/>
        <item x="1591"/>
        <item x="1659"/>
        <item x="704"/>
        <item x="269"/>
        <item x="486"/>
        <item x="1425"/>
        <item x="192"/>
        <item x="1455"/>
        <item x="1484"/>
        <item x="1155"/>
        <item x="687"/>
        <item x="689"/>
        <item x="1610"/>
        <item x="657"/>
        <item x="1228"/>
        <item x="653"/>
        <item x="546"/>
        <item x="809"/>
        <item x="1608"/>
        <item x="1511"/>
        <item x="646"/>
        <item x="1061"/>
        <item x="524"/>
        <item x="184"/>
        <item x="35"/>
        <item x="1203"/>
        <item x="1628"/>
        <item x="650"/>
        <item x="1099"/>
        <item x="1009"/>
        <item x="823"/>
        <item x="462"/>
        <item x="1413"/>
        <item x="1536"/>
        <item x="17"/>
        <item x="32"/>
        <item x="23"/>
        <item x="1351"/>
        <item x="778"/>
        <item x="1347"/>
        <item x="247"/>
        <item x="505"/>
        <item x="856"/>
        <item x="107"/>
        <item x="1193"/>
        <item x="1141"/>
        <item x="1535"/>
        <item x="1326"/>
        <item x="540"/>
        <item x="274"/>
        <item x="755"/>
        <item x="1555"/>
        <item x="105"/>
        <item x="235"/>
        <item x="874"/>
        <item x="618"/>
        <item x="382"/>
        <item x="1604"/>
        <item x="483"/>
        <item x="396"/>
        <item x="1037"/>
        <item x="1289"/>
        <item x="94"/>
        <item x="256"/>
        <item x="146"/>
        <item x="117"/>
        <item x="1581"/>
        <item x="763"/>
        <item x="1148"/>
        <item x="567"/>
        <item x="301"/>
        <item x="328"/>
        <item x="289"/>
        <item x="275"/>
        <item x="523"/>
        <item x="1375"/>
        <item x="949"/>
        <item x="902"/>
        <item x="98"/>
        <item x="240"/>
        <item x="1316"/>
        <item x="1283"/>
        <item x="561"/>
        <item x="1263"/>
        <item x="916"/>
        <item x="1417"/>
        <item x="971"/>
        <item x="509"/>
        <item x="1582"/>
        <item x="525"/>
        <item x="293"/>
        <item x="1259"/>
        <item x="1053"/>
        <item x="878"/>
        <item x="1505"/>
        <item x="215"/>
        <item x="1207"/>
        <item x="767"/>
        <item x="488"/>
        <item x="713"/>
        <item x="1343"/>
        <item x="662"/>
        <item x="820"/>
        <item x="854"/>
        <item x="1174"/>
        <item x="1480"/>
        <item x="624"/>
        <item x="334"/>
        <item x="789"/>
        <item x="1658"/>
        <item x="20"/>
        <item x="1465"/>
        <item x="1115"/>
        <item x="697"/>
        <item x="191"/>
        <item x="1161"/>
        <item x="1540"/>
        <item x="529"/>
        <item x="1482"/>
        <item x="1049"/>
        <item x="1183"/>
        <item x="1613"/>
        <item x="1507"/>
        <item x="39"/>
        <item x="93"/>
        <item x="96"/>
        <item x="288"/>
        <item x="26"/>
        <item x="447"/>
        <item x="1252"/>
        <item x="166"/>
        <item x="588"/>
        <item x="1679"/>
        <item x="1367"/>
        <item x="1210"/>
        <item x="55"/>
        <item x="1250"/>
        <item x="598"/>
        <item x="144"/>
        <item x="1151"/>
        <item x="1079"/>
        <item x="1147"/>
        <item x="674"/>
        <item x="1400"/>
        <item x="474"/>
        <item x="193"/>
        <item x="366"/>
        <item x="1646"/>
        <item x="959"/>
        <item x="1094"/>
        <item x="139"/>
        <item x="1016"/>
        <item x="876"/>
        <item x="331"/>
        <item x="882"/>
        <item x="1548"/>
        <item x="1433"/>
        <item t="default"/>
      </items>
    </pivotField>
    <pivotField showAll="0"/>
    <pivotField showAll="0"/>
    <pivotField showAll="0"/>
    <pivotField showAll="0"/>
    <pivotField showAll="0" measureFilter="1">
      <items count="3523">
        <item x="2398"/>
        <item x="1366"/>
        <item x="3040"/>
        <item x="757"/>
        <item x="919"/>
        <item x="81"/>
        <item x="2719"/>
        <item x="3386"/>
        <item x="1979"/>
        <item x="1259"/>
        <item x="1910"/>
        <item x="2057"/>
        <item x="929"/>
        <item x="2877"/>
        <item x="2778"/>
        <item x="3097"/>
        <item x="1312"/>
        <item x="2141"/>
        <item x="2750"/>
        <item x="1964"/>
        <item x="611"/>
        <item x="527"/>
        <item x="2757"/>
        <item x="1093"/>
        <item x="3512"/>
        <item x="1073"/>
        <item x="1379"/>
        <item x="701"/>
        <item x="126"/>
        <item x="1273"/>
        <item x="831"/>
        <item x="1042"/>
        <item x="3158"/>
        <item x="3194"/>
        <item x="1689"/>
        <item x="2793"/>
        <item x="3062"/>
        <item x="1054"/>
        <item x="932"/>
        <item x="3393"/>
        <item x="2552"/>
        <item x="1081"/>
        <item x="1935"/>
        <item x="3316"/>
        <item x="1274"/>
        <item x="2692"/>
        <item x="2468"/>
        <item x="441"/>
        <item x="494"/>
        <item x="1773"/>
        <item x="1798"/>
        <item x="850"/>
        <item x="948"/>
        <item x="2553"/>
        <item x="944"/>
        <item x="1869"/>
        <item x="1139"/>
        <item x="1599"/>
        <item x="2330"/>
        <item x="2324"/>
        <item x="3051"/>
        <item x="577"/>
        <item x="2555"/>
        <item x="1191"/>
        <item x="2131"/>
        <item x="88"/>
        <item x="2800"/>
        <item x="3349"/>
        <item x="3"/>
        <item x="3275"/>
        <item x="385"/>
        <item x="592"/>
        <item x="631"/>
        <item x="1003"/>
        <item x="2705"/>
        <item x="1663"/>
        <item x="2735"/>
        <item x="2003"/>
        <item x="3350"/>
        <item x="50"/>
        <item x="752"/>
        <item x="370"/>
        <item x="2176"/>
        <item x="2519"/>
        <item x="3078"/>
        <item x="731"/>
        <item x="510"/>
        <item x="1546"/>
        <item x="962"/>
        <item x="2703"/>
        <item x="2528"/>
        <item x="26"/>
        <item x="1725"/>
        <item x="966"/>
        <item x="2621"/>
        <item x="2910"/>
        <item x="3148"/>
        <item x="3215"/>
        <item x="2178"/>
        <item x="740"/>
        <item x="953"/>
        <item x="1201"/>
        <item x="1896"/>
        <item x="2610"/>
        <item x="3238"/>
        <item x="233"/>
        <item x="741"/>
        <item x="2349"/>
        <item x="721"/>
        <item x="164"/>
        <item x="2297"/>
        <item x="2962"/>
        <item x="2513"/>
        <item x="587"/>
        <item x="3032"/>
        <item x="2730"/>
        <item x="712"/>
        <item x="1697"/>
        <item x="2984"/>
        <item x="302"/>
        <item x="1120"/>
        <item x="564"/>
        <item x="437"/>
        <item x="292"/>
        <item x="2269"/>
        <item x="2361"/>
        <item x="1487"/>
        <item x="43"/>
        <item x="3211"/>
        <item x="1779"/>
        <item x="2780"/>
        <item x="1907"/>
        <item x="2709"/>
        <item x="1610"/>
        <item x="1544"/>
        <item x="2020"/>
        <item x="3328"/>
        <item x="576"/>
        <item x="2964"/>
        <item x="3344"/>
        <item x="368"/>
        <item x="3132"/>
        <item x="3481"/>
        <item x="100"/>
        <item x="2120"/>
        <item x="1723"/>
        <item x="1212"/>
        <item x="1015"/>
        <item x="790"/>
        <item x="1778"/>
        <item x="2797"/>
        <item x="1094"/>
        <item x="767"/>
        <item x="735"/>
        <item x="2839"/>
        <item x="616"/>
        <item x="2588"/>
        <item x="3422"/>
        <item x="78"/>
        <item x="33"/>
        <item x="2470"/>
        <item x="2173"/>
        <item x="1287"/>
        <item x="1338"/>
        <item x="1223"/>
        <item x="3487"/>
        <item x="803"/>
        <item x="3278"/>
        <item x="2544"/>
        <item x="2949"/>
        <item x="425"/>
        <item x="2530"/>
        <item x="2881"/>
        <item x="1908"/>
        <item x="51"/>
        <item x="408"/>
        <item x="3222"/>
        <item x="2299"/>
        <item x="3046"/>
        <item x="687"/>
        <item x="3336"/>
        <item x="140"/>
        <item x="1269"/>
        <item x="160"/>
        <item x="1460"/>
        <item x="340"/>
        <item x="990"/>
        <item x="3241"/>
        <item x="1370"/>
        <item x="2368"/>
        <item x="38"/>
        <item x="1062"/>
        <item x="1543"/>
        <item x="2755"/>
        <item x="2308"/>
        <item x="2133"/>
        <item x="927"/>
        <item x="3233"/>
        <item x="2895"/>
        <item x="2520"/>
        <item x="541"/>
        <item x="800"/>
        <item x="2404"/>
        <item x="1545"/>
        <item x="2791"/>
        <item x="3110"/>
        <item x="802"/>
        <item x="2779"/>
        <item x="1174"/>
        <item x="3068"/>
        <item x="3175"/>
        <item x="3468"/>
        <item x="2752"/>
        <item x="211"/>
        <item x="348"/>
        <item x="2798"/>
        <item x="3220"/>
        <item x="2843"/>
        <item x="2429"/>
        <item x="1873"/>
        <item x="2616"/>
        <item x="2458"/>
        <item x="3218"/>
        <item x="2061"/>
        <item x="3033"/>
        <item x="762"/>
        <item x="1373"/>
        <item x="2321"/>
        <item x="3431"/>
        <item x="2113"/>
        <item x="2799"/>
        <item x="2618"/>
        <item x="1190"/>
        <item x="3420"/>
        <item x="3256"/>
        <item x="2393"/>
        <item x="1383"/>
        <item x="557"/>
        <item x="3095"/>
        <item x="3348"/>
        <item x="470"/>
        <item x="2576"/>
        <item x="3150"/>
        <item x="2372"/>
        <item x="591"/>
        <item x="1845"/>
        <item x="1743"/>
        <item x="1555"/>
        <item x="1754"/>
        <item x="2300"/>
        <item x="3133"/>
        <item x="1656"/>
        <item x="3060"/>
        <item x="2721"/>
        <item x="2424"/>
        <item x="1066"/>
        <item x="836"/>
        <item x="2442"/>
        <item x="1278"/>
        <item x="595"/>
        <item x="543"/>
        <item x="241"/>
        <item x="1916"/>
        <item x="2922"/>
        <item x="2154"/>
        <item x="1628"/>
        <item x="1219"/>
        <item x="1745"/>
        <item x="1205"/>
        <item x="90"/>
        <item x="1215"/>
        <item x="2894"/>
        <item x="2351"/>
        <item x="394"/>
        <item x="3156"/>
        <item x="2464"/>
        <item x="1481"/>
        <item x="1646"/>
        <item x="2539"/>
        <item x="973"/>
        <item x="2566"/>
        <item x="655"/>
        <item x="2969"/>
        <item x="905"/>
        <item x="531"/>
        <item x="1443"/>
        <item x="1496"/>
        <item x="2993"/>
        <item x="969"/>
        <item x="3180"/>
        <item x="3247"/>
        <item x="2640"/>
        <item x="496"/>
        <item x="238"/>
        <item x="94"/>
        <item x="1819"/>
        <item x="35"/>
        <item x="1516"/>
        <item x="128"/>
        <item x="1385"/>
        <item x="3414"/>
        <item x="3462"/>
        <item x="1898"/>
        <item x="1928"/>
        <item x="1541"/>
        <item x="1826"/>
        <item x="2766"/>
        <item x="3089"/>
        <item x="3002"/>
        <item x="2600"/>
        <item x="2625"/>
        <item x="288"/>
        <item x="3381"/>
        <item x="111"/>
        <item x="32"/>
        <item x="1732"/>
        <item x="2292"/>
        <item x="2323"/>
        <item x="332"/>
        <item x="785"/>
        <item x="2885"/>
        <item x="2278"/>
        <item x="1944"/>
        <item x="570"/>
        <item x="1114"/>
        <item x="2879"/>
        <item x="1940"/>
        <item x="2462"/>
        <item x="1758"/>
        <item x="700"/>
        <item x="2408"/>
        <item x="2932"/>
        <item x="1762"/>
        <item x="2313"/>
        <item x="1992"/>
        <item x="3104"/>
        <item x="2183"/>
        <item x="2291"/>
        <item x="3169"/>
        <item x="812"/>
        <item x="604"/>
        <item x="2461"/>
        <item x="148"/>
        <item x="1547"/>
        <item x="2899"/>
        <item x="2527"/>
        <item x="3072"/>
        <item x="2581"/>
        <item x="612"/>
        <item x="113"/>
        <item x="2500"/>
        <item x="1486"/>
        <item x="1521"/>
        <item x="2283"/>
        <item x="1731"/>
        <item x="1714"/>
        <item x="2180"/>
        <item x="1681"/>
        <item x="1864"/>
        <item x="2542"/>
        <item x="1395"/>
        <item x="1706"/>
        <item x="1193"/>
        <item x="1041"/>
        <item x="705"/>
        <item x="3287"/>
        <item x="2942"/>
        <item x="890"/>
        <item x="3260"/>
        <item x="551"/>
        <item x="301"/>
        <item x="1354"/>
        <item x="804"/>
        <item x="3433"/>
        <item x="266"/>
        <item x="1735"/>
        <item x="2230"/>
        <item x="2702"/>
        <item x="1462"/>
        <item x="236"/>
        <item x="2915"/>
        <item x="2783"/>
        <item x="10"/>
        <item x="1854"/>
        <item x="1529"/>
        <item x="1375"/>
        <item x="1199"/>
        <item x="2592"/>
        <item x="1925"/>
        <item x="3292"/>
        <item x="3164"/>
        <item x="1884"/>
        <item x="1441"/>
        <item x="2672"/>
        <item x="1078"/>
        <item x="1421"/>
        <item x="3200"/>
        <item x="2560"/>
        <item x="3510"/>
        <item x="1001"/>
        <item x="3405"/>
        <item x="2140"/>
        <item x="820"/>
        <item x="1590"/>
        <item x="1478"/>
        <item x="2027"/>
        <item x="3313"/>
        <item x="2884"/>
        <item x="1218"/>
        <item x="1160"/>
        <item x="3518"/>
        <item x="2499"/>
        <item x="1825"/>
        <item x="1311"/>
        <item x="1102"/>
        <item x="686"/>
        <item x="3124"/>
        <item x="690"/>
        <item x="2568"/>
        <item x="3491"/>
        <item x="282"/>
        <item x="2420"/>
        <item x="808"/>
        <item x="1369"/>
        <item x="2585"/>
        <item x="2653"/>
        <item x="628"/>
        <item x="1737"/>
        <item x="2720"/>
        <item x="2402"/>
        <item x="806"/>
        <item x="809"/>
        <item x="2369"/>
        <item x="2759"/>
        <item x="2574"/>
        <item x="1596"/>
        <item x="3190"/>
        <item x="1634"/>
        <item x="2004"/>
        <item x="3047"/>
        <item x="1225"/>
        <item x="2392"/>
        <item x="2926"/>
        <item x="1126"/>
        <item x="194"/>
        <item x="130"/>
        <item x="978"/>
        <item x="1865"/>
        <item x="3007"/>
        <item x="1176"/>
        <item x="1489"/>
        <item x="2009"/>
        <item x="2202"/>
        <item x="2900"/>
        <item x="615"/>
        <item x="3179"/>
        <item x="1556"/>
        <item x="1293"/>
        <item x="3157"/>
        <item x="1946"/>
        <item x="1471"/>
        <item x="165"/>
        <item x="538"/>
        <item x="191"/>
        <item x="2021"/>
        <item x="2736"/>
        <item x="1244"/>
        <item x="3012"/>
        <item x="737"/>
        <item x="945"/>
        <item x="2190"/>
        <item x="244"/>
        <item x="3513"/>
        <item x="3048"/>
        <item x="3137"/>
        <item x="600"/>
        <item x="2596"/>
        <item x="386"/>
        <item x="1890"/>
        <item x="2647"/>
        <item x="3052"/>
        <item x="3243"/>
        <item x="1703"/>
        <item x="755"/>
        <item x="65"/>
        <item x="2990"/>
        <item x="1929"/>
        <item x="2833"/>
        <item x="1988"/>
        <item x="2311"/>
        <item x="2796"/>
        <item x="3006"/>
        <item x="2008"/>
        <item x="838"/>
        <item x="2728"/>
        <item x="2699"/>
        <item x="2448"/>
        <item x="3442"/>
        <item x="621"/>
        <item x="1228"/>
        <item x="183"/>
        <item x="3123"/>
        <item x="2316"/>
        <item x="610"/>
        <item x="3163"/>
        <item x="3171"/>
        <item x="3421"/>
        <item x="1895"/>
        <item x="371"/>
        <item x="2425"/>
        <item x="566"/>
        <item x="981"/>
        <item x="2987"/>
        <item x="433"/>
        <item x="780"/>
        <item x="2711"/>
        <item x="448"/>
        <item x="2892"/>
        <item x="2065"/>
        <item x="1867"/>
        <item x="503"/>
        <item x="2186"/>
        <item x="1371"/>
        <item x="3509"/>
        <item x="159"/>
        <item x="3511"/>
        <item x="2868"/>
        <item x="1057"/>
        <item x="2485"/>
        <item x="1604"/>
        <item x="3065"/>
        <item x="237"/>
        <item x="3356"/>
        <item x="3221"/>
        <item x="1512"/>
        <item x="2948"/>
        <item x="1071"/>
        <item x="1294"/>
        <item x="2869"/>
        <item x="2803"/>
        <item x="834"/>
        <item x="375"/>
        <item x="2582"/>
        <item x="2454"/>
        <item x="15"/>
        <item x="1185"/>
        <item x="2831"/>
        <item x="763"/>
        <item x="1978"/>
        <item x="1289"/>
        <item x="2071"/>
        <item x="881"/>
        <item x="2477"/>
        <item x="1121"/>
        <item x="3187"/>
        <item x="285"/>
        <item x="1173"/>
        <item x="447"/>
        <item x="1033"/>
        <item x="1858"/>
        <item x="1108"/>
        <item x="2620"/>
        <item x="550"/>
        <item x="2920"/>
        <item x="254"/>
        <item x="2171"/>
        <item x="2231"/>
        <item x="3373"/>
        <item x="1413"/>
        <item x="110"/>
        <item x="872"/>
        <item x="2136"/>
        <item x="3281"/>
        <item x="3500"/>
        <item x="3387"/>
        <item x="750"/>
        <item x="662"/>
        <item x="1435"/>
        <item x="2307"/>
        <item x="1744"/>
        <item x="893"/>
        <item x="3011"/>
        <item x="1153"/>
        <item x="2488"/>
        <item x="594"/>
        <item x="377"/>
        <item x="2864"/>
        <item x="2252"/>
        <item x="296"/>
        <item x="2815"/>
        <item x="1334"/>
        <item x="2147"/>
        <item x="3014"/>
        <item x="1609"/>
        <item x="1100"/>
        <item x="1447"/>
        <item x="3485"/>
        <item x="1625"/>
        <item x="2737"/>
        <item x="2132"/>
        <item x="2025"/>
        <item x="1763"/>
        <item x="278"/>
        <item x="1593"/>
        <item x="477"/>
        <item x="826"/>
        <item x="2650"/>
        <item x="786"/>
        <item x="1148"/>
        <item x="281"/>
        <item x="3076"/>
        <item x="3152"/>
        <item x="1515"/>
        <item x="3479"/>
        <item x="1851"/>
        <item x="724"/>
        <item x="3411"/>
        <item x="1974"/>
        <item x="3197"/>
        <item x="1710"/>
        <item x="2244"/>
        <item x="562"/>
        <item x="1835"/>
        <item x="2050"/>
        <item x="3035"/>
        <item x="2353"/>
        <item x="2607"/>
        <item x="1976"/>
        <item x="533"/>
        <item x="2037"/>
        <item x="374"/>
        <item x="108"/>
        <item x="480"/>
        <item x="1387"/>
        <item x="993"/>
        <item x="1202"/>
        <item x="1649"/>
        <item x="214"/>
        <item x="1029"/>
        <item x="3453"/>
        <item x="3452"/>
        <item x="2067"/>
        <item x="1573"/>
        <item x="956"/>
        <item x="3377"/>
        <item x="2492"/>
        <item x="210"/>
        <item x="2743"/>
        <item x="904"/>
        <item x="1467"/>
        <item x="2998"/>
        <item x="873"/>
        <item x="2339"/>
        <item x="2521"/>
        <item x="3471"/>
        <item x="2817"/>
        <item x="558"/>
        <item x="3353"/>
        <item x="2287"/>
        <item x="3067"/>
        <item x="1195"/>
        <item x="1730"/>
        <item x="2669"/>
        <item x="1799"/>
        <item x="188"/>
        <item x="798"/>
        <item x="2688"/>
        <item x="1143"/>
        <item x="512"/>
        <item x="1362"/>
        <item x="2164"/>
        <item x="1364"/>
        <item x="2146"/>
        <item x="3466"/>
        <item x="1140"/>
        <item x="3493"/>
        <item x="3153"/>
        <item x="42"/>
        <item x="2222"/>
        <item x="3050"/>
        <item x="1353"/>
        <item x="1796"/>
        <item x="485"/>
        <item x="2456"/>
        <item x="3139"/>
        <item x="649"/>
        <item x="1561"/>
        <item x="670"/>
        <item x="2767"/>
        <item x="1064"/>
        <item x="3001"/>
        <item x="144"/>
        <item x="1909"/>
        <item x="1249"/>
        <item x="936"/>
        <item x="2706"/>
        <item x="2108"/>
        <item x="280"/>
        <item x="657"/>
        <item x="2137"/>
        <item x="862"/>
        <item x="2855"/>
        <item x="2805"/>
        <item x="2916"/>
        <item x="3369"/>
        <item x="3034"/>
        <item x="2968"/>
        <item x="716"/>
        <item x="1666"/>
        <item x="264"/>
        <item x="622"/>
        <item x="3186"/>
        <item x="725"/>
        <item x="1915"/>
        <item x="3274"/>
        <item x="2309"/>
        <item x="73"/>
        <item x="392"/>
        <item x="2617"/>
        <item x="926"/>
        <item x="1810"/>
        <item x="404"/>
        <item x="1399"/>
        <item x="393"/>
        <item x="297"/>
        <item x="2774"/>
        <item x="2570"/>
        <item x="2532"/>
        <item x="571"/>
        <item x="3298"/>
        <item x="1694"/>
        <item x="3071"/>
        <item x="965"/>
        <item x="2727"/>
        <item x="3276"/>
        <item x="246"/>
        <item x="2105"/>
        <item x="1603"/>
        <item x="2356"/>
        <item x="1861"/>
        <item x="430"/>
        <item x="1306"/>
        <item x="1434"/>
        <item x="3267"/>
        <item x="484"/>
        <item x="1586"/>
        <item x="3461"/>
        <item x="2377"/>
        <item x="61"/>
        <item x="2557"/>
        <item x="169"/>
        <item x="3214"/>
        <item x="1030"/>
        <item x="3105"/>
        <item x="3326"/>
        <item x="450"/>
        <item x="207"/>
        <item x="3248"/>
        <item x="2399"/>
        <item x="828"/>
        <item x="1243"/>
        <item x="2540"/>
        <item x="1801"/>
        <item x="563"/>
        <item x="2388"/>
        <item x="1806"/>
        <item x="819"/>
        <item x="1298"/>
        <item x="2325"/>
        <item x="567"/>
        <item x="1275"/>
        <item x="536"/>
        <item x="719"/>
        <item x="2301"/>
        <item x="173"/>
        <item x="1419"/>
        <item x="946"/>
        <item x="2913"/>
        <item x="455"/>
        <item x="1534"/>
        <item x="2407"/>
        <item x="2659"/>
        <item x="2991"/>
        <item x="1636"/>
        <item x="714"/>
        <item x="1141"/>
        <item x="2504"/>
        <item x="2326"/>
        <item x="2994"/>
        <item x="1234"/>
        <item x="2773"/>
        <item x="92"/>
        <item x="1034"/>
        <item x="53"/>
        <item x="1600"/>
        <item x="1444"/>
        <item x="520"/>
        <item x="744"/>
        <item x="52"/>
        <item x="1945"/>
        <item x="58"/>
        <item x="749"/>
        <item x="2517"/>
        <item x="2861"/>
        <item x="805"/>
        <item x="3129"/>
        <item x="2646"/>
        <item x="634"/>
        <item x="3425"/>
        <item x="198"/>
        <item x="2248"/>
        <item x="2282"/>
        <item x="2346"/>
        <item x="3178"/>
        <item x="1175"/>
        <item x="1017"/>
        <item x="275"/>
        <item x="1956"/>
        <item x="1699"/>
        <item x="67"/>
        <item x="717"/>
        <item x="2551"/>
        <item x="1372"/>
        <item x="1035"/>
        <item x="1708"/>
        <item x="1233"/>
        <item x="580"/>
        <item x="406"/>
        <item x="2212"/>
        <item x="3263"/>
        <item x="473"/>
        <item x="1953"/>
        <item x="2844"/>
        <item x="2950"/>
        <item x="2959"/>
        <item x="3408"/>
        <item x="2032"/>
        <item x="3135"/>
        <item x="407"/>
        <item x="457"/>
        <item x="466"/>
        <item x="1594"/>
        <item x="3402"/>
        <item x="359"/>
        <item x="2583"/>
        <item x="1833"/>
        <item x="979"/>
        <item x="679"/>
        <item x="117"/>
        <item x="1342"/>
        <item x="2310"/>
        <item x="2417"/>
        <item x="3077"/>
        <item x="1465"/>
        <item x="1335"/>
        <item x="1595"/>
        <item x="1307"/>
        <item x="987"/>
        <item x="1216"/>
        <item x="2707"/>
        <item x="1440"/>
        <item x="181"/>
        <item x="947"/>
        <item x="1210"/>
        <item x="1213"/>
        <item x="1808"/>
        <item x="2567"/>
        <item x="2637"/>
        <item x="463"/>
        <item x="1766"/>
        <item x="3165"/>
        <item x="3231"/>
        <item x="400"/>
        <item x="0"/>
        <item x="2739"/>
        <item x="178"/>
        <item x="1286"/>
        <item x="2897"/>
        <item x="486"/>
        <item x="954"/>
        <item x="2007"/>
        <item x="2127"/>
        <item x="312"/>
        <item x="2508"/>
        <item x="293"/>
        <item x="3489"/>
        <item x="797"/>
        <item x="2595"/>
        <item x="2801"/>
        <item x="3514"/>
        <item x="2786"/>
        <item x="3378"/>
        <item x="27"/>
        <item x="2109"/>
        <item x="548"/>
        <item x="1061"/>
        <item x="2263"/>
        <item x="3172"/>
        <item x="3112"/>
        <item x="1968"/>
        <item x="2366"/>
        <item x="618"/>
        <item x="2658"/>
        <item x="556"/>
        <item x="1115"/>
        <item x="3374"/>
        <item x="70"/>
        <item x="2751"/>
        <item x="469"/>
        <item x="1051"/>
        <item x="1635"/>
        <item x="1640"/>
        <item x="1261"/>
        <item x="1179"/>
        <item x="3107"/>
        <item x="2992"/>
        <item x="369"/>
        <item x="257"/>
        <item x="258"/>
        <item x="1437"/>
        <item x="1422"/>
        <item x="584"/>
        <item x="2046"/>
        <item x="3023"/>
        <item x="980"/>
        <item x="1490"/>
        <item x="1905"/>
        <item x="2100"/>
        <item x="3079"/>
        <item x="1326"/>
        <item x="438"/>
        <item x="2014"/>
        <item x="338"/>
        <item x="101"/>
        <item x="1292"/>
        <item x="3239"/>
        <item x="3346"/>
        <item x="1527"/>
        <item x="1772"/>
        <item x="748"/>
        <item x="2149"/>
        <item x="286"/>
        <item x="2615"/>
        <item x="363"/>
        <item x="2035"/>
        <item x="334"/>
        <item x="3332"/>
        <item x="1449"/>
        <item x="96"/>
        <item x="2483"/>
        <item x="884"/>
        <item x="176"/>
        <item x="3245"/>
        <item x="72"/>
        <item x="3000"/>
        <item x="2777"/>
        <item x="2350"/>
        <item x="909"/>
        <item x="1570"/>
        <item x="952"/>
        <item x="1497"/>
        <item x="821"/>
        <item x="2853"/>
        <item x="1659"/>
        <item x="2776"/>
        <item x="2254"/>
        <item x="1601"/>
        <item x="2413"/>
        <item x="3342"/>
        <item x="568"/>
        <item x="565"/>
        <item x="2919"/>
        <item x="1906"/>
        <item x="1351"/>
        <item x="3459"/>
        <item x="1691"/>
        <item x="2192"/>
        <item x="2746"/>
        <item x="2118"/>
        <item x="1070"/>
        <item x="2198"/>
        <item x="1378"/>
        <item x="442"/>
        <item x="2505"/>
        <item x="1750"/>
        <item x="1222"/>
        <item x="1488"/>
        <item x="2341"/>
        <item x="1965"/>
        <item x="1052"/>
        <item x="888"/>
        <item x="2396"/>
        <item x="1076"/>
        <item x="242"/>
        <item x="4"/>
        <item x="3480"/>
        <item x="1439"/>
        <item x="1688"/>
        <item x="397"/>
        <item x="3122"/>
        <item x="1687"/>
        <item x="2622"/>
        <item x="1429"/>
        <item x="2410"/>
        <item x="2952"/>
        <item x="3360"/>
        <item x="2239"/>
        <item x="2973"/>
        <item x="2089"/>
        <item x="2806"/>
        <item x="868"/>
        <item x="2069"/>
        <item x="2397"/>
        <item x="1088"/>
        <item x="1359"/>
        <item x="2569"/>
        <item x="277"/>
        <item x="641"/>
        <item x="192"/>
        <item x="778"/>
        <item x="2111"/>
        <item x="3291"/>
        <item x="2097"/>
        <item x="2060"/>
        <item x="174"/>
        <item x="3145"/>
        <item x="138"/>
        <item x="422"/>
        <item x="402"/>
        <item x="569"/>
        <item x="1206"/>
        <item x="1665"/>
        <item x="3382"/>
        <item x="2871"/>
        <item x="1937"/>
        <item x="2245"/>
        <item x="2660"/>
        <item x="124"/>
        <item x="1445"/>
        <item x="270"/>
        <item x="3457"/>
        <item x="817"/>
        <item x="883"/>
        <item x="1349"/>
        <item x="2179"/>
        <item x="1380"/>
        <item x="428"/>
        <item x="1981"/>
        <item x="123"/>
        <item x="2753"/>
        <item x="362"/>
        <item x="1671"/>
        <item x="1332"/>
        <item x="464"/>
        <item x="2167"/>
        <item x="46"/>
        <item x="3418"/>
        <item x="1482"/>
        <item x="1266"/>
        <item x="2765"/>
        <item x="951"/>
        <item x="1633"/>
        <item x="2210"/>
        <item x="961"/>
        <item x="133"/>
        <item x="2562"/>
        <item x="2682"/>
        <item x="1559"/>
        <item x="2335"/>
        <item x="678"/>
        <item x="2845"/>
        <item x="1941"/>
        <item x="360"/>
        <item x="2834"/>
        <item x="2406"/>
        <item x="2866"/>
        <item x="2857"/>
        <item x="80"/>
        <item x="589"/>
        <item x="2157"/>
        <item x="745"/>
        <item x="1263"/>
        <item x="1177"/>
        <item x="1133"/>
        <item x="882"/>
        <item x="2694"/>
        <item x="335"/>
        <item x="2213"/>
        <item x="1707"/>
        <item x="2723"/>
        <item x="1921"/>
        <item x="1818"/>
        <item x="2093"/>
        <item x="2080"/>
        <item x="3507"/>
        <item x="579"/>
        <item x="247"/>
        <item x="553"/>
        <item x="715"/>
        <item x="2475"/>
        <item x="1539"/>
        <item x="585"/>
        <item x="523"/>
        <item x="1729"/>
        <item x="3467"/>
        <item x="574"/>
        <item x="792"/>
        <item x="2102"/>
        <item x="1551"/>
        <item x="379"/>
        <item x="2467"/>
        <item x="887"/>
        <item x="1270"/>
        <item x="151"/>
        <item x="3058"/>
        <item x="2196"/>
        <item x="943"/>
        <item x="1455"/>
        <item x="79"/>
        <item x="1103"/>
        <item x="63"/>
        <item x="3219"/>
        <item x="2218"/>
        <item x="1318"/>
        <item x="1059"/>
        <item x="68"/>
        <item x="3074"/>
        <item x="99"/>
        <item x="1248"/>
        <item x="1952"/>
        <item x="759"/>
        <item x="2856"/>
        <item x="2579"/>
        <item x="915"/>
        <item x="1097"/>
        <item x="3090"/>
        <item x="2957"/>
        <item x="1253"/>
        <item x="1592"/>
        <item x="2275"/>
        <item x="2810"/>
        <item x="1522"/>
        <item x="1207"/>
        <item x="2515"/>
        <item x="3473"/>
        <item x="228"/>
        <item x="1340"/>
        <item x="2016"/>
        <item x="3416"/>
        <item x="193"/>
        <item x="337"/>
        <item x="3367"/>
        <item x="1377"/>
        <item x="1192"/>
        <item x="2813"/>
        <item x="810"/>
        <item x="45"/>
        <item x="2947"/>
        <item x="1322"/>
        <item x="3063"/>
        <item x="840"/>
        <item x="1130"/>
        <item x="903"/>
        <item x="351"/>
        <item x="2586"/>
        <item x="2221"/>
        <item x="1285"/>
        <item x="1518"/>
        <item x="2478"/>
        <item x="2070"/>
        <item x="2609"/>
        <item x="3398"/>
        <item x="2423"/>
        <item x="2938"/>
        <item x="1154"/>
        <item x="1136"/>
        <item x="1405"/>
        <item x="613"/>
        <item x="1166"/>
        <item x="2691"/>
        <item x="3334"/>
        <item x="1131"/>
        <item x="2381"/>
        <item x="1803"/>
        <item x="3203"/>
        <item x="2473"/>
        <item x="1187"/>
        <item x="2013"/>
        <item x="492"/>
        <item x="2486"/>
        <item x="734"/>
        <item x="3372"/>
        <item x="2161"/>
        <item x="1846"/>
        <item x="3199"/>
        <item x="793"/>
        <item x="1951"/>
        <item x="2619"/>
        <item x="1692"/>
        <item x="274"/>
        <item x="1304"/>
        <item x="306"/>
        <item x="989"/>
        <item x="1476"/>
        <item x="1571"/>
        <item x="2182"/>
        <item x="2234"/>
        <item x="2824"/>
        <item x="209"/>
        <item x="637"/>
        <item x="1760"/>
        <item x="1038"/>
        <item x="506"/>
        <item x="1012"/>
        <item x="3451"/>
        <item x="22"/>
        <item x="499"/>
        <item x="959"/>
        <item x="1892"/>
        <item x="1891"/>
        <item x="665"/>
        <item x="1438"/>
        <item x="718"/>
        <item x="2030"/>
        <item x="2563"/>
        <item x="2260"/>
        <item x="1622"/>
        <item x="2455"/>
        <item x="1757"/>
        <item x="225"/>
        <item x="28"/>
        <item x="488"/>
        <item x="2601"/>
        <item x="2936"/>
        <item x="3388"/>
        <item x="3096"/>
        <item x="1208"/>
        <item x="37"/>
        <item x="1841"/>
        <item x="1461"/>
        <item x="3521"/>
        <item x="1643"/>
        <item x="462"/>
        <item x="2459"/>
        <item x="2251"/>
        <item x="2712"/>
        <item x="1420"/>
        <item x="3088"/>
        <item x="1389"/>
        <item x="2664"/>
        <item x="1402"/>
        <item x="2534"/>
        <item x="234"/>
        <item x="3288"/>
        <item x="493"/>
        <item x="260"/>
        <item x="434"/>
        <item x="1959"/>
        <item x="839"/>
        <item x="1425"/>
        <item x="172"/>
        <item x="3130"/>
        <item x="1069"/>
        <item x="2733"/>
        <item x="350"/>
        <item x="2159"/>
        <item x="1204"/>
        <item x="1314"/>
        <item x="2525"/>
        <item x="444"/>
        <item x="597"/>
        <item x="2289"/>
        <item x="1082"/>
        <item x="2965"/>
        <item x="1879"/>
        <item x="2206"/>
        <item x="3143"/>
        <item x="1072"/>
        <item x="2820"/>
        <item x="1711"/>
        <item x="918"/>
        <item x="1337"/>
        <item x="2876"/>
        <item x="384"/>
        <item x="383"/>
        <item x="1255"/>
        <item x="2380"/>
        <item x="289"/>
        <item x="399"/>
        <item x="3093"/>
        <item x="2698"/>
        <item x="342"/>
        <item x="2045"/>
        <item x="1931"/>
        <item x="995"/>
        <item x="1264"/>
        <item x="1886"/>
        <item x="1969"/>
        <item x="317"/>
        <item x="3070"/>
        <item x="252"/>
        <item x="908"/>
        <item x="970"/>
        <item x="532"/>
        <item x="136"/>
        <item x="1105"/>
        <item x="3003"/>
        <item x="2890"/>
        <item x="2514"/>
        <item x="2197"/>
        <item x="736"/>
        <item x="2419"/>
        <item x="1574"/>
        <item x="2507"/>
        <item x="2741"/>
        <item x="2117"/>
        <item x="2362"/>
        <item x="886"/>
        <item x="74"/>
        <item x="2415"/>
        <item x="1014"/>
        <item x="3444"/>
        <item x="895"/>
        <item x="1464"/>
        <item x="1782"/>
        <item x="849"/>
        <item x="2627"/>
        <item x="2214"/>
        <item x="309"/>
        <item x="2545"/>
        <item x="2639"/>
        <item x="187"/>
        <item x="1784"/>
        <item x="2382"/>
        <item x="1357"/>
        <item x="1180"/>
        <item x="1500"/>
        <item x="3234"/>
        <item x="313"/>
        <item x="3027"/>
        <item x="235"/>
        <item x="2063"/>
        <item x="555"/>
        <item x="1475"/>
        <item x="268"/>
        <item x="1074"/>
        <item x="1579"/>
        <item x="2162"/>
        <item x="2671"/>
        <item x="150"/>
        <item x="723"/>
        <item x="413"/>
        <item x="3010"/>
        <item x="607"/>
        <item x="212"/>
        <item x="1089"/>
        <item x="2745"/>
        <item x="1150"/>
        <item x="3312"/>
        <item x="507"/>
        <item x="825"/>
        <item x="1853"/>
        <item x="829"/>
        <item x="1407"/>
        <item x="2633"/>
        <item x="639"/>
        <item x="3159"/>
        <item x="1009"/>
        <item x="739"/>
        <item x="197"/>
        <item x="1575"/>
        <item x="2268"/>
        <item x="619"/>
        <item x="2748"/>
        <item x="1658"/>
        <item x="2497"/>
        <item x="1291"/>
        <item x="2076"/>
        <item x="19"/>
        <item x="876"/>
        <item x="2261"/>
        <item x="269"/>
        <item x="991"/>
        <item x="912"/>
        <item x="2531"/>
        <item x="2734"/>
        <item x="3335"/>
        <item x="2121"/>
        <item x="3391"/>
        <item x="1283"/>
        <item x="106"/>
        <item x="3488"/>
        <item x="3406"/>
        <item x="2303"/>
        <item x="1507"/>
        <item x="2872"/>
        <item x="2651"/>
        <item x="474"/>
        <item x="920"/>
        <item x="3086"/>
        <item x="3085"/>
        <item x="323"/>
        <item x="1832"/>
        <item x="3232"/>
        <item x="1451"/>
        <item x="155"/>
        <item x="1583"/>
        <item x="1690"/>
        <item x="1329"/>
        <item x="2451"/>
        <item x="1923"/>
        <item x="746"/>
        <item x="279"/>
        <item x="2928"/>
        <item x="1230"/>
        <item x="1623"/>
        <item x="711"/>
        <item x="1086"/>
        <item x="968"/>
        <item x="2001"/>
        <item x="1023"/>
        <item x="3379"/>
        <item x="1982"/>
        <item x="34"/>
        <item x="830"/>
        <item x="598"/>
        <item x="650"/>
        <item x="223"/>
        <item x="353"/>
        <item x="2862"/>
        <item x="3036"/>
        <item x="2432"/>
        <item x="2158"/>
        <item x="1282"/>
        <item x="1733"/>
        <item x="1087"/>
        <item x="3064"/>
        <item x="1459"/>
        <item x="1024"/>
        <item x="40"/>
        <item x="3419"/>
        <item x="1736"/>
        <item x="1008"/>
        <item x="787"/>
        <item x="2375"/>
        <item x="1838"/>
        <item x="3505"/>
        <item x="3250"/>
        <item x="3285"/>
        <item x="3290"/>
        <item x="1163"/>
        <item x="1404"/>
        <item x="758"/>
        <item x="2101"/>
        <item x="2336"/>
        <item x="801"/>
        <item x="2655"/>
        <item x="1650"/>
        <item x="2232"/>
        <item x="1063"/>
        <item x="180"/>
        <item x="18"/>
        <item x="3081"/>
        <item x="253"/>
        <item x="3271"/>
        <item x="1589"/>
        <item x="1830"/>
        <item x="666"/>
        <item x="795"/>
        <item x="2594"/>
        <item x="2494"/>
        <item x="975"/>
        <item x="753"/>
        <item x="925"/>
        <item x="1098"/>
        <item x="2526"/>
        <item x="2018"/>
        <item x="1152"/>
        <item x="2873"/>
        <item x="2867"/>
        <item x="1112"/>
        <item x="901"/>
        <item x="1111"/>
        <item x="1341"/>
        <item x="2689"/>
        <item x="2529"/>
        <item x="395"/>
        <item x="175"/>
        <item x="2724"/>
        <item x="262"/>
        <item x="1491"/>
        <item x="3407"/>
        <item x="832"/>
        <item x="3236"/>
        <item x="135"/>
        <item x="572"/>
        <item x="1406"/>
        <item x="2956"/>
        <item x="692"/>
        <item x="1320"/>
        <item x="3438"/>
        <item x="184"/>
        <item x="2914"/>
        <item x="1790"/>
        <item x="3262"/>
        <item x="1793"/>
        <item x="2224"/>
        <item x="3324"/>
        <item x="319"/>
        <item x="3227"/>
        <item x="1705"/>
        <item x="799"/>
        <item x="2327"/>
        <item x="1829"/>
        <item x="2878"/>
        <item x="784"/>
        <item x="833"/>
        <item x="813"/>
        <item x="273"/>
        <item x="131"/>
        <item x="2636"/>
        <item x="2107"/>
        <item x="380"/>
        <item x="2215"/>
        <item x="3106"/>
        <item x="1279"/>
        <item x="1327"/>
        <item x="1505"/>
        <item x="1859"/>
        <item x="1456"/>
        <item x="2139"/>
        <item x="2924"/>
        <item x="775"/>
        <item x="11"/>
        <item x="1280"/>
        <item x="2665"/>
        <item x="1557"/>
        <item x="84"/>
        <item x="1453"/>
        <item x="911"/>
        <item x="2329"/>
        <item x="1761"/>
        <item x="3272"/>
        <item x="206"/>
        <item x="452"/>
        <item x="1795"/>
        <item x="1985"/>
        <item x="1135"/>
        <item x="659"/>
        <item x="3395"/>
        <item x="1099"/>
        <item x="76"/>
        <item x="1999"/>
        <item x="3181"/>
        <item x="1994"/>
        <item x="389"/>
        <item x="2152"/>
        <item x="535"/>
        <item x="1805"/>
        <item x="1161"/>
        <item x="13"/>
        <item x="3347"/>
        <item x="2445"/>
        <item x="2288"/>
        <item x="3191"/>
        <item x="226"/>
        <item x="3437"/>
        <item x="1271"/>
        <item x="2074"/>
        <item x="2077"/>
        <item x="2170"/>
        <item x="1229"/>
        <item x="48"/>
        <item x="3475"/>
        <item x="2852"/>
        <item x="2034"/>
        <item x="923"/>
        <item x="1137"/>
        <item x="2332"/>
        <item x="2386"/>
        <item x="1572"/>
        <item x="127"/>
        <item x="1124"/>
        <item x="2666"/>
        <item x="9"/>
        <item x="185"/>
        <item x="1788"/>
        <item x="2087"/>
        <item x="1552"/>
        <item x="1748"/>
        <item x="722"/>
        <item x="482"/>
        <item x="1303"/>
        <item x="216"/>
        <item x="446"/>
        <item x="2975"/>
        <item x="1347"/>
        <item x="1678"/>
        <item x="1414"/>
        <item x="443"/>
        <item x="2580"/>
        <item x="121"/>
        <item x="1759"/>
        <item x="1618"/>
        <item x="2290"/>
        <item x="2229"/>
        <item x="1597"/>
        <item x="1060"/>
        <item x="1256"/>
        <item x="964"/>
        <item x="3224"/>
        <item x="2247"/>
        <item x="3217"/>
        <item x="2501"/>
        <item x="2732"/>
        <item x="1769"/>
        <item x="1172"/>
        <item x="2593"/>
        <item x="1178"/>
        <item x="1113"/>
        <item x="3026"/>
        <item x="1955"/>
        <item x="1624"/>
        <item x="583"/>
        <item x="1000"/>
        <item x="1240"/>
        <item x="889"/>
        <item x="3319"/>
        <item x="593"/>
        <item x="3501"/>
        <item x="1027"/>
        <item x="2088"/>
        <item x="3306"/>
        <item x="2374"/>
        <item x="2284"/>
        <item x="1013"/>
        <item x="2775"/>
        <item x="3368"/>
        <item x="1504"/>
        <item x="660"/>
        <item x="3166"/>
        <item x="1709"/>
        <item x="1883"/>
        <item x="1392"/>
        <item x="3376"/>
        <item x="707"/>
        <item x="3201"/>
        <item x="1433"/>
        <item x="1265"/>
        <item x="3154"/>
        <item x="1540"/>
        <item x="2836"/>
        <item x="218"/>
        <item x="3202"/>
        <item x="3140"/>
        <item x="549"/>
        <item x="365"/>
        <item x="2643"/>
        <item x="917"/>
        <item x="1991"/>
        <item x="2536"/>
        <item x="624"/>
        <item x="424"/>
        <item x="2280"/>
        <item x="3426"/>
        <item x="1382"/>
        <item x="2602"/>
        <item x="3049"/>
        <item x="410"/>
        <item x="3364"/>
        <item x="916"/>
        <item x="2715"/>
        <item x="684"/>
        <item x="3253"/>
        <item x="2"/>
        <item x="682"/>
        <item x="2151"/>
        <item x="3280"/>
        <item x="2099"/>
        <item x="3254"/>
        <item x="870"/>
        <item x="2635"/>
        <item x="843"/>
        <item x="1079"/>
        <item x="251"/>
        <item x="1056"/>
        <item x="322"/>
        <item x="3066"/>
        <item x="1817"/>
        <item x="854"/>
        <item x="1963"/>
        <item x="345"/>
        <item x="421"/>
        <item x="2840"/>
        <item x="3108"/>
        <item x="2762"/>
        <item x="1232"/>
        <item x="1674"/>
        <item x="704"/>
        <item x="2558"/>
        <item x="358"/>
        <item x="1984"/>
        <item x="156"/>
        <item x="1767"/>
        <item x="769"/>
        <item x="727"/>
        <item x="3151"/>
        <item x="3265"/>
        <item x="629"/>
        <item x="2256"/>
        <item x="688"/>
        <item x="1566"/>
        <item x="1850"/>
        <item x="1310"/>
        <item x="1412"/>
        <item x="418"/>
        <item x="823"/>
        <item x="938"/>
        <item x="481"/>
        <item x="2273"/>
        <item x="1047"/>
        <item x="710"/>
        <item x="1510"/>
        <item x="3138"/>
        <item x="1642"/>
        <item x="847"/>
        <item x="440"/>
        <item x="416"/>
        <item x="107"/>
        <item x="2033"/>
        <item x="3249"/>
        <item x="1740"/>
        <item x="3380"/>
        <item x="857"/>
        <item x="1262"/>
        <item x="265"/>
        <item x="439"/>
        <item x="1194"/>
        <item x="2091"/>
        <item x="2024"/>
        <item x="2974"/>
        <item x="122"/>
        <item x="667"/>
        <item x="2738"/>
        <item x="116"/>
        <item x="546"/>
        <item x="56"/>
        <item x="1652"/>
        <item x="2649"/>
        <item x="495"/>
        <item x="2384"/>
        <item x="2599"/>
        <item x="1162"/>
        <item x="2686"/>
        <item x="2204"/>
        <item x="149"/>
        <item x="518"/>
        <item x="2903"/>
        <item x="696"/>
        <item x="364"/>
        <item x="2960"/>
        <item x="2012"/>
        <item x="2466"/>
        <item x="3503"/>
        <item x="426"/>
        <item x="1272"/>
        <item x="2187"/>
        <item x="3283"/>
        <item x="112"/>
        <item x="3320"/>
        <item x="3456"/>
        <item x="976"/>
        <item x="1391"/>
        <item x="1821"/>
        <item x="2941"/>
        <item x="2119"/>
        <item x="1550"/>
        <item x="1996"/>
        <item x="1954"/>
        <item x="2125"/>
        <item x="1055"/>
        <item x="2264"/>
        <item x="1605"/>
        <item x="3268"/>
        <item x="3155"/>
        <item x="988"/>
        <item x="2946"/>
        <item x="1917"/>
        <item x="632"/>
        <item x="1924"/>
        <item x="1125"/>
        <item x="844"/>
        <item x="1780"/>
        <item x="427"/>
        <item x="3101"/>
        <item x="1787"/>
        <item x="2153"/>
        <item x="489"/>
        <item x="2426"/>
        <item x="643"/>
        <item x="3168"/>
        <item x="1542"/>
        <item x="205"/>
        <item x="199"/>
        <item x="2697"/>
        <item x="2587"/>
        <item x="586"/>
        <item x="2079"/>
        <item x="403"/>
        <item x="3311"/>
        <item x="3423"/>
        <item x="2391"/>
        <item x="1091"/>
        <item x="2225"/>
        <item x="147"/>
        <item x="219"/>
        <item x="2980"/>
        <item x="2541"/>
        <item x="1356"/>
        <item x="3508"/>
        <item x="1836"/>
        <item x="3463"/>
        <item x="2476"/>
        <item x="522"/>
        <item x="3315"/>
        <item x="3022"/>
        <item x="2684"/>
        <item x="30"/>
        <item x="2066"/>
        <item x="2850"/>
        <item x="3041"/>
        <item x="3061"/>
        <item x="1316"/>
        <item x="62"/>
        <item x="2874"/>
        <item x="928"/>
        <item x="2447"/>
        <item x="2010"/>
        <item x="1469"/>
        <item x="1005"/>
        <item x="3087"/>
        <item x="3355"/>
        <item x="822"/>
        <item x="3111"/>
        <item x="2841"/>
        <item x="1494"/>
        <item x="1558"/>
        <item x="1701"/>
        <item x="1713"/>
        <item x="2503"/>
        <item x="2931"/>
        <item x="3301"/>
        <item x="419"/>
        <item x="3307"/>
        <item x="1365"/>
        <item x="669"/>
        <item x="1214"/>
        <item x="2238"/>
        <item x="3297"/>
        <item x="304"/>
        <item x="2835"/>
        <item x="248"/>
        <item x="3069"/>
        <item x="2970"/>
        <item x="922"/>
        <item x="2266"/>
        <item x="1533"/>
        <item x="1388"/>
        <item x="545"/>
        <item x="2412"/>
        <item x="2577"/>
        <item x="352"/>
        <item x="1537"/>
        <item x="2220"/>
        <item x="2274"/>
        <item x="1080"/>
        <item x="900"/>
        <item x="417"/>
        <item x="2940"/>
        <item x="1677"/>
        <item x="1032"/>
        <item x="2427"/>
        <item x="2638"/>
        <item x="2054"/>
        <item x="2223"/>
        <item x="898"/>
        <item x="1973"/>
        <item x="2286"/>
        <item x="1394"/>
        <item x="656"/>
        <item x="314"/>
        <item x="728"/>
        <item x="1774"/>
        <item x="2006"/>
        <item x="1970"/>
        <item x="3244"/>
        <item x="3091"/>
        <item x="1880"/>
        <item x="640"/>
        <item x="1484"/>
        <item x="487"/>
        <item x="2320"/>
        <item x="1427"/>
        <item x="1367"/>
        <item x="1075"/>
        <item x="885"/>
        <item x="2271"/>
        <item x="760"/>
        <item x="1741"/>
        <item x="2489"/>
        <item x="2716"/>
        <item x="1217"/>
        <item x="699"/>
        <item x="3170"/>
        <item x="2279"/>
        <item x="3482"/>
        <item x="2496"/>
        <item x="3520"/>
        <item x="751"/>
        <item x="1844"/>
        <item x="104"/>
        <item x="2322"/>
        <item x="738"/>
        <item x="3195"/>
        <item x="189"/>
        <item x="689"/>
        <item x="1647"/>
        <item x="505"/>
        <item x="295"/>
        <item x="949"/>
        <item x="2661"/>
        <item x="638"/>
        <item x="1129"/>
        <item x="794"/>
        <item x="1039"/>
        <item x="1904"/>
        <item x="676"/>
        <item x="1252"/>
        <item x="2631"/>
        <item x="3113"/>
        <item x="1031"/>
        <item x="2142"/>
        <item x="272"/>
        <item x="2005"/>
        <item x="1776"/>
        <item x="702"/>
        <item x="2506"/>
        <item x="367"/>
        <item x="1887"/>
        <item x="2997"/>
        <item x="3121"/>
        <item x="2905"/>
        <item x="3228"/>
        <item x="983"/>
        <item x="703"/>
        <item x="182"/>
        <item x="2930"/>
        <item x="777"/>
        <item x="1"/>
        <item x="2270"/>
        <item x="24"/>
        <item x="1403"/>
        <item x="858"/>
        <item x="992"/>
        <item x="409"/>
        <item x="2444"/>
        <item x="1531"/>
        <item x="910"/>
        <item x="2944"/>
        <item x="204"/>
        <item x="1246"/>
        <item x="3412"/>
        <item x="7"/>
        <item x="578"/>
        <item x="2923"/>
        <item x="2764"/>
        <item x="652"/>
        <item x="1548"/>
        <item x="1169"/>
        <item x="2826"/>
        <item x="2708"/>
        <item x="1900"/>
        <item x="2981"/>
        <item x="2318"/>
        <item x="2049"/>
        <item x="163"/>
        <item x="2657"/>
        <item x="3443"/>
        <item x="1903"/>
        <item x="2068"/>
        <item x="2394"/>
        <item x="1816"/>
        <item x="1868"/>
        <item x="2103"/>
        <item x="2713"/>
        <item x="2040"/>
        <item x="2281"/>
        <item x="1577"/>
        <item x="864"/>
        <item x="2043"/>
        <item x="742"/>
        <item x="693"/>
        <item x="6"/>
        <item x="590"/>
        <item x="1828"/>
        <item x="1764"/>
        <item x="1564"/>
        <item x="2603"/>
        <item x="227"/>
        <item x="1409"/>
        <item x="2613"/>
        <item x="3499"/>
        <item x="3226"/>
        <item x="373"/>
        <item x="627"/>
        <item x="2285"/>
        <item x="3037"/>
        <item x="1914"/>
        <item x="1721"/>
        <item x="2163"/>
        <item x="2174"/>
        <item x="2430"/>
        <item x="694"/>
        <item x="1565"/>
        <item x="3299"/>
        <item x="1998"/>
        <item x="3216"/>
        <item x="1122"/>
        <item x="2838"/>
        <item x="1317"/>
        <item x="2535"/>
        <item x="2255"/>
        <item x="3246"/>
        <item x="921"/>
        <item x="2314"/>
        <item x="3039"/>
        <item x="1667"/>
        <item x="2983"/>
        <item x="2166"/>
        <item x="1584"/>
        <item x="217"/>
        <item x="1562"/>
        <item x="865"/>
        <item x="1606"/>
        <item x="2082"/>
        <item x="2498"/>
        <item x="1870"/>
        <item x="3206"/>
        <item x="1203"/>
        <item x="871"/>
        <item x="599"/>
        <item x="2208"/>
        <item x="789"/>
        <item x="1930"/>
        <item x="167"/>
        <item x="2578"/>
        <item x="1220"/>
        <item x="636"/>
        <item x="1281"/>
        <item x="1423"/>
        <item x="321"/>
        <item x="414"/>
        <item x="2487"/>
        <item x="3073"/>
        <item x="2758"/>
        <item x="502"/>
        <item x="3455"/>
        <item x="3357"/>
        <item x="2389"/>
        <item x="1654"/>
        <item x="2172"/>
        <item x="3321"/>
        <item x="1470"/>
        <item x="2116"/>
        <item x="2403"/>
        <item x="1144"/>
        <item x="2106"/>
        <item x="1321"/>
        <item x="2235"/>
        <item x="999"/>
        <item x="2144"/>
        <item x="3208"/>
        <item x="2058"/>
        <item x="1834"/>
        <item x="1602"/>
        <item x="2818"/>
        <item x="1768"/>
        <item x="2584"/>
        <item x="1800"/>
        <item x="1568"/>
        <item x="1188"/>
        <item x="2472"/>
        <item x="1339"/>
        <item x="3390"/>
        <item x="2205"/>
        <item x="1058"/>
        <item x="1257"/>
        <item x="2073"/>
        <item x="1700"/>
        <item x="1893"/>
        <item x="168"/>
        <item x="972"/>
        <item x="3057"/>
        <item x="331"/>
        <item x="145"/>
        <item x="2787"/>
        <item x="1251"/>
        <item x="57"/>
        <item x="454"/>
        <item x="2405"/>
        <item x="1147"/>
        <item x="3436"/>
        <item x="1672"/>
        <item x="1146"/>
        <item x="3225"/>
        <item x="501"/>
        <item x="2094"/>
        <item x="2572"/>
        <item x="3286"/>
        <item x="1934"/>
        <item x="796"/>
        <item x="1315"/>
        <item x="2612"/>
        <item x="208"/>
        <item x="378"/>
        <item x="1631"/>
        <item x="934"/>
        <item x="2943"/>
        <item x="3289"/>
        <item x="459"/>
        <item x="3207"/>
        <item x="97"/>
        <item x="1517"/>
        <item x="560"/>
        <item x="1477"/>
        <item x="1145"/>
        <item x="3212"/>
        <item x="1295"/>
        <item x="2837"/>
        <item x="276"/>
        <item x="2433"/>
        <item x="2338"/>
        <item x="3352"/>
        <item x="2387"/>
        <item x="581"/>
        <item x="2047"/>
        <item x="2017"/>
        <item x="3045"/>
        <item x="644"/>
        <item x="2740"/>
        <item x="681"/>
        <item x="1209"/>
        <item x="170"/>
        <item x="1171"/>
        <item x="1651"/>
        <item x="1936"/>
        <item x="1588"/>
        <item x="3205"/>
        <item x="2188"/>
        <item x="21"/>
        <item x="77"/>
        <item x="2524"/>
        <item x="2880"/>
        <item x="3400"/>
        <item x="1932"/>
        <item x="1789"/>
        <item x="815"/>
        <item x="2211"/>
        <item x="2729"/>
        <item x="3160"/>
        <item x="2681"/>
        <item x="2465"/>
        <item x="996"/>
        <item x="2935"/>
        <item x="1734"/>
        <item x="880"/>
        <item x="3430"/>
        <item x="623"/>
        <item x="2358"/>
        <item x="2789"/>
        <item x="2851"/>
        <item x="3119"/>
        <item x="635"/>
        <item x="1871"/>
        <item x="1358"/>
        <item x="2422"/>
        <item x="3038"/>
        <item x="3183"/>
        <item x="2933"/>
        <item x="1553"/>
        <item x="3126"/>
        <item x="3494"/>
        <item x="3506"/>
        <item x="271"/>
        <item x="3486"/>
        <item x="1716"/>
        <item x="1620"/>
        <item x="1002"/>
        <item x="2416"/>
        <item x="2023"/>
        <item x="29"/>
        <item x="2062"/>
        <item x="504"/>
        <item x="1237"/>
        <item x="2929"/>
        <item x="957"/>
        <item x="1977"/>
        <item x="2654"/>
        <item x="1247"/>
        <item x="1021"/>
        <item x="3317"/>
        <item x="349"/>
        <item x="1331"/>
        <item x="1616"/>
        <item x="356"/>
        <item x="2847"/>
        <item x="1045"/>
        <item x="2823"/>
        <item x="1771"/>
        <item x="907"/>
        <item x="3144"/>
        <item x="1949"/>
        <item x="2367"/>
        <item x="647"/>
        <item x="2431"/>
        <item x="2352"/>
        <item x="852"/>
        <item x="1065"/>
        <item x="1200"/>
        <item x="1792"/>
        <item x="1641"/>
        <item x="2509"/>
        <item x="1608"/>
        <item x="2401"/>
        <item x="2571"/>
        <item x="2484"/>
        <item x="1686"/>
        <item x="3184"/>
        <item x="1479"/>
        <item x="115"/>
        <item x="1664"/>
        <item x="59"/>
        <item x="2769"/>
        <item x="1885"/>
        <item x="2249"/>
        <item x="3409"/>
        <item x="3396"/>
        <item x="661"/>
        <item x="2126"/>
        <item x="3354"/>
        <item x="2624"/>
        <item x="3309"/>
        <item x="2656"/>
        <item x="3329"/>
        <item x="937"/>
        <item x="355"/>
        <item x="1752"/>
        <item x="2177"/>
        <item x="2912"/>
        <item x="1336"/>
        <item x="120"/>
        <item x="1284"/>
        <item x="2782"/>
        <item x="412"/>
        <item x="1345"/>
        <item x="1022"/>
        <item x="1824"/>
        <item x="2184"/>
        <item x="1381"/>
        <item x="2240"/>
        <item x="1155"/>
        <item x="315"/>
        <item x="2370"/>
        <item x="773"/>
        <item x="3273"/>
        <item x="1355"/>
        <item x="3259"/>
        <item x="997"/>
        <item x="2623"/>
        <item x="894"/>
        <item x="1110"/>
        <item x="3109"/>
        <item x="1582"/>
        <item x="432"/>
        <item x="483"/>
        <item x="2276"/>
        <item x="142"/>
        <item x="950"/>
        <item x="3404"/>
        <item x="3361"/>
        <item x="39"/>
        <item x="2112"/>
        <item x="2226"/>
        <item x="1918"/>
        <item x="617"/>
        <item x="86"/>
        <item x="1025"/>
        <item x="2632"/>
        <item x="1250"/>
        <item x="1683"/>
        <item x="1090"/>
        <item x="161"/>
        <item x="85"/>
        <item x="2075"/>
        <item x="201"/>
        <item x="940"/>
        <item x="2821"/>
        <item x="2317"/>
        <item x="2819"/>
        <item x="606"/>
        <item x="3242"/>
        <item x="329"/>
        <item x="772"/>
        <item x="1343"/>
        <item x="2792"/>
        <item x="1585"/>
        <item x="2679"/>
        <item x="1376"/>
        <item x="709"/>
        <item x="697"/>
        <item x="770"/>
        <item x="1696"/>
        <item x="1724"/>
        <item x="3305"/>
        <item x="250"/>
        <item x="1493"/>
        <item x="783"/>
        <item x="1156"/>
        <item x="1785"/>
        <item x="1919"/>
        <item x="468"/>
        <item x="2982"/>
        <item x="316"/>
        <item x="960"/>
        <item x="3296"/>
        <item x="1390"/>
        <item x="2683"/>
        <item x="1242"/>
        <item x="2436"/>
        <item x="3018"/>
        <item x="3394"/>
        <item x="2954"/>
        <item x="1685"/>
        <item x="878"/>
        <item x="2690"/>
        <item x="2663"/>
        <item x="2371"/>
        <item x="2802"/>
        <item x="3115"/>
        <item x="2373"/>
        <item x="2891"/>
        <item x="1922"/>
        <item x="2511"/>
        <item x="2056"/>
        <item x="2241"/>
        <item x="3185"/>
        <item x="2337"/>
        <item x="3120"/>
        <item x="524"/>
        <item x="2195"/>
        <item x="2191"/>
        <item x="1241"/>
        <item x="298"/>
        <item x="2934"/>
        <item x="1617"/>
        <item x="3515"/>
        <item x="3413"/>
        <item x="3277"/>
        <item x="1717"/>
        <item x="300"/>
        <item x="1452"/>
        <item x="1765"/>
        <item x="530"/>
        <item x="2909"/>
        <item x="2768"/>
        <item x="1807"/>
        <item x="1092"/>
        <item x="2628"/>
        <item x="3375"/>
        <item x="554"/>
        <item x="1026"/>
        <item x="3383"/>
        <item x="2437"/>
        <item x="1673"/>
        <item x="2228"/>
        <item x="203"/>
        <item x="899"/>
        <item x="2537"/>
        <item x="215"/>
        <item x="166"/>
        <item x="1398"/>
        <item x="542"/>
        <item x="3054"/>
        <item x="1519"/>
        <item x="1238"/>
        <item x="2971"/>
        <item x="2556"/>
        <item x="2958"/>
        <item x="2272"/>
        <item x="3128"/>
        <item x="461"/>
        <item x="347"/>
        <item x="2298"/>
        <item x="2194"/>
        <item x="391"/>
        <item x="2296"/>
        <item x="2809"/>
        <item x="2443"/>
        <item x="232"/>
        <item x="1226"/>
        <item x="1119"/>
        <item x="3204"/>
        <item x="1614"/>
        <item x="2811"/>
        <item x="224"/>
        <item x="3173"/>
        <item x="525"/>
        <item x="1524"/>
        <item x="1756"/>
        <item x="472"/>
        <item x="1004"/>
        <item x="2135"/>
        <item x="1645"/>
        <item x="3043"/>
        <item x="476"/>
        <item x="671"/>
        <item x="1842"/>
        <item x="387"/>
        <item x="2827"/>
        <item x="3295"/>
        <item x="405"/>
        <item x="2927"/>
        <item x="645"/>
        <item x="816"/>
        <item x="398"/>
        <item x="963"/>
        <item x="3102"/>
        <item x="935"/>
        <item x="3020"/>
        <item x="3127"/>
        <item x="1138"/>
        <item x="3146"/>
        <item x="3318"/>
        <item x="2246"/>
        <item x="3080"/>
        <item x="2883"/>
        <item x="2418"/>
        <item x="1046"/>
        <item x="3495"/>
        <item x="129"/>
        <item x="2460"/>
        <item x="2575"/>
        <item x="2795"/>
        <item x="1786"/>
        <item x="1374"/>
        <item x="2988"/>
        <item x="1006"/>
        <item x="2701"/>
        <item x="2749"/>
        <item x="720"/>
        <item x="779"/>
        <item x="1016"/>
        <item x="318"/>
        <item x="243"/>
        <item x="529"/>
        <item x="1912"/>
        <item x="791"/>
        <item x="1277"/>
        <item x="931"/>
        <item x="3223"/>
        <item x="3496"/>
        <item x="2695"/>
        <item x="1797"/>
        <item x="327"/>
        <item x="672"/>
        <item x="765"/>
        <item x="3322"/>
        <item x="1661"/>
        <item x="879"/>
        <item x="2193"/>
        <item x="1668"/>
        <item x="95"/>
        <item x="877"/>
        <item x="2591"/>
        <item x="874"/>
        <item x="2055"/>
        <item x="663"/>
        <item x="83"/>
        <item x="134"/>
        <item x="3476"/>
        <item x="3282"/>
        <item x="1876"/>
        <item x="3117"/>
        <item x="3478"/>
        <item x="3300"/>
        <item x="601"/>
        <item x="3474"/>
        <item x="1997"/>
        <item x="658"/>
        <item x="1722"/>
        <item x="2559"/>
        <item x="2538"/>
        <item x="2022"/>
        <item x="2564"/>
        <item x="2143"/>
        <item x="3517"/>
        <item x="514"/>
        <item x="1348"/>
        <item x="1569"/>
        <item x="1018"/>
        <item x="1679"/>
        <item x="2629"/>
        <item x="141"/>
        <item x="2414"/>
        <item x="1288"/>
        <item x="154"/>
        <item x="200"/>
        <item x="3004"/>
        <item x="1142"/>
        <item x="2710"/>
        <item x="284"/>
        <item x="1296"/>
        <item x="2199"/>
        <item x="2048"/>
        <item x="2967"/>
        <item x="2771"/>
        <item x="1116"/>
        <item x="354"/>
        <item x="1328"/>
        <item x="1040"/>
        <item x="291"/>
        <item x="2644"/>
        <item x="1632"/>
        <item x="2512"/>
        <item x="3441"/>
        <item x="1401"/>
        <item x="3502"/>
        <item x="3365"/>
        <item x="2630"/>
        <item x="3177"/>
        <item x="2400"/>
        <item x="1416"/>
        <item x="1260"/>
        <item x="924"/>
        <item x="695"/>
        <item x="3385"/>
        <item x="3099"/>
        <item x="2319"/>
        <item x="1305"/>
        <item x="1655"/>
        <item x="2858"/>
        <item x="89"/>
        <item x="3270"/>
        <item x="2726"/>
        <item x="2428"/>
        <item x="3125"/>
        <item x="2134"/>
        <item x="1718"/>
        <item x="1361"/>
        <item x="3303"/>
        <item x="1638"/>
        <item x="2053"/>
        <item x="2253"/>
        <item x="2104"/>
        <item x="2200"/>
        <item x="902"/>
        <item x="2908"/>
        <item x="1428"/>
        <item x="2328"/>
        <item x="3450"/>
        <item x="2243"/>
        <item x="547"/>
        <item x="1813"/>
        <item x="2345"/>
        <item x="55"/>
        <item x="239"/>
        <item x="2673"/>
        <item x="2379"/>
        <item x="2604"/>
        <item x="3269"/>
        <item x="3257"/>
        <item x="2955"/>
        <item x="1350"/>
        <item x="388"/>
        <item x="1739"/>
        <item x="2250"/>
        <item x="974"/>
        <item x="2453"/>
        <item x="2549"/>
        <item x="1881"/>
        <item x="2295"/>
        <item x="552"/>
        <item x="2348"/>
        <item x="2978"/>
        <item x="1648"/>
        <item x="788"/>
        <item x="1183"/>
        <item x="3264"/>
        <item x="2550"/>
        <item x="2668"/>
        <item x="69"/>
        <item x="2605"/>
        <item x="1629"/>
        <item x="259"/>
        <item x="747"/>
        <item x="648"/>
        <item x="91"/>
        <item x="162"/>
        <item x="2901"/>
        <item x="305"/>
        <item x="1530"/>
        <item x="1675"/>
        <item x="733"/>
        <item x="1514"/>
        <item x="1458"/>
        <item x="897"/>
        <item x="2435"/>
        <item x="1511"/>
        <item x="1587"/>
        <item x="1820"/>
        <item x="249"/>
        <item x="2763"/>
        <item x="2979"/>
        <item x="811"/>
        <item x="608"/>
        <item x="2305"/>
        <item x="2363"/>
        <item x="3446"/>
        <item x="818"/>
        <item x="2155"/>
        <item x="1415"/>
        <item x="2693"/>
        <item x="1396"/>
        <item x="2865"/>
        <item x="1872"/>
        <item x="2084"/>
        <item x="2972"/>
        <item x="537"/>
        <item x="1901"/>
        <item x="1972"/>
        <item x="3142"/>
        <item x="1096"/>
        <item x="2493"/>
        <item x="605"/>
        <item x="540"/>
        <item x="2590"/>
        <item x="3428"/>
        <item x="625"/>
        <item x="1473"/>
        <item x="1525"/>
        <item x="515"/>
        <item x="3084"/>
        <item x="837"/>
        <item x="582"/>
        <item x="1847"/>
        <item x="1050"/>
        <item x="3477"/>
        <item x="654"/>
        <item x="2259"/>
        <item x="2722"/>
        <item x="3082"/>
        <item x="1007"/>
        <item x="1083"/>
        <item x="71"/>
        <item x="1036"/>
        <item x="3469"/>
        <item x="1848"/>
        <item x="179"/>
        <item x="3337"/>
        <item x="3053"/>
        <item x="941"/>
        <item x="1158"/>
        <item x="157"/>
        <item x="3031"/>
        <item x="1802"/>
        <item x="2479"/>
        <item x="3363"/>
        <item x="698"/>
        <item x="2718"/>
        <item x="539"/>
        <item x="1920"/>
        <item x="1812"/>
        <item x="1128"/>
        <item x="3519"/>
        <item x="1753"/>
        <item x="1324"/>
        <item x="245"/>
        <item x="1411"/>
        <item x="1418"/>
        <item x="1363"/>
        <item x="1068"/>
        <item x="2122"/>
        <item x="614"/>
        <item x="1862"/>
        <item x="1523"/>
        <item x="1167"/>
        <item x="1983"/>
        <item x="1783"/>
        <item x="3167"/>
        <item x="498"/>
        <item x="2482"/>
        <item x="3192"/>
        <item x="2888"/>
        <item x="220"/>
        <item x="2846"/>
        <item x="2849"/>
        <item x="1878"/>
        <item x="1875"/>
        <item x="851"/>
        <item x="1791"/>
        <item x="1198"/>
        <item x="1384"/>
        <item x="2441"/>
        <item x="1127"/>
        <item x="1613"/>
        <item x="2365"/>
        <item x="290"/>
        <item x="2439"/>
        <item x="2626"/>
        <item x="2217"/>
        <item x="866"/>
        <item x="1010"/>
        <item x="1630"/>
        <item x="1882"/>
        <item x="429"/>
        <item x="2522"/>
        <item x="2015"/>
        <item x="2342"/>
        <item x="1899"/>
        <item x="1712"/>
        <item x="82"/>
        <item x="1957"/>
        <item x="3240"/>
        <item x="3498"/>
        <item x="3017"/>
        <item x="2645"/>
        <item x="2546"/>
        <item x="2548"/>
        <item x="1164"/>
        <item x="3255"/>
        <item x="942"/>
        <item x="125"/>
        <item x="1107"/>
        <item x="1231"/>
        <item x="2882"/>
        <item x="287"/>
        <item x="1860"/>
        <item x="896"/>
        <item x="1814"/>
        <item x="814"/>
        <item x="1450"/>
        <item x="2081"/>
        <item x="2236"/>
        <item x="475"/>
        <item x="1408"/>
        <item x="256"/>
        <item x="1254"/>
        <item x="1268"/>
        <item x="1299"/>
        <item x="2685"/>
        <item x="1926"/>
        <item x="2784"/>
        <item x="2086"/>
        <item x="1626"/>
        <item x="1084"/>
        <item x="2547"/>
        <item x="3440"/>
        <item x="445"/>
        <item x="2747"/>
        <item x="1501"/>
        <item x="479"/>
        <item x="103"/>
        <item x="2961"/>
        <item x="2675"/>
        <item x="3427"/>
        <item x="1432"/>
        <item x="2794"/>
        <item x="2128"/>
        <item x="2510"/>
        <item x="2921"/>
        <item x="3213"/>
        <item x="776"/>
        <item x="98"/>
        <item x="2344"/>
        <item x="3338"/>
        <item x="3492"/>
        <item x="2201"/>
        <item x="906"/>
        <item x="2028"/>
        <item x="559"/>
        <item x="3230"/>
        <item x="66"/>
        <item x="2902"/>
        <item x="1468"/>
        <item x="118"/>
        <item x="3403"/>
        <item x="516"/>
        <item x="3516"/>
        <item x="1048"/>
        <item x="668"/>
        <item x="2110"/>
        <item x="3209"/>
        <item x="2911"/>
        <item x="1644"/>
        <item x="2554"/>
        <item x="2825"/>
        <item x="1495"/>
        <item x="2411"/>
        <item x="2756"/>
        <item x="1549"/>
        <item x="603"/>
        <item x="3293"/>
        <item x="1863"/>
        <item x="3100"/>
        <item x="2207"/>
        <item x="2951"/>
        <item x="863"/>
        <item x="1393"/>
        <item x="2854"/>
        <item x="2421"/>
        <item x="1528"/>
        <item x="3435"/>
        <item x="573"/>
        <item x="756"/>
        <item x="824"/>
        <item x="105"/>
        <item x="420"/>
        <item x="341"/>
        <item x="435"/>
        <item x="2641"/>
        <item x="1184"/>
        <item x="153"/>
        <item x="3114"/>
        <item x="730"/>
        <item x="1809"/>
        <item x="2889"/>
        <item x="2533"/>
        <item x="1360"/>
        <item x="2052"/>
        <item x="1181"/>
        <item x="177"/>
        <item x="2115"/>
        <item x="891"/>
        <item x="3044"/>
        <item x="2203"/>
        <item x="1742"/>
        <item x="3025"/>
        <item x="939"/>
        <item x="1526"/>
        <item x="114"/>
        <item x="1607"/>
        <item x="2262"/>
        <item x="859"/>
        <item x="2614"/>
        <item x="1578"/>
        <item x="195"/>
        <item x="3229"/>
        <item x="3147"/>
        <item x="3429"/>
        <item x="713"/>
        <item x="2822"/>
        <item x="2516"/>
        <item x="2634"/>
        <item x="436"/>
        <item x="1857"/>
        <item x="320"/>
        <item x="1506"/>
        <item x="2123"/>
        <item x="2523"/>
        <item x="3029"/>
        <item x="1986"/>
        <item x="2169"/>
        <item x="2870"/>
        <item x="3261"/>
        <item x="152"/>
        <item x="2804"/>
        <item x="1446"/>
        <item x="1159"/>
        <item x="1095"/>
        <item x="774"/>
        <item x="674"/>
        <item x="222"/>
        <item x="3314"/>
        <item x="2138"/>
        <item x="1132"/>
        <item x="1894"/>
        <item x="261"/>
        <item x="2985"/>
        <item x="544"/>
        <item x="1728"/>
        <item x="230"/>
        <item x="2696"/>
        <item x="1580"/>
        <item x="2670"/>
        <item x="2355"/>
        <item x="2450"/>
        <item x="2812"/>
        <item x="2064"/>
        <item x="267"/>
        <item x="3401"/>
        <item x="1856"/>
        <item x="1751"/>
        <item x="1975"/>
        <item x="361"/>
        <item x="986"/>
        <item x="1960"/>
        <item x="2044"/>
        <item x="3302"/>
        <item x="2966"/>
        <item x="1702"/>
        <item x="846"/>
        <item x="971"/>
        <item x="2446"/>
        <item x="2502"/>
        <item x="87"/>
        <item x="102"/>
        <item x="2031"/>
        <item x="471"/>
        <item x="1323"/>
        <item x="2589"/>
        <item x="186"/>
        <item x="1239"/>
        <item x="2114"/>
        <item x="324"/>
        <item x="2608"/>
        <item x="2148"/>
        <item x="1680"/>
        <item x="588"/>
        <item x="467"/>
        <item x="1950"/>
        <item x="675"/>
        <item x="1431"/>
        <item x="630"/>
        <item x="23"/>
        <item x="2449"/>
        <item x="3358"/>
        <item x="998"/>
        <item x="3103"/>
        <item x="1902"/>
        <item x="2986"/>
        <item x="451"/>
        <item x="1344"/>
        <item x="517"/>
        <item x="2678"/>
        <item x="1502"/>
        <item x="1591"/>
        <item x="2233"/>
        <item x="3339"/>
        <item x="2011"/>
        <item x="2029"/>
        <item x="2667"/>
        <item x="2390"/>
        <item x="1669"/>
        <item x="139"/>
        <item x="366"/>
        <item x="807"/>
        <item x="1615"/>
        <item x="3161"/>
        <item x="1939"/>
        <item x="2385"/>
        <item x="346"/>
        <item x="2359"/>
        <item x="2038"/>
        <item x="1889"/>
        <item x="1297"/>
        <item x="761"/>
        <item x="1149"/>
        <item x="263"/>
        <item x="2939"/>
        <item x="3141"/>
        <item x="2495"/>
        <item x="875"/>
        <item x="3397"/>
        <item x="54"/>
        <item x="1410"/>
        <item x="861"/>
        <item x="3464"/>
        <item x="1554"/>
        <item x="401"/>
        <item x="1424"/>
        <item x="202"/>
        <item x="2925"/>
        <item x="1958"/>
        <item x="344"/>
        <item x="2976"/>
        <item x="1417"/>
        <item x="1049"/>
        <item x="2096"/>
        <item x="781"/>
        <item x="1619"/>
        <item x="955"/>
        <item x="3432"/>
        <item x="2814"/>
        <item x="500"/>
        <item x="2790"/>
        <item x="25"/>
        <item x="3279"/>
        <item x="855"/>
        <item x="20"/>
        <item x="1855"/>
        <item x="2378"/>
        <item x="1466"/>
        <item x="1933"/>
        <item x="933"/>
        <item x="190"/>
        <item x="1227"/>
        <item x="3136"/>
        <item x="3188"/>
        <item x="673"/>
        <item x="390"/>
        <item x="1621"/>
        <item x="1101"/>
        <item x="1151"/>
        <item x="1106"/>
        <item x="3465"/>
        <item x="2457"/>
        <item x="646"/>
        <item x="835"/>
        <item x="1499"/>
        <item x="1811"/>
        <item x="2674"/>
        <item x="1538"/>
        <item x="3308"/>
        <item x="1346"/>
        <item x="856"/>
        <item x="2302"/>
        <item x="1189"/>
        <item x="1839"/>
        <item x="109"/>
        <item x="2788"/>
        <item x="3237"/>
        <item x="1938"/>
        <item x="1888"/>
        <item x="683"/>
        <item x="1196"/>
        <item x="2168"/>
        <item x="1738"/>
        <item x="47"/>
        <item x="1165"/>
        <item x="158"/>
        <item x="2859"/>
        <item x="44"/>
        <item x="651"/>
        <item x="2754"/>
        <item x="411"/>
        <item x="1684"/>
        <item x="1637"/>
        <item x="2829"/>
        <item x="2312"/>
        <item x="1749"/>
        <item x="519"/>
        <item x="431"/>
        <item x="2474"/>
        <item x="3030"/>
        <item x="171"/>
        <item x="2181"/>
        <item x="2832"/>
        <item x="2130"/>
        <item x="1852"/>
        <item x="3189"/>
        <item x="3330"/>
        <item x="2258"/>
        <item x="2039"/>
        <item x="2165"/>
        <item x="513"/>
        <item x="1480"/>
        <item x="1563"/>
        <item x="1221"/>
        <item x="2364"/>
        <item x="2989"/>
        <item x="2242"/>
        <item x="768"/>
        <item x="561"/>
        <item x="2704"/>
        <item x="1794"/>
        <item x="691"/>
        <item x="664"/>
        <item x="1472"/>
        <item x="294"/>
        <item x="2963"/>
        <item x="1053"/>
        <item x="1971"/>
        <item x="2469"/>
        <item x="2543"/>
        <item x="3362"/>
        <item x="1236"/>
        <item x="64"/>
        <item x="2156"/>
        <item x="521"/>
        <item x="283"/>
        <item x="2652"/>
        <item x="3454"/>
        <item x="41"/>
        <item x="1775"/>
        <item x="3434"/>
        <item x="2808"/>
        <item x="1509"/>
        <item x="596"/>
        <item x="653"/>
        <item x="75"/>
        <item x="1532"/>
        <item x="2438"/>
        <item x="1157"/>
        <item x="2216"/>
        <item x="985"/>
        <item x="3182"/>
        <item x="680"/>
        <item x="1386"/>
        <item x="333"/>
        <item x="2267"/>
        <item x="1483"/>
        <item x="119"/>
        <item x="1368"/>
        <item x="1866"/>
        <item x="511"/>
        <item x="2999"/>
        <item x="3483"/>
        <item x="706"/>
        <item x="3333"/>
        <item x="842"/>
        <item x="1258"/>
        <item x="343"/>
        <item x="2042"/>
        <item x="1520"/>
        <item x="2078"/>
        <item x="726"/>
        <item x="2304"/>
        <item x="2887"/>
        <item x="1325"/>
        <item x="3009"/>
        <item x="1987"/>
        <item x="382"/>
        <item x="2918"/>
        <item x="1715"/>
        <item x="2848"/>
        <item x="1874"/>
        <item x="1485"/>
        <item x="1319"/>
        <item x="396"/>
        <item x="1309"/>
        <item x="2347"/>
        <item x="12"/>
        <item x="2209"/>
        <item x="3415"/>
        <item x="458"/>
        <item x="2772"/>
        <item x="1777"/>
        <item x="2714"/>
        <item x="2700"/>
        <item x="528"/>
        <item x="1019"/>
        <item x="3439"/>
        <item x="49"/>
        <item x="1302"/>
        <item x="2677"/>
        <item x="376"/>
        <item x="490"/>
        <item x="1897"/>
        <item x="307"/>
        <item x="2906"/>
        <item x="3447"/>
        <item x="229"/>
        <item x="827"/>
        <item x="60"/>
        <item x="132"/>
        <item x="3016"/>
        <item x="2945"/>
        <item x="867"/>
        <item x="1333"/>
        <item x="1352"/>
        <item x="1843"/>
        <item x="509"/>
        <item x="2219"/>
        <item x="2481"/>
        <item x="2760"/>
        <item x="743"/>
        <item x="2611"/>
        <item x="1037"/>
        <item x="2124"/>
        <item x="1598"/>
        <item x="508"/>
        <item x="764"/>
        <item x="1186"/>
        <item x="1044"/>
        <item x="497"/>
        <item x="1911"/>
        <item x="3504"/>
        <item x="1454"/>
        <item x="2002"/>
        <item x="3162"/>
        <item x="1980"/>
        <item x="2409"/>
        <item x="1492"/>
        <item x="1611"/>
        <item x="3021"/>
        <item x="3019"/>
        <item x="1840"/>
        <item x="1276"/>
        <item x="415"/>
        <item x="1426"/>
        <item x="3371"/>
        <item x="2452"/>
        <item x="1300"/>
        <item x="3460"/>
        <item x="2092"/>
        <item x="1966"/>
        <item x="2306"/>
        <item x="3323"/>
        <item x="2072"/>
        <item x="1755"/>
        <item x="3340"/>
        <item x="677"/>
        <item x="771"/>
        <item x="1109"/>
        <item x="1576"/>
        <item x="303"/>
        <item x="3055"/>
        <item x="491"/>
        <item x="3094"/>
        <item x="1197"/>
        <item x="2440"/>
        <item x="2996"/>
        <item x="860"/>
        <item x="3410"/>
        <item x="1267"/>
        <item x="1442"/>
        <item x="2343"/>
        <item x="2896"/>
        <item x="2518"/>
        <item x="1085"/>
        <item x="1822"/>
        <item x="2083"/>
        <item x="3015"/>
        <item x="137"/>
        <item x="1670"/>
        <item x="967"/>
        <item x="977"/>
        <item x="2354"/>
        <item x="1704"/>
        <item x="2480"/>
        <item x="1513"/>
        <item x="1117"/>
        <item x="326"/>
        <item x="1612"/>
        <item x="3056"/>
        <item x="460"/>
        <item x="3075"/>
        <item x="310"/>
        <item x="1400"/>
        <item x="3176"/>
        <item x="1747"/>
        <item x="2000"/>
        <item x="1653"/>
        <item x="1067"/>
        <item x="1719"/>
        <item x="2383"/>
        <item x="1301"/>
        <item x="1308"/>
        <item x="1695"/>
        <item x="3359"/>
        <item x="913"/>
        <item x="478"/>
        <item x="2731"/>
        <item x="453"/>
        <item x="685"/>
        <item x="782"/>
        <item x="2227"/>
        <item x="1397"/>
        <item x="2676"/>
        <item x="1508"/>
        <item x="3310"/>
        <item x="1020"/>
        <item x="3284"/>
        <item x="1967"/>
        <item x="2333"/>
        <item x="2257"/>
        <item x="1961"/>
        <item x="1430"/>
        <item x="1943"/>
        <item x="1170"/>
        <item x="1104"/>
        <item x="1211"/>
        <item x="626"/>
        <item x="1962"/>
        <item x="2875"/>
        <item x="93"/>
        <item x="1581"/>
        <item x="339"/>
        <item x="1567"/>
        <item x="299"/>
        <item x="1474"/>
        <item x="1746"/>
        <item x="1849"/>
        <item x="3198"/>
        <item x="2019"/>
        <item x="3327"/>
        <item x="1927"/>
        <item x="2606"/>
        <item x="642"/>
        <item x="2237"/>
        <item x="3196"/>
        <item x="2744"/>
        <item x="1942"/>
        <item x="1720"/>
        <item x="2680"/>
        <item x="1028"/>
        <item x="994"/>
        <item x="3013"/>
        <item x="1118"/>
        <item x="16"/>
        <item x="2860"/>
        <item x="3345"/>
        <item x="1827"/>
        <item x="984"/>
        <item x="2090"/>
        <item x="2761"/>
        <item x="336"/>
        <item x="1660"/>
        <item x="2995"/>
        <item x="2863"/>
        <item x="8"/>
        <item x="3351"/>
        <item x="3325"/>
        <item x="2051"/>
        <item x="2573"/>
        <item x="602"/>
        <item x="1134"/>
        <item x="221"/>
        <item x="1436"/>
        <item x="2893"/>
        <item x="534"/>
        <item x="36"/>
        <item x="3059"/>
        <item x="3331"/>
        <item x="3389"/>
        <item x="2491"/>
        <item x="1947"/>
        <item x="2642"/>
        <item x="526"/>
        <item x="914"/>
        <item x="2085"/>
        <item x="2471"/>
        <item x="2598"/>
        <item x="2189"/>
        <item x="2293"/>
        <item x="620"/>
        <item x="465"/>
        <item x="14"/>
        <item x="2904"/>
        <item x="1235"/>
        <item x="423"/>
        <item x="2026"/>
        <item x="2816"/>
        <item x="2565"/>
        <item x="3258"/>
        <item x="17"/>
        <item x="3370"/>
        <item x="3149"/>
        <item x="729"/>
        <item x="2334"/>
        <item x="3366"/>
        <item x="1560"/>
        <item x="1804"/>
        <item x="982"/>
        <item x="3341"/>
        <item x="143"/>
        <item x="3294"/>
        <item x="3131"/>
        <item x="3417"/>
        <item x="3251"/>
        <item x="2917"/>
        <item x="3497"/>
        <item x="372"/>
        <item x="3472"/>
        <item x="3118"/>
        <item x="2376"/>
        <item x="2977"/>
        <item x="1639"/>
        <item x="3028"/>
        <item x="2830"/>
        <item x="1823"/>
        <item x="1727"/>
        <item x="5"/>
        <item x="3005"/>
        <item x="1245"/>
        <item x="2160"/>
        <item x="2561"/>
        <item x="3490"/>
        <item x="2717"/>
        <item x="146"/>
        <item x="308"/>
        <item x="2294"/>
        <item x="2785"/>
        <item x="633"/>
        <item x="1877"/>
        <item x="1682"/>
        <item x="231"/>
        <item x="3343"/>
        <item x="1535"/>
        <item x="1043"/>
        <item x="3134"/>
        <item x="845"/>
        <item x="328"/>
        <item x="3235"/>
        <item x="609"/>
        <item x="1463"/>
        <item x="1182"/>
        <item x="3384"/>
        <item x="1815"/>
        <item x="841"/>
        <item x="1123"/>
        <item x="449"/>
        <item x="3304"/>
        <item x="1077"/>
        <item x="848"/>
        <item x="2036"/>
        <item x="3092"/>
        <item x="3458"/>
        <item x="325"/>
        <item x="2360"/>
        <item x="2725"/>
        <item x="1837"/>
        <item x="2150"/>
        <item x="240"/>
        <item x="2331"/>
        <item x="1657"/>
        <item x="1831"/>
        <item x="2687"/>
        <item x="1913"/>
        <item x="958"/>
        <item x="3484"/>
        <item x="2463"/>
        <item x="1993"/>
        <item x="2395"/>
        <item x="1726"/>
        <item x="1011"/>
        <item x="3098"/>
        <item x="1290"/>
        <item x="196"/>
        <item x="31"/>
        <item x="3252"/>
        <item x="2434"/>
        <item x="330"/>
        <item x="1995"/>
        <item x="1781"/>
        <item x="3266"/>
        <item x="3449"/>
        <item x="3445"/>
        <item x="3399"/>
        <item x="1224"/>
        <item x="3470"/>
        <item x="1536"/>
        <item x="2129"/>
        <item x="2357"/>
        <item x="766"/>
        <item x="1313"/>
        <item x="2098"/>
        <item x="1627"/>
        <item x="2059"/>
        <item x="1948"/>
        <item x="1770"/>
        <item x="357"/>
        <item x="2662"/>
        <item x="381"/>
        <item x="3448"/>
        <item x="3008"/>
        <item x="3042"/>
        <item x="1457"/>
        <item x="2648"/>
        <item x="2842"/>
        <item x="1698"/>
        <item x="869"/>
        <item x="2490"/>
        <item x="575"/>
        <item x="311"/>
        <item x="732"/>
        <item x="213"/>
        <item x="3392"/>
        <item x="1448"/>
        <item x="708"/>
        <item x="2807"/>
        <item x="3024"/>
        <item x="892"/>
        <item x="2770"/>
        <item x="1330"/>
        <item x="1693"/>
        <item x="2898"/>
        <item x="2886"/>
        <item x="3083"/>
        <item x="2277"/>
        <item x="754"/>
        <item x="3193"/>
        <item x="3210"/>
        <item x="2265"/>
        <item x="2340"/>
        <item x="1676"/>
        <item x="2937"/>
        <item x="456"/>
        <item x="2907"/>
        <item x="2185"/>
        <item x="2145"/>
        <item x="255"/>
        <item x="3174"/>
        <item x="2828"/>
        <item x="1503"/>
        <item x="3424"/>
        <item x="853"/>
        <item x="1168"/>
        <item x="1990"/>
        <item x="2597"/>
        <item x="3116"/>
        <item x="2315"/>
        <item x="2041"/>
        <item x="1498"/>
        <item x="1662"/>
        <item x="2781"/>
        <item x="2095"/>
        <item x="1989"/>
        <item x="2953"/>
        <item x="2742"/>
        <item x="2175"/>
        <item x="93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76">
        <item x="49"/>
        <item x="72"/>
        <item x="74"/>
        <item x="60"/>
        <item x="45"/>
        <item x="65"/>
        <item x="68"/>
        <item x="66"/>
        <item x="39"/>
        <item x="55"/>
        <item x="71"/>
        <item x="14"/>
        <item x="67"/>
        <item x="73"/>
        <item x="63"/>
        <item x="58"/>
        <item x="69"/>
        <item x="56"/>
        <item x="53"/>
        <item x="54"/>
        <item x="57"/>
        <item x="41"/>
        <item x="3"/>
        <item x="29"/>
        <item x="64"/>
        <item x="70"/>
        <item x="47"/>
        <item x="62"/>
        <item x="50"/>
        <item x="40"/>
        <item x="61"/>
        <item x="46"/>
        <item x="48"/>
        <item x="51"/>
        <item x="59"/>
        <item x="35"/>
        <item x="44"/>
        <item x="36"/>
        <item x="52"/>
        <item x="43"/>
        <item x="42"/>
        <item x="30"/>
        <item x="17"/>
        <item x="37"/>
        <item x="18"/>
        <item x="21"/>
        <item x="34"/>
        <item x="26"/>
        <item x="32"/>
        <item x="38"/>
        <item x="8"/>
        <item x="23"/>
        <item x="5"/>
        <item x="33"/>
        <item x="10"/>
        <item x="31"/>
        <item x="6"/>
        <item x="12"/>
        <item x="4"/>
        <item x="9"/>
        <item x="13"/>
        <item x="19"/>
        <item x="2"/>
        <item x="25"/>
        <item x="7"/>
        <item x="15"/>
        <item x="20"/>
        <item x="16"/>
        <item x="11"/>
        <item x="22"/>
        <item x="28"/>
        <item x="0"/>
        <item x="27"/>
        <item x="1"/>
        <item x="24"/>
        <item t="default"/>
      </items>
    </pivotField>
    <pivotField dataField="1" showAll="0"/>
    <pivotField showAll="0"/>
    <pivotField showAll="0"/>
    <pivotField showAll="0">
      <items count="3518">
        <item x="720"/>
        <item x="467"/>
        <item x="2074"/>
        <item x="190"/>
        <item x="1625"/>
        <item x="1490"/>
        <item x="2276"/>
        <item x="2689"/>
        <item x="790"/>
        <item x="1577"/>
        <item x="2869"/>
        <item x="2136"/>
        <item x="1937"/>
        <item x="640"/>
        <item x="633"/>
        <item x="3381"/>
        <item x="250"/>
        <item x="160"/>
        <item x="290"/>
        <item x="3439"/>
        <item x="678"/>
        <item x="1599"/>
        <item x="497"/>
        <item x="748"/>
        <item x="300"/>
        <item x="2872"/>
        <item x="1242"/>
        <item x="204"/>
        <item x="1959"/>
        <item x="1693"/>
        <item x="627"/>
        <item x="1061"/>
        <item x="2457"/>
        <item x="1995"/>
        <item x="1698"/>
        <item x="735"/>
        <item x="1392"/>
        <item x="28"/>
        <item x="1968"/>
        <item x="3159"/>
        <item x="3064"/>
        <item x="653"/>
        <item x="328"/>
        <item x="1159"/>
        <item x="3057"/>
        <item x="2562"/>
        <item x="2091"/>
        <item x="69"/>
        <item x="1581"/>
        <item x="2673"/>
        <item x="353"/>
        <item x="2250"/>
        <item x="276"/>
        <item x="957"/>
        <item x="2956"/>
        <item x="617"/>
        <item x="31"/>
        <item x="2718"/>
        <item x="2080"/>
        <item x="1"/>
        <item x="1492"/>
        <item x="1542"/>
        <item x="342"/>
        <item x="486"/>
        <item x="3318"/>
        <item x="1313"/>
        <item x="3502"/>
        <item x="82"/>
        <item x="358"/>
        <item x="3207"/>
        <item x="2100"/>
        <item x="2422"/>
        <item x="113"/>
        <item x="481"/>
        <item x="2199"/>
        <item x="161"/>
        <item x="1447"/>
        <item x="765"/>
        <item x="1861"/>
        <item x="1258"/>
        <item x="1702"/>
        <item x="953"/>
        <item x="84"/>
        <item x="369"/>
        <item x="3288"/>
        <item x="252"/>
        <item x="3425"/>
        <item x="3132"/>
        <item x="2553"/>
        <item x="2838"/>
        <item x="175"/>
        <item x="754"/>
        <item x="460"/>
        <item x="205"/>
        <item x="2411"/>
        <item x="995"/>
        <item x="2660"/>
        <item x="2617"/>
        <item x="862"/>
        <item x="1776"/>
        <item x="2063"/>
        <item x="535"/>
        <item x="1028"/>
        <item x="1319"/>
        <item x="2698"/>
        <item x="3301"/>
        <item x="2557"/>
        <item x="176"/>
        <item x="900"/>
        <item x="3466"/>
        <item x="2591"/>
        <item x="2121"/>
        <item x="3410"/>
        <item x="3124"/>
        <item x="2369"/>
        <item x="2703"/>
        <item x="1094"/>
        <item x="832"/>
        <item x="1795"/>
        <item x="462"/>
        <item x="1215"/>
        <item x="3202"/>
        <item x="877"/>
        <item x="3172"/>
        <item x="2677"/>
        <item x="638"/>
        <item x="3483"/>
        <item x="531"/>
        <item x="320"/>
        <item x="2403"/>
        <item x="671"/>
        <item x="179"/>
        <item x="1627"/>
        <item x="253"/>
        <item x="3409"/>
        <item x="3087"/>
        <item x="388"/>
        <item x="658"/>
        <item x="979"/>
        <item x="672"/>
        <item x="1803"/>
        <item x="1363"/>
        <item x="2794"/>
        <item x="505"/>
        <item x="1593"/>
        <item x="1266"/>
        <item x="2282"/>
        <item x="1844"/>
        <item x="140"/>
        <item x="83"/>
        <item x="259"/>
        <item x="2947"/>
        <item x="2134"/>
        <item x="649"/>
        <item x="2205"/>
        <item x="2853"/>
        <item x="2195"/>
        <item x="820"/>
        <item x="707"/>
        <item x="2296"/>
        <item x="2645"/>
        <item x="2438"/>
        <item x="1013"/>
        <item x="2364"/>
        <item x="2734"/>
        <item x="233"/>
        <item x="986"/>
        <item x="1825"/>
        <item x="2946"/>
        <item x="3002"/>
        <item x="1835"/>
        <item x="1557"/>
        <item x="3081"/>
        <item x="954"/>
        <item x="3313"/>
        <item x="451"/>
        <item x="1212"/>
        <item x="372"/>
        <item x="840"/>
        <item x="177"/>
        <item x="1193"/>
        <item x="2017"/>
        <item x="1798"/>
        <item x="1467"/>
        <item x="803"/>
        <item x="3291"/>
        <item x="2708"/>
        <item x="1172"/>
        <item x="168"/>
        <item x="2824"/>
        <item x="1275"/>
        <item x="409"/>
        <item x="337"/>
        <item x="1121"/>
        <item x="3510"/>
        <item x="2601"/>
        <item x="40"/>
        <item x="131"/>
        <item x="2460"/>
        <item x="3438"/>
        <item x="3391"/>
        <item x="2537"/>
        <item x="150"/>
        <item x="145"/>
        <item x="496"/>
        <item x="1479"/>
        <item x="716"/>
        <item x="226"/>
        <item x="2644"/>
        <item x="2600"/>
        <item x="1494"/>
        <item x="1337"/>
        <item x="1896"/>
        <item x="165"/>
        <item x="1450"/>
        <item x="1156"/>
        <item x="697"/>
        <item x="892"/>
        <item x="3289"/>
        <item x="2070"/>
        <item x="241"/>
        <item x="3369"/>
        <item x="3185"/>
        <item x="879"/>
        <item x="114"/>
        <item x="1996"/>
        <item x="3249"/>
        <item x="1903"/>
        <item x="1497"/>
        <item x="2730"/>
        <item x="977"/>
        <item x="876"/>
        <item x="1499"/>
        <item x="331"/>
        <item x="991"/>
        <item x="2694"/>
        <item x="2477"/>
        <item x="1508"/>
        <item x="395"/>
        <item x="2959"/>
        <item x="1914"/>
        <item x="808"/>
        <item x="2456"/>
        <item x="1964"/>
        <item x="92"/>
        <item x="2488"/>
        <item x="3279"/>
        <item x="390"/>
        <item x="1431"/>
        <item x="2226"/>
        <item x="2633"/>
        <item x="1519"/>
        <item x="1832"/>
        <item x="744"/>
        <item x="443"/>
        <item x="2914"/>
        <item x="1773"/>
        <item x="527"/>
        <item x="384"/>
        <item x="3031"/>
        <item x="2855"/>
        <item x="1443"/>
        <item x="2909"/>
        <item x="509"/>
        <item x="416"/>
        <item x="1442"/>
        <item x="1905"/>
        <item x="3230"/>
        <item x="1576"/>
        <item x="921"/>
        <item x="1372"/>
        <item x="804"/>
        <item x="1154"/>
        <item x="1672"/>
        <item x="2030"/>
        <item x="864"/>
        <item x="12"/>
        <item x="2245"/>
        <item x="412"/>
        <item x="3069"/>
        <item x="3114"/>
        <item x="2926"/>
        <item x="1876"/>
        <item x="539"/>
        <item x="2093"/>
        <item x="691"/>
        <item x="1132"/>
        <item x="1780"/>
        <item x="2981"/>
        <item x="1248"/>
        <item x="37"/>
        <item x="2803"/>
        <item x="2047"/>
        <item x="3319"/>
        <item x="2098"/>
        <item x="2377"/>
        <item x="1604"/>
        <item x="2376"/>
        <item x="2437"/>
        <item x="3487"/>
        <item x="1240"/>
        <item x="123"/>
        <item x="1679"/>
        <item x="1367"/>
        <item x="3123"/>
        <item x="1588"/>
        <item x="3050"/>
        <item x="3257"/>
        <item x="2172"/>
        <item x="717"/>
        <item x="263"/>
        <item x="3224"/>
        <item x="117"/>
        <item x="1314"/>
        <item x="1362"/>
        <item x="1034"/>
        <item x="2062"/>
        <item x="89"/>
        <item x="2519"/>
        <item x="1777"/>
        <item x="3454"/>
        <item x="3026"/>
        <item x="2394"/>
        <item x="1762"/>
        <item x="1958"/>
        <item x="422"/>
        <item x="1956"/>
        <item x="3187"/>
        <item x="3062"/>
        <item x="1231"/>
        <item x="3267"/>
        <item x="2632"/>
        <item x="1689"/>
        <item x="843"/>
        <item x="108"/>
        <item x="2541"/>
        <item x="3049"/>
        <item x="1613"/>
        <item x="2260"/>
        <item x="1585"/>
        <item x="3100"/>
        <item x="3071"/>
        <item x="3200"/>
        <item x="1043"/>
        <item x="2463"/>
        <item x="2889"/>
        <item x="2724"/>
        <item x="3113"/>
        <item x="163"/>
        <item x="3511"/>
        <item x="2202"/>
        <item x="34"/>
        <item x="1391"/>
        <item x="715"/>
        <item x="2534"/>
        <item x="3464"/>
        <item x="947"/>
        <item x="749"/>
        <item x="1063"/>
        <item x="330"/>
        <item x="1477"/>
        <item x="385"/>
        <item x="425"/>
        <item x="493"/>
        <item x="1285"/>
        <item x="616"/>
        <item x="2808"/>
        <item x="3274"/>
        <item x="2833"/>
        <item x="1826"/>
        <item x="1091"/>
        <item x="2105"/>
        <item x="2864"/>
        <item x="3303"/>
        <item x="1478"/>
        <item x="846"/>
        <item x="605"/>
        <item x="1277"/>
        <item x="254"/>
        <item x="2928"/>
        <item x="1081"/>
        <item x="2229"/>
        <item x="1142"/>
        <item x="2483"/>
        <item x="2167"/>
        <item x="1318"/>
        <item x="338"/>
        <item x="46"/>
        <item x="911"/>
        <item x="282"/>
        <item x="3372"/>
        <item x="3461"/>
        <item x="1791"/>
        <item x="2548"/>
        <item x="2598"/>
        <item x="522"/>
        <item x="933"/>
        <item x="91"/>
        <item x="1444"/>
        <item x="2565"/>
        <item x="2310"/>
        <item x="2212"/>
        <item x="439"/>
        <item x="2736"/>
        <item x="867"/>
        <item x="614"/>
        <item x="3141"/>
        <item x="245"/>
        <item x="1918"/>
        <item x="1993"/>
        <item x="1539"/>
        <item x="1991"/>
        <item x="3271"/>
        <item x="1383"/>
        <item x="1483"/>
        <item x="3227"/>
        <item x="3317"/>
        <item x="2753"/>
        <item x="2089"/>
        <item x="217"/>
        <item x="560"/>
        <item x="536"/>
        <item x="2527"/>
        <item x="3039"/>
        <item x="2787"/>
        <item x="3488"/>
        <item x="1595"/>
        <item x="952"/>
        <item x="173"/>
        <item x="2358"/>
        <item x="2389"/>
        <item x="2025"/>
        <item x="1471"/>
        <item x="1044"/>
        <item x="2868"/>
        <item x="2467"/>
        <item x="208"/>
        <item x="413"/>
        <item x="3309"/>
        <item x="1194"/>
        <item x="2311"/>
        <item x="2972"/>
        <item x="930"/>
        <item x="284"/>
        <item x="1309"/>
        <item x="1628"/>
        <item x="778"/>
        <item x="1352"/>
        <item x="1691"/>
        <item x="1481"/>
        <item x="1173"/>
        <item x="2255"/>
        <item x="1283"/>
        <item x="1527"/>
        <item x="1184"/>
        <item x="2882"/>
        <item x="916"/>
        <item x="2543"/>
        <item x="2690"/>
        <item x="3359"/>
        <item x="1836"/>
        <item x="2123"/>
        <item x="1676"/>
        <item x="928"/>
        <item x="402"/>
        <item x="2083"/>
        <item x="1571"/>
        <item x="2308"/>
        <item x="182"/>
        <item x="295"/>
        <item x="109"/>
        <item x="141"/>
        <item x="917"/>
        <item x="734"/>
        <item x="1624"/>
        <item x="1062"/>
        <item x="3357"/>
        <item x="1845"/>
        <item x="1894"/>
        <item x="3501"/>
        <item x="609"/>
        <item x="1174"/>
        <item x="2659"/>
        <item x="2295"/>
        <item x="1278"/>
        <item x="2643"/>
        <item x="2046"/>
        <item x="347"/>
        <item x="2739"/>
        <item x="2905"/>
        <item x="267"/>
        <item x="2937"/>
        <item x="779"/>
        <item x="2138"/>
        <item x="74"/>
        <item x="216"/>
        <item x="3334"/>
        <item x="564"/>
        <item x="450"/>
        <item x="1568"/>
        <item x="2107"/>
        <item x="1140"/>
        <item x="2535"/>
        <item x="2149"/>
        <item x="3437"/>
        <item x="2875"/>
        <item x="2220"/>
        <item x="2563"/>
        <item x="795"/>
        <item x="2815"/>
        <item x="890"/>
        <item x="740"/>
        <item x="989"/>
        <item x="3418"/>
        <item x="726"/>
        <item x="1412"/>
        <item x="2772"/>
        <item x="2480"/>
        <item x="3414"/>
        <item x="3213"/>
        <item x="1179"/>
        <item x="21"/>
        <item x="2549"/>
        <item x="1134"/>
        <item x="375"/>
        <item x="3352"/>
        <item x="1177"/>
        <item x="1966"/>
        <item x="1368"/>
        <item x="2764"/>
        <item x="1684"/>
        <item x="2616"/>
        <item x="257"/>
        <item x="2870"/>
        <item x="761"/>
        <item x="907"/>
        <item x="985"/>
        <item x="1888"/>
        <item x="782"/>
        <item x="1371"/>
        <item x="1806"/>
        <item x="1502"/>
        <item x="3516"/>
        <item x="1775"/>
        <item x="3296"/>
        <item x="842"/>
        <item x="1395"/>
        <item x="2469"/>
        <item x="1181"/>
        <item x="764"/>
        <item x="2096"/>
        <item x="1757"/>
        <item x="178"/>
        <item x="94"/>
        <item x="2924"/>
        <item x="3070"/>
        <item x="1600"/>
        <item x="2355"/>
        <item x="772"/>
        <item x="122"/>
        <item x="25"/>
        <item x="2378"/>
        <item x="919"/>
        <item x="2976"/>
        <item x="2912"/>
        <item x="694"/>
        <item x="3314"/>
        <item x="3393"/>
        <item x="2682"/>
        <item x="414"/>
        <item x="533"/>
        <item x="961"/>
        <item x="288"/>
        <item x="929"/>
        <item x="1245"/>
        <item x="3215"/>
        <item x="1511"/>
        <item x="3287"/>
        <item x="2481"/>
        <item x="699"/>
        <item x="506"/>
        <item x="2388"/>
        <item x="361"/>
        <item x="2068"/>
        <item x="1146"/>
        <item x="3277"/>
        <item x="3395"/>
        <item x="2316"/>
        <item x="1928"/>
        <item x="2335"/>
        <item x="2383"/>
        <item x="1394"/>
        <item x="3127"/>
        <item x="1667"/>
        <item x="2827"/>
        <item x="345"/>
        <item x="2263"/>
        <item x="1871"/>
        <item x="322"/>
        <item x="987"/>
        <item x="1852"/>
        <item x="3130"/>
        <item x="1350"/>
        <item x="2846"/>
        <item x="2067"/>
        <item x="2874"/>
        <item x="964"/>
        <item x="305"/>
        <item x="3151"/>
        <item x="1482"/>
        <item x="1707"/>
        <item x="2878"/>
        <item x="2817"/>
        <item x="2332"/>
        <item x="632"/>
        <item x="1001"/>
        <item x="2118"/>
        <item x="72"/>
        <item x="3371"/>
        <item x="2285"/>
        <item x="1422"/>
        <item x="1323"/>
        <item x="1713"/>
        <item x="2066"/>
        <item x="1590"/>
        <item x="65"/>
        <item x="1381"/>
        <item x="2108"/>
        <item x="1626"/>
        <item x="2019"/>
        <item x="134"/>
        <item x="2018"/>
        <item x="2495"/>
        <item x="2090"/>
        <item x="321"/>
        <item x="788"/>
        <item x="2125"/>
        <item x="1257"/>
        <item x="1461"/>
        <item x="1010"/>
        <item x="596"/>
        <item x="3376"/>
        <item x="1430"/>
        <item x="2110"/>
        <item x="538"/>
        <item x="1165"/>
        <item x="1818"/>
        <item x="1904"/>
        <item x="816"/>
        <item x="1854"/>
        <item x="515"/>
        <item x="1926"/>
        <item x="607"/>
        <item x="1169"/>
        <item x="660"/>
        <item x="1618"/>
        <item x="2069"/>
        <item x="784"/>
        <item x="1260"/>
        <item x="1570"/>
        <item x="1080"/>
        <item x="1100"/>
        <item x="3284"/>
        <item x="3252"/>
        <item x="3269"/>
        <item x="1763"/>
        <item x="2806"/>
        <item x="2978"/>
        <item x="2511"/>
        <item x="3075"/>
        <item x="588"/>
        <item x="1979"/>
        <item x="360"/>
        <item x="1812"/>
        <item x="1848"/>
        <item x="166"/>
        <item x="1141"/>
        <item x="971"/>
        <item x="1501"/>
        <item x="2399"/>
        <item x="3399"/>
        <item x="569"/>
        <item x="1185"/>
        <item x="2327"/>
        <item x="2840"/>
        <item x="1616"/>
        <item x="802"/>
        <item x="2294"/>
        <item x="1354"/>
        <item x="626"/>
        <item x="366"/>
        <item x="3415"/>
        <item x="1451"/>
        <item x="3417"/>
        <item x="2595"/>
        <item x="3122"/>
        <item x="192"/>
        <item x="304"/>
        <item x="2883"/>
        <item x="2545"/>
        <item x="526"/>
        <item x="897"/>
        <item x="359"/>
        <item x="3051"/>
        <item x="432"/>
        <item x="2744"/>
        <item x="1547"/>
        <item x="215"/>
        <item x="2151"/>
        <item x="2435"/>
        <item x="1653"/>
        <item x="1783"/>
        <item x="303"/>
        <item x="2414"/>
        <item x="944"/>
        <item x="162"/>
        <item x="1647"/>
        <item x="1801"/>
        <item x="1879"/>
        <item x="1642"/>
        <item x="1829"/>
        <item x="1295"/>
        <item x="2800"/>
        <item x="2147"/>
        <item x="1891"/>
        <item x="2639"/>
        <item x="3470"/>
        <item x="1980"/>
        <item x="457"/>
        <item x="2043"/>
        <item x="567"/>
        <item x="1440"/>
        <item x="67"/>
        <item x="1166"/>
        <item x="2835"/>
        <item x="639"/>
        <item x="1051"/>
        <item x="2492"/>
        <item x="1214"/>
        <item x="1712"/>
        <item x="863"/>
        <item x="2280"/>
        <item x="1620"/>
        <item x="2082"/>
        <item x="2850"/>
        <item x="312"/>
        <item x="1321"/>
        <item x="473"/>
        <item x="1342"/>
        <item x="963"/>
        <item x="1288"/>
        <item x="248"/>
        <item x="1198"/>
        <item x="2304"/>
        <item x="1598"/>
        <item x="3037"/>
        <item x="2479"/>
        <item x="2427"/>
        <item x="88"/>
        <item x="3148"/>
        <item x="2512"/>
        <item x="3481"/>
        <item x="839"/>
        <item x="3000"/>
        <item x="340"/>
        <item x="2326"/>
        <item x="978"/>
        <item x="1523"/>
        <item x="2076"/>
        <item x="2312"/>
        <item x="355"/>
        <item x="2375"/>
        <item x="2949"/>
        <item x="1425"/>
        <item x="2501"/>
        <item x="1098"/>
        <item x="2514"/>
        <item x="1123"/>
        <item x="3245"/>
        <item x="2571"/>
        <item x="8"/>
        <item x="2982"/>
        <item x="1552"/>
        <item x="1223"/>
        <item x="690"/>
        <item x="1699"/>
        <item x="570"/>
        <item x="1534"/>
        <item x="1781"/>
        <item x="452"/>
        <item x="427"/>
        <item x="3368"/>
        <item x="1017"/>
        <item x="785"/>
        <item x="651"/>
        <item x="1505"/>
        <item x="2524"/>
        <item x="3129"/>
        <item x="2940"/>
        <item x="1453"/>
        <item x="2430"/>
        <item x="2127"/>
        <item x="1800"/>
        <item x="2485"/>
        <item x="1622"/>
        <item x="606"/>
        <item x="3268"/>
        <item x="1633"/>
        <item x="723"/>
        <item x="2606"/>
        <item x="1423"/>
        <item x="1584"/>
        <item x="1720"/>
        <item x="3012"/>
        <item x="15"/>
        <item x="2615"/>
        <item x="2156"/>
        <item x="1906"/>
        <item x="492"/>
        <item x="1007"/>
        <item x="934"/>
        <item x="3228"/>
        <item x="2052"/>
        <item x="2842"/>
        <item x="2636"/>
        <item x="562"/>
        <item x="86"/>
        <item x="2576"/>
        <item x="3505"/>
        <item x="1186"/>
        <item x="2652"/>
        <item x="3432"/>
        <item x="2984"/>
        <item x="2493"/>
        <item x="3220"/>
        <item x="1374"/>
        <item x="2135"/>
        <item x="1349"/>
        <item x="236"/>
        <item x="1753"/>
        <item x="1276"/>
        <item x="3498"/>
        <item x="1764"/>
        <item x="2506"/>
        <item x="121"/>
        <item x="1175"/>
        <item x="572"/>
        <item x="43"/>
        <item x="2893"/>
        <item x="2879"/>
        <item x="1138"/>
        <item x="1630"/>
        <item x="2969"/>
        <item x="2729"/>
        <item x="3463"/>
        <item x="559"/>
        <item x="5"/>
        <item x="1224"/>
        <item x="2929"/>
        <item x="3232"/>
        <item x="1893"/>
        <item x="139"/>
        <item x="2521"/>
        <item x="3401"/>
        <item x="2166"/>
        <item x="2402"/>
        <item x="2361"/>
        <item x="1149"/>
        <item x="2049"/>
        <item x="3482"/>
        <item x="3404"/>
        <item x="2114"/>
        <item x="370"/>
        <item x="1019"/>
        <item x="154"/>
        <item x="1048"/>
        <item x="2716"/>
        <item x="197"/>
        <item x="458"/>
        <item x="3082"/>
        <item x="3191"/>
        <item x="2329"/>
        <item x="237"/>
        <item x="603"/>
        <item x="2423"/>
        <item x="945"/>
        <item x="619"/>
        <item x="1037"/>
        <item x="1847"/>
        <item x="503"/>
        <item x="1074"/>
        <item x="1077"/>
        <item x="3192"/>
        <item x="2802"/>
        <item x="2292"/>
        <item x="800"/>
        <item x="1446"/>
        <item x="984"/>
        <item x="2908"/>
        <item x="132"/>
        <item x="3347"/>
        <item x="3290"/>
        <item x="1255"/>
        <item x="918"/>
        <item x="2533"/>
        <item x="1951"/>
        <item x="721"/>
        <item x="2902"/>
        <item x="903"/>
        <item x="434"/>
        <item x="1811"/>
        <item x="1095"/>
        <item x="1721"/>
        <item x="472"/>
        <item x="348"/>
        <item x="2248"/>
        <item x="2221"/>
        <item x="2259"/>
        <item x="1300"/>
        <item x="418"/>
        <item x="1234"/>
        <item x="2385"/>
        <item x="2113"/>
        <item x="2187"/>
        <item x="2958"/>
        <item x="2504"/>
        <item x="657"/>
        <item x="3040"/>
        <item x="1661"/>
        <item x="958"/>
        <item x="1293"/>
        <item x="683"/>
        <item x="2758"/>
        <item x="3158"/>
        <item x="1217"/>
        <item x="2379"/>
        <item x="955"/>
        <item x="2079"/>
        <item x="2973"/>
        <item x="3427"/>
        <item x="2374"/>
        <item x="2657"/>
        <item x="3056"/>
        <item x="1246"/>
        <item x="2528"/>
        <item x="1247"/>
        <item x="431"/>
        <item x="2986"/>
        <item x="1970"/>
        <item x="1646"/>
        <item x="610"/>
        <item x="2102"/>
        <item x="579"/>
        <item x="516"/>
        <item x="1420"/>
        <item x="2330"/>
        <item x="3004"/>
        <item x="1549"/>
        <item x="834"/>
        <item x="2755"/>
        <item x="2900"/>
        <item x="1688"/>
        <item x="3462"/>
        <item x="3222"/>
        <item x="2264"/>
        <item x="3029"/>
        <item x="781"/>
        <item x="2322"/>
        <item x="3059"/>
        <item x="2455"/>
        <item x="1509"/>
        <item x="2104"/>
        <item x="2261"/>
        <item x="2094"/>
        <item x="3346"/>
        <item x="618"/>
        <item x="871"/>
        <item x="1901"/>
        <item x="2975"/>
        <item x="3226"/>
        <item x="2866"/>
        <item x="249"/>
        <item x="949"/>
        <item x="3133"/>
        <item x="3007"/>
        <item x="81"/>
        <item x="1489"/>
        <item x="447"/>
        <item x="2348"/>
        <item x="2215"/>
        <item x="2277"/>
        <item x="1989"/>
        <item x="508"/>
        <item x="3458"/>
        <item x="2856"/>
        <item x="563"/>
        <item x="3373"/>
        <item x="976"/>
        <item x="899"/>
        <item x="2022"/>
        <item x="2867"/>
        <item x="1435"/>
        <item x="600"/>
        <item x="64"/>
        <item x="389"/>
        <item x="1244"/>
        <item x="3327"/>
        <item x="1480"/>
        <item x="428"/>
        <item x="174"/>
        <item x="668"/>
        <item x="1272"/>
        <item x="2235"/>
        <item x="1546"/>
        <item x="545"/>
        <item x="1575"/>
        <item x="455"/>
        <item x="2896"/>
        <item x="2197"/>
        <item x="2466"/>
        <item x="1565"/>
        <item x="3068"/>
        <item x="2270"/>
        <item x="2858"/>
        <item x="1024"/>
        <item x="368"/>
        <item x="2222"/>
        <item x="2353"/>
        <item x="309"/>
        <item x="2087"/>
        <item x="1207"/>
        <item x="766"/>
        <item x="1239"/>
        <item x="1846"/>
        <item x="2184"/>
        <item x="351"/>
        <item x="2309"/>
        <item x="1550"/>
        <item x="587"/>
        <item x="2015"/>
        <item x="195"/>
        <item x="2232"/>
        <item x="980"/>
        <item x="2789"/>
        <item x="1802"/>
        <item x="2174"/>
        <item x="2944"/>
        <item x="922"/>
        <item x="1021"/>
        <item x="1332"/>
        <item x="3292"/>
        <item x="2903"/>
        <item x="1182"/>
        <item x="747"/>
        <item x="662"/>
        <item x="1238"/>
        <item x="2919"/>
        <item x="622"/>
        <item x="2256"/>
        <item x="2592"/>
        <item x="2421"/>
        <item x="3239"/>
        <item x="2967"/>
        <item x="941"/>
        <item x="3413"/>
        <item x="3241"/>
        <item x="194"/>
        <item x="314"/>
        <item x="1842"/>
        <item x="3136"/>
        <item x="1574"/>
        <item x="242"/>
        <item x="1351"/>
        <item x="1948"/>
        <item x="1939"/>
        <item x="2894"/>
        <item x="1850"/>
        <item x="3477"/>
        <item x="480"/>
        <item x="2830"/>
        <item x="2596"/>
        <item x="664"/>
        <item x="240"/>
        <item x="2320"/>
        <item x="3298"/>
        <item x="1455"/>
        <item x="1668"/>
        <item x="2009"/>
        <item x="426"/>
        <item x="1947"/>
        <item x="2268"/>
        <item x="2396"/>
        <item x="1705"/>
        <item x="2684"/>
        <item x="2325"/>
        <item x="3335"/>
        <item x="85"/>
        <item x="3154"/>
        <item x="387"/>
        <item x="2426"/>
        <item x="806"/>
        <item x="3493"/>
        <item x="2144"/>
        <item x="3014"/>
        <item x="1761"/>
        <item x="689"/>
        <item x="543"/>
        <item x="152"/>
        <item x="2631"/>
        <item x="2213"/>
        <item x="3180"/>
        <item x="2679"/>
        <item x="53"/>
        <item x="2258"/>
        <item x="2529"/>
        <item x="2053"/>
        <item x="438"/>
        <item x="1682"/>
        <item x="1657"/>
        <item x="2702"/>
        <item x="2031"/>
        <item x="3363"/>
        <item x="2719"/>
        <item x="2662"/>
        <item x="1782"/>
        <item x="1436"/>
        <item x="582"/>
        <item x="3474"/>
        <item x="948"/>
        <item x="3349"/>
        <item x="2751"/>
        <item x="2953"/>
        <item x="3285"/>
        <item x="1681"/>
        <item x="2750"/>
        <item x="3153"/>
        <item x="1809"/>
        <item x="3515"/>
        <item x="2876"/>
        <item x="3077"/>
        <item x="1002"/>
        <item x="23"/>
        <item x="1333"/>
        <item x="1297"/>
        <item x="2419"/>
        <item x="2798"/>
        <item x="1543"/>
        <item x="2839"/>
        <item x="311"/>
        <item x="1932"/>
        <item x="1913"/>
        <item x="2206"/>
        <item x="2278"/>
        <item x="1669"/>
        <item x="1401"/>
        <item x="2271"/>
        <item x="2150"/>
        <item x="453"/>
        <item x="2249"/>
        <item x="3177"/>
        <item x="1602"/>
        <item x="2797"/>
        <item x="1474"/>
        <item x="3402"/>
        <item x="3142"/>
        <item x="1110"/>
        <item x="935"/>
        <item x="2611"/>
        <item x="100"/>
        <item x="1975"/>
        <item x="3407"/>
        <item x="789"/>
        <item x="2162"/>
        <item x="1648"/>
        <item x="468"/>
        <item x="277"/>
        <item x="592"/>
        <item x="3212"/>
        <item x="1949"/>
        <item x="1759"/>
        <item x="3489"/>
        <item x="3451"/>
        <item x="2040"/>
        <item x="2476"/>
        <item x="1638"/>
        <item x="2302"/>
        <item x="27"/>
        <item x="3016"/>
        <item x="1380"/>
        <item x="2343"/>
        <item x="1192"/>
        <item x="2777"/>
        <item x="999"/>
        <item x="1203"/>
        <item x="1382"/>
        <item x="2637"/>
        <item x="2920"/>
        <item x="1072"/>
        <item x="2097"/>
        <item x="1109"/>
        <item x="1426"/>
        <item x="47"/>
        <item x="2607"/>
        <item x="1973"/>
        <item x="1922"/>
        <item x="3111"/>
        <item x="3105"/>
        <item x="2390"/>
        <item x="2152"/>
        <item x="1838"/>
        <item x="2996"/>
        <item x="63"/>
        <item x="3043"/>
        <item x="2945"/>
        <item x="2340"/>
        <item x="1843"/>
        <item x="2217"/>
        <item x="940"/>
        <item x="2315"/>
        <item x="1867"/>
        <item x="3276"/>
        <item x="2487"/>
        <item x="3143"/>
        <item x="2516"/>
        <item x="1635"/>
        <item x="404"/>
        <item x="575"/>
        <item x="2942"/>
        <item x="3320"/>
        <item x="405"/>
        <item x="2085"/>
        <item x="706"/>
        <item x="647"/>
        <item x="1124"/>
        <item x="819"/>
        <item x="1709"/>
        <item x="2431"/>
        <item x="1073"/>
        <item x="1946"/>
        <item x="3283"/>
        <item x="1385"/>
        <item x="1748"/>
        <item x="738"/>
        <item x="1291"/>
        <item x="810"/>
        <item x="2667"/>
        <item x="3126"/>
        <item x="2145"/>
        <item x="3387"/>
        <item x="2279"/>
        <item x="573"/>
        <item x="1152"/>
        <item x="1910"/>
        <item x="1701"/>
        <item x="326"/>
        <item x="2569"/>
        <item x="3246"/>
        <item x="2941"/>
        <item x="1728"/>
        <item x="2970"/>
        <item x="1768"/>
        <item x="2675"/>
        <item x="2930"/>
        <item x="1456"/>
        <item x="2057"/>
        <item x="1130"/>
        <item x="2129"/>
        <item x="187"/>
        <item x="1046"/>
        <item x="124"/>
        <item x="1936"/>
        <item x="2907"/>
        <item x="1040"/>
        <item x="1529"/>
        <item x="2518"/>
        <item x="1129"/>
        <item x="2086"/>
        <item x="663"/>
        <item x="1500"/>
        <item x="2778"/>
        <item x="3426"/>
        <item x="1016"/>
        <item x="180"/>
        <item x="869"/>
        <item x="693"/>
        <item x="323"/>
        <item x="2743"/>
        <item x="1222"/>
        <item x="1107"/>
        <item x="756"/>
        <item x="1105"/>
        <item x="3216"/>
        <item x="232"/>
        <item x="1050"/>
        <item x="2386"/>
        <item x="2478"/>
        <item x="2566"/>
        <item x="3086"/>
        <item x="281"/>
        <item x="3047"/>
        <item x="3053"/>
        <item x="3034"/>
        <item x="2706"/>
        <item x="1992"/>
        <item x="1338"/>
        <item x="1387"/>
        <item x="2313"/>
        <item x="2441"/>
        <item x="2697"/>
        <item x="2709"/>
        <item x="3275"/>
        <item x="2622"/>
        <item x="967"/>
        <item x="751"/>
        <item x="1495"/>
        <item x="3375"/>
        <item x="1119"/>
        <item x="2782"/>
        <item x="2965"/>
        <item x="3042"/>
        <item x="3094"/>
        <item x="743"/>
        <item x="2204"/>
        <item x="849"/>
        <item x="1884"/>
        <item x="2029"/>
        <item x="1788"/>
        <item x="2284"/>
        <item x="1115"/>
        <item x="3263"/>
        <item x="2393"/>
        <item x="1155"/>
        <item x="2146"/>
        <item x="381"/>
        <item x="2551"/>
        <item x="17"/>
        <item x="3150"/>
        <item x="2567"/>
        <item x="1990"/>
        <item x="1424"/>
        <item x="2440"/>
        <item x="1853"/>
        <item x="2886"/>
        <item x="293"/>
        <item x="1409"/>
        <item x="2560"/>
        <item x="2891"/>
        <item x="507"/>
        <item x="128"/>
        <item x="1304"/>
        <item x="3198"/>
        <item x="1131"/>
        <item x="815"/>
        <item x="1510"/>
        <item x="484"/>
        <item x="3305"/>
        <item x="525"/>
        <item x="755"/>
        <item x="2016"/>
        <item x="365"/>
        <item x="3033"/>
        <item x="2665"/>
        <item x="2347"/>
        <item x="2680"/>
        <item x="2707"/>
        <item x="901"/>
        <item x="2843"/>
        <item x="299"/>
        <item x="2453"/>
        <item x="58"/>
        <item x="1724"/>
        <item x="2542"/>
        <item x="3323"/>
        <item x="1273"/>
        <item x="315"/>
        <item x="910"/>
        <item x="2233"/>
        <item x="1069"/>
        <item x="501"/>
        <item x="725"/>
        <item x="199"/>
        <item x="3093"/>
        <item x="2779"/>
        <item x="1328"/>
        <item x="2058"/>
        <item x="1655"/>
        <item x="1732"/>
        <item x="859"/>
        <item x="2023"/>
        <item x="1065"/>
        <item x="201"/>
        <item x="2783"/>
        <item x="2004"/>
        <item x="1473"/>
        <item x="2078"/>
        <item x="2208"/>
        <item x="3067"/>
        <item x="1750"/>
        <item x="696"/>
        <item x="2885"/>
        <item x="959"/>
        <item x="1815"/>
        <item x="1643"/>
        <item x="1187"/>
        <item x="235"/>
        <item x="172"/>
        <item x="3495"/>
        <item x="3035"/>
        <item x="1218"/>
        <item x="3170"/>
        <item x="2922"/>
        <item x="3343"/>
        <item x="753"/>
        <item x="3229"/>
        <item x="3411"/>
        <item x="3406"/>
        <item x="1093"/>
        <item x="3431"/>
        <item x="1654"/>
        <item x="2447"/>
        <item x="3286"/>
        <item x="1578"/>
        <item x="1915"/>
        <item x="2188"/>
        <item x="932"/>
        <item x="2037"/>
        <item x="581"/>
        <item x="1339"/>
        <item x="7"/>
        <item x="1671"/>
        <item x="156"/>
        <item x="1961"/>
        <item x="2693"/>
        <item x="2075"/>
        <item x="364"/>
        <item x="3262"/>
        <item x="2157"/>
        <item x="2837"/>
        <item x="780"/>
        <item x="1143"/>
        <item x="96"/>
        <item x="2236"/>
        <item x="3140"/>
        <item x="1573"/>
        <item x="2845"/>
        <item x="1197"/>
        <item x="2161"/>
        <item x="1099"/>
        <item x="730"/>
        <item x="1057"/>
        <item x="2848"/>
        <item x="994"/>
        <item x="598"/>
        <item x="2647"/>
        <item x="2444"/>
        <item x="3060"/>
        <item x="2910"/>
        <item x="827"/>
        <item x="2502"/>
        <item x="2021"/>
        <item x="2658"/>
        <item x="1264"/>
        <item x="2974"/>
        <item x="419"/>
        <item x="1400"/>
        <item x="2407"/>
        <item x="2841"/>
        <item x="399"/>
        <item x="2442"/>
        <item x="3294"/>
        <item x="1882"/>
        <item x="1722"/>
        <item x="1157"/>
        <item x="475"/>
        <item x="3208"/>
        <item x="809"/>
        <item x="1298"/>
        <item x="547"/>
        <item x="3331"/>
        <item x="2392"/>
        <item x="3449"/>
        <item x="2621"/>
        <item x="758"/>
        <item x="1921"/>
        <item x="1253"/>
        <item x="1636"/>
        <item x="3019"/>
        <item x="2804"/>
        <item x="239"/>
        <item x="502"/>
        <item x="2176"/>
        <item x="1955"/>
        <item x="1960"/>
        <item x="1859"/>
        <item x="159"/>
        <item x="2116"/>
        <item x="1117"/>
        <item x="1102"/>
        <item x="2041"/>
        <item x="2672"/>
        <item x="464"/>
        <item x="589"/>
        <item x="1369"/>
        <item x="2768"/>
        <item x="2934"/>
        <item x="1035"/>
        <item x="584"/>
        <item x="1862"/>
        <item x="2339"/>
        <item x="20"/>
        <item x="833"/>
        <item x="243"/>
        <item x="2642"/>
        <item x="642"/>
        <item x="392"/>
        <item x="1831"/>
        <item x="895"/>
        <item x="2367"/>
        <item x="2575"/>
        <item x="125"/>
        <item x="291"/>
        <item x="1994"/>
        <item x="2822"/>
        <item x="3472"/>
        <item x="692"/>
        <item x="39"/>
        <item x="768"/>
        <item x="1096"/>
        <item x="2687"/>
        <item x="1619"/>
        <item x="1311"/>
        <item x="93"/>
        <item x="786"/>
        <item x="2733"/>
        <item x="1532"/>
        <item x="198"/>
        <item x="13"/>
        <item x="586"/>
        <item x="2977"/>
        <item x="1872"/>
        <item x="3513"/>
        <item x="520"/>
        <item x="2917"/>
        <item x="1373"/>
        <item x="2785"/>
        <item x="1176"/>
        <item x="3329"/>
        <item x="73"/>
        <item x="499"/>
        <item x="222"/>
        <item x="41"/>
        <item x="147"/>
        <item x="2400"/>
        <item x="3408"/>
        <item x="1731"/>
        <item x="3302"/>
        <item x="2342"/>
        <item x="1404"/>
        <item x="1617"/>
        <item x="2033"/>
        <item x="3001"/>
        <item x="2570"/>
        <item x="1150"/>
        <item x="218"/>
        <item x="2164"/>
        <item x="2106"/>
        <item x="2796"/>
        <item x="2218"/>
        <item x="287"/>
        <item x="158"/>
        <item x="3500"/>
        <item x="875"/>
        <item x="904"/>
        <item x="2081"/>
        <item x="583"/>
        <item x="2852"/>
        <item x="1555"/>
        <item x="167"/>
        <item x="2623"/>
        <item x="629"/>
        <item x="1067"/>
        <item x="1139"/>
        <item x="1857"/>
        <item x="695"/>
        <item x="2916"/>
        <item x="183"/>
        <item x="3383"/>
        <item x="1864"/>
        <item x="667"/>
        <item x="2594"/>
        <item x="1603"/>
        <item x="1554"/>
        <item x="2711"/>
        <item x="3247"/>
        <item x="101"/>
        <item x="95"/>
        <item x="2556"/>
        <item x="1419"/>
        <item x="2443"/>
        <item x="3503"/>
        <item x="2111"/>
        <item x="2728"/>
        <item x="2653"/>
        <item x="1644"/>
        <item x="2001"/>
        <item x="1641"/>
        <item x="1530"/>
        <item x="624"/>
        <item x="1927"/>
        <item x="3504"/>
        <item x="2741"/>
        <item x="1206"/>
        <item x="3167"/>
        <item x="3366"/>
        <item x="2957"/>
        <item x="391"/>
        <item x="2691"/>
        <item x="1837"/>
        <item x="2168"/>
        <item x="1108"/>
        <item x="1005"/>
        <item x="2141"/>
        <item x="1907"/>
        <item x="685"/>
        <item x="1498"/>
        <item x="830"/>
        <item x="3097"/>
        <item x="1389"/>
        <item x="631"/>
        <item x="1468"/>
        <item x="555"/>
        <item x="143"/>
        <item x="759"/>
        <item x="2283"/>
        <item x="2424"/>
        <item x="866"/>
        <item x="2547"/>
        <item x="1916"/>
        <item x="1135"/>
        <item x="595"/>
        <item x="1522"/>
        <item x="2238"/>
        <item x="2770"/>
        <item x="1856"/>
        <item x="2589"/>
        <item x="504"/>
        <item x="1237"/>
        <item x="2968"/>
        <item x="3022"/>
        <item x="352"/>
        <item x="2416"/>
        <item x="429"/>
        <item x="1414"/>
        <item x="884"/>
        <item x="1125"/>
        <item x="3436"/>
        <item x="775"/>
        <item x="1084"/>
        <item x="3066"/>
        <item x="3108"/>
        <item x="3119"/>
        <item x="1540"/>
        <item x="1950"/>
        <item x="648"/>
        <item x="2475"/>
        <item x="3144"/>
        <item x="1886"/>
        <item x="2227"/>
        <item x="1865"/>
        <item x="278"/>
        <item x="302"/>
        <item x="2254"/>
        <item x="1564"/>
        <item x="2793"/>
        <item x="2272"/>
        <item x="561"/>
        <item x="1204"/>
        <item x="1749"/>
        <item x="1967"/>
        <item x="2474"/>
        <item x="2420"/>
        <item x="1591"/>
        <item x="1183"/>
        <item x="1863"/>
        <item x="2448"/>
        <item x="3203"/>
        <item x="1982"/>
        <item x="2597"/>
        <item x="2814"/>
        <item x="1448"/>
        <item x="3496"/>
        <item x="1912"/>
        <item x="2791"/>
        <item x="2387"/>
        <item x="1434"/>
        <item x="3299"/>
        <item x="2671"/>
        <item x="2482"/>
        <item x="541"/>
        <item x="2243"/>
        <item x="1531"/>
        <item x="3282"/>
        <item x="3155"/>
        <item x="466"/>
        <item x="3486"/>
        <item x="1855"/>
        <item x="568"/>
        <item x="894"/>
        <item x="729"/>
        <item x="1579"/>
        <item x="1097"/>
        <item x="2961"/>
        <item x="590"/>
        <item x="615"/>
        <item x="926"/>
        <item x="1971"/>
        <item x="1060"/>
        <item x="3356"/>
        <item x="1377"/>
        <item x="2032"/>
        <item x="1399"/>
        <item x="1977"/>
        <item x="2432"/>
        <item x="1725"/>
        <item x="349"/>
        <item x="2950"/>
        <item x="1606"/>
        <item x="3473"/>
        <item x="3468"/>
        <item x="2655"/>
        <item x="2334"/>
        <item x="1195"/>
        <item x="2139"/>
        <item x="2865"/>
        <item x="3255"/>
        <item x="16"/>
        <item x="883"/>
        <item x="1664"/>
        <item x="2336"/>
        <item x="1228"/>
        <item x="2745"/>
        <item x="318"/>
        <item x="1700"/>
        <item x="3421"/>
        <item x="3233"/>
        <item x="2473"/>
        <item x="2685"/>
        <item x="3206"/>
        <item x="1459"/>
        <item x="3300"/>
        <item x="110"/>
        <item x="1779"/>
        <item x="1537"/>
        <item x="2026"/>
        <item x="52"/>
        <item x="2952"/>
        <item x="888"/>
        <item x="2154"/>
        <item x="1621"/>
        <item x="1415"/>
        <item x="149"/>
        <item x="3367"/>
        <item x="2901"/>
        <item x="2244"/>
        <item x="3084"/>
        <item x="972"/>
        <item x="1962"/>
        <item x="386"/>
        <item x="722"/>
        <item x="1680"/>
        <item x="1268"/>
        <item x="3494"/>
        <item x="2088"/>
        <item x="1718"/>
        <item x="2003"/>
        <item x="1299"/>
        <item x="1929"/>
        <item x="556"/>
        <item x="1064"/>
        <item x="1514"/>
        <item x="670"/>
        <item x="1789"/>
        <item x="3179"/>
        <item x="483"/>
        <item x="2148"/>
        <item x="1329"/>
        <item x="3095"/>
        <item x="2992"/>
        <item x="1439"/>
        <item x="2971"/>
        <item x="2544"/>
        <item x="1651"/>
        <item x="2182"/>
        <item x="2319"/>
        <item x="436"/>
        <item x="2635"/>
        <item x="2073"/>
        <item x="30"/>
        <item x="688"/>
        <item x="373"/>
        <item x="193"/>
        <item x="3225"/>
        <item x="1317"/>
        <item x="1466"/>
        <item x="966"/>
        <item x="2584"/>
        <item x="2395"/>
        <item x="2540"/>
        <item x="495"/>
        <item x="3079"/>
        <item x="3330"/>
        <item x="2555"/>
        <item x="2742"/>
        <item x="3353"/>
        <item x="1792"/>
        <item x="3186"/>
        <item x="1376"/>
        <item x="1219"/>
        <item x="1690"/>
        <item x="3453"/>
        <item x="3101"/>
        <item x="1464"/>
        <item x="1597"/>
        <item x="2120"/>
        <item x="78"/>
        <item x="2826"/>
        <item x="3221"/>
        <item x="2288"/>
        <item x="1274"/>
        <item x="889"/>
        <item x="2989"/>
        <item x="1769"/>
        <item x="2345"/>
        <item x="1799"/>
        <item x="1270"/>
        <item x="2020"/>
        <item x="1592"/>
        <item x="1462"/>
        <item x="2695"/>
        <item x="1744"/>
        <item x="1805"/>
        <item x="1031"/>
        <item x="231"/>
        <item x="2503"/>
        <item x="2038"/>
        <item x="1719"/>
        <item x="1518"/>
        <item x="2413"/>
        <item x="661"/>
        <item x="787"/>
        <item x="1736"/>
        <item x="3211"/>
        <item x="736"/>
        <item x="2520"/>
        <item x="1397"/>
        <item x="3168"/>
        <item x="2251"/>
        <item x="2061"/>
        <item x="644"/>
        <item x="797"/>
        <item x="258"/>
        <item x="2072"/>
        <item x="1778"/>
        <item x="478"/>
        <item x="1292"/>
        <item x="3253"/>
        <item x="2317"/>
        <item x="2964"/>
        <item x="2051"/>
        <item x="244"/>
        <item x="1413"/>
        <item x="529"/>
        <item x="1301"/>
        <item x="151"/>
        <item x="2587"/>
        <item x="2539"/>
        <item x="1526"/>
        <item x="2459"/>
        <item x="1998"/>
        <item x="2810"/>
        <item x="1807"/>
        <item x="1402"/>
        <item x="2517"/>
        <item x="1687"/>
        <item x="2470"/>
        <item x="549"/>
        <item x="2880"/>
        <item x="3385"/>
        <item x="1717"/>
        <item x="791"/>
        <item x="2406"/>
        <item x="1942"/>
        <item x="3109"/>
        <item x="3021"/>
        <item x="1908"/>
        <item x="710"/>
        <item x="1560"/>
        <item x="3512"/>
        <item x="1631"/>
        <item x="1752"/>
        <item x="731"/>
        <item x="656"/>
        <item x="3041"/>
        <item x="1032"/>
        <item x="210"/>
        <item x="406"/>
        <item x="3008"/>
        <item x="1029"/>
        <item x="2788"/>
        <item x="2938"/>
        <item x="1348"/>
        <item x="2781"/>
        <item x="1396"/>
        <item x="636"/>
        <item x="1221"/>
        <item x="2921"/>
        <item x="812"/>
        <item x="2993"/>
        <item x="1813"/>
        <item x="3223"/>
        <item x="3110"/>
        <item x="2610"/>
        <item x="686"/>
        <item x="1356"/>
        <item x="1900"/>
        <item x="2267"/>
        <item x="2834"/>
        <item x="1517"/>
        <item x="811"/>
        <item x="2436"/>
        <item x="1985"/>
        <item x="344"/>
        <item x="817"/>
        <item x="1969"/>
        <item x="1307"/>
        <item x="3106"/>
        <item x="280"/>
        <item x="184"/>
        <item x="1892"/>
        <item x="873"/>
        <item x="1504"/>
        <item x="3250"/>
        <item x="1520"/>
        <item x="1796"/>
        <item x="3"/>
        <item x="1126"/>
        <item x="858"/>
        <item x="2321"/>
        <item x="38"/>
        <item x="2368"/>
        <item x="1692"/>
        <item x="3338"/>
        <item x="681"/>
        <item x="1054"/>
        <item x="807"/>
        <item x="2324"/>
        <item x="2010"/>
        <item x="3078"/>
        <item x="1997"/>
        <item x="2747"/>
        <item x="449"/>
        <item x="1524"/>
        <item x="2142"/>
        <item x="1226"/>
        <item x="1039"/>
        <item x="3137"/>
        <item x="378"/>
        <item x="3023"/>
        <item x="1940"/>
        <item x="2726"/>
        <item x="2498"/>
        <item x="2059"/>
        <item x="1695"/>
        <item x="853"/>
        <item x="3017"/>
        <item x="1284"/>
        <item x="2630"/>
        <item x="2214"/>
        <item x="310"/>
        <item x="1261"/>
        <item x="1041"/>
        <item x="357"/>
        <item x="3433"/>
        <item x="374"/>
        <item x="1632"/>
        <item x="2354"/>
        <item x="3428"/>
        <item x="264"/>
        <item x="2769"/>
        <item x="3457"/>
        <item x="2531"/>
        <item x="3491"/>
        <item x="2468"/>
        <item x="500"/>
        <item x="18"/>
        <item x="3146"/>
        <item x="2510"/>
        <item x="2650"/>
        <item x="2525"/>
        <item x="3264"/>
        <item x="2762"/>
        <item x="1047"/>
        <item x="3219"/>
        <item x="659"/>
        <item x="1331"/>
        <item x="3258"/>
        <item x="2323"/>
        <item x="714"/>
        <item x="1486"/>
        <item x="3218"/>
        <item x="1887"/>
        <item x="2289"/>
        <item x="2159"/>
        <item x="2351"/>
        <item x="306"/>
        <item x="119"/>
        <item x="2314"/>
        <item x="1113"/>
        <item x="1880"/>
        <item x="1488"/>
        <item x="45"/>
        <item x="421"/>
        <item x="3018"/>
        <item x="1917"/>
        <item x="2836"/>
        <item x="2372"/>
        <item x="1828"/>
        <item x="279"/>
        <item x="2561"/>
        <item x="3452"/>
        <item x="1952"/>
        <item x="339"/>
        <item x="2904"/>
        <item x="965"/>
        <item x="2462"/>
        <item x="1784"/>
        <item x="256"/>
        <item x="362"/>
        <item x="2776"/>
        <item x="1196"/>
        <item x="2265"/>
        <item x="301"/>
        <item x="968"/>
        <item x="106"/>
        <item x="823"/>
        <item x="3058"/>
        <item x="909"/>
        <item x="2849"/>
        <item x="1243"/>
        <item x="3061"/>
        <item x="1403"/>
        <item x="1841"/>
        <item x="2170"/>
        <item x="854"/>
        <item x="99"/>
        <item x="3120"/>
        <item x="251"/>
        <item x="1652"/>
        <item x="1665"/>
        <item x="1675"/>
        <item x="2558"/>
        <item x="2860"/>
        <item x="1465"/>
        <item x="2554"/>
        <item x="679"/>
        <item x="223"/>
        <item x="3135"/>
        <item x="3171"/>
        <item x="57"/>
        <item x="2370"/>
        <item x="491"/>
        <item x="2012"/>
        <item x="2449"/>
        <item x="2237"/>
        <item x="112"/>
        <item x="260"/>
        <item x="2408"/>
        <item x="3398"/>
        <item x="3444"/>
        <item x="1804"/>
        <item x="2861"/>
        <item x="1370"/>
        <item x="739"/>
        <item x="2925"/>
        <item x="294"/>
        <item x="1697"/>
        <item x="2180"/>
        <item x="841"/>
        <item x="2681"/>
        <item x="937"/>
        <item x="2666"/>
        <item x="2780"/>
        <item x="213"/>
        <item x="770"/>
        <item x="1678"/>
        <item x="14"/>
        <item x="1213"/>
        <item x="1012"/>
        <item x="3380"/>
        <item x="3389"/>
        <item x="1086"/>
        <item x="3354"/>
        <item x="461"/>
        <item x="2231"/>
        <item x="1458"/>
        <item x="665"/>
        <item x="220"/>
        <item x="415"/>
        <item x="1869"/>
        <item x="1347"/>
        <item x="1708"/>
        <item x="2844"/>
        <item x="2773"/>
        <item x="2574"/>
        <item x="2183"/>
        <item x="998"/>
        <item x="1787"/>
        <item x="1851"/>
        <item x="3254"/>
        <item x="97"/>
        <item x="1704"/>
        <item x="646"/>
        <item x="604"/>
        <item x="2892"/>
        <item x="1503"/>
        <item x="11"/>
        <item x="2192"/>
        <item x="211"/>
        <item x="3348"/>
        <item x="558"/>
        <item x="814"/>
        <item x="2678"/>
        <item x="3243"/>
        <item x="1469"/>
        <item x="2648"/>
        <item x="2746"/>
        <item x="3422"/>
        <item x="553"/>
        <item x="2873"/>
        <item x="3416"/>
        <item x="498"/>
        <item x="2194"/>
        <item x="2401"/>
        <item x="3297"/>
        <item x="485"/>
        <item x="2034"/>
        <item x="988"/>
        <item x="1493"/>
        <item x="343"/>
        <item x="286"/>
        <item x="2911"/>
        <item x="3384"/>
        <item x="393"/>
        <item x="3485"/>
        <item x="133"/>
        <item x="3072"/>
        <item x="2262"/>
        <item x="2434"/>
        <item x="2418"/>
        <item x="771"/>
        <item x="2624"/>
        <item x="3467"/>
        <item x="430"/>
        <item x="3379"/>
        <item x="2966"/>
        <item x="2807"/>
        <item x="887"/>
        <item x="76"/>
        <item x="3118"/>
        <item x="613"/>
        <item x="1122"/>
        <item x="1656"/>
        <item x="1774"/>
        <item x="2128"/>
        <item x="1408"/>
        <item x="2002"/>
        <item x="2704"/>
        <item x="1528"/>
        <item x="341"/>
        <item x="1640"/>
        <item x="1895"/>
        <item x="1011"/>
        <item x="2550"/>
        <item x="805"/>
        <item x="1111"/>
        <item x="1545"/>
        <item x="608"/>
        <item x="837"/>
        <item x="2103"/>
        <item x="2143"/>
        <item x="669"/>
        <item x="3442"/>
        <item x="774"/>
        <item x="70"/>
        <item x="2564"/>
        <item x="2943"/>
        <item x="896"/>
        <item x="2497"/>
        <item x="737"/>
        <item x="1737"/>
        <item x="1059"/>
        <item x="1306"/>
        <item x="379"/>
        <item x="2963"/>
        <item x="1866"/>
        <item x="641"/>
        <item x="2619"/>
        <item x="3107"/>
        <item x="2024"/>
        <item x="1609"/>
        <item x="1178"/>
        <item x="2676"/>
        <item x="2820"/>
        <item x="719"/>
        <item x="1220"/>
        <item x="2065"/>
        <item x="2185"/>
        <item x="2935"/>
        <item x="3322"/>
        <item x="2881"/>
        <item x="534"/>
        <item x="3475"/>
        <item x="1114"/>
        <item x="3092"/>
        <item x="2092"/>
        <item x="1938"/>
        <item x="594"/>
        <item x="3165"/>
        <item x="2201"/>
        <item x="3038"/>
        <item x="2405"/>
        <item x="2960"/>
        <item x="3326"/>
        <item x="2491"/>
        <item x="3242"/>
        <item x="1449"/>
        <item x="1898"/>
        <item x="2756"/>
        <item x="1822"/>
        <item x="2651"/>
        <item x="635"/>
        <item x="628"/>
        <item x="410"/>
        <item x="2654"/>
        <item x="224"/>
        <item x="1287"/>
        <item x="2011"/>
        <item x="2951"/>
        <item x="42"/>
        <item x="912"/>
        <item x="1790"/>
        <item x="1262"/>
        <item x="2854"/>
        <item x="666"/>
        <item x="3199"/>
        <item x="2452"/>
        <item x="3046"/>
        <item x="1267"/>
        <item x="1454"/>
        <item x="652"/>
        <item x="3396"/>
        <item x="1211"/>
        <item x="2293"/>
        <item x="2242"/>
        <item x="2991"/>
        <item x="3201"/>
        <item x="3076"/>
        <item x="3181"/>
        <item x="2429"/>
        <item x="1874"/>
        <item x="2552"/>
        <item x="2890"/>
        <item x="1360"/>
        <item x="3388"/>
        <item x="709"/>
        <item x="2359"/>
        <item x="2765"/>
        <item x="3174"/>
        <item x="1758"/>
        <item x="1793"/>
        <item x="851"/>
        <item x="1978"/>
        <item x="1199"/>
        <item x="1485"/>
        <item x="1610"/>
        <item x="137"/>
        <item x="906"/>
        <item x="3507"/>
        <item x="1127"/>
        <item x="470"/>
        <item x="732"/>
        <item x="655"/>
        <item x="1743"/>
        <item x="3055"/>
        <item x="1282"/>
        <item x="354"/>
        <item x="1974"/>
        <item x="2252"/>
        <item x="2048"/>
        <item x="3476"/>
        <item x="1538"/>
        <item x="3386"/>
        <item x="1384"/>
        <item x="3184"/>
        <item x="552"/>
        <item x="107"/>
        <item x="221"/>
        <item x="746"/>
        <item x="292"/>
        <item x="931"/>
        <item x="510"/>
        <item x="3032"/>
        <item x="1723"/>
        <item x="3509"/>
        <item x="1418"/>
        <item x="212"/>
        <item x="777"/>
        <item x="1521"/>
        <item x="332"/>
        <item x="2727"/>
        <item x="2913"/>
        <item x="1026"/>
        <item x="1639"/>
        <item x="865"/>
        <item x="2618"/>
        <item x="2634"/>
        <item x="3374"/>
        <item x="146"/>
        <item x="2735"/>
        <item x="997"/>
        <item x="4"/>
        <item x="2759"/>
        <item x="521"/>
        <item x="3182"/>
        <item x="2486"/>
        <item x="3096"/>
        <item x="51"/>
        <item x="1715"/>
        <item x="2357"/>
        <item x="1286"/>
        <item x="130"/>
        <item x="262"/>
        <item x="2526"/>
        <item x="3085"/>
        <item x="1890"/>
        <item x="225"/>
        <item x="796"/>
        <item x="946"/>
        <item x="3351"/>
        <item x="2341"/>
        <item x="398"/>
        <item x="44"/>
        <item x="1361"/>
        <item x="1101"/>
        <item x="1909"/>
        <item x="1525"/>
        <item x="2060"/>
        <item x="1694"/>
        <item x="3307"/>
        <item x="2299"/>
        <item x="3480"/>
        <item x="9"/>
        <item x="1359"/>
        <item x="3336"/>
        <item x="1897"/>
        <item x="3281"/>
        <item x="79"/>
        <item x="1833"/>
        <item x="1344"/>
        <item x="3003"/>
        <item x="445"/>
        <item x="1823"/>
        <item x="1375"/>
        <item x="1551"/>
        <item x="1860"/>
        <item x="3183"/>
        <item x="1148"/>
        <item x="3392"/>
        <item x="2871"/>
        <item x="396"/>
        <item x="1567"/>
        <item x="401"/>
        <item x="1271"/>
        <item x="1849"/>
        <item x="2590"/>
        <item x="838"/>
        <item x="2412"/>
        <item x="3028"/>
        <item x="2333"/>
        <item x="1386"/>
        <item x="2664"/>
        <item x="350"/>
        <item x="3089"/>
        <item x="2137"/>
        <item x="2219"/>
        <item x="3234"/>
        <item x="1232"/>
        <item x="3157"/>
        <item x="2286"/>
        <item x="1587"/>
        <item x="2499"/>
        <item x="2496"/>
        <item x="1066"/>
        <item x="1885"/>
        <item x="3362"/>
        <item x="1658"/>
        <item x="397"/>
        <item x="2415"/>
        <item x="2640"/>
        <item x="1089"/>
        <item x="1235"/>
        <item x="2859"/>
        <item x="2609"/>
        <item x="1858"/>
        <item x="1881"/>
        <item x="1068"/>
        <item x="2122"/>
        <item x="479"/>
        <item x="1840"/>
        <item x="1623"/>
        <item x="10"/>
        <item x="3145"/>
        <item x="2331"/>
        <item x="1265"/>
        <item x="1188"/>
        <item x="3405"/>
        <item x="1076"/>
        <item x="3423"/>
        <item x="0"/>
        <item x="2884"/>
        <item x="1637"/>
        <item x="1976"/>
        <item x="855"/>
        <item x="307"/>
        <item x="2428"/>
        <item x="3169"/>
        <item x="435"/>
        <item x="446"/>
        <item x="2536"/>
        <item x="3190"/>
        <item x="826"/>
        <item x="601"/>
        <item x="3080"/>
        <item x="2599"/>
        <item x="2095"/>
        <item x="939"/>
        <item x="1336"/>
        <item x="898"/>
        <item x="1438"/>
        <item x="2028"/>
        <item x="3456"/>
        <item x="1324"/>
        <item x="2247"/>
        <item x="2801"/>
        <item x="1225"/>
        <item x="266"/>
        <item x="1666"/>
        <item x="829"/>
        <item x="2532"/>
        <item x="2191"/>
        <item x="1786"/>
        <item x="3163"/>
        <item x="943"/>
        <item x="3194"/>
        <item x="1983"/>
        <item x="1716"/>
        <item x="1931"/>
        <item x="1171"/>
        <item x="2173"/>
        <item x="700"/>
        <item x="857"/>
        <item x="2572"/>
        <item x="548"/>
        <item x="2461"/>
        <item x="2171"/>
        <item x="3293"/>
        <item x="1259"/>
        <item x="148"/>
        <item x="1685"/>
        <item x="2303"/>
        <item x="893"/>
        <item x="3251"/>
        <item x="488"/>
        <item x="269"/>
        <item x="2464"/>
        <item x="2954"/>
        <item x="54"/>
        <item x="1562"/>
        <item x="1634"/>
        <item x="3508"/>
        <item x="50"/>
        <item x="1158"/>
        <item x="2000"/>
        <item x="1834"/>
        <item x="289"/>
        <item x="3010"/>
        <item x="2230"/>
        <item x="2211"/>
        <item x="2832"/>
        <item x="227"/>
        <item x="77"/>
        <item x="1308"/>
        <item x="1210"/>
        <item x="1327"/>
        <item x="2507"/>
        <item x="728"/>
        <item x="1366"/>
        <item x="1014"/>
        <item x="3321"/>
        <item x="3450"/>
        <item x="268"/>
        <item x="3125"/>
        <item x="3099"/>
        <item x="22"/>
        <item x="456"/>
        <item x="2450"/>
        <item x="3152"/>
        <item x="1055"/>
        <item x="1116"/>
        <item x="1711"/>
        <item x="1417"/>
        <item x="191"/>
        <item x="3235"/>
        <item x="2391"/>
        <item x="3065"/>
        <item x="80"/>
        <item x="3259"/>
        <item x="828"/>
        <item x="1561"/>
        <item x="171"/>
        <item x="845"/>
        <item x="196"/>
        <item x="762"/>
        <item x="554"/>
        <item x="3102"/>
        <item x="1136"/>
        <item x="1233"/>
        <item x="3149"/>
        <item x="2360"/>
        <item x="1608"/>
        <item x="3027"/>
        <item x="1484"/>
        <item x="1594"/>
        <item x="1703"/>
        <item x="974"/>
        <item x="1877"/>
        <item x="1216"/>
        <item x="924"/>
        <item x="3420"/>
        <item x="3324"/>
        <item x="3499"/>
        <item x="181"/>
        <item x="3217"/>
        <item x="2948"/>
        <item x="1133"/>
        <item x="2228"/>
        <item x="1755"/>
        <item x="371"/>
        <item x="3091"/>
        <item x="2042"/>
        <item x="219"/>
        <item x="1714"/>
        <item x="882"/>
        <item x="2044"/>
        <item x="1025"/>
        <item x="1390"/>
        <item x="591"/>
        <item x="757"/>
        <item x="2077"/>
        <item x="798"/>
        <item x="886"/>
        <item x="1343"/>
        <item x="3098"/>
        <item x="2819"/>
        <item x="2828"/>
        <item x="1953"/>
        <item x="3164"/>
        <item x="1559"/>
        <item x="2008"/>
        <item x="3238"/>
        <item x="1535"/>
        <item x="1160"/>
        <item x="3333"/>
        <item x="3440"/>
        <item x="891"/>
        <item x="1320"/>
        <item x="3083"/>
        <item x="711"/>
        <item x="103"/>
        <item x="3147"/>
        <item x="1659"/>
        <item x="2987"/>
        <item x="925"/>
        <item x="1645"/>
        <item x="3272"/>
        <item x="2999"/>
        <item x="382"/>
        <item x="1398"/>
        <item x="773"/>
        <item x="2338"/>
        <item x="1772"/>
        <item x="643"/>
        <item x="2710"/>
        <item x="2899"/>
        <item x="2433"/>
        <item x="3088"/>
        <item x="973"/>
        <item x="1580"/>
        <item x="745"/>
        <item x="2641"/>
        <item x="1433"/>
        <item x="465"/>
        <item x="2203"/>
        <item x="285"/>
        <item x="1663"/>
        <item x="2699"/>
        <item x="471"/>
        <item x="1428"/>
        <item x="708"/>
        <item x="1279"/>
        <item x="3497"/>
        <item x="1358"/>
        <item x="26"/>
        <item x="2760"/>
        <item x="400"/>
        <item x="2523"/>
        <item x="3048"/>
        <item x="2731"/>
        <item x="2812"/>
        <item x="769"/>
        <item x="1771"/>
        <item x="2669"/>
        <item x="157"/>
        <item x="2847"/>
        <item x="2398"/>
        <item x="2995"/>
        <item x="2515"/>
        <item x="1583"/>
        <item x="654"/>
        <item x="602"/>
        <item x="704"/>
        <item x="2692"/>
        <item x="3310"/>
        <item x="334"/>
        <item x="872"/>
        <item x="55"/>
        <item x="2816"/>
        <item x="580"/>
        <item x="1710"/>
        <item x="477"/>
        <item x="2273"/>
        <item x="741"/>
        <item x="2318"/>
        <item x="271"/>
        <item x="2522"/>
        <item x="2583"/>
        <item x="1052"/>
        <item x="1614"/>
        <item x="138"/>
        <item x="1128"/>
        <item x="1164"/>
        <item x="915"/>
        <item x="376"/>
        <item x="363"/>
        <item x="1201"/>
        <item x="2701"/>
        <item x="1254"/>
        <item x="1364"/>
        <item x="2915"/>
        <item x="2036"/>
        <item x="494"/>
        <item x="2133"/>
        <item x="2568"/>
        <item x="29"/>
        <item x="902"/>
        <item x="3240"/>
        <item x="3121"/>
        <item x="674"/>
        <item x="1785"/>
        <item x="1920"/>
        <item x="760"/>
        <item x="1000"/>
        <item x="752"/>
        <item x="1596"/>
        <item x="2373"/>
        <item x="335"/>
        <item x="3161"/>
        <item x="2668"/>
        <item x="1674"/>
        <item x="2153"/>
        <item x="2337"/>
        <item x="3024"/>
        <item x="1544"/>
        <item x="2823"/>
        <item x="423"/>
        <item x="824"/>
        <item x="142"/>
        <item x="3025"/>
        <item x="3115"/>
        <item x="3273"/>
        <item x="3260"/>
        <item x="623"/>
        <item x="713"/>
        <item x="1144"/>
        <item x="66"/>
        <item x="3162"/>
        <item x="1766"/>
        <item x="1353"/>
        <item x="1696"/>
        <item x="2007"/>
        <item x="2027"/>
        <item x="87"/>
        <item x="383"/>
        <item x="2158"/>
        <item x="1556"/>
        <item x="3424"/>
        <item x="1345"/>
        <item x="1162"/>
        <item x="868"/>
        <item x="1070"/>
        <item x="1411"/>
        <item x="2099"/>
        <item x="2240"/>
        <item x="1230"/>
        <item x="1406"/>
        <item x="1330"/>
        <item x="1008"/>
        <item x="1765"/>
        <item x="48"/>
        <item x="1760"/>
        <item x="684"/>
        <item x="209"/>
        <item x="990"/>
        <item x="3256"/>
        <item x="164"/>
        <item x="905"/>
        <item x="2257"/>
        <item x="1770"/>
        <item x="2362"/>
        <item x="1733"/>
        <item x="2738"/>
        <item x="1945"/>
        <item x="265"/>
        <item x="2301"/>
        <item x="3006"/>
        <item x="2620"/>
        <item x="1045"/>
        <item x="2754"/>
        <item x="2274"/>
        <item x="1670"/>
        <item x="1747"/>
        <item x="329"/>
        <item x="1820"/>
        <item x="3073"/>
        <item x="2602"/>
        <item x="878"/>
        <item x="1416"/>
        <item x="742"/>
        <item x="1965"/>
        <item x="2604"/>
        <item x="2179"/>
        <item x="3339"/>
        <item x="1191"/>
        <item x="2381"/>
        <item x="104"/>
        <item x="3342"/>
        <item x="2530"/>
        <item x="1988"/>
        <item x="1147"/>
        <item x="1868"/>
        <item x="1839"/>
        <item x="3236"/>
        <item x="514"/>
        <item x="255"/>
        <item x="62"/>
        <item x="1290"/>
        <item x="200"/>
        <item x="1686"/>
        <item x="3370"/>
        <item x="2126"/>
        <item x="982"/>
        <item x="2200"/>
        <item x="599"/>
        <item x="1605"/>
        <item x="1202"/>
        <item x="2035"/>
        <item x="3430"/>
        <item x="1558"/>
        <item x="675"/>
        <item x="705"/>
        <item x="1911"/>
        <item x="3328"/>
        <item x="792"/>
        <item x="1252"/>
        <item x="2656"/>
        <item x="3116"/>
        <item x="2580"/>
        <item x="336"/>
        <item x="1943"/>
        <item x="2084"/>
        <item x="448"/>
        <item x="3400"/>
        <item x="1087"/>
        <item x="2862"/>
        <item x="637"/>
        <item x="1475"/>
        <item x="2629"/>
        <item x="1269"/>
        <item x="2627"/>
        <item x="2895"/>
        <item x="1335"/>
        <item x="2198"/>
        <item x="2013"/>
        <item x="2175"/>
        <item x="1533"/>
        <item x="3090"/>
        <item x="1677"/>
        <item x="1742"/>
        <item x="214"/>
        <item x="1878"/>
        <item x="2628"/>
        <item x="821"/>
        <item x="3193"/>
        <item x="380"/>
        <item x="2130"/>
        <item x="2906"/>
        <item x="712"/>
        <item x="19"/>
        <item x="3009"/>
        <item x="1227"/>
        <item x="2936"/>
        <item x="3030"/>
        <item x="2538"/>
        <item x="1582"/>
        <item x="1429"/>
        <item x="3397"/>
        <item x="2344"/>
        <item x="1817"/>
        <item x="530"/>
        <item x="2774"/>
        <item x="2050"/>
        <item x="975"/>
        <item x="3265"/>
        <item x="2818"/>
        <item x="2998"/>
        <item x="860"/>
        <item x="1023"/>
        <item x="2410"/>
        <item x="1085"/>
        <item x="3131"/>
        <item x="2"/>
        <item x="2246"/>
        <item x="1452"/>
        <item x="3103"/>
        <item x="1650"/>
        <item x="2721"/>
        <item x="2696"/>
        <item x="1516"/>
        <item x="3382"/>
        <item x="90"/>
        <item x="3337"/>
        <item x="1310"/>
        <item x="313"/>
        <item x="2593"/>
        <item x="1607"/>
        <item x="1053"/>
        <item x="1746"/>
        <item x="2579"/>
        <item x="578"/>
        <item x="1003"/>
        <item x="848"/>
        <item x="1090"/>
        <item x="2792"/>
        <item x="36"/>
        <item x="3443"/>
        <item x="1889"/>
        <item x="1830"/>
        <item x="750"/>
        <item x="3478"/>
        <item x="956"/>
        <item x="1673"/>
        <item x="2454"/>
        <item x="469"/>
        <item x="234"/>
        <item x="2371"/>
        <item x="1873"/>
        <item x="2663"/>
        <item x="127"/>
        <item x="2346"/>
        <item x="1015"/>
        <item x="612"/>
        <item x="3005"/>
        <item x="403"/>
        <item x="3139"/>
        <item x="593"/>
        <item x="2786"/>
        <item x="2005"/>
        <item x="914"/>
        <item x="3445"/>
        <item x="1999"/>
        <item x="3441"/>
        <item x="2409"/>
        <item x="962"/>
        <item x="3378"/>
        <item x="206"/>
        <item x="2239"/>
        <item x="630"/>
        <item x="2988"/>
        <item x="1326"/>
        <item x="1325"/>
        <item x="2626"/>
        <item x="2494"/>
        <item x="1145"/>
        <item x="3052"/>
        <item x="3490"/>
        <item x="202"/>
        <item x="724"/>
        <item x="546"/>
        <item x="407"/>
        <item x="296"/>
        <item x="2177"/>
        <item x="2382"/>
        <item x="35"/>
        <item x="333"/>
        <item x="1305"/>
        <item x="274"/>
        <item x="2700"/>
        <item x="540"/>
        <item x="3447"/>
        <item x="1740"/>
        <item x="3210"/>
        <item x="454"/>
        <item x="2811"/>
        <item x="3311"/>
        <item x="3074"/>
        <item x="2101"/>
        <item x="577"/>
        <item x="2612"/>
        <item x="2825"/>
        <item x="424"/>
        <item x="1476"/>
        <item x="518"/>
        <item x="2417"/>
        <item x="2196"/>
        <item x="517"/>
        <item x="1794"/>
        <item x="2559"/>
        <item x="2465"/>
        <item x="861"/>
        <item x="3455"/>
        <item x="2006"/>
        <item x="1819"/>
        <item x="1797"/>
        <item x="2775"/>
        <item x="2661"/>
        <item x="2439"/>
        <item x="1250"/>
        <item x="3011"/>
        <item x="2761"/>
        <item x="2458"/>
        <item x="673"/>
        <item x="1341"/>
        <item x="2771"/>
        <item x="2509"/>
        <item x="2821"/>
        <item x="120"/>
        <item x="2045"/>
        <item x="1018"/>
        <item x="1463"/>
        <item x="325"/>
        <item x="2887"/>
        <item x="927"/>
        <item x="1137"/>
        <item x="3419"/>
        <item x="441"/>
        <item x="417"/>
        <item x="408"/>
        <item x="1586"/>
        <item x="794"/>
        <item x="2851"/>
        <item x="701"/>
        <item x="2209"/>
        <item x="2784"/>
        <item x="2117"/>
        <item x="3315"/>
        <item x="71"/>
        <item x="1103"/>
        <item x="3361"/>
        <item x="831"/>
        <item x="2638"/>
        <item x="1824"/>
        <item x="2055"/>
        <item x="2054"/>
        <item x="950"/>
        <item x="297"/>
        <item x="2898"/>
        <item x="557"/>
        <item x="487"/>
        <item x="2484"/>
        <item x="203"/>
        <item x="246"/>
        <item x="3015"/>
        <item x="1042"/>
        <item x="969"/>
        <item x="844"/>
        <item x="801"/>
        <item x="1883"/>
        <item x="1491"/>
        <item x="3117"/>
        <item x="1512"/>
        <item x="1209"/>
        <item x="813"/>
        <item x="2451"/>
        <item x="1808"/>
        <item x="411"/>
        <item x="682"/>
        <item x="1536"/>
        <item x="2269"/>
        <item x="571"/>
        <item x="2932"/>
        <item x="2605"/>
        <item x="2585"/>
        <item x="2131"/>
        <item x="68"/>
        <item x="1569"/>
        <item x="1190"/>
        <item x="1935"/>
        <item x="1741"/>
        <item x="1379"/>
        <item x="566"/>
        <item x="270"/>
        <item x="2210"/>
        <item x="3197"/>
        <item x="1315"/>
        <item x="3479"/>
        <item x="822"/>
        <item x="2039"/>
        <item x="3204"/>
        <item x="2674"/>
        <item x="2266"/>
        <item x="1756"/>
        <item x="1312"/>
        <item x="1954"/>
        <item x="2384"/>
        <item x="490"/>
        <item x="676"/>
        <item x="3044"/>
        <item x="319"/>
        <item x="1083"/>
        <item x="273"/>
        <item x="2445"/>
        <item x="1987"/>
        <item x="621"/>
        <item x="993"/>
        <item x="1963"/>
        <item x="818"/>
        <item x="625"/>
        <item x="2713"/>
        <item x="2923"/>
        <item x="3316"/>
        <item x="938"/>
        <item x="1460"/>
        <item x="2115"/>
        <item x="550"/>
        <item x="1058"/>
        <item x="3054"/>
        <item x="2223"/>
        <item x="1092"/>
        <item x="1934"/>
        <item x="1200"/>
        <item x="1601"/>
        <item x="3173"/>
        <item x="2646"/>
        <item x="2582"/>
        <item x="3492"/>
        <item x="523"/>
        <item x="1972"/>
        <item x="3394"/>
        <item x="2186"/>
        <item x="3484"/>
        <item x="229"/>
        <item x="1004"/>
        <item x="2225"/>
        <item x="1981"/>
        <item x="2363"/>
        <item x="2683"/>
        <item x="3312"/>
        <item x="936"/>
        <item x="1334"/>
        <item x="1036"/>
        <item x="1151"/>
        <item x="2207"/>
        <item x="1957"/>
        <item x="3377"/>
        <item x="2722"/>
        <item x="680"/>
        <item x="2472"/>
        <item x="1660"/>
        <item x="1049"/>
        <item x="1208"/>
        <item x="2717"/>
        <item x="2425"/>
        <item x="585"/>
        <item x="2980"/>
        <item x="3036"/>
        <item x="1294"/>
        <item x="2119"/>
        <item x="1365"/>
        <item x="2805"/>
        <item x="1078"/>
        <item x="923"/>
        <item x="611"/>
        <item x="2939"/>
        <item x="437"/>
        <item x="2297"/>
        <item x="2795"/>
        <item x="2064"/>
        <item x="2181"/>
        <item x="1944"/>
        <item x="2813"/>
        <item x="3175"/>
        <item x="189"/>
        <item x="2291"/>
        <item x="3248"/>
        <item x="519"/>
        <item x="2160"/>
        <item x="3112"/>
        <item x="2124"/>
        <item x="1033"/>
        <item x="2714"/>
        <item x="1814"/>
        <item x="1189"/>
        <item x="155"/>
        <item x="2305"/>
        <item x="61"/>
        <item x="60"/>
        <item x="2140"/>
        <item x="2490"/>
        <item x="185"/>
        <item x="856"/>
        <item x="1427"/>
        <item x="2298"/>
        <item x="3138"/>
        <item x="870"/>
        <item x="2404"/>
        <item x="2350"/>
        <item x="442"/>
        <item x="2877"/>
        <item x="1513"/>
        <item x="2831"/>
        <item x="3304"/>
        <item x="2588"/>
        <item x="1496"/>
        <item x="1030"/>
        <item x="2763"/>
        <item x="718"/>
        <item x="1589"/>
        <item x="1079"/>
        <item x="1006"/>
        <item x="2897"/>
        <item x="1405"/>
        <item x="650"/>
        <item x="3365"/>
        <item x="528"/>
        <item x="799"/>
        <item x="169"/>
        <item x="327"/>
        <item x="992"/>
        <item x="1303"/>
        <item x="444"/>
        <item x="3134"/>
        <item x="2670"/>
        <item x="33"/>
        <item x="228"/>
        <item x="2356"/>
        <item x="1153"/>
        <item x="2732"/>
        <item x="1875"/>
        <item x="2799"/>
        <item x="324"/>
        <item x="727"/>
        <item x="1071"/>
        <item x="1810"/>
        <item x="3188"/>
        <item x="2608"/>
        <item x="1027"/>
        <item x="3156"/>
        <item x="1441"/>
        <item x="2352"/>
        <item x="3360"/>
        <item x="3189"/>
        <item x="1106"/>
        <item x="1229"/>
        <item x="565"/>
        <item x="1902"/>
        <item x="207"/>
        <item x="1548"/>
        <item x="1662"/>
        <item x="463"/>
        <item x="3390"/>
        <item x="1930"/>
        <item x="3104"/>
        <item x="2281"/>
        <item x="1346"/>
        <item x="3448"/>
        <item x="346"/>
        <item x="1393"/>
        <item x="2985"/>
        <item x="356"/>
        <item x="2578"/>
        <item x="2955"/>
        <item x="3278"/>
        <item x="850"/>
        <item x="2767"/>
        <item x="440"/>
        <item x="3506"/>
        <item x="3280"/>
        <item x="261"/>
        <item x="847"/>
        <item x="2829"/>
        <item x="2749"/>
        <item x="24"/>
        <item x="2546"/>
        <item x="1612"/>
        <item x="2686"/>
        <item x="996"/>
        <item x="1683"/>
        <item x="3214"/>
        <item x="2216"/>
        <item x="2625"/>
        <item x="2737"/>
        <item x="1120"/>
        <item x="2990"/>
        <item x="316"/>
        <item x="2505"/>
        <item x="733"/>
        <item x="476"/>
        <item x="2163"/>
        <item x="881"/>
        <item x="1322"/>
        <item x="1751"/>
        <item x="144"/>
        <item x="3460"/>
        <item x="2688"/>
        <item x="3340"/>
        <item x="983"/>
        <item x="1730"/>
        <item x="1515"/>
        <item x="116"/>
        <item x="272"/>
        <item x="1075"/>
        <item x="1727"/>
        <item x="1629"/>
        <item x="2275"/>
        <item x="1038"/>
        <item x="420"/>
        <item x="32"/>
        <item x="3308"/>
        <item x="1649"/>
        <item x="1256"/>
        <item x="874"/>
        <item x="1168"/>
        <item x="1566"/>
        <item x="111"/>
        <item x="1487"/>
        <item x="951"/>
        <item x="2888"/>
        <item x="1421"/>
        <item x="3166"/>
        <item x="1280"/>
        <item x="1163"/>
        <item x="1410"/>
        <item x="1281"/>
        <item x="2365"/>
        <item x="2927"/>
        <item x="1112"/>
        <item x="2489"/>
        <item x="238"/>
        <item x="2586"/>
        <item x="551"/>
        <item x="576"/>
        <item x="3403"/>
        <item x="880"/>
        <item x="2649"/>
        <item x="3178"/>
        <item x="645"/>
        <item x="1437"/>
        <item x="1472"/>
        <item x="2446"/>
        <item x="1056"/>
        <item x="2752"/>
        <item x="2997"/>
        <item x="1821"/>
        <item x="1553"/>
        <item x="482"/>
        <item x="98"/>
        <item x="1870"/>
        <item x="1161"/>
        <item x="1923"/>
        <item x="2397"/>
        <item x="3013"/>
        <item x="3459"/>
        <item x="783"/>
        <item x="1767"/>
        <item x="1986"/>
        <item x="1378"/>
        <item x="2857"/>
        <item x="2132"/>
        <item x="3429"/>
        <item x="836"/>
        <item x="2577"/>
        <item x="1316"/>
        <item x="763"/>
        <item x="885"/>
        <item x="634"/>
        <item x="118"/>
        <item x="2962"/>
        <item x="1470"/>
        <item x="6"/>
        <item x="942"/>
        <item x="188"/>
        <item x="3244"/>
        <item x="3063"/>
        <item x="3446"/>
        <item x="3345"/>
        <item x="1754"/>
        <item x="3231"/>
        <item x="102"/>
        <item x="308"/>
        <item x="129"/>
        <item x="1009"/>
        <item x="2983"/>
        <item x="2169"/>
        <item x="1388"/>
        <item x="2253"/>
        <item x="698"/>
        <item x="597"/>
        <item x="2863"/>
        <item x="2471"/>
        <item x="2300"/>
        <item x="524"/>
        <item x="1739"/>
        <item x="1236"/>
        <item x="2112"/>
        <item x="2740"/>
        <item x="377"/>
        <item x="2056"/>
        <item x="135"/>
        <item x="3344"/>
        <item x="2366"/>
        <item x="1735"/>
        <item x="2155"/>
        <item x="3325"/>
        <item x="275"/>
        <item x="3364"/>
        <item x="2603"/>
        <item x="3358"/>
        <item x="2380"/>
        <item x="433"/>
        <item x="2328"/>
        <item x="2715"/>
        <item x="2748"/>
        <item x="3237"/>
        <item x="2720"/>
        <item x="1541"/>
        <item x="2287"/>
        <item x="1251"/>
        <item x="3514"/>
        <item x="2234"/>
        <item x="3196"/>
        <item x="2241"/>
        <item x="1827"/>
        <item x="1457"/>
        <item x="1082"/>
        <item x="2071"/>
        <item x="620"/>
        <item x="3471"/>
        <item x="1734"/>
        <item x="852"/>
        <item x="2500"/>
        <item x="3209"/>
        <item x="513"/>
        <item x="1924"/>
        <item x="835"/>
        <item x="3160"/>
        <item x="1729"/>
        <item x="1289"/>
        <item x="1263"/>
        <item x="1611"/>
        <item x="1984"/>
        <item x="544"/>
        <item x="2573"/>
        <item x="186"/>
        <item x="970"/>
        <item x="317"/>
        <item x="542"/>
        <item x="1925"/>
        <item x="1022"/>
        <item x="767"/>
        <item x="1506"/>
        <item x="459"/>
        <item x="3434"/>
        <item x="2933"/>
        <item x="247"/>
        <item x="2614"/>
        <item x="1167"/>
        <item x="2581"/>
        <item x="3266"/>
        <item x="489"/>
        <item x="2757"/>
        <item x="126"/>
        <item x="3020"/>
        <item x="981"/>
        <item x="687"/>
        <item x="1407"/>
        <item x="1933"/>
        <item x="170"/>
        <item x="3295"/>
        <item x="532"/>
        <item x="3341"/>
        <item x="1205"/>
        <item x="136"/>
        <item x="2014"/>
        <item x="677"/>
        <item x="511"/>
        <item x="2994"/>
        <item x="1118"/>
        <item x="75"/>
        <item x="3355"/>
        <item x="3195"/>
        <item x="1507"/>
        <item x="3350"/>
        <item x="2809"/>
        <item x="2790"/>
        <item x="2725"/>
        <item x="3332"/>
        <item x="1941"/>
        <item x="153"/>
        <item x="2109"/>
        <item x="1432"/>
        <item x="59"/>
        <item x="3045"/>
        <item x="913"/>
        <item x="1020"/>
        <item x="512"/>
        <item x="1355"/>
        <item x="574"/>
        <item x="2705"/>
        <item x="367"/>
        <item x="1104"/>
        <item x="3205"/>
        <item x="703"/>
        <item x="3435"/>
        <item x="2979"/>
        <item x="3261"/>
        <item x="1816"/>
        <item x="1180"/>
        <item x="3469"/>
        <item x="1572"/>
        <item x="2307"/>
        <item x="1340"/>
        <item x="2224"/>
        <item x="3128"/>
        <item x="3176"/>
        <item x="1738"/>
        <item x="2165"/>
        <item x="2189"/>
        <item x="3465"/>
        <item x="702"/>
        <item x="537"/>
        <item x="1170"/>
        <item x="2766"/>
        <item x="2513"/>
        <item x="394"/>
        <item x="1357"/>
        <item x="2918"/>
        <item x="3306"/>
        <item x="2290"/>
        <item x="2178"/>
        <item x="1919"/>
        <item x="1563"/>
        <item x="2723"/>
        <item x="908"/>
        <item x="49"/>
        <item x="56"/>
        <item x="105"/>
        <item x="230"/>
        <item x="1302"/>
        <item x="3412"/>
        <item x="1088"/>
        <item x="825"/>
        <item x="283"/>
        <item x="2712"/>
        <item x="960"/>
        <item x="1241"/>
        <item x="793"/>
        <item x="2931"/>
        <item x="2190"/>
        <item x="1615"/>
        <item x="1726"/>
        <item x="115"/>
        <item x="2613"/>
        <item x="2306"/>
        <item x="3270"/>
        <item x="474"/>
        <item x="2508"/>
        <item x="1249"/>
        <item x="776"/>
        <item x="1899"/>
        <item x="2193"/>
        <item x="1445"/>
        <item x="1296"/>
        <item x="1706"/>
        <item x="298"/>
        <item x="1745"/>
        <item x="920"/>
        <item x="2349"/>
        <item t="default"/>
      </items>
    </pivotField>
    <pivotField showAll="0" measureFilter="1">
      <items count="3523">
        <item x="583"/>
        <item x="1429"/>
        <item x="2476"/>
        <item x="2398"/>
        <item x="1366"/>
        <item x="3040"/>
        <item x="757"/>
        <item x="919"/>
        <item x="81"/>
        <item x="2719"/>
        <item x="3386"/>
        <item x="1979"/>
        <item x="1259"/>
        <item x="1910"/>
        <item x="2057"/>
        <item x="929"/>
        <item x="2877"/>
        <item x="2778"/>
        <item x="3097"/>
        <item x="1312"/>
        <item x="2141"/>
        <item x="2750"/>
        <item x="1964"/>
        <item x="611"/>
        <item x="527"/>
        <item x="2757"/>
        <item x="1093"/>
        <item x="701"/>
        <item x="3512"/>
        <item x="1073"/>
        <item x="1379"/>
        <item x="126"/>
        <item x="1273"/>
        <item x="831"/>
        <item x="3158"/>
        <item x="1042"/>
        <item x="3194"/>
        <item x="1689"/>
        <item x="2793"/>
        <item x="3062"/>
        <item x="1054"/>
        <item x="932"/>
        <item x="3393"/>
        <item x="2552"/>
        <item x="1935"/>
        <item x="1081"/>
        <item x="3316"/>
        <item x="1274"/>
        <item x="2692"/>
        <item x="2468"/>
        <item x="441"/>
        <item x="494"/>
        <item x="1773"/>
        <item x="1798"/>
        <item x="850"/>
        <item x="948"/>
        <item x="2553"/>
        <item x="944"/>
        <item x="1869"/>
        <item x="1599"/>
        <item x="1139"/>
        <item x="2330"/>
        <item x="2324"/>
        <item x="3051"/>
        <item x="577"/>
        <item x="2555"/>
        <item x="1191"/>
        <item x="2131"/>
        <item x="88"/>
        <item x="2800"/>
        <item x="3349"/>
        <item x="3"/>
        <item x="3275"/>
        <item x="385"/>
        <item x="592"/>
        <item x="631"/>
        <item x="1003"/>
        <item x="2705"/>
        <item x="1663"/>
        <item x="2735"/>
        <item x="2003"/>
        <item x="3350"/>
        <item x="50"/>
        <item x="752"/>
        <item x="370"/>
        <item x="2176"/>
        <item x="2519"/>
        <item x="3078"/>
        <item x="731"/>
        <item x="510"/>
        <item x="26"/>
        <item x="1546"/>
        <item x="962"/>
        <item x="2703"/>
        <item x="2528"/>
        <item x="1725"/>
        <item x="966"/>
        <item x="2621"/>
        <item x="2910"/>
        <item x="3148"/>
        <item x="3215"/>
        <item x="2178"/>
        <item x="740"/>
        <item x="953"/>
        <item x="1201"/>
        <item x="1896"/>
        <item x="2610"/>
        <item x="3238"/>
        <item x="233"/>
        <item x="741"/>
        <item x="2349"/>
        <item x="721"/>
        <item x="164"/>
        <item x="2297"/>
        <item x="2962"/>
        <item x="2513"/>
        <item x="587"/>
        <item x="3032"/>
        <item x="2730"/>
        <item x="712"/>
        <item x="1697"/>
        <item x="2984"/>
        <item x="302"/>
        <item x="1120"/>
        <item x="564"/>
        <item x="437"/>
        <item x="292"/>
        <item x="2269"/>
        <item x="2361"/>
        <item x="1487"/>
        <item x="43"/>
        <item x="3211"/>
        <item x="1779"/>
        <item x="2780"/>
        <item x="1907"/>
        <item x="1610"/>
        <item x="2709"/>
        <item x="1544"/>
        <item x="2020"/>
        <item x="3328"/>
        <item x="576"/>
        <item x="2964"/>
        <item x="3344"/>
        <item x="368"/>
        <item x="3132"/>
        <item x="3481"/>
        <item x="100"/>
        <item x="2120"/>
        <item x="1723"/>
        <item x="1212"/>
        <item x="790"/>
        <item x="1015"/>
        <item x="1778"/>
        <item x="2797"/>
        <item x="1094"/>
        <item x="767"/>
        <item x="735"/>
        <item x="2588"/>
        <item x="2839"/>
        <item x="616"/>
        <item x="33"/>
        <item x="3422"/>
        <item x="78"/>
        <item x="2470"/>
        <item x="2173"/>
        <item x="1287"/>
        <item x="1338"/>
        <item x="1223"/>
        <item x="3487"/>
        <item x="803"/>
        <item x="3278"/>
        <item x="2544"/>
        <item x="2949"/>
        <item x="425"/>
        <item x="2530"/>
        <item x="2881"/>
        <item x="1908"/>
        <item x="51"/>
        <item x="408"/>
        <item x="3222"/>
        <item x="3336"/>
        <item x="2299"/>
        <item x="3046"/>
        <item x="687"/>
        <item x="140"/>
        <item x="1269"/>
        <item x="160"/>
        <item x="1460"/>
        <item x="340"/>
        <item x="990"/>
        <item x="3241"/>
        <item x="1370"/>
        <item x="2368"/>
        <item x="38"/>
        <item x="1062"/>
        <item x="2755"/>
        <item x="1543"/>
        <item x="2308"/>
        <item x="2133"/>
        <item x="927"/>
        <item x="3233"/>
        <item x="2895"/>
        <item x="2520"/>
        <item x="541"/>
        <item x="800"/>
        <item x="2404"/>
        <item x="1545"/>
        <item x="2791"/>
        <item x="3110"/>
        <item x="802"/>
        <item x="2779"/>
        <item x="1174"/>
        <item x="3068"/>
        <item x="3175"/>
        <item x="3468"/>
        <item x="2752"/>
        <item x="211"/>
        <item x="348"/>
        <item x="2798"/>
        <item x="3220"/>
        <item x="2843"/>
        <item x="2429"/>
        <item x="1873"/>
        <item x="2616"/>
        <item x="2458"/>
        <item x="3218"/>
        <item x="762"/>
        <item x="2061"/>
        <item x="3033"/>
        <item x="1373"/>
        <item x="2321"/>
        <item x="3431"/>
        <item x="2113"/>
        <item x="2799"/>
        <item x="2618"/>
        <item x="1190"/>
        <item x="3420"/>
        <item x="3256"/>
        <item x="2393"/>
        <item x="1383"/>
        <item x="557"/>
        <item x="3095"/>
        <item x="3348"/>
        <item x="470"/>
        <item x="2576"/>
        <item x="3150"/>
        <item x="2372"/>
        <item x="591"/>
        <item x="1845"/>
        <item x="1743"/>
        <item x="1555"/>
        <item x="1754"/>
        <item x="2300"/>
        <item x="3133"/>
        <item x="1656"/>
        <item x="3060"/>
        <item x="2721"/>
        <item x="2424"/>
        <item x="1066"/>
        <item x="836"/>
        <item x="2442"/>
        <item x="1278"/>
        <item x="595"/>
        <item x="543"/>
        <item x="241"/>
        <item x="1916"/>
        <item x="2922"/>
        <item x="2154"/>
        <item x="1628"/>
        <item x="1219"/>
        <item x="1745"/>
        <item x="1205"/>
        <item x="90"/>
        <item x="1215"/>
        <item x="2894"/>
        <item x="2351"/>
        <item x="394"/>
        <item x="3156"/>
        <item x="2464"/>
        <item x="1481"/>
        <item x="1646"/>
        <item x="973"/>
        <item x="2539"/>
        <item x="2566"/>
        <item x="655"/>
        <item x="2969"/>
        <item x="905"/>
        <item x="531"/>
        <item x="1443"/>
        <item x="1496"/>
        <item x="3180"/>
        <item x="2993"/>
        <item x="969"/>
        <item x="2640"/>
        <item x="3247"/>
        <item x="496"/>
        <item x="238"/>
        <item x="94"/>
        <item x="1819"/>
        <item x="35"/>
        <item x="1516"/>
        <item x="128"/>
        <item x="1385"/>
        <item x="3414"/>
        <item x="3462"/>
        <item x="1898"/>
        <item x="1928"/>
        <item x="1541"/>
        <item x="2766"/>
        <item x="1826"/>
        <item x="3089"/>
        <item x="3002"/>
        <item x="2600"/>
        <item x="2625"/>
        <item x="2292"/>
        <item x="288"/>
        <item x="3381"/>
        <item x="111"/>
        <item x="32"/>
        <item x="1732"/>
        <item x="2323"/>
        <item x="332"/>
        <item x="785"/>
        <item x="2885"/>
        <item x="2278"/>
        <item x="1944"/>
        <item x="570"/>
        <item x="1114"/>
        <item x="2879"/>
        <item x="1940"/>
        <item x="2462"/>
        <item x="1758"/>
        <item x="700"/>
        <item x="2408"/>
        <item x="2932"/>
        <item x="1762"/>
        <item x="2313"/>
        <item x="1992"/>
        <item x="3104"/>
        <item x="2183"/>
        <item x="2291"/>
        <item x="3169"/>
        <item x="812"/>
        <item x="604"/>
        <item x="2461"/>
        <item x="148"/>
        <item x="1547"/>
        <item x="2899"/>
        <item x="2527"/>
        <item x="3072"/>
        <item x="2581"/>
        <item x="612"/>
        <item x="113"/>
        <item x="2500"/>
        <item x="1486"/>
        <item x="1521"/>
        <item x="2283"/>
        <item x="2180"/>
        <item x="1731"/>
        <item x="1714"/>
        <item x="1681"/>
        <item x="1864"/>
        <item x="2542"/>
        <item x="1395"/>
        <item x="1706"/>
        <item x="1193"/>
        <item x="3433"/>
        <item x="1041"/>
        <item x="705"/>
        <item x="3287"/>
        <item x="2942"/>
        <item x="890"/>
        <item x="551"/>
        <item x="3260"/>
        <item x="301"/>
        <item x="804"/>
        <item x="1354"/>
        <item x="266"/>
        <item x="1735"/>
        <item x="2230"/>
        <item x="2702"/>
        <item x="1462"/>
        <item x="236"/>
        <item x="2915"/>
        <item x="2783"/>
        <item x="10"/>
        <item x="1854"/>
        <item x="1529"/>
        <item x="1375"/>
        <item x="1199"/>
        <item x="2592"/>
        <item x="1925"/>
        <item x="3292"/>
        <item x="2672"/>
        <item x="3164"/>
        <item x="1884"/>
        <item x="1441"/>
        <item x="1078"/>
        <item x="1421"/>
        <item x="3200"/>
        <item x="2560"/>
        <item x="3510"/>
        <item x="1001"/>
        <item x="3405"/>
        <item x="2140"/>
        <item x="820"/>
        <item x="1590"/>
        <item x="1478"/>
        <item x="2027"/>
        <item x="3313"/>
        <item x="2884"/>
        <item x="1218"/>
        <item x="1160"/>
        <item x="3518"/>
        <item x="2499"/>
        <item x="1825"/>
        <item x="1311"/>
        <item x="1102"/>
        <item x="686"/>
        <item x="3124"/>
        <item x="690"/>
        <item x="2568"/>
        <item x="3491"/>
        <item x="282"/>
        <item x="2420"/>
        <item x="808"/>
        <item x="1369"/>
        <item x="2585"/>
        <item x="2653"/>
        <item x="628"/>
        <item x="1737"/>
        <item x="2720"/>
        <item x="2402"/>
        <item x="806"/>
        <item x="809"/>
        <item x="2369"/>
        <item x="2759"/>
        <item x="2574"/>
        <item x="1596"/>
        <item x="3190"/>
        <item x="1634"/>
        <item x="2004"/>
        <item x="3047"/>
        <item x="1225"/>
        <item x="2392"/>
        <item x="2926"/>
        <item x="1126"/>
        <item x="194"/>
        <item x="130"/>
        <item x="978"/>
        <item x="1865"/>
        <item x="3007"/>
        <item x="1176"/>
        <item x="1489"/>
        <item x="2009"/>
        <item x="2202"/>
        <item x="2900"/>
        <item x="615"/>
        <item x="3179"/>
        <item x="1556"/>
        <item x="1293"/>
        <item x="3157"/>
        <item x="1946"/>
        <item x="1471"/>
        <item x="165"/>
        <item x="538"/>
        <item x="191"/>
        <item x="2021"/>
        <item x="2736"/>
        <item x="3012"/>
        <item x="1244"/>
        <item x="737"/>
        <item x="945"/>
        <item x="2190"/>
        <item x="244"/>
        <item x="3513"/>
        <item x="3048"/>
        <item x="3137"/>
        <item x="600"/>
        <item x="2596"/>
        <item x="386"/>
        <item x="1890"/>
        <item x="2647"/>
        <item x="3052"/>
        <item x="3243"/>
        <item x="1703"/>
        <item x="755"/>
        <item x="65"/>
        <item x="1929"/>
        <item x="2990"/>
        <item x="2833"/>
        <item x="1988"/>
        <item x="2311"/>
        <item x="2796"/>
        <item x="3006"/>
        <item x="2008"/>
        <item x="838"/>
        <item x="2728"/>
        <item x="2699"/>
        <item x="2448"/>
        <item x="3442"/>
        <item x="621"/>
        <item x="1228"/>
        <item x="183"/>
        <item x="3123"/>
        <item x="2316"/>
        <item x="3163"/>
        <item x="610"/>
        <item x="3171"/>
        <item x="3421"/>
        <item x="2425"/>
        <item x="1895"/>
        <item x="371"/>
        <item x="566"/>
        <item x="981"/>
        <item x="2987"/>
        <item x="433"/>
        <item x="780"/>
        <item x="448"/>
        <item x="2711"/>
        <item x="2892"/>
        <item x="2065"/>
        <item x="1867"/>
        <item x="503"/>
        <item x="2186"/>
        <item x="1371"/>
        <item x="3509"/>
        <item x="159"/>
        <item x="3511"/>
        <item x="2868"/>
        <item x="1057"/>
        <item x="2485"/>
        <item x="1604"/>
        <item x="3065"/>
        <item x="237"/>
        <item x="3356"/>
        <item x="3221"/>
        <item x="1512"/>
        <item x="2948"/>
        <item x="1071"/>
        <item x="1294"/>
        <item x="2869"/>
        <item x="2803"/>
        <item x="834"/>
        <item x="2582"/>
        <item x="375"/>
        <item x="2454"/>
        <item x="15"/>
        <item x="1185"/>
        <item x="763"/>
        <item x="2831"/>
        <item x="1978"/>
        <item x="1289"/>
        <item x="2071"/>
        <item x="881"/>
        <item x="2477"/>
        <item x="1121"/>
        <item x="285"/>
        <item x="3187"/>
        <item x="1173"/>
        <item x="447"/>
        <item x="1033"/>
        <item x="1858"/>
        <item x="1108"/>
        <item x="2620"/>
        <item x="550"/>
        <item x="2920"/>
        <item x="2171"/>
        <item x="254"/>
        <item x="2231"/>
        <item x="3373"/>
        <item x="1413"/>
        <item x="110"/>
        <item x="872"/>
        <item x="2136"/>
        <item x="3281"/>
        <item x="3500"/>
        <item x="3387"/>
        <item x="750"/>
        <item x="662"/>
        <item x="1435"/>
        <item x="2307"/>
        <item x="1744"/>
        <item x="3011"/>
        <item x="893"/>
        <item x="1153"/>
        <item x="2488"/>
        <item x="594"/>
        <item x="377"/>
        <item x="2864"/>
        <item x="2252"/>
        <item x="2815"/>
        <item x="296"/>
        <item x="1334"/>
        <item x="2147"/>
        <item x="3014"/>
        <item x="1609"/>
        <item x="1100"/>
        <item x="1447"/>
        <item x="3485"/>
        <item x="1625"/>
        <item x="2132"/>
        <item x="2737"/>
        <item x="2025"/>
        <item x="1763"/>
        <item x="278"/>
        <item x="1593"/>
        <item x="477"/>
        <item x="826"/>
        <item x="2650"/>
        <item x="786"/>
        <item x="1148"/>
        <item x="281"/>
        <item x="3076"/>
        <item x="3152"/>
        <item x="1515"/>
        <item x="3479"/>
        <item x="1851"/>
        <item x="724"/>
        <item x="3411"/>
        <item x="1974"/>
        <item x="3197"/>
        <item x="1710"/>
        <item x="2244"/>
        <item x="562"/>
        <item x="1835"/>
        <item x="2050"/>
        <item x="3035"/>
        <item x="2353"/>
        <item x="2607"/>
        <item x="533"/>
        <item x="1976"/>
        <item x="2037"/>
        <item x="374"/>
        <item x="108"/>
        <item x="1387"/>
        <item x="480"/>
        <item x="993"/>
        <item x="1202"/>
        <item x="1649"/>
        <item x="214"/>
        <item x="1029"/>
        <item x="3453"/>
        <item x="3452"/>
        <item x="2067"/>
        <item x="1573"/>
        <item x="956"/>
        <item x="3377"/>
        <item x="2743"/>
        <item x="2492"/>
        <item x="210"/>
        <item x="904"/>
        <item x="1467"/>
        <item x="2998"/>
        <item x="873"/>
        <item x="2339"/>
        <item x="2521"/>
        <item x="3471"/>
        <item x="2817"/>
        <item x="558"/>
        <item x="3353"/>
        <item x="2287"/>
        <item x="3067"/>
        <item x="1195"/>
        <item x="1730"/>
        <item x="2669"/>
        <item x="1799"/>
        <item x="188"/>
        <item x="798"/>
        <item x="2688"/>
        <item x="1143"/>
        <item x="512"/>
        <item x="1362"/>
        <item x="2164"/>
        <item x="1364"/>
        <item x="2146"/>
        <item x="3466"/>
        <item x="1140"/>
        <item x="3493"/>
        <item x="42"/>
        <item x="3153"/>
        <item x="2222"/>
        <item x="3050"/>
        <item x="1353"/>
        <item x="1796"/>
        <item x="485"/>
        <item x="2456"/>
        <item x="3139"/>
        <item x="649"/>
        <item x="1561"/>
        <item x="670"/>
        <item x="2767"/>
        <item x="1064"/>
        <item x="3001"/>
        <item x="144"/>
        <item x="1909"/>
        <item x="1249"/>
        <item x="936"/>
        <item x="2706"/>
        <item x="2108"/>
        <item x="280"/>
        <item x="657"/>
        <item x="2137"/>
        <item x="862"/>
        <item x="2855"/>
        <item x="2805"/>
        <item x="2916"/>
        <item x="3369"/>
        <item x="3034"/>
        <item x="2968"/>
        <item x="716"/>
        <item x="1666"/>
        <item x="264"/>
        <item x="622"/>
        <item x="3186"/>
        <item x="725"/>
        <item x="1915"/>
        <item x="2309"/>
        <item x="3274"/>
        <item x="73"/>
        <item x="392"/>
        <item x="2617"/>
        <item x="926"/>
        <item x="1810"/>
        <item x="404"/>
        <item x="1399"/>
        <item x="393"/>
        <item x="297"/>
        <item x="2774"/>
        <item x="571"/>
        <item x="2570"/>
        <item x="2532"/>
        <item x="3298"/>
        <item x="3071"/>
        <item x="1694"/>
        <item x="965"/>
        <item x="2727"/>
        <item x="3276"/>
        <item x="1603"/>
        <item x="246"/>
        <item x="2105"/>
        <item x="2356"/>
        <item x="1861"/>
        <item x="430"/>
        <item x="1306"/>
        <item x="1434"/>
        <item x="3267"/>
        <item x="484"/>
        <item x="1586"/>
        <item x="3461"/>
        <item x="2377"/>
        <item x="61"/>
        <item x="2557"/>
        <item x="169"/>
        <item x="3214"/>
        <item x="1030"/>
        <item x="3105"/>
        <item x="3326"/>
        <item x="450"/>
        <item x="207"/>
        <item x="3248"/>
        <item x="2399"/>
        <item x="828"/>
        <item x="2540"/>
        <item x="1243"/>
        <item x="1801"/>
        <item x="563"/>
        <item x="2388"/>
        <item x="1806"/>
        <item x="819"/>
        <item x="1298"/>
        <item x="2325"/>
        <item x="567"/>
        <item x="1275"/>
        <item x="536"/>
        <item x="719"/>
        <item x="2301"/>
        <item x="173"/>
        <item x="1419"/>
        <item x="946"/>
        <item x="2913"/>
        <item x="455"/>
        <item x="1534"/>
        <item x="2407"/>
        <item x="2659"/>
        <item x="2991"/>
        <item x="1636"/>
        <item x="714"/>
        <item x="1141"/>
        <item x="2504"/>
        <item x="2326"/>
        <item x="2994"/>
        <item x="1234"/>
        <item x="2773"/>
        <item x="92"/>
        <item x="1034"/>
        <item x="53"/>
        <item x="1600"/>
        <item x="1444"/>
        <item x="520"/>
        <item x="744"/>
        <item x="52"/>
        <item x="1945"/>
        <item x="58"/>
        <item x="749"/>
        <item x="2517"/>
        <item x="2861"/>
        <item x="3129"/>
        <item x="805"/>
        <item x="2646"/>
        <item x="634"/>
        <item x="3425"/>
        <item x="198"/>
        <item x="2248"/>
        <item x="2282"/>
        <item x="2346"/>
        <item x="3178"/>
        <item x="1175"/>
        <item x="1017"/>
        <item x="275"/>
        <item x="1956"/>
        <item x="1699"/>
        <item x="67"/>
        <item x="717"/>
        <item x="2551"/>
        <item x="1372"/>
        <item x="1035"/>
        <item x="1708"/>
        <item x="1233"/>
        <item x="580"/>
        <item x="406"/>
        <item x="2212"/>
        <item x="3263"/>
        <item x="473"/>
        <item x="1953"/>
        <item x="2844"/>
        <item x="2950"/>
        <item x="2959"/>
        <item x="3408"/>
        <item x="2032"/>
        <item x="3135"/>
        <item x="407"/>
        <item x="457"/>
        <item x="466"/>
        <item x="1594"/>
        <item x="3402"/>
        <item x="359"/>
        <item x="2583"/>
        <item x="1833"/>
        <item x="679"/>
        <item x="979"/>
        <item x="117"/>
        <item x="1342"/>
        <item x="2310"/>
        <item x="2417"/>
        <item x="3077"/>
        <item x="1465"/>
        <item x="1335"/>
        <item x="1595"/>
        <item x="1307"/>
        <item x="987"/>
        <item x="1216"/>
        <item x="1440"/>
        <item x="2707"/>
        <item x="181"/>
        <item x="947"/>
        <item x="1213"/>
        <item x="1210"/>
        <item x="1808"/>
        <item x="2567"/>
        <item x="2637"/>
        <item x="463"/>
        <item x="1766"/>
        <item x="3165"/>
        <item x="3231"/>
        <item x="400"/>
        <item x="0"/>
        <item x="2739"/>
        <item x="178"/>
        <item x="1286"/>
        <item x="2897"/>
        <item x="486"/>
        <item x="954"/>
        <item x="2007"/>
        <item x="2127"/>
        <item x="312"/>
        <item x="2508"/>
        <item x="293"/>
        <item x="3489"/>
        <item x="2595"/>
        <item x="797"/>
        <item x="2801"/>
        <item x="3514"/>
        <item x="2786"/>
        <item x="3378"/>
        <item x="27"/>
        <item x="2109"/>
        <item x="548"/>
        <item x="1061"/>
        <item x="2263"/>
        <item x="3172"/>
        <item x="3112"/>
        <item x="1968"/>
        <item x="2366"/>
        <item x="618"/>
        <item x="2658"/>
        <item x="556"/>
        <item x="1115"/>
        <item x="3374"/>
        <item x="70"/>
        <item x="2751"/>
        <item x="469"/>
        <item x="1051"/>
        <item x="1635"/>
        <item x="1640"/>
        <item x="1261"/>
        <item x="3107"/>
        <item x="1179"/>
        <item x="2992"/>
        <item x="369"/>
        <item x="257"/>
        <item x="258"/>
        <item x="1437"/>
        <item x="1422"/>
        <item x="584"/>
        <item x="2046"/>
        <item x="3023"/>
        <item x="980"/>
        <item x="1490"/>
        <item x="1905"/>
        <item x="2100"/>
        <item x="3079"/>
        <item x="1326"/>
        <item x="438"/>
        <item x="2014"/>
        <item x="338"/>
        <item x="101"/>
        <item x="1292"/>
        <item x="1772"/>
        <item x="3239"/>
        <item x="3346"/>
        <item x="1527"/>
        <item x="748"/>
        <item x="2149"/>
        <item x="286"/>
        <item x="2615"/>
        <item x="363"/>
        <item x="2035"/>
        <item x="334"/>
        <item x="3332"/>
        <item x="1449"/>
        <item x="96"/>
        <item x="2483"/>
        <item x="884"/>
        <item x="176"/>
        <item x="3245"/>
        <item x="72"/>
        <item x="3000"/>
        <item x="2777"/>
        <item x="2350"/>
        <item x="909"/>
        <item x="1497"/>
        <item x="1570"/>
        <item x="952"/>
        <item x="821"/>
        <item x="2853"/>
        <item x="1659"/>
        <item x="2776"/>
        <item x="2254"/>
        <item x="1601"/>
        <item x="2413"/>
        <item x="3342"/>
        <item x="568"/>
        <item x="565"/>
        <item x="2919"/>
        <item x="1906"/>
        <item x="1351"/>
        <item x="3459"/>
        <item x="1691"/>
        <item x="2192"/>
        <item x="2746"/>
        <item x="2118"/>
        <item x="1070"/>
        <item x="2198"/>
        <item x="1378"/>
        <item x="442"/>
        <item x="2505"/>
        <item x="1750"/>
        <item x="1222"/>
        <item x="1488"/>
        <item x="2341"/>
        <item x="1965"/>
        <item x="1052"/>
        <item x="888"/>
        <item x="2396"/>
        <item x="1076"/>
        <item x="242"/>
        <item x="4"/>
        <item x="3480"/>
        <item x="1439"/>
        <item x="1688"/>
        <item x="397"/>
        <item x="3122"/>
        <item x="1687"/>
        <item x="2622"/>
        <item x="2410"/>
        <item x="2952"/>
        <item x="3360"/>
        <item x="2239"/>
        <item x="2973"/>
        <item x="2089"/>
        <item x="2806"/>
        <item x="868"/>
        <item x="2069"/>
        <item x="1088"/>
        <item x="2397"/>
        <item x="1359"/>
        <item x="2569"/>
        <item x="277"/>
        <item x="641"/>
        <item x="192"/>
        <item x="778"/>
        <item x="2111"/>
        <item x="3291"/>
        <item x="2097"/>
        <item x="2060"/>
        <item x="174"/>
        <item x="3145"/>
        <item x="138"/>
        <item x="422"/>
        <item x="402"/>
        <item x="569"/>
        <item x="1206"/>
        <item x="1665"/>
        <item x="3382"/>
        <item x="2871"/>
        <item x="1937"/>
        <item x="2245"/>
        <item x="2660"/>
        <item x="124"/>
        <item x="1445"/>
        <item x="270"/>
        <item x="3457"/>
        <item x="817"/>
        <item x="883"/>
        <item x="1349"/>
        <item x="2179"/>
        <item x="1380"/>
        <item x="428"/>
        <item x="1981"/>
        <item x="123"/>
        <item x="2167"/>
        <item x="362"/>
        <item x="2753"/>
        <item x="1671"/>
        <item x="1332"/>
        <item x="464"/>
        <item x="46"/>
        <item x="3418"/>
        <item x="1482"/>
        <item x="1266"/>
        <item x="2765"/>
        <item x="951"/>
        <item x="1633"/>
        <item x="2210"/>
        <item x="961"/>
        <item x="133"/>
        <item x="2562"/>
        <item x="2682"/>
        <item x="1559"/>
        <item x="2335"/>
        <item x="678"/>
        <item x="2845"/>
        <item x="1941"/>
        <item x="360"/>
        <item x="2834"/>
        <item x="2406"/>
        <item x="2866"/>
        <item x="2857"/>
        <item x="1177"/>
        <item x="80"/>
        <item x="589"/>
        <item x="2157"/>
        <item x="745"/>
        <item x="1263"/>
        <item x="1133"/>
        <item x="882"/>
        <item x="2694"/>
        <item x="335"/>
        <item x="2213"/>
        <item x="1707"/>
        <item x="2723"/>
        <item x="1921"/>
        <item x="1818"/>
        <item x="2093"/>
        <item x="2080"/>
        <item x="3507"/>
        <item x="247"/>
        <item x="579"/>
        <item x="553"/>
        <item x="715"/>
        <item x="2475"/>
        <item x="1539"/>
        <item x="585"/>
        <item x="1729"/>
        <item x="523"/>
        <item x="3467"/>
        <item x="574"/>
        <item x="792"/>
        <item x="2102"/>
        <item x="1551"/>
        <item x="379"/>
        <item x="2467"/>
        <item x="887"/>
        <item x="1270"/>
        <item x="151"/>
        <item x="1103"/>
        <item x="3058"/>
        <item x="2196"/>
        <item x="943"/>
        <item x="1455"/>
        <item x="79"/>
        <item x="3219"/>
        <item x="63"/>
        <item x="2218"/>
        <item x="1318"/>
        <item x="1059"/>
        <item x="68"/>
        <item x="3074"/>
        <item x="99"/>
        <item x="1248"/>
        <item x="1952"/>
        <item x="759"/>
        <item x="2579"/>
        <item x="2856"/>
        <item x="915"/>
        <item x="1097"/>
        <item x="3090"/>
        <item x="2957"/>
        <item x="1253"/>
        <item x="1592"/>
        <item x="2275"/>
        <item x="2810"/>
        <item x="1522"/>
        <item x="1207"/>
        <item x="2515"/>
        <item x="3473"/>
        <item x="228"/>
        <item x="1340"/>
        <item x="2016"/>
        <item x="3416"/>
        <item x="193"/>
        <item x="337"/>
        <item x="3367"/>
        <item x="1377"/>
        <item x="1192"/>
        <item x="2813"/>
        <item x="810"/>
        <item x="45"/>
        <item x="2947"/>
        <item x="1322"/>
        <item x="3063"/>
        <item x="840"/>
        <item x="1130"/>
        <item x="351"/>
        <item x="903"/>
        <item x="2586"/>
        <item x="2221"/>
        <item x="1285"/>
        <item x="1518"/>
        <item x="2478"/>
        <item x="2070"/>
        <item x="2609"/>
        <item x="3398"/>
        <item x="2423"/>
        <item x="2938"/>
        <item x="1154"/>
        <item x="1136"/>
        <item x="1405"/>
        <item x="613"/>
        <item x="1166"/>
        <item x="2691"/>
        <item x="3334"/>
        <item x="1803"/>
        <item x="1131"/>
        <item x="2381"/>
        <item x="3203"/>
        <item x="2473"/>
        <item x="1187"/>
        <item x="2013"/>
        <item x="492"/>
        <item x="2486"/>
        <item x="734"/>
        <item x="3372"/>
        <item x="2161"/>
        <item x="1846"/>
        <item x="274"/>
        <item x="793"/>
        <item x="3199"/>
        <item x="1951"/>
        <item x="2619"/>
        <item x="1692"/>
        <item x="1304"/>
        <item x="306"/>
        <item x="989"/>
        <item x="1476"/>
        <item x="1571"/>
        <item x="2182"/>
        <item x="2234"/>
        <item x="2824"/>
        <item x="209"/>
        <item x="637"/>
        <item x="1038"/>
        <item x="1760"/>
        <item x="506"/>
        <item x="3451"/>
        <item x="1012"/>
        <item x="22"/>
        <item x="499"/>
        <item x="1892"/>
        <item x="959"/>
        <item x="1891"/>
        <item x="665"/>
        <item x="718"/>
        <item x="1438"/>
        <item x="2030"/>
        <item x="2563"/>
        <item x="2260"/>
        <item x="1622"/>
        <item x="2455"/>
        <item x="1757"/>
        <item x="225"/>
        <item x="28"/>
        <item x="488"/>
        <item x="2601"/>
        <item x="2936"/>
        <item x="3388"/>
        <item x="3096"/>
        <item x="1208"/>
        <item x="37"/>
        <item x="1461"/>
        <item x="1841"/>
        <item x="3521"/>
        <item x="1643"/>
        <item x="462"/>
        <item x="2459"/>
        <item x="2251"/>
        <item x="2712"/>
        <item x="1420"/>
        <item x="3088"/>
        <item x="1389"/>
        <item x="2664"/>
        <item x="1402"/>
        <item x="2534"/>
        <item x="234"/>
        <item x="3288"/>
        <item x="493"/>
        <item x="260"/>
        <item x="434"/>
        <item x="1959"/>
        <item x="839"/>
        <item x="1425"/>
        <item x="172"/>
        <item x="3130"/>
        <item x="1069"/>
        <item x="2733"/>
        <item x="350"/>
        <item x="2159"/>
        <item x="1204"/>
        <item x="1314"/>
        <item x="2525"/>
        <item x="1082"/>
        <item x="444"/>
        <item x="597"/>
        <item x="2289"/>
        <item x="1879"/>
        <item x="2965"/>
        <item x="2206"/>
        <item x="3143"/>
        <item x="1072"/>
        <item x="2820"/>
        <item x="1711"/>
        <item x="918"/>
        <item x="1337"/>
        <item x="2876"/>
        <item x="384"/>
        <item x="383"/>
        <item x="1255"/>
        <item x="2380"/>
        <item x="289"/>
        <item x="399"/>
        <item x="3093"/>
        <item x="2698"/>
        <item x="342"/>
        <item x="2045"/>
        <item x="1931"/>
        <item x="995"/>
        <item x="1264"/>
        <item x="1886"/>
        <item x="1969"/>
        <item x="317"/>
        <item x="3070"/>
        <item x="908"/>
        <item x="252"/>
        <item x="970"/>
        <item x="532"/>
        <item x="136"/>
        <item x="1105"/>
        <item x="3003"/>
        <item x="2890"/>
        <item x="2514"/>
        <item x="2197"/>
        <item x="736"/>
        <item x="2419"/>
        <item x="1574"/>
        <item x="2117"/>
        <item x="2507"/>
        <item x="2741"/>
        <item x="2362"/>
        <item x="886"/>
        <item x="74"/>
        <item x="2415"/>
        <item x="1014"/>
        <item x="3444"/>
        <item x="895"/>
        <item x="1464"/>
        <item x="1782"/>
        <item x="849"/>
        <item x="2627"/>
        <item x="2214"/>
        <item x="309"/>
        <item x="2545"/>
        <item x="2639"/>
        <item x="187"/>
        <item x="1784"/>
        <item x="1180"/>
        <item x="2382"/>
        <item x="1357"/>
        <item x="1500"/>
        <item x="3234"/>
        <item x="313"/>
        <item x="3027"/>
        <item x="235"/>
        <item x="2063"/>
        <item x="555"/>
        <item x="1475"/>
        <item x="268"/>
        <item x="1074"/>
        <item x="1579"/>
        <item x="2162"/>
        <item x="2671"/>
        <item x="150"/>
        <item x="723"/>
        <item x="413"/>
        <item x="3010"/>
        <item x="607"/>
        <item x="212"/>
        <item x="1089"/>
        <item x="2745"/>
        <item x="1150"/>
        <item x="825"/>
        <item x="3312"/>
        <item x="507"/>
        <item x="1853"/>
        <item x="1407"/>
        <item x="829"/>
        <item x="2633"/>
        <item x="639"/>
        <item x="3159"/>
        <item x="1009"/>
        <item x="739"/>
        <item x="197"/>
        <item x="1575"/>
        <item x="2268"/>
        <item x="619"/>
        <item x="2748"/>
        <item x="1291"/>
        <item x="1658"/>
        <item x="2497"/>
        <item x="2076"/>
        <item x="19"/>
        <item x="2261"/>
        <item x="876"/>
        <item x="269"/>
        <item x="991"/>
        <item x="912"/>
        <item x="2531"/>
        <item x="2734"/>
        <item x="3335"/>
        <item x="2121"/>
        <item x="3391"/>
        <item x="1283"/>
        <item x="106"/>
        <item x="3488"/>
        <item x="3406"/>
        <item x="2303"/>
        <item x="1507"/>
        <item x="2872"/>
        <item x="474"/>
        <item x="2651"/>
        <item x="920"/>
        <item x="3086"/>
        <item x="3085"/>
        <item x="323"/>
        <item x="1832"/>
        <item x="3232"/>
        <item x="1451"/>
        <item x="155"/>
        <item x="1583"/>
        <item x="1690"/>
        <item x="1329"/>
        <item x="2451"/>
        <item x="1923"/>
        <item x="746"/>
        <item x="279"/>
        <item x="2928"/>
        <item x="1230"/>
        <item x="711"/>
        <item x="1623"/>
        <item x="1086"/>
        <item x="968"/>
        <item x="2001"/>
        <item x="1023"/>
        <item x="3379"/>
        <item x="1982"/>
        <item x="34"/>
        <item x="830"/>
        <item x="598"/>
        <item x="650"/>
        <item x="223"/>
        <item x="353"/>
        <item x="2862"/>
        <item x="3036"/>
        <item x="2432"/>
        <item x="2158"/>
        <item x="1282"/>
        <item x="1733"/>
        <item x="1087"/>
        <item x="3064"/>
        <item x="1459"/>
        <item x="1024"/>
        <item x="40"/>
        <item x="3419"/>
        <item x="1736"/>
        <item x="1008"/>
        <item x="787"/>
        <item x="2375"/>
        <item x="1838"/>
        <item x="3505"/>
        <item x="3250"/>
        <item x="1163"/>
        <item x="3285"/>
        <item x="3290"/>
        <item x="1404"/>
        <item x="758"/>
        <item x="2101"/>
        <item x="2336"/>
        <item x="801"/>
        <item x="2655"/>
        <item x="1650"/>
        <item x="2232"/>
        <item x="1063"/>
        <item x="180"/>
        <item x="18"/>
        <item x="3081"/>
        <item x="253"/>
        <item x="3271"/>
        <item x="1589"/>
        <item x="1830"/>
        <item x="666"/>
        <item x="795"/>
        <item x="2594"/>
        <item x="2494"/>
        <item x="975"/>
        <item x="753"/>
        <item x="925"/>
        <item x="1098"/>
        <item x="2526"/>
        <item x="2018"/>
        <item x="1152"/>
        <item x="2873"/>
        <item x="2867"/>
        <item x="1112"/>
        <item x="901"/>
        <item x="1111"/>
        <item x="2689"/>
        <item x="1341"/>
        <item x="395"/>
        <item x="2529"/>
        <item x="175"/>
        <item x="2724"/>
        <item x="262"/>
        <item x="1491"/>
        <item x="3407"/>
        <item x="832"/>
        <item x="3236"/>
        <item x="135"/>
        <item x="572"/>
        <item x="1406"/>
        <item x="2956"/>
        <item x="692"/>
        <item x="1320"/>
        <item x="3438"/>
        <item x="184"/>
        <item x="2914"/>
        <item x="1790"/>
        <item x="3262"/>
        <item x="1793"/>
        <item x="2224"/>
        <item x="3324"/>
        <item x="319"/>
        <item x="3227"/>
        <item x="1705"/>
        <item x="799"/>
        <item x="2327"/>
        <item x="1829"/>
        <item x="2878"/>
        <item x="784"/>
        <item x="833"/>
        <item x="813"/>
        <item x="273"/>
        <item x="131"/>
        <item x="2636"/>
        <item x="2107"/>
        <item x="380"/>
        <item x="2215"/>
        <item x="3106"/>
        <item x="1279"/>
        <item x="1327"/>
        <item x="1505"/>
        <item x="1859"/>
        <item x="1456"/>
        <item x="2139"/>
        <item x="775"/>
        <item x="2924"/>
        <item x="11"/>
        <item x="1280"/>
        <item x="2665"/>
        <item x="1557"/>
        <item x="84"/>
        <item x="1453"/>
        <item x="911"/>
        <item x="2329"/>
        <item x="1761"/>
        <item x="3272"/>
        <item x="206"/>
        <item x="452"/>
        <item x="1795"/>
        <item x="1985"/>
        <item x="1135"/>
        <item x="659"/>
        <item x="3395"/>
        <item x="1099"/>
        <item x="76"/>
        <item x="1999"/>
        <item x="3181"/>
        <item x="1994"/>
        <item x="389"/>
        <item x="2152"/>
        <item x="535"/>
        <item x="1805"/>
        <item x="1161"/>
        <item x="13"/>
        <item x="3347"/>
        <item x="2288"/>
        <item x="2445"/>
        <item x="3191"/>
        <item x="226"/>
        <item x="3437"/>
        <item x="1271"/>
        <item x="2074"/>
        <item x="2077"/>
        <item x="2170"/>
        <item x="3475"/>
        <item x="1229"/>
        <item x="48"/>
        <item x="2034"/>
        <item x="2852"/>
        <item x="923"/>
        <item x="1137"/>
        <item x="2332"/>
        <item x="2386"/>
        <item x="1572"/>
        <item x="127"/>
        <item x="1124"/>
        <item x="2666"/>
        <item x="9"/>
        <item x="185"/>
        <item x="1788"/>
        <item x="2087"/>
        <item x="1552"/>
        <item x="1748"/>
        <item x="722"/>
        <item x="482"/>
        <item x="1303"/>
        <item x="216"/>
        <item x="446"/>
        <item x="2975"/>
        <item x="1347"/>
        <item x="1678"/>
        <item x="1414"/>
        <item x="443"/>
        <item x="2580"/>
        <item x="121"/>
        <item x="1759"/>
        <item x="1618"/>
        <item x="2290"/>
        <item x="2229"/>
        <item x="1597"/>
        <item x="1060"/>
        <item x="1256"/>
        <item x="964"/>
        <item x="3224"/>
        <item x="2247"/>
        <item x="3217"/>
        <item x="2501"/>
        <item x="2732"/>
        <item x="1769"/>
        <item x="1172"/>
        <item x="2593"/>
        <item x="1178"/>
        <item x="1955"/>
        <item x="1113"/>
        <item x="3026"/>
        <item x="1624"/>
        <item x="1000"/>
        <item x="1240"/>
        <item x="889"/>
        <item x="3319"/>
        <item x="593"/>
        <item x="3501"/>
        <item x="1027"/>
        <item x="2088"/>
        <item x="3306"/>
        <item x="2374"/>
        <item x="2284"/>
        <item x="1013"/>
        <item x="2775"/>
        <item x="3368"/>
        <item x="1504"/>
        <item x="660"/>
        <item x="3166"/>
        <item x="1709"/>
        <item x="1883"/>
        <item x="1392"/>
        <item x="3376"/>
        <item x="1433"/>
        <item x="707"/>
        <item x="3201"/>
        <item x="1265"/>
        <item x="3154"/>
        <item x="1540"/>
        <item x="2836"/>
        <item x="218"/>
        <item x="3202"/>
        <item x="3140"/>
        <item x="549"/>
        <item x="365"/>
        <item x="2643"/>
        <item x="917"/>
        <item x="1991"/>
        <item x="2536"/>
        <item x="624"/>
        <item x="424"/>
        <item x="2280"/>
        <item x="3426"/>
        <item x="1382"/>
        <item x="2602"/>
        <item x="3049"/>
        <item x="410"/>
        <item x="3364"/>
        <item x="916"/>
        <item x="2715"/>
        <item x="684"/>
        <item x="2"/>
        <item x="3253"/>
        <item x="682"/>
        <item x="2151"/>
        <item x="3280"/>
        <item x="2099"/>
        <item x="870"/>
        <item x="3254"/>
        <item x="2635"/>
        <item x="843"/>
        <item x="3066"/>
        <item x="1079"/>
        <item x="251"/>
        <item x="1056"/>
        <item x="322"/>
        <item x="1817"/>
        <item x="854"/>
        <item x="1963"/>
        <item x="345"/>
        <item x="421"/>
        <item x="2840"/>
        <item x="3108"/>
        <item x="2762"/>
        <item x="1232"/>
        <item x="1674"/>
        <item x="704"/>
        <item x="2558"/>
        <item x="358"/>
        <item x="1984"/>
        <item x="1767"/>
        <item x="156"/>
        <item x="769"/>
        <item x="629"/>
        <item x="727"/>
        <item x="3151"/>
        <item x="3265"/>
        <item x="2256"/>
        <item x="688"/>
        <item x="1566"/>
        <item x="1850"/>
        <item x="1310"/>
        <item x="1412"/>
        <item x="418"/>
        <item x="938"/>
        <item x="823"/>
        <item x="481"/>
        <item x="2273"/>
        <item x="1047"/>
        <item x="710"/>
        <item x="1510"/>
        <item x="3138"/>
        <item x="1642"/>
        <item x="847"/>
        <item x="440"/>
        <item x="416"/>
        <item x="107"/>
        <item x="2033"/>
        <item x="3249"/>
        <item x="1740"/>
        <item x="3380"/>
        <item x="857"/>
        <item x="1262"/>
        <item x="265"/>
        <item x="439"/>
        <item x="1194"/>
        <item x="2091"/>
        <item x="2024"/>
        <item x="2974"/>
        <item x="122"/>
        <item x="667"/>
        <item x="2738"/>
        <item x="116"/>
        <item x="56"/>
        <item x="546"/>
        <item x="1652"/>
        <item x="2649"/>
        <item x="495"/>
        <item x="2384"/>
        <item x="2599"/>
        <item x="1162"/>
        <item x="2686"/>
        <item x="2204"/>
        <item x="149"/>
        <item x="518"/>
        <item x="2903"/>
        <item x="696"/>
        <item x="364"/>
        <item x="2960"/>
        <item x="2012"/>
        <item x="2466"/>
        <item x="3503"/>
        <item x="426"/>
        <item x="1272"/>
        <item x="2187"/>
        <item x="3283"/>
        <item x="112"/>
        <item x="3320"/>
        <item x="3456"/>
        <item x="1391"/>
        <item x="976"/>
        <item x="1821"/>
        <item x="2941"/>
        <item x="2119"/>
        <item x="1550"/>
        <item x="1996"/>
        <item x="1954"/>
        <item x="2125"/>
        <item x="1055"/>
        <item x="2264"/>
        <item x="1605"/>
        <item x="3268"/>
        <item x="3155"/>
        <item x="988"/>
        <item x="2946"/>
        <item x="1917"/>
        <item x="632"/>
        <item x="1924"/>
        <item x="1125"/>
        <item x="844"/>
        <item x="1780"/>
        <item x="427"/>
        <item x="3101"/>
        <item x="489"/>
        <item x="1787"/>
        <item x="2153"/>
        <item x="2426"/>
        <item x="643"/>
        <item x="3168"/>
        <item x="205"/>
        <item x="1542"/>
        <item x="199"/>
        <item x="2697"/>
        <item x="2587"/>
        <item x="586"/>
        <item x="2079"/>
        <item x="403"/>
        <item x="3311"/>
        <item x="3423"/>
        <item x="2391"/>
        <item x="1091"/>
        <item x="2225"/>
        <item x="147"/>
        <item x="219"/>
        <item x="2980"/>
        <item x="2541"/>
        <item x="1356"/>
        <item x="3508"/>
        <item x="1836"/>
        <item x="3463"/>
        <item x="3315"/>
        <item x="522"/>
        <item x="3022"/>
        <item x="2684"/>
        <item x="30"/>
        <item x="2066"/>
        <item x="3041"/>
        <item x="2850"/>
        <item x="3061"/>
        <item x="928"/>
        <item x="1316"/>
        <item x="62"/>
        <item x="2874"/>
        <item x="2447"/>
        <item x="2010"/>
        <item x="1469"/>
        <item x="1005"/>
        <item x="3087"/>
        <item x="3355"/>
        <item x="822"/>
        <item x="3111"/>
        <item x="2841"/>
        <item x="1494"/>
        <item x="1558"/>
        <item x="1701"/>
        <item x="1713"/>
        <item x="2503"/>
        <item x="2931"/>
        <item x="3301"/>
        <item x="669"/>
        <item x="419"/>
        <item x="3307"/>
        <item x="1365"/>
        <item x="1214"/>
        <item x="2238"/>
        <item x="3297"/>
        <item x="304"/>
        <item x="2835"/>
        <item x="248"/>
        <item x="3069"/>
        <item x="2970"/>
        <item x="922"/>
        <item x="2266"/>
        <item x="1533"/>
        <item x="1388"/>
        <item x="545"/>
        <item x="2412"/>
        <item x="2577"/>
        <item x="352"/>
        <item x="1537"/>
        <item x="2220"/>
        <item x="2274"/>
        <item x="1080"/>
        <item x="900"/>
        <item x="417"/>
        <item x="2940"/>
        <item x="1677"/>
        <item x="1032"/>
        <item x="2427"/>
        <item x="2638"/>
        <item x="2054"/>
        <item x="2223"/>
        <item x="898"/>
        <item x="1973"/>
        <item x="2286"/>
        <item x="1394"/>
        <item x="656"/>
        <item x="314"/>
        <item x="728"/>
        <item x="1774"/>
        <item x="2006"/>
        <item x="1970"/>
        <item x="3244"/>
        <item x="3091"/>
        <item x="1880"/>
        <item x="640"/>
        <item x="1484"/>
        <item x="487"/>
        <item x="2320"/>
        <item x="1427"/>
        <item x="1367"/>
        <item x="1741"/>
        <item x="1075"/>
        <item x="885"/>
        <item x="2271"/>
        <item x="760"/>
        <item x="2489"/>
        <item x="2716"/>
        <item x="1217"/>
        <item x="699"/>
        <item x="3170"/>
        <item x="2279"/>
        <item x="3482"/>
        <item x="751"/>
        <item x="3520"/>
        <item x="2496"/>
        <item x="1844"/>
        <item x="104"/>
        <item x="2322"/>
        <item x="738"/>
        <item x="3195"/>
        <item x="189"/>
        <item x="689"/>
        <item x="1647"/>
        <item x="505"/>
        <item x="295"/>
        <item x="949"/>
        <item x="2661"/>
        <item x="638"/>
        <item x="1129"/>
        <item x="794"/>
        <item x="1039"/>
        <item x="1904"/>
        <item x="676"/>
        <item x="1252"/>
        <item x="2631"/>
        <item x="3113"/>
        <item x="1031"/>
        <item x="2142"/>
        <item x="272"/>
        <item x="2005"/>
        <item x="1776"/>
        <item x="702"/>
        <item x="2506"/>
        <item x="367"/>
        <item x="1887"/>
        <item x="3121"/>
        <item x="2997"/>
        <item x="2905"/>
        <item x="3228"/>
        <item x="983"/>
        <item x="703"/>
        <item x="182"/>
        <item x="2930"/>
        <item x="777"/>
        <item x="1"/>
        <item x="24"/>
        <item x="2270"/>
        <item x="1403"/>
        <item x="992"/>
        <item x="858"/>
        <item x="409"/>
        <item x="2444"/>
        <item x="1531"/>
        <item x="910"/>
        <item x="2944"/>
        <item x="204"/>
        <item x="1246"/>
        <item x="3412"/>
        <item x="7"/>
        <item x="578"/>
        <item x="2764"/>
        <item x="2923"/>
        <item x="652"/>
        <item x="1548"/>
        <item x="1169"/>
        <item x="2826"/>
        <item x="2708"/>
        <item x="1900"/>
        <item x="2981"/>
        <item x="2318"/>
        <item x="2049"/>
        <item x="163"/>
        <item x="2657"/>
        <item x="3443"/>
        <item x="1903"/>
        <item x="2068"/>
        <item x="2394"/>
        <item x="1816"/>
        <item x="1868"/>
        <item x="2103"/>
        <item x="2040"/>
        <item x="2713"/>
        <item x="2281"/>
        <item x="1577"/>
        <item x="864"/>
        <item x="742"/>
        <item x="2043"/>
        <item x="693"/>
        <item x="6"/>
        <item x="590"/>
        <item x="1828"/>
        <item x="1764"/>
        <item x="1564"/>
        <item x="2603"/>
        <item x="227"/>
        <item x="1409"/>
        <item x="2613"/>
        <item x="3499"/>
        <item x="3226"/>
        <item x="373"/>
        <item x="627"/>
        <item x="2285"/>
        <item x="3037"/>
        <item x="1914"/>
        <item x="1721"/>
        <item x="2430"/>
        <item x="2163"/>
        <item x="2174"/>
        <item x="694"/>
        <item x="1565"/>
        <item x="3299"/>
        <item x="1998"/>
        <item x="3216"/>
        <item x="1122"/>
        <item x="2838"/>
        <item x="1317"/>
        <item x="2535"/>
        <item x="2255"/>
        <item x="3246"/>
        <item x="921"/>
        <item x="2314"/>
        <item x="3039"/>
        <item x="1667"/>
        <item x="2983"/>
        <item x="2166"/>
        <item x="1584"/>
        <item x="217"/>
        <item x="1562"/>
        <item x="865"/>
        <item x="599"/>
        <item x="1606"/>
        <item x="2082"/>
        <item x="2498"/>
        <item x="1870"/>
        <item x="3206"/>
        <item x="1203"/>
        <item x="871"/>
        <item x="2208"/>
        <item x="789"/>
        <item x="1930"/>
        <item x="167"/>
        <item x="2578"/>
        <item x="1220"/>
        <item x="636"/>
        <item x="1281"/>
        <item x="321"/>
        <item x="1423"/>
        <item x="414"/>
        <item x="2487"/>
        <item x="3073"/>
        <item x="2758"/>
        <item x="502"/>
        <item x="3455"/>
        <item x="3357"/>
        <item x="1470"/>
        <item x="2389"/>
        <item x="1654"/>
        <item x="2172"/>
        <item x="3321"/>
        <item x="2116"/>
        <item x="2403"/>
        <item x="1144"/>
        <item x="2106"/>
        <item x="1321"/>
        <item x="2235"/>
        <item x="999"/>
        <item x="2144"/>
        <item x="2058"/>
        <item x="3208"/>
        <item x="1834"/>
        <item x="1602"/>
        <item x="2818"/>
        <item x="2584"/>
        <item x="1768"/>
        <item x="1800"/>
        <item x="1568"/>
        <item x="1188"/>
        <item x="2472"/>
        <item x="1339"/>
        <item x="3390"/>
        <item x="2205"/>
        <item x="1058"/>
        <item x="1257"/>
        <item x="1700"/>
        <item x="2073"/>
        <item x="168"/>
        <item x="1893"/>
        <item x="972"/>
        <item x="3057"/>
        <item x="331"/>
        <item x="145"/>
        <item x="1251"/>
        <item x="2787"/>
        <item x="57"/>
        <item x="454"/>
        <item x="2405"/>
        <item x="1147"/>
        <item x="3436"/>
        <item x="1672"/>
        <item x="1146"/>
        <item x="3225"/>
        <item x="501"/>
        <item x="2094"/>
        <item x="2572"/>
        <item x="3286"/>
        <item x="1934"/>
        <item x="796"/>
        <item x="1315"/>
        <item x="2612"/>
        <item x="208"/>
        <item x="378"/>
        <item x="1631"/>
        <item x="934"/>
        <item x="2943"/>
        <item x="3289"/>
        <item x="459"/>
        <item x="3207"/>
        <item x="97"/>
        <item x="1517"/>
        <item x="560"/>
        <item x="1295"/>
        <item x="1477"/>
        <item x="1145"/>
        <item x="3212"/>
        <item x="2837"/>
        <item x="276"/>
        <item x="2433"/>
        <item x="2338"/>
        <item x="3352"/>
        <item x="2387"/>
        <item x="581"/>
        <item x="2047"/>
        <item x="2017"/>
        <item x="3045"/>
        <item x="644"/>
        <item x="2740"/>
        <item x="681"/>
        <item x="1209"/>
        <item x="170"/>
        <item x="2188"/>
        <item x="1171"/>
        <item x="1651"/>
        <item x="1936"/>
        <item x="1588"/>
        <item x="3205"/>
        <item x="21"/>
        <item x="77"/>
        <item x="2524"/>
        <item x="2880"/>
        <item x="3400"/>
        <item x="1932"/>
        <item x="1789"/>
        <item x="815"/>
        <item x="2211"/>
        <item x="3160"/>
        <item x="2729"/>
        <item x="2681"/>
        <item x="2465"/>
        <item x="880"/>
        <item x="996"/>
        <item x="2935"/>
        <item x="1734"/>
        <item x="3430"/>
        <item x="623"/>
        <item x="2358"/>
        <item x="2789"/>
        <item x="2851"/>
        <item x="3119"/>
        <item x="635"/>
        <item x="1871"/>
        <item x="1358"/>
        <item x="2422"/>
        <item x="3038"/>
        <item x="3183"/>
        <item x="2933"/>
        <item x="1553"/>
        <item x="3126"/>
        <item x="3494"/>
        <item x="3506"/>
        <item x="271"/>
        <item x="3486"/>
        <item x="1716"/>
        <item x="1620"/>
        <item x="1002"/>
        <item x="2416"/>
        <item x="2023"/>
        <item x="29"/>
        <item x="2062"/>
        <item x="504"/>
        <item x="1237"/>
        <item x="2929"/>
        <item x="957"/>
        <item x="1977"/>
        <item x="2654"/>
        <item x="1247"/>
        <item x="1021"/>
        <item x="3317"/>
        <item x="349"/>
        <item x="1331"/>
        <item x="1616"/>
        <item x="356"/>
        <item x="2847"/>
        <item x="1045"/>
        <item x="2823"/>
        <item x="1771"/>
        <item x="907"/>
        <item x="3144"/>
        <item x="1949"/>
        <item x="2367"/>
        <item x="647"/>
        <item x="2431"/>
        <item x="852"/>
        <item x="2352"/>
        <item x="1065"/>
        <item x="1200"/>
        <item x="1792"/>
        <item x="1641"/>
        <item x="2509"/>
        <item x="1608"/>
        <item x="2401"/>
        <item x="2571"/>
        <item x="2484"/>
        <item x="1686"/>
        <item x="3184"/>
        <item x="1479"/>
        <item x="2769"/>
        <item x="115"/>
        <item x="1664"/>
        <item x="59"/>
        <item x="2249"/>
        <item x="1885"/>
        <item x="3409"/>
        <item x="3396"/>
        <item x="661"/>
        <item x="2126"/>
        <item x="3354"/>
        <item x="3309"/>
        <item x="2624"/>
        <item x="2656"/>
        <item x="3329"/>
        <item x="937"/>
        <item x="355"/>
        <item x="1752"/>
        <item x="2177"/>
        <item x="2912"/>
        <item x="120"/>
        <item x="1336"/>
        <item x="1284"/>
        <item x="2782"/>
        <item x="412"/>
        <item x="1345"/>
        <item x="1022"/>
        <item x="1824"/>
        <item x="2184"/>
        <item x="1381"/>
        <item x="2240"/>
        <item x="1155"/>
        <item x="315"/>
        <item x="2370"/>
        <item x="773"/>
        <item x="3273"/>
        <item x="1355"/>
        <item x="3259"/>
        <item x="997"/>
        <item x="2623"/>
        <item x="894"/>
        <item x="1110"/>
        <item x="3109"/>
        <item x="1582"/>
        <item x="432"/>
        <item x="483"/>
        <item x="2276"/>
        <item x="142"/>
        <item x="950"/>
        <item x="3404"/>
        <item x="3361"/>
        <item x="39"/>
        <item x="2112"/>
        <item x="2226"/>
        <item x="1918"/>
        <item x="617"/>
        <item x="86"/>
        <item x="1025"/>
        <item x="2632"/>
        <item x="1250"/>
        <item x="1683"/>
        <item x="1090"/>
        <item x="161"/>
        <item x="85"/>
        <item x="2075"/>
        <item x="201"/>
        <item x="940"/>
        <item x="2821"/>
        <item x="2317"/>
        <item x="2819"/>
        <item x="606"/>
        <item x="3242"/>
        <item x="329"/>
        <item x="772"/>
        <item x="1343"/>
        <item x="2792"/>
        <item x="1585"/>
        <item x="2679"/>
        <item x="1376"/>
        <item x="709"/>
        <item x="697"/>
        <item x="770"/>
        <item x="1696"/>
        <item x="1724"/>
        <item x="3305"/>
        <item x="783"/>
        <item x="250"/>
        <item x="1493"/>
        <item x="1156"/>
        <item x="1785"/>
        <item x="1919"/>
        <item x="468"/>
        <item x="960"/>
        <item x="2982"/>
        <item x="316"/>
        <item x="3296"/>
        <item x="1390"/>
        <item x="2683"/>
        <item x="1242"/>
        <item x="2436"/>
        <item x="1685"/>
        <item x="3018"/>
        <item x="3394"/>
        <item x="2954"/>
        <item x="878"/>
        <item x="2690"/>
        <item x="2663"/>
        <item x="524"/>
        <item x="2371"/>
        <item x="2802"/>
        <item x="3115"/>
        <item x="2373"/>
        <item x="2891"/>
        <item x="1922"/>
        <item x="2511"/>
        <item x="2056"/>
        <item x="2241"/>
        <item x="3185"/>
        <item x="2337"/>
        <item x="3120"/>
        <item x="2195"/>
        <item x="2191"/>
        <item x="1241"/>
        <item x="298"/>
        <item x="2934"/>
        <item x="1617"/>
        <item x="3515"/>
        <item x="3413"/>
        <item x="3277"/>
        <item x="1717"/>
        <item x="300"/>
        <item x="1452"/>
        <item x="1765"/>
        <item x="530"/>
        <item x="1092"/>
        <item x="2909"/>
        <item x="2768"/>
        <item x="1807"/>
        <item x="2628"/>
        <item x="3375"/>
        <item x="554"/>
        <item x="1026"/>
        <item x="3383"/>
        <item x="2437"/>
        <item x="2228"/>
        <item x="1673"/>
        <item x="203"/>
        <item x="2537"/>
        <item x="899"/>
        <item x="215"/>
        <item x="166"/>
        <item x="1398"/>
        <item x="542"/>
        <item x="3054"/>
        <item x="1519"/>
        <item x="2971"/>
        <item x="1238"/>
        <item x="2556"/>
        <item x="2958"/>
        <item x="2272"/>
        <item x="461"/>
        <item x="3128"/>
        <item x="347"/>
        <item x="2298"/>
        <item x="2194"/>
        <item x="391"/>
        <item x="2296"/>
        <item x="2809"/>
        <item x="2443"/>
        <item x="232"/>
        <item x="3204"/>
        <item x="1226"/>
        <item x="1119"/>
        <item x="525"/>
        <item x="1614"/>
        <item x="2811"/>
        <item x="224"/>
        <item x="3173"/>
        <item x="1524"/>
        <item x="1756"/>
        <item x="472"/>
        <item x="476"/>
        <item x="1004"/>
        <item x="2135"/>
        <item x="1645"/>
        <item x="3043"/>
        <item x="671"/>
        <item x="1842"/>
        <item x="387"/>
        <item x="2827"/>
        <item x="3295"/>
        <item x="405"/>
        <item x="2927"/>
        <item x="645"/>
        <item x="816"/>
        <item x="398"/>
        <item x="963"/>
        <item x="3102"/>
        <item x="935"/>
        <item x="3020"/>
        <item x="3127"/>
        <item x="1138"/>
        <item x="3146"/>
        <item x="3318"/>
        <item x="2246"/>
        <item x="3080"/>
        <item x="2883"/>
        <item x="2418"/>
        <item x="1046"/>
        <item x="3495"/>
        <item x="2575"/>
        <item x="129"/>
        <item x="2460"/>
        <item x="2795"/>
        <item x="1786"/>
        <item x="1374"/>
        <item x="2988"/>
        <item x="1006"/>
        <item x="2701"/>
        <item x="720"/>
        <item x="2749"/>
        <item x="779"/>
        <item x="1016"/>
        <item x="318"/>
        <item x="243"/>
        <item x="529"/>
        <item x="1912"/>
        <item x="791"/>
        <item x="1277"/>
        <item x="931"/>
        <item x="3223"/>
        <item x="327"/>
        <item x="3496"/>
        <item x="2695"/>
        <item x="1797"/>
        <item x="672"/>
        <item x="765"/>
        <item x="3322"/>
        <item x="1661"/>
        <item x="879"/>
        <item x="2193"/>
        <item x="1668"/>
        <item x="95"/>
        <item x="877"/>
        <item x="2591"/>
        <item x="874"/>
        <item x="2055"/>
        <item x="663"/>
        <item x="83"/>
        <item x="134"/>
        <item x="3476"/>
        <item x="3282"/>
        <item x="1876"/>
        <item x="3117"/>
        <item x="3478"/>
        <item x="3300"/>
        <item x="601"/>
        <item x="3474"/>
        <item x="1997"/>
        <item x="658"/>
        <item x="1722"/>
        <item x="2559"/>
        <item x="2538"/>
        <item x="2022"/>
        <item x="2564"/>
        <item x="2143"/>
        <item x="514"/>
        <item x="3517"/>
        <item x="1569"/>
        <item x="1348"/>
        <item x="1018"/>
        <item x="1679"/>
        <item x="2629"/>
        <item x="141"/>
        <item x="2414"/>
        <item x="1288"/>
        <item x="154"/>
        <item x="200"/>
        <item x="3004"/>
        <item x="1142"/>
        <item x="2710"/>
        <item x="284"/>
        <item x="1296"/>
        <item x="2199"/>
        <item x="2048"/>
        <item x="2967"/>
        <item x="2771"/>
        <item x="1116"/>
        <item x="354"/>
        <item x="1328"/>
        <item x="1040"/>
        <item x="291"/>
        <item x="2644"/>
        <item x="1632"/>
        <item x="2512"/>
        <item x="3441"/>
        <item x="1401"/>
        <item x="3502"/>
        <item x="3365"/>
        <item x="2630"/>
        <item x="2400"/>
        <item x="3177"/>
        <item x="1416"/>
        <item x="1260"/>
        <item x="924"/>
        <item x="695"/>
        <item x="3385"/>
        <item x="3099"/>
        <item x="2319"/>
        <item x="1305"/>
        <item x="1655"/>
        <item x="2858"/>
        <item x="89"/>
        <item x="3270"/>
        <item x="2726"/>
        <item x="2428"/>
        <item x="3125"/>
        <item x="2134"/>
        <item x="1718"/>
        <item x="1361"/>
        <item x="3303"/>
        <item x="1638"/>
        <item x="2053"/>
        <item x="2253"/>
        <item x="2104"/>
        <item x="2200"/>
        <item x="2908"/>
        <item x="902"/>
        <item x="1428"/>
        <item x="2328"/>
        <item x="3450"/>
        <item x="2243"/>
        <item x="547"/>
        <item x="1813"/>
        <item x="55"/>
        <item x="2345"/>
        <item x="239"/>
        <item x="2673"/>
        <item x="2379"/>
        <item x="2604"/>
        <item x="3269"/>
        <item x="3257"/>
        <item x="2955"/>
        <item x="974"/>
        <item x="1350"/>
        <item x="388"/>
        <item x="1739"/>
        <item x="2250"/>
        <item x="2453"/>
        <item x="2549"/>
        <item x="1881"/>
        <item x="2295"/>
        <item x="552"/>
        <item x="2348"/>
        <item x="2978"/>
        <item x="1648"/>
        <item x="788"/>
        <item x="1183"/>
        <item x="3264"/>
        <item x="2550"/>
        <item x="2668"/>
        <item x="69"/>
        <item x="2605"/>
        <item x="1629"/>
        <item x="259"/>
        <item x="747"/>
        <item x="648"/>
        <item x="91"/>
        <item x="162"/>
        <item x="2901"/>
        <item x="305"/>
        <item x="1530"/>
        <item x="1675"/>
        <item x="733"/>
        <item x="1458"/>
        <item x="1514"/>
        <item x="897"/>
        <item x="2435"/>
        <item x="1511"/>
        <item x="1587"/>
        <item x="1820"/>
        <item x="249"/>
        <item x="2763"/>
        <item x="2979"/>
        <item x="811"/>
        <item x="608"/>
        <item x="2305"/>
        <item x="2363"/>
        <item x="3446"/>
        <item x="818"/>
        <item x="2155"/>
        <item x="1415"/>
        <item x="2693"/>
        <item x="1396"/>
        <item x="2865"/>
        <item x="1872"/>
        <item x="2084"/>
        <item x="2972"/>
        <item x="1901"/>
        <item x="537"/>
        <item x="1972"/>
        <item x="3142"/>
        <item x="1096"/>
        <item x="2493"/>
        <item x="605"/>
        <item x="540"/>
        <item x="2590"/>
        <item x="3428"/>
        <item x="625"/>
        <item x="1473"/>
        <item x="1525"/>
        <item x="515"/>
        <item x="3084"/>
        <item x="837"/>
        <item x="582"/>
        <item x="1847"/>
        <item x="1050"/>
        <item x="3477"/>
        <item x="654"/>
        <item x="2259"/>
        <item x="2722"/>
        <item x="3082"/>
        <item x="1007"/>
        <item x="1083"/>
        <item x="71"/>
        <item x="1036"/>
        <item x="3469"/>
        <item x="3337"/>
        <item x="1848"/>
        <item x="179"/>
        <item x="3053"/>
        <item x="941"/>
        <item x="1158"/>
        <item x="157"/>
        <item x="3031"/>
        <item x="1802"/>
        <item x="2479"/>
        <item x="698"/>
        <item x="3363"/>
        <item x="2718"/>
        <item x="539"/>
        <item x="1920"/>
        <item x="1812"/>
        <item x="1128"/>
        <item x="3519"/>
        <item x="1753"/>
        <item x="1324"/>
        <item x="1411"/>
        <item x="245"/>
        <item x="1418"/>
        <item x="1363"/>
        <item x="1068"/>
        <item x="2122"/>
        <item x="614"/>
        <item x="1862"/>
        <item x="1523"/>
        <item x="1167"/>
        <item x="1983"/>
        <item x="1783"/>
        <item x="3167"/>
        <item x="498"/>
        <item x="2888"/>
        <item x="2482"/>
        <item x="3192"/>
        <item x="220"/>
        <item x="2846"/>
        <item x="2849"/>
        <item x="1878"/>
        <item x="1875"/>
        <item x="851"/>
        <item x="1791"/>
        <item x="1198"/>
        <item x="1384"/>
        <item x="1613"/>
        <item x="2441"/>
        <item x="1127"/>
        <item x="2365"/>
        <item x="290"/>
        <item x="2439"/>
        <item x="2626"/>
        <item x="2217"/>
        <item x="866"/>
        <item x="1010"/>
        <item x="1630"/>
        <item x="1882"/>
        <item x="429"/>
        <item x="2522"/>
        <item x="2015"/>
        <item x="2342"/>
        <item x="1899"/>
        <item x="1712"/>
        <item x="82"/>
        <item x="3017"/>
        <item x="1957"/>
        <item x="3240"/>
        <item x="3498"/>
        <item x="2645"/>
        <item x="2546"/>
        <item x="2548"/>
        <item x="1164"/>
        <item x="942"/>
        <item x="3255"/>
        <item x="125"/>
        <item x="1107"/>
        <item x="1231"/>
        <item x="2882"/>
        <item x="287"/>
        <item x="1860"/>
        <item x="896"/>
        <item x="1814"/>
        <item x="1450"/>
        <item x="814"/>
        <item x="2081"/>
        <item x="2236"/>
        <item x="475"/>
        <item x="1408"/>
        <item x="1254"/>
        <item x="256"/>
        <item x="1268"/>
        <item x="1299"/>
        <item x="2685"/>
        <item x="1926"/>
        <item x="2784"/>
        <item x="2086"/>
        <item x="1626"/>
        <item x="1084"/>
        <item x="2547"/>
        <item x="3440"/>
        <item x="445"/>
        <item x="2747"/>
        <item x="1501"/>
        <item x="479"/>
        <item x="103"/>
        <item x="2961"/>
        <item x="2675"/>
        <item x="3427"/>
        <item x="1432"/>
        <item x="2794"/>
        <item x="2128"/>
        <item x="776"/>
        <item x="2510"/>
        <item x="2921"/>
        <item x="3213"/>
        <item x="2344"/>
        <item x="98"/>
        <item x="3338"/>
        <item x="3492"/>
        <item x="2201"/>
        <item x="906"/>
        <item x="2028"/>
        <item x="559"/>
        <item x="3230"/>
        <item x="66"/>
        <item x="2902"/>
        <item x="1468"/>
        <item x="118"/>
        <item x="3403"/>
        <item x="516"/>
        <item x="3516"/>
        <item x="1048"/>
        <item x="668"/>
        <item x="2110"/>
        <item x="3209"/>
        <item x="2911"/>
        <item x="1644"/>
        <item x="2554"/>
        <item x="2825"/>
        <item x="1495"/>
        <item x="2411"/>
        <item x="2756"/>
        <item x="1549"/>
        <item x="603"/>
        <item x="3293"/>
        <item x="1863"/>
        <item x="3100"/>
        <item x="2207"/>
        <item x="2951"/>
        <item x="1393"/>
        <item x="863"/>
        <item x="2854"/>
        <item x="2421"/>
        <item x="1528"/>
        <item x="3435"/>
        <item x="573"/>
        <item x="756"/>
        <item x="105"/>
        <item x="824"/>
        <item x="420"/>
        <item x="341"/>
        <item x="435"/>
        <item x="2641"/>
        <item x="1184"/>
        <item x="153"/>
        <item x="3114"/>
        <item x="730"/>
        <item x="1809"/>
        <item x="2889"/>
        <item x="2533"/>
        <item x="1360"/>
        <item x="2052"/>
        <item x="1181"/>
        <item x="177"/>
        <item x="2115"/>
        <item x="891"/>
        <item x="3044"/>
        <item x="1742"/>
        <item x="2203"/>
        <item x="3025"/>
        <item x="939"/>
        <item x="1526"/>
        <item x="114"/>
        <item x="1607"/>
        <item x="2262"/>
        <item x="859"/>
        <item x="2614"/>
        <item x="1578"/>
        <item x="195"/>
        <item x="3229"/>
        <item x="3147"/>
        <item x="3429"/>
        <item x="713"/>
        <item x="2822"/>
        <item x="2516"/>
        <item x="2634"/>
        <item x="436"/>
        <item x="1857"/>
        <item x="320"/>
        <item x="1506"/>
        <item x="2123"/>
        <item x="2523"/>
        <item x="3029"/>
        <item x="1986"/>
        <item x="2169"/>
        <item x="2870"/>
        <item x="3261"/>
        <item x="152"/>
        <item x="2804"/>
        <item x="1446"/>
        <item x="1159"/>
        <item x="1095"/>
        <item x="774"/>
        <item x="674"/>
        <item x="222"/>
        <item x="3314"/>
        <item x="2138"/>
        <item x="1132"/>
        <item x="1894"/>
        <item x="261"/>
        <item x="2985"/>
        <item x="544"/>
        <item x="1728"/>
        <item x="230"/>
        <item x="2696"/>
        <item x="1580"/>
        <item x="2670"/>
        <item x="2355"/>
        <item x="2450"/>
        <item x="2812"/>
        <item x="2064"/>
        <item x="267"/>
        <item x="3401"/>
        <item x="1856"/>
        <item x="1751"/>
        <item x="1975"/>
        <item x="361"/>
        <item x="986"/>
        <item x="846"/>
        <item x="1960"/>
        <item x="2044"/>
        <item x="3302"/>
        <item x="2966"/>
        <item x="1702"/>
        <item x="971"/>
        <item x="2446"/>
        <item x="2502"/>
        <item x="102"/>
        <item x="87"/>
        <item x="2031"/>
        <item x="1323"/>
        <item x="471"/>
        <item x="2589"/>
        <item x="2114"/>
        <item x="186"/>
        <item x="1239"/>
        <item x="324"/>
        <item x="2608"/>
        <item x="2148"/>
        <item x="1680"/>
        <item x="588"/>
        <item x="1950"/>
        <item x="467"/>
        <item x="675"/>
        <item x="1431"/>
        <item x="630"/>
        <item x="23"/>
        <item x="2449"/>
        <item x="3358"/>
        <item x="998"/>
        <item x="3103"/>
        <item x="1902"/>
        <item x="2986"/>
        <item x="451"/>
        <item x="1344"/>
        <item x="517"/>
        <item x="2678"/>
        <item x="1502"/>
        <item x="1591"/>
        <item x="2233"/>
        <item x="3339"/>
        <item x="2011"/>
        <item x="2029"/>
        <item x="2667"/>
        <item x="2390"/>
        <item x="1669"/>
        <item x="139"/>
        <item x="366"/>
        <item x="807"/>
        <item x="1615"/>
        <item x="3161"/>
        <item x="2385"/>
        <item x="1939"/>
        <item x="346"/>
        <item x="2359"/>
        <item x="2038"/>
        <item x="1889"/>
        <item x="1297"/>
        <item x="761"/>
        <item x="1149"/>
        <item x="263"/>
        <item x="2939"/>
        <item x="3141"/>
        <item x="2495"/>
        <item x="875"/>
        <item x="3397"/>
        <item x="54"/>
        <item x="1410"/>
        <item x="861"/>
        <item x="3464"/>
        <item x="1554"/>
        <item x="401"/>
        <item x="1424"/>
        <item x="202"/>
        <item x="2925"/>
        <item x="1958"/>
        <item x="344"/>
        <item x="2976"/>
        <item x="1417"/>
        <item x="1049"/>
        <item x="2096"/>
        <item x="781"/>
        <item x="1619"/>
        <item x="955"/>
        <item x="3432"/>
        <item x="2814"/>
        <item x="500"/>
        <item x="25"/>
        <item x="2790"/>
        <item x="3279"/>
        <item x="855"/>
        <item x="20"/>
        <item x="1855"/>
        <item x="2378"/>
        <item x="1466"/>
        <item x="1933"/>
        <item x="933"/>
        <item x="190"/>
        <item x="1227"/>
        <item x="3136"/>
        <item x="3188"/>
        <item x="673"/>
        <item x="390"/>
        <item x="1621"/>
        <item x="1101"/>
        <item x="1106"/>
        <item x="1151"/>
        <item x="3465"/>
        <item x="2457"/>
        <item x="646"/>
        <item x="835"/>
        <item x="1499"/>
        <item x="1811"/>
        <item x="2674"/>
        <item x="1538"/>
        <item x="856"/>
        <item x="3308"/>
        <item x="1346"/>
        <item x="2302"/>
        <item x="1189"/>
        <item x="1839"/>
        <item x="2788"/>
        <item x="109"/>
        <item x="3237"/>
        <item x="1938"/>
        <item x="1888"/>
        <item x="683"/>
        <item x="1196"/>
        <item x="2168"/>
        <item x="1738"/>
        <item x="47"/>
        <item x="1165"/>
        <item x="158"/>
        <item x="2859"/>
        <item x="44"/>
        <item x="651"/>
        <item x="2754"/>
        <item x="411"/>
        <item x="1684"/>
        <item x="1637"/>
        <item x="2829"/>
        <item x="2312"/>
        <item x="1749"/>
        <item x="519"/>
        <item x="431"/>
        <item x="2474"/>
        <item x="3030"/>
        <item x="171"/>
        <item x="2181"/>
        <item x="2832"/>
        <item x="2130"/>
        <item x="1852"/>
        <item x="3189"/>
        <item x="3330"/>
        <item x="2258"/>
        <item x="2039"/>
        <item x="513"/>
        <item x="2165"/>
        <item x="1480"/>
        <item x="1563"/>
        <item x="1221"/>
        <item x="2364"/>
        <item x="2989"/>
        <item x="2242"/>
        <item x="768"/>
        <item x="561"/>
        <item x="2704"/>
        <item x="1794"/>
        <item x="691"/>
        <item x="664"/>
        <item x="1472"/>
        <item x="294"/>
        <item x="2963"/>
        <item x="1053"/>
        <item x="1971"/>
        <item x="2469"/>
        <item x="2543"/>
        <item x="3362"/>
        <item x="1236"/>
        <item x="64"/>
        <item x="2156"/>
        <item x="521"/>
        <item x="283"/>
        <item x="2652"/>
        <item x="3454"/>
        <item x="41"/>
        <item x="3434"/>
        <item x="1775"/>
        <item x="2808"/>
        <item x="1509"/>
        <item x="596"/>
        <item x="653"/>
        <item x="75"/>
        <item x="1532"/>
        <item x="2438"/>
        <item x="1157"/>
        <item x="2216"/>
        <item x="985"/>
        <item x="3182"/>
        <item x="680"/>
        <item x="1386"/>
        <item x="333"/>
        <item x="2267"/>
        <item x="1483"/>
        <item x="119"/>
        <item x="1368"/>
        <item x="1866"/>
        <item x="511"/>
        <item x="2999"/>
        <item x="3483"/>
        <item x="706"/>
        <item x="3333"/>
        <item x="842"/>
        <item x="1258"/>
        <item x="343"/>
        <item x="2042"/>
        <item x="1520"/>
        <item x="2078"/>
        <item x="726"/>
        <item x="2304"/>
        <item x="2887"/>
        <item x="1325"/>
        <item x="3009"/>
        <item x="1987"/>
        <item x="382"/>
        <item x="2918"/>
        <item x="1715"/>
        <item x="2848"/>
        <item x="1874"/>
        <item x="1485"/>
        <item x="1319"/>
        <item x="396"/>
        <item x="1309"/>
        <item x="2347"/>
        <item x="12"/>
        <item x="2209"/>
        <item x="3415"/>
        <item x="2772"/>
        <item x="458"/>
        <item x="1777"/>
        <item x="2714"/>
        <item x="2700"/>
        <item x="528"/>
        <item x="1019"/>
        <item x="3439"/>
        <item x="49"/>
        <item x="1302"/>
        <item x="2677"/>
        <item x="376"/>
        <item x="490"/>
        <item x="1897"/>
        <item x="307"/>
        <item x="2906"/>
        <item x="3447"/>
        <item x="229"/>
        <item x="827"/>
        <item x="60"/>
        <item x="132"/>
        <item x="3016"/>
        <item x="2945"/>
        <item x="867"/>
        <item x="1333"/>
        <item x="1352"/>
        <item x="1843"/>
        <item x="509"/>
        <item x="2219"/>
        <item x="2481"/>
        <item x="2760"/>
        <item x="743"/>
        <item x="2611"/>
        <item x="1037"/>
        <item x="2124"/>
        <item x="1598"/>
        <item x="508"/>
        <item x="764"/>
        <item x="1186"/>
        <item x="1044"/>
        <item x="497"/>
        <item x="1911"/>
        <item x="3504"/>
        <item x="1454"/>
        <item x="2002"/>
        <item x="3162"/>
        <item x="1980"/>
        <item x="2409"/>
        <item x="1492"/>
        <item x="1611"/>
        <item x="3021"/>
        <item x="1840"/>
        <item x="3019"/>
        <item x="1276"/>
        <item x="415"/>
        <item x="1426"/>
        <item x="3371"/>
        <item x="2452"/>
        <item x="3460"/>
        <item x="1300"/>
        <item x="2092"/>
        <item x="1966"/>
        <item x="2306"/>
        <item x="3323"/>
        <item x="2072"/>
        <item x="1755"/>
        <item x="3340"/>
        <item x="677"/>
        <item x="1109"/>
        <item x="771"/>
        <item x="1576"/>
        <item x="303"/>
        <item x="3055"/>
        <item x="491"/>
        <item x="3094"/>
        <item x="2996"/>
        <item x="1197"/>
        <item x="2440"/>
        <item x="860"/>
        <item x="3410"/>
        <item x="1267"/>
        <item x="1442"/>
        <item x="2343"/>
        <item x="2896"/>
        <item x="2518"/>
        <item x="1822"/>
        <item x="1085"/>
        <item x="2083"/>
        <item x="3015"/>
        <item x="137"/>
        <item x="1670"/>
        <item x="967"/>
        <item x="977"/>
        <item x="2354"/>
        <item x="1704"/>
        <item x="2480"/>
        <item x="1513"/>
        <item x="1117"/>
        <item x="326"/>
        <item x="1612"/>
        <item x="3056"/>
        <item x="460"/>
        <item x="3075"/>
        <item x="310"/>
        <item x="1400"/>
        <item x="3176"/>
        <item x="1747"/>
        <item x="2000"/>
        <item x="1653"/>
        <item x="1067"/>
        <item x="1719"/>
        <item x="2383"/>
        <item x="1301"/>
        <item x="1308"/>
        <item x="1695"/>
        <item x="3359"/>
        <item x="913"/>
        <item x="478"/>
        <item x="2731"/>
        <item x="453"/>
        <item x="685"/>
        <item x="782"/>
        <item x="2227"/>
        <item x="1397"/>
        <item x="2676"/>
        <item x="1020"/>
        <item x="1508"/>
        <item x="3310"/>
        <item x="3284"/>
        <item x="1967"/>
        <item x="2333"/>
        <item x="2257"/>
        <item x="1961"/>
        <item x="1104"/>
        <item x="1430"/>
        <item x="1943"/>
        <item x="1170"/>
        <item x="1211"/>
        <item x="626"/>
        <item x="1962"/>
        <item x="2875"/>
        <item x="93"/>
        <item x="1581"/>
        <item x="339"/>
        <item x="1567"/>
        <item x="299"/>
        <item x="1474"/>
        <item x="1746"/>
        <item x="1849"/>
        <item x="3198"/>
        <item x="2019"/>
        <item x="3327"/>
        <item x="1927"/>
        <item x="2606"/>
        <item x="642"/>
        <item x="3196"/>
        <item x="2237"/>
        <item x="2744"/>
        <item x="1942"/>
        <item x="1720"/>
        <item x="2680"/>
        <item x="1028"/>
        <item x="994"/>
        <item x="1118"/>
        <item x="3013"/>
        <item x="16"/>
        <item x="2860"/>
        <item x="3345"/>
        <item x="1827"/>
        <item x="984"/>
        <item x="2090"/>
        <item x="2761"/>
        <item x="336"/>
        <item x="1660"/>
        <item x="2995"/>
        <item x="2863"/>
        <item x="8"/>
        <item x="3351"/>
        <item x="3325"/>
        <item x="2051"/>
        <item x="2573"/>
        <item x="602"/>
        <item x="1134"/>
        <item x="221"/>
        <item x="36"/>
        <item x="1436"/>
        <item x="2893"/>
        <item x="534"/>
        <item x="3059"/>
        <item x="3331"/>
        <item x="3389"/>
        <item x="2491"/>
        <item x="1947"/>
        <item x="2642"/>
        <item x="526"/>
        <item x="914"/>
        <item x="2085"/>
        <item x="2471"/>
        <item x="2598"/>
        <item x="620"/>
        <item x="2189"/>
        <item x="2293"/>
        <item x="465"/>
        <item x="14"/>
        <item x="2904"/>
        <item x="1235"/>
        <item x="423"/>
        <item x="2026"/>
        <item x="2816"/>
        <item x="2565"/>
        <item x="3258"/>
        <item x="17"/>
        <item x="3370"/>
        <item x="729"/>
        <item x="3149"/>
        <item x="2334"/>
        <item x="3366"/>
        <item x="1560"/>
        <item x="1804"/>
        <item x="982"/>
        <item x="3341"/>
        <item x="143"/>
        <item x="3294"/>
        <item x="3131"/>
        <item x="3417"/>
        <item x="3251"/>
        <item x="2917"/>
        <item x="3497"/>
        <item x="372"/>
        <item x="3472"/>
        <item x="3118"/>
        <item x="2376"/>
        <item x="2977"/>
        <item x="1639"/>
        <item x="3028"/>
        <item x="2830"/>
        <item x="1823"/>
        <item x="1727"/>
        <item x="5"/>
        <item x="3005"/>
        <item x="2160"/>
        <item x="1245"/>
        <item x="2561"/>
        <item x="3490"/>
        <item x="2717"/>
        <item x="2785"/>
        <item x="146"/>
        <item x="308"/>
        <item x="2294"/>
        <item x="633"/>
        <item x="1877"/>
        <item x="231"/>
        <item x="1682"/>
        <item x="3343"/>
        <item x="1535"/>
        <item x="1043"/>
        <item x="3134"/>
        <item x="845"/>
        <item x="328"/>
        <item x="3235"/>
        <item x="609"/>
        <item x="1463"/>
        <item x="1182"/>
        <item x="3384"/>
        <item x="1815"/>
        <item x="841"/>
        <item x="1123"/>
        <item x="449"/>
        <item x="3304"/>
        <item x="1077"/>
        <item x="848"/>
        <item x="2036"/>
        <item x="3092"/>
        <item x="3458"/>
        <item x="325"/>
        <item x="2360"/>
        <item x="2725"/>
        <item x="1837"/>
        <item x="2150"/>
        <item x="240"/>
        <item x="2331"/>
        <item x="1657"/>
        <item x="1831"/>
        <item x="2687"/>
        <item x="1913"/>
        <item x="958"/>
        <item x="3484"/>
        <item x="2463"/>
        <item x="1993"/>
        <item x="2395"/>
        <item x="1726"/>
        <item x="1011"/>
        <item x="3098"/>
        <item x="1290"/>
        <item x="196"/>
        <item x="31"/>
        <item x="3252"/>
        <item x="2434"/>
        <item x="330"/>
        <item x="1995"/>
        <item x="1781"/>
        <item x="3266"/>
        <item x="3449"/>
        <item x="3445"/>
        <item x="3399"/>
        <item x="1536"/>
        <item x="1224"/>
        <item x="3470"/>
        <item x="2129"/>
        <item x="2357"/>
        <item x="766"/>
        <item x="1313"/>
        <item x="2098"/>
        <item x="1627"/>
        <item x="2059"/>
        <item x="1948"/>
        <item x="1770"/>
        <item x="357"/>
        <item x="2662"/>
        <item x="381"/>
        <item x="3448"/>
        <item x="3008"/>
        <item x="3042"/>
        <item x="1457"/>
        <item x="2648"/>
        <item x="2842"/>
        <item x="1698"/>
        <item x="869"/>
        <item x="2490"/>
        <item x="575"/>
        <item x="311"/>
        <item x="732"/>
        <item x="213"/>
        <item x="3392"/>
        <item x="1448"/>
        <item x="708"/>
        <item x="2807"/>
        <item x="3024"/>
        <item x="892"/>
        <item x="2277"/>
        <item x="2770"/>
        <item x="1330"/>
        <item x="1693"/>
        <item x="2898"/>
        <item x="2886"/>
        <item x="3083"/>
        <item x="3193"/>
        <item x="754"/>
        <item x="3210"/>
        <item x="2265"/>
        <item x="2340"/>
        <item x="2937"/>
        <item x="1676"/>
        <item x="456"/>
        <item x="2907"/>
        <item x="2185"/>
        <item x="2145"/>
        <item x="255"/>
        <item x="3174"/>
        <item x="2828"/>
        <item x="1503"/>
        <item x="3424"/>
        <item x="853"/>
        <item x="1168"/>
        <item x="1990"/>
        <item x="2597"/>
        <item x="3116"/>
        <item x="2315"/>
        <item x="2041"/>
        <item x="1498"/>
        <item x="1662"/>
        <item x="2781"/>
        <item x="2095"/>
        <item x="1989"/>
        <item x="2953"/>
        <item x="2175"/>
        <item x="2742"/>
        <item x="930"/>
        <item t="default"/>
      </items>
    </pivotField>
    <pivotField showAll="0"/>
  </pivotFields>
  <rowFields count="1">
    <field x="0"/>
  </rowFields>
  <rowItems count="11">
    <i>
      <x v="270"/>
    </i>
    <i>
      <x v="1018"/>
    </i>
    <i>
      <x v="1050"/>
    </i>
    <i>
      <x v="1237"/>
    </i>
    <i>
      <x v="1322"/>
    </i>
    <i>
      <x v="1358"/>
    </i>
    <i>
      <x v="1512"/>
    </i>
    <i>
      <x v="1513"/>
    </i>
    <i>
      <x v="1558"/>
    </i>
    <i>
      <x v="1669"/>
    </i>
    <i t="grand">
      <x/>
    </i>
  </rowItems>
  <colItems count="1">
    <i/>
  </colItems>
  <dataFields count="1">
    <dataField name="Sum of imdb_score" fld="1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3">
    <filter fld="0" type="count" evalOrder="-1" id="14" iMeasureFld="0">
      <autoFilter ref="A1">
        <filterColumn colId="0">
          <top10 val="10" filterVal="10"/>
        </filterColumn>
      </autoFilter>
    </filter>
    <filter fld="5" type="count" evalOrder="-1" id="10" iMeasureFld="0">
      <autoFilter ref="A1">
        <filterColumn colId="0">
          <top10 val="10" filterVal="10"/>
        </filterColumn>
      </autoFilter>
    </filter>
    <filter fld="17" type="count" evalOrder="-1" id="1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DB1427-1E8E-451F-9431-BE4DAFC26D01}" name="PivotTable7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R1:S38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8">
        <item x="12"/>
        <item x="6"/>
        <item x="25"/>
        <item x="27"/>
        <item x="2"/>
        <item x="34"/>
        <item x="19"/>
        <item x="28"/>
        <item x="24"/>
        <item x="26"/>
        <item x="0"/>
        <item x="3"/>
        <item x="4"/>
        <item x="7"/>
        <item x="36"/>
        <item x="5"/>
        <item x="16"/>
        <item x="17"/>
        <item x="23"/>
        <item x="1"/>
        <item x="8"/>
        <item x="18"/>
        <item x="10"/>
        <item x="15"/>
        <item x="33"/>
        <item x="31"/>
        <item x="11"/>
        <item x="20"/>
        <item x="13"/>
        <item x="14"/>
        <item x="29"/>
        <item x="9"/>
        <item x="30"/>
        <item x="22"/>
        <item x="21"/>
        <item x="35"/>
        <item x="32"/>
        <item t="default"/>
      </items>
    </pivotField>
    <pivotField showAll="0"/>
    <pivotField showAll="0"/>
    <pivotField showAll="0"/>
    <pivotField dataField="1" showAll="0">
      <items count="75">
        <item x="41"/>
        <item x="66"/>
        <item x="73"/>
        <item x="63"/>
        <item x="42"/>
        <item x="49"/>
        <item x="64"/>
        <item x="71"/>
        <item x="29"/>
        <item x="58"/>
        <item x="70"/>
        <item x="62"/>
        <item x="61"/>
        <item x="72"/>
        <item x="57"/>
        <item x="65"/>
        <item x="51"/>
        <item x="12"/>
        <item x="50"/>
        <item x="54"/>
        <item x="52"/>
        <item x="56"/>
        <item x="13"/>
        <item x="32"/>
        <item x="46"/>
        <item x="8"/>
        <item x="47"/>
        <item x="34"/>
        <item x="27"/>
        <item x="45"/>
        <item x="18"/>
        <item x="53"/>
        <item x="37"/>
        <item x="44"/>
        <item x="1"/>
        <item x="26"/>
        <item x="28"/>
        <item x="15"/>
        <item x="35"/>
        <item x="30"/>
        <item x="0"/>
        <item x="11"/>
        <item x="7"/>
        <item x="5"/>
        <item x="23"/>
        <item x="24"/>
        <item x="20"/>
        <item x="14"/>
        <item x="21"/>
        <item x="22"/>
        <item x="31"/>
        <item x="16"/>
        <item x="17"/>
        <item x="33"/>
        <item x="4"/>
        <item x="39"/>
        <item x="2"/>
        <item x="10"/>
        <item x="9"/>
        <item x="38"/>
        <item x="19"/>
        <item x="3"/>
        <item x="40"/>
        <item x="60"/>
        <item x="36"/>
        <item x="25"/>
        <item x="59"/>
        <item x="43"/>
        <item x="48"/>
        <item x="55"/>
        <item x="6"/>
        <item x="68"/>
        <item x="67"/>
        <item x="69"/>
        <item t="default"/>
      </items>
    </pivotField>
    <pivotField showAll="0"/>
    <pivotField showAll="0"/>
    <pivotField showAll="0"/>
    <pivotField axis="axisRow" showAll="0" measureFilter="1">
      <items count="3523">
        <item x="583"/>
        <item x="1429"/>
        <item x="2476"/>
        <item x="2398"/>
        <item x="1366"/>
        <item x="3040"/>
        <item x="757"/>
        <item x="919"/>
        <item x="81"/>
        <item x="2719"/>
        <item x="3386"/>
        <item x="1979"/>
        <item x="1259"/>
        <item x="1910"/>
        <item x="2057"/>
        <item x="929"/>
        <item x="2877"/>
        <item x="2778"/>
        <item x="3097"/>
        <item x="1312"/>
        <item x="2141"/>
        <item x="2750"/>
        <item x="1964"/>
        <item x="611"/>
        <item x="527"/>
        <item x="2757"/>
        <item x="1093"/>
        <item x="701"/>
        <item x="3512"/>
        <item x="1073"/>
        <item x="1379"/>
        <item x="126"/>
        <item x="1273"/>
        <item x="831"/>
        <item x="3158"/>
        <item x="1042"/>
        <item x="3194"/>
        <item x="1689"/>
        <item x="2793"/>
        <item x="3062"/>
        <item x="1054"/>
        <item x="932"/>
        <item x="3393"/>
        <item x="2552"/>
        <item x="1935"/>
        <item x="1081"/>
        <item x="3316"/>
        <item x="1274"/>
        <item x="2692"/>
        <item x="2468"/>
        <item x="441"/>
        <item x="494"/>
        <item x="1773"/>
        <item x="1798"/>
        <item x="850"/>
        <item x="948"/>
        <item x="2553"/>
        <item x="944"/>
        <item x="1869"/>
        <item x="1599"/>
        <item x="1139"/>
        <item x="2330"/>
        <item x="2324"/>
        <item x="3051"/>
        <item x="577"/>
        <item x="2555"/>
        <item x="1191"/>
        <item x="2131"/>
        <item x="88"/>
        <item x="2800"/>
        <item x="3349"/>
        <item x="3"/>
        <item x="3275"/>
        <item x="385"/>
        <item x="592"/>
        <item x="631"/>
        <item x="1003"/>
        <item x="2705"/>
        <item x="1663"/>
        <item x="2735"/>
        <item x="2003"/>
        <item x="3350"/>
        <item x="50"/>
        <item x="752"/>
        <item x="370"/>
        <item x="2176"/>
        <item x="2519"/>
        <item x="3078"/>
        <item x="731"/>
        <item x="510"/>
        <item x="26"/>
        <item x="1546"/>
        <item x="962"/>
        <item x="2703"/>
        <item x="2528"/>
        <item x="1725"/>
        <item x="966"/>
        <item x="2621"/>
        <item x="2910"/>
        <item x="3148"/>
        <item x="3215"/>
        <item x="2178"/>
        <item x="740"/>
        <item x="953"/>
        <item x="1201"/>
        <item x="1896"/>
        <item x="2610"/>
        <item x="3238"/>
        <item x="233"/>
        <item x="741"/>
        <item x="2349"/>
        <item x="721"/>
        <item x="164"/>
        <item x="2297"/>
        <item x="2962"/>
        <item x="2513"/>
        <item x="587"/>
        <item x="3032"/>
        <item x="2730"/>
        <item x="712"/>
        <item x="1697"/>
        <item x="2984"/>
        <item x="302"/>
        <item x="1120"/>
        <item x="564"/>
        <item x="437"/>
        <item x="292"/>
        <item x="2269"/>
        <item x="2361"/>
        <item x="1487"/>
        <item x="43"/>
        <item x="3211"/>
        <item x="1779"/>
        <item x="2780"/>
        <item x="1907"/>
        <item x="1610"/>
        <item x="2709"/>
        <item x="1544"/>
        <item x="2020"/>
        <item x="3328"/>
        <item x="576"/>
        <item x="2964"/>
        <item x="3344"/>
        <item x="368"/>
        <item x="3132"/>
        <item x="3481"/>
        <item x="100"/>
        <item x="2120"/>
        <item x="1723"/>
        <item x="1212"/>
        <item x="790"/>
        <item x="1015"/>
        <item x="1778"/>
        <item x="2797"/>
        <item x="1094"/>
        <item x="767"/>
        <item x="735"/>
        <item x="2588"/>
        <item x="2839"/>
        <item x="616"/>
        <item x="33"/>
        <item x="3422"/>
        <item x="78"/>
        <item x="2470"/>
        <item x="2173"/>
        <item x="1287"/>
        <item x="1338"/>
        <item x="1223"/>
        <item x="3487"/>
        <item x="803"/>
        <item x="3278"/>
        <item x="2544"/>
        <item x="2949"/>
        <item x="425"/>
        <item x="2530"/>
        <item x="2881"/>
        <item x="1908"/>
        <item x="51"/>
        <item x="408"/>
        <item x="3222"/>
        <item x="3336"/>
        <item x="2299"/>
        <item x="3046"/>
        <item x="687"/>
        <item x="140"/>
        <item x="1269"/>
        <item x="160"/>
        <item x="1460"/>
        <item x="340"/>
        <item x="990"/>
        <item x="3241"/>
        <item x="1370"/>
        <item x="2368"/>
        <item x="38"/>
        <item x="1062"/>
        <item x="2755"/>
        <item x="1543"/>
        <item x="2308"/>
        <item x="2133"/>
        <item x="927"/>
        <item x="3233"/>
        <item x="2895"/>
        <item x="2520"/>
        <item x="541"/>
        <item x="800"/>
        <item x="2404"/>
        <item x="1545"/>
        <item x="2791"/>
        <item x="3110"/>
        <item x="802"/>
        <item x="2779"/>
        <item x="1174"/>
        <item x="3068"/>
        <item x="3175"/>
        <item x="3468"/>
        <item x="2752"/>
        <item x="211"/>
        <item x="348"/>
        <item x="2798"/>
        <item x="3220"/>
        <item x="2843"/>
        <item x="2429"/>
        <item x="1873"/>
        <item x="2616"/>
        <item x="2458"/>
        <item x="3218"/>
        <item x="762"/>
        <item x="2061"/>
        <item x="3033"/>
        <item x="1373"/>
        <item x="2321"/>
        <item x="3431"/>
        <item x="2113"/>
        <item x="2799"/>
        <item x="2618"/>
        <item x="1190"/>
        <item x="3420"/>
        <item x="3256"/>
        <item x="2393"/>
        <item x="1383"/>
        <item x="557"/>
        <item x="3095"/>
        <item x="3348"/>
        <item x="470"/>
        <item x="2576"/>
        <item x="3150"/>
        <item x="2372"/>
        <item x="591"/>
        <item x="1845"/>
        <item x="1743"/>
        <item x="1555"/>
        <item x="1754"/>
        <item x="2300"/>
        <item x="3133"/>
        <item x="1656"/>
        <item x="3060"/>
        <item x="2721"/>
        <item x="2424"/>
        <item x="1066"/>
        <item x="836"/>
        <item x="2442"/>
        <item x="1278"/>
        <item x="595"/>
        <item x="543"/>
        <item x="241"/>
        <item x="1916"/>
        <item x="2922"/>
        <item x="2154"/>
        <item x="1628"/>
        <item x="1219"/>
        <item x="1745"/>
        <item x="1205"/>
        <item x="90"/>
        <item x="1215"/>
        <item x="2894"/>
        <item x="2351"/>
        <item x="394"/>
        <item x="3156"/>
        <item x="2464"/>
        <item x="1481"/>
        <item x="1646"/>
        <item x="973"/>
        <item x="2539"/>
        <item x="2566"/>
        <item x="655"/>
        <item x="2969"/>
        <item x="905"/>
        <item x="531"/>
        <item x="1443"/>
        <item x="1496"/>
        <item x="3180"/>
        <item x="2993"/>
        <item x="969"/>
        <item x="2640"/>
        <item x="3247"/>
        <item x="496"/>
        <item x="238"/>
        <item x="94"/>
        <item x="1819"/>
        <item x="35"/>
        <item x="1516"/>
        <item x="128"/>
        <item x="1385"/>
        <item x="3414"/>
        <item x="3462"/>
        <item x="1898"/>
        <item x="1928"/>
        <item x="1541"/>
        <item x="2766"/>
        <item x="1826"/>
        <item x="3089"/>
        <item x="3002"/>
        <item x="2600"/>
        <item x="2625"/>
        <item x="2292"/>
        <item x="288"/>
        <item x="3381"/>
        <item x="111"/>
        <item x="32"/>
        <item x="1732"/>
        <item x="2323"/>
        <item x="332"/>
        <item x="785"/>
        <item x="2885"/>
        <item x="2278"/>
        <item x="1944"/>
        <item x="570"/>
        <item x="1114"/>
        <item x="2879"/>
        <item x="1940"/>
        <item x="2462"/>
        <item x="1758"/>
        <item x="700"/>
        <item x="2408"/>
        <item x="2932"/>
        <item x="1762"/>
        <item x="2313"/>
        <item x="1992"/>
        <item x="3104"/>
        <item x="2183"/>
        <item x="2291"/>
        <item x="3169"/>
        <item x="812"/>
        <item x="604"/>
        <item x="2461"/>
        <item x="148"/>
        <item x="1547"/>
        <item x="2899"/>
        <item x="2527"/>
        <item x="3072"/>
        <item x="2581"/>
        <item x="612"/>
        <item x="113"/>
        <item x="2500"/>
        <item x="1486"/>
        <item x="1521"/>
        <item x="2283"/>
        <item x="2180"/>
        <item x="1731"/>
        <item x="1714"/>
        <item x="1681"/>
        <item x="1864"/>
        <item x="2542"/>
        <item x="1395"/>
        <item x="1706"/>
        <item x="1193"/>
        <item x="3433"/>
        <item x="1041"/>
        <item x="705"/>
        <item x="3287"/>
        <item x="2942"/>
        <item x="890"/>
        <item x="551"/>
        <item x="3260"/>
        <item x="301"/>
        <item x="804"/>
        <item x="1354"/>
        <item x="266"/>
        <item x="1735"/>
        <item x="2230"/>
        <item x="2702"/>
        <item x="1462"/>
        <item x="236"/>
        <item x="2915"/>
        <item x="2783"/>
        <item x="10"/>
        <item x="1854"/>
        <item x="1529"/>
        <item x="1375"/>
        <item x="1199"/>
        <item x="2592"/>
        <item x="1925"/>
        <item x="3292"/>
        <item x="2672"/>
        <item x="3164"/>
        <item x="1884"/>
        <item x="1441"/>
        <item x="1078"/>
        <item x="1421"/>
        <item x="3200"/>
        <item x="2560"/>
        <item x="3510"/>
        <item x="1001"/>
        <item x="3405"/>
        <item x="2140"/>
        <item x="820"/>
        <item x="1590"/>
        <item x="1478"/>
        <item x="2027"/>
        <item x="3313"/>
        <item x="2884"/>
        <item x="1218"/>
        <item x="1160"/>
        <item x="3518"/>
        <item x="2499"/>
        <item x="1825"/>
        <item x="1311"/>
        <item x="1102"/>
        <item x="686"/>
        <item x="3124"/>
        <item x="690"/>
        <item x="2568"/>
        <item x="3491"/>
        <item x="282"/>
        <item x="2420"/>
        <item x="808"/>
        <item x="1369"/>
        <item x="2585"/>
        <item x="2653"/>
        <item x="628"/>
        <item x="1737"/>
        <item x="2720"/>
        <item x="2402"/>
        <item x="806"/>
        <item x="809"/>
        <item x="2369"/>
        <item x="2759"/>
        <item x="2574"/>
        <item x="1596"/>
        <item x="3190"/>
        <item x="1634"/>
        <item x="2004"/>
        <item x="3047"/>
        <item x="1225"/>
        <item x="2392"/>
        <item x="2926"/>
        <item x="1126"/>
        <item x="194"/>
        <item x="130"/>
        <item x="978"/>
        <item x="1865"/>
        <item x="3007"/>
        <item x="1176"/>
        <item x="1489"/>
        <item x="2009"/>
        <item x="2202"/>
        <item x="2900"/>
        <item x="615"/>
        <item x="3179"/>
        <item x="1556"/>
        <item x="1293"/>
        <item x="3157"/>
        <item x="1946"/>
        <item x="1471"/>
        <item x="165"/>
        <item x="538"/>
        <item x="191"/>
        <item x="2021"/>
        <item x="2736"/>
        <item x="3012"/>
        <item x="1244"/>
        <item x="737"/>
        <item x="945"/>
        <item x="2190"/>
        <item x="244"/>
        <item x="3513"/>
        <item x="3048"/>
        <item x="3137"/>
        <item x="600"/>
        <item x="2596"/>
        <item x="386"/>
        <item x="1890"/>
        <item x="2647"/>
        <item x="3052"/>
        <item x="3243"/>
        <item x="1703"/>
        <item x="755"/>
        <item x="65"/>
        <item x="1929"/>
        <item x="2990"/>
        <item x="2833"/>
        <item x="1988"/>
        <item x="2311"/>
        <item x="2796"/>
        <item x="3006"/>
        <item x="2008"/>
        <item x="838"/>
        <item x="2728"/>
        <item x="2699"/>
        <item x="2448"/>
        <item x="3442"/>
        <item x="621"/>
        <item x="1228"/>
        <item x="183"/>
        <item x="3123"/>
        <item x="2316"/>
        <item x="3163"/>
        <item x="610"/>
        <item x="3171"/>
        <item x="3421"/>
        <item x="2425"/>
        <item x="1895"/>
        <item x="371"/>
        <item x="566"/>
        <item x="981"/>
        <item x="2987"/>
        <item x="433"/>
        <item x="780"/>
        <item x="448"/>
        <item x="2711"/>
        <item x="2892"/>
        <item x="2065"/>
        <item x="1867"/>
        <item x="503"/>
        <item x="2186"/>
        <item x="1371"/>
        <item x="3509"/>
        <item x="159"/>
        <item x="3511"/>
        <item x="2868"/>
        <item x="1057"/>
        <item x="2485"/>
        <item x="1604"/>
        <item x="3065"/>
        <item x="237"/>
        <item x="3356"/>
        <item x="3221"/>
        <item x="1512"/>
        <item x="2948"/>
        <item x="1071"/>
        <item x="1294"/>
        <item x="2869"/>
        <item x="2803"/>
        <item x="834"/>
        <item x="2582"/>
        <item x="375"/>
        <item x="2454"/>
        <item x="15"/>
        <item x="1185"/>
        <item x="763"/>
        <item x="2831"/>
        <item x="1978"/>
        <item x="1289"/>
        <item x="2071"/>
        <item x="881"/>
        <item x="2477"/>
        <item x="1121"/>
        <item x="285"/>
        <item x="3187"/>
        <item x="1173"/>
        <item x="447"/>
        <item x="1033"/>
        <item x="1858"/>
        <item x="1108"/>
        <item x="2620"/>
        <item x="550"/>
        <item x="2920"/>
        <item x="2171"/>
        <item x="254"/>
        <item x="2231"/>
        <item x="3373"/>
        <item x="1413"/>
        <item x="110"/>
        <item x="872"/>
        <item x="2136"/>
        <item x="3281"/>
        <item x="3500"/>
        <item x="3387"/>
        <item x="750"/>
        <item x="662"/>
        <item x="1435"/>
        <item x="2307"/>
        <item x="1744"/>
        <item x="3011"/>
        <item x="893"/>
        <item x="1153"/>
        <item x="2488"/>
        <item x="594"/>
        <item x="377"/>
        <item x="2864"/>
        <item x="2252"/>
        <item x="2815"/>
        <item x="296"/>
        <item x="1334"/>
        <item x="2147"/>
        <item x="3014"/>
        <item x="1609"/>
        <item x="1100"/>
        <item x="1447"/>
        <item x="3485"/>
        <item x="1625"/>
        <item x="2132"/>
        <item x="2737"/>
        <item x="2025"/>
        <item x="1763"/>
        <item x="278"/>
        <item x="1593"/>
        <item x="477"/>
        <item x="826"/>
        <item x="2650"/>
        <item x="786"/>
        <item x="1148"/>
        <item x="281"/>
        <item x="3076"/>
        <item x="3152"/>
        <item x="1515"/>
        <item x="3479"/>
        <item x="1851"/>
        <item x="724"/>
        <item x="3411"/>
        <item x="1974"/>
        <item x="3197"/>
        <item x="1710"/>
        <item x="2244"/>
        <item x="562"/>
        <item x="1835"/>
        <item x="2050"/>
        <item x="3035"/>
        <item x="2353"/>
        <item x="2607"/>
        <item x="533"/>
        <item x="1976"/>
        <item x="2037"/>
        <item x="374"/>
        <item x="108"/>
        <item x="1387"/>
        <item x="480"/>
        <item x="993"/>
        <item x="1202"/>
        <item x="1649"/>
        <item x="214"/>
        <item x="1029"/>
        <item x="3453"/>
        <item x="3452"/>
        <item x="2067"/>
        <item x="1573"/>
        <item x="956"/>
        <item x="3377"/>
        <item x="2743"/>
        <item x="2492"/>
        <item x="210"/>
        <item x="904"/>
        <item x="1467"/>
        <item x="2998"/>
        <item x="873"/>
        <item x="2339"/>
        <item x="2521"/>
        <item x="3471"/>
        <item x="2817"/>
        <item x="558"/>
        <item x="3353"/>
        <item x="2287"/>
        <item x="3067"/>
        <item x="1195"/>
        <item x="1730"/>
        <item x="2669"/>
        <item x="1799"/>
        <item x="188"/>
        <item x="798"/>
        <item x="2688"/>
        <item x="1143"/>
        <item x="512"/>
        <item x="1362"/>
        <item x="2164"/>
        <item x="1364"/>
        <item x="2146"/>
        <item x="3466"/>
        <item x="1140"/>
        <item x="3493"/>
        <item x="42"/>
        <item x="3153"/>
        <item x="2222"/>
        <item x="3050"/>
        <item x="1353"/>
        <item x="1796"/>
        <item x="485"/>
        <item x="2456"/>
        <item x="3139"/>
        <item x="649"/>
        <item x="1561"/>
        <item x="670"/>
        <item x="2767"/>
        <item x="1064"/>
        <item x="3001"/>
        <item x="144"/>
        <item x="1909"/>
        <item x="1249"/>
        <item x="936"/>
        <item x="2706"/>
        <item x="2108"/>
        <item x="280"/>
        <item x="657"/>
        <item x="2137"/>
        <item x="862"/>
        <item x="2855"/>
        <item x="2805"/>
        <item x="2916"/>
        <item x="3369"/>
        <item x="3034"/>
        <item x="2968"/>
        <item x="716"/>
        <item x="1666"/>
        <item x="264"/>
        <item x="622"/>
        <item x="3186"/>
        <item x="725"/>
        <item x="1915"/>
        <item x="2309"/>
        <item x="3274"/>
        <item x="73"/>
        <item x="392"/>
        <item x="2617"/>
        <item x="926"/>
        <item x="1810"/>
        <item x="404"/>
        <item x="1399"/>
        <item x="393"/>
        <item x="297"/>
        <item x="2774"/>
        <item x="571"/>
        <item x="2570"/>
        <item x="2532"/>
        <item x="3298"/>
        <item x="3071"/>
        <item x="1694"/>
        <item x="965"/>
        <item x="2727"/>
        <item x="3276"/>
        <item x="1603"/>
        <item x="246"/>
        <item x="2105"/>
        <item x="2356"/>
        <item x="1861"/>
        <item x="430"/>
        <item x="1306"/>
        <item x="1434"/>
        <item x="3267"/>
        <item x="484"/>
        <item x="1586"/>
        <item x="3461"/>
        <item x="2377"/>
        <item x="61"/>
        <item x="2557"/>
        <item x="169"/>
        <item x="3214"/>
        <item x="1030"/>
        <item x="3105"/>
        <item x="3326"/>
        <item x="450"/>
        <item x="207"/>
        <item x="3248"/>
        <item x="2399"/>
        <item x="828"/>
        <item x="2540"/>
        <item x="1243"/>
        <item x="1801"/>
        <item x="563"/>
        <item x="2388"/>
        <item x="1806"/>
        <item x="819"/>
        <item x="1298"/>
        <item x="2325"/>
        <item x="567"/>
        <item x="1275"/>
        <item x="536"/>
        <item x="719"/>
        <item x="2301"/>
        <item x="173"/>
        <item x="1419"/>
        <item x="946"/>
        <item x="2913"/>
        <item x="455"/>
        <item x="1534"/>
        <item x="2407"/>
        <item x="2659"/>
        <item x="2991"/>
        <item x="1636"/>
        <item x="714"/>
        <item x="1141"/>
        <item x="2504"/>
        <item x="2326"/>
        <item x="2994"/>
        <item x="1234"/>
        <item x="2773"/>
        <item x="92"/>
        <item x="1034"/>
        <item x="53"/>
        <item x="1600"/>
        <item x="1444"/>
        <item x="520"/>
        <item x="744"/>
        <item x="52"/>
        <item x="1945"/>
        <item x="58"/>
        <item x="749"/>
        <item x="2517"/>
        <item x="2861"/>
        <item x="3129"/>
        <item x="805"/>
        <item x="2646"/>
        <item x="634"/>
        <item x="3425"/>
        <item x="198"/>
        <item x="2248"/>
        <item x="2282"/>
        <item x="2346"/>
        <item x="3178"/>
        <item x="1175"/>
        <item x="1017"/>
        <item x="275"/>
        <item x="1956"/>
        <item x="1699"/>
        <item x="67"/>
        <item x="717"/>
        <item x="2551"/>
        <item x="1372"/>
        <item x="1035"/>
        <item x="1708"/>
        <item x="1233"/>
        <item x="580"/>
        <item x="406"/>
        <item x="2212"/>
        <item x="3263"/>
        <item x="473"/>
        <item x="1953"/>
        <item x="2844"/>
        <item x="2950"/>
        <item x="2959"/>
        <item x="3408"/>
        <item x="2032"/>
        <item x="3135"/>
        <item x="407"/>
        <item x="457"/>
        <item x="466"/>
        <item x="1594"/>
        <item x="3402"/>
        <item x="359"/>
        <item x="2583"/>
        <item x="1833"/>
        <item x="679"/>
        <item x="979"/>
        <item x="117"/>
        <item x="1342"/>
        <item x="2310"/>
        <item x="2417"/>
        <item x="3077"/>
        <item x="1465"/>
        <item x="1335"/>
        <item x="1595"/>
        <item x="1307"/>
        <item x="987"/>
        <item x="1216"/>
        <item x="1440"/>
        <item x="2707"/>
        <item x="181"/>
        <item x="947"/>
        <item x="1213"/>
        <item x="1210"/>
        <item x="1808"/>
        <item x="2567"/>
        <item x="2637"/>
        <item x="463"/>
        <item x="1766"/>
        <item x="3165"/>
        <item x="3231"/>
        <item x="400"/>
        <item x="0"/>
        <item x="2739"/>
        <item x="178"/>
        <item x="1286"/>
        <item x="2897"/>
        <item x="486"/>
        <item x="954"/>
        <item x="2007"/>
        <item x="2127"/>
        <item x="312"/>
        <item x="2508"/>
        <item x="293"/>
        <item x="3489"/>
        <item x="2595"/>
        <item x="797"/>
        <item x="2801"/>
        <item x="3514"/>
        <item x="2786"/>
        <item x="3378"/>
        <item x="27"/>
        <item x="2109"/>
        <item x="548"/>
        <item x="1061"/>
        <item x="2263"/>
        <item x="3172"/>
        <item x="3112"/>
        <item x="1968"/>
        <item x="2366"/>
        <item x="618"/>
        <item x="2658"/>
        <item x="556"/>
        <item x="1115"/>
        <item x="3374"/>
        <item x="70"/>
        <item x="2751"/>
        <item x="469"/>
        <item x="1051"/>
        <item x="1635"/>
        <item x="1640"/>
        <item x="1261"/>
        <item x="3107"/>
        <item x="1179"/>
        <item x="2992"/>
        <item x="369"/>
        <item x="257"/>
        <item x="258"/>
        <item x="1437"/>
        <item x="1422"/>
        <item x="584"/>
        <item x="2046"/>
        <item x="3023"/>
        <item x="980"/>
        <item x="1490"/>
        <item x="1905"/>
        <item x="2100"/>
        <item x="3079"/>
        <item x="1326"/>
        <item x="438"/>
        <item x="2014"/>
        <item x="338"/>
        <item x="101"/>
        <item x="1292"/>
        <item x="1772"/>
        <item x="3239"/>
        <item x="3346"/>
        <item x="1527"/>
        <item x="748"/>
        <item x="2149"/>
        <item x="286"/>
        <item x="2615"/>
        <item x="363"/>
        <item x="2035"/>
        <item x="334"/>
        <item x="3332"/>
        <item x="1449"/>
        <item x="96"/>
        <item x="2483"/>
        <item x="884"/>
        <item x="176"/>
        <item x="3245"/>
        <item x="72"/>
        <item x="3000"/>
        <item x="2777"/>
        <item x="2350"/>
        <item x="909"/>
        <item x="1497"/>
        <item x="1570"/>
        <item x="952"/>
        <item x="821"/>
        <item x="2853"/>
        <item x="1659"/>
        <item x="2776"/>
        <item x="2254"/>
        <item x="1601"/>
        <item x="2413"/>
        <item x="3342"/>
        <item x="568"/>
        <item x="565"/>
        <item x="2919"/>
        <item x="1906"/>
        <item x="1351"/>
        <item x="3459"/>
        <item x="1691"/>
        <item x="2192"/>
        <item x="2746"/>
        <item x="2118"/>
        <item x="1070"/>
        <item x="2198"/>
        <item x="1378"/>
        <item x="442"/>
        <item x="2505"/>
        <item x="1750"/>
        <item x="1222"/>
        <item x="1488"/>
        <item x="2341"/>
        <item x="1965"/>
        <item x="1052"/>
        <item x="888"/>
        <item x="2396"/>
        <item x="1076"/>
        <item x="242"/>
        <item x="4"/>
        <item x="3480"/>
        <item x="1439"/>
        <item x="1688"/>
        <item x="397"/>
        <item x="3122"/>
        <item x="1687"/>
        <item x="2622"/>
        <item x="2410"/>
        <item x="2952"/>
        <item x="3360"/>
        <item x="2239"/>
        <item x="2973"/>
        <item x="2089"/>
        <item x="2806"/>
        <item x="868"/>
        <item x="2069"/>
        <item x="1088"/>
        <item x="2397"/>
        <item x="1359"/>
        <item x="2569"/>
        <item x="277"/>
        <item x="641"/>
        <item x="192"/>
        <item x="778"/>
        <item x="2111"/>
        <item x="3291"/>
        <item x="2097"/>
        <item x="2060"/>
        <item x="174"/>
        <item x="3145"/>
        <item x="138"/>
        <item x="422"/>
        <item x="402"/>
        <item x="569"/>
        <item x="1206"/>
        <item x="1665"/>
        <item x="3382"/>
        <item x="2871"/>
        <item x="1937"/>
        <item x="2245"/>
        <item x="2660"/>
        <item x="124"/>
        <item x="1445"/>
        <item x="270"/>
        <item x="3457"/>
        <item x="817"/>
        <item x="883"/>
        <item x="1349"/>
        <item x="2179"/>
        <item x="1380"/>
        <item x="428"/>
        <item x="1981"/>
        <item x="123"/>
        <item x="2167"/>
        <item x="362"/>
        <item x="2753"/>
        <item x="1671"/>
        <item x="1332"/>
        <item x="464"/>
        <item x="46"/>
        <item x="3418"/>
        <item x="1482"/>
        <item x="1266"/>
        <item x="2765"/>
        <item x="951"/>
        <item x="1633"/>
        <item x="2210"/>
        <item x="961"/>
        <item x="133"/>
        <item x="2562"/>
        <item x="2682"/>
        <item x="1559"/>
        <item x="2335"/>
        <item x="678"/>
        <item x="2845"/>
        <item x="1941"/>
        <item x="360"/>
        <item x="2834"/>
        <item x="2406"/>
        <item x="2866"/>
        <item x="2857"/>
        <item x="1177"/>
        <item x="80"/>
        <item x="589"/>
        <item x="2157"/>
        <item x="745"/>
        <item x="1263"/>
        <item x="1133"/>
        <item x="882"/>
        <item x="2694"/>
        <item x="335"/>
        <item x="2213"/>
        <item x="1707"/>
        <item x="2723"/>
        <item x="1921"/>
        <item x="1818"/>
        <item x="2093"/>
        <item x="2080"/>
        <item x="3507"/>
        <item x="247"/>
        <item x="579"/>
        <item x="553"/>
        <item x="715"/>
        <item x="2475"/>
        <item x="1539"/>
        <item x="585"/>
        <item x="1729"/>
        <item x="523"/>
        <item x="3467"/>
        <item x="574"/>
        <item x="792"/>
        <item x="2102"/>
        <item x="1551"/>
        <item x="379"/>
        <item x="2467"/>
        <item x="887"/>
        <item x="1270"/>
        <item x="151"/>
        <item x="1103"/>
        <item x="3058"/>
        <item x="2196"/>
        <item x="943"/>
        <item x="1455"/>
        <item x="79"/>
        <item x="3219"/>
        <item x="63"/>
        <item x="2218"/>
        <item x="1318"/>
        <item x="1059"/>
        <item x="68"/>
        <item x="3074"/>
        <item x="99"/>
        <item x="1248"/>
        <item x="1952"/>
        <item x="759"/>
        <item x="2579"/>
        <item x="2856"/>
        <item x="915"/>
        <item x="1097"/>
        <item x="3090"/>
        <item x="2957"/>
        <item x="1253"/>
        <item x="1592"/>
        <item x="2275"/>
        <item x="2810"/>
        <item x="1522"/>
        <item x="1207"/>
        <item x="2515"/>
        <item x="3473"/>
        <item x="228"/>
        <item x="1340"/>
        <item x="2016"/>
        <item x="3416"/>
        <item x="193"/>
        <item x="337"/>
        <item x="3367"/>
        <item x="1377"/>
        <item x="1192"/>
        <item x="2813"/>
        <item x="810"/>
        <item x="45"/>
        <item x="2947"/>
        <item x="1322"/>
        <item x="3063"/>
        <item x="840"/>
        <item x="1130"/>
        <item x="351"/>
        <item x="903"/>
        <item x="2586"/>
        <item x="2221"/>
        <item x="1285"/>
        <item x="1518"/>
        <item x="2478"/>
        <item x="2070"/>
        <item x="2609"/>
        <item x="3398"/>
        <item x="2423"/>
        <item x="2938"/>
        <item x="1154"/>
        <item x="1136"/>
        <item x="1405"/>
        <item x="613"/>
        <item x="1166"/>
        <item x="2691"/>
        <item x="3334"/>
        <item x="1803"/>
        <item x="1131"/>
        <item x="2381"/>
        <item x="3203"/>
        <item x="2473"/>
        <item x="1187"/>
        <item x="2013"/>
        <item x="492"/>
        <item x="2486"/>
        <item x="734"/>
        <item x="3372"/>
        <item x="2161"/>
        <item x="1846"/>
        <item x="274"/>
        <item x="793"/>
        <item x="3199"/>
        <item x="1951"/>
        <item x="2619"/>
        <item x="1692"/>
        <item x="1304"/>
        <item x="306"/>
        <item x="989"/>
        <item x="1476"/>
        <item x="1571"/>
        <item x="2182"/>
        <item x="2234"/>
        <item x="2824"/>
        <item x="209"/>
        <item x="637"/>
        <item x="1038"/>
        <item x="1760"/>
        <item x="506"/>
        <item x="3451"/>
        <item x="1012"/>
        <item x="22"/>
        <item x="499"/>
        <item x="1892"/>
        <item x="959"/>
        <item x="1891"/>
        <item x="665"/>
        <item x="718"/>
        <item x="1438"/>
        <item x="2030"/>
        <item x="2563"/>
        <item x="2260"/>
        <item x="1622"/>
        <item x="2455"/>
        <item x="1757"/>
        <item x="225"/>
        <item x="28"/>
        <item x="488"/>
        <item x="2601"/>
        <item x="2936"/>
        <item x="3388"/>
        <item x="3096"/>
        <item x="1208"/>
        <item x="37"/>
        <item x="1461"/>
        <item x="1841"/>
        <item x="3521"/>
        <item x="1643"/>
        <item x="462"/>
        <item x="2459"/>
        <item x="2251"/>
        <item x="2712"/>
        <item x="1420"/>
        <item x="3088"/>
        <item x="1389"/>
        <item x="2664"/>
        <item x="1402"/>
        <item x="2534"/>
        <item x="234"/>
        <item x="3288"/>
        <item x="493"/>
        <item x="260"/>
        <item x="434"/>
        <item x="1959"/>
        <item x="839"/>
        <item x="1425"/>
        <item x="172"/>
        <item x="3130"/>
        <item x="1069"/>
        <item x="2733"/>
        <item x="350"/>
        <item x="2159"/>
        <item x="1204"/>
        <item x="1314"/>
        <item x="2525"/>
        <item x="1082"/>
        <item x="444"/>
        <item x="597"/>
        <item x="2289"/>
        <item x="1879"/>
        <item x="2965"/>
        <item x="2206"/>
        <item x="3143"/>
        <item x="1072"/>
        <item x="2820"/>
        <item x="1711"/>
        <item x="918"/>
        <item x="1337"/>
        <item x="2876"/>
        <item x="384"/>
        <item x="383"/>
        <item x="1255"/>
        <item x="2380"/>
        <item x="289"/>
        <item x="399"/>
        <item x="3093"/>
        <item x="2698"/>
        <item x="342"/>
        <item x="2045"/>
        <item x="1931"/>
        <item x="995"/>
        <item x="1264"/>
        <item x="1886"/>
        <item x="1969"/>
        <item x="317"/>
        <item x="3070"/>
        <item x="908"/>
        <item x="252"/>
        <item x="970"/>
        <item x="532"/>
        <item x="136"/>
        <item x="1105"/>
        <item x="3003"/>
        <item x="2890"/>
        <item x="2514"/>
        <item x="2197"/>
        <item x="736"/>
        <item x="2419"/>
        <item x="1574"/>
        <item x="2117"/>
        <item x="2507"/>
        <item x="2741"/>
        <item x="2362"/>
        <item x="886"/>
        <item x="74"/>
        <item x="2415"/>
        <item x="1014"/>
        <item x="3444"/>
        <item x="895"/>
        <item x="1464"/>
        <item x="1782"/>
        <item x="849"/>
        <item x="2627"/>
        <item x="2214"/>
        <item x="309"/>
        <item x="2545"/>
        <item x="2639"/>
        <item x="187"/>
        <item x="1784"/>
        <item x="1180"/>
        <item x="2382"/>
        <item x="1357"/>
        <item x="1500"/>
        <item x="3234"/>
        <item x="313"/>
        <item x="3027"/>
        <item x="235"/>
        <item x="2063"/>
        <item x="555"/>
        <item x="1475"/>
        <item x="268"/>
        <item x="1074"/>
        <item x="1579"/>
        <item x="2162"/>
        <item x="2671"/>
        <item x="150"/>
        <item x="723"/>
        <item x="413"/>
        <item x="3010"/>
        <item x="607"/>
        <item x="212"/>
        <item x="1089"/>
        <item x="2745"/>
        <item x="1150"/>
        <item x="825"/>
        <item x="3312"/>
        <item x="507"/>
        <item x="1853"/>
        <item x="1407"/>
        <item x="829"/>
        <item x="2633"/>
        <item x="639"/>
        <item x="3159"/>
        <item x="1009"/>
        <item x="739"/>
        <item x="197"/>
        <item x="1575"/>
        <item x="2268"/>
        <item x="619"/>
        <item x="2748"/>
        <item x="1291"/>
        <item x="1658"/>
        <item x="2497"/>
        <item x="2076"/>
        <item x="19"/>
        <item x="2261"/>
        <item x="876"/>
        <item x="269"/>
        <item x="991"/>
        <item x="912"/>
        <item x="2531"/>
        <item x="2734"/>
        <item x="3335"/>
        <item x="2121"/>
        <item x="3391"/>
        <item x="1283"/>
        <item x="106"/>
        <item x="3488"/>
        <item x="3406"/>
        <item x="2303"/>
        <item x="1507"/>
        <item x="2872"/>
        <item x="474"/>
        <item x="2651"/>
        <item x="920"/>
        <item x="3086"/>
        <item x="3085"/>
        <item x="323"/>
        <item x="1832"/>
        <item x="3232"/>
        <item x="1451"/>
        <item x="155"/>
        <item x="1583"/>
        <item x="1690"/>
        <item x="1329"/>
        <item x="2451"/>
        <item x="1923"/>
        <item x="746"/>
        <item x="279"/>
        <item x="2928"/>
        <item x="1230"/>
        <item x="711"/>
        <item x="1623"/>
        <item x="1086"/>
        <item x="968"/>
        <item x="2001"/>
        <item x="1023"/>
        <item x="3379"/>
        <item x="1982"/>
        <item x="34"/>
        <item x="830"/>
        <item x="598"/>
        <item x="650"/>
        <item x="223"/>
        <item x="353"/>
        <item x="2862"/>
        <item x="3036"/>
        <item x="2432"/>
        <item x="2158"/>
        <item x="1282"/>
        <item x="1733"/>
        <item x="1087"/>
        <item x="3064"/>
        <item x="1459"/>
        <item x="1024"/>
        <item x="40"/>
        <item x="3419"/>
        <item x="1736"/>
        <item x="1008"/>
        <item x="787"/>
        <item x="2375"/>
        <item x="1838"/>
        <item x="3505"/>
        <item x="3250"/>
        <item x="1163"/>
        <item x="3285"/>
        <item x="3290"/>
        <item x="1404"/>
        <item x="758"/>
        <item x="2101"/>
        <item x="2336"/>
        <item x="801"/>
        <item x="2655"/>
        <item x="1650"/>
        <item x="2232"/>
        <item x="1063"/>
        <item x="180"/>
        <item x="18"/>
        <item x="3081"/>
        <item x="253"/>
        <item x="3271"/>
        <item x="1589"/>
        <item x="1830"/>
        <item x="666"/>
        <item x="795"/>
        <item x="2594"/>
        <item x="2494"/>
        <item x="975"/>
        <item x="753"/>
        <item x="925"/>
        <item x="1098"/>
        <item x="2526"/>
        <item x="2018"/>
        <item x="1152"/>
        <item x="2873"/>
        <item x="2867"/>
        <item x="1112"/>
        <item x="901"/>
        <item x="1111"/>
        <item x="2689"/>
        <item x="1341"/>
        <item x="395"/>
        <item x="2529"/>
        <item x="175"/>
        <item x="2724"/>
        <item x="262"/>
        <item x="1491"/>
        <item x="3407"/>
        <item x="832"/>
        <item x="3236"/>
        <item x="135"/>
        <item x="572"/>
        <item x="1406"/>
        <item x="2956"/>
        <item x="692"/>
        <item x="1320"/>
        <item x="3438"/>
        <item x="184"/>
        <item x="2914"/>
        <item x="1790"/>
        <item x="3262"/>
        <item x="1793"/>
        <item x="2224"/>
        <item x="3324"/>
        <item x="319"/>
        <item x="3227"/>
        <item x="1705"/>
        <item x="799"/>
        <item x="2327"/>
        <item x="1829"/>
        <item x="2878"/>
        <item x="784"/>
        <item x="833"/>
        <item x="813"/>
        <item x="273"/>
        <item x="131"/>
        <item x="2636"/>
        <item x="2107"/>
        <item x="380"/>
        <item x="2215"/>
        <item x="3106"/>
        <item x="1279"/>
        <item x="1327"/>
        <item x="1505"/>
        <item x="1859"/>
        <item x="1456"/>
        <item x="2139"/>
        <item x="775"/>
        <item x="2924"/>
        <item x="11"/>
        <item x="1280"/>
        <item x="2665"/>
        <item x="1557"/>
        <item x="84"/>
        <item x="1453"/>
        <item x="911"/>
        <item x="2329"/>
        <item x="1761"/>
        <item x="3272"/>
        <item x="206"/>
        <item x="452"/>
        <item x="1795"/>
        <item x="1985"/>
        <item x="1135"/>
        <item x="659"/>
        <item x="3395"/>
        <item x="1099"/>
        <item x="76"/>
        <item x="1999"/>
        <item x="3181"/>
        <item x="1994"/>
        <item x="389"/>
        <item x="2152"/>
        <item x="535"/>
        <item x="1805"/>
        <item x="1161"/>
        <item x="13"/>
        <item x="3347"/>
        <item x="2288"/>
        <item x="2445"/>
        <item x="3191"/>
        <item x="226"/>
        <item x="3437"/>
        <item x="1271"/>
        <item x="2074"/>
        <item x="2077"/>
        <item x="2170"/>
        <item x="3475"/>
        <item x="1229"/>
        <item x="48"/>
        <item x="2034"/>
        <item x="2852"/>
        <item x="923"/>
        <item x="1137"/>
        <item x="2332"/>
        <item x="2386"/>
        <item x="1572"/>
        <item x="127"/>
        <item x="1124"/>
        <item x="2666"/>
        <item x="9"/>
        <item x="185"/>
        <item x="1788"/>
        <item x="2087"/>
        <item x="1552"/>
        <item x="1748"/>
        <item x="722"/>
        <item x="482"/>
        <item x="1303"/>
        <item x="216"/>
        <item x="446"/>
        <item x="2975"/>
        <item x="1347"/>
        <item x="1678"/>
        <item x="1414"/>
        <item x="443"/>
        <item x="2580"/>
        <item x="121"/>
        <item x="1759"/>
        <item x="1618"/>
        <item x="2290"/>
        <item x="2229"/>
        <item x="1597"/>
        <item x="1060"/>
        <item x="1256"/>
        <item x="964"/>
        <item x="3224"/>
        <item x="2247"/>
        <item x="3217"/>
        <item x="2501"/>
        <item x="2732"/>
        <item x="1769"/>
        <item x="1172"/>
        <item x="2593"/>
        <item x="1178"/>
        <item x="1955"/>
        <item x="1113"/>
        <item x="3026"/>
        <item x="1624"/>
        <item x="1000"/>
        <item x="1240"/>
        <item x="889"/>
        <item x="3319"/>
        <item x="593"/>
        <item x="3501"/>
        <item x="1027"/>
        <item x="2088"/>
        <item x="3306"/>
        <item x="2374"/>
        <item x="2284"/>
        <item x="1013"/>
        <item x="2775"/>
        <item x="3368"/>
        <item x="1504"/>
        <item x="660"/>
        <item x="3166"/>
        <item x="1709"/>
        <item x="1883"/>
        <item x="1392"/>
        <item x="3376"/>
        <item x="1433"/>
        <item x="707"/>
        <item x="3201"/>
        <item x="1265"/>
        <item x="3154"/>
        <item x="1540"/>
        <item x="2836"/>
        <item x="218"/>
        <item x="3202"/>
        <item x="3140"/>
        <item x="549"/>
        <item x="365"/>
        <item x="2643"/>
        <item x="917"/>
        <item x="1991"/>
        <item x="2536"/>
        <item x="624"/>
        <item x="424"/>
        <item x="2280"/>
        <item x="3426"/>
        <item x="1382"/>
        <item x="2602"/>
        <item x="3049"/>
        <item x="410"/>
        <item x="3364"/>
        <item x="916"/>
        <item x="2715"/>
        <item x="684"/>
        <item x="2"/>
        <item x="3253"/>
        <item x="682"/>
        <item x="2151"/>
        <item x="3280"/>
        <item x="2099"/>
        <item x="870"/>
        <item x="3254"/>
        <item x="2635"/>
        <item x="843"/>
        <item x="3066"/>
        <item x="1079"/>
        <item x="251"/>
        <item x="1056"/>
        <item x="322"/>
        <item x="1817"/>
        <item x="854"/>
        <item x="1963"/>
        <item x="345"/>
        <item x="421"/>
        <item x="2840"/>
        <item x="3108"/>
        <item x="2762"/>
        <item x="1232"/>
        <item x="1674"/>
        <item x="704"/>
        <item x="2558"/>
        <item x="358"/>
        <item x="1984"/>
        <item x="1767"/>
        <item x="156"/>
        <item x="769"/>
        <item x="629"/>
        <item x="727"/>
        <item x="3151"/>
        <item x="3265"/>
        <item x="2256"/>
        <item x="688"/>
        <item x="1566"/>
        <item x="1850"/>
        <item x="1310"/>
        <item x="1412"/>
        <item x="418"/>
        <item x="938"/>
        <item x="823"/>
        <item x="481"/>
        <item x="2273"/>
        <item x="1047"/>
        <item x="710"/>
        <item x="1510"/>
        <item x="3138"/>
        <item x="1642"/>
        <item x="847"/>
        <item x="440"/>
        <item x="416"/>
        <item x="107"/>
        <item x="2033"/>
        <item x="3249"/>
        <item x="1740"/>
        <item x="3380"/>
        <item x="857"/>
        <item x="1262"/>
        <item x="265"/>
        <item x="439"/>
        <item x="1194"/>
        <item x="2091"/>
        <item x="2024"/>
        <item x="2974"/>
        <item x="122"/>
        <item x="667"/>
        <item x="2738"/>
        <item x="116"/>
        <item x="56"/>
        <item x="546"/>
        <item x="1652"/>
        <item x="2649"/>
        <item x="495"/>
        <item x="2384"/>
        <item x="2599"/>
        <item x="1162"/>
        <item x="2686"/>
        <item x="2204"/>
        <item x="149"/>
        <item x="518"/>
        <item x="2903"/>
        <item x="696"/>
        <item x="364"/>
        <item x="2960"/>
        <item x="2012"/>
        <item x="2466"/>
        <item x="3503"/>
        <item x="426"/>
        <item x="1272"/>
        <item x="2187"/>
        <item x="3283"/>
        <item x="112"/>
        <item x="3320"/>
        <item x="3456"/>
        <item x="1391"/>
        <item x="976"/>
        <item x="1821"/>
        <item x="2941"/>
        <item x="2119"/>
        <item x="1550"/>
        <item x="1996"/>
        <item x="1954"/>
        <item x="2125"/>
        <item x="1055"/>
        <item x="2264"/>
        <item x="1605"/>
        <item x="3268"/>
        <item x="3155"/>
        <item x="988"/>
        <item x="2946"/>
        <item x="1917"/>
        <item x="632"/>
        <item x="1924"/>
        <item x="1125"/>
        <item x="844"/>
        <item x="1780"/>
        <item x="427"/>
        <item x="3101"/>
        <item x="489"/>
        <item x="1787"/>
        <item x="2153"/>
        <item x="2426"/>
        <item x="643"/>
        <item x="3168"/>
        <item x="205"/>
        <item x="1542"/>
        <item x="199"/>
        <item x="2697"/>
        <item x="2587"/>
        <item x="586"/>
        <item x="2079"/>
        <item x="403"/>
        <item x="3311"/>
        <item x="3423"/>
        <item x="2391"/>
        <item x="1091"/>
        <item x="2225"/>
        <item x="147"/>
        <item x="219"/>
        <item x="2980"/>
        <item x="2541"/>
        <item x="1356"/>
        <item x="3508"/>
        <item x="1836"/>
        <item x="3463"/>
        <item x="3315"/>
        <item x="522"/>
        <item x="3022"/>
        <item x="2684"/>
        <item x="30"/>
        <item x="2066"/>
        <item x="3041"/>
        <item x="2850"/>
        <item x="3061"/>
        <item x="928"/>
        <item x="1316"/>
        <item x="62"/>
        <item x="2874"/>
        <item x="2447"/>
        <item x="2010"/>
        <item x="1469"/>
        <item x="1005"/>
        <item x="3087"/>
        <item x="3355"/>
        <item x="822"/>
        <item x="3111"/>
        <item x="2841"/>
        <item x="1494"/>
        <item x="1558"/>
        <item x="1701"/>
        <item x="1713"/>
        <item x="2503"/>
        <item x="2931"/>
        <item x="3301"/>
        <item x="669"/>
        <item x="419"/>
        <item x="3307"/>
        <item x="1365"/>
        <item x="1214"/>
        <item x="2238"/>
        <item x="3297"/>
        <item x="304"/>
        <item x="2835"/>
        <item x="248"/>
        <item x="3069"/>
        <item x="2970"/>
        <item x="922"/>
        <item x="2266"/>
        <item x="1533"/>
        <item x="1388"/>
        <item x="545"/>
        <item x="2412"/>
        <item x="2577"/>
        <item x="352"/>
        <item x="1537"/>
        <item x="2220"/>
        <item x="2274"/>
        <item x="1080"/>
        <item x="900"/>
        <item x="417"/>
        <item x="2940"/>
        <item x="1677"/>
        <item x="1032"/>
        <item x="2427"/>
        <item x="2638"/>
        <item x="2054"/>
        <item x="2223"/>
        <item x="898"/>
        <item x="1973"/>
        <item x="2286"/>
        <item x="1394"/>
        <item x="656"/>
        <item x="314"/>
        <item x="728"/>
        <item x="1774"/>
        <item x="2006"/>
        <item x="1970"/>
        <item x="3244"/>
        <item x="3091"/>
        <item x="1880"/>
        <item x="640"/>
        <item x="1484"/>
        <item x="487"/>
        <item x="2320"/>
        <item x="1427"/>
        <item x="1367"/>
        <item x="1741"/>
        <item x="1075"/>
        <item x="885"/>
        <item x="2271"/>
        <item x="760"/>
        <item x="2489"/>
        <item x="2716"/>
        <item x="1217"/>
        <item x="699"/>
        <item x="3170"/>
        <item x="2279"/>
        <item x="3482"/>
        <item x="751"/>
        <item x="3520"/>
        <item x="2496"/>
        <item x="1844"/>
        <item x="104"/>
        <item x="2322"/>
        <item x="738"/>
        <item x="3195"/>
        <item x="189"/>
        <item x="689"/>
        <item x="1647"/>
        <item x="505"/>
        <item x="295"/>
        <item x="949"/>
        <item x="2661"/>
        <item x="638"/>
        <item x="1129"/>
        <item x="794"/>
        <item x="1039"/>
        <item x="1904"/>
        <item x="676"/>
        <item x="1252"/>
        <item x="2631"/>
        <item x="3113"/>
        <item x="1031"/>
        <item x="2142"/>
        <item x="272"/>
        <item x="2005"/>
        <item x="1776"/>
        <item x="702"/>
        <item x="2506"/>
        <item x="367"/>
        <item x="1887"/>
        <item x="3121"/>
        <item x="2997"/>
        <item x="2905"/>
        <item x="3228"/>
        <item x="983"/>
        <item x="703"/>
        <item x="182"/>
        <item x="2930"/>
        <item x="777"/>
        <item x="1"/>
        <item x="24"/>
        <item x="2270"/>
        <item x="1403"/>
        <item x="992"/>
        <item x="858"/>
        <item x="409"/>
        <item x="2444"/>
        <item x="1531"/>
        <item x="910"/>
        <item x="2944"/>
        <item x="204"/>
        <item x="1246"/>
        <item x="3412"/>
        <item x="7"/>
        <item x="578"/>
        <item x="2764"/>
        <item x="2923"/>
        <item x="652"/>
        <item x="1548"/>
        <item x="1169"/>
        <item x="2826"/>
        <item x="2708"/>
        <item x="1900"/>
        <item x="2981"/>
        <item x="2318"/>
        <item x="2049"/>
        <item x="163"/>
        <item x="2657"/>
        <item x="3443"/>
        <item x="1903"/>
        <item x="2068"/>
        <item x="2394"/>
        <item x="1816"/>
        <item x="1868"/>
        <item x="2103"/>
        <item x="2040"/>
        <item x="2713"/>
        <item x="2281"/>
        <item x="1577"/>
        <item x="864"/>
        <item x="742"/>
        <item x="2043"/>
        <item x="693"/>
        <item x="6"/>
        <item x="590"/>
        <item x="1828"/>
        <item x="1764"/>
        <item x="1564"/>
        <item x="2603"/>
        <item x="227"/>
        <item x="1409"/>
        <item x="2613"/>
        <item x="3499"/>
        <item x="3226"/>
        <item x="373"/>
        <item x="627"/>
        <item x="2285"/>
        <item x="3037"/>
        <item x="1914"/>
        <item x="1721"/>
        <item x="2430"/>
        <item x="2163"/>
        <item x="2174"/>
        <item x="694"/>
        <item x="1565"/>
        <item x="3299"/>
        <item x="1998"/>
        <item x="3216"/>
        <item x="1122"/>
        <item x="2838"/>
        <item x="1317"/>
        <item x="2535"/>
        <item x="2255"/>
        <item x="3246"/>
        <item x="921"/>
        <item x="2314"/>
        <item x="3039"/>
        <item x="1667"/>
        <item x="2983"/>
        <item x="2166"/>
        <item x="1584"/>
        <item x="217"/>
        <item x="1562"/>
        <item x="865"/>
        <item x="599"/>
        <item x="1606"/>
        <item x="2082"/>
        <item x="2498"/>
        <item x="1870"/>
        <item x="3206"/>
        <item x="1203"/>
        <item x="871"/>
        <item x="2208"/>
        <item x="789"/>
        <item x="1930"/>
        <item x="167"/>
        <item x="2578"/>
        <item x="1220"/>
        <item x="636"/>
        <item x="1281"/>
        <item x="321"/>
        <item x="1423"/>
        <item x="414"/>
        <item x="2487"/>
        <item x="3073"/>
        <item x="2758"/>
        <item x="502"/>
        <item x="3455"/>
        <item x="3357"/>
        <item x="1470"/>
        <item x="2389"/>
        <item x="1654"/>
        <item x="2172"/>
        <item x="3321"/>
        <item x="2116"/>
        <item x="2403"/>
        <item x="1144"/>
        <item x="2106"/>
        <item x="1321"/>
        <item x="2235"/>
        <item x="999"/>
        <item x="2144"/>
        <item x="2058"/>
        <item x="3208"/>
        <item x="1834"/>
        <item x="1602"/>
        <item x="2818"/>
        <item x="2584"/>
        <item x="1768"/>
        <item x="1800"/>
        <item x="1568"/>
        <item x="1188"/>
        <item x="2472"/>
        <item x="1339"/>
        <item x="3390"/>
        <item x="2205"/>
        <item x="1058"/>
        <item x="1257"/>
        <item x="1700"/>
        <item x="2073"/>
        <item x="168"/>
        <item x="1893"/>
        <item x="972"/>
        <item x="3057"/>
        <item x="331"/>
        <item x="145"/>
        <item x="1251"/>
        <item x="2787"/>
        <item x="57"/>
        <item x="454"/>
        <item x="2405"/>
        <item x="1147"/>
        <item x="3436"/>
        <item x="1672"/>
        <item x="1146"/>
        <item x="3225"/>
        <item x="501"/>
        <item x="2094"/>
        <item x="2572"/>
        <item x="3286"/>
        <item x="1934"/>
        <item x="796"/>
        <item x="1315"/>
        <item x="2612"/>
        <item x="208"/>
        <item x="378"/>
        <item x="1631"/>
        <item x="934"/>
        <item x="2943"/>
        <item x="3289"/>
        <item x="459"/>
        <item x="3207"/>
        <item x="97"/>
        <item x="1517"/>
        <item x="560"/>
        <item x="1295"/>
        <item x="1477"/>
        <item x="1145"/>
        <item x="3212"/>
        <item x="2837"/>
        <item x="276"/>
        <item x="2433"/>
        <item x="2338"/>
        <item x="3352"/>
        <item x="2387"/>
        <item x="581"/>
        <item x="2047"/>
        <item x="2017"/>
        <item x="3045"/>
        <item x="644"/>
        <item x="2740"/>
        <item x="681"/>
        <item x="1209"/>
        <item x="170"/>
        <item x="2188"/>
        <item x="1171"/>
        <item x="1651"/>
        <item x="1936"/>
        <item x="1588"/>
        <item x="3205"/>
        <item x="21"/>
        <item x="77"/>
        <item x="2524"/>
        <item x="2880"/>
        <item x="3400"/>
        <item x="1932"/>
        <item x="1789"/>
        <item x="815"/>
        <item x="2211"/>
        <item x="3160"/>
        <item x="2729"/>
        <item x="2681"/>
        <item x="2465"/>
        <item x="880"/>
        <item x="996"/>
        <item x="2935"/>
        <item x="1734"/>
        <item x="3430"/>
        <item x="623"/>
        <item x="2358"/>
        <item x="2789"/>
        <item x="2851"/>
        <item x="3119"/>
        <item x="635"/>
        <item x="1871"/>
        <item x="1358"/>
        <item x="2422"/>
        <item x="3038"/>
        <item x="3183"/>
        <item x="2933"/>
        <item x="1553"/>
        <item x="3126"/>
        <item x="3494"/>
        <item x="3506"/>
        <item x="271"/>
        <item x="3486"/>
        <item x="1716"/>
        <item x="1620"/>
        <item x="1002"/>
        <item x="2416"/>
        <item x="2023"/>
        <item x="29"/>
        <item x="2062"/>
        <item x="504"/>
        <item x="1237"/>
        <item x="2929"/>
        <item x="957"/>
        <item x="1977"/>
        <item x="2654"/>
        <item x="1247"/>
        <item x="1021"/>
        <item x="3317"/>
        <item x="349"/>
        <item x="1331"/>
        <item x="1616"/>
        <item x="356"/>
        <item x="2847"/>
        <item x="1045"/>
        <item x="2823"/>
        <item x="1771"/>
        <item x="907"/>
        <item x="3144"/>
        <item x="1949"/>
        <item x="2367"/>
        <item x="647"/>
        <item x="2431"/>
        <item x="852"/>
        <item x="2352"/>
        <item x="1065"/>
        <item x="1200"/>
        <item x="1792"/>
        <item x="1641"/>
        <item x="2509"/>
        <item x="1608"/>
        <item x="2401"/>
        <item x="2571"/>
        <item x="2484"/>
        <item x="1686"/>
        <item x="3184"/>
        <item x="1479"/>
        <item x="2769"/>
        <item x="115"/>
        <item x="1664"/>
        <item x="59"/>
        <item x="2249"/>
        <item x="1885"/>
        <item x="3409"/>
        <item x="3396"/>
        <item x="661"/>
        <item x="2126"/>
        <item x="3354"/>
        <item x="3309"/>
        <item x="2624"/>
        <item x="2656"/>
        <item x="3329"/>
        <item x="937"/>
        <item x="355"/>
        <item x="1752"/>
        <item x="2177"/>
        <item x="2912"/>
        <item x="120"/>
        <item x="1336"/>
        <item x="1284"/>
        <item x="2782"/>
        <item x="412"/>
        <item x="1345"/>
        <item x="1022"/>
        <item x="1824"/>
        <item x="2184"/>
        <item x="1381"/>
        <item x="2240"/>
        <item x="1155"/>
        <item x="315"/>
        <item x="2370"/>
        <item x="773"/>
        <item x="3273"/>
        <item x="1355"/>
        <item x="3259"/>
        <item x="997"/>
        <item x="2623"/>
        <item x="894"/>
        <item x="1110"/>
        <item x="3109"/>
        <item x="1582"/>
        <item x="432"/>
        <item x="483"/>
        <item x="2276"/>
        <item x="142"/>
        <item x="950"/>
        <item x="3404"/>
        <item x="3361"/>
        <item x="39"/>
        <item x="2112"/>
        <item x="2226"/>
        <item x="1918"/>
        <item x="617"/>
        <item x="86"/>
        <item x="1025"/>
        <item x="2632"/>
        <item x="1250"/>
        <item x="1683"/>
        <item x="1090"/>
        <item x="161"/>
        <item x="85"/>
        <item x="2075"/>
        <item x="201"/>
        <item x="940"/>
        <item x="2821"/>
        <item x="2317"/>
        <item x="2819"/>
        <item x="606"/>
        <item x="3242"/>
        <item x="329"/>
        <item x="772"/>
        <item x="1343"/>
        <item x="2792"/>
        <item x="1585"/>
        <item x="2679"/>
        <item x="1376"/>
        <item x="709"/>
        <item x="697"/>
        <item x="770"/>
        <item x="1696"/>
        <item x="1724"/>
        <item x="3305"/>
        <item x="783"/>
        <item x="250"/>
        <item x="1493"/>
        <item x="1156"/>
        <item x="1785"/>
        <item x="1919"/>
        <item x="468"/>
        <item x="960"/>
        <item x="2982"/>
        <item x="316"/>
        <item x="3296"/>
        <item x="1390"/>
        <item x="2683"/>
        <item x="1242"/>
        <item x="2436"/>
        <item x="1685"/>
        <item x="3018"/>
        <item x="3394"/>
        <item x="2954"/>
        <item x="878"/>
        <item x="2690"/>
        <item x="2663"/>
        <item x="524"/>
        <item x="2371"/>
        <item x="2802"/>
        <item x="3115"/>
        <item x="2373"/>
        <item x="2891"/>
        <item x="1922"/>
        <item x="2511"/>
        <item x="2056"/>
        <item x="2241"/>
        <item x="3185"/>
        <item x="2337"/>
        <item x="3120"/>
        <item x="2195"/>
        <item x="2191"/>
        <item x="1241"/>
        <item x="298"/>
        <item x="2934"/>
        <item x="1617"/>
        <item x="3515"/>
        <item x="3413"/>
        <item x="3277"/>
        <item x="1717"/>
        <item x="300"/>
        <item x="1452"/>
        <item x="1765"/>
        <item x="530"/>
        <item x="1092"/>
        <item x="2909"/>
        <item x="2768"/>
        <item x="1807"/>
        <item x="2628"/>
        <item x="3375"/>
        <item x="554"/>
        <item x="1026"/>
        <item x="3383"/>
        <item x="2437"/>
        <item x="2228"/>
        <item x="1673"/>
        <item x="203"/>
        <item x="2537"/>
        <item x="899"/>
        <item x="215"/>
        <item x="166"/>
        <item x="1398"/>
        <item x="542"/>
        <item x="3054"/>
        <item x="1519"/>
        <item x="2971"/>
        <item x="1238"/>
        <item x="2556"/>
        <item x="2958"/>
        <item x="2272"/>
        <item x="461"/>
        <item x="3128"/>
        <item x="347"/>
        <item x="2298"/>
        <item x="2194"/>
        <item x="391"/>
        <item x="2296"/>
        <item x="2809"/>
        <item x="2443"/>
        <item x="232"/>
        <item x="3204"/>
        <item x="1226"/>
        <item x="1119"/>
        <item x="525"/>
        <item x="1614"/>
        <item x="2811"/>
        <item x="224"/>
        <item x="3173"/>
        <item x="1524"/>
        <item x="1756"/>
        <item x="472"/>
        <item x="476"/>
        <item x="1004"/>
        <item x="2135"/>
        <item x="1645"/>
        <item x="3043"/>
        <item x="671"/>
        <item x="1842"/>
        <item x="387"/>
        <item x="2827"/>
        <item x="3295"/>
        <item x="405"/>
        <item x="2927"/>
        <item x="645"/>
        <item x="816"/>
        <item x="398"/>
        <item x="963"/>
        <item x="3102"/>
        <item x="935"/>
        <item x="3020"/>
        <item x="3127"/>
        <item x="1138"/>
        <item x="3146"/>
        <item x="3318"/>
        <item x="2246"/>
        <item x="3080"/>
        <item x="2883"/>
        <item x="2418"/>
        <item x="1046"/>
        <item x="3495"/>
        <item x="2575"/>
        <item x="129"/>
        <item x="2460"/>
        <item x="2795"/>
        <item x="1786"/>
        <item x="1374"/>
        <item x="2988"/>
        <item x="1006"/>
        <item x="2701"/>
        <item x="720"/>
        <item x="2749"/>
        <item x="779"/>
        <item x="1016"/>
        <item x="318"/>
        <item x="243"/>
        <item x="529"/>
        <item x="1912"/>
        <item x="791"/>
        <item x="1277"/>
        <item x="931"/>
        <item x="3223"/>
        <item x="327"/>
        <item x="3496"/>
        <item x="2695"/>
        <item x="1797"/>
        <item x="672"/>
        <item x="765"/>
        <item x="3322"/>
        <item x="1661"/>
        <item x="879"/>
        <item x="2193"/>
        <item x="1668"/>
        <item x="95"/>
        <item x="877"/>
        <item x="2591"/>
        <item x="874"/>
        <item x="2055"/>
        <item x="663"/>
        <item x="83"/>
        <item x="134"/>
        <item x="3476"/>
        <item x="3282"/>
        <item x="1876"/>
        <item x="3117"/>
        <item x="3478"/>
        <item x="3300"/>
        <item x="601"/>
        <item x="3474"/>
        <item x="1997"/>
        <item x="658"/>
        <item x="1722"/>
        <item x="2559"/>
        <item x="2538"/>
        <item x="2022"/>
        <item x="2564"/>
        <item x="2143"/>
        <item x="514"/>
        <item x="3517"/>
        <item x="1569"/>
        <item x="1348"/>
        <item x="1018"/>
        <item x="1679"/>
        <item x="2629"/>
        <item x="141"/>
        <item x="2414"/>
        <item x="1288"/>
        <item x="154"/>
        <item x="200"/>
        <item x="3004"/>
        <item x="1142"/>
        <item x="2710"/>
        <item x="284"/>
        <item x="1296"/>
        <item x="2199"/>
        <item x="2048"/>
        <item x="2967"/>
        <item x="2771"/>
        <item x="1116"/>
        <item x="354"/>
        <item x="1328"/>
        <item x="1040"/>
        <item x="291"/>
        <item x="2644"/>
        <item x="1632"/>
        <item x="2512"/>
        <item x="3441"/>
        <item x="1401"/>
        <item x="3502"/>
        <item x="3365"/>
        <item x="2630"/>
        <item x="2400"/>
        <item x="3177"/>
        <item x="1416"/>
        <item x="1260"/>
        <item x="924"/>
        <item x="695"/>
        <item x="3385"/>
        <item x="3099"/>
        <item x="2319"/>
        <item x="1305"/>
        <item x="1655"/>
        <item x="2858"/>
        <item x="89"/>
        <item x="3270"/>
        <item x="2726"/>
        <item x="2428"/>
        <item x="3125"/>
        <item x="2134"/>
        <item x="1718"/>
        <item x="1361"/>
        <item x="3303"/>
        <item x="1638"/>
        <item x="2053"/>
        <item x="2253"/>
        <item x="2104"/>
        <item x="2200"/>
        <item x="2908"/>
        <item x="902"/>
        <item x="1428"/>
        <item x="2328"/>
        <item x="3450"/>
        <item x="2243"/>
        <item x="547"/>
        <item x="1813"/>
        <item x="55"/>
        <item x="2345"/>
        <item x="239"/>
        <item x="2673"/>
        <item x="2379"/>
        <item x="2604"/>
        <item x="3269"/>
        <item x="3257"/>
        <item x="2955"/>
        <item x="974"/>
        <item x="1350"/>
        <item x="388"/>
        <item x="1739"/>
        <item x="2250"/>
        <item x="2453"/>
        <item x="2549"/>
        <item x="1881"/>
        <item x="2295"/>
        <item x="552"/>
        <item x="2348"/>
        <item x="2978"/>
        <item x="1648"/>
        <item x="788"/>
        <item x="1183"/>
        <item x="3264"/>
        <item x="2550"/>
        <item x="2668"/>
        <item x="69"/>
        <item x="2605"/>
        <item x="1629"/>
        <item x="259"/>
        <item x="747"/>
        <item x="648"/>
        <item x="91"/>
        <item x="162"/>
        <item x="2901"/>
        <item x="305"/>
        <item x="1530"/>
        <item x="1675"/>
        <item x="733"/>
        <item x="1458"/>
        <item x="1514"/>
        <item x="897"/>
        <item x="2435"/>
        <item x="1511"/>
        <item x="1587"/>
        <item x="1820"/>
        <item x="249"/>
        <item x="2763"/>
        <item x="2979"/>
        <item x="811"/>
        <item x="608"/>
        <item x="2305"/>
        <item x="2363"/>
        <item x="3446"/>
        <item x="818"/>
        <item x="2155"/>
        <item x="1415"/>
        <item x="2693"/>
        <item x="1396"/>
        <item x="2865"/>
        <item x="1872"/>
        <item x="2084"/>
        <item x="2972"/>
        <item x="1901"/>
        <item x="537"/>
        <item x="1972"/>
        <item x="3142"/>
        <item x="1096"/>
        <item x="2493"/>
        <item x="605"/>
        <item x="540"/>
        <item x="2590"/>
        <item x="3428"/>
        <item x="625"/>
        <item x="1473"/>
        <item x="1525"/>
        <item x="515"/>
        <item x="3084"/>
        <item x="837"/>
        <item x="582"/>
        <item x="1847"/>
        <item x="1050"/>
        <item x="3477"/>
        <item x="654"/>
        <item x="2259"/>
        <item x="2722"/>
        <item x="3082"/>
        <item x="1007"/>
        <item x="1083"/>
        <item x="71"/>
        <item x="1036"/>
        <item x="3469"/>
        <item x="3337"/>
        <item x="1848"/>
        <item x="179"/>
        <item x="3053"/>
        <item x="941"/>
        <item x="1158"/>
        <item x="157"/>
        <item x="3031"/>
        <item x="1802"/>
        <item x="2479"/>
        <item x="698"/>
        <item x="3363"/>
        <item x="2718"/>
        <item x="539"/>
        <item x="1920"/>
        <item x="1812"/>
        <item x="1128"/>
        <item x="3519"/>
        <item x="1753"/>
        <item x="1324"/>
        <item x="1411"/>
        <item x="245"/>
        <item x="1418"/>
        <item x="1363"/>
        <item x="1068"/>
        <item x="2122"/>
        <item x="614"/>
        <item x="1862"/>
        <item x="1523"/>
        <item x="1167"/>
        <item x="1983"/>
        <item x="1783"/>
        <item x="3167"/>
        <item x="498"/>
        <item x="2888"/>
        <item x="2482"/>
        <item x="3192"/>
        <item x="220"/>
        <item x="2846"/>
        <item x="2849"/>
        <item x="1878"/>
        <item x="1875"/>
        <item x="851"/>
        <item x="1791"/>
        <item x="1198"/>
        <item x="1384"/>
        <item x="1613"/>
        <item x="2441"/>
        <item x="1127"/>
        <item x="2365"/>
        <item x="290"/>
        <item x="2439"/>
        <item x="2626"/>
        <item x="2217"/>
        <item x="866"/>
        <item x="1010"/>
        <item x="1630"/>
        <item x="1882"/>
        <item x="429"/>
        <item x="2522"/>
        <item x="2015"/>
        <item x="2342"/>
        <item x="1899"/>
        <item x="1712"/>
        <item x="82"/>
        <item x="3017"/>
        <item x="1957"/>
        <item x="3240"/>
        <item x="3498"/>
        <item x="2645"/>
        <item x="2546"/>
        <item x="2548"/>
        <item x="1164"/>
        <item x="942"/>
        <item x="3255"/>
        <item x="125"/>
        <item x="1107"/>
        <item x="1231"/>
        <item x="2882"/>
        <item x="287"/>
        <item x="1860"/>
        <item x="896"/>
        <item x="1814"/>
        <item x="1450"/>
        <item x="814"/>
        <item x="2081"/>
        <item x="2236"/>
        <item x="475"/>
        <item x="1408"/>
        <item x="1254"/>
        <item x="256"/>
        <item x="1268"/>
        <item x="1299"/>
        <item x="2685"/>
        <item x="1926"/>
        <item x="2784"/>
        <item x="2086"/>
        <item x="1626"/>
        <item x="1084"/>
        <item x="2547"/>
        <item x="3440"/>
        <item x="445"/>
        <item x="2747"/>
        <item x="1501"/>
        <item x="479"/>
        <item x="103"/>
        <item x="2961"/>
        <item x="2675"/>
        <item x="3427"/>
        <item x="1432"/>
        <item x="2794"/>
        <item x="2128"/>
        <item x="776"/>
        <item x="2510"/>
        <item x="2921"/>
        <item x="3213"/>
        <item x="2344"/>
        <item x="98"/>
        <item x="3338"/>
        <item x="3492"/>
        <item x="2201"/>
        <item x="906"/>
        <item x="2028"/>
        <item x="559"/>
        <item x="3230"/>
        <item x="66"/>
        <item x="2902"/>
        <item x="1468"/>
        <item x="118"/>
        <item x="3403"/>
        <item x="516"/>
        <item x="3516"/>
        <item x="1048"/>
        <item x="668"/>
        <item x="2110"/>
        <item x="3209"/>
        <item x="2911"/>
        <item x="1644"/>
        <item x="2554"/>
        <item x="2825"/>
        <item x="1495"/>
        <item x="2411"/>
        <item x="2756"/>
        <item x="1549"/>
        <item x="603"/>
        <item x="3293"/>
        <item x="1863"/>
        <item x="3100"/>
        <item x="2207"/>
        <item x="2951"/>
        <item x="1393"/>
        <item x="863"/>
        <item x="2854"/>
        <item x="2421"/>
        <item x="1528"/>
        <item x="3435"/>
        <item x="573"/>
        <item x="756"/>
        <item x="105"/>
        <item x="824"/>
        <item x="420"/>
        <item x="341"/>
        <item x="435"/>
        <item x="2641"/>
        <item x="1184"/>
        <item x="153"/>
        <item x="3114"/>
        <item x="730"/>
        <item x="1809"/>
        <item x="2889"/>
        <item x="2533"/>
        <item x="1360"/>
        <item x="2052"/>
        <item x="1181"/>
        <item x="177"/>
        <item x="2115"/>
        <item x="891"/>
        <item x="3044"/>
        <item x="1742"/>
        <item x="2203"/>
        <item x="3025"/>
        <item x="939"/>
        <item x="1526"/>
        <item x="114"/>
        <item x="1607"/>
        <item x="2262"/>
        <item x="859"/>
        <item x="2614"/>
        <item x="1578"/>
        <item x="195"/>
        <item x="3229"/>
        <item x="3147"/>
        <item x="3429"/>
        <item x="713"/>
        <item x="2822"/>
        <item x="2516"/>
        <item x="2634"/>
        <item x="436"/>
        <item x="1857"/>
        <item x="320"/>
        <item x="1506"/>
        <item x="2123"/>
        <item x="2523"/>
        <item x="3029"/>
        <item x="1986"/>
        <item x="2169"/>
        <item x="2870"/>
        <item x="3261"/>
        <item x="152"/>
        <item x="2804"/>
        <item x="1446"/>
        <item x="1159"/>
        <item x="1095"/>
        <item x="774"/>
        <item x="674"/>
        <item x="222"/>
        <item x="3314"/>
        <item x="2138"/>
        <item x="1132"/>
        <item x="1894"/>
        <item x="261"/>
        <item x="2985"/>
        <item x="544"/>
        <item x="1728"/>
        <item x="230"/>
        <item x="2696"/>
        <item x="1580"/>
        <item x="2670"/>
        <item x="2355"/>
        <item x="2450"/>
        <item x="2812"/>
        <item x="2064"/>
        <item x="267"/>
        <item x="3401"/>
        <item x="1856"/>
        <item x="1751"/>
        <item x="1975"/>
        <item x="361"/>
        <item x="986"/>
        <item x="846"/>
        <item x="1960"/>
        <item x="2044"/>
        <item x="3302"/>
        <item x="2966"/>
        <item x="1702"/>
        <item x="971"/>
        <item x="2446"/>
        <item x="2502"/>
        <item x="102"/>
        <item x="87"/>
        <item x="2031"/>
        <item x="1323"/>
        <item x="471"/>
        <item x="2589"/>
        <item x="2114"/>
        <item x="186"/>
        <item x="1239"/>
        <item x="324"/>
        <item x="2608"/>
        <item x="2148"/>
        <item x="1680"/>
        <item x="588"/>
        <item x="1950"/>
        <item x="467"/>
        <item x="675"/>
        <item x="1431"/>
        <item x="630"/>
        <item x="23"/>
        <item x="2449"/>
        <item x="3358"/>
        <item x="998"/>
        <item x="3103"/>
        <item x="1902"/>
        <item x="2986"/>
        <item x="451"/>
        <item x="1344"/>
        <item x="517"/>
        <item x="2678"/>
        <item x="1502"/>
        <item x="1591"/>
        <item x="2233"/>
        <item x="3339"/>
        <item x="2011"/>
        <item x="2029"/>
        <item x="2667"/>
        <item x="2390"/>
        <item x="1669"/>
        <item x="139"/>
        <item x="366"/>
        <item x="807"/>
        <item x="1615"/>
        <item x="3161"/>
        <item x="2385"/>
        <item x="1939"/>
        <item x="346"/>
        <item x="2359"/>
        <item x="2038"/>
        <item x="1889"/>
        <item x="1297"/>
        <item x="761"/>
        <item x="1149"/>
        <item x="263"/>
        <item x="2939"/>
        <item x="3141"/>
        <item x="2495"/>
        <item x="875"/>
        <item x="3397"/>
        <item x="54"/>
        <item x="1410"/>
        <item x="861"/>
        <item x="3464"/>
        <item x="1554"/>
        <item x="401"/>
        <item x="1424"/>
        <item x="202"/>
        <item x="2925"/>
        <item x="1958"/>
        <item x="344"/>
        <item x="2976"/>
        <item x="1417"/>
        <item x="1049"/>
        <item x="2096"/>
        <item x="781"/>
        <item x="1619"/>
        <item x="955"/>
        <item x="3432"/>
        <item x="2814"/>
        <item x="500"/>
        <item x="25"/>
        <item x="2790"/>
        <item x="3279"/>
        <item x="855"/>
        <item x="20"/>
        <item x="1855"/>
        <item x="2378"/>
        <item x="1466"/>
        <item x="1933"/>
        <item x="933"/>
        <item x="190"/>
        <item x="1227"/>
        <item x="3136"/>
        <item x="3188"/>
        <item x="673"/>
        <item x="390"/>
        <item x="1621"/>
        <item x="1101"/>
        <item x="1106"/>
        <item x="1151"/>
        <item x="3465"/>
        <item x="2457"/>
        <item x="646"/>
        <item x="835"/>
        <item x="1499"/>
        <item x="1811"/>
        <item x="2674"/>
        <item x="1538"/>
        <item x="856"/>
        <item x="3308"/>
        <item x="1346"/>
        <item x="2302"/>
        <item x="1189"/>
        <item x="1839"/>
        <item x="2788"/>
        <item x="109"/>
        <item x="3237"/>
        <item x="1938"/>
        <item x="1888"/>
        <item x="683"/>
        <item x="1196"/>
        <item x="2168"/>
        <item x="1738"/>
        <item x="47"/>
        <item x="1165"/>
        <item x="158"/>
        <item x="2859"/>
        <item x="44"/>
        <item x="651"/>
        <item x="2754"/>
        <item x="411"/>
        <item x="1684"/>
        <item x="1637"/>
        <item x="2829"/>
        <item x="2312"/>
        <item x="1749"/>
        <item x="519"/>
        <item x="431"/>
        <item x="2474"/>
        <item x="3030"/>
        <item x="171"/>
        <item x="2181"/>
        <item x="2832"/>
        <item x="2130"/>
        <item x="1852"/>
        <item x="3189"/>
        <item x="3330"/>
        <item x="2258"/>
        <item x="2039"/>
        <item x="513"/>
        <item x="2165"/>
        <item x="1480"/>
        <item x="1563"/>
        <item x="1221"/>
        <item x="2364"/>
        <item x="2989"/>
        <item x="2242"/>
        <item x="768"/>
        <item x="561"/>
        <item x="2704"/>
        <item x="1794"/>
        <item x="691"/>
        <item x="664"/>
        <item x="1472"/>
        <item x="294"/>
        <item x="2963"/>
        <item x="1053"/>
        <item x="1971"/>
        <item x="2469"/>
        <item x="2543"/>
        <item x="3362"/>
        <item x="1236"/>
        <item x="64"/>
        <item x="2156"/>
        <item x="521"/>
        <item x="283"/>
        <item x="2652"/>
        <item x="3454"/>
        <item x="41"/>
        <item x="3434"/>
        <item x="1775"/>
        <item x="2808"/>
        <item x="1509"/>
        <item x="596"/>
        <item x="653"/>
        <item x="75"/>
        <item x="1532"/>
        <item x="2438"/>
        <item x="1157"/>
        <item x="2216"/>
        <item x="985"/>
        <item x="3182"/>
        <item x="680"/>
        <item x="1386"/>
        <item x="333"/>
        <item x="2267"/>
        <item x="1483"/>
        <item x="119"/>
        <item x="1368"/>
        <item x="1866"/>
        <item x="511"/>
        <item x="2999"/>
        <item x="3483"/>
        <item x="706"/>
        <item x="3333"/>
        <item x="842"/>
        <item x="1258"/>
        <item x="343"/>
        <item x="2042"/>
        <item x="1520"/>
        <item x="2078"/>
        <item x="726"/>
        <item x="2304"/>
        <item x="2887"/>
        <item x="1325"/>
        <item x="3009"/>
        <item x="1987"/>
        <item x="382"/>
        <item x="2918"/>
        <item x="1715"/>
        <item x="2848"/>
        <item x="1874"/>
        <item x="1485"/>
        <item x="1319"/>
        <item x="396"/>
        <item x="1309"/>
        <item x="2347"/>
        <item x="12"/>
        <item x="2209"/>
        <item x="3415"/>
        <item x="2772"/>
        <item x="458"/>
        <item x="1777"/>
        <item x="2714"/>
        <item x="2700"/>
        <item x="528"/>
        <item x="1019"/>
        <item x="3439"/>
        <item x="49"/>
        <item x="1302"/>
        <item x="2677"/>
        <item x="376"/>
        <item x="490"/>
        <item x="1897"/>
        <item x="307"/>
        <item x="2906"/>
        <item x="3447"/>
        <item x="229"/>
        <item x="827"/>
        <item x="60"/>
        <item x="132"/>
        <item x="3016"/>
        <item x="2945"/>
        <item x="867"/>
        <item x="1333"/>
        <item x="1352"/>
        <item x="1843"/>
        <item x="509"/>
        <item x="2219"/>
        <item x="2481"/>
        <item x="2760"/>
        <item x="743"/>
        <item x="2611"/>
        <item x="1037"/>
        <item x="2124"/>
        <item x="1598"/>
        <item x="508"/>
        <item x="764"/>
        <item x="1186"/>
        <item x="1044"/>
        <item x="497"/>
        <item x="1911"/>
        <item x="3504"/>
        <item x="1454"/>
        <item x="2002"/>
        <item x="3162"/>
        <item x="1980"/>
        <item x="2409"/>
        <item x="1492"/>
        <item x="1611"/>
        <item x="3021"/>
        <item x="1840"/>
        <item x="3019"/>
        <item x="1276"/>
        <item x="415"/>
        <item x="1426"/>
        <item x="3371"/>
        <item x="2452"/>
        <item x="3460"/>
        <item x="1300"/>
        <item x="2092"/>
        <item x="1966"/>
        <item x="2306"/>
        <item x="3323"/>
        <item x="2072"/>
        <item x="1755"/>
        <item x="3340"/>
        <item x="677"/>
        <item x="1109"/>
        <item x="771"/>
        <item x="1576"/>
        <item x="303"/>
        <item x="3055"/>
        <item x="491"/>
        <item x="3094"/>
        <item x="2996"/>
        <item x="1197"/>
        <item x="2440"/>
        <item x="860"/>
        <item x="3410"/>
        <item x="1267"/>
        <item x="1442"/>
        <item x="2343"/>
        <item x="2896"/>
        <item x="2518"/>
        <item x="1822"/>
        <item x="1085"/>
        <item x="2083"/>
        <item x="3015"/>
        <item x="137"/>
        <item x="1670"/>
        <item x="967"/>
        <item x="977"/>
        <item x="2354"/>
        <item x="1704"/>
        <item x="2480"/>
        <item x="1513"/>
        <item x="1117"/>
        <item x="326"/>
        <item x="1612"/>
        <item x="3056"/>
        <item x="460"/>
        <item x="3075"/>
        <item x="310"/>
        <item x="1400"/>
        <item x="3176"/>
        <item x="1747"/>
        <item x="2000"/>
        <item x="1653"/>
        <item x="1067"/>
        <item x="1719"/>
        <item x="2383"/>
        <item x="1301"/>
        <item x="1308"/>
        <item x="1695"/>
        <item x="3359"/>
        <item x="913"/>
        <item x="478"/>
        <item x="2731"/>
        <item x="453"/>
        <item x="685"/>
        <item x="782"/>
        <item x="2227"/>
        <item x="1397"/>
        <item x="2676"/>
        <item x="1020"/>
        <item x="1508"/>
        <item x="3310"/>
        <item x="3284"/>
        <item x="1967"/>
        <item x="2333"/>
        <item x="2257"/>
        <item x="1961"/>
        <item x="1104"/>
        <item x="1430"/>
        <item x="1943"/>
        <item x="1170"/>
        <item x="1211"/>
        <item x="626"/>
        <item x="1962"/>
        <item x="2875"/>
        <item x="93"/>
        <item x="1581"/>
        <item x="339"/>
        <item x="1567"/>
        <item x="299"/>
        <item x="1474"/>
        <item x="1746"/>
        <item x="1849"/>
        <item x="3198"/>
        <item x="2019"/>
        <item x="3327"/>
        <item x="1927"/>
        <item x="2606"/>
        <item x="642"/>
        <item x="3196"/>
        <item x="2237"/>
        <item x="2744"/>
        <item x="1942"/>
        <item x="1720"/>
        <item x="2680"/>
        <item x="1028"/>
        <item x="994"/>
        <item x="1118"/>
        <item x="3013"/>
        <item x="16"/>
        <item x="2860"/>
        <item x="3345"/>
        <item x="1827"/>
        <item x="984"/>
        <item x="2090"/>
        <item x="2761"/>
        <item x="336"/>
        <item x="1660"/>
        <item x="2995"/>
        <item x="2863"/>
        <item x="8"/>
        <item x="3351"/>
        <item x="3325"/>
        <item x="2051"/>
        <item x="2573"/>
        <item x="602"/>
        <item x="1134"/>
        <item x="221"/>
        <item x="36"/>
        <item x="1436"/>
        <item x="2893"/>
        <item x="534"/>
        <item x="3059"/>
        <item x="3331"/>
        <item x="3389"/>
        <item x="2491"/>
        <item x="1947"/>
        <item x="2642"/>
        <item x="526"/>
        <item x="914"/>
        <item x="2085"/>
        <item x="2471"/>
        <item x="2598"/>
        <item x="620"/>
        <item x="2189"/>
        <item x="2293"/>
        <item x="465"/>
        <item x="14"/>
        <item x="2904"/>
        <item x="1235"/>
        <item x="423"/>
        <item x="2026"/>
        <item x="2816"/>
        <item x="2565"/>
        <item x="3258"/>
        <item x="17"/>
        <item x="3370"/>
        <item x="729"/>
        <item x="3149"/>
        <item x="2334"/>
        <item x="3366"/>
        <item x="1560"/>
        <item x="1804"/>
        <item x="982"/>
        <item x="3341"/>
        <item x="143"/>
        <item x="3294"/>
        <item x="3131"/>
        <item x="3417"/>
        <item x="3251"/>
        <item x="2917"/>
        <item x="3497"/>
        <item x="372"/>
        <item x="3472"/>
        <item x="3118"/>
        <item x="2376"/>
        <item x="2977"/>
        <item x="1639"/>
        <item x="3028"/>
        <item x="2830"/>
        <item x="1823"/>
        <item x="1727"/>
        <item x="5"/>
        <item x="3005"/>
        <item x="2160"/>
        <item x="1245"/>
        <item x="2561"/>
        <item x="3490"/>
        <item x="2717"/>
        <item x="2785"/>
        <item x="146"/>
        <item x="308"/>
        <item x="2294"/>
        <item x="633"/>
        <item x="1877"/>
        <item x="231"/>
        <item x="1682"/>
        <item x="3343"/>
        <item x="1535"/>
        <item x="1043"/>
        <item x="3134"/>
        <item x="845"/>
        <item x="328"/>
        <item x="3235"/>
        <item x="609"/>
        <item x="1463"/>
        <item x="1182"/>
        <item x="3384"/>
        <item x="1815"/>
        <item x="841"/>
        <item x="1123"/>
        <item x="449"/>
        <item x="3304"/>
        <item x="1077"/>
        <item x="848"/>
        <item x="2036"/>
        <item x="3092"/>
        <item x="3458"/>
        <item x="325"/>
        <item x="2360"/>
        <item x="2725"/>
        <item x="1837"/>
        <item x="2150"/>
        <item x="240"/>
        <item x="2331"/>
        <item x="1657"/>
        <item x="1831"/>
        <item x="2687"/>
        <item x="1913"/>
        <item x="958"/>
        <item x="3484"/>
        <item x="2463"/>
        <item x="1993"/>
        <item x="2395"/>
        <item x="1726"/>
        <item x="1011"/>
        <item x="3098"/>
        <item x="1290"/>
        <item x="196"/>
        <item x="31"/>
        <item x="3252"/>
        <item x="2434"/>
        <item x="330"/>
        <item x="1995"/>
        <item x="1781"/>
        <item x="3266"/>
        <item x="3449"/>
        <item x="3445"/>
        <item x="3399"/>
        <item x="1536"/>
        <item x="1224"/>
        <item x="3470"/>
        <item x="2129"/>
        <item x="2357"/>
        <item x="766"/>
        <item x="1313"/>
        <item x="2098"/>
        <item x="1627"/>
        <item x="2059"/>
        <item x="1948"/>
        <item x="1770"/>
        <item x="357"/>
        <item x="2662"/>
        <item x="381"/>
        <item x="3448"/>
        <item x="3008"/>
        <item x="3042"/>
        <item x="1457"/>
        <item x="2648"/>
        <item x="2842"/>
        <item x="1698"/>
        <item x="869"/>
        <item x="2490"/>
        <item x="575"/>
        <item x="311"/>
        <item x="732"/>
        <item x="213"/>
        <item x="3392"/>
        <item x="1448"/>
        <item x="708"/>
        <item x="2807"/>
        <item x="3024"/>
        <item x="892"/>
        <item x="2277"/>
        <item x="2770"/>
        <item x="1330"/>
        <item x="1693"/>
        <item x="2898"/>
        <item x="2886"/>
        <item x="3083"/>
        <item x="3193"/>
        <item x="754"/>
        <item x="3210"/>
        <item x="2265"/>
        <item x="2340"/>
        <item x="2937"/>
        <item x="1676"/>
        <item x="456"/>
        <item x="2907"/>
        <item x="2185"/>
        <item x="2145"/>
        <item x="255"/>
        <item x="3174"/>
        <item x="2828"/>
        <item x="1503"/>
        <item x="3424"/>
        <item x="853"/>
        <item x="1168"/>
        <item x="1990"/>
        <item x="2597"/>
        <item x="3116"/>
        <item x="2315"/>
        <item x="2041"/>
        <item x="1498"/>
        <item x="1662"/>
        <item x="2781"/>
        <item x="2095"/>
        <item x="1989"/>
        <item x="2953"/>
        <item x="2175"/>
        <item x="2742"/>
        <item x="930"/>
        <item t="default"/>
      </items>
    </pivotField>
    <pivotField axis="axisRow" showAll="0" measureFilter="1">
      <items count="18">
        <item x="1"/>
        <item x="0"/>
        <item x="8"/>
        <item x="2"/>
        <item x="4"/>
        <item x="3"/>
        <item x="7"/>
        <item x="5"/>
        <item x="11"/>
        <item x="9"/>
        <item x="6"/>
        <item x="12"/>
        <item x="10"/>
        <item x="16"/>
        <item x="15"/>
        <item x="14"/>
        <item x="13"/>
        <item t="default"/>
      </items>
    </pivotField>
  </pivotFields>
  <rowFields count="3">
    <field x="17"/>
    <field x="9"/>
    <field x="18"/>
  </rowFields>
  <rowItems count="37">
    <i>
      <x v="90"/>
    </i>
    <i r="1">
      <x v="10"/>
    </i>
    <i r="2">
      <x v="10"/>
    </i>
    <i>
      <x v="512"/>
    </i>
    <i r="1">
      <x v="10"/>
    </i>
    <i r="2">
      <x/>
    </i>
    <i>
      <x v="834"/>
    </i>
    <i r="1">
      <x v="10"/>
    </i>
    <i r="2">
      <x v="3"/>
    </i>
    <i>
      <x v="1066"/>
    </i>
    <i r="1">
      <x v="10"/>
    </i>
    <i r="2">
      <x v="7"/>
    </i>
    <i>
      <x v="1116"/>
    </i>
    <i r="1">
      <x v="10"/>
    </i>
    <i r="2">
      <x v="10"/>
    </i>
    <i>
      <x v="1196"/>
    </i>
    <i r="1">
      <x v="10"/>
    </i>
    <i r="2">
      <x v="1"/>
    </i>
    <i>
      <x v="1396"/>
    </i>
    <i r="1">
      <x v="10"/>
    </i>
    <i r="2">
      <x v="4"/>
    </i>
    <i>
      <x v="1429"/>
    </i>
    <i r="1">
      <x v="10"/>
    </i>
    <i r="2">
      <x/>
    </i>
    <i>
      <x v="1558"/>
    </i>
    <i r="1">
      <x v="10"/>
    </i>
    <i r="2">
      <x v="5"/>
    </i>
    <i>
      <x v="2265"/>
    </i>
    <i r="1">
      <x v="10"/>
    </i>
    <i r="2">
      <x/>
    </i>
    <i>
      <x v="2824"/>
    </i>
    <i r="1">
      <x v="10"/>
    </i>
    <i r="2">
      <x v="1"/>
    </i>
    <i>
      <x v="3129"/>
    </i>
    <i r="1">
      <x v="10"/>
    </i>
    <i r="2">
      <x v="10"/>
    </i>
    <i t="grand">
      <x/>
    </i>
  </rowItems>
  <colItems count="1">
    <i/>
  </colItems>
  <dataFields count="1">
    <dataField name="Sum of imdb_score" fld="13" baseField="0" baseItem="0"/>
  </dataFields>
  <chartFormats count="2"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2">
    <filter fld="18" type="count" evalOrder="-1" id="5" iMeasureFld="0">
      <autoFilter ref="A1">
        <filterColumn colId="0">
          <top10 val="5" filterVal="5"/>
        </filterColumn>
      </autoFilter>
    </filter>
    <filter fld="17" type="count" evalOrder="-1" id="7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C966A6-4384-4F2B-8BE5-7437D62B882A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BB1:BC12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46">
        <item x="35"/>
        <item x="17"/>
        <item x="43"/>
        <item x="3"/>
        <item x="16"/>
        <item x="19"/>
        <item x="9"/>
        <item x="40"/>
        <item x="6"/>
        <item x="34"/>
        <item x="33"/>
        <item x="23"/>
        <item x="24"/>
        <item x="8"/>
        <item x="39"/>
        <item x="5"/>
        <item x="26"/>
        <item x="4"/>
        <item x="22"/>
        <item x="20"/>
        <item x="10"/>
        <item x="30"/>
        <item x="18"/>
        <item x="7"/>
        <item x="44"/>
        <item x="1"/>
        <item x="15"/>
        <item x="13"/>
        <item x="31"/>
        <item x="11"/>
        <item x="27"/>
        <item x="37"/>
        <item x="29"/>
        <item x="32"/>
        <item x="42"/>
        <item x="36"/>
        <item x="25"/>
        <item x="14"/>
        <item x="12"/>
        <item x="38"/>
        <item x="21"/>
        <item x="28"/>
        <item x="2"/>
        <item x="0"/>
        <item x="4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>
      <items count="3523">
        <item x="583"/>
        <item x="1429"/>
        <item x="2476"/>
        <item x="2398"/>
        <item x="1366"/>
        <item x="3040"/>
        <item x="757"/>
        <item x="919"/>
        <item x="81"/>
        <item x="2719"/>
        <item x="3386"/>
        <item x="1979"/>
        <item x="1259"/>
        <item x="1910"/>
        <item x="2057"/>
        <item x="929"/>
        <item x="2877"/>
        <item x="2778"/>
        <item x="3097"/>
        <item x="1312"/>
        <item x="2141"/>
        <item x="2750"/>
        <item x="1964"/>
        <item x="611"/>
        <item x="527"/>
        <item x="2757"/>
        <item x="1093"/>
        <item x="701"/>
        <item x="3512"/>
        <item x="1073"/>
        <item x="1379"/>
        <item x="126"/>
        <item x="1273"/>
        <item x="831"/>
        <item x="3158"/>
        <item x="1042"/>
        <item x="3194"/>
        <item x="1689"/>
        <item x="2793"/>
        <item x="3062"/>
        <item x="1054"/>
        <item x="932"/>
        <item x="3393"/>
        <item x="2552"/>
        <item x="1935"/>
        <item x="1081"/>
        <item x="3316"/>
        <item x="1274"/>
        <item x="2692"/>
        <item x="2468"/>
        <item x="441"/>
        <item x="494"/>
        <item x="1773"/>
        <item x="1798"/>
        <item x="850"/>
        <item x="948"/>
        <item x="2553"/>
        <item x="944"/>
        <item x="1869"/>
        <item x="1599"/>
        <item x="1139"/>
        <item x="2330"/>
        <item x="2324"/>
        <item x="3051"/>
        <item x="577"/>
        <item x="2555"/>
        <item x="1191"/>
        <item x="2131"/>
        <item x="88"/>
        <item x="2800"/>
        <item x="3349"/>
        <item x="3"/>
        <item x="3275"/>
        <item x="385"/>
        <item x="592"/>
        <item x="631"/>
        <item x="1003"/>
        <item x="2705"/>
        <item x="1663"/>
        <item x="2735"/>
        <item x="2003"/>
        <item x="3350"/>
        <item x="50"/>
        <item x="752"/>
        <item x="370"/>
        <item x="2176"/>
        <item x="2519"/>
        <item x="3078"/>
        <item x="731"/>
        <item x="510"/>
        <item x="26"/>
        <item x="1546"/>
        <item x="962"/>
        <item x="2703"/>
        <item x="2528"/>
        <item x="1725"/>
        <item x="966"/>
        <item x="2621"/>
        <item x="2910"/>
        <item x="3148"/>
        <item x="3215"/>
        <item x="2178"/>
        <item x="740"/>
        <item x="953"/>
        <item x="1201"/>
        <item x="1896"/>
        <item x="2610"/>
        <item x="3238"/>
        <item x="233"/>
        <item x="741"/>
        <item x="2349"/>
        <item x="721"/>
        <item x="164"/>
        <item x="2297"/>
        <item x="2962"/>
        <item x="2513"/>
        <item x="587"/>
        <item x="3032"/>
        <item x="2730"/>
        <item x="712"/>
        <item x="1697"/>
        <item x="2984"/>
        <item x="302"/>
        <item x="1120"/>
        <item x="564"/>
        <item x="437"/>
        <item x="292"/>
        <item x="2269"/>
        <item x="2361"/>
        <item x="1487"/>
        <item x="43"/>
        <item x="3211"/>
        <item x="1779"/>
        <item x="2780"/>
        <item x="1907"/>
        <item x="1610"/>
        <item x="2709"/>
        <item x="1544"/>
        <item x="2020"/>
        <item x="3328"/>
        <item x="576"/>
        <item x="2964"/>
        <item x="3344"/>
        <item x="368"/>
        <item x="3132"/>
        <item x="3481"/>
        <item x="100"/>
        <item x="2120"/>
        <item x="1723"/>
        <item x="1212"/>
        <item x="790"/>
        <item x="1015"/>
        <item x="1778"/>
        <item x="2797"/>
        <item x="1094"/>
        <item x="767"/>
        <item x="735"/>
        <item x="2588"/>
        <item x="2839"/>
        <item x="616"/>
        <item x="33"/>
        <item x="3422"/>
        <item x="78"/>
        <item x="2470"/>
        <item x="2173"/>
        <item x="1287"/>
        <item x="1338"/>
        <item x="1223"/>
        <item x="3487"/>
        <item x="803"/>
        <item x="3278"/>
        <item x="2544"/>
        <item x="2949"/>
        <item x="425"/>
        <item x="2530"/>
        <item x="2881"/>
        <item x="1908"/>
        <item x="51"/>
        <item x="408"/>
        <item x="3222"/>
        <item x="3336"/>
        <item x="2299"/>
        <item x="3046"/>
        <item x="687"/>
        <item x="140"/>
        <item x="1269"/>
        <item x="160"/>
        <item x="1460"/>
        <item x="340"/>
        <item x="990"/>
        <item x="3241"/>
        <item x="1370"/>
        <item x="2368"/>
        <item x="38"/>
        <item x="1062"/>
        <item x="2755"/>
        <item x="1543"/>
        <item x="2308"/>
        <item x="2133"/>
        <item x="927"/>
        <item x="3233"/>
        <item x="2895"/>
        <item x="2520"/>
        <item x="541"/>
        <item x="800"/>
        <item x="2404"/>
        <item x="1545"/>
        <item x="2791"/>
        <item x="3110"/>
        <item x="802"/>
        <item x="2779"/>
        <item x="1174"/>
        <item x="3068"/>
        <item x="3175"/>
        <item x="3468"/>
        <item x="2752"/>
        <item x="211"/>
        <item x="348"/>
        <item x="2798"/>
        <item x="3220"/>
        <item x="2843"/>
        <item x="2429"/>
        <item x="1873"/>
        <item x="2616"/>
        <item x="2458"/>
        <item x="3218"/>
        <item x="762"/>
        <item x="2061"/>
        <item x="3033"/>
        <item x="1373"/>
        <item x="2321"/>
        <item x="3431"/>
        <item x="2113"/>
        <item x="2799"/>
        <item x="2618"/>
        <item x="1190"/>
        <item x="3420"/>
        <item x="3256"/>
        <item x="2393"/>
        <item x="1383"/>
        <item x="557"/>
        <item x="3095"/>
        <item x="3348"/>
        <item x="470"/>
        <item x="2576"/>
        <item x="3150"/>
        <item x="2372"/>
        <item x="591"/>
        <item x="1845"/>
        <item x="1743"/>
        <item x="1555"/>
        <item x="1754"/>
        <item x="2300"/>
        <item x="3133"/>
        <item x="1656"/>
        <item x="3060"/>
        <item x="2721"/>
        <item x="2424"/>
        <item x="1066"/>
        <item x="836"/>
        <item x="2442"/>
        <item x="1278"/>
        <item x="595"/>
        <item x="543"/>
        <item x="241"/>
        <item x="1916"/>
        <item x="2922"/>
        <item x="2154"/>
        <item x="1628"/>
        <item x="1219"/>
        <item x="1745"/>
        <item x="1205"/>
        <item x="90"/>
        <item x="1215"/>
        <item x="2894"/>
        <item x="2351"/>
        <item x="394"/>
        <item x="3156"/>
        <item x="2464"/>
        <item x="1481"/>
        <item x="1646"/>
        <item x="973"/>
        <item x="2539"/>
        <item x="2566"/>
        <item x="655"/>
        <item x="2969"/>
        <item x="905"/>
        <item x="531"/>
        <item x="1443"/>
        <item x="1496"/>
        <item x="3180"/>
        <item x="2993"/>
        <item x="969"/>
        <item x="2640"/>
        <item x="3247"/>
        <item x="496"/>
        <item x="238"/>
        <item x="94"/>
        <item x="1819"/>
        <item x="35"/>
        <item x="1516"/>
        <item x="128"/>
        <item x="1385"/>
        <item x="3414"/>
        <item x="3462"/>
        <item x="1898"/>
        <item x="1928"/>
        <item x="1541"/>
        <item x="2766"/>
        <item x="1826"/>
        <item x="3089"/>
        <item x="3002"/>
        <item x="2600"/>
        <item x="2625"/>
        <item x="2292"/>
        <item x="288"/>
        <item x="3381"/>
        <item x="111"/>
        <item x="32"/>
        <item x="1732"/>
        <item x="2323"/>
        <item x="332"/>
        <item x="785"/>
        <item x="2885"/>
        <item x="2278"/>
        <item x="1944"/>
        <item x="570"/>
        <item x="1114"/>
        <item x="2879"/>
        <item x="1940"/>
        <item x="2462"/>
        <item x="1758"/>
        <item x="700"/>
        <item x="2408"/>
        <item x="2932"/>
        <item x="1762"/>
        <item x="2313"/>
        <item x="1992"/>
        <item x="3104"/>
        <item x="2183"/>
        <item x="2291"/>
        <item x="3169"/>
        <item x="812"/>
        <item x="604"/>
        <item x="2461"/>
        <item x="148"/>
        <item x="1547"/>
        <item x="2899"/>
        <item x="2527"/>
        <item x="3072"/>
        <item x="2581"/>
        <item x="612"/>
        <item x="113"/>
        <item x="2500"/>
        <item x="1486"/>
        <item x="1521"/>
        <item x="2283"/>
        <item x="2180"/>
        <item x="1731"/>
        <item x="1714"/>
        <item x="1681"/>
        <item x="1864"/>
        <item x="2542"/>
        <item x="1395"/>
        <item x="1706"/>
        <item x="1193"/>
        <item x="3433"/>
        <item x="1041"/>
        <item x="705"/>
        <item x="3287"/>
        <item x="2942"/>
        <item x="890"/>
        <item x="551"/>
        <item x="3260"/>
        <item x="301"/>
        <item x="804"/>
        <item x="1354"/>
        <item x="266"/>
        <item x="1735"/>
        <item x="2230"/>
        <item x="2702"/>
        <item x="1462"/>
        <item x="236"/>
        <item x="2915"/>
        <item x="2783"/>
        <item x="10"/>
        <item x="1854"/>
        <item x="1529"/>
        <item x="1375"/>
        <item x="1199"/>
        <item x="2592"/>
        <item x="1925"/>
        <item x="3292"/>
        <item x="2672"/>
        <item x="3164"/>
        <item x="1884"/>
        <item x="1441"/>
        <item x="1078"/>
        <item x="1421"/>
        <item x="3200"/>
        <item x="2560"/>
        <item x="3510"/>
        <item x="1001"/>
        <item x="3405"/>
        <item x="2140"/>
        <item x="820"/>
        <item x="1590"/>
        <item x="1478"/>
        <item x="2027"/>
        <item x="3313"/>
        <item x="2884"/>
        <item x="1218"/>
        <item x="1160"/>
        <item x="3518"/>
        <item x="2499"/>
        <item x="1825"/>
        <item x="1311"/>
        <item x="1102"/>
        <item x="686"/>
        <item x="3124"/>
        <item x="690"/>
        <item x="2568"/>
        <item x="3491"/>
        <item x="282"/>
        <item x="2420"/>
        <item x="808"/>
        <item x="1369"/>
        <item x="2585"/>
        <item x="2653"/>
        <item x="628"/>
        <item x="1737"/>
        <item x="2720"/>
        <item x="2402"/>
        <item x="806"/>
        <item x="809"/>
        <item x="2369"/>
        <item x="2759"/>
        <item x="2574"/>
        <item x="1596"/>
        <item x="3190"/>
        <item x="1634"/>
        <item x="2004"/>
        <item x="3047"/>
        <item x="1225"/>
        <item x="2392"/>
        <item x="2926"/>
        <item x="1126"/>
        <item x="194"/>
        <item x="130"/>
        <item x="978"/>
        <item x="1865"/>
        <item x="3007"/>
        <item x="1176"/>
        <item x="1489"/>
        <item x="2009"/>
        <item x="2202"/>
        <item x="2900"/>
        <item x="615"/>
        <item x="3179"/>
        <item x="1556"/>
        <item x="1293"/>
        <item x="3157"/>
        <item x="1946"/>
        <item x="1471"/>
        <item x="165"/>
        <item x="538"/>
        <item x="191"/>
        <item x="2021"/>
        <item x="2736"/>
        <item x="3012"/>
        <item x="1244"/>
        <item x="737"/>
        <item x="945"/>
        <item x="2190"/>
        <item x="244"/>
        <item x="3513"/>
        <item x="3048"/>
        <item x="3137"/>
        <item x="600"/>
        <item x="2596"/>
        <item x="386"/>
        <item x="1890"/>
        <item x="2647"/>
        <item x="3052"/>
        <item x="3243"/>
        <item x="1703"/>
        <item x="755"/>
        <item x="65"/>
        <item x="1929"/>
        <item x="2990"/>
        <item x="2833"/>
        <item x="1988"/>
        <item x="2311"/>
        <item x="2796"/>
        <item x="3006"/>
        <item x="2008"/>
        <item x="838"/>
        <item x="2728"/>
        <item x="2699"/>
        <item x="2448"/>
        <item x="3442"/>
        <item x="621"/>
        <item x="1228"/>
        <item x="183"/>
        <item x="3123"/>
        <item x="2316"/>
        <item x="3163"/>
        <item x="610"/>
        <item x="3171"/>
        <item x="3421"/>
        <item x="2425"/>
        <item x="1895"/>
        <item x="371"/>
        <item x="566"/>
        <item x="981"/>
        <item x="2987"/>
        <item x="433"/>
        <item x="780"/>
        <item x="448"/>
        <item x="2711"/>
        <item x="2892"/>
        <item x="2065"/>
        <item x="1867"/>
        <item x="503"/>
        <item x="2186"/>
        <item x="1371"/>
        <item x="3509"/>
        <item x="159"/>
        <item x="3511"/>
        <item x="2868"/>
        <item x="1057"/>
        <item x="2485"/>
        <item x="1604"/>
        <item x="3065"/>
        <item x="237"/>
        <item x="3356"/>
        <item x="3221"/>
        <item x="1512"/>
        <item x="2948"/>
        <item x="1071"/>
        <item x="1294"/>
        <item x="2869"/>
        <item x="2803"/>
        <item x="834"/>
        <item x="2582"/>
        <item x="375"/>
        <item x="2454"/>
        <item x="15"/>
        <item x="1185"/>
        <item x="763"/>
        <item x="2831"/>
        <item x="1978"/>
        <item x="1289"/>
        <item x="2071"/>
        <item x="881"/>
        <item x="2477"/>
        <item x="1121"/>
        <item x="285"/>
        <item x="3187"/>
        <item x="1173"/>
        <item x="447"/>
        <item x="1033"/>
        <item x="1858"/>
        <item x="1108"/>
        <item x="2620"/>
        <item x="550"/>
        <item x="2920"/>
        <item x="2171"/>
        <item x="254"/>
        <item x="2231"/>
        <item x="3373"/>
        <item x="1413"/>
        <item x="110"/>
        <item x="872"/>
        <item x="2136"/>
        <item x="3281"/>
        <item x="3500"/>
        <item x="3387"/>
        <item x="750"/>
        <item x="662"/>
        <item x="1435"/>
        <item x="2307"/>
        <item x="1744"/>
        <item x="3011"/>
        <item x="893"/>
        <item x="1153"/>
        <item x="2488"/>
        <item x="594"/>
        <item x="377"/>
        <item x="2864"/>
        <item x="2252"/>
        <item x="2815"/>
        <item x="296"/>
        <item x="1334"/>
        <item x="2147"/>
        <item x="3014"/>
        <item x="1609"/>
        <item x="1100"/>
        <item x="1447"/>
        <item x="3485"/>
        <item x="1625"/>
        <item x="2132"/>
        <item x="2737"/>
        <item x="2025"/>
        <item x="1763"/>
        <item x="278"/>
        <item x="1593"/>
        <item x="477"/>
        <item x="826"/>
        <item x="2650"/>
        <item x="786"/>
        <item x="1148"/>
        <item x="281"/>
        <item x="3076"/>
        <item x="3152"/>
        <item x="1515"/>
        <item x="3479"/>
        <item x="1851"/>
        <item x="724"/>
        <item x="3411"/>
        <item x="1974"/>
        <item x="3197"/>
        <item x="1710"/>
        <item x="2244"/>
        <item x="562"/>
        <item x="1835"/>
        <item x="2050"/>
        <item x="3035"/>
        <item x="2353"/>
        <item x="2607"/>
        <item x="533"/>
        <item x="1976"/>
        <item x="2037"/>
        <item x="374"/>
        <item x="108"/>
        <item x="1387"/>
        <item x="480"/>
        <item x="993"/>
        <item x="1202"/>
        <item x="1649"/>
        <item x="214"/>
        <item x="1029"/>
        <item x="3453"/>
        <item x="3452"/>
        <item x="2067"/>
        <item x="1573"/>
        <item x="956"/>
        <item x="3377"/>
        <item x="2743"/>
        <item x="2492"/>
        <item x="210"/>
        <item x="904"/>
        <item x="1467"/>
        <item x="2998"/>
        <item x="873"/>
        <item x="2339"/>
        <item x="2521"/>
        <item x="3471"/>
        <item x="2817"/>
        <item x="558"/>
        <item x="3353"/>
        <item x="2287"/>
        <item x="3067"/>
        <item x="1195"/>
        <item x="1730"/>
        <item x="2669"/>
        <item x="1799"/>
        <item x="188"/>
        <item x="798"/>
        <item x="2688"/>
        <item x="1143"/>
        <item x="512"/>
        <item x="1362"/>
        <item x="2164"/>
        <item x="1364"/>
        <item x="2146"/>
        <item x="3466"/>
        <item x="1140"/>
        <item x="3493"/>
        <item x="42"/>
        <item x="3153"/>
        <item x="2222"/>
        <item x="3050"/>
        <item x="1353"/>
        <item x="1796"/>
        <item x="485"/>
        <item x="2456"/>
        <item x="3139"/>
        <item x="649"/>
        <item x="1561"/>
        <item x="670"/>
        <item x="2767"/>
        <item x="1064"/>
        <item x="3001"/>
        <item x="144"/>
        <item x="1909"/>
        <item x="1249"/>
        <item x="936"/>
        <item x="2706"/>
        <item x="2108"/>
        <item x="280"/>
        <item x="657"/>
        <item x="2137"/>
        <item x="862"/>
        <item x="2855"/>
        <item x="2805"/>
        <item x="2916"/>
        <item x="3369"/>
        <item x="3034"/>
        <item x="2968"/>
        <item x="716"/>
        <item x="1666"/>
        <item x="264"/>
        <item x="622"/>
        <item x="3186"/>
        <item x="725"/>
        <item x="1915"/>
        <item x="2309"/>
        <item x="3274"/>
        <item x="73"/>
        <item x="392"/>
        <item x="2617"/>
        <item x="926"/>
        <item x="1810"/>
        <item x="404"/>
        <item x="1399"/>
        <item x="393"/>
        <item x="297"/>
        <item x="2774"/>
        <item x="571"/>
        <item x="2570"/>
        <item x="2532"/>
        <item x="3298"/>
        <item x="3071"/>
        <item x="1694"/>
        <item x="965"/>
        <item x="2727"/>
        <item x="3276"/>
        <item x="1603"/>
        <item x="246"/>
        <item x="2105"/>
        <item x="2356"/>
        <item x="1861"/>
        <item x="430"/>
        <item x="1306"/>
        <item x="1434"/>
        <item x="3267"/>
        <item x="484"/>
        <item x="1586"/>
        <item x="3461"/>
        <item x="2377"/>
        <item x="61"/>
        <item x="2557"/>
        <item x="169"/>
        <item x="3214"/>
        <item x="1030"/>
        <item x="3105"/>
        <item x="3326"/>
        <item x="450"/>
        <item x="207"/>
        <item x="3248"/>
        <item x="2399"/>
        <item x="828"/>
        <item x="2540"/>
        <item x="1243"/>
        <item x="1801"/>
        <item x="563"/>
        <item x="2388"/>
        <item x="1806"/>
        <item x="819"/>
        <item x="1298"/>
        <item x="2325"/>
        <item x="567"/>
        <item x="1275"/>
        <item x="536"/>
        <item x="719"/>
        <item x="2301"/>
        <item x="173"/>
        <item x="1419"/>
        <item x="946"/>
        <item x="2913"/>
        <item x="455"/>
        <item x="1534"/>
        <item x="2407"/>
        <item x="2659"/>
        <item x="2991"/>
        <item x="1636"/>
        <item x="714"/>
        <item x="1141"/>
        <item x="2504"/>
        <item x="2326"/>
        <item x="2994"/>
        <item x="1234"/>
        <item x="2773"/>
        <item x="92"/>
        <item x="1034"/>
        <item x="53"/>
        <item x="1600"/>
        <item x="1444"/>
        <item x="520"/>
        <item x="744"/>
        <item x="52"/>
        <item x="1945"/>
        <item x="58"/>
        <item x="749"/>
        <item x="2517"/>
        <item x="2861"/>
        <item x="3129"/>
        <item x="805"/>
        <item x="2646"/>
        <item x="634"/>
        <item x="3425"/>
        <item x="198"/>
        <item x="2248"/>
        <item x="2282"/>
        <item x="2346"/>
        <item x="3178"/>
        <item x="1175"/>
        <item x="1017"/>
        <item x="275"/>
        <item x="1956"/>
        <item x="1699"/>
        <item x="67"/>
        <item x="717"/>
        <item x="2551"/>
        <item x="1372"/>
        <item x="1035"/>
        <item x="1708"/>
        <item x="1233"/>
        <item x="580"/>
        <item x="406"/>
        <item x="2212"/>
        <item x="3263"/>
        <item x="473"/>
        <item x="1953"/>
        <item x="2844"/>
        <item x="2950"/>
        <item x="2959"/>
        <item x="3408"/>
        <item x="2032"/>
        <item x="3135"/>
        <item x="407"/>
        <item x="457"/>
        <item x="466"/>
        <item x="1594"/>
        <item x="3402"/>
        <item x="359"/>
        <item x="2583"/>
        <item x="1833"/>
        <item x="679"/>
        <item x="979"/>
        <item x="117"/>
        <item x="1342"/>
        <item x="2310"/>
        <item x="2417"/>
        <item x="3077"/>
        <item x="1465"/>
        <item x="1335"/>
        <item x="1595"/>
        <item x="1307"/>
        <item x="987"/>
        <item x="1216"/>
        <item x="1440"/>
        <item x="2707"/>
        <item x="181"/>
        <item x="947"/>
        <item x="1213"/>
        <item x="1210"/>
        <item x="1808"/>
        <item x="2567"/>
        <item x="2637"/>
        <item x="463"/>
        <item x="1766"/>
        <item x="3165"/>
        <item x="3231"/>
        <item x="400"/>
        <item x="0"/>
        <item x="2739"/>
        <item x="178"/>
        <item x="1286"/>
        <item x="2897"/>
        <item x="486"/>
        <item x="954"/>
        <item x="2007"/>
        <item x="2127"/>
        <item x="312"/>
        <item x="2508"/>
        <item x="293"/>
        <item x="3489"/>
        <item x="2595"/>
        <item x="797"/>
        <item x="2801"/>
        <item x="3514"/>
        <item x="2786"/>
        <item x="3378"/>
        <item x="27"/>
        <item x="2109"/>
        <item x="548"/>
        <item x="1061"/>
        <item x="2263"/>
        <item x="3172"/>
        <item x="3112"/>
        <item x="1968"/>
        <item x="2366"/>
        <item x="618"/>
        <item x="2658"/>
        <item x="556"/>
        <item x="1115"/>
        <item x="3374"/>
        <item x="70"/>
        <item x="2751"/>
        <item x="469"/>
        <item x="1051"/>
        <item x="1635"/>
        <item x="1640"/>
        <item x="1261"/>
        <item x="3107"/>
        <item x="1179"/>
        <item x="2992"/>
        <item x="369"/>
        <item x="257"/>
        <item x="258"/>
        <item x="1437"/>
        <item x="1422"/>
        <item x="584"/>
        <item x="2046"/>
        <item x="3023"/>
        <item x="980"/>
        <item x="1490"/>
        <item x="1905"/>
        <item x="2100"/>
        <item x="3079"/>
        <item x="1326"/>
        <item x="438"/>
        <item x="2014"/>
        <item x="338"/>
        <item x="101"/>
        <item x="1292"/>
        <item x="1772"/>
        <item x="3239"/>
        <item x="3346"/>
        <item x="1527"/>
        <item x="748"/>
        <item x="2149"/>
        <item x="286"/>
        <item x="2615"/>
        <item x="363"/>
        <item x="2035"/>
        <item x="334"/>
        <item x="3332"/>
        <item x="1449"/>
        <item x="96"/>
        <item x="2483"/>
        <item x="884"/>
        <item x="176"/>
        <item x="3245"/>
        <item x="72"/>
        <item x="3000"/>
        <item x="2777"/>
        <item x="2350"/>
        <item x="909"/>
        <item x="1497"/>
        <item x="1570"/>
        <item x="952"/>
        <item x="821"/>
        <item x="2853"/>
        <item x="1659"/>
        <item x="2776"/>
        <item x="2254"/>
        <item x="1601"/>
        <item x="2413"/>
        <item x="3342"/>
        <item x="568"/>
        <item x="565"/>
        <item x="2919"/>
        <item x="1906"/>
        <item x="1351"/>
        <item x="3459"/>
        <item x="1691"/>
        <item x="2192"/>
        <item x="2746"/>
        <item x="2118"/>
        <item x="1070"/>
        <item x="2198"/>
        <item x="1378"/>
        <item x="442"/>
        <item x="2505"/>
        <item x="1750"/>
        <item x="1222"/>
        <item x="1488"/>
        <item x="2341"/>
        <item x="1965"/>
        <item x="1052"/>
        <item x="888"/>
        <item x="2396"/>
        <item x="1076"/>
        <item x="242"/>
        <item x="4"/>
        <item x="3480"/>
        <item x="1439"/>
        <item x="1688"/>
        <item x="397"/>
        <item x="3122"/>
        <item x="1687"/>
        <item x="2622"/>
        <item x="2410"/>
        <item x="2952"/>
        <item x="3360"/>
        <item x="2239"/>
        <item x="2973"/>
        <item x="2089"/>
        <item x="2806"/>
        <item x="868"/>
        <item x="2069"/>
        <item x="1088"/>
        <item x="2397"/>
        <item x="1359"/>
        <item x="2569"/>
        <item x="277"/>
        <item x="641"/>
        <item x="192"/>
        <item x="778"/>
        <item x="2111"/>
        <item x="3291"/>
        <item x="2097"/>
        <item x="2060"/>
        <item x="174"/>
        <item x="3145"/>
        <item x="138"/>
        <item x="422"/>
        <item x="402"/>
        <item x="569"/>
        <item x="1206"/>
        <item x="1665"/>
        <item x="3382"/>
        <item x="2871"/>
        <item x="1937"/>
        <item x="2245"/>
        <item x="2660"/>
        <item x="124"/>
        <item x="1445"/>
        <item x="270"/>
        <item x="3457"/>
        <item x="817"/>
        <item x="883"/>
        <item x="1349"/>
        <item x="2179"/>
        <item x="1380"/>
        <item x="428"/>
        <item x="1981"/>
        <item x="123"/>
        <item x="2167"/>
        <item x="362"/>
        <item x="2753"/>
        <item x="1671"/>
        <item x="1332"/>
        <item x="464"/>
        <item x="46"/>
        <item x="3418"/>
        <item x="1482"/>
        <item x="1266"/>
        <item x="2765"/>
        <item x="951"/>
        <item x="1633"/>
        <item x="2210"/>
        <item x="961"/>
        <item x="133"/>
        <item x="2562"/>
        <item x="2682"/>
        <item x="1559"/>
        <item x="2335"/>
        <item x="678"/>
        <item x="2845"/>
        <item x="1941"/>
        <item x="360"/>
        <item x="2834"/>
        <item x="2406"/>
        <item x="2866"/>
        <item x="2857"/>
        <item x="1177"/>
        <item x="80"/>
        <item x="589"/>
        <item x="2157"/>
        <item x="745"/>
        <item x="1263"/>
        <item x="1133"/>
        <item x="882"/>
        <item x="2694"/>
        <item x="335"/>
        <item x="2213"/>
        <item x="1707"/>
        <item x="2723"/>
        <item x="1921"/>
        <item x="1818"/>
        <item x="2093"/>
        <item x="2080"/>
        <item x="3507"/>
        <item x="247"/>
        <item x="579"/>
        <item x="553"/>
        <item x="715"/>
        <item x="2475"/>
        <item x="1539"/>
        <item x="585"/>
        <item x="1729"/>
        <item x="523"/>
        <item x="3467"/>
        <item x="574"/>
        <item x="792"/>
        <item x="2102"/>
        <item x="1551"/>
        <item x="379"/>
        <item x="2467"/>
        <item x="887"/>
        <item x="1270"/>
        <item x="151"/>
        <item x="1103"/>
        <item x="3058"/>
        <item x="2196"/>
        <item x="943"/>
        <item x="1455"/>
        <item x="79"/>
        <item x="3219"/>
        <item x="63"/>
        <item x="2218"/>
        <item x="1318"/>
        <item x="1059"/>
        <item x="68"/>
        <item x="3074"/>
        <item x="99"/>
        <item x="1248"/>
        <item x="1952"/>
        <item x="759"/>
        <item x="2579"/>
        <item x="2856"/>
        <item x="915"/>
        <item x="1097"/>
        <item x="3090"/>
        <item x="2957"/>
        <item x="1253"/>
        <item x="1592"/>
        <item x="2275"/>
        <item x="2810"/>
        <item x="1522"/>
        <item x="1207"/>
        <item x="2515"/>
        <item x="3473"/>
        <item x="228"/>
        <item x="1340"/>
        <item x="2016"/>
        <item x="3416"/>
        <item x="193"/>
        <item x="337"/>
        <item x="3367"/>
        <item x="1377"/>
        <item x="1192"/>
        <item x="2813"/>
        <item x="810"/>
        <item x="45"/>
        <item x="2947"/>
        <item x="1322"/>
        <item x="3063"/>
        <item x="840"/>
        <item x="1130"/>
        <item x="351"/>
        <item x="903"/>
        <item x="2586"/>
        <item x="2221"/>
        <item x="1285"/>
        <item x="1518"/>
        <item x="2478"/>
        <item x="2070"/>
        <item x="2609"/>
        <item x="3398"/>
        <item x="2423"/>
        <item x="2938"/>
        <item x="1154"/>
        <item x="1136"/>
        <item x="1405"/>
        <item x="613"/>
        <item x="1166"/>
        <item x="2691"/>
        <item x="3334"/>
        <item x="1803"/>
        <item x="1131"/>
        <item x="2381"/>
        <item x="3203"/>
        <item x="2473"/>
        <item x="1187"/>
        <item x="2013"/>
        <item x="492"/>
        <item x="2486"/>
        <item x="734"/>
        <item x="3372"/>
        <item x="2161"/>
        <item x="1846"/>
        <item x="274"/>
        <item x="793"/>
        <item x="3199"/>
        <item x="1951"/>
        <item x="2619"/>
        <item x="1692"/>
        <item x="1304"/>
        <item x="306"/>
        <item x="989"/>
        <item x="1476"/>
        <item x="1571"/>
        <item x="2182"/>
        <item x="2234"/>
        <item x="2824"/>
        <item x="209"/>
        <item x="637"/>
        <item x="1038"/>
        <item x="1760"/>
        <item x="506"/>
        <item x="3451"/>
        <item x="1012"/>
        <item x="22"/>
        <item x="499"/>
        <item x="1892"/>
        <item x="959"/>
        <item x="1891"/>
        <item x="665"/>
        <item x="718"/>
        <item x="1438"/>
        <item x="2030"/>
        <item x="2563"/>
        <item x="2260"/>
        <item x="1622"/>
        <item x="2455"/>
        <item x="1757"/>
        <item x="225"/>
        <item x="28"/>
        <item x="488"/>
        <item x="2601"/>
        <item x="2936"/>
        <item x="3388"/>
        <item x="3096"/>
        <item x="1208"/>
        <item x="37"/>
        <item x="1461"/>
        <item x="1841"/>
        <item x="3521"/>
        <item x="1643"/>
        <item x="462"/>
        <item x="2459"/>
        <item x="2251"/>
        <item x="2712"/>
        <item x="1420"/>
        <item x="3088"/>
        <item x="1389"/>
        <item x="2664"/>
        <item x="1402"/>
        <item x="2534"/>
        <item x="234"/>
        <item x="3288"/>
        <item x="493"/>
        <item x="260"/>
        <item x="434"/>
        <item x="1959"/>
        <item x="839"/>
        <item x="1425"/>
        <item x="172"/>
        <item x="3130"/>
        <item x="1069"/>
        <item x="2733"/>
        <item x="350"/>
        <item x="2159"/>
        <item x="1204"/>
        <item x="1314"/>
        <item x="2525"/>
        <item x="1082"/>
        <item x="444"/>
        <item x="597"/>
        <item x="2289"/>
        <item x="1879"/>
        <item x="2965"/>
        <item x="2206"/>
        <item x="3143"/>
        <item x="1072"/>
        <item x="2820"/>
        <item x="1711"/>
        <item x="918"/>
        <item x="1337"/>
        <item x="2876"/>
        <item x="384"/>
        <item x="383"/>
        <item x="1255"/>
        <item x="2380"/>
        <item x="289"/>
        <item x="399"/>
        <item x="3093"/>
        <item x="2698"/>
        <item x="342"/>
        <item x="2045"/>
        <item x="1931"/>
        <item x="995"/>
        <item x="1264"/>
        <item x="1886"/>
        <item x="1969"/>
        <item x="317"/>
        <item x="3070"/>
        <item x="908"/>
        <item x="252"/>
        <item x="970"/>
        <item x="532"/>
        <item x="136"/>
        <item x="1105"/>
        <item x="3003"/>
        <item x="2890"/>
        <item x="2514"/>
        <item x="2197"/>
        <item x="736"/>
        <item x="2419"/>
        <item x="1574"/>
        <item x="2117"/>
        <item x="2507"/>
        <item x="2741"/>
        <item x="2362"/>
        <item x="886"/>
        <item x="74"/>
        <item x="2415"/>
        <item x="1014"/>
        <item x="3444"/>
        <item x="895"/>
        <item x="1464"/>
        <item x="1782"/>
        <item x="849"/>
        <item x="2627"/>
        <item x="2214"/>
        <item x="309"/>
        <item x="2545"/>
        <item x="2639"/>
        <item x="187"/>
        <item x="1784"/>
        <item x="1180"/>
        <item x="2382"/>
        <item x="1357"/>
        <item x="1500"/>
        <item x="3234"/>
        <item x="313"/>
        <item x="3027"/>
        <item x="235"/>
        <item x="2063"/>
        <item x="555"/>
        <item x="1475"/>
        <item x="268"/>
        <item x="1074"/>
        <item x="1579"/>
        <item x="2162"/>
        <item x="2671"/>
        <item x="150"/>
        <item x="723"/>
        <item x="413"/>
        <item x="3010"/>
        <item x="607"/>
        <item x="212"/>
        <item x="1089"/>
        <item x="2745"/>
        <item x="1150"/>
        <item x="825"/>
        <item x="3312"/>
        <item x="507"/>
        <item x="1853"/>
        <item x="1407"/>
        <item x="829"/>
        <item x="2633"/>
        <item x="639"/>
        <item x="3159"/>
        <item x="1009"/>
        <item x="739"/>
        <item x="197"/>
        <item x="1575"/>
        <item x="2268"/>
        <item x="619"/>
        <item x="2748"/>
        <item x="1291"/>
        <item x="1658"/>
        <item x="2497"/>
        <item x="2076"/>
        <item x="19"/>
        <item x="2261"/>
        <item x="876"/>
        <item x="269"/>
        <item x="991"/>
        <item x="912"/>
        <item x="2531"/>
        <item x="2734"/>
        <item x="3335"/>
        <item x="2121"/>
        <item x="3391"/>
        <item x="1283"/>
        <item x="106"/>
        <item x="3488"/>
        <item x="3406"/>
        <item x="2303"/>
        <item x="1507"/>
        <item x="2872"/>
        <item x="474"/>
        <item x="2651"/>
        <item x="920"/>
        <item x="3086"/>
        <item x="3085"/>
        <item x="323"/>
        <item x="1832"/>
        <item x="3232"/>
        <item x="1451"/>
        <item x="155"/>
        <item x="1583"/>
        <item x="1690"/>
        <item x="1329"/>
        <item x="2451"/>
        <item x="1923"/>
        <item x="746"/>
        <item x="279"/>
        <item x="2928"/>
        <item x="1230"/>
        <item x="711"/>
        <item x="1623"/>
        <item x="1086"/>
        <item x="968"/>
        <item x="2001"/>
        <item x="1023"/>
        <item x="3379"/>
        <item x="1982"/>
        <item x="34"/>
        <item x="830"/>
        <item x="598"/>
        <item x="650"/>
        <item x="223"/>
        <item x="353"/>
        <item x="2862"/>
        <item x="3036"/>
        <item x="2432"/>
        <item x="2158"/>
        <item x="1282"/>
        <item x="1733"/>
        <item x="1087"/>
        <item x="3064"/>
        <item x="1459"/>
        <item x="1024"/>
        <item x="40"/>
        <item x="3419"/>
        <item x="1736"/>
        <item x="1008"/>
        <item x="787"/>
        <item x="2375"/>
        <item x="1838"/>
        <item x="3505"/>
        <item x="3250"/>
        <item x="1163"/>
        <item x="3285"/>
        <item x="3290"/>
        <item x="1404"/>
        <item x="758"/>
        <item x="2101"/>
        <item x="2336"/>
        <item x="801"/>
        <item x="2655"/>
        <item x="1650"/>
        <item x="2232"/>
        <item x="1063"/>
        <item x="180"/>
        <item x="18"/>
        <item x="3081"/>
        <item x="253"/>
        <item x="3271"/>
        <item x="1589"/>
        <item x="1830"/>
        <item x="666"/>
        <item x="795"/>
        <item x="2594"/>
        <item x="2494"/>
        <item x="975"/>
        <item x="753"/>
        <item x="925"/>
        <item x="1098"/>
        <item x="2526"/>
        <item x="2018"/>
        <item x="1152"/>
        <item x="2873"/>
        <item x="2867"/>
        <item x="1112"/>
        <item x="901"/>
        <item x="1111"/>
        <item x="2689"/>
        <item x="1341"/>
        <item x="395"/>
        <item x="2529"/>
        <item x="175"/>
        <item x="2724"/>
        <item x="262"/>
        <item x="1491"/>
        <item x="3407"/>
        <item x="832"/>
        <item x="3236"/>
        <item x="135"/>
        <item x="572"/>
        <item x="1406"/>
        <item x="2956"/>
        <item x="692"/>
        <item x="1320"/>
        <item x="3438"/>
        <item x="184"/>
        <item x="2914"/>
        <item x="1790"/>
        <item x="3262"/>
        <item x="1793"/>
        <item x="2224"/>
        <item x="3324"/>
        <item x="319"/>
        <item x="3227"/>
        <item x="1705"/>
        <item x="799"/>
        <item x="2327"/>
        <item x="1829"/>
        <item x="2878"/>
        <item x="784"/>
        <item x="833"/>
        <item x="813"/>
        <item x="273"/>
        <item x="131"/>
        <item x="2636"/>
        <item x="2107"/>
        <item x="380"/>
        <item x="2215"/>
        <item x="3106"/>
        <item x="1279"/>
        <item x="1327"/>
        <item x="1505"/>
        <item x="1859"/>
        <item x="1456"/>
        <item x="2139"/>
        <item x="775"/>
        <item x="2924"/>
        <item x="11"/>
        <item x="1280"/>
        <item x="2665"/>
        <item x="1557"/>
        <item x="84"/>
        <item x="1453"/>
        <item x="911"/>
        <item x="2329"/>
        <item x="1761"/>
        <item x="3272"/>
        <item x="206"/>
        <item x="452"/>
        <item x="1795"/>
        <item x="1985"/>
        <item x="1135"/>
        <item x="659"/>
        <item x="3395"/>
        <item x="1099"/>
        <item x="76"/>
        <item x="1999"/>
        <item x="3181"/>
        <item x="1994"/>
        <item x="389"/>
        <item x="2152"/>
        <item x="535"/>
        <item x="1805"/>
        <item x="1161"/>
        <item x="13"/>
        <item x="3347"/>
        <item x="2288"/>
        <item x="2445"/>
        <item x="3191"/>
        <item x="226"/>
        <item x="3437"/>
        <item x="1271"/>
        <item x="2074"/>
        <item x="2077"/>
        <item x="2170"/>
        <item x="3475"/>
        <item x="1229"/>
        <item x="48"/>
        <item x="2034"/>
        <item x="2852"/>
        <item x="923"/>
        <item x="1137"/>
        <item x="2332"/>
        <item x="2386"/>
        <item x="1572"/>
        <item x="127"/>
        <item x="1124"/>
        <item x="2666"/>
        <item x="9"/>
        <item x="185"/>
        <item x="1788"/>
        <item x="2087"/>
        <item x="1552"/>
        <item x="1748"/>
        <item x="722"/>
        <item x="482"/>
        <item x="1303"/>
        <item x="216"/>
        <item x="446"/>
        <item x="2975"/>
        <item x="1347"/>
        <item x="1678"/>
        <item x="1414"/>
        <item x="443"/>
        <item x="2580"/>
        <item x="121"/>
        <item x="1759"/>
        <item x="1618"/>
        <item x="2290"/>
        <item x="2229"/>
        <item x="1597"/>
        <item x="1060"/>
        <item x="1256"/>
        <item x="964"/>
        <item x="3224"/>
        <item x="2247"/>
        <item x="3217"/>
        <item x="2501"/>
        <item x="2732"/>
        <item x="1769"/>
        <item x="1172"/>
        <item x="2593"/>
        <item x="1178"/>
        <item x="1955"/>
        <item x="1113"/>
        <item x="3026"/>
        <item x="1624"/>
        <item x="1000"/>
        <item x="1240"/>
        <item x="889"/>
        <item x="3319"/>
        <item x="593"/>
        <item x="3501"/>
        <item x="1027"/>
        <item x="2088"/>
        <item x="3306"/>
        <item x="2374"/>
        <item x="2284"/>
        <item x="1013"/>
        <item x="2775"/>
        <item x="3368"/>
        <item x="1504"/>
        <item x="660"/>
        <item x="3166"/>
        <item x="1709"/>
        <item x="1883"/>
        <item x="1392"/>
        <item x="3376"/>
        <item x="1433"/>
        <item x="707"/>
        <item x="3201"/>
        <item x="1265"/>
        <item x="3154"/>
        <item x="1540"/>
        <item x="2836"/>
        <item x="218"/>
        <item x="3202"/>
        <item x="3140"/>
        <item x="549"/>
        <item x="365"/>
        <item x="2643"/>
        <item x="917"/>
        <item x="1991"/>
        <item x="2536"/>
        <item x="624"/>
        <item x="424"/>
        <item x="2280"/>
        <item x="3426"/>
        <item x="1382"/>
        <item x="2602"/>
        <item x="3049"/>
        <item x="410"/>
        <item x="3364"/>
        <item x="916"/>
        <item x="2715"/>
        <item x="684"/>
        <item x="2"/>
        <item x="3253"/>
        <item x="682"/>
        <item x="2151"/>
        <item x="3280"/>
        <item x="2099"/>
        <item x="870"/>
        <item x="3254"/>
        <item x="2635"/>
        <item x="843"/>
        <item x="3066"/>
        <item x="1079"/>
        <item x="251"/>
        <item x="1056"/>
        <item x="322"/>
        <item x="1817"/>
        <item x="854"/>
        <item x="1963"/>
        <item x="345"/>
        <item x="421"/>
        <item x="2840"/>
        <item x="3108"/>
        <item x="2762"/>
        <item x="1232"/>
        <item x="1674"/>
        <item x="704"/>
        <item x="2558"/>
        <item x="358"/>
        <item x="1984"/>
        <item x="1767"/>
        <item x="156"/>
        <item x="769"/>
        <item x="629"/>
        <item x="727"/>
        <item x="3151"/>
        <item x="3265"/>
        <item x="2256"/>
        <item x="688"/>
        <item x="1566"/>
        <item x="1850"/>
        <item x="1310"/>
        <item x="1412"/>
        <item x="418"/>
        <item x="938"/>
        <item x="823"/>
        <item x="481"/>
        <item x="2273"/>
        <item x="1047"/>
        <item x="710"/>
        <item x="1510"/>
        <item x="3138"/>
        <item x="1642"/>
        <item x="847"/>
        <item x="440"/>
        <item x="416"/>
        <item x="107"/>
        <item x="2033"/>
        <item x="3249"/>
        <item x="1740"/>
        <item x="3380"/>
        <item x="857"/>
        <item x="1262"/>
        <item x="265"/>
        <item x="439"/>
        <item x="1194"/>
        <item x="2091"/>
        <item x="2024"/>
        <item x="2974"/>
        <item x="122"/>
        <item x="667"/>
        <item x="2738"/>
        <item x="116"/>
        <item x="56"/>
        <item x="546"/>
        <item x="1652"/>
        <item x="2649"/>
        <item x="495"/>
        <item x="2384"/>
        <item x="2599"/>
        <item x="1162"/>
        <item x="2686"/>
        <item x="2204"/>
        <item x="149"/>
        <item x="518"/>
        <item x="2903"/>
        <item x="696"/>
        <item x="364"/>
        <item x="2960"/>
        <item x="2012"/>
        <item x="2466"/>
        <item x="3503"/>
        <item x="426"/>
        <item x="1272"/>
        <item x="2187"/>
        <item x="3283"/>
        <item x="112"/>
        <item x="3320"/>
        <item x="3456"/>
        <item x="1391"/>
        <item x="976"/>
        <item x="1821"/>
        <item x="2941"/>
        <item x="2119"/>
        <item x="1550"/>
        <item x="1996"/>
        <item x="1954"/>
        <item x="2125"/>
        <item x="1055"/>
        <item x="2264"/>
        <item x="1605"/>
        <item x="3268"/>
        <item x="3155"/>
        <item x="988"/>
        <item x="2946"/>
        <item x="1917"/>
        <item x="632"/>
        <item x="1924"/>
        <item x="1125"/>
        <item x="844"/>
        <item x="1780"/>
        <item x="427"/>
        <item x="3101"/>
        <item x="489"/>
        <item x="1787"/>
        <item x="2153"/>
        <item x="2426"/>
        <item x="643"/>
        <item x="3168"/>
        <item x="205"/>
        <item x="1542"/>
        <item x="199"/>
        <item x="2697"/>
        <item x="2587"/>
        <item x="586"/>
        <item x="2079"/>
        <item x="403"/>
        <item x="3311"/>
        <item x="3423"/>
        <item x="2391"/>
        <item x="1091"/>
        <item x="2225"/>
        <item x="147"/>
        <item x="219"/>
        <item x="2980"/>
        <item x="2541"/>
        <item x="1356"/>
        <item x="3508"/>
        <item x="1836"/>
        <item x="3463"/>
        <item x="3315"/>
        <item x="522"/>
        <item x="3022"/>
        <item x="2684"/>
        <item x="30"/>
        <item x="2066"/>
        <item x="3041"/>
        <item x="2850"/>
        <item x="3061"/>
        <item x="928"/>
        <item x="1316"/>
        <item x="62"/>
        <item x="2874"/>
        <item x="2447"/>
        <item x="2010"/>
        <item x="1469"/>
        <item x="1005"/>
        <item x="3087"/>
        <item x="3355"/>
        <item x="822"/>
        <item x="3111"/>
        <item x="2841"/>
        <item x="1494"/>
        <item x="1558"/>
        <item x="1701"/>
        <item x="1713"/>
        <item x="2503"/>
        <item x="2931"/>
        <item x="3301"/>
        <item x="669"/>
        <item x="419"/>
        <item x="3307"/>
        <item x="1365"/>
        <item x="1214"/>
        <item x="2238"/>
        <item x="3297"/>
        <item x="304"/>
        <item x="2835"/>
        <item x="248"/>
        <item x="3069"/>
        <item x="2970"/>
        <item x="922"/>
        <item x="2266"/>
        <item x="1533"/>
        <item x="1388"/>
        <item x="545"/>
        <item x="2412"/>
        <item x="2577"/>
        <item x="352"/>
        <item x="1537"/>
        <item x="2220"/>
        <item x="2274"/>
        <item x="1080"/>
        <item x="900"/>
        <item x="417"/>
        <item x="2940"/>
        <item x="1677"/>
        <item x="1032"/>
        <item x="2427"/>
        <item x="2638"/>
        <item x="2054"/>
        <item x="2223"/>
        <item x="898"/>
        <item x="1973"/>
        <item x="2286"/>
        <item x="1394"/>
        <item x="656"/>
        <item x="314"/>
        <item x="728"/>
        <item x="1774"/>
        <item x="2006"/>
        <item x="1970"/>
        <item x="3244"/>
        <item x="3091"/>
        <item x="1880"/>
        <item x="640"/>
        <item x="1484"/>
        <item x="487"/>
        <item x="2320"/>
        <item x="1427"/>
        <item x="1367"/>
        <item x="1741"/>
        <item x="1075"/>
        <item x="885"/>
        <item x="2271"/>
        <item x="760"/>
        <item x="2489"/>
        <item x="2716"/>
        <item x="1217"/>
        <item x="699"/>
        <item x="3170"/>
        <item x="2279"/>
        <item x="3482"/>
        <item x="751"/>
        <item x="3520"/>
        <item x="2496"/>
        <item x="1844"/>
        <item x="104"/>
        <item x="2322"/>
        <item x="738"/>
        <item x="3195"/>
        <item x="189"/>
        <item x="689"/>
        <item x="1647"/>
        <item x="505"/>
        <item x="295"/>
        <item x="949"/>
        <item x="2661"/>
        <item x="638"/>
        <item x="1129"/>
        <item x="794"/>
        <item x="1039"/>
        <item x="1904"/>
        <item x="676"/>
        <item x="1252"/>
        <item x="2631"/>
        <item x="3113"/>
        <item x="1031"/>
        <item x="2142"/>
        <item x="272"/>
        <item x="2005"/>
        <item x="1776"/>
        <item x="702"/>
        <item x="2506"/>
        <item x="367"/>
        <item x="1887"/>
        <item x="3121"/>
        <item x="2997"/>
        <item x="2905"/>
        <item x="3228"/>
        <item x="983"/>
        <item x="703"/>
        <item x="182"/>
        <item x="2930"/>
        <item x="777"/>
        <item x="1"/>
        <item x="24"/>
        <item x="2270"/>
        <item x="1403"/>
        <item x="992"/>
        <item x="858"/>
        <item x="409"/>
        <item x="2444"/>
        <item x="1531"/>
        <item x="910"/>
        <item x="2944"/>
        <item x="204"/>
        <item x="1246"/>
        <item x="3412"/>
        <item x="7"/>
        <item x="578"/>
        <item x="2764"/>
        <item x="2923"/>
        <item x="652"/>
        <item x="1548"/>
        <item x="1169"/>
        <item x="2826"/>
        <item x="2708"/>
        <item x="1900"/>
        <item x="2981"/>
        <item x="2318"/>
        <item x="2049"/>
        <item x="163"/>
        <item x="2657"/>
        <item x="3443"/>
        <item x="1903"/>
        <item x="2068"/>
        <item x="2394"/>
        <item x="1816"/>
        <item x="1868"/>
        <item x="2103"/>
        <item x="2040"/>
        <item x="2713"/>
        <item x="2281"/>
        <item x="1577"/>
        <item x="864"/>
        <item x="742"/>
        <item x="2043"/>
        <item x="693"/>
        <item x="6"/>
        <item x="590"/>
        <item x="1828"/>
        <item x="1764"/>
        <item x="1564"/>
        <item x="2603"/>
        <item x="227"/>
        <item x="1409"/>
        <item x="2613"/>
        <item x="3499"/>
        <item x="3226"/>
        <item x="373"/>
        <item x="627"/>
        <item x="2285"/>
        <item x="3037"/>
        <item x="1914"/>
        <item x="1721"/>
        <item x="2430"/>
        <item x="2163"/>
        <item x="2174"/>
        <item x="694"/>
        <item x="1565"/>
        <item x="3299"/>
        <item x="1998"/>
        <item x="3216"/>
        <item x="1122"/>
        <item x="2838"/>
        <item x="1317"/>
        <item x="2535"/>
        <item x="2255"/>
        <item x="3246"/>
        <item x="921"/>
        <item x="2314"/>
        <item x="3039"/>
        <item x="1667"/>
        <item x="2983"/>
        <item x="2166"/>
        <item x="1584"/>
        <item x="217"/>
        <item x="1562"/>
        <item x="865"/>
        <item x="599"/>
        <item x="1606"/>
        <item x="2082"/>
        <item x="2498"/>
        <item x="1870"/>
        <item x="3206"/>
        <item x="1203"/>
        <item x="871"/>
        <item x="2208"/>
        <item x="789"/>
        <item x="1930"/>
        <item x="167"/>
        <item x="2578"/>
        <item x="1220"/>
        <item x="636"/>
        <item x="1281"/>
        <item x="321"/>
        <item x="1423"/>
        <item x="414"/>
        <item x="2487"/>
        <item x="3073"/>
        <item x="2758"/>
        <item x="502"/>
        <item x="3455"/>
        <item x="3357"/>
        <item x="1470"/>
        <item x="2389"/>
        <item x="1654"/>
        <item x="2172"/>
        <item x="3321"/>
        <item x="2116"/>
        <item x="2403"/>
        <item x="1144"/>
        <item x="2106"/>
        <item x="1321"/>
        <item x="2235"/>
        <item x="999"/>
        <item x="2144"/>
        <item x="2058"/>
        <item x="3208"/>
        <item x="1834"/>
        <item x="1602"/>
        <item x="2818"/>
        <item x="2584"/>
        <item x="1768"/>
        <item x="1800"/>
        <item x="1568"/>
        <item x="1188"/>
        <item x="2472"/>
        <item x="1339"/>
        <item x="3390"/>
        <item x="2205"/>
        <item x="1058"/>
        <item x="1257"/>
        <item x="1700"/>
        <item x="2073"/>
        <item x="168"/>
        <item x="1893"/>
        <item x="972"/>
        <item x="3057"/>
        <item x="331"/>
        <item x="145"/>
        <item x="1251"/>
        <item x="2787"/>
        <item x="57"/>
        <item x="454"/>
        <item x="2405"/>
        <item x="1147"/>
        <item x="3436"/>
        <item x="1672"/>
        <item x="1146"/>
        <item x="3225"/>
        <item x="501"/>
        <item x="2094"/>
        <item x="2572"/>
        <item x="3286"/>
        <item x="1934"/>
        <item x="796"/>
        <item x="1315"/>
        <item x="2612"/>
        <item x="208"/>
        <item x="378"/>
        <item x="1631"/>
        <item x="934"/>
        <item x="2943"/>
        <item x="3289"/>
        <item x="459"/>
        <item x="3207"/>
        <item x="97"/>
        <item x="1517"/>
        <item x="560"/>
        <item x="1295"/>
        <item x="1477"/>
        <item x="1145"/>
        <item x="3212"/>
        <item x="2837"/>
        <item x="276"/>
        <item x="2433"/>
        <item x="2338"/>
        <item x="3352"/>
        <item x="2387"/>
        <item x="581"/>
        <item x="2047"/>
        <item x="2017"/>
        <item x="3045"/>
        <item x="644"/>
        <item x="2740"/>
        <item x="681"/>
        <item x="1209"/>
        <item x="170"/>
        <item x="2188"/>
        <item x="1171"/>
        <item x="1651"/>
        <item x="1936"/>
        <item x="1588"/>
        <item x="3205"/>
        <item x="21"/>
        <item x="77"/>
        <item x="2524"/>
        <item x="2880"/>
        <item x="3400"/>
        <item x="1932"/>
        <item x="1789"/>
        <item x="815"/>
        <item x="2211"/>
        <item x="3160"/>
        <item x="2729"/>
        <item x="2681"/>
        <item x="2465"/>
        <item x="880"/>
        <item x="996"/>
        <item x="2935"/>
        <item x="1734"/>
        <item x="3430"/>
        <item x="623"/>
        <item x="2358"/>
        <item x="2789"/>
        <item x="2851"/>
        <item x="3119"/>
        <item x="635"/>
        <item x="1871"/>
        <item x="1358"/>
        <item x="2422"/>
        <item x="3038"/>
        <item x="3183"/>
        <item x="2933"/>
        <item x="1553"/>
        <item x="3126"/>
        <item x="3494"/>
        <item x="3506"/>
        <item x="271"/>
        <item x="3486"/>
        <item x="1716"/>
        <item x="1620"/>
        <item x="1002"/>
        <item x="2416"/>
        <item x="2023"/>
        <item x="29"/>
        <item x="2062"/>
        <item x="504"/>
        <item x="1237"/>
        <item x="2929"/>
        <item x="957"/>
        <item x="1977"/>
        <item x="2654"/>
        <item x="1247"/>
        <item x="1021"/>
        <item x="3317"/>
        <item x="349"/>
        <item x="1331"/>
        <item x="1616"/>
        <item x="356"/>
        <item x="2847"/>
        <item x="1045"/>
        <item x="2823"/>
        <item x="1771"/>
        <item x="907"/>
        <item x="3144"/>
        <item x="1949"/>
        <item x="2367"/>
        <item x="647"/>
        <item x="2431"/>
        <item x="852"/>
        <item x="2352"/>
        <item x="1065"/>
        <item x="1200"/>
        <item x="1792"/>
        <item x="1641"/>
        <item x="2509"/>
        <item x="1608"/>
        <item x="2401"/>
        <item x="2571"/>
        <item x="2484"/>
        <item x="1686"/>
        <item x="3184"/>
        <item x="1479"/>
        <item x="2769"/>
        <item x="115"/>
        <item x="1664"/>
        <item x="59"/>
        <item x="2249"/>
        <item x="1885"/>
        <item x="3409"/>
        <item x="3396"/>
        <item x="661"/>
        <item x="2126"/>
        <item x="3354"/>
        <item x="3309"/>
        <item x="2624"/>
        <item x="2656"/>
        <item x="3329"/>
        <item x="937"/>
        <item x="355"/>
        <item x="1752"/>
        <item x="2177"/>
        <item x="2912"/>
        <item x="120"/>
        <item x="1336"/>
        <item x="1284"/>
        <item x="2782"/>
        <item x="412"/>
        <item x="1345"/>
        <item x="1022"/>
        <item x="1824"/>
        <item x="2184"/>
        <item x="1381"/>
        <item x="2240"/>
        <item x="1155"/>
        <item x="315"/>
        <item x="2370"/>
        <item x="773"/>
        <item x="3273"/>
        <item x="1355"/>
        <item x="3259"/>
        <item x="997"/>
        <item x="2623"/>
        <item x="894"/>
        <item x="1110"/>
        <item x="3109"/>
        <item x="1582"/>
        <item x="432"/>
        <item x="483"/>
        <item x="2276"/>
        <item x="142"/>
        <item x="950"/>
        <item x="3404"/>
        <item x="3361"/>
        <item x="39"/>
        <item x="2112"/>
        <item x="2226"/>
        <item x="1918"/>
        <item x="617"/>
        <item x="86"/>
        <item x="1025"/>
        <item x="2632"/>
        <item x="1250"/>
        <item x="1683"/>
        <item x="1090"/>
        <item x="161"/>
        <item x="85"/>
        <item x="2075"/>
        <item x="201"/>
        <item x="940"/>
        <item x="2821"/>
        <item x="2317"/>
        <item x="2819"/>
        <item x="606"/>
        <item x="3242"/>
        <item x="329"/>
        <item x="772"/>
        <item x="1343"/>
        <item x="2792"/>
        <item x="1585"/>
        <item x="2679"/>
        <item x="1376"/>
        <item x="709"/>
        <item x="697"/>
        <item x="770"/>
        <item x="1696"/>
        <item x="1724"/>
        <item x="3305"/>
        <item x="783"/>
        <item x="250"/>
        <item x="1493"/>
        <item x="1156"/>
        <item x="1785"/>
        <item x="1919"/>
        <item x="468"/>
        <item x="960"/>
        <item x="2982"/>
        <item x="316"/>
        <item x="3296"/>
        <item x="1390"/>
        <item x="2683"/>
        <item x="1242"/>
        <item x="2436"/>
        <item x="1685"/>
        <item x="3018"/>
        <item x="3394"/>
        <item x="2954"/>
        <item x="878"/>
        <item x="2690"/>
        <item x="2663"/>
        <item x="524"/>
        <item x="2371"/>
        <item x="2802"/>
        <item x="3115"/>
        <item x="2373"/>
        <item x="2891"/>
        <item x="1922"/>
        <item x="2511"/>
        <item x="2056"/>
        <item x="2241"/>
        <item x="3185"/>
        <item x="2337"/>
        <item x="3120"/>
        <item x="2195"/>
        <item x="2191"/>
        <item x="1241"/>
        <item x="298"/>
        <item x="2934"/>
        <item x="1617"/>
        <item x="3515"/>
        <item x="3413"/>
        <item x="3277"/>
        <item x="1717"/>
        <item x="300"/>
        <item x="1452"/>
        <item x="1765"/>
        <item x="530"/>
        <item x="1092"/>
        <item x="2909"/>
        <item x="2768"/>
        <item x="1807"/>
        <item x="2628"/>
        <item x="3375"/>
        <item x="554"/>
        <item x="1026"/>
        <item x="3383"/>
        <item x="2437"/>
        <item x="2228"/>
        <item x="1673"/>
        <item x="203"/>
        <item x="2537"/>
        <item x="899"/>
        <item x="215"/>
        <item x="166"/>
        <item x="1398"/>
        <item x="542"/>
        <item x="3054"/>
        <item x="1519"/>
        <item x="2971"/>
        <item x="1238"/>
        <item x="2556"/>
        <item x="2958"/>
        <item x="2272"/>
        <item x="461"/>
        <item x="3128"/>
        <item x="347"/>
        <item x="2298"/>
        <item x="2194"/>
        <item x="391"/>
        <item x="2296"/>
        <item x="2809"/>
        <item x="2443"/>
        <item x="232"/>
        <item x="3204"/>
        <item x="1226"/>
        <item x="1119"/>
        <item x="525"/>
        <item x="1614"/>
        <item x="2811"/>
        <item x="224"/>
        <item x="3173"/>
        <item x="1524"/>
        <item x="1756"/>
        <item x="472"/>
        <item x="476"/>
        <item x="1004"/>
        <item x="2135"/>
        <item x="1645"/>
        <item x="3043"/>
        <item x="671"/>
        <item x="1842"/>
        <item x="387"/>
        <item x="2827"/>
        <item x="3295"/>
        <item x="405"/>
        <item x="2927"/>
        <item x="645"/>
        <item x="816"/>
        <item x="398"/>
        <item x="963"/>
        <item x="3102"/>
        <item x="935"/>
        <item x="3020"/>
        <item x="3127"/>
        <item x="1138"/>
        <item x="3146"/>
        <item x="3318"/>
        <item x="2246"/>
        <item x="3080"/>
        <item x="2883"/>
        <item x="2418"/>
        <item x="1046"/>
        <item x="3495"/>
        <item x="2575"/>
        <item x="129"/>
        <item x="2460"/>
        <item x="2795"/>
        <item x="1786"/>
        <item x="1374"/>
        <item x="2988"/>
        <item x="1006"/>
        <item x="2701"/>
        <item x="720"/>
        <item x="2749"/>
        <item x="779"/>
        <item x="1016"/>
        <item x="318"/>
        <item x="243"/>
        <item x="529"/>
        <item x="1912"/>
        <item x="791"/>
        <item x="1277"/>
        <item x="931"/>
        <item x="3223"/>
        <item x="327"/>
        <item x="3496"/>
        <item x="2695"/>
        <item x="1797"/>
        <item x="672"/>
        <item x="765"/>
        <item x="3322"/>
        <item x="1661"/>
        <item x="879"/>
        <item x="2193"/>
        <item x="1668"/>
        <item x="95"/>
        <item x="877"/>
        <item x="2591"/>
        <item x="874"/>
        <item x="2055"/>
        <item x="663"/>
        <item x="83"/>
        <item x="134"/>
        <item x="3476"/>
        <item x="3282"/>
        <item x="1876"/>
        <item x="3117"/>
        <item x="3478"/>
        <item x="3300"/>
        <item x="601"/>
        <item x="3474"/>
        <item x="1997"/>
        <item x="658"/>
        <item x="1722"/>
        <item x="2559"/>
        <item x="2538"/>
        <item x="2022"/>
        <item x="2564"/>
        <item x="2143"/>
        <item x="514"/>
        <item x="3517"/>
        <item x="1569"/>
        <item x="1348"/>
        <item x="1018"/>
        <item x="1679"/>
        <item x="2629"/>
        <item x="141"/>
        <item x="2414"/>
        <item x="1288"/>
        <item x="154"/>
        <item x="200"/>
        <item x="3004"/>
        <item x="1142"/>
        <item x="2710"/>
        <item x="284"/>
        <item x="1296"/>
        <item x="2199"/>
        <item x="2048"/>
        <item x="2967"/>
        <item x="2771"/>
        <item x="1116"/>
        <item x="354"/>
        <item x="1328"/>
        <item x="1040"/>
        <item x="291"/>
        <item x="2644"/>
        <item x="1632"/>
        <item x="2512"/>
        <item x="3441"/>
        <item x="1401"/>
        <item x="3502"/>
        <item x="3365"/>
        <item x="2630"/>
        <item x="2400"/>
        <item x="3177"/>
        <item x="1416"/>
        <item x="1260"/>
        <item x="924"/>
        <item x="695"/>
        <item x="3385"/>
        <item x="3099"/>
        <item x="2319"/>
        <item x="1305"/>
        <item x="1655"/>
        <item x="2858"/>
        <item x="89"/>
        <item x="3270"/>
        <item x="2726"/>
        <item x="2428"/>
        <item x="3125"/>
        <item x="2134"/>
        <item x="1718"/>
        <item x="1361"/>
        <item x="3303"/>
        <item x="1638"/>
        <item x="2053"/>
        <item x="2253"/>
        <item x="2104"/>
        <item x="2200"/>
        <item x="2908"/>
        <item x="902"/>
        <item x="1428"/>
        <item x="2328"/>
        <item x="3450"/>
        <item x="2243"/>
        <item x="547"/>
        <item x="1813"/>
        <item x="55"/>
        <item x="2345"/>
        <item x="239"/>
        <item x="2673"/>
        <item x="2379"/>
        <item x="2604"/>
        <item x="3269"/>
        <item x="3257"/>
        <item x="2955"/>
        <item x="974"/>
        <item x="1350"/>
        <item x="388"/>
        <item x="1739"/>
        <item x="2250"/>
        <item x="2453"/>
        <item x="2549"/>
        <item x="1881"/>
        <item x="2295"/>
        <item x="552"/>
        <item x="2348"/>
        <item x="2978"/>
        <item x="1648"/>
        <item x="788"/>
        <item x="1183"/>
        <item x="3264"/>
        <item x="2550"/>
        <item x="2668"/>
        <item x="69"/>
        <item x="2605"/>
        <item x="1629"/>
        <item x="259"/>
        <item x="747"/>
        <item x="648"/>
        <item x="91"/>
        <item x="162"/>
        <item x="2901"/>
        <item x="305"/>
        <item x="1530"/>
        <item x="1675"/>
        <item x="733"/>
        <item x="1458"/>
        <item x="1514"/>
        <item x="897"/>
        <item x="2435"/>
        <item x="1511"/>
        <item x="1587"/>
        <item x="1820"/>
        <item x="249"/>
        <item x="2763"/>
        <item x="2979"/>
        <item x="811"/>
        <item x="608"/>
        <item x="2305"/>
        <item x="2363"/>
        <item x="3446"/>
        <item x="818"/>
        <item x="2155"/>
        <item x="1415"/>
        <item x="2693"/>
        <item x="1396"/>
        <item x="2865"/>
        <item x="1872"/>
        <item x="2084"/>
        <item x="2972"/>
        <item x="1901"/>
        <item x="537"/>
        <item x="1972"/>
        <item x="3142"/>
        <item x="1096"/>
        <item x="2493"/>
        <item x="605"/>
        <item x="540"/>
        <item x="2590"/>
        <item x="3428"/>
        <item x="625"/>
        <item x="1473"/>
        <item x="1525"/>
        <item x="515"/>
        <item x="3084"/>
        <item x="837"/>
        <item x="582"/>
        <item x="1847"/>
        <item x="1050"/>
        <item x="3477"/>
        <item x="654"/>
        <item x="2259"/>
        <item x="2722"/>
        <item x="3082"/>
        <item x="1007"/>
        <item x="1083"/>
        <item x="71"/>
        <item x="1036"/>
        <item x="3469"/>
        <item x="3337"/>
        <item x="1848"/>
        <item x="179"/>
        <item x="3053"/>
        <item x="941"/>
        <item x="1158"/>
        <item x="157"/>
        <item x="3031"/>
        <item x="1802"/>
        <item x="2479"/>
        <item x="698"/>
        <item x="3363"/>
        <item x="2718"/>
        <item x="539"/>
        <item x="1920"/>
        <item x="1812"/>
        <item x="1128"/>
        <item x="3519"/>
        <item x="1753"/>
        <item x="1324"/>
        <item x="1411"/>
        <item x="245"/>
        <item x="1418"/>
        <item x="1363"/>
        <item x="1068"/>
        <item x="2122"/>
        <item x="614"/>
        <item x="1862"/>
        <item x="1523"/>
        <item x="1167"/>
        <item x="1983"/>
        <item x="1783"/>
        <item x="3167"/>
        <item x="498"/>
        <item x="2888"/>
        <item x="2482"/>
        <item x="3192"/>
        <item x="220"/>
        <item x="2846"/>
        <item x="2849"/>
        <item x="1878"/>
        <item x="1875"/>
        <item x="851"/>
        <item x="1791"/>
        <item x="1198"/>
        <item x="1384"/>
        <item x="1613"/>
        <item x="2441"/>
        <item x="1127"/>
        <item x="2365"/>
        <item x="290"/>
        <item x="2439"/>
        <item x="2626"/>
        <item x="2217"/>
        <item x="866"/>
        <item x="1010"/>
        <item x="1630"/>
        <item x="1882"/>
        <item x="429"/>
        <item x="2522"/>
        <item x="2015"/>
        <item x="2342"/>
        <item x="1899"/>
        <item x="1712"/>
        <item x="82"/>
        <item x="3017"/>
        <item x="1957"/>
        <item x="3240"/>
        <item x="3498"/>
        <item x="2645"/>
        <item x="2546"/>
        <item x="2548"/>
        <item x="1164"/>
        <item x="942"/>
        <item x="3255"/>
        <item x="125"/>
        <item x="1107"/>
        <item x="1231"/>
        <item x="2882"/>
        <item x="287"/>
        <item x="1860"/>
        <item x="896"/>
        <item x="1814"/>
        <item x="1450"/>
        <item x="814"/>
        <item x="2081"/>
        <item x="2236"/>
        <item x="475"/>
        <item x="1408"/>
        <item x="1254"/>
        <item x="256"/>
        <item x="1268"/>
        <item x="1299"/>
        <item x="2685"/>
        <item x="1926"/>
        <item x="2784"/>
        <item x="2086"/>
        <item x="1626"/>
        <item x="1084"/>
        <item x="2547"/>
        <item x="3440"/>
        <item x="445"/>
        <item x="2747"/>
        <item x="1501"/>
        <item x="479"/>
        <item x="103"/>
        <item x="2961"/>
        <item x="2675"/>
        <item x="3427"/>
        <item x="1432"/>
        <item x="2794"/>
        <item x="2128"/>
        <item x="776"/>
        <item x="2510"/>
        <item x="2921"/>
        <item x="3213"/>
        <item x="2344"/>
        <item x="98"/>
        <item x="3338"/>
        <item x="3492"/>
        <item x="2201"/>
        <item x="906"/>
        <item x="2028"/>
        <item x="559"/>
        <item x="3230"/>
        <item x="66"/>
        <item x="2902"/>
        <item x="1468"/>
        <item x="118"/>
        <item x="3403"/>
        <item x="516"/>
        <item x="3516"/>
        <item x="1048"/>
        <item x="668"/>
        <item x="2110"/>
        <item x="3209"/>
        <item x="2911"/>
        <item x="1644"/>
        <item x="2554"/>
        <item x="2825"/>
        <item x="1495"/>
        <item x="2411"/>
        <item x="2756"/>
        <item x="1549"/>
        <item x="603"/>
        <item x="3293"/>
        <item x="1863"/>
        <item x="3100"/>
        <item x="2207"/>
        <item x="2951"/>
        <item x="1393"/>
        <item x="863"/>
        <item x="2854"/>
        <item x="2421"/>
        <item x="1528"/>
        <item x="3435"/>
        <item x="573"/>
        <item x="756"/>
        <item x="105"/>
        <item x="824"/>
        <item x="420"/>
        <item x="341"/>
        <item x="435"/>
        <item x="2641"/>
        <item x="1184"/>
        <item x="153"/>
        <item x="3114"/>
        <item x="730"/>
        <item x="1809"/>
        <item x="2889"/>
        <item x="2533"/>
        <item x="1360"/>
        <item x="2052"/>
        <item x="1181"/>
        <item x="177"/>
        <item x="2115"/>
        <item x="891"/>
        <item x="3044"/>
        <item x="1742"/>
        <item x="2203"/>
        <item x="3025"/>
        <item x="939"/>
        <item x="1526"/>
        <item x="114"/>
        <item x="1607"/>
        <item x="2262"/>
        <item x="859"/>
        <item x="2614"/>
        <item x="1578"/>
        <item x="195"/>
        <item x="3229"/>
        <item x="3147"/>
        <item x="3429"/>
        <item x="713"/>
        <item x="2822"/>
        <item x="2516"/>
        <item x="2634"/>
        <item x="436"/>
        <item x="1857"/>
        <item x="320"/>
        <item x="1506"/>
        <item x="2123"/>
        <item x="2523"/>
        <item x="3029"/>
        <item x="1986"/>
        <item x="2169"/>
        <item x="2870"/>
        <item x="3261"/>
        <item x="152"/>
        <item x="2804"/>
        <item x="1446"/>
        <item x="1159"/>
        <item x="1095"/>
        <item x="774"/>
        <item x="674"/>
        <item x="222"/>
        <item x="3314"/>
        <item x="2138"/>
        <item x="1132"/>
        <item x="1894"/>
        <item x="261"/>
        <item x="2985"/>
        <item x="544"/>
        <item x="1728"/>
        <item x="230"/>
        <item x="2696"/>
        <item x="1580"/>
        <item x="2670"/>
        <item x="2355"/>
        <item x="2450"/>
        <item x="2812"/>
        <item x="2064"/>
        <item x="267"/>
        <item x="3401"/>
        <item x="1856"/>
        <item x="1751"/>
        <item x="1975"/>
        <item x="361"/>
        <item x="986"/>
        <item x="846"/>
        <item x="1960"/>
        <item x="2044"/>
        <item x="3302"/>
        <item x="2966"/>
        <item x="1702"/>
        <item x="971"/>
        <item x="2446"/>
        <item x="2502"/>
        <item x="102"/>
        <item x="87"/>
        <item x="2031"/>
        <item x="1323"/>
        <item x="471"/>
        <item x="2589"/>
        <item x="2114"/>
        <item x="186"/>
        <item x="1239"/>
        <item x="324"/>
        <item x="2608"/>
        <item x="2148"/>
        <item x="1680"/>
        <item x="588"/>
        <item x="1950"/>
        <item x="467"/>
        <item x="675"/>
        <item x="1431"/>
        <item x="630"/>
        <item x="23"/>
        <item x="2449"/>
        <item x="3358"/>
        <item x="998"/>
        <item x="3103"/>
        <item x="1902"/>
        <item x="2986"/>
        <item x="451"/>
        <item x="1344"/>
        <item x="517"/>
        <item x="2678"/>
        <item x="1502"/>
        <item x="1591"/>
        <item x="2233"/>
        <item x="3339"/>
        <item x="2011"/>
        <item x="2029"/>
        <item x="2667"/>
        <item x="2390"/>
        <item x="1669"/>
        <item x="139"/>
        <item x="366"/>
        <item x="807"/>
        <item x="1615"/>
        <item x="3161"/>
        <item x="2385"/>
        <item x="1939"/>
        <item x="346"/>
        <item x="2359"/>
        <item x="2038"/>
        <item x="1889"/>
        <item x="1297"/>
        <item x="761"/>
        <item x="1149"/>
        <item x="263"/>
        <item x="2939"/>
        <item x="3141"/>
        <item x="2495"/>
        <item x="875"/>
        <item x="3397"/>
        <item x="54"/>
        <item x="1410"/>
        <item x="861"/>
        <item x="3464"/>
        <item x="1554"/>
        <item x="401"/>
        <item x="1424"/>
        <item x="202"/>
        <item x="2925"/>
        <item x="1958"/>
        <item x="344"/>
        <item x="2976"/>
        <item x="1417"/>
        <item x="1049"/>
        <item x="2096"/>
        <item x="781"/>
        <item x="1619"/>
        <item x="955"/>
        <item x="3432"/>
        <item x="2814"/>
        <item x="500"/>
        <item x="25"/>
        <item x="2790"/>
        <item x="3279"/>
        <item x="855"/>
        <item x="20"/>
        <item x="1855"/>
        <item x="2378"/>
        <item x="1466"/>
        <item x="1933"/>
        <item x="933"/>
        <item x="190"/>
        <item x="1227"/>
        <item x="3136"/>
        <item x="3188"/>
        <item x="673"/>
        <item x="390"/>
        <item x="1621"/>
        <item x="1101"/>
        <item x="1106"/>
        <item x="1151"/>
        <item x="3465"/>
        <item x="2457"/>
        <item x="646"/>
        <item x="835"/>
        <item x="1499"/>
        <item x="1811"/>
        <item x="2674"/>
        <item x="1538"/>
        <item x="856"/>
        <item x="3308"/>
        <item x="1346"/>
        <item x="2302"/>
        <item x="1189"/>
        <item x="1839"/>
        <item x="2788"/>
        <item x="109"/>
        <item x="3237"/>
        <item x="1938"/>
        <item x="1888"/>
        <item x="683"/>
        <item x="1196"/>
        <item x="2168"/>
        <item x="1738"/>
        <item x="47"/>
        <item x="1165"/>
        <item x="158"/>
        <item x="2859"/>
        <item x="44"/>
        <item x="651"/>
        <item x="2754"/>
        <item x="411"/>
        <item x="1684"/>
        <item x="1637"/>
        <item x="2829"/>
        <item x="2312"/>
        <item x="1749"/>
        <item x="519"/>
        <item x="431"/>
        <item x="2474"/>
        <item x="3030"/>
        <item x="171"/>
        <item x="2181"/>
        <item x="2832"/>
        <item x="2130"/>
        <item x="1852"/>
        <item x="3189"/>
        <item x="3330"/>
        <item x="2258"/>
        <item x="2039"/>
        <item x="513"/>
        <item x="2165"/>
        <item x="1480"/>
        <item x="1563"/>
        <item x="1221"/>
        <item x="2364"/>
        <item x="2989"/>
        <item x="2242"/>
        <item x="768"/>
        <item x="561"/>
        <item x="2704"/>
        <item x="1794"/>
        <item x="691"/>
        <item x="664"/>
        <item x="1472"/>
        <item x="294"/>
        <item x="2963"/>
        <item x="1053"/>
        <item x="1971"/>
        <item x="2469"/>
        <item x="2543"/>
        <item x="3362"/>
        <item x="1236"/>
        <item x="64"/>
        <item x="2156"/>
        <item x="521"/>
        <item x="283"/>
        <item x="2652"/>
        <item x="3454"/>
        <item x="41"/>
        <item x="3434"/>
        <item x="1775"/>
        <item x="2808"/>
        <item x="1509"/>
        <item x="596"/>
        <item x="653"/>
        <item x="75"/>
        <item x="1532"/>
        <item x="2438"/>
        <item x="1157"/>
        <item x="2216"/>
        <item x="985"/>
        <item x="3182"/>
        <item x="680"/>
        <item x="1386"/>
        <item x="333"/>
        <item x="2267"/>
        <item x="1483"/>
        <item x="119"/>
        <item x="1368"/>
        <item x="1866"/>
        <item x="511"/>
        <item x="2999"/>
        <item x="3483"/>
        <item x="706"/>
        <item x="3333"/>
        <item x="842"/>
        <item x="1258"/>
        <item x="343"/>
        <item x="2042"/>
        <item x="1520"/>
        <item x="2078"/>
        <item x="726"/>
        <item x="2304"/>
        <item x="2887"/>
        <item x="1325"/>
        <item x="3009"/>
        <item x="1987"/>
        <item x="382"/>
        <item x="2918"/>
        <item x="1715"/>
        <item x="2848"/>
        <item x="1874"/>
        <item x="1485"/>
        <item x="1319"/>
        <item x="396"/>
        <item x="1309"/>
        <item x="2347"/>
        <item x="12"/>
        <item x="2209"/>
        <item x="3415"/>
        <item x="2772"/>
        <item x="458"/>
        <item x="1777"/>
        <item x="2714"/>
        <item x="2700"/>
        <item x="528"/>
        <item x="1019"/>
        <item x="3439"/>
        <item x="49"/>
        <item x="1302"/>
        <item x="2677"/>
        <item x="376"/>
        <item x="490"/>
        <item x="1897"/>
        <item x="307"/>
        <item x="2906"/>
        <item x="3447"/>
        <item x="229"/>
        <item x="827"/>
        <item x="60"/>
        <item x="132"/>
        <item x="3016"/>
        <item x="2945"/>
        <item x="867"/>
        <item x="1333"/>
        <item x="1352"/>
        <item x="1843"/>
        <item x="509"/>
        <item x="2219"/>
        <item x="2481"/>
        <item x="2760"/>
        <item x="743"/>
        <item x="2611"/>
        <item x="1037"/>
        <item x="2124"/>
        <item x="1598"/>
        <item x="508"/>
        <item x="764"/>
        <item x="1186"/>
        <item x="1044"/>
        <item x="497"/>
        <item x="1911"/>
        <item x="3504"/>
        <item x="1454"/>
        <item x="2002"/>
        <item x="3162"/>
        <item x="1980"/>
        <item x="2409"/>
        <item x="1492"/>
        <item x="1611"/>
        <item x="3021"/>
        <item x="1840"/>
        <item x="3019"/>
        <item x="1276"/>
        <item x="415"/>
        <item x="1426"/>
        <item x="3371"/>
        <item x="2452"/>
        <item x="3460"/>
        <item x="1300"/>
        <item x="2092"/>
        <item x="1966"/>
        <item x="2306"/>
        <item x="3323"/>
        <item x="2072"/>
        <item x="1755"/>
        <item x="3340"/>
        <item x="677"/>
        <item x="1109"/>
        <item x="771"/>
        <item x="1576"/>
        <item x="303"/>
        <item x="3055"/>
        <item x="491"/>
        <item x="3094"/>
        <item x="2996"/>
        <item x="1197"/>
        <item x="2440"/>
        <item x="860"/>
        <item x="3410"/>
        <item x="1267"/>
        <item x="1442"/>
        <item x="2343"/>
        <item x="2896"/>
        <item x="2518"/>
        <item x="1822"/>
        <item x="1085"/>
        <item x="2083"/>
        <item x="3015"/>
        <item x="137"/>
        <item x="1670"/>
        <item x="967"/>
        <item x="977"/>
        <item x="2354"/>
        <item x="1704"/>
        <item x="2480"/>
        <item x="1513"/>
        <item x="1117"/>
        <item x="326"/>
        <item x="1612"/>
        <item x="3056"/>
        <item x="460"/>
        <item x="3075"/>
        <item x="310"/>
        <item x="1400"/>
        <item x="3176"/>
        <item x="1747"/>
        <item x="2000"/>
        <item x="1653"/>
        <item x="1067"/>
        <item x="1719"/>
        <item x="2383"/>
        <item x="1301"/>
        <item x="1308"/>
        <item x="1695"/>
        <item x="3359"/>
        <item x="913"/>
        <item x="478"/>
        <item x="2731"/>
        <item x="453"/>
        <item x="685"/>
        <item x="782"/>
        <item x="2227"/>
        <item x="1397"/>
        <item x="2676"/>
        <item x="1020"/>
        <item x="1508"/>
        <item x="3310"/>
        <item x="3284"/>
        <item x="1967"/>
        <item x="2333"/>
        <item x="2257"/>
        <item x="1961"/>
        <item x="1104"/>
        <item x="1430"/>
        <item x="1943"/>
        <item x="1170"/>
        <item x="1211"/>
        <item x="626"/>
        <item x="1962"/>
        <item x="2875"/>
        <item x="93"/>
        <item x="1581"/>
        <item x="339"/>
        <item x="1567"/>
        <item x="299"/>
        <item x="1474"/>
        <item x="1746"/>
        <item x="1849"/>
        <item x="3198"/>
        <item x="2019"/>
        <item x="3327"/>
        <item x="1927"/>
        <item x="2606"/>
        <item x="642"/>
        <item x="3196"/>
        <item x="2237"/>
        <item x="2744"/>
        <item x="1942"/>
        <item x="1720"/>
        <item x="2680"/>
        <item x="1028"/>
        <item x="994"/>
        <item x="1118"/>
        <item x="3013"/>
        <item x="16"/>
        <item x="2860"/>
        <item x="3345"/>
        <item x="1827"/>
        <item x="984"/>
        <item x="2090"/>
        <item x="2761"/>
        <item x="336"/>
        <item x="1660"/>
        <item x="2995"/>
        <item x="2863"/>
        <item x="8"/>
        <item x="3351"/>
        <item x="3325"/>
        <item x="2051"/>
        <item x="2573"/>
        <item x="602"/>
        <item x="1134"/>
        <item x="221"/>
        <item x="36"/>
        <item x="1436"/>
        <item x="2893"/>
        <item x="534"/>
        <item x="3059"/>
        <item x="3331"/>
        <item x="3389"/>
        <item x="2491"/>
        <item x="1947"/>
        <item x="2642"/>
        <item x="526"/>
        <item x="914"/>
        <item x="2085"/>
        <item x="2471"/>
        <item x="2598"/>
        <item x="620"/>
        <item x="2189"/>
        <item x="2293"/>
        <item x="465"/>
        <item x="14"/>
        <item x="2904"/>
        <item x="1235"/>
        <item x="423"/>
        <item x="2026"/>
        <item x="2816"/>
        <item x="2565"/>
        <item x="3258"/>
        <item x="17"/>
        <item x="3370"/>
        <item x="729"/>
        <item x="3149"/>
        <item x="2334"/>
        <item x="3366"/>
        <item x="1560"/>
        <item x="1804"/>
        <item x="982"/>
        <item x="3341"/>
        <item x="143"/>
        <item x="3294"/>
        <item x="3131"/>
        <item x="3417"/>
        <item x="3251"/>
        <item x="2917"/>
        <item x="3497"/>
        <item x="372"/>
        <item x="3472"/>
        <item x="3118"/>
        <item x="2376"/>
        <item x="2977"/>
        <item x="1639"/>
        <item x="3028"/>
        <item x="2830"/>
        <item x="1823"/>
        <item x="1727"/>
        <item x="5"/>
        <item x="3005"/>
        <item x="2160"/>
        <item x="1245"/>
        <item x="2561"/>
        <item x="3490"/>
        <item x="2717"/>
        <item x="2785"/>
        <item x="146"/>
        <item x="308"/>
        <item x="2294"/>
        <item x="633"/>
        <item x="1877"/>
        <item x="231"/>
        <item x="1682"/>
        <item x="3343"/>
        <item x="1535"/>
        <item x="1043"/>
        <item x="3134"/>
        <item x="845"/>
        <item x="328"/>
        <item x="3235"/>
        <item x="609"/>
        <item x="1463"/>
        <item x="1182"/>
        <item x="3384"/>
        <item x="1815"/>
        <item x="841"/>
        <item x="1123"/>
        <item x="449"/>
        <item x="3304"/>
        <item x="1077"/>
        <item x="848"/>
        <item x="2036"/>
        <item x="3092"/>
        <item x="3458"/>
        <item x="325"/>
        <item x="2360"/>
        <item x="2725"/>
        <item x="1837"/>
        <item x="2150"/>
        <item x="240"/>
        <item x="2331"/>
        <item x="1657"/>
        <item x="1831"/>
        <item x="2687"/>
        <item x="1913"/>
        <item x="958"/>
        <item x="3484"/>
        <item x="2463"/>
        <item x="1993"/>
        <item x="2395"/>
        <item x="1726"/>
        <item x="1011"/>
        <item x="3098"/>
        <item x="1290"/>
        <item x="196"/>
        <item x="31"/>
        <item x="3252"/>
        <item x="2434"/>
        <item x="330"/>
        <item x="1995"/>
        <item x="1781"/>
        <item x="3266"/>
        <item x="3449"/>
        <item x="3445"/>
        <item x="3399"/>
        <item x="1536"/>
        <item x="1224"/>
        <item x="3470"/>
        <item x="2129"/>
        <item x="2357"/>
        <item x="766"/>
        <item x="1313"/>
        <item x="2098"/>
        <item x="1627"/>
        <item x="2059"/>
        <item x="1948"/>
        <item x="1770"/>
        <item x="357"/>
        <item x="2662"/>
        <item x="381"/>
        <item x="3448"/>
        <item x="3008"/>
        <item x="3042"/>
        <item x="1457"/>
        <item x="2648"/>
        <item x="2842"/>
        <item x="1698"/>
        <item x="869"/>
        <item x="2490"/>
        <item x="575"/>
        <item x="311"/>
        <item x="732"/>
        <item x="213"/>
        <item x="3392"/>
        <item x="1448"/>
        <item x="708"/>
        <item x="2807"/>
        <item x="3024"/>
        <item x="892"/>
        <item x="2277"/>
        <item x="2770"/>
        <item x="1330"/>
        <item x="1693"/>
        <item x="2898"/>
        <item x="2886"/>
        <item x="3083"/>
        <item x="3193"/>
        <item x="754"/>
        <item x="3210"/>
        <item x="2265"/>
        <item x="2340"/>
        <item x="2937"/>
        <item x="1676"/>
        <item x="456"/>
        <item x="2907"/>
        <item x="2185"/>
        <item x="2145"/>
        <item x="255"/>
        <item x="3174"/>
        <item x="2828"/>
        <item x="1503"/>
        <item x="3424"/>
        <item x="853"/>
        <item x="1168"/>
        <item x="1990"/>
        <item x="2597"/>
        <item x="3116"/>
        <item x="2315"/>
        <item x="2041"/>
        <item x="1498"/>
        <item x="1662"/>
        <item x="2781"/>
        <item x="2095"/>
        <item x="1989"/>
        <item x="2953"/>
        <item x="2175"/>
        <item x="2742"/>
        <item x="930"/>
        <item t="default"/>
      </items>
    </pivotField>
    <pivotField showAll="0"/>
  </pivotFields>
  <rowFields count="1">
    <field x="10"/>
  </rowFields>
  <rowItems count="11">
    <i>
      <x v="3"/>
    </i>
    <i>
      <x v="6"/>
    </i>
    <i>
      <x v="13"/>
    </i>
    <i>
      <x v="15"/>
    </i>
    <i>
      <x v="18"/>
    </i>
    <i>
      <x v="20"/>
    </i>
    <i>
      <x v="26"/>
    </i>
    <i>
      <x v="37"/>
    </i>
    <i>
      <x v="42"/>
    </i>
    <i>
      <x v="43"/>
    </i>
    <i t="grand">
      <x/>
    </i>
  </rowItems>
  <colItems count="1">
    <i/>
  </colItems>
  <dataFields count="1">
    <dataField name="Sum of budget" fld="11" showDataAs="percentOfTotal" baseField="10" baseItem="3" numFmtId="10"/>
  </dataFields>
  <chartFormats count="2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8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8" format="26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8" format="2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8" format="2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8" format="29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8" format="30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8" format="3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"/>
          </reference>
        </references>
      </pivotArea>
    </chartFormat>
    <chartFormat chart="8" format="33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"/>
          </reference>
        </references>
      </pivotArea>
    </chartFormat>
  </chartFormats>
  <pivotTableStyleInfo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جدول_1" displayName="جدول_1" ref="A1:G3588">
  <autoFilter ref="A1:G3588" xr:uid="{00000000-0009-0000-0100-000001000000}"/>
  <tableColumns count="7">
    <tableColumn id="1" xr3:uid="{00000000-0010-0000-0000-000001000000}" name="country"/>
    <tableColumn id="2" xr3:uid="{00000000-0010-0000-0000-000002000000}" name="budget"/>
    <tableColumn id="3" xr3:uid="{00000000-0010-0000-0000-000003000000}" name="gross"/>
    <tableColumn id="4" xr3:uid="{00000000-0010-0000-0000-000004000000}" name="title_year"/>
    <tableColumn id="5" xr3:uid="{00000000-0010-0000-0000-000005000000}" name="Currency symbol"/>
    <tableColumn id="6" xr3:uid="{00000000-0010-0000-0000-000006000000}" name="budget_us_dollar"/>
    <tableColumn id="7" xr3:uid="{00000000-0010-0000-0000-000007000000}" name="gross_us_dollar"/>
  </tableColumns>
  <tableStyleInfo name="Cost_in_dollar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1" displayName="Table_1" ref="A1:B46">
  <tableColumns count="2">
    <tableColumn id="1" xr3:uid="{00000000-0010-0000-0100-000001000000}" name="Country"/>
    <tableColumn id="2" xr3:uid="{00000000-0010-0000-0100-000002000000}" name="Currency"/>
  </tableColumns>
  <tableStyleInfo name="Currency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EBE664A-EBC5-44FA-B81B-2D320B673A5D}" name="Table6" displayName="Table6" ref="A1:S3588" totalsRowShown="0" dataDxfId="19">
  <autoFilter ref="A1:S3588" xr:uid="{CEBE664A-EBC5-44FA-B81B-2D320B673A5D}"/>
  <tableColumns count="19">
    <tableColumn id="1" xr3:uid="{618B4B00-541C-433A-A48B-8C8F9F7FEEF4}" name="director_name" dataDxfId="18"/>
    <tableColumn id="2" xr3:uid="{0FC3C9B1-9FB9-4750-80DD-956962465541}" name="num_critic_for_reviews" dataDxfId="17"/>
    <tableColumn id="3" xr3:uid="{2838918A-29F0-4212-B194-EF13AA1F6EDB}" name="gross" dataDxfId="16"/>
    <tableColumn id="4" xr3:uid="{6F327C61-9B65-4B32-9830-14387A3028BC}" name="genres" dataDxfId="15"/>
    <tableColumn id="5" xr3:uid="{BFC620E2-02C6-41A6-980A-F63D1ED58E8D}" name="actor_1_name" dataDxfId="14"/>
    <tableColumn id="6" xr3:uid="{128D9C91-D4FB-46AA-9B44-28846D194159}" name="movie_title" dataDxfId="13"/>
    <tableColumn id="7" xr3:uid="{F7501D33-83B3-4CAE-8236-E4C2B69F3C54}" name="num_voted_users" dataDxfId="12"/>
    <tableColumn id="8" xr3:uid="{C5DE191E-8757-4BA0-B6A9-0E183EAAD40A}" name="plot_keywords" dataDxfId="11"/>
    <tableColumn id="9" xr3:uid="{7C976D4A-FD37-424E-A0F1-232E81F64E86}" name="num_user_for_reviews" dataDxfId="10"/>
    <tableColumn id="10" xr3:uid="{3967C149-1BFD-41E8-97F5-730DE4232C89}" name="language" dataDxfId="9"/>
    <tableColumn id="11" xr3:uid="{8380150F-27F7-40CB-A6EA-0F9D7F461208}" name="country" dataDxfId="8"/>
    <tableColumn id="12" xr3:uid="{52D32167-12DA-4354-8DFA-FEE948D49AA5}" name="budget" dataDxfId="7"/>
    <tableColumn id="13" xr3:uid="{38D90D19-D0AC-473A-9E96-C94048ECB039}" name="title_year" dataDxfId="6"/>
    <tableColumn id="14" xr3:uid="{40096939-1E10-4E91-888A-DF0D6F1254B2}" name="imdb_score" dataDxfId="5"/>
    <tableColumn id="15" xr3:uid="{B0BE3380-3812-4FF4-93A1-C6030E0F8805}" name="budget_us_dollar" dataDxfId="4"/>
    <tableColumn id="16" xr3:uid="{C9546811-DB24-4A4D-86AF-FF6BFD4837F5}" name="gross_us_dollar" dataDxfId="3"/>
    <tableColumn id="17" xr3:uid="{9110FFBE-2C27-46F9-8425-4659EBE2E063}" name="profit _us_dollar" dataDxfId="2">
      <calculatedColumnFormula>P2-O2</calculatedColumnFormula>
    </tableColumn>
    <tableColumn id="18" xr3:uid="{DB4B1E5C-BBBA-48B8-AF58-125047DE5C54}" name="movie_title1" dataDxfId="1">
      <calculatedColumnFormula>LEFT(F2,LEN(F2)-2)</calculatedColumnFormula>
    </tableColumn>
    <tableColumn id="19" xr3:uid="{13E20FC8-FD1A-46B5-8B3D-D87552736D53}" name="genres1" dataDxfId="0">
      <calculatedColumnFormula>IF(ISNUMBER(FIND("|", D2)), LEFT(D2, FIND("|", D2) - 1), D2)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3588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x14ac:dyDescent="0.25"/>
  <cols>
    <col min="1" max="3" width="14.42578125" customWidth="1"/>
    <col min="4" max="4" width="14.7109375" customWidth="1"/>
    <col min="5" max="5" width="21.85546875" customWidth="1"/>
    <col min="6" max="6" width="27.140625" customWidth="1"/>
    <col min="7" max="7" width="20.85546875" customWidth="1"/>
  </cols>
  <sheetData>
    <row r="1" spans="1:7" x14ac:dyDescent="0.25">
      <c r="A1" s="8" t="s">
        <v>10</v>
      </c>
      <c r="B1" s="9" t="s">
        <v>11</v>
      </c>
      <c r="C1" s="9" t="s">
        <v>2</v>
      </c>
      <c r="D1" s="9" t="s">
        <v>12</v>
      </c>
      <c r="E1" s="9" t="s">
        <v>10926</v>
      </c>
      <c r="F1" s="9" t="s">
        <v>14</v>
      </c>
      <c r="G1" s="10" t="s">
        <v>15</v>
      </c>
    </row>
    <row r="2" spans="1:7" x14ac:dyDescent="0.25">
      <c r="A2" s="11" t="s">
        <v>24</v>
      </c>
      <c r="B2" s="12">
        <v>40000000</v>
      </c>
      <c r="C2" s="12">
        <v>57011847</v>
      </c>
      <c r="D2" s="12">
        <v>2013</v>
      </c>
      <c r="E2" s="12" t="str">
        <f>VLOOKUP(A2, Currency!$A$2:$B$100, 2, FALSE)</f>
        <v>USD</v>
      </c>
      <c r="F2" s="12">
        <f ca="1">IFERROR(__xludf.DUMMYFUNCTION("IF(E2=""USD"",B2,B2 * GOOGLEFINANCE(""CURRENCY:"" &amp; E2 &amp; ""USD""))
"),40000000)</f>
        <v>40000000</v>
      </c>
      <c r="G2" s="13">
        <f ca="1">IFERROR(__xludf.DUMMYFUNCTION("IF(E2=""USD"",C2,C2 * GOOGLEFINANCE(""CURRENCY:"" &amp; E2 &amp; ""USD""))
"),57011847)</f>
        <v>57011847</v>
      </c>
    </row>
    <row r="3" spans="1:7" x14ac:dyDescent="0.25">
      <c r="A3" s="14" t="s">
        <v>24</v>
      </c>
      <c r="B3" s="15">
        <v>105000000</v>
      </c>
      <c r="C3" s="15">
        <v>28772222</v>
      </c>
      <c r="D3" s="15">
        <v>2015</v>
      </c>
      <c r="E3" s="15" t="str">
        <f>VLOOKUP(A3, Currency!$A$2:$B$100, 2, FALSE)</f>
        <v>USD</v>
      </c>
      <c r="F3" s="15">
        <f ca="1">IFERROR(__xludf.DUMMYFUNCTION("IF(E3=""USD"",B3,B3 * GOOGLEFINANCE(""CURRENCY:"" &amp; E3 &amp; ""USD""))
"),105000000)</f>
        <v>105000000</v>
      </c>
      <c r="G3" s="16">
        <f ca="1">IFERROR(__xludf.DUMMYFUNCTION("IF(E3=""USD"",C3,C3 * GOOGLEFINANCE(""CURRENCY:"" &amp; E3 &amp; ""USD""))
"),28772222)</f>
        <v>28772222</v>
      </c>
    </row>
    <row r="4" spans="1:7" x14ac:dyDescent="0.25">
      <c r="A4" s="11" t="s">
        <v>24</v>
      </c>
      <c r="B4" s="12">
        <v>28000000</v>
      </c>
      <c r="C4" s="12">
        <v>64371181</v>
      </c>
      <c r="D4" s="12">
        <v>2004</v>
      </c>
      <c r="E4" s="12" t="str">
        <f>VLOOKUP(A4, Currency!$A$2:$B$100, 2, FALSE)</f>
        <v>USD</v>
      </c>
      <c r="F4" s="12">
        <f ca="1">IFERROR(__xludf.DUMMYFUNCTION("IF(E4=""USD"",B4,B4 * GOOGLEFINANCE(""CURRENCY:"" &amp; E4 &amp; ""USD""))
"),28000000)</f>
        <v>28000000</v>
      </c>
      <c r="G4" s="13">
        <f ca="1">IFERROR(__xludf.DUMMYFUNCTION("IF(E4=""USD"",C4,C4 * GOOGLEFINANCE(""CURRENCY:"" &amp; E4 &amp; ""USD""))
"),64371181)</f>
        <v>64371181</v>
      </c>
    </row>
    <row r="5" spans="1:7" x14ac:dyDescent="0.25">
      <c r="A5" s="14" t="s">
        <v>41</v>
      </c>
      <c r="B5" s="15">
        <v>200000</v>
      </c>
      <c r="C5" s="15">
        <v>3500000</v>
      </c>
      <c r="D5" s="15">
        <v>1964</v>
      </c>
      <c r="E5" s="15" t="str">
        <f>VLOOKUP(A5, Currency!$A$2:$B$100, 2, FALSE)</f>
        <v>EUR</v>
      </c>
      <c r="F5" s="15">
        <f ca="1">IFERROR(__xludf.DUMMYFUNCTION("IF(E5=""USD"",B5,B5 * GOOGLEFINANCE(""CURRENCY:"" &amp; E5 &amp; ""USD""))
"),216948)</f>
        <v>216948</v>
      </c>
      <c r="G5" s="16">
        <f ca="1">IFERROR(__xludf.DUMMYFUNCTION("IF(E5=""USD"",C5,C5 * GOOGLEFINANCE(""CURRENCY:"" &amp; E5 &amp; ""USD""))
"),3796590)</f>
        <v>3796590</v>
      </c>
    </row>
    <row r="6" spans="1:7" x14ac:dyDescent="0.25">
      <c r="A6" s="11" t="s">
        <v>24</v>
      </c>
      <c r="B6" s="12">
        <v>31000000</v>
      </c>
      <c r="C6" s="12">
        <v>44983704</v>
      </c>
      <c r="D6" s="12">
        <v>2000</v>
      </c>
      <c r="E6" s="12" t="str">
        <f>VLOOKUP(A6, Currency!$A$2:$B$100, 2, FALSE)</f>
        <v>USD</v>
      </c>
      <c r="F6" s="12">
        <f ca="1">IFERROR(__xludf.DUMMYFUNCTION("IF(E6=""USD"",B6,B6 * GOOGLEFINANCE(""CURRENCY:"" &amp; E6 &amp; ""USD""))
"),31000000)</f>
        <v>31000000</v>
      </c>
      <c r="G6" s="13">
        <f ca="1">IFERROR(__xludf.DUMMYFUNCTION("IF(E6=""USD"",C6,C6 * GOOGLEFINANCE(""CURRENCY:"" &amp; E6 &amp; ""USD""))
"),44983704)</f>
        <v>44983704</v>
      </c>
    </row>
    <row r="7" spans="1:7" x14ac:dyDescent="0.25">
      <c r="A7" s="14" t="s">
        <v>24</v>
      </c>
      <c r="B7" s="15">
        <v>56000000</v>
      </c>
      <c r="C7" s="15">
        <v>45860039</v>
      </c>
      <c r="D7" s="15">
        <v>2004</v>
      </c>
      <c r="E7" s="15" t="str">
        <f>VLOOKUP(A7, Currency!$A$2:$B$100, 2, FALSE)</f>
        <v>USD</v>
      </c>
      <c r="F7" s="15">
        <f ca="1">IFERROR(__xludf.DUMMYFUNCTION("IF(E7=""USD"",B7,B7 * GOOGLEFINANCE(""CURRENCY:"" &amp; E7 &amp; ""USD""))
"),56000000)</f>
        <v>56000000</v>
      </c>
      <c r="G7" s="16">
        <f ca="1">IFERROR(__xludf.DUMMYFUNCTION("IF(E7=""USD"",C7,C7 * GOOGLEFINANCE(""CURRENCY:"" &amp; E7 &amp; ""USD""))
"),45860039)</f>
        <v>45860039</v>
      </c>
    </row>
    <row r="8" spans="1:7" x14ac:dyDescent="0.25">
      <c r="A8" s="11" t="s">
        <v>24</v>
      </c>
      <c r="B8" s="12">
        <v>8000000</v>
      </c>
      <c r="C8" s="12">
        <v>107930000</v>
      </c>
      <c r="D8" s="12">
        <v>1994</v>
      </c>
      <c r="E8" s="12" t="str">
        <f>VLOOKUP(A8, Currency!$A$2:$B$100, 2, FALSE)</f>
        <v>USD</v>
      </c>
      <c r="F8" s="12">
        <f ca="1">IFERROR(__xludf.DUMMYFUNCTION("IF(E8=""USD"",B8,B8 * GOOGLEFINANCE(""CURRENCY:"" &amp; E8 &amp; ""USD""))
"),8000000)</f>
        <v>8000000</v>
      </c>
      <c r="G8" s="13">
        <f ca="1">IFERROR(__xludf.DUMMYFUNCTION("IF(E8=""USD"",C8,C8 * GOOGLEFINANCE(""CURRENCY:"" &amp; E8 &amp; ""USD""))
"),107930000)</f>
        <v>107930000</v>
      </c>
    </row>
    <row r="9" spans="1:7" x14ac:dyDescent="0.25">
      <c r="A9" s="14" t="s">
        <v>24</v>
      </c>
      <c r="B9" s="15">
        <v>48000000</v>
      </c>
      <c r="C9" s="15">
        <v>46611204</v>
      </c>
      <c r="D9" s="15">
        <v>1998</v>
      </c>
      <c r="E9" s="15" t="str">
        <f>VLOOKUP(A9, Currency!$A$2:$B$100, 2, FALSE)</f>
        <v>USD</v>
      </c>
      <c r="F9" s="15">
        <f ca="1">IFERROR(__xludf.DUMMYFUNCTION("IF(E9=""USD"",B9,B9 * GOOGLEFINANCE(""CURRENCY:"" &amp; E9 &amp; ""USD""))
"),48000000)</f>
        <v>48000000</v>
      </c>
      <c r="G9" s="16">
        <f ca="1">IFERROR(__xludf.DUMMYFUNCTION("IF(E9=""USD"",C9,C9 * GOOGLEFINANCE(""CURRENCY:"" &amp; E9 &amp; ""USD""))
"),46611204)</f>
        <v>46611204</v>
      </c>
    </row>
    <row r="10" spans="1:7" x14ac:dyDescent="0.25">
      <c r="A10" s="11" t="s">
        <v>24</v>
      </c>
      <c r="B10" s="12">
        <v>30000000</v>
      </c>
      <c r="C10" s="12">
        <v>18500966</v>
      </c>
      <c r="D10" s="12">
        <v>2006</v>
      </c>
      <c r="E10" s="12" t="str">
        <f>VLOOKUP(A10, Currency!$A$2:$B$100, 2, FALSE)</f>
        <v>USD</v>
      </c>
      <c r="F10" s="12">
        <f ca="1">IFERROR(__xludf.DUMMYFUNCTION("IF(E10=""USD"",B10,B10 * GOOGLEFINANCE(""CURRENCY:"" &amp; E10 &amp; ""USD""))
"),30000000)</f>
        <v>30000000</v>
      </c>
      <c r="G10" s="13">
        <f ca="1">IFERROR(__xludf.DUMMYFUNCTION("IF(E10=""USD"",C10,C10 * GOOGLEFINANCE(""CURRENCY:"" &amp; E10 &amp; ""USD""))
"),18500966)</f>
        <v>18500966</v>
      </c>
    </row>
    <row r="11" spans="1:7" x14ac:dyDescent="0.25">
      <c r="A11" s="14" t="s">
        <v>24</v>
      </c>
      <c r="B11" s="15">
        <v>33000000</v>
      </c>
      <c r="C11" s="15">
        <v>48169908</v>
      </c>
      <c r="D11" s="15">
        <v>1992</v>
      </c>
      <c r="E11" s="15" t="str">
        <f>VLOOKUP(A11, Currency!$A$2:$B$100, 2, FALSE)</f>
        <v>USD</v>
      </c>
      <c r="F11" s="15">
        <f ca="1">IFERROR(__xludf.DUMMYFUNCTION("IF(E11=""USD"",B11,B11 * GOOGLEFINANCE(""CURRENCY:"" &amp; E11 &amp; ""USD""))
"),33000000)</f>
        <v>33000000</v>
      </c>
      <c r="G11" s="16">
        <f ca="1">IFERROR(__xludf.DUMMYFUNCTION("IF(E11=""USD"",C11,C11 * GOOGLEFINANCE(""CURRENCY:"" &amp; E11 &amp; ""USD""))
"),48169908)</f>
        <v>48169908</v>
      </c>
    </row>
    <row r="12" spans="1:7" x14ac:dyDescent="0.25">
      <c r="A12" s="11" t="s">
        <v>24</v>
      </c>
      <c r="B12" s="12">
        <v>92000000</v>
      </c>
      <c r="C12" s="12">
        <v>108638745</v>
      </c>
      <c r="D12" s="12">
        <v>2001</v>
      </c>
      <c r="E12" s="12" t="str">
        <f>VLOOKUP(A12, Currency!$A$2:$B$100, 2, FALSE)</f>
        <v>USD</v>
      </c>
      <c r="F12" s="12">
        <f ca="1">IFERROR(__xludf.DUMMYFUNCTION("IF(E12=""USD"",B12,B12 * GOOGLEFINANCE(""CURRENCY:"" &amp; E12 &amp; ""USD""))
"),92000000)</f>
        <v>92000000</v>
      </c>
      <c r="G12" s="13">
        <f ca="1">IFERROR(__xludf.DUMMYFUNCTION("IF(E12=""USD"",C12,C12 * GOOGLEFINANCE(""CURRENCY:"" &amp; E12 &amp; ""USD""))
"),108638745)</f>
        <v>108638745</v>
      </c>
    </row>
    <row r="13" spans="1:7" x14ac:dyDescent="0.25">
      <c r="A13" s="14" t="s">
        <v>24</v>
      </c>
      <c r="B13" s="15">
        <v>5000000</v>
      </c>
      <c r="C13" s="15">
        <v>13269963</v>
      </c>
      <c r="D13" s="15">
        <v>1996</v>
      </c>
      <c r="E13" s="15" t="str">
        <f>VLOOKUP(A13, Currency!$A$2:$B$100, 2, FALSE)</f>
        <v>USD</v>
      </c>
      <c r="F13" s="15">
        <f ca="1">IFERROR(__xludf.DUMMYFUNCTION("IF(E13=""USD"",B13,B13 * GOOGLEFINANCE(""CURRENCY:"" &amp; E13 &amp; ""USD""))
"),5000000)</f>
        <v>5000000</v>
      </c>
      <c r="G13" s="16">
        <f ca="1">IFERROR(__xludf.DUMMYFUNCTION("IF(E13=""USD"",C13,C13 * GOOGLEFINANCE(""CURRENCY:"" &amp; E13 &amp; ""USD""))
"),13269963)</f>
        <v>13269963</v>
      </c>
    </row>
    <row r="14" spans="1:7" x14ac:dyDescent="0.25">
      <c r="A14" s="11" t="s">
        <v>24</v>
      </c>
      <c r="B14" s="12">
        <v>100000000</v>
      </c>
      <c r="C14" s="12">
        <v>67631157</v>
      </c>
      <c r="D14" s="12">
        <v>2010</v>
      </c>
      <c r="E14" s="12" t="str">
        <f>VLOOKUP(A14, Currency!$A$2:$B$100, 2, FALSE)</f>
        <v>USD</v>
      </c>
      <c r="F14" s="12">
        <f ca="1">IFERROR(__xludf.DUMMYFUNCTION("IF(E14=""USD"",B14,B14 * GOOGLEFINANCE(""CURRENCY:"" &amp; E14 &amp; ""USD""))
"),100000000)</f>
        <v>100000000</v>
      </c>
      <c r="G14" s="13">
        <f ca="1">IFERROR(__xludf.DUMMYFUNCTION("IF(E14=""USD"",C14,C14 * GOOGLEFINANCE(""CURRENCY:"" &amp; E14 &amp; ""USD""))
"),67631157)</f>
        <v>67631157</v>
      </c>
    </row>
    <row r="15" spans="1:7" x14ac:dyDescent="0.25">
      <c r="A15" s="14" t="s">
        <v>24</v>
      </c>
      <c r="B15" s="15">
        <v>1000000</v>
      </c>
      <c r="C15" s="15">
        <v>428535</v>
      </c>
      <c r="D15" s="15">
        <v>2000</v>
      </c>
      <c r="E15" s="15" t="str">
        <f>VLOOKUP(A15, Currency!$A$2:$B$100, 2, FALSE)</f>
        <v>USD</v>
      </c>
      <c r="F15" s="15">
        <f ca="1">IFERROR(__xludf.DUMMYFUNCTION("IF(E15=""USD"",B15,B15 * GOOGLEFINANCE(""CURRENCY:"" &amp; E15 &amp; ""USD""))
"),1000000)</f>
        <v>1000000</v>
      </c>
      <c r="G15" s="16">
        <f ca="1">IFERROR(__xludf.DUMMYFUNCTION("IF(E15=""USD"",C15,C15 * GOOGLEFINANCE(""CURRENCY:"" &amp; E15 &amp; ""USD""))
"),428535)</f>
        <v>428535</v>
      </c>
    </row>
    <row r="16" spans="1:7" x14ac:dyDescent="0.25">
      <c r="A16" s="11" t="s">
        <v>24</v>
      </c>
      <c r="B16" s="12">
        <v>14000000</v>
      </c>
      <c r="C16" s="12">
        <v>21468807</v>
      </c>
      <c r="D16" s="12">
        <v>2000</v>
      </c>
      <c r="E16" s="12" t="str">
        <f>VLOOKUP(A16, Currency!$A$2:$B$100, 2, FALSE)</f>
        <v>USD</v>
      </c>
      <c r="F16" s="12">
        <f ca="1">IFERROR(__xludf.DUMMYFUNCTION("IF(E16=""USD"",B16,B16 * GOOGLEFINANCE(""CURRENCY:"" &amp; E16 &amp; ""USD""))
"),14000000)</f>
        <v>14000000</v>
      </c>
      <c r="G16" s="13">
        <f ca="1">IFERROR(__xludf.DUMMYFUNCTION("IF(E16=""USD"",C16,C16 * GOOGLEFINANCE(""CURRENCY:"" &amp; E16 &amp; ""USD""))
"),21468807)</f>
        <v>21468807</v>
      </c>
    </row>
    <row r="17" spans="1:7" x14ac:dyDescent="0.25">
      <c r="A17" s="14" t="s">
        <v>24</v>
      </c>
      <c r="B17" s="15">
        <v>23000000</v>
      </c>
      <c r="C17" s="15">
        <v>12189514</v>
      </c>
      <c r="D17" s="15">
        <v>2004</v>
      </c>
      <c r="E17" s="15" t="str">
        <f>VLOOKUP(A17, Currency!$A$2:$B$100, 2, FALSE)</f>
        <v>USD</v>
      </c>
      <c r="F17" s="15">
        <f ca="1">IFERROR(__xludf.DUMMYFUNCTION("IF(E17=""USD"",B17,B17 * GOOGLEFINANCE(""CURRENCY:"" &amp; E17 &amp; ""USD""))
"),23000000)</f>
        <v>23000000</v>
      </c>
      <c r="G17" s="16">
        <f ca="1">IFERROR(__xludf.DUMMYFUNCTION("IF(E17=""USD"",C17,C17 * GOOGLEFINANCE(""CURRENCY:"" &amp; E17 &amp; ""USD""))
"),12189514)</f>
        <v>12189514</v>
      </c>
    </row>
    <row r="18" spans="1:7" x14ac:dyDescent="0.25">
      <c r="A18" s="11" t="s">
        <v>24</v>
      </c>
      <c r="B18" s="12">
        <v>500000</v>
      </c>
      <c r="C18" s="12">
        <v>985341</v>
      </c>
      <c r="D18" s="12">
        <v>1999</v>
      </c>
      <c r="E18" s="12" t="str">
        <f>VLOOKUP(A18, Currency!$A$2:$B$100, 2, FALSE)</f>
        <v>USD</v>
      </c>
      <c r="F18" s="12">
        <f ca="1">IFERROR(__xludf.DUMMYFUNCTION("IF(E18=""USD"",B18,B18 * GOOGLEFINANCE(""CURRENCY:"" &amp; E18 &amp; ""USD""))
"),500000)</f>
        <v>500000</v>
      </c>
      <c r="G18" s="13">
        <f ca="1">IFERROR(__xludf.DUMMYFUNCTION("IF(E18=""USD"",C18,C18 * GOOGLEFINANCE(""CURRENCY:"" &amp; E18 &amp; ""USD""))
"),985341)</f>
        <v>985341</v>
      </c>
    </row>
    <row r="19" spans="1:7" x14ac:dyDescent="0.25">
      <c r="A19" s="14" t="s">
        <v>24</v>
      </c>
      <c r="B19" s="15">
        <v>2500000</v>
      </c>
      <c r="C19" s="15">
        <v>118666</v>
      </c>
      <c r="D19" s="15">
        <v>2006</v>
      </c>
      <c r="E19" s="15" t="str">
        <f>VLOOKUP(A19, Currency!$A$2:$B$100, 2, FALSE)</f>
        <v>USD</v>
      </c>
      <c r="F19" s="15">
        <f ca="1">IFERROR(__xludf.DUMMYFUNCTION("IF(E19=""USD"",B19,B19 * GOOGLEFINANCE(""CURRENCY:"" &amp; E19 &amp; ""USD""))
"),2500000)</f>
        <v>2500000</v>
      </c>
      <c r="G19" s="16">
        <f ca="1">IFERROR(__xludf.DUMMYFUNCTION("IF(E19=""USD"",C19,C19 * GOOGLEFINANCE(""CURRENCY:"" &amp; E19 &amp; ""USD""))
"),118666)</f>
        <v>118666</v>
      </c>
    </row>
    <row r="20" spans="1:7" x14ac:dyDescent="0.25">
      <c r="A20" s="11" t="s">
        <v>24</v>
      </c>
      <c r="B20" s="12">
        <v>27000000</v>
      </c>
      <c r="C20" s="12">
        <v>31768374</v>
      </c>
      <c r="D20" s="12">
        <v>1999</v>
      </c>
      <c r="E20" s="12" t="str">
        <f>VLOOKUP(A20, Currency!$A$2:$B$100, 2, FALSE)</f>
        <v>USD</v>
      </c>
      <c r="F20" s="12">
        <f ca="1">IFERROR(__xludf.DUMMYFUNCTION("IF(E20=""USD"",B20,B20 * GOOGLEFINANCE(""CURRENCY:"" &amp; E20 &amp; ""USD""))
"),27000000)</f>
        <v>27000000</v>
      </c>
      <c r="G20" s="13">
        <f ca="1">IFERROR(__xludf.DUMMYFUNCTION("IF(E20=""USD"",C20,C20 * GOOGLEFINANCE(""CURRENCY:"" &amp; E20 &amp; ""USD""))
"),31768374)</f>
        <v>31768374</v>
      </c>
    </row>
    <row r="21" spans="1:7" ht="15.75" customHeight="1" x14ac:dyDescent="0.25">
      <c r="A21" s="14" t="s">
        <v>24</v>
      </c>
      <c r="B21" s="15">
        <v>36000000</v>
      </c>
      <c r="C21" s="15">
        <v>71026631</v>
      </c>
      <c r="D21" s="15">
        <v>2002</v>
      </c>
      <c r="E21" s="15" t="str">
        <f>VLOOKUP(A21, Currency!$A$2:$B$100, 2, FALSE)</f>
        <v>USD</v>
      </c>
      <c r="F21" s="15">
        <f ca="1">IFERROR(__xludf.DUMMYFUNCTION("IF(E21=""USD"",B21,B21 * GOOGLEFINANCE(""CURRENCY:"" &amp; E21 &amp; ""USD""))
"),36000000)</f>
        <v>36000000</v>
      </c>
      <c r="G21" s="16">
        <f ca="1">IFERROR(__xludf.DUMMYFUNCTION("IF(E21=""USD"",C21,C21 * GOOGLEFINANCE(""CURRENCY:"" &amp; E21 &amp; ""USD""))
"),71026631)</f>
        <v>71026631</v>
      </c>
    </row>
    <row r="22" spans="1:7" ht="15.75" customHeight="1" x14ac:dyDescent="0.25">
      <c r="A22" s="11" t="s">
        <v>24</v>
      </c>
      <c r="B22" s="12">
        <v>3700000</v>
      </c>
      <c r="C22" s="12">
        <v>2956000</v>
      </c>
      <c r="D22" s="12">
        <v>1948</v>
      </c>
      <c r="E22" s="12" t="str">
        <f>VLOOKUP(A22, Currency!$A$2:$B$100, 2, FALSE)</f>
        <v>USD</v>
      </c>
      <c r="F22" s="12">
        <f ca="1">IFERROR(__xludf.DUMMYFUNCTION("IF(E22=""USD"",B22,B22 * GOOGLEFINANCE(""CURRENCY:"" &amp; E22 &amp; ""USD""))
"),3700000)</f>
        <v>3700000</v>
      </c>
      <c r="G22" s="13">
        <f ca="1">IFERROR(__xludf.DUMMYFUNCTION("IF(E22=""USD"",C22,C22 * GOOGLEFINANCE(""CURRENCY:"" &amp; E22 &amp; ""USD""))
"),2956000)</f>
        <v>2956000</v>
      </c>
    </row>
    <row r="23" spans="1:7" ht="15.75" customHeight="1" x14ac:dyDescent="0.25">
      <c r="A23" s="14" t="s">
        <v>24</v>
      </c>
      <c r="B23" s="15">
        <v>25000000</v>
      </c>
      <c r="C23" s="15">
        <v>5516708</v>
      </c>
      <c r="D23" s="15">
        <v>2001</v>
      </c>
      <c r="E23" s="15" t="str">
        <f>VLOOKUP(A23, Currency!$A$2:$B$100, 2, FALSE)</f>
        <v>USD</v>
      </c>
      <c r="F23" s="15">
        <f ca="1">IFERROR(__xludf.DUMMYFUNCTION("IF(E23=""USD"",B23,B23 * GOOGLEFINANCE(""CURRENCY:"" &amp; E23 &amp; ""USD""))
"),25000000)</f>
        <v>25000000</v>
      </c>
      <c r="G23" s="16">
        <f ca="1">IFERROR(__xludf.DUMMYFUNCTION("IF(E23=""USD"",C23,C23 * GOOGLEFINANCE(""CURRENCY:"" &amp; E23 &amp; ""USD""))
"),5516708)</f>
        <v>5516708</v>
      </c>
    </row>
    <row r="24" spans="1:7" ht="15.75" customHeight="1" x14ac:dyDescent="0.25">
      <c r="A24" s="11" t="s">
        <v>133</v>
      </c>
      <c r="B24" s="12">
        <v>8000000</v>
      </c>
      <c r="C24" s="12">
        <v>23618786</v>
      </c>
      <c r="D24" s="12">
        <v>2007</v>
      </c>
      <c r="E24" s="12" t="str">
        <f>VLOOKUP(A24, Currency!$A$2:$B$100, 2, FALSE)</f>
        <v>GBP</v>
      </c>
      <c r="F24" s="12">
        <f ca="1">IFERROR(__xludf.DUMMYFUNCTION("IF(E24=""USD"",B24,B24 * GOOGLEFINANCE(""CURRENCY:"" &amp; E24 &amp; ""USD""))
"),10283199.9999999)</f>
        <v>10283199.999999899</v>
      </c>
      <c r="G24" s="13">
        <f ca="1">IFERROR(__xludf.DUMMYFUNCTION("IF(E24=""USD"",C24,C24 * GOOGLEFINANCE(""CURRENCY:"" &amp; E24 &amp; ""USD""))
"),30359587.5243999)</f>
        <v>30359587.524399899</v>
      </c>
    </row>
    <row r="25" spans="1:7" ht="15.75" customHeight="1" x14ac:dyDescent="0.25">
      <c r="A25" s="14" t="s">
        <v>24</v>
      </c>
      <c r="B25" s="15">
        <v>7000000</v>
      </c>
      <c r="C25" s="15">
        <v>1889522</v>
      </c>
      <c r="D25" s="15">
        <v>2009</v>
      </c>
      <c r="E25" s="15" t="str">
        <f>VLOOKUP(A25, Currency!$A$2:$B$100, 2, FALSE)</f>
        <v>USD</v>
      </c>
      <c r="F25" s="15">
        <f ca="1">IFERROR(__xludf.DUMMYFUNCTION("IF(E25=""USD"",B25,B25 * GOOGLEFINANCE(""CURRENCY:"" &amp; E25 &amp; ""USD""))
"),7000000)</f>
        <v>7000000</v>
      </c>
      <c r="G25" s="16">
        <f ca="1">IFERROR(__xludf.DUMMYFUNCTION("IF(E25=""USD"",C25,C25 * GOOGLEFINANCE(""CURRENCY:"" &amp; E25 &amp; ""USD""))
"),1889522)</f>
        <v>1889522</v>
      </c>
    </row>
    <row r="26" spans="1:7" ht="15.75" customHeight="1" x14ac:dyDescent="0.25">
      <c r="A26" s="11" t="s">
        <v>24</v>
      </c>
      <c r="B26" s="12">
        <v>4500000</v>
      </c>
      <c r="C26" s="12">
        <v>81200000</v>
      </c>
      <c r="D26" s="12">
        <v>1984</v>
      </c>
      <c r="E26" s="12" t="str">
        <f>VLOOKUP(A26, Currency!$A$2:$B$100, 2, FALSE)</f>
        <v>USD</v>
      </c>
      <c r="F26" s="12">
        <f ca="1">IFERROR(__xludf.DUMMYFUNCTION("IF(E26=""USD"",B26,B26 * GOOGLEFINANCE(""CURRENCY:"" &amp; E26 &amp; ""USD""))
"),4500000)</f>
        <v>4500000</v>
      </c>
      <c r="G26" s="13">
        <f ca="1">IFERROR(__xludf.DUMMYFUNCTION("IF(E26=""USD"",C26,C26 * GOOGLEFINANCE(""CURRENCY:"" &amp; E26 &amp; ""USD""))
"),81200000)</f>
        <v>81200000</v>
      </c>
    </row>
    <row r="27" spans="1:7" ht="15.75" customHeight="1" x14ac:dyDescent="0.25">
      <c r="A27" s="14" t="s">
        <v>149</v>
      </c>
      <c r="B27" s="15">
        <v>45000000</v>
      </c>
      <c r="C27" s="15">
        <v>17300889</v>
      </c>
      <c r="D27" s="15">
        <v>1996</v>
      </c>
      <c r="E27" s="15" t="str">
        <f>VLOOKUP(A27, Currency!$A$2:$B$100, 2, FALSE)</f>
        <v>AUD</v>
      </c>
      <c r="F27" s="15">
        <f ca="1">IFERROR(__xludf.DUMMYFUNCTION("IF(E27=""USD"",B27,B27 * GOOGLEFINANCE(""CURRENCY:"" &amp; E27 &amp; ""USD""))
"),29424600)</f>
        <v>29424600</v>
      </c>
      <c r="G27" s="16">
        <f ca="1">IFERROR(__xludf.DUMMYFUNCTION("IF(E27=""USD"",C27,C27 * GOOGLEFINANCE(""CURRENCY:"" &amp; E27 &amp; ""USD""))
"),11312705.29932)</f>
        <v>11312705.299319999</v>
      </c>
    </row>
    <row r="28" spans="1:7" ht="15.75" customHeight="1" x14ac:dyDescent="0.25">
      <c r="A28" s="11" t="s">
        <v>24</v>
      </c>
      <c r="B28" s="12">
        <v>1800000</v>
      </c>
      <c r="C28" s="12">
        <v>26505000</v>
      </c>
      <c r="D28" s="12">
        <v>1984</v>
      </c>
      <c r="E28" s="12" t="str">
        <f>VLOOKUP(A28, Currency!$A$2:$B$100, 2, FALSE)</f>
        <v>USD</v>
      </c>
      <c r="F28" s="12">
        <f ca="1">IFERROR(__xludf.DUMMYFUNCTION("IF(E28=""USD"",B28,B28 * GOOGLEFINANCE(""CURRENCY:"" &amp; E28 &amp; ""USD""))
"),1800000)</f>
        <v>1800000</v>
      </c>
      <c r="G28" s="13">
        <f ca="1">IFERROR(__xludf.DUMMYFUNCTION("IF(E28=""USD"",C28,C28 * GOOGLEFINANCE(""CURRENCY:"" &amp; E28 &amp; ""USD""))
"),26505000)</f>
        <v>26505000</v>
      </c>
    </row>
    <row r="29" spans="1:7" ht="15.75" customHeight="1" x14ac:dyDescent="0.25">
      <c r="A29" s="14" t="s">
        <v>160</v>
      </c>
      <c r="B29" s="15">
        <v>35000000</v>
      </c>
      <c r="C29" s="15">
        <v>49413</v>
      </c>
      <c r="D29" s="15">
        <v>2006</v>
      </c>
      <c r="E29" s="15" t="str">
        <f>VLOOKUP(A29, Currency!$A$2:$B$100, 2, FALSE)</f>
        <v>HKD</v>
      </c>
      <c r="F29" s="15">
        <f ca="1">IFERROR(__xludf.DUMMYFUNCTION("IF(E29=""USD"",B29,B29 * GOOGLEFINANCE(""CURRENCY:"" &amp; E29 &amp; ""USD""))
"),4483300.5)</f>
        <v>4483300.5</v>
      </c>
      <c r="G29" s="16">
        <f ca="1">IFERROR(__xludf.DUMMYFUNCTION("IF(E29=""USD"",C29,C29 * GOOGLEFINANCE(""CURRENCY:"" &amp; E29 &amp; ""USD""))
"),6329.5236459)</f>
        <v>6329.5236458999998</v>
      </c>
    </row>
    <row r="30" spans="1:7" ht="15.75" customHeight="1" x14ac:dyDescent="0.25">
      <c r="A30" s="11" t="s">
        <v>24</v>
      </c>
      <c r="B30" s="12">
        <v>120000000</v>
      </c>
      <c r="C30" s="12">
        <v>30212620</v>
      </c>
      <c r="D30" s="12">
        <v>2010</v>
      </c>
      <c r="E30" s="12" t="str">
        <f>VLOOKUP(A30, Currency!$A$2:$B$100, 2, FALSE)</f>
        <v>USD</v>
      </c>
      <c r="F30" s="12">
        <f ca="1">IFERROR(__xludf.DUMMYFUNCTION("IF(E30=""USD"",B30,B30 * GOOGLEFINANCE(""CURRENCY:"" &amp; E30 &amp; ""USD""))
"),120000000)</f>
        <v>120000000</v>
      </c>
      <c r="G30" s="13">
        <f ca="1">IFERROR(__xludf.DUMMYFUNCTION("IF(E30=""USD"",C30,C30 * GOOGLEFINANCE(""CURRENCY:"" &amp; E30 &amp; ""USD""))
"),30212620)</f>
        <v>30212620</v>
      </c>
    </row>
    <row r="31" spans="1:7" ht="15.75" customHeight="1" x14ac:dyDescent="0.25">
      <c r="A31" s="14" t="s">
        <v>24</v>
      </c>
      <c r="B31" s="15">
        <v>9000000</v>
      </c>
      <c r="C31" s="15">
        <v>36049108</v>
      </c>
      <c r="D31" s="15">
        <v>1996</v>
      </c>
      <c r="E31" s="15" t="str">
        <f>VLOOKUP(A31, Currency!$A$2:$B$100, 2, FALSE)</f>
        <v>USD</v>
      </c>
      <c r="F31" s="15">
        <f ca="1">IFERROR(__xludf.DUMMYFUNCTION("IF(E31=""USD"",B31,B31 * GOOGLEFINANCE(""CURRENCY:"" &amp; E31 &amp; ""USD""))
"),9000000)</f>
        <v>9000000</v>
      </c>
      <c r="G31" s="16">
        <f ca="1">IFERROR(__xludf.DUMMYFUNCTION("IF(E31=""USD"",C31,C31 * GOOGLEFINANCE(""CURRENCY:"" &amp; E31 &amp; ""USD""))
"),36049108)</f>
        <v>36049108</v>
      </c>
    </row>
    <row r="32" spans="1:7" ht="15.75" customHeight="1" x14ac:dyDescent="0.25">
      <c r="A32" s="11" t="s">
        <v>176</v>
      </c>
      <c r="B32" s="12">
        <v>24000000</v>
      </c>
      <c r="C32" s="12">
        <v>25167270</v>
      </c>
      <c r="D32" s="12">
        <v>2000</v>
      </c>
      <c r="E32" s="12" t="str">
        <f>VLOOKUP(A32, Currency!$A$2:$B$100, 2, FALSE)</f>
        <v>EUR</v>
      </c>
      <c r="F32" s="12">
        <f ca="1">IFERROR(__xludf.DUMMYFUNCTION("IF(E32=""USD"",B32,B32 * GOOGLEFINANCE(""CURRENCY:"" &amp; E32 &amp; ""USD""))
"),26033760)</f>
        <v>26033760</v>
      </c>
      <c r="G32" s="13">
        <f ca="1">IFERROR(__xludf.DUMMYFUNCTION("IF(E32=""USD"",C32,C32 * GOOGLEFINANCE(""CURRENCY:"" &amp; E32 &amp; ""USD""))
"),27299944.4598)</f>
        <v>27299944.459800001</v>
      </c>
    </row>
    <row r="33" spans="1:7" ht="15.75" customHeight="1" x14ac:dyDescent="0.25">
      <c r="A33" s="14" t="s">
        <v>24</v>
      </c>
      <c r="B33" s="15">
        <v>150000000</v>
      </c>
      <c r="C33" s="15">
        <v>73103784</v>
      </c>
      <c r="D33" s="15">
        <v>2013</v>
      </c>
      <c r="E33" s="15" t="str">
        <f>VLOOKUP(A33, Currency!$A$2:$B$100, 2, FALSE)</f>
        <v>USD</v>
      </c>
      <c r="F33" s="15">
        <f ca="1">IFERROR(__xludf.DUMMYFUNCTION("IF(E33=""USD"",B33,B33 * GOOGLEFINANCE(""CURRENCY:"" &amp; E33 &amp; ""USD""))
"),150000000)</f>
        <v>150000000</v>
      </c>
      <c r="G33" s="16">
        <f ca="1">IFERROR(__xludf.DUMMYFUNCTION("IF(E33=""USD"",C33,C33 * GOOGLEFINANCE(""CURRENCY:"" &amp; E33 &amp; ""USD""))
"),73103784)</f>
        <v>73103784</v>
      </c>
    </row>
    <row r="34" spans="1:7" ht="15.75" customHeight="1" x14ac:dyDescent="0.25">
      <c r="A34" s="11" t="s">
        <v>24</v>
      </c>
      <c r="B34" s="12">
        <v>80000000</v>
      </c>
      <c r="C34" s="12">
        <v>162831698</v>
      </c>
      <c r="D34" s="12">
        <v>1992</v>
      </c>
      <c r="E34" s="12" t="str">
        <f>VLOOKUP(A34, Currency!$A$2:$B$100, 2, FALSE)</f>
        <v>USD</v>
      </c>
      <c r="F34" s="12">
        <f ca="1">IFERROR(__xludf.DUMMYFUNCTION("IF(E34=""USD"",B34,B34 * GOOGLEFINANCE(""CURRENCY:"" &amp; E34 &amp; ""USD""))
"),80000000)</f>
        <v>80000000</v>
      </c>
      <c r="G34" s="13">
        <f ca="1">IFERROR(__xludf.DUMMYFUNCTION("IF(E34=""USD"",C34,C34 * GOOGLEFINANCE(""CURRENCY:"" &amp; E34 &amp; ""USD""))
"),162831698)</f>
        <v>162831698</v>
      </c>
    </row>
    <row r="35" spans="1:7" ht="15.75" customHeight="1" x14ac:dyDescent="0.25">
      <c r="A35" s="14" t="s">
        <v>24</v>
      </c>
      <c r="B35" s="15">
        <v>18500000</v>
      </c>
      <c r="C35" s="15">
        <v>85200000</v>
      </c>
      <c r="D35" s="15">
        <v>1986</v>
      </c>
      <c r="E35" s="15" t="str">
        <f>VLOOKUP(A35, Currency!$A$2:$B$100, 2, FALSE)</f>
        <v>USD</v>
      </c>
      <c r="F35" s="15">
        <f ca="1">IFERROR(__xludf.DUMMYFUNCTION("IF(E35=""USD"",B35,B35 * GOOGLEFINANCE(""CURRENCY:"" &amp; E35 &amp; ""USD""))
"),18500000)</f>
        <v>18500000</v>
      </c>
      <c r="G35" s="16">
        <f ca="1">IFERROR(__xludf.DUMMYFUNCTION("IF(E35=""USD"",C35,C35 * GOOGLEFINANCE(""CURRENCY:"" &amp; E35 &amp; ""USD""))
"),85200000)</f>
        <v>85200000</v>
      </c>
    </row>
    <row r="36" spans="1:7" ht="15.75" customHeight="1" x14ac:dyDescent="0.25">
      <c r="A36" s="11" t="s">
        <v>24</v>
      </c>
      <c r="B36" s="12">
        <v>75000000</v>
      </c>
      <c r="C36" s="12">
        <v>47000485</v>
      </c>
      <c r="D36" s="12">
        <v>2010</v>
      </c>
      <c r="E36" s="12" t="str">
        <f>VLOOKUP(A36, Currency!$A$2:$B$100, 2, FALSE)</f>
        <v>USD</v>
      </c>
      <c r="F36" s="12">
        <f ca="1">IFERROR(__xludf.DUMMYFUNCTION("IF(E36=""USD"",B36,B36 * GOOGLEFINANCE(""CURRENCY:"" &amp; E36 &amp; ""USD""))
"),75000000)</f>
        <v>75000000</v>
      </c>
      <c r="G36" s="13">
        <f ca="1">IFERROR(__xludf.DUMMYFUNCTION("IF(E36=""USD"",C36,C36 * GOOGLEFINANCE(""CURRENCY:"" &amp; E36 &amp; ""USD""))
"),47000485)</f>
        <v>47000485</v>
      </c>
    </row>
    <row r="37" spans="1:7" ht="15.75" customHeight="1" x14ac:dyDescent="0.25">
      <c r="A37" s="14" t="s">
        <v>24</v>
      </c>
      <c r="B37" s="15">
        <v>18000000</v>
      </c>
      <c r="C37" s="15">
        <v>60057639</v>
      </c>
      <c r="D37" s="15">
        <v>2003</v>
      </c>
      <c r="E37" s="15" t="str">
        <f>VLOOKUP(A37, Currency!$A$2:$B$100, 2, FALSE)</f>
        <v>USD</v>
      </c>
      <c r="F37" s="15">
        <f ca="1">IFERROR(__xludf.DUMMYFUNCTION("IF(E37=""USD"",B37,B37 * GOOGLEFINANCE(""CURRENCY:"" &amp; E37 &amp; ""USD""))
"),18000000)</f>
        <v>18000000</v>
      </c>
      <c r="G37" s="16">
        <f ca="1">IFERROR(__xludf.DUMMYFUNCTION("IF(E37=""USD"",C37,C37 * GOOGLEFINANCE(""CURRENCY:"" &amp; E37 &amp; ""USD""))
"),60057639)</f>
        <v>60057639</v>
      </c>
    </row>
    <row r="38" spans="1:7" ht="15.75" customHeight="1" x14ac:dyDescent="0.25">
      <c r="A38" s="11" t="s">
        <v>133</v>
      </c>
      <c r="B38" s="12">
        <v>22000000</v>
      </c>
      <c r="C38" s="12">
        <v>51483949</v>
      </c>
      <c r="D38" s="12">
        <v>2003</v>
      </c>
      <c r="E38" s="12" t="str">
        <f>VLOOKUP(A38, Currency!$A$2:$B$100, 2, FALSE)</f>
        <v>GBP</v>
      </c>
      <c r="F38" s="12">
        <f ca="1">IFERROR(__xludf.DUMMYFUNCTION("IF(E38=""USD"",B38,B38 * GOOGLEFINANCE(""CURRENCY:"" &amp; E38 &amp; ""USD""))
"),28278799.9999999)</f>
        <v>28278799.999999899</v>
      </c>
      <c r="G38" s="13">
        <f ca="1">IFERROR(__xludf.DUMMYFUNCTION("IF(E38=""USD"",C38,C38 * GOOGLEFINANCE(""CURRENCY:"" &amp; E38 &amp; ""USD""))
"),66177468.0445999)</f>
        <v>66177468.044599898</v>
      </c>
    </row>
    <row r="39" spans="1:7" ht="15.75" customHeight="1" x14ac:dyDescent="0.25">
      <c r="A39" s="14" t="s">
        <v>133</v>
      </c>
      <c r="B39" s="15">
        <v>27000000</v>
      </c>
      <c r="C39" s="15">
        <v>2775593</v>
      </c>
      <c r="D39" s="15">
        <v>2008</v>
      </c>
      <c r="E39" s="15" t="str">
        <f>VLOOKUP(A39, Currency!$A$2:$B$100, 2, FALSE)</f>
        <v>GBP</v>
      </c>
      <c r="F39" s="15">
        <f ca="1">IFERROR(__xludf.DUMMYFUNCTION("IF(E39=""USD"",B39,B39 * GOOGLEFINANCE(""CURRENCY:"" &amp; E39 &amp; ""USD""))
"),34705800)</f>
        <v>34705800</v>
      </c>
      <c r="G39" s="16">
        <f ca="1">IFERROR(__xludf.DUMMYFUNCTION("IF(E39=""USD"",C39,C39 * GOOGLEFINANCE(""CURRENCY:"" &amp; E39 &amp; ""USD""))
"),3567747.24219999)</f>
        <v>3567747.24219999</v>
      </c>
    </row>
    <row r="40" spans="1:7" ht="15.75" customHeight="1" x14ac:dyDescent="0.25">
      <c r="A40" s="11" t="s">
        <v>24</v>
      </c>
      <c r="B40" s="12">
        <v>350000</v>
      </c>
      <c r="C40" s="12">
        <v>4000000</v>
      </c>
      <c r="D40" s="12">
        <v>1987</v>
      </c>
      <c r="E40" s="12" t="str">
        <f>VLOOKUP(A40, Currency!$A$2:$B$100, 2, FALSE)</f>
        <v>USD</v>
      </c>
      <c r="F40" s="12">
        <f ca="1">IFERROR(__xludf.DUMMYFUNCTION("IF(E40=""USD"",B40,B40 * GOOGLEFINANCE(""CURRENCY:"" &amp; E40 &amp; ""USD""))
"),350000)</f>
        <v>350000</v>
      </c>
      <c r="G40" s="13">
        <f ca="1">IFERROR(__xludf.DUMMYFUNCTION("IF(E40=""USD"",C40,C40 * GOOGLEFINANCE(""CURRENCY:"" &amp; E40 &amp; ""USD""))
"),4000000)</f>
        <v>4000000</v>
      </c>
    </row>
    <row r="41" spans="1:7" ht="15.75" customHeight="1" x14ac:dyDescent="0.25">
      <c r="A41" s="14" t="s">
        <v>220</v>
      </c>
      <c r="B41" s="15">
        <v>6000000</v>
      </c>
      <c r="C41" s="15">
        <v>1346503</v>
      </c>
      <c r="D41" s="15">
        <v>2011</v>
      </c>
      <c r="E41" s="15" t="str">
        <f>VLOOKUP(A41, Currency!$A$2:$B$100, 2, FALSE)</f>
        <v>CNY</v>
      </c>
      <c r="F41" s="15">
        <f ca="1">IFERROR(__xludf.DUMMYFUNCTION("IF(E41=""USD"",B41,B41 * GOOGLEFINANCE(""CURRENCY:"" &amp; E41 &amp; ""USD""))
"),829703.399999999)</f>
        <v>829703.39999999898</v>
      </c>
      <c r="G41" s="16">
        <f ca="1">IFERROR(__xludf.DUMMYFUNCTION("IF(E41=""USD"",C41,C41 * GOOGLEFINANCE(""CURRENCY:"" &amp; E41 &amp; ""USD""))
"),186199.686201699)</f>
        <v>186199.68620169899</v>
      </c>
    </row>
    <row r="42" spans="1:7" ht="15.75" customHeight="1" x14ac:dyDescent="0.25">
      <c r="A42" s="11" t="s">
        <v>24</v>
      </c>
      <c r="B42" s="12">
        <v>117000000</v>
      </c>
      <c r="C42" s="12">
        <v>76418654</v>
      </c>
      <c r="D42" s="12">
        <v>2010</v>
      </c>
      <c r="E42" s="12" t="str">
        <f>VLOOKUP(A42, Currency!$A$2:$B$100, 2, FALSE)</f>
        <v>USD</v>
      </c>
      <c r="F42" s="12">
        <f ca="1">IFERROR(__xludf.DUMMYFUNCTION("IF(E42=""USD"",B42,B42 * GOOGLEFINANCE(""CURRENCY:"" &amp; E42 &amp; ""USD""))
"),117000000)</f>
        <v>117000000</v>
      </c>
      <c r="G42" s="13">
        <f ca="1">IFERROR(__xludf.DUMMYFUNCTION("IF(E42=""USD"",C42,C42 * GOOGLEFINANCE(""CURRENCY:"" &amp; E42 &amp; ""USD""))
"),76418654)</f>
        <v>76418654</v>
      </c>
    </row>
    <row r="43" spans="1:7" ht="15.75" customHeight="1" x14ac:dyDescent="0.25">
      <c r="A43" s="14" t="s">
        <v>24</v>
      </c>
      <c r="B43" s="15">
        <v>500000</v>
      </c>
      <c r="C43" s="15">
        <v>13134</v>
      </c>
      <c r="D43" s="15">
        <v>2002</v>
      </c>
      <c r="E43" s="15" t="str">
        <f>VLOOKUP(A43, Currency!$A$2:$B$100, 2, FALSE)</f>
        <v>USD</v>
      </c>
      <c r="F43" s="15">
        <f ca="1">IFERROR(__xludf.DUMMYFUNCTION("IF(E43=""USD"",B43,B43 * GOOGLEFINANCE(""CURRENCY:"" &amp; E43 &amp; ""USD""))
"),500000)</f>
        <v>500000</v>
      </c>
      <c r="G43" s="16">
        <f ca="1">IFERROR(__xludf.DUMMYFUNCTION("IF(E43=""USD"",C43,C43 * GOOGLEFINANCE(""CURRENCY:"" &amp; E43 &amp; ""USD""))
"),13134)</f>
        <v>13134</v>
      </c>
    </row>
    <row r="44" spans="1:7" ht="15.75" customHeight="1" x14ac:dyDescent="0.25">
      <c r="A44" s="11" t="s">
        <v>24</v>
      </c>
      <c r="B44" s="12">
        <v>10600000</v>
      </c>
      <c r="C44" s="12">
        <v>22160085</v>
      </c>
      <c r="D44" s="12">
        <v>2002</v>
      </c>
      <c r="E44" s="12" t="str">
        <f>VLOOKUP(A44, Currency!$A$2:$B$100, 2, FALSE)</f>
        <v>USD</v>
      </c>
      <c r="F44" s="12">
        <f ca="1">IFERROR(__xludf.DUMMYFUNCTION("IF(E44=""USD"",B44,B44 * GOOGLEFINANCE(""CURRENCY:"" &amp; E44 &amp; ""USD""))
"),10600000)</f>
        <v>10600000</v>
      </c>
      <c r="G44" s="13">
        <f ca="1">IFERROR(__xludf.DUMMYFUNCTION("IF(E44=""USD"",C44,C44 * GOOGLEFINANCE(""CURRENCY:"" &amp; E44 &amp; ""USD""))
"),22160085)</f>
        <v>22160085</v>
      </c>
    </row>
    <row r="45" spans="1:7" ht="15.75" customHeight="1" x14ac:dyDescent="0.25">
      <c r="A45" s="14" t="s">
        <v>149</v>
      </c>
      <c r="B45" s="15">
        <v>16000000</v>
      </c>
      <c r="C45" s="15">
        <v>317125</v>
      </c>
      <c r="D45" s="15">
        <v>2013</v>
      </c>
      <c r="E45" s="15" t="str">
        <f>VLOOKUP(A45, Currency!$A$2:$B$100, 2, FALSE)</f>
        <v>AUD</v>
      </c>
      <c r="F45" s="15">
        <f ca="1">IFERROR(__xludf.DUMMYFUNCTION("IF(E45=""USD"",B45,B45 * GOOGLEFINANCE(""CURRENCY:"" &amp; E45 &amp; ""USD""))
"),10462080)</f>
        <v>10462080</v>
      </c>
      <c r="G45" s="16">
        <f ca="1">IFERROR(__xludf.DUMMYFUNCTION("IF(E45=""USD"",C45,C45 * GOOGLEFINANCE(""CURRENCY:"" &amp; E45 &amp; ""USD""))
"),207361.695)</f>
        <v>207361.69500000001</v>
      </c>
    </row>
    <row r="46" spans="1:7" ht="15.75" customHeight="1" x14ac:dyDescent="0.25">
      <c r="A46" s="11" t="s">
        <v>133</v>
      </c>
      <c r="B46" s="12">
        <v>11500000</v>
      </c>
      <c r="C46" s="12">
        <v>22954968</v>
      </c>
      <c r="D46" s="12">
        <v>1993</v>
      </c>
      <c r="E46" s="12" t="str">
        <f>VLOOKUP(A46, Currency!$A$2:$B$100, 2, FALSE)</f>
        <v>GBP</v>
      </c>
      <c r="F46" s="12">
        <f ca="1">IFERROR(__xludf.DUMMYFUNCTION("IF(E46=""USD"",B46,B46 * GOOGLEFINANCE(""CURRENCY:"" &amp; E46 &amp; ""USD""))
"),14782099.9999999)</f>
        <v>14782099.999999899</v>
      </c>
      <c r="G46" s="13">
        <f ca="1">IFERROR(__xludf.DUMMYFUNCTION("IF(E46=""USD"",C46,C46 * GOOGLEFINANCE(""CURRENCY:"" &amp; E46 &amp; ""USD""))
"),29506315.8672)</f>
        <v>29506315.867199998</v>
      </c>
    </row>
    <row r="47" spans="1:7" ht="15.75" customHeight="1" x14ac:dyDescent="0.25">
      <c r="A47" s="14" t="s">
        <v>24</v>
      </c>
      <c r="B47" s="15">
        <v>35000000</v>
      </c>
      <c r="C47" s="15">
        <v>40334024</v>
      </c>
      <c r="D47" s="15">
        <v>2001</v>
      </c>
      <c r="E47" s="15" t="str">
        <f>VLOOKUP(A47, Currency!$A$2:$B$100, 2, FALSE)</f>
        <v>USD</v>
      </c>
      <c r="F47" s="15">
        <f ca="1">IFERROR(__xludf.DUMMYFUNCTION("IF(E47=""USD"",B47,B47 * GOOGLEFINANCE(""CURRENCY:"" &amp; E47 &amp; ""USD""))
"),35000000)</f>
        <v>35000000</v>
      </c>
      <c r="G47" s="16">
        <f ca="1">IFERROR(__xludf.DUMMYFUNCTION("IF(E47=""USD"",C47,C47 * GOOGLEFINANCE(""CURRENCY:"" &amp; E47 &amp; ""USD""))
"),40334024)</f>
        <v>40334024</v>
      </c>
    </row>
    <row r="48" spans="1:7" ht="15.75" customHeight="1" x14ac:dyDescent="0.25">
      <c r="A48" s="11" t="s">
        <v>24</v>
      </c>
      <c r="B48" s="12">
        <v>144000000</v>
      </c>
      <c r="C48" s="12">
        <v>118099659</v>
      </c>
      <c r="D48" s="12">
        <v>2016</v>
      </c>
      <c r="E48" s="12" t="str">
        <f>VLOOKUP(A48, Currency!$A$2:$B$100, 2, FALSE)</f>
        <v>USD</v>
      </c>
      <c r="F48" s="12">
        <f ca="1">IFERROR(__xludf.DUMMYFUNCTION("IF(E48=""USD"",B48,B48 * GOOGLEFINANCE(""CURRENCY:"" &amp; E48 &amp; ""USD""))
"),144000000)</f>
        <v>144000000</v>
      </c>
      <c r="G48" s="13">
        <f ca="1">IFERROR(__xludf.DUMMYFUNCTION("IF(E48=""USD"",C48,C48 * GOOGLEFINANCE(""CURRENCY:"" &amp; E48 &amp; ""USD""))
"),118099659)</f>
        <v>118099659</v>
      </c>
    </row>
    <row r="49" spans="1:7" ht="15.75" customHeight="1" x14ac:dyDescent="0.25">
      <c r="A49" s="14" t="s">
        <v>24</v>
      </c>
      <c r="B49" s="15">
        <v>8000000</v>
      </c>
      <c r="C49" s="15">
        <v>3713002</v>
      </c>
      <c r="D49" s="15">
        <v>2003</v>
      </c>
      <c r="E49" s="15" t="str">
        <f>VLOOKUP(A49, Currency!$A$2:$B$100, 2, FALSE)</f>
        <v>USD</v>
      </c>
      <c r="F49" s="15">
        <f ca="1">IFERROR(__xludf.DUMMYFUNCTION("IF(E49=""USD"",B49,B49 * GOOGLEFINANCE(""CURRENCY:"" &amp; E49 &amp; ""USD""))
"),8000000)</f>
        <v>8000000</v>
      </c>
      <c r="G49" s="16">
        <f ca="1">IFERROR(__xludf.DUMMYFUNCTION("IF(E49=""USD"",C49,C49 * GOOGLEFINANCE(""CURRENCY:"" &amp; E49 &amp; ""USD""))
"),3713002)</f>
        <v>3713002</v>
      </c>
    </row>
    <row r="50" spans="1:7" ht="15.75" customHeight="1" x14ac:dyDescent="0.25">
      <c r="A50" s="11" t="s">
        <v>24</v>
      </c>
      <c r="B50" s="12">
        <v>150000000</v>
      </c>
      <c r="C50" s="12">
        <v>179982968</v>
      </c>
      <c r="D50" s="12">
        <v>2008</v>
      </c>
      <c r="E50" s="12" t="str">
        <f>VLOOKUP(A50, Currency!$A$2:$B$100, 2, FALSE)</f>
        <v>USD</v>
      </c>
      <c r="F50" s="12">
        <f ca="1">IFERROR(__xludf.DUMMYFUNCTION("IF(E50=""USD"",B50,B50 * GOOGLEFINANCE(""CURRENCY:"" &amp; E50 &amp; ""USD""))
"),150000000)</f>
        <v>150000000</v>
      </c>
      <c r="G50" s="13">
        <f ca="1">IFERROR(__xludf.DUMMYFUNCTION("IF(E50=""USD"",C50,C50 * GOOGLEFINANCE(""CURRENCY:"" &amp; E50 &amp; ""USD""))
"),179982968)</f>
        <v>179982968</v>
      </c>
    </row>
    <row r="51" spans="1:7" ht="15.75" customHeight="1" x14ac:dyDescent="0.25">
      <c r="A51" s="14" t="s">
        <v>24</v>
      </c>
      <c r="B51" s="15">
        <v>68000000</v>
      </c>
      <c r="C51" s="15">
        <v>300523113</v>
      </c>
      <c r="D51" s="15">
        <v>2010</v>
      </c>
      <c r="E51" s="15" t="str">
        <f>VLOOKUP(A51, Currency!$A$2:$B$100, 2, FALSE)</f>
        <v>USD</v>
      </c>
      <c r="F51" s="15">
        <f ca="1">IFERROR(__xludf.DUMMYFUNCTION("IF(E51=""USD"",B51,B51 * GOOGLEFINANCE(""CURRENCY:"" &amp; E51 &amp; ""USD""))
"),68000000)</f>
        <v>68000000</v>
      </c>
      <c r="G51" s="16">
        <f ca="1">IFERROR(__xludf.DUMMYFUNCTION("IF(E51=""USD"",C51,C51 * GOOGLEFINANCE(""CURRENCY:"" &amp; E51 &amp; ""USD""))
"),300523113)</f>
        <v>300523113</v>
      </c>
    </row>
    <row r="52" spans="1:7" ht="15.75" customHeight="1" x14ac:dyDescent="0.25">
      <c r="A52" s="11" t="s">
        <v>24</v>
      </c>
      <c r="B52" s="12">
        <v>10000000</v>
      </c>
      <c r="C52" s="12">
        <v>29392418</v>
      </c>
      <c r="D52" s="12">
        <v>1994</v>
      </c>
      <c r="E52" s="12" t="str">
        <f>VLOOKUP(A52, Currency!$A$2:$B$100, 2, FALSE)</f>
        <v>USD</v>
      </c>
      <c r="F52" s="12">
        <f ca="1">IFERROR(__xludf.DUMMYFUNCTION("IF(E52=""USD"",B52,B52 * GOOGLEFINANCE(""CURRENCY:"" &amp; E52 &amp; ""USD""))
"),10000000)</f>
        <v>10000000</v>
      </c>
      <c r="G52" s="13">
        <f ca="1">IFERROR(__xludf.DUMMYFUNCTION("IF(E52=""USD"",C52,C52 * GOOGLEFINANCE(""CURRENCY:"" &amp; E52 &amp; ""USD""))
"),29392418)</f>
        <v>29392418</v>
      </c>
    </row>
    <row r="53" spans="1:7" ht="15.75" customHeight="1" x14ac:dyDescent="0.25">
      <c r="A53" s="14" t="s">
        <v>24</v>
      </c>
      <c r="B53" s="15">
        <v>60000000</v>
      </c>
      <c r="C53" s="15">
        <v>74058698</v>
      </c>
      <c r="D53" s="15">
        <v>2001</v>
      </c>
      <c r="E53" s="15" t="str">
        <f>VLOOKUP(A53, Currency!$A$2:$B$100, 2, FALSE)</f>
        <v>USD</v>
      </c>
      <c r="F53" s="15">
        <f ca="1">IFERROR(__xludf.DUMMYFUNCTION("IF(E53=""USD"",B53,B53 * GOOGLEFINANCE(""CURRENCY:"" &amp; E53 &amp; ""USD""))
"),60000000)</f>
        <v>60000000</v>
      </c>
      <c r="G53" s="16">
        <f ca="1">IFERROR(__xludf.DUMMYFUNCTION("IF(E53=""USD"",C53,C53 * GOOGLEFINANCE(""CURRENCY:"" &amp; E53 &amp; ""USD""))
"),74058698)</f>
        <v>74058698</v>
      </c>
    </row>
    <row r="54" spans="1:7" ht="15.75" customHeight="1" x14ac:dyDescent="0.25">
      <c r="A54" s="11" t="s">
        <v>24</v>
      </c>
      <c r="B54" s="12">
        <v>32000000</v>
      </c>
      <c r="C54" s="12">
        <v>32701088</v>
      </c>
      <c r="D54" s="12">
        <v>2005</v>
      </c>
      <c r="E54" s="12" t="str">
        <f>VLOOKUP(A54, Currency!$A$2:$B$100, 2, FALSE)</f>
        <v>USD</v>
      </c>
      <c r="F54" s="12">
        <f ca="1">IFERROR(__xludf.DUMMYFUNCTION("IF(E54=""USD"",B54,B54 * GOOGLEFINANCE(""CURRENCY:"" &amp; E54 &amp; ""USD""))
"),32000000)</f>
        <v>32000000</v>
      </c>
      <c r="G54" s="13">
        <f ca="1">IFERROR(__xludf.DUMMYFUNCTION("IF(E54=""USD"",C54,C54 * GOOGLEFINANCE(""CURRENCY:"" &amp; E54 &amp; ""USD""))
"),32701088)</f>
        <v>32701088</v>
      </c>
    </row>
    <row r="55" spans="1:7" ht="15.75" customHeight="1" x14ac:dyDescent="0.25">
      <c r="A55" s="14" t="s">
        <v>24</v>
      </c>
      <c r="B55" s="15">
        <v>57000000</v>
      </c>
      <c r="C55" s="15">
        <v>51317350</v>
      </c>
      <c r="D55" s="15">
        <v>1996</v>
      </c>
      <c r="E55" s="15" t="str">
        <f>VLOOKUP(A55, Currency!$A$2:$B$100, 2, FALSE)</f>
        <v>USD</v>
      </c>
      <c r="F55" s="15">
        <f ca="1">IFERROR(__xludf.DUMMYFUNCTION("IF(E55=""USD"",B55,B55 * GOOGLEFINANCE(""CURRENCY:"" &amp; E55 &amp; ""USD""))
"),57000000)</f>
        <v>57000000</v>
      </c>
      <c r="G55" s="16">
        <f ca="1">IFERROR(__xludf.DUMMYFUNCTION("IF(E55=""USD"",C55,C55 * GOOGLEFINANCE(""CURRENCY:"" &amp; E55 &amp; ""USD""))
"),51317350)</f>
        <v>51317350</v>
      </c>
    </row>
    <row r="56" spans="1:7" ht="15.75" customHeight="1" x14ac:dyDescent="0.25">
      <c r="A56" s="11" t="s">
        <v>24</v>
      </c>
      <c r="B56" s="12">
        <v>100000000</v>
      </c>
      <c r="C56" s="12">
        <v>119219978</v>
      </c>
      <c r="D56" s="12">
        <v>2010</v>
      </c>
      <c r="E56" s="12" t="str">
        <f>VLOOKUP(A56, Currency!$A$2:$B$100, 2, FALSE)</f>
        <v>USD</v>
      </c>
      <c r="F56" s="12">
        <f ca="1">IFERROR(__xludf.DUMMYFUNCTION("IF(E56=""USD"",B56,B56 * GOOGLEFINANCE(""CURRENCY:"" &amp; E56 &amp; ""USD""))
"),100000000)</f>
        <v>100000000</v>
      </c>
      <c r="G56" s="13">
        <f ca="1">IFERROR(__xludf.DUMMYFUNCTION("IF(E56=""USD"",C56,C56 * GOOGLEFINANCE(""CURRENCY:"" &amp; E56 &amp; ""USD""))
"),119219978)</f>
        <v>119219978</v>
      </c>
    </row>
    <row r="57" spans="1:7" ht="15.75" customHeight="1" x14ac:dyDescent="0.25">
      <c r="A57" s="14" t="s">
        <v>24</v>
      </c>
      <c r="B57" s="15">
        <v>10000000</v>
      </c>
      <c r="C57" s="15">
        <v>35794166</v>
      </c>
      <c r="D57" s="15">
        <v>2016</v>
      </c>
      <c r="E57" s="15" t="str">
        <f>VLOOKUP(A57, Currency!$A$2:$B$100, 2, FALSE)</f>
        <v>USD</v>
      </c>
      <c r="F57" s="15">
        <f ca="1">IFERROR(__xludf.DUMMYFUNCTION("IF(E57=""USD"",B57,B57 * GOOGLEFINANCE(""CURRENCY:"" &amp; E57 &amp; ""USD""))
"),10000000)</f>
        <v>10000000</v>
      </c>
      <c r="G57" s="16">
        <f ca="1">IFERROR(__xludf.DUMMYFUNCTION("IF(E57=""USD"",C57,C57 * GOOGLEFINANCE(""CURRENCY:"" &amp; E57 &amp; ""USD""))
"),35794166)</f>
        <v>35794166</v>
      </c>
    </row>
    <row r="58" spans="1:7" ht="15.75" customHeight="1" x14ac:dyDescent="0.25">
      <c r="A58" s="11" t="s">
        <v>24</v>
      </c>
      <c r="B58" s="12">
        <v>5000000</v>
      </c>
      <c r="C58" s="12">
        <v>241437427</v>
      </c>
      <c r="D58" s="12">
        <v>2002</v>
      </c>
      <c r="E58" s="12" t="str">
        <f>VLOOKUP(A58, Currency!$A$2:$B$100, 2, FALSE)</f>
        <v>USD</v>
      </c>
      <c r="F58" s="12">
        <f ca="1">IFERROR(__xludf.DUMMYFUNCTION("IF(E58=""USD"",B58,B58 * GOOGLEFINANCE(""CURRENCY:"" &amp; E58 &amp; ""USD""))
"),5000000)</f>
        <v>5000000</v>
      </c>
      <c r="G58" s="13">
        <f ca="1">IFERROR(__xludf.DUMMYFUNCTION("IF(E58=""USD"",C58,C58 * GOOGLEFINANCE(""CURRENCY:"" &amp; E58 &amp; ""USD""))
"),241437427)</f>
        <v>241437427</v>
      </c>
    </row>
    <row r="59" spans="1:7" ht="15.75" customHeight="1" x14ac:dyDescent="0.25">
      <c r="A59" s="14" t="s">
        <v>24</v>
      </c>
      <c r="B59" s="15">
        <v>160000</v>
      </c>
      <c r="C59" s="15">
        <v>6706368</v>
      </c>
      <c r="D59" s="15">
        <v>1989</v>
      </c>
      <c r="E59" s="15" t="str">
        <f>VLOOKUP(A59, Currency!$A$2:$B$100, 2, FALSE)</f>
        <v>USD</v>
      </c>
      <c r="F59" s="15">
        <f ca="1">IFERROR(__xludf.DUMMYFUNCTION("IF(E59=""USD"",B59,B59 * GOOGLEFINANCE(""CURRENCY:"" &amp; E59 &amp; ""USD""))
"),160000)</f>
        <v>160000</v>
      </c>
      <c r="G59" s="16">
        <f ca="1">IFERROR(__xludf.DUMMYFUNCTION("IF(E59=""USD"",C59,C59 * GOOGLEFINANCE(""CURRENCY:"" &amp; E59 &amp; ""USD""))
"),6706368)</f>
        <v>6706368</v>
      </c>
    </row>
    <row r="60" spans="1:7" ht="15.75" customHeight="1" x14ac:dyDescent="0.25">
      <c r="A60" s="11" t="s">
        <v>24</v>
      </c>
      <c r="B60" s="12">
        <v>2000000</v>
      </c>
      <c r="C60" s="12">
        <v>7680</v>
      </c>
      <c r="D60" s="12">
        <v>1999</v>
      </c>
      <c r="E60" s="12" t="str">
        <f>VLOOKUP(A60, Currency!$A$2:$B$100, 2, FALSE)</f>
        <v>USD</v>
      </c>
      <c r="F60" s="12">
        <f ca="1">IFERROR(__xludf.DUMMYFUNCTION("IF(E60=""USD"",B60,B60 * GOOGLEFINANCE(""CURRENCY:"" &amp; E60 &amp; ""USD""))
"),2000000)</f>
        <v>2000000</v>
      </c>
      <c r="G60" s="13">
        <f ca="1">IFERROR(__xludf.DUMMYFUNCTION("IF(E60=""USD"",C60,C60 * GOOGLEFINANCE(""CURRENCY:"" &amp; E60 &amp; ""USD""))
"),7680)</f>
        <v>7680</v>
      </c>
    </row>
    <row r="61" spans="1:7" ht="15.75" customHeight="1" x14ac:dyDescent="0.25">
      <c r="A61" s="14" t="s">
        <v>24</v>
      </c>
      <c r="B61" s="15">
        <v>160000000</v>
      </c>
      <c r="C61" s="15">
        <v>320706665</v>
      </c>
      <c r="D61" s="15">
        <v>2007</v>
      </c>
      <c r="E61" s="15" t="str">
        <f>VLOOKUP(A61, Currency!$A$2:$B$100, 2, FALSE)</f>
        <v>USD</v>
      </c>
      <c r="F61" s="15">
        <f ca="1">IFERROR(__xludf.DUMMYFUNCTION("IF(E61=""USD"",B61,B61 * GOOGLEFINANCE(""CURRENCY:"" &amp; E61 &amp; ""USD""))
"),160000000)</f>
        <v>160000000</v>
      </c>
      <c r="G61" s="16">
        <f ca="1">IFERROR(__xludf.DUMMYFUNCTION("IF(E61=""USD"",C61,C61 * GOOGLEFINANCE(""CURRENCY:"" &amp; E61 &amp; ""USD""))
"),320706665)</f>
        <v>320706665</v>
      </c>
    </row>
    <row r="62" spans="1:7" ht="15.75" customHeight="1" x14ac:dyDescent="0.25">
      <c r="A62" s="11" t="s">
        <v>24</v>
      </c>
      <c r="B62" s="12">
        <v>5000000</v>
      </c>
      <c r="C62" s="12">
        <v>65069140</v>
      </c>
      <c r="D62" s="12">
        <v>2015</v>
      </c>
      <c r="E62" s="12" t="str">
        <f>VLOOKUP(A62, Currency!$A$2:$B$100, 2, FALSE)</f>
        <v>USD</v>
      </c>
      <c r="F62" s="12">
        <f ca="1">IFERROR(__xludf.DUMMYFUNCTION("IF(E62=""USD"",B62,B62 * GOOGLEFINANCE(""CURRENCY:"" &amp; E62 &amp; ""USD""))
"),5000000)</f>
        <v>5000000</v>
      </c>
      <c r="G62" s="13">
        <f ca="1">IFERROR(__xludf.DUMMYFUNCTION("IF(E62=""USD"",C62,C62 * GOOGLEFINANCE(""CURRENCY:"" &amp; E62 &amp; ""USD""))
"),65069140)</f>
        <v>65069140</v>
      </c>
    </row>
    <row r="63" spans="1:7" ht="15.75" customHeight="1" x14ac:dyDescent="0.25">
      <c r="A63" s="14" t="s">
        <v>24</v>
      </c>
      <c r="B63" s="15">
        <v>20000000</v>
      </c>
      <c r="C63" s="15">
        <v>80050171</v>
      </c>
      <c r="D63" s="15">
        <v>2007</v>
      </c>
      <c r="E63" s="15" t="str">
        <f>VLOOKUP(A63, Currency!$A$2:$B$100, 2, FALSE)</f>
        <v>USD</v>
      </c>
      <c r="F63" s="15">
        <f ca="1">IFERROR(__xludf.DUMMYFUNCTION("IF(E63=""USD"",B63,B63 * GOOGLEFINANCE(""CURRENCY:"" &amp; E63 &amp; ""USD""))
"),20000000)</f>
        <v>20000000</v>
      </c>
      <c r="G63" s="16">
        <f ca="1">IFERROR(__xludf.DUMMYFUNCTION("IF(E63=""USD"",C63,C63 * GOOGLEFINANCE(""CURRENCY:"" &amp; E63 &amp; ""USD""))
"),80050171)</f>
        <v>80050171</v>
      </c>
    </row>
    <row r="64" spans="1:7" ht="15.75" customHeight="1" x14ac:dyDescent="0.25">
      <c r="A64" s="11" t="s">
        <v>24</v>
      </c>
      <c r="B64" s="12">
        <v>85000000</v>
      </c>
      <c r="C64" s="12">
        <v>117144465</v>
      </c>
      <c r="D64" s="12">
        <v>2007</v>
      </c>
      <c r="E64" s="12" t="str">
        <f>VLOOKUP(A64, Currency!$A$2:$B$100, 2, FALSE)</f>
        <v>USD</v>
      </c>
      <c r="F64" s="12">
        <f ca="1">IFERROR(__xludf.DUMMYFUNCTION("IF(E64=""USD"",B64,B64 * GOOGLEFINANCE(""CURRENCY:"" &amp; E64 &amp; ""USD""))
"),85000000)</f>
        <v>85000000</v>
      </c>
      <c r="G64" s="13">
        <f ca="1">IFERROR(__xludf.DUMMYFUNCTION("IF(E64=""USD"",C64,C64 * GOOGLEFINANCE(""CURRENCY:"" &amp; E64 &amp; ""USD""))
"),117144465)</f>
        <v>117144465</v>
      </c>
    </row>
    <row r="65" spans="1:7" ht="15.75" customHeight="1" x14ac:dyDescent="0.25">
      <c r="A65" s="14" t="s">
        <v>24</v>
      </c>
      <c r="B65" s="15">
        <v>9000000</v>
      </c>
      <c r="C65" s="15">
        <v>4881867</v>
      </c>
      <c r="D65" s="15">
        <v>2008</v>
      </c>
      <c r="E65" s="15" t="str">
        <f>VLOOKUP(A65, Currency!$A$2:$B$100, 2, FALSE)</f>
        <v>USD</v>
      </c>
      <c r="F65" s="15">
        <f ca="1">IFERROR(__xludf.DUMMYFUNCTION("IF(E65=""USD"",B65,B65 * GOOGLEFINANCE(""CURRENCY:"" &amp; E65 &amp; ""USD""))
"),9000000)</f>
        <v>9000000</v>
      </c>
      <c r="G65" s="16">
        <f ca="1">IFERROR(__xludf.DUMMYFUNCTION("IF(E65=""USD"",C65,C65 * GOOGLEFINANCE(""CURRENCY:"" &amp; E65 &amp; ""USD""))
"),4881867)</f>
        <v>4881867</v>
      </c>
    </row>
    <row r="66" spans="1:7" ht="15.75" customHeight="1" x14ac:dyDescent="0.25">
      <c r="A66" s="11" t="s">
        <v>24</v>
      </c>
      <c r="B66" s="12">
        <v>8000000</v>
      </c>
      <c r="C66" s="12">
        <v>336456</v>
      </c>
      <c r="D66" s="12">
        <v>2003</v>
      </c>
      <c r="E66" s="12" t="str">
        <f>VLOOKUP(A66, Currency!$A$2:$B$100, 2, FALSE)</f>
        <v>USD</v>
      </c>
      <c r="F66" s="12">
        <f ca="1">IFERROR(__xludf.DUMMYFUNCTION("IF(E66=""USD"",B66,B66 * GOOGLEFINANCE(""CURRENCY:"" &amp; E66 &amp; ""USD""))
"),8000000)</f>
        <v>8000000</v>
      </c>
      <c r="G66" s="13">
        <f ca="1">IFERROR(__xludf.DUMMYFUNCTION("IF(E66=""USD"",C66,C66 * GOOGLEFINANCE(""CURRENCY:"" &amp; E66 &amp; ""USD""))
"),336456)</f>
        <v>336456</v>
      </c>
    </row>
    <row r="67" spans="1:7" ht="15.75" customHeight="1" x14ac:dyDescent="0.25">
      <c r="A67" s="14" t="s">
        <v>24</v>
      </c>
      <c r="B67" s="15">
        <v>55000000</v>
      </c>
      <c r="C67" s="15">
        <v>39440655</v>
      </c>
      <c r="D67" s="15">
        <v>2010</v>
      </c>
      <c r="E67" s="15" t="str">
        <f>VLOOKUP(A67, Currency!$A$2:$B$100, 2, FALSE)</f>
        <v>USD</v>
      </c>
      <c r="F67" s="15">
        <f ca="1">IFERROR(__xludf.DUMMYFUNCTION("IF(E67=""USD"",B67,B67 * GOOGLEFINANCE(""CURRENCY:"" &amp; E67 &amp; ""USD""))
"),55000000)</f>
        <v>55000000</v>
      </c>
      <c r="G67" s="16">
        <f ca="1">IFERROR(__xludf.DUMMYFUNCTION("IF(E67=""USD"",C67,C67 * GOOGLEFINANCE(""CURRENCY:"" &amp; E67 &amp; ""USD""))
"),39440655)</f>
        <v>39440655</v>
      </c>
    </row>
    <row r="68" spans="1:7" ht="15.75" customHeight="1" x14ac:dyDescent="0.25">
      <c r="A68" s="11" t="s">
        <v>24</v>
      </c>
      <c r="B68" s="12">
        <v>12500000</v>
      </c>
      <c r="C68" s="12">
        <v>40962534</v>
      </c>
      <c r="D68" s="12">
        <v>2011</v>
      </c>
      <c r="E68" s="12" t="str">
        <f>VLOOKUP(A68, Currency!$A$2:$B$100, 2, FALSE)</f>
        <v>USD</v>
      </c>
      <c r="F68" s="12">
        <f ca="1">IFERROR(__xludf.DUMMYFUNCTION("IF(E68=""USD"",B68,B68 * GOOGLEFINANCE(""CURRENCY:"" &amp; E68 &amp; ""USD""))
"),12500000)</f>
        <v>12500000</v>
      </c>
      <c r="G68" s="13">
        <f ca="1">IFERROR(__xludf.DUMMYFUNCTION("IF(E68=""USD"",C68,C68 * GOOGLEFINANCE(""CURRENCY:"" &amp; E68 &amp; ""USD""))
"),40962534)</f>
        <v>40962534</v>
      </c>
    </row>
    <row r="69" spans="1:7" ht="15.75" customHeight="1" x14ac:dyDescent="0.25">
      <c r="A69" s="14" t="s">
        <v>24</v>
      </c>
      <c r="B69" s="15">
        <v>40000000</v>
      </c>
      <c r="C69" s="15">
        <v>27400000</v>
      </c>
      <c r="D69" s="15">
        <v>1984</v>
      </c>
      <c r="E69" s="15" t="str">
        <f>VLOOKUP(A69, Currency!$A$2:$B$100, 2, FALSE)</f>
        <v>USD</v>
      </c>
      <c r="F69" s="15">
        <f ca="1">IFERROR(__xludf.DUMMYFUNCTION("IF(E69=""USD"",B69,B69 * GOOGLEFINANCE(""CURRENCY:"" &amp; E69 &amp; ""USD""))
"),40000000)</f>
        <v>40000000</v>
      </c>
      <c r="G69" s="16">
        <f ca="1">IFERROR(__xludf.DUMMYFUNCTION("IF(E69=""USD"",C69,C69 * GOOGLEFINANCE(""CURRENCY:"" &amp; E69 &amp; ""USD""))
"),27400000)</f>
        <v>27400000</v>
      </c>
    </row>
    <row r="70" spans="1:7" ht="15.75" customHeight="1" x14ac:dyDescent="0.25">
      <c r="A70" s="11" t="s">
        <v>24</v>
      </c>
      <c r="B70" s="12">
        <v>30000000</v>
      </c>
      <c r="C70" s="12">
        <v>79566871</v>
      </c>
      <c r="D70" s="12">
        <v>2009</v>
      </c>
      <c r="E70" s="12" t="str">
        <f>VLOOKUP(A70, Currency!$A$2:$B$100, 2, FALSE)</f>
        <v>USD</v>
      </c>
      <c r="F70" s="12">
        <f ca="1">IFERROR(__xludf.DUMMYFUNCTION("IF(E70=""USD"",B70,B70 * GOOGLEFINANCE(""CURRENCY:"" &amp; E70 &amp; ""USD""))
"),30000000)</f>
        <v>30000000</v>
      </c>
      <c r="G70" s="13">
        <f ca="1">IFERROR(__xludf.DUMMYFUNCTION("IF(E70=""USD"",C70,C70 * GOOGLEFINANCE(""CURRENCY:"" &amp; E70 &amp; ""USD""))
"),79566871)</f>
        <v>79566871</v>
      </c>
    </row>
    <row r="71" spans="1:7" ht="15.75" customHeight="1" x14ac:dyDescent="0.25">
      <c r="A71" s="14" t="s">
        <v>24</v>
      </c>
      <c r="B71" s="15">
        <v>225000000</v>
      </c>
      <c r="C71" s="15">
        <v>141614023</v>
      </c>
      <c r="D71" s="15">
        <v>2008</v>
      </c>
      <c r="E71" s="15" t="str">
        <f>VLOOKUP(A71, Currency!$A$2:$B$100, 2, FALSE)</f>
        <v>USD</v>
      </c>
      <c r="F71" s="15">
        <f ca="1">IFERROR(__xludf.DUMMYFUNCTION("IF(E71=""USD"",B71,B71 * GOOGLEFINANCE(""CURRENCY:"" &amp; E71 &amp; ""USD""))
"),225000000)</f>
        <v>225000000</v>
      </c>
      <c r="G71" s="16">
        <f ca="1">IFERROR(__xludf.DUMMYFUNCTION("IF(E71=""USD"",C71,C71 * GOOGLEFINANCE(""CURRENCY:"" &amp; E71 &amp; ""USD""))
"),141614023)</f>
        <v>141614023</v>
      </c>
    </row>
    <row r="72" spans="1:7" ht="15.75" customHeight="1" x14ac:dyDescent="0.25">
      <c r="A72" s="11" t="s">
        <v>24</v>
      </c>
      <c r="B72" s="12">
        <v>100000</v>
      </c>
      <c r="C72" s="12">
        <v>10174663</v>
      </c>
      <c r="D72" s="12">
        <v>2006</v>
      </c>
      <c r="E72" s="12" t="str">
        <f>VLOOKUP(A72, Currency!$A$2:$B$100, 2, FALSE)</f>
        <v>USD</v>
      </c>
      <c r="F72" s="12">
        <f ca="1">IFERROR(__xludf.DUMMYFUNCTION("IF(E72=""USD"",B72,B72 * GOOGLEFINANCE(""CURRENCY:"" &amp; E72 &amp; ""USD""))
"),100000)</f>
        <v>100000</v>
      </c>
      <c r="G72" s="13">
        <f ca="1">IFERROR(__xludf.DUMMYFUNCTION("IF(E72=""USD"",C72,C72 * GOOGLEFINANCE(""CURRENCY:"" &amp; E72 &amp; ""USD""))
"),10174663)</f>
        <v>10174663</v>
      </c>
    </row>
    <row r="73" spans="1:7" ht="15.75" customHeight="1" x14ac:dyDescent="0.25">
      <c r="A73" s="14" t="s">
        <v>24</v>
      </c>
      <c r="B73" s="15">
        <v>55000000</v>
      </c>
      <c r="C73" s="15">
        <v>101530738</v>
      </c>
      <c r="D73" s="15">
        <v>2014</v>
      </c>
      <c r="E73" s="15" t="str">
        <f>VLOOKUP(A73, Currency!$A$2:$B$100, 2, FALSE)</f>
        <v>USD</v>
      </c>
      <c r="F73" s="15">
        <f ca="1">IFERROR(__xludf.DUMMYFUNCTION("IF(E73=""USD"",B73,B73 * GOOGLEFINANCE(""CURRENCY:"" &amp; E73 &amp; ""USD""))
"),55000000)</f>
        <v>55000000</v>
      </c>
      <c r="G73" s="16">
        <f ca="1">IFERROR(__xludf.DUMMYFUNCTION("IF(E73=""USD"",C73,C73 * GOOGLEFINANCE(""CURRENCY:"" &amp; E73 &amp; ""USD""))
"),101530738)</f>
        <v>101530738</v>
      </c>
    </row>
    <row r="74" spans="1:7" ht="15.75" customHeight="1" x14ac:dyDescent="0.25">
      <c r="A74" s="11" t="s">
        <v>24</v>
      </c>
      <c r="B74" s="12">
        <v>20000000</v>
      </c>
      <c r="C74" s="12">
        <v>4234040</v>
      </c>
      <c r="D74" s="12">
        <v>2008</v>
      </c>
      <c r="E74" s="12" t="str">
        <f>VLOOKUP(A74, Currency!$A$2:$B$100, 2, FALSE)</f>
        <v>USD</v>
      </c>
      <c r="F74" s="12">
        <f ca="1">IFERROR(__xludf.DUMMYFUNCTION("IF(E74=""USD"",B74,B74 * GOOGLEFINANCE(""CURRENCY:"" &amp; E74 &amp; ""USD""))
"),20000000)</f>
        <v>20000000</v>
      </c>
      <c r="G74" s="13">
        <f ca="1">IFERROR(__xludf.DUMMYFUNCTION("IF(E74=""USD"",C74,C74 * GOOGLEFINANCE(""CURRENCY:"" &amp; E74 &amp; ""USD""))
"),4234040)</f>
        <v>4234040</v>
      </c>
    </row>
    <row r="75" spans="1:7" ht="15.75" customHeight="1" x14ac:dyDescent="0.25">
      <c r="A75" s="14" t="s">
        <v>24</v>
      </c>
      <c r="B75" s="15">
        <v>500000</v>
      </c>
      <c r="C75" s="15">
        <v>1332</v>
      </c>
      <c r="D75" s="15">
        <v>2012</v>
      </c>
      <c r="E75" s="15" t="str">
        <f>VLOOKUP(A75, Currency!$A$2:$B$100, 2, FALSE)</f>
        <v>USD</v>
      </c>
      <c r="F75" s="15">
        <f ca="1">IFERROR(__xludf.DUMMYFUNCTION("IF(E75=""USD"",B75,B75 * GOOGLEFINANCE(""CURRENCY:"" &amp; E75 &amp; ""USD""))
"),500000)</f>
        <v>500000</v>
      </c>
      <c r="G75" s="16">
        <f ca="1">IFERROR(__xludf.DUMMYFUNCTION("IF(E75=""USD"",C75,C75 * GOOGLEFINANCE(""CURRENCY:"" &amp; E75 &amp; ""USD""))
"),1332)</f>
        <v>1332</v>
      </c>
    </row>
    <row r="76" spans="1:7" ht="15.75" customHeight="1" x14ac:dyDescent="0.25">
      <c r="A76" s="11" t="s">
        <v>24</v>
      </c>
      <c r="B76" s="12">
        <v>55000000</v>
      </c>
      <c r="C76" s="12">
        <v>34098563</v>
      </c>
      <c r="D76" s="12">
        <v>1999</v>
      </c>
      <c r="E76" s="12" t="str">
        <f>VLOOKUP(A76, Currency!$A$2:$B$100, 2, FALSE)</f>
        <v>USD</v>
      </c>
      <c r="F76" s="12">
        <f ca="1">IFERROR(__xludf.DUMMYFUNCTION("IF(E76=""USD"",B76,B76 * GOOGLEFINANCE(""CURRENCY:"" &amp; E76 &amp; ""USD""))
"),55000000)</f>
        <v>55000000</v>
      </c>
      <c r="G76" s="13">
        <f ca="1">IFERROR(__xludf.DUMMYFUNCTION("IF(E76=""USD"",C76,C76 * GOOGLEFINANCE(""CURRENCY:"" &amp; E76 &amp; ""USD""))
"),34098563)</f>
        <v>34098563</v>
      </c>
    </row>
    <row r="77" spans="1:7" ht="15.75" customHeight="1" x14ac:dyDescent="0.25">
      <c r="A77" s="14" t="s">
        <v>24</v>
      </c>
      <c r="B77" s="15">
        <v>8200000</v>
      </c>
      <c r="C77" s="15">
        <v>163214286</v>
      </c>
      <c r="D77" s="15">
        <v>1965</v>
      </c>
      <c r="E77" s="15" t="str">
        <f>VLOOKUP(A77, Currency!$A$2:$B$100, 2, FALSE)</f>
        <v>USD</v>
      </c>
      <c r="F77" s="15">
        <f ca="1">IFERROR(__xludf.DUMMYFUNCTION("IF(E77=""USD"",B77,B77 * GOOGLEFINANCE(""CURRENCY:"" &amp; E77 &amp; ""USD""))
"),8200000)</f>
        <v>8200000</v>
      </c>
      <c r="G77" s="16">
        <f ca="1">IFERROR(__xludf.DUMMYFUNCTION("IF(E77=""USD"",C77,C77 * GOOGLEFINANCE(""CURRENCY:"" &amp; E77 &amp; ""USD""))
"),163214286)</f>
        <v>163214286</v>
      </c>
    </row>
    <row r="78" spans="1:7" ht="15.75" customHeight="1" x14ac:dyDescent="0.25">
      <c r="A78" s="11" t="s">
        <v>24</v>
      </c>
      <c r="B78" s="12">
        <v>17000000</v>
      </c>
      <c r="C78" s="12">
        <v>26284475</v>
      </c>
      <c r="D78" s="12">
        <v>2015</v>
      </c>
      <c r="E78" s="12" t="str">
        <f>VLOOKUP(A78, Currency!$A$2:$B$100, 2, FALSE)</f>
        <v>USD</v>
      </c>
      <c r="F78" s="12">
        <f ca="1">IFERROR(__xludf.DUMMYFUNCTION("IF(E78=""USD"",B78,B78 * GOOGLEFINANCE(""CURRENCY:"" &amp; E78 &amp; ""USD""))
"),17000000)</f>
        <v>17000000</v>
      </c>
      <c r="G78" s="13">
        <f ca="1">IFERROR(__xludf.DUMMYFUNCTION("IF(E78=""USD"",C78,C78 * GOOGLEFINANCE(""CURRENCY:"" &amp; E78 &amp; ""USD""))
"),26284475)</f>
        <v>26284475</v>
      </c>
    </row>
    <row r="79" spans="1:7" ht="15.75" customHeight="1" x14ac:dyDescent="0.25">
      <c r="A79" s="14" t="s">
        <v>24</v>
      </c>
      <c r="B79" s="15">
        <v>25000000</v>
      </c>
      <c r="C79" s="15">
        <v>44700000</v>
      </c>
      <c r="D79" s="15">
        <v>1983</v>
      </c>
      <c r="E79" s="15" t="str">
        <f>VLOOKUP(A79, Currency!$A$2:$B$100, 2, FALSE)</f>
        <v>USD</v>
      </c>
      <c r="F79" s="15">
        <f ca="1">IFERROR(__xludf.DUMMYFUNCTION("IF(E79=""USD"",B79,B79 * GOOGLEFINANCE(""CURRENCY:"" &amp; E79 &amp; ""USD""))
"),25000000)</f>
        <v>25000000</v>
      </c>
      <c r="G79" s="16">
        <f ca="1">IFERROR(__xludf.DUMMYFUNCTION("IF(E79=""USD"",C79,C79 * GOOGLEFINANCE(""CURRENCY:"" &amp; E79 &amp; ""USD""))
"),44700000)</f>
        <v>44700000</v>
      </c>
    </row>
    <row r="80" spans="1:7" ht="15.75" customHeight="1" x14ac:dyDescent="0.25">
      <c r="A80" s="11" t="s">
        <v>24</v>
      </c>
      <c r="B80" s="12">
        <v>40000000</v>
      </c>
      <c r="C80" s="12">
        <v>41797066</v>
      </c>
      <c r="D80" s="12">
        <v>2007</v>
      </c>
      <c r="E80" s="12" t="str">
        <f>VLOOKUP(A80, Currency!$A$2:$B$100, 2, FALSE)</f>
        <v>USD</v>
      </c>
      <c r="F80" s="12">
        <f ca="1">IFERROR(__xludf.DUMMYFUNCTION("IF(E80=""USD"",B80,B80 * GOOGLEFINANCE(""CURRENCY:"" &amp; E80 &amp; ""USD""))
"),40000000)</f>
        <v>40000000</v>
      </c>
      <c r="G80" s="13">
        <f ca="1">IFERROR(__xludf.DUMMYFUNCTION("IF(E80=""USD"",C80,C80 * GOOGLEFINANCE(""CURRENCY:"" &amp; E80 &amp; ""USD""))
"),41797066)</f>
        <v>41797066</v>
      </c>
    </row>
    <row r="81" spans="1:7" ht="15.75" customHeight="1" x14ac:dyDescent="0.25">
      <c r="A81" s="14" t="s">
        <v>24</v>
      </c>
      <c r="B81" s="15">
        <v>15000000</v>
      </c>
      <c r="C81" s="15">
        <v>30259652</v>
      </c>
      <c r="D81" s="15">
        <v>2002</v>
      </c>
      <c r="E81" s="15" t="str">
        <f>VLOOKUP(A81, Currency!$A$2:$B$100, 2, FALSE)</f>
        <v>USD</v>
      </c>
      <c r="F81" s="15">
        <f ca="1">IFERROR(__xludf.DUMMYFUNCTION("IF(E81=""USD"",B81,B81 * GOOGLEFINANCE(""CURRENCY:"" &amp; E81 &amp; ""USD""))
"),15000000)</f>
        <v>15000000</v>
      </c>
      <c r="G81" s="16">
        <f ca="1">IFERROR(__xludf.DUMMYFUNCTION("IF(E81=""USD"",C81,C81 * GOOGLEFINANCE(""CURRENCY:"" &amp; E81 &amp; ""USD""))
"),30259652)</f>
        <v>30259652</v>
      </c>
    </row>
    <row r="82" spans="1:7" ht="15.75" customHeight="1" x14ac:dyDescent="0.25">
      <c r="A82" s="11" t="s">
        <v>24</v>
      </c>
      <c r="B82" s="12">
        <v>17000000</v>
      </c>
      <c r="C82" s="12">
        <v>37566230</v>
      </c>
      <c r="D82" s="12">
        <v>2003</v>
      </c>
      <c r="E82" s="12" t="str">
        <f>VLOOKUP(A82, Currency!$A$2:$B$100, 2, FALSE)</f>
        <v>USD</v>
      </c>
      <c r="F82" s="12">
        <f ca="1">IFERROR(__xludf.DUMMYFUNCTION("IF(E82=""USD"",B82,B82 * GOOGLEFINANCE(""CURRENCY:"" &amp; E82 &amp; ""USD""))
"),17000000)</f>
        <v>17000000</v>
      </c>
      <c r="G82" s="13">
        <f ca="1">IFERROR(__xludf.DUMMYFUNCTION("IF(E82=""USD"",C82,C82 * GOOGLEFINANCE(""CURRENCY:"" &amp; E82 &amp; ""USD""))
"),37566230)</f>
        <v>37566230</v>
      </c>
    </row>
    <row r="83" spans="1:7" ht="15.75" customHeight="1" x14ac:dyDescent="0.25">
      <c r="A83" s="14" t="s">
        <v>24</v>
      </c>
      <c r="B83" s="15">
        <v>8000000</v>
      </c>
      <c r="C83" s="15">
        <v>53481</v>
      </c>
      <c r="D83" s="15">
        <v>2006</v>
      </c>
      <c r="E83" s="15" t="str">
        <f>VLOOKUP(A83, Currency!$A$2:$B$100, 2, FALSE)</f>
        <v>USD</v>
      </c>
      <c r="F83" s="15">
        <f ca="1">IFERROR(__xludf.DUMMYFUNCTION("IF(E83=""USD"",B83,B83 * GOOGLEFINANCE(""CURRENCY:"" &amp; E83 &amp; ""USD""))
"),8000000)</f>
        <v>8000000</v>
      </c>
      <c r="G83" s="16">
        <f ca="1">IFERROR(__xludf.DUMMYFUNCTION("IF(E83=""USD"",C83,C83 * GOOGLEFINANCE(""CURRENCY:"" &amp; E83 &amp; ""USD""))
"),53481)</f>
        <v>53481</v>
      </c>
    </row>
    <row r="84" spans="1:7" ht="15.75" customHeight="1" x14ac:dyDescent="0.25">
      <c r="A84" s="11" t="s">
        <v>24</v>
      </c>
      <c r="B84" s="12">
        <v>80000000</v>
      </c>
      <c r="C84" s="12">
        <v>10166502</v>
      </c>
      <c r="D84" s="12">
        <v>2005</v>
      </c>
      <c r="E84" s="12" t="str">
        <f>VLOOKUP(A84, Currency!$A$2:$B$100, 2, FALSE)</f>
        <v>USD</v>
      </c>
      <c r="F84" s="12">
        <f ca="1">IFERROR(__xludf.DUMMYFUNCTION("IF(E84=""USD"",B84,B84 * GOOGLEFINANCE(""CURRENCY:"" &amp; E84 &amp; ""USD""))
"),80000000)</f>
        <v>80000000</v>
      </c>
      <c r="G84" s="13">
        <f ca="1">IFERROR(__xludf.DUMMYFUNCTION("IF(E84=""USD"",C84,C84 * GOOGLEFINANCE(""CURRENCY:"" &amp; E84 &amp; ""USD""))
"),10166502)</f>
        <v>10166502</v>
      </c>
    </row>
    <row r="85" spans="1:7" ht="15.75" customHeight="1" x14ac:dyDescent="0.25">
      <c r="A85" s="14" t="s">
        <v>24</v>
      </c>
      <c r="B85" s="15">
        <v>82000000</v>
      </c>
      <c r="C85" s="15">
        <v>34543701</v>
      </c>
      <c r="D85" s="15">
        <v>2000</v>
      </c>
      <c r="E85" s="15" t="str">
        <f>VLOOKUP(A85, Currency!$A$2:$B$100, 2, FALSE)</f>
        <v>USD</v>
      </c>
      <c r="F85" s="15">
        <f ca="1">IFERROR(__xludf.DUMMYFUNCTION("IF(E85=""USD"",B85,B85 * GOOGLEFINANCE(""CURRENCY:"" &amp; E85 &amp; ""USD""))
"),82000000)</f>
        <v>82000000</v>
      </c>
      <c r="G85" s="16">
        <f ca="1">IFERROR(__xludf.DUMMYFUNCTION("IF(E85=""USD"",C85,C85 * GOOGLEFINANCE(""CURRENCY:"" &amp; E85 &amp; ""USD""))
"),34543701)</f>
        <v>34543701</v>
      </c>
    </row>
    <row r="86" spans="1:7" ht="15.75" customHeight="1" x14ac:dyDescent="0.25">
      <c r="A86" s="11" t="s">
        <v>176</v>
      </c>
      <c r="B86" s="12">
        <v>80000000</v>
      </c>
      <c r="C86" s="12">
        <v>20950820</v>
      </c>
      <c r="D86" s="12">
        <v>2003</v>
      </c>
      <c r="E86" s="12" t="str">
        <f>VLOOKUP(A86, Currency!$A$2:$B$100, 2, FALSE)</f>
        <v>EUR</v>
      </c>
      <c r="F86" s="12">
        <f ca="1">IFERROR(__xludf.DUMMYFUNCTION("IF(E86=""USD"",B86,B86 * GOOGLEFINANCE(""CURRENCY:"" &amp; E86 &amp; ""USD""))
"),86779200)</f>
        <v>86779200</v>
      </c>
      <c r="G86" s="13">
        <f ca="1">IFERROR(__xludf.DUMMYFUNCTION("IF(E86=""USD"",C86,C86 * GOOGLEFINANCE(""CURRENCY:"" &amp; E86 &amp; ""USD""))
"),22726192.4868)</f>
        <v>22726192.4868</v>
      </c>
    </row>
    <row r="87" spans="1:7" ht="15.75" customHeight="1" x14ac:dyDescent="0.25">
      <c r="A87" s="14" t="s">
        <v>24</v>
      </c>
      <c r="B87" s="15">
        <v>6000000</v>
      </c>
      <c r="C87" s="15">
        <v>20200</v>
      </c>
      <c r="D87" s="15">
        <v>2014</v>
      </c>
      <c r="E87" s="15" t="str">
        <f>VLOOKUP(A87, Currency!$A$2:$B$100, 2, FALSE)</f>
        <v>USD</v>
      </c>
      <c r="F87" s="15">
        <f ca="1">IFERROR(__xludf.DUMMYFUNCTION("IF(E87=""USD"",B87,B87 * GOOGLEFINANCE(""CURRENCY:"" &amp; E87 &amp; ""USD""))
"),6000000)</f>
        <v>6000000</v>
      </c>
      <c r="G87" s="16">
        <f ca="1">IFERROR(__xludf.DUMMYFUNCTION("IF(E87=""USD"",C87,C87 * GOOGLEFINANCE(""CURRENCY:"" &amp; E87 &amp; ""USD""))
"),20200)</f>
        <v>20200</v>
      </c>
    </row>
    <row r="88" spans="1:7" ht="15.75" customHeight="1" x14ac:dyDescent="0.25">
      <c r="A88" s="11" t="s">
        <v>24</v>
      </c>
      <c r="B88" s="12">
        <v>15000000</v>
      </c>
      <c r="C88" s="12">
        <v>4360548</v>
      </c>
      <c r="D88" s="12">
        <v>2009</v>
      </c>
      <c r="E88" s="12" t="str">
        <f>VLOOKUP(A88, Currency!$A$2:$B$100, 2, FALSE)</f>
        <v>USD</v>
      </c>
      <c r="F88" s="12">
        <f ca="1">IFERROR(__xludf.DUMMYFUNCTION("IF(E88=""USD"",B88,B88 * GOOGLEFINANCE(""CURRENCY:"" &amp; E88 &amp; ""USD""))
"),15000000)</f>
        <v>15000000</v>
      </c>
      <c r="G88" s="13">
        <f ca="1">IFERROR(__xludf.DUMMYFUNCTION("IF(E88=""USD"",C88,C88 * GOOGLEFINANCE(""CURRENCY:"" &amp; E88 &amp; ""USD""))
"),4360548)</f>
        <v>4360548</v>
      </c>
    </row>
    <row r="89" spans="1:7" ht="15.75" customHeight="1" x14ac:dyDescent="0.25">
      <c r="A89" s="14" t="s">
        <v>24</v>
      </c>
      <c r="B89" s="15">
        <v>65000000</v>
      </c>
      <c r="C89" s="15">
        <v>93771072</v>
      </c>
      <c r="D89" s="15">
        <v>1998</v>
      </c>
      <c r="E89" s="15" t="str">
        <f>VLOOKUP(A89, Currency!$A$2:$B$100, 2, FALSE)</f>
        <v>USD</v>
      </c>
      <c r="F89" s="15">
        <f ca="1">IFERROR(__xludf.DUMMYFUNCTION("IF(E89=""USD"",B89,B89 * GOOGLEFINANCE(""CURRENCY:"" &amp; E89 &amp; ""USD""))
"),65000000)</f>
        <v>65000000</v>
      </c>
      <c r="G89" s="16">
        <f ca="1">IFERROR(__xludf.DUMMYFUNCTION("IF(E89=""USD"",C89,C89 * GOOGLEFINANCE(""CURRENCY:"" &amp; E89 &amp; ""USD""))
"),93771072)</f>
        <v>93771072</v>
      </c>
    </row>
    <row r="90" spans="1:7" ht="15.75" customHeight="1" x14ac:dyDescent="0.25">
      <c r="A90" s="11" t="s">
        <v>133</v>
      </c>
      <c r="B90" s="12">
        <v>15000000</v>
      </c>
      <c r="C90" s="12">
        <v>5702083</v>
      </c>
      <c r="D90" s="12">
        <v>2011</v>
      </c>
      <c r="E90" s="12" t="str">
        <f>VLOOKUP(A90, Currency!$A$2:$B$100, 2, FALSE)</f>
        <v>GBP</v>
      </c>
      <c r="F90" s="12">
        <f ca="1">IFERROR(__xludf.DUMMYFUNCTION("IF(E90=""USD"",B90,B90 * GOOGLEFINANCE(""CURRENCY:"" &amp; E90 &amp; ""USD""))
"),19281000)</f>
        <v>19281000</v>
      </c>
      <c r="G90" s="13">
        <f ca="1">IFERROR(__xludf.DUMMYFUNCTION("IF(E90=""USD"",C90,C90 * GOOGLEFINANCE(""CURRENCY:"" &amp; E90 &amp; ""USD""))
"),7329457.4882)</f>
        <v>7329457.4881999996</v>
      </c>
    </row>
    <row r="91" spans="1:7" ht="15.75" customHeight="1" x14ac:dyDescent="0.25">
      <c r="A91" s="14" t="s">
        <v>176</v>
      </c>
      <c r="B91" s="15">
        <v>50000000</v>
      </c>
      <c r="C91" s="15">
        <v>22518325</v>
      </c>
      <c r="D91" s="15">
        <v>2006</v>
      </c>
      <c r="E91" s="15" t="str">
        <f>VLOOKUP(A91, Currency!$A$2:$B$100, 2, FALSE)</f>
        <v>EUR</v>
      </c>
      <c r="F91" s="15">
        <f ca="1">IFERROR(__xludf.DUMMYFUNCTION("IF(E91=""USD"",B91,B91 * GOOGLEFINANCE(""CURRENCY:"" &amp; E91 &amp; ""USD""))
"),54237000)</f>
        <v>54237000</v>
      </c>
      <c r="G91" s="16">
        <f ca="1">IFERROR(__xludf.DUMMYFUNCTION("IF(E91=""USD"",C91,C91 * GOOGLEFINANCE(""CURRENCY:"" &amp; E91 &amp; ""USD""))
"),24426527.8605)</f>
        <v>24426527.8605</v>
      </c>
    </row>
    <row r="92" spans="1:7" ht="15.75" customHeight="1" x14ac:dyDescent="0.25">
      <c r="A92" s="11" t="s">
        <v>24</v>
      </c>
      <c r="B92" s="12">
        <v>17000000</v>
      </c>
      <c r="C92" s="12">
        <v>53868030</v>
      </c>
      <c r="D92" s="12">
        <v>1997</v>
      </c>
      <c r="E92" s="12" t="str">
        <f>VLOOKUP(A92, Currency!$A$2:$B$100, 2, FALSE)</f>
        <v>USD</v>
      </c>
      <c r="F92" s="12">
        <f ca="1">IFERROR(__xludf.DUMMYFUNCTION("IF(E92=""USD"",B92,B92 * GOOGLEFINANCE(""CURRENCY:"" &amp; E92 &amp; ""USD""))
"),17000000)</f>
        <v>17000000</v>
      </c>
      <c r="G92" s="13">
        <f ca="1">IFERROR(__xludf.DUMMYFUNCTION("IF(E92=""USD"",C92,C92 * GOOGLEFINANCE(""CURRENCY:"" &amp; E92 &amp; ""USD""))
"),53868030)</f>
        <v>53868030</v>
      </c>
    </row>
    <row r="93" spans="1:7" ht="15.75" customHeight="1" x14ac:dyDescent="0.25">
      <c r="A93" s="14" t="s">
        <v>133</v>
      </c>
      <c r="B93" s="15">
        <v>20000000</v>
      </c>
      <c r="C93" s="15">
        <v>403932</v>
      </c>
      <c r="D93" s="15">
        <v>2000</v>
      </c>
      <c r="E93" s="15" t="str">
        <f>VLOOKUP(A93, Currency!$A$2:$B$100, 2, FALSE)</f>
        <v>GBP</v>
      </c>
      <c r="F93" s="15">
        <f ca="1">IFERROR(__xludf.DUMMYFUNCTION("IF(E93=""USD"",B93,B93 * GOOGLEFINANCE(""CURRENCY:"" &amp; E93 &amp; ""USD""))
"),25707999.9999999)</f>
        <v>25707999.999999899</v>
      </c>
      <c r="G93" s="16">
        <f ca="1">IFERROR(__xludf.DUMMYFUNCTION("IF(E93=""USD"",C93,C93 * GOOGLEFINANCE(""CURRENCY:"" &amp; E93 &amp; ""USD""))
"),519214.192799999)</f>
        <v>519214.19279999897</v>
      </c>
    </row>
    <row r="94" spans="1:7" ht="15.75" customHeight="1" x14ac:dyDescent="0.25">
      <c r="A94" s="11" t="s">
        <v>24</v>
      </c>
      <c r="B94" s="12">
        <v>45000000</v>
      </c>
      <c r="C94" s="12">
        <v>9353573</v>
      </c>
      <c r="D94" s="12">
        <v>2009</v>
      </c>
      <c r="E94" s="12" t="str">
        <f>VLOOKUP(A94, Currency!$A$2:$B$100, 2, FALSE)</f>
        <v>USD</v>
      </c>
      <c r="F94" s="12">
        <f ca="1">IFERROR(__xludf.DUMMYFUNCTION("IF(E94=""USD"",B94,B94 * GOOGLEFINANCE(""CURRENCY:"" &amp; E94 &amp; ""USD""))
"),45000000)</f>
        <v>45000000</v>
      </c>
      <c r="G94" s="13">
        <f ca="1">IFERROR(__xludf.DUMMYFUNCTION("IF(E94=""USD"",C94,C94 * GOOGLEFINANCE(""CURRENCY:"" &amp; E94 &amp; ""USD""))
"),9353573)</f>
        <v>9353573</v>
      </c>
    </row>
    <row r="95" spans="1:7" ht="15.75" customHeight="1" x14ac:dyDescent="0.25">
      <c r="A95" s="14" t="s">
        <v>24</v>
      </c>
      <c r="B95" s="15">
        <v>1300000</v>
      </c>
      <c r="C95" s="15">
        <v>695229</v>
      </c>
      <c r="D95" s="15">
        <v>1996</v>
      </c>
      <c r="E95" s="15" t="str">
        <f>VLOOKUP(A95, Currency!$A$2:$B$100, 2, FALSE)</f>
        <v>USD</v>
      </c>
      <c r="F95" s="15">
        <f ca="1">IFERROR(__xludf.DUMMYFUNCTION("IF(E95=""USD"",B95,B95 * GOOGLEFINANCE(""CURRENCY:"" &amp; E95 &amp; ""USD""))
"),1300000)</f>
        <v>1300000</v>
      </c>
      <c r="G95" s="16">
        <f ca="1">IFERROR(__xludf.DUMMYFUNCTION("IF(E95=""USD"",C95,C95 * GOOGLEFINANCE(""CURRENCY:"" &amp; E95 &amp; ""USD""))
"),695229)</f>
        <v>695229</v>
      </c>
    </row>
    <row r="96" spans="1:7" ht="15.75" customHeight="1" x14ac:dyDescent="0.25">
      <c r="A96" s="11" t="s">
        <v>24</v>
      </c>
      <c r="B96" s="12">
        <v>20000000</v>
      </c>
      <c r="C96" s="12">
        <v>1697956</v>
      </c>
      <c r="D96" s="12">
        <v>2009</v>
      </c>
      <c r="E96" s="12" t="str">
        <f>VLOOKUP(A96, Currency!$A$2:$B$100, 2, FALSE)</f>
        <v>USD</v>
      </c>
      <c r="F96" s="12">
        <f ca="1">IFERROR(__xludf.DUMMYFUNCTION("IF(E96=""USD"",B96,B96 * GOOGLEFINANCE(""CURRENCY:"" &amp; E96 &amp; ""USD""))
"),20000000)</f>
        <v>20000000</v>
      </c>
      <c r="G96" s="13">
        <f ca="1">IFERROR(__xludf.DUMMYFUNCTION("IF(E96=""USD"",C96,C96 * GOOGLEFINANCE(""CURRENCY:"" &amp; E96 &amp; ""USD""))
"),1697956)</f>
        <v>1697956</v>
      </c>
    </row>
    <row r="97" spans="1:7" ht="15.75" customHeight="1" x14ac:dyDescent="0.25">
      <c r="A97" s="14" t="s">
        <v>24</v>
      </c>
      <c r="B97" s="15">
        <v>26000000</v>
      </c>
      <c r="C97" s="15">
        <v>25809813</v>
      </c>
      <c r="D97" s="15">
        <v>1996</v>
      </c>
      <c r="E97" s="15" t="str">
        <f>VLOOKUP(A97, Currency!$A$2:$B$100, 2, FALSE)</f>
        <v>USD</v>
      </c>
      <c r="F97" s="15">
        <f ca="1">IFERROR(__xludf.DUMMYFUNCTION("IF(E97=""USD"",B97,B97 * GOOGLEFINANCE(""CURRENCY:"" &amp; E97 &amp; ""USD""))
"),26000000)</f>
        <v>26000000</v>
      </c>
      <c r="G97" s="16">
        <f ca="1">IFERROR(__xludf.DUMMYFUNCTION("IF(E97=""USD"",C97,C97 * GOOGLEFINANCE(""CURRENCY:"" &amp; E97 &amp; ""USD""))
"),25809813)</f>
        <v>25809813</v>
      </c>
    </row>
    <row r="98" spans="1:7" ht="15.75" customHeight="1" x14ac:dyDescent="0.25">
      <c r="A98" s="11" t="s">
        <v>24</v>
      </c>
      <c r="B98" s="12">
        <v>50000000</v>
      </c>
      <c r="C98" s="12">
        <v>48745150</v>
      </c>
      <c r="D98" s="12">
        <v>2006</v>
      </c>
      <c r="E98" s="12" t="str">
        <f>VLOOKUP(A98, Currency!$A$2:$B$100, 2, FALSE)</f>
        <v>USD</v>
      </c>
      <c r="F98" s="12">
        <f ca="1">IFERROR(__xludf.DUMMYFUNCTION("IF(E98=""USD"",B98,B98 * GOOGLEFINANCE(""CURRENCY:"" &amp; E98 &amp; ""USD""))
"),50000000)</f>
        <v>50000000</v>
      </c>
      <c r="G98" s="13">
        <f ca="1">IFERROR(__xludf.DUMMYFUNCTION("IF(E98=""USD"",C98,C98 * GOOGLEFINANCE(""CURRENCY:"" &amp; E98 &amp; ""USD""))
"),48745150)</f>
        <v>48745150</v>
      </c>
    </row>
    <row r="99" spans="1:7" ht="15.75" customHeight="1" x14ac:dyDescent="0.25">
      <c r="A99" s="14" t="s">
        <v>24</v>
      </c>
      <c r="B99" s="15">
        <v>9000000</v>
      </c>
      <c r="C99" s="15">
        <v>17096053</v>
      </c>
      <c r="D99" s="15">
        <v>1998</v>
      </c>
      <c r="E99" s="15" t="str">
        <f>VLOOKUP(A99, Currency!$A$2:$B$100, 2, FALSE)</f>
        <v>USD</v>
      </c>
      <c r="F99" s="15">
        <f ca="1">IFERROR(__xludf.DUMMYFUNCTION("IF(E99=""USD"",B99,B99 * GOOGLEFINANCE(""CURRENCY:"" &amp; E99 &amp; ""USD""))
"),9000000)</f>
        <v>9000000</v>
      </c>
      <c r="G99" s="16">
        <f ca="1">IFERROR(__xludf.DUMMYFUNCTION("IF(E99=""USD"",C99,C99 * GOOGLEFINANCE(""CURRENCY:"" &amp; E99 &amp; ""USD""))
"),17096053)</f>
        <v>17096053</v>
      </c>
    </row>
    <row r="100" spans="1:7" ht="15.75" customHeight="1" x14ac:dyDescent="0.25">
      <c r="A100" s="11" t="s">
        <v>24</v>
      </c>
      <c r="B100" s="12">
        <v>30000000</v>
      </c>
      <c r="C100" s="12">
        <v>122012643</v>
      </c>
      <c r="D100" s="12">
        <v>1990</v>
      </c>
      <c r="E100" s="12" t="str">
        <f>VLOOKUP(A100, Currency!$A$2:$B$100, 2, FALSE)</f>
        <v>USD</v>
      </c>
      <c r="F100" s="12">
        <f ca="1">IFERROR(__xludf.DUMMYFUNCTION("IF(E100=""USD"",B100,B100 * GOOGLEFINANCE(""CURRENCY:"" &amp; E100 &amp; ""USD""))
"),30000000)</f>
        <v>30000000</v>
      </c>
      <c r="G100" s="13">
        <f ca="1">IFERROR(__xludf.DUMMYFUNCTION("IF(E100=""USD"",C100,C100 * GOOGLEFINANCE(""CURRENCY:"" &amp; E100 &amp; ""USD""))
"),122012643)</f>
        <v>122012643</v>
      </c>
    </row>
    <row r="101" spans="1:7" ht="15.75" customHeight="1" x14ac:dyDescent="0.25">
      <c r="A101" s="14" t="s">
        <v>176</v>
      </c>
      <c r="B101" s="15">
        <v>50000000</v>
      </c>
      <c r="C101" s="15">
        <v>55682070</v>
      </c>
      <c r="D101" s="15">
        <v>2013</v>
      </c>
      <c r="E101" s="15" t="str">
        <f>VLOOKUP(A101, Currency!$A$2:$B$100, 2, FALSE)</f>
        <v>EUR</v>
      </c>
      <c r="F101" s="15">
        <f ca="1">IFERROR(__xludf.DUMMYFUNCTION("IF(E101=""USD"",B101,B101 * GOOGLEFINANCE(""CURRENCY:"" &amp; E101 &amp; ""USD""))
"),54237000)</f>
        <v>54237000</v>
      </c>
      <c r="G101" s="16">
        <f ca="1">IFERROR(__xludf.DUMMYFUNCTION("IF(E101=""USD"",C101,C101 * GOOGLEFINANCE(""CURRENCY:"" &amp; E101 &amp; ""USD""))
"),60400568.6118)</f>
        <v>60400568.6118</v>
      </c>
    </row>
    <row r="102" spans="1:7" ht="15.75" customHeight="1" x14ac:dyDescent="0.25">
      <c r="A102" s="11" t="s">
        <v>24</v>
      </c>
      <c r="B102" s="12">
        <v>5000000</v>
      </c>
      <c r="C102" s="12">
        <v>326308</v>
      </c>
      <c r="D102" s="12">
        <v>1996</v>
      </c>
      <c r="E102" s="12" t="str">
        <f>VLOOKUP(A102, Currency!$A$2:$B$100, 2, FALSE)</f>
        <v>USD</v>
      </c>
      <c r="F102" s="12">
        <f ca="1">IFERROR(__xludf.DUMMYFUNCTION("IF(E102=""USD"",B102,B102 * GOOGLEFINANCE(""CURRENCY:"" &amp; E102 &amp; ""USD""))
"),5000000)</f>
        <v>5000000</v>
      </c>
      <c r="G102" s="13">
        <f ca="1">IFERROR(__xludf.DUMMYFUNCTION("IF(E102=""USD"",C102,C102 * GOOGLEFINANCE(""CURRENCY:"" &amp; E102 &amp; ""USD""))
"),326308)</f>
        <v>326308</v>
      </c>
    </row>
    <row r="103" spans="1:7" ht="15.75" customHeight="1" x14ac:dyDescent="0.25">
      <c r="A103" s="14" t="s">
        <v>24</v>
      </c>
      <c r="B103" s="15">
        <v>200000</v>
      </c>
      <c r="C103" s="15">
        <v>5199</v>
      </c>
      <c r="D103" s="15">
        <v>2004</v>
      </c>
      <c r="E103" s="15" t="str">
        <f>VLOOKUP(A103, Currency!$A$2:$B$100, 2, FALSE)</f>
        <v>USD</v>
      </c>
      <c r="F103" s="15">
        <f ca="1">IFERROR(__xludf.DUMMYFUNCTION("IF(E103=""USD"",B103,B103 * GOOGLEFINANCE(""CURRENCY:"" &amp; E103 &amp; ""USD""))
"),200000)</f>
        <v>200000</v>
      </c>
      <c r="G103" s="16">
        <f ca="1">IFERROR(__xludf.DUMMYFUNCTION("IF(E103=""USD"",C103,C103 * GOOGLEFINANCE(""CURRENCY:"" &amp; E103 &amp; ""USD""))
"),5199)</f>
        <v>5199</v>
      </c>
    </row>
    <row r="104" spans="1:7" ht="15.75" customHeight="1" x14ac:dyDescent="0.25">
      <c r="A104" s="11" t="s">
        <v>24</v>
      </c>
      <c r="B104" s="12">
        <v>18000000</v>
      </c>
      <c r="C104" s="12">
        <v>119938730</v>
      </c>
      <c r="D104" s="12">
        <v>1994</v>
      </c>
      <c r="E104" s="12" t="str">
        <f>VLOOKUP(A104, Currency!$A$2:$B$100, 2, FALSE)</f>
        <v>USD</v>
      </c>
      <c r="F104" s="12">
        <f ca="1">IFERROR(__xludf.DUMMYFUNCTION("IF(E104=""USD"",B104,B104 * GOOGLEFINANCE(""CURRENCY:"" &amp; E104 &amp; ""USD""))
"),18000000)</f>
        <v>18000000</v>
      </c>
      <c r="G104" s="13">
        <f ca="1">IFERROR(__xludf.DUMMYFUNCTION("IF(E104=""USD"",C104,C104 * GOOGLEFINANCE(""CURRENCY:"" &amp; E104 &amp; ""USD""))
"),119938730)</f>
        <v>119938730</v>
      </c>
    </row>
    <row r="105" spans="1:7" ht="15.75" customHeight="1" x14ac:dyDescent="0.25">
      <c r="A105" s="14" t="s">
        <v>24</v>
      </c>
      <c r="B105" s="15">
        <v>25000000</v>
      </c>
      <c r="C105" s="15">
        <v>48237389</v>
      </c>
      <c r="D105" s="15">
        <v>2008</v>
      </c>
      <c r="E105" s="15" t="str">
        <f>VLOOKUP(A105, Currency!$A$2:$B$100, 2, FALSE)</f>
        <v>USD</v>
      </c>
      <c r="F105" s="15">
        <f ca="1">IFERROR(__xludf.DUMMYFUNCTION("IF(E105=""USD"",B105,B105 * GOOGLEFINANCE(""CURRENCY:"" &amp; E105 &amp; ""USD""))
"),25000000)</f>
        <v>25000000</v>
      </c>
      <c r="G105" s="16">
        <f ca="1">IFERROR(__xludf.DUMMYFUNCTION("IF(E105=""USD"",C105,C105 * GOOGLEFINANCE(""CURRENCY:"" &amp; E105 &amp; ""USD""))
"),48237389)</f>
        <v>48237389</v>
      </c>
    </row>
    <row r="106" spans="1:7" ht="15.75" customHeight="1" x14ac:dyDescent="0.25">
      <c r="A106" s="11" t="s">
        <v>24</v>
      </c>
      <c r="B106" s="12">
        <v>50000000</v>
      </c>
      <c r="C106" s="12">
        <v>81517441</v>
      </c>
      <c r="D106" s="12">
        <v>1999</v>
      </c>
      <c r="E106" s="12" t="str">
        <f>VLOOKUP(A106, Currency!$A$2:$B$100, 2, FALSE)</f>
        <v>USD</v>
      </c>
      <c r="F106" s="12">
        <f ca="1">IFERROR(__xludf.DUMMYFUNCTION("IF(E106=""USD"",B106,B106 * GOOGLEFINANCE(""CURRENCY:"" &amp; E106 &amp; ""USD""))
"),50000000)</f>
        <v>50000000</v>
      </c>
      <c r="G106" s="13">
        <f ca="1">IFERROR(__xludf.DUMMYFUNCTION("IF(E106=""USD"",C106,C106 * GOOGLEFINANCE(""CURRENCY:"" &amp; E106 &amp; ""USD""))
"),81517441)</f>
        <v>81517441</v>
      </c>
    </row>
    <row r="107" spans="1:7" ht="15.75" customHeight="1" x14ac:dyDescent="0.25">
      <c r="A107" s="14" t="s">
        <v>133</v>
      </c>
      <c r="B107" s="15">
        <v>175000000</v>
      </c>
      <c r="C107" s="15">
        <v>362645141</v>
      </c>
      <c r="D107" s="15">
        <v>2016</v>
      </c>
      <c r="E107" s="15" t="str">
        <f>VLOOKUP(A107, Currency!$A$2:$B$100, 2, FALSE)</f>
        <v>GBP</v>
      </c>
      <c r="F107" s="15">
        <f ca="1">IFERROR(__xludf.DUMMYFUNCTION("IF(E107=""USD"",B107,B107 * GOOGLEFINANCE(""CURRENCY:"" &amp; E107 &amp; ""USD""))
"),224944999.999999)</f>
        <v>224944999.99999899</v>
      </c>
      <c r="G107" s="16">
        <f ca="1">IFERROR(__xludf.DUMMYFUNCTION("IF(E107=""USD"",C107,C107 * GOOGLEFINANCE(""CURRENCY:"" &amp; E107 &amp; ""USD""))
"),466144064.241399)</f>
        <v>466144064.24139899</v>
      </c>
    </row>
    <row r="108" spans="1:7" ht="15.75" customHeight="1" x14ac:dyDescent="0.25">
      <c r="A108" s="11" t="s">
        <v>24</v>
      </c>
      <c r="B108" s="12">
        <v>25000000</v>
      </c>
      <c r="C108" s="12">
        <v>30920167</v>
      </c>
      <c r="D108" s="12">
        <v>2012</v>
      </c>
      <c r="E108" s="12" t="str">
        <f>VLOOKUP(A108, Currency!$A$2:$B$100, 2, FALSE)</f>
        <v>USD</v>
      </c>
      <c r="F108" s="12">
        <f ca="1">IFERROR(__xludf.DUMMYFUNCTION("IF(E108=""USD"",B108,B108 * GOOGLEFINANCE(""CURRENCY:"" &amp; E108 &amp; ""USD""))
"),25000000)</f>
        <v>25000000</v>
      </c>
      <c r="G108" s="13">
        <f ca="1">IFERROR(__xludf.DUMMYFUNCTION("IF(E108=""USD"",C108,C108 * GOOGLEFINANCE(""CURRENCY:"" &amp; E108 &amp; ""USD""))
"),30920167)</f>
        <v>30920167</v>
      </c>
    </row>
    <row r="109" spans="1:7" ht="15.75" customHeight="1" x14ac:dyDescent="0.25">
      <c r="A109" s="14" t="s">
        <v>24</v>
      </c>
      <c r="B109" s="15">
        <v>55000000</v>
      </c>
      <c r="C109" s="15">
        <v>68218041</v>
      </c>
      <c r="D109" s="15">
        <v>2011</v>
      </c>
      <c r="E109" s="15" t="str">
        <f>VLOOKUP(A109, Currency!$A$2:$B$100, 2, FALSE)</f>
        <v>USD</v>
      </c>
      <c r="F109" s="15">
        <f ca="1">IFERROR(__xludf.DUMMYFUNCTION("IF(E109=""USD"",B109,B109 * GOOGLEFINANCE(""CURRENCY:"" &amp; E109 &amp; ""USD""))
"),55000000)</f>
        <v>55000000</v>
      </c>
      <c r="G109" s="16">
        <f ca="1">IFERROR(__xludf.DUMMYFUNCTION("IF(E109=""USD"",C109,C109 * GOOGLEFINANCE(""CURRENCY:"" &amp; E109 &amp; ""USD""))
"),68218041)</f>
        <v>68218041</v>
      </c>
    </row>
    <row r="110" spans="1:7" ht="15.75" customHeight="1" x14ac:dyDescent="0.25">
      <c r="A110" s="11" t="s">
        <v>24</v>
      </c>
      <c r="B110" s="12">
        <v>32000000</v>
      </c>
      <c r="C110" s="12">
        <v>2899970</v>
      </c>
      <c r="D110" s="12">
        <v>1999</v>
      </c>
      <c r="E110" s="12" t="str">
        <f>VLOOKUP(A110, Currency!$A$2:$B$100, 2, FALSE)</f>
        <v>USD</v>
      </c>
      <c r="F110" s="12">
        <f ca="1">IFERROR(__xludf.DUMMYFUNCTION("IF(E110=""USD"",B110,B110 * GOOGLEFINANCE(""CURRENCY:"" &amp; E110 &amp; ""USD""))
"),32000000)</f>
        <v>32000000</v>
      </c>
      <c r="G110" s="13">
        <f ca="1">IFERROR(__xludf.DUMMYFUNCTION("IF(E110=""USD"",C110,C110 * GOOGLEFINANCE(""CURRENCY:"" &amp; E110 &amp; ""USD""))
"),2899970)</f>
        <v>2899970</v>
      </c>
    </row>
    <row r="111" spans="1:7" ht="15.75" customHeight="1" x14ac:dyDescent="0.25">
      <c r="A111" s="14" t="s">
        <v>133</v>
      </c>
      <c r="B111" s="15">
        <v>30000000</v>
      </c>
      <c r="C111" s="15">
        <v>12987647</v>
      </c>
      <c r="D111" s="15">
        <v>2002</v>
      </c>
      <c r="E111" s="15" t="str">
        <f>VLOOKUP(A111, Currency!$A$2:$B$100, 2, FALSE)</f>
        <v>GBP</v>
      </c>
      <c r="F111" s="15">
        <f ca="1">IFERROR(__xludf.DUMMYFUNCTION("IF(E111=""USD"",B111,B111 * GOOGLEFINANCE(""CURRENCY:"" &amp; E111 &amp; ""USD""))
"),38562000)</f>
        <v>38562000</v>
      </c>
      <c r="G111" s="16">
        <f ca="1">IFERROR(__xludf.DUMMYFUNCTION("IF(E111=""USD"",C111,C111 * GOOGLEFINANCE(""CURRENCY:"" &amp; E111 &amp; ""USD""))
"),16694321.4537999)</f>
        <v>16694321.4537999</v>
      </c>
    </row>
    <row r="112" spans="1:7" ht="15.75" customHeight="1" x14ac:dyDescent="0.25">
      <c r="A112" s="11" t="s">
        <v>24</v>
      </c>
      <c r="B112" s="12">
        <v>6000000</v>
      </c>
      <c r="C112" s="12">
        <v>6670712</v>
      </c>
      <c r="D112" s="12">
        <v>2009</v>
      </c>
      <c r="E112" s="12" t="str">
        <f>VLOOKUP(A112, Currency!$A$2:$B$100, 2, FALSE)</f>
        <v>USD</v>
      </c>
      <c r="F112" s="12">
        <f ca="1">IFERROR(__xludf.DUMMYFUNCTION("IF(E112=""USD"",B112,B112 * GOOGLEFINANCE(""CURRENCY:"" &amp; E112 &amp; ""USD""))
"),6000000)</f>
        <v>6000000</v>
      </c>
      <c r="G112" s="13">
        <f ca="1">IFERROR(__xludf.DUMMYFUNCTION("IF(E112=""USD"",C112,C112 * GOOGLEFINANCE(""CURRENCY:"" &amp; E112 &amp; ""USD""))
"),6670712)</f>
        <v>6670712</v>
      </c>
    </row>
    <row r="113" spans="1:7" ht="15.75" customHeight="1" x14ac:dyDescent="0.25">
      <c r="A113" s="14" t="s">
        <v>24</v>
      </c>
      <c r="B113" s="15">
        <v>100000000</v>
      </c>
      <c r="C113" s="15">
        <v>184031112</v>
      </c>
      <c r="D113" s="15">
        <v>1995</v>
      </c>
      <c r="E113" s="15" t="str">
        <f>VLOOKUP(A113, Currency!$A$2:$B$100, 2, FALSE)</f>
        <v>USD</v>
      </c>
      <c r="F113" s="15">
        <f ca="1">IFERROR(__xludf.DUMMYFUNCTION("IF(E113=""USD"",B113,B113 * GOOGLEFINANCE(""CURRENCY:"" &amp; E113 &amp; ""USD""))
"),100000000)</f>
        <v>100000000</v>
      </c>
      <c r="G113" s="16">
        <f ca="1">IFERROR(__xludf.DUMMYFUNCTION("IF(E113=""USD"",C113,C113 * GOOGLEFINANCE(""CURRENCY:"" &amp; E113 &amp; ""USD""))
"),184031112)</f>
        <v>184031112</v>
      </c>
    </row>
    <row r="114" spans="1:7" ht="15.75" customHeight="1" x14ac:dyDescent="0.25">
      <c r="A114" s="11" t="s">
        <v>24</v>
      </c>
      <c r="B114" s="12">
        <v>6000000</v>
      </c>
      <c r="C114" s="12">
        <v>12793213</v>
      </c>
      <c r="D114" s="12">
        <v>1988</v>
      </c>
      <c r="E114" s="12" t="str">
        <f>VLOOKUP(A114, Currency!$A$2:$B$100, 2, FALSE)</f>
        <v>USD</v>
      </c>
      <c r="F114" s="12">
        <f ca="1">IFERROR(__xludf.DUMMYFUNCTION("IF(E114=""USD"",B114,B114 * GOOGLEFINANCE(""CURRENCY:"" &amp; E114 &amp; ""USD""))
"),6000000)</f>
        <v>6000000</v>
      </c>
      <c r="G114" s="13">
        <f ca="1">IFERROR(__xludf.DUMMYFUNCTION("IF(E114=""USD"",C114,C114 * GOOGLEFINANCE(""CURRENCY:"" &amp; E114 &amp; ""USD""))
"),12793213)</f>
        <v>12793213</v>
      </c>
    </row>
    <row r="115" spans="1:7" ht="15.75" customHeight="1" x14ac:dyDescent="0.25">
      <c r="A115" s="14" t="s">
        <v>24</v>
      </c>
      <c r="B115" s="15">
        <v>150000000</v>
      </c>
      <c r="C115" s="15">
        <v>82161969</v>
      </c>
      <c r="D115" s="15">
        <v>2007</v>
      </c>
      <c r="E115" s="15" t="str">
        <f>VLOOKUP(A115, Currency!$A$2:$B$100, 2, FALSE)</f>
        <v>USD</v>
      </c>
      <c r="F115" s="15">
        <f ca="1">IFERROR(__xludf.DUMMYFUNCTION("IF(E115=""USD"",B115,B115 * GOOGLEFINANCE(""CURRENCY:"" &amp; E115 &amp; ""USD""))
"),150000000)</f>
        <v>150000000</v>
      </c>
      <c r="G115" s="16">
        <f ca="1">IFERROR(__xludf.DUMMYFUNCTION("IF(E115=""USD"",C115,C115 * GOOGLEFINANCE(""CURRENCY:"" &amp; E115 &amp; ""USD""))
"),82161969)</f>
        <v>82161969</v>
      </c>
    </row>
    <row r="116" spans="1:7" ht="15.75" customHeight="1" x14ac:dyDescent="0.25">
      <c r="A116" s="11" t="s">
        <v>133</v>
      </c>
      <c r="B116" s="12">
        <v>35000000</v>
      </c>
      <c r="C116" s="12">
        <v>5932060</v>
      </c>
      <c r="D116" s="12">
        <v>2007</v>
      </c>
      <c r="E116" s="12" t="str">
        <f>VLOOKUP(A116, Currency!$A$2:$B$100, 2, FALSE)</f>
        <v>GBP</v>
      </c>
      <c r="F116" s="12">
        <f ca="1">IFERROR(__xludf.DUMMYFUNCTION("IF(E116=""USD"",B116,B116 * GOOGLEFINANCE(""CURRENCY:"" &amp; E116 &amp; ""USD""))
"),44988999.9999999)</f>
        <v>44988999.999999903</v>
      </c>
      <c r="G116" s="13">
        <f ca="1">IFERROR(__xludf.DUMMYFUNCTION("IF(E116=""USD"",C116,C116 * GOOGLEFINANCE(""CURRENCY:"" &amp; E116 &amp; ""USD""))
"),7625069.924)</f>
        <v>7625069.9239999996</v>
      </c>
    </row>
    <row r="117" spans="1:7" ht="15.75" customHeight="1" x14ac:dyDescent="0.25">
      <c r="A117" s="14" t="s">
        <v>24</v>
      </c>
      <c r="B117" s="15">
        <v>150000000</v>
      </c>
      <c r="C117" s="15">
        <v>436471036</v>
      </c>
      <c r="D117" s="15">
        <v>2004</v>
      </c>
      <c r="E117" s="15" t="str">
        <f>VLOOKUP(A117, Currency!$A$2:$B$100, 2, FALSE)</f>
        <v>USD</v>
      </c>
      <c r="F117" s="15">
        <f ca="1">IFERROR(__xludf.DUMMYFUNCTION("IF(E117=""USD"",B117,B117 * GOOGLEFINANCE(""CURRENCY:"" &amp; E117 &amp; ""USD""))
"),150000000)</f>
        <v>150000000</v>
      </c>
      <c r="G117" s="16">
        <f ca="1">IFERROR(__xludf.DUMMYFUNCTION("IF(E117=""USD"",C117,C117 * GOOGLEFINANCE(""CURRENCY:"" &amp; E117 &amp; ""USD""))
"),436471036)</f>
        <v>436471036</v>
      </c>
    </row>
    <row r="118" spans="1:7" ht="15.75" customHeight="1" x14ac:dyDescent="0.25">
      <c r="A118" s="11" t="s">
        <v>24</v>
      </c>
      <c r="B118" s="12">
        <v>46000000</v>
      </c>
      <c r="C118" s="12">
        <v>126805112</v>
      </c>
      <c r="D118" s="12">
        <v>1997</v>
      </c>
      <c r="E118" s="12" t="str">
        <f>VLOOKUP(A118, Currency!$A$2:$B$100, 2, FALSE)</f>
        <v>USD</v>
      </c>
      <c r="F118" s="12">
        <f ca="1">IFERROR(__xludf.DUMMYFUNCTION("IF(E118=""USD"",B118,B118 * GOOGLEFINANCE(""CURRENCY:"" &amp; E118 &amp; ""USD""))
"),46000000)</f>
        <v>46000000</v>
      </c>
      <c r="G118" s="13">
        <f ca="1">IFERROR(__xludf.DUMMYFUNCTION("IF(E118=""USD"",C118,C118 * GOOGLEFINANCE(""CURRENCY:"" &amp; E118 &amp; ""USD""))
"),126805112)</f>
        <v>126805112</v>
      </c>
    </row>
    <row r="119" spans="1:7" ht="15.75" customHeight="1" x14ac:dyDescent="0.25">
      <c r="A119" s="14" t="s">
        <v>24</v>
      </c>
      <c r="B119" s="15">
        <v>57000000</v>
      </c>
      <c r="C119" s="15">
        <v>26838389</v>
      </c>
      <c r="D119" s="15">
        <v>2005</v>
      </c>
      <c r="E119" s="15" t="str">
        <f>VLOOKUP(A119, Currency!$A$2:$B$100, 2, FALSE)</f>
        <v>USD</v>
      </c>
      <c r="F119" s="15">
        <f ca="1">IFERROR(__xludf.DUMMYFUNCTION("IF(E119=""USD"",B119,B119 * GOOGLEFINANCE(""CURRENCY:"" &amp; E119 &amp; ""USD""))
"),57000000)</f>
        <v>57000000</v>
      </c>
      <c r="G119" s="16">
        <f ca="1">IFERROR(__xludf.DUMMYFUNCTION("IF(E119=""USD"",C119,C119 * GOOGLEFINANCE(""CURRENCY:"" &amp; E119 &amp; ""USD""))
"),26838389)</f>
        <v>26838389</v>
      </c>
    </row>
    <row r="120" spans="1:7" ht="15.75" customHeight="1" x14ac:dyDescent="0.25">
      <c r="A120" s="11" t="s">
        <v>133</v>
      </c>
      <c r="B120" s="12">
        <v>14000000</v>
      </c>
      <c r="C120" s="12">
        <v>91121452</v>
      </c>
      <c r="D120" s="12">
        <v>2014</v>
      </c>
      <c r="E120" s="12" t="str">
        <f>VLOOKUP(A120, Currency!$A$2:$B$100, 2, FALSE)</f>
        <v>GBP</v>
      </c>
      <c r="F120" s="12">
        <f ca="1">IFERROR(__xludf.DUMMYFUNCTION("IF(E120=""USD"",B120,B120 * GOOGLEFINANCE(""CURRENCY:"" &amp; E120 &amp; ""USD""))
"),17995600)</f>
        <v>17995600</v>
      </c>
      <c r="G120" s="13">
        <f ca="1">IFERROR(__xludf.DUMMYFUNCTION("IF(E120=""USD"",C120,C120 * GOOGLEFINANCE(""CURRENCY:"" &amp; E120 &amp; ""USD""))
"),117127514.400799)</f>
        <v>117127514.40079901</v>
      </c>
    </row>
    <row r="121" spans="1:7" ht="15.75" customHeight="1" x14ac:dyDescent="0.25">
      <c r="A121" s="14" t="s">
        <v>24</v>
      </c>
      <c r="B121" s="15">
        <v>500000</v>
      </c>
      <c r="C121" s="15">
        <v>5739376</v>
      </c>
      <c r="D121" s="15">
        <v>2003</v>
      </c>
      <c r="E121" s="15" t="str">
        <f>VLOOKUP(A121, Currency!$A$2:$B$100, 2, FALSE)</f>
        <v>USD</v>
      </c>
      <c r="F121" s="15">
        <f ca="1">IFERROR(__xludf.DUMMYFUNCTION("IF(E121=""USD"",B121,B121 * GOOGLEFINANCE(""CURRENCY:"" &amp; E121 &amp; ""USD""))
"),500000)</f>
        <v>500000</v>
      </c>
      <c r="G121" s="16">
        <f ca="1">IFERROR(__xludf.DUMMYFUNCTION("IF(E121=""USD"",C121,C121 * GOOGLEFINANCE(""CURRENCY:"" &amp; E121 &amp; ""USD""))
"),5739376)</f>
        <v>5739376</v>
      </c>
    </row>
    <row r="122" spans="1:7" ht="15.75" customHeight="1" x14ac:dyDescent="0.25">
      <c r="A122" s="11" t="s">
        <v>24</v>
      </c>
      <c r="B122" s="12">
        <v>3000000</v>
      </c>
      <c r="C122" s="12">
        <v>48056940</v>
      </c>
      <c r="D122" s="12">
        <v>2012</v>
      </c>
      <c r="E122" s="12" t="str">
        <f>VLOOKUP(A122, Currency!$A$2:$B$100, 2, FALSE)</f>
        <v>USD</v>
      </c>
      <c r="F122" s="12">
        <f ca="1">IFERROR(__xludf.DUMMYFUNCTION("IF(E122=""USD"",B122,B122 * GOOGLEFINANCE(""CURRENCY:"" &amp; E122 &amp; ""USD""))
"),3000000)</f>
        <v>3000000</v>
      </c>
      <c r="G122" s="13">
        <f ca="1">IFERROR(__xludf.DUMMYFUNCTION("IF(E122=""USD"",C122,C122 * GOOGLEFINANCE(""CURRENCY:"" &amp; E122 &amp; ""USD""))
"),48056940)</f>
        <v>48056940</v>
      </c>
    </row>
    <row r="123" spans="1:7" ht="15.75" customHeight="1" x14ac:dyDescent="0.25">
      <c r="A123" s="14" t="s">
        <v>133</v>
      </c>
      <c r="B123" s="15">
        <v>9000000</v>
      </c>
      <c r="C123" s="15">
        <v>1000000</v>
      </c>
      <c r="D123" s="15">
        <v>1977</v>
      </c>
      <c r="E123" s="15" t="str">
        <f>VLOOKUP(A123, Currency!$A$2:$B$100, 2, FALSE)</f>
        <v>GBP</v>
      </c>
      <c r="F123" s="15">
        <f ca="1">IFERROR(__xludf.DUMMYFUNCTION("IF(E123=""USD"",B123,B123 * GOOGLEFINANCE(""CURRENCY:"" &amp; E123 &amp; ""USD""))
"),11568599.9999999)</f>
        <v>11568599.999999899</v>
      </c>
      <c r="G123" s="16">
        <f ca="1">IFERROR(__xludf.DUMMYFUNCTION("IF(E123=""USD"",C123,C123 * GOOGLEFINANCE(""CURRENCY:"" &amp; E123 &amp; ""USD""))
"),1285399.99999999)</f>
        <v>1285399.99999999</v>
      </c>
    </row>
    <row r="124" spans="1:7" ht="15.75" customHeight="1" x14ac:dyDescent="0.25">
      <c r="A124" s="11" t="s">
        <v>24</v>
      </c>
      <c r="B124" s="12">
        <v>50000000</v>
      </c>
      <c r="C124" s="12">
        <v>31874869</v>
      </c>
      <c r="D124" s="12">
        <v>2002</v>
      </c>
      <c r="E124" s="12" t="str">
        <f>VLOOKUP(A124, Currency!$A$2:$B$100, 2, FALSE)</f>
        <v>USD</v>
      </c>
      <c r="F124" s="12">
        <f ca="1">IFERROR(__xludf.DUMMYFUNCTION("IF(E124=""USD"",B124,B124 * GOOGLEFINANCE(""CURRENCY:"" &amp; E124 &amp; ""USD""))
"),50000000)</f>
        <v>50000000</v>
      </c>
      <c r="G124" s="13">
        <f ca="1">IFERROR(__xludf.DUMMYFUNCTION("IF(E124=""USD"",C124,C124 * GOOGLEFINANCE(""CURRENCY:"" &amp; E124 &amp; ""USD""))
"),31874869)</f>
        <v>31874869</v>
      </c>
    </row>
    <row r="125" spans="1:7" ht="15.75" customHeight="1" x14ac:dyDescent="0.25">
      <c r="A125" s="14" t="s">
        <v>24</v>
      </c>
      <c r="B125" s="15">
        <v>150000000</v>
      </c>
      <c r="C125" s="15">
        <v>119420252</v>
      </c>
      <c r="D125" s="15">
        <v>2009</v>
      </c>
      <c r="E125" s="15" t="str">
        <f>VLOOKUP(A125, Currency!$A$2:$B$100, 2, FALSE)</f>
        <v>USD</v>
      </c>
      <c r="F125" s="15">
        <f ca="1">IFERROR(__xludf.DUMMYFUNCTION("IF(E125=""USD"",B125,B125 * GOOGLEFINANCE(""CURRENCY:"" &amp; E125 &amp; ""USD""))
"),150000000)</f>
        <v>150000000</v>
      </c>
      <c r="G125" s="16">
        <f ca="1">IFERROR(__xludf.DUMMYFUNCTION("IF(E125=""USD"",C125,C125 * GOOGLEFINANCE(""CURRENCY:"" &amp; E125 &amp; ""USD""))
"),119420252)</f>
        <v>119420252</v>
      </c>
    </row>
    <row r="126" spans="1:7" ht="15.75" customHeight="1" x14ac:dyDescent="0.25">
      <c r="A126" s="11" t="s">
        <v>24</v>
      </c>
      <c r="B126" s="12">
        <v>3500000</v>
      </c>
      <c r="C126" s="12">
        <v>236266</v>
      </c>
      <c r="D126" s="12">
        <v>2002</v>
      </c>
      <c r="E126" s="12" t="str">
        <f>VLOOKUP(A126, Currency!$A$2:$B$100, 2, FALSE)</f>
        <v>USD</v>
      </c>
      <c r="F126" s="12">
        <f ca="1">IFERROR(__xludf.DUMMYFUNCTION("IF(E126=""USD"",B126,B126 * GOOGLEFINANCE(""CURRENCY:"" &amp; E126 &amp; ""USD""))
"),3500000)</f>
        <v>3500000</v>
      </c>
      <c r="G126" s="13">
        <f ca="1">IFERROR(__xludf.DUMMYFUNCTION("IF(E126=""USD"",C126,C126 * GOOGLEFINANCE(""CURRENCY:"" &amp; E126 &amp; ""USD""))
"),236266)</f>
        <v>236266</v>
      </c>
    </row>
    <row r="127" spans="1:7" ht="15.75" customHeight="1" x14ac:dyDescent="0.25">
      <c r="A127" s="14" t="s">
        <v>596</v>
      </c>
      <c r="B127" s="15">
        <v>6000000</v>
      </c>
      <c r="C127" s="15">
        <v>5359774</v>
      </c>
      <c r="D127" s="15">
        <v>2011</v>
      </c>
      <c r="E127" s="15" t="str">
        <f>VLOOKUP(A127, Currency!$A$2:$B$100, 2, FALSE)</f>
        <v>EUR</v>
      </c>
      <c r="F127" s="15">
        <f ca="1">IFERROR(__xludf.DUMMYFUNCTION("IF(E127=""USD"",B127,B127 * GOOGLEFINANCE(""CURRENCY:"" &amp; E127 &amp; ""USD""))
"),6508440)</f>
        <v>6508440</v>
      </c>
      <c r="G127" s="16">
        <f ca="1">IFERROR(__xludf.DUMMYFUNCTION("IF(E127=""USD"",C127,C127 * GOOGLEFINANCE(""CURRENCY:"" &amp; E127 &amp; ""USD""))
"),5813961.24876)</f>
        <v>5813961.2487599999</v>
      </c>
    </row>
    <row r="128" spans="1:7" ht="15.75" customHeight="1" x14ac:dyDescent="0.25">
      <c r="A128" s="11" t="s">
        <v>24</v>
      </c>
      <c r="B128" s="12">
        <v>50000000</v>
      </c>
      <c r="C128" s="12">
        <v>191616238</v>
      </c>
      <c r="D128" s="12">
        <v>2014</v>
      </c>
      <c r="E128" s="12" t="str">
        <f>VLOOKUP(A128, Currency!$A$2:$B$100, 2, FALSE)</f>
        <v>USD</v>
      </c>
      <c r="F128" s="12">
        <f ca="1">IFERROR(__xludf.DUMMYFUNCTION("IF(E128=""USD"",B128,B128 * GOOGLEFINANCE(""CURRENCY:"" &amp; E128 &amp; ""USD""))
"),50000000)</f>
        <v>50000000</v>
      </c>
      <c r="G128" s="13">
        <f ca="1">IFERROR(__xludf.DUMMYFUNCTION("IF(E128=""USD"",C128,C128 * GOOGLEFINANCE(""CURRENCY:"" &amp; E128 &amp; ""USD""))
"),191616238)</f>
        <v>191616238</v>
      </c>
    </row>
    <row r="129" spans="1:7" ht="15.75" customHeight="1" x14ac:dyDescent="0.25">
      <c r="A129" s="14" t="s">
        <v>24</v>
      </c>
      <c r="B129" s="15">
        <v>55000000</v>
      </c>
      <c r="C129" s="15">
        <v>93815117</v>
      </c>
      <c r="D129" s="15">
        <v>2002</v>
      </c>
      <c r="E129" s="15" t="str">
        <f>VLOOKUP(A129, Currency!$A$2:$B$100, 2, FALSE)</f>
        <v>USD</v>
      </c>
      <c r="F129" s="15">
        <f ca="1">IFERROR(__xludf.DUMMYFUNCTION("IF(E129=""USD"",B129,B129 * GOOGLEFINANCE(""CURRENCY:"" &amp; E129 &amp; ""USD""))
"),55000000)</f>
        <v>55000000</v>
      </c>
      <c r="G129" s="16">
        <f ca="1">IFERROR(__xludf.DUMMYFUNCTION("IF(E129=""USD"",C129,C129 * GOOGLEFINANCE(""CURRENCY:"" &amp; E129 &amp; ""USD""))
"),93815117)</f>
        <v>93815117</v>
      </c>
    </row>
    <row r="130" spans="1:7" ht="15.75" customHeight="1" x14ac:dyDescent="0.25">
      <c r="A130" s="11" t="s">
        <v>24</v>
      </c>
      <c r="B130" s="12">
        <v>10000000</v>
      </c>
      <c r="C130" s="12">
        <v>7764027</v>
      </c>
      <c r="D130" s="12">
        <v>2013</v>
      </c>
      <c r="E130" s="12" t="str">
        <f>VLOOKUP(A130, Currency!$A$2:$B$100, 2, FALSE)</f>
        <v>USD</v>
      </c>
      <c r="F130" s="12">
        <f ca="1">IFERROR(__xludf.DUMMYFUNCTION("IF(E130=""USD"",B130,B130 * GOOGLEFINANCE(""CURRENCY:"" &amp; E130 &amp; ""USD""))
"),10000000)</f>
        <v>10000000</v>
      </c>
      <c r="G130" s="13">
        <f ca="1">IFERROR(__xludf.DUMMYFUNCTION("IF(E130=""USD"",C130,C130 * GOOGLEFINANCE(""CURRENCY:"" &amp; E130 &amp; ""USD""))
"),7764027)</f>
        <v>7764027</v>
      </c>
    </row>
    <row r="131" spans="1:7" ht="15.75" customHeight="1" x14ac:dyDescent="0.25">
      <c r="A131" s="14" t="s">
        <v>611</v>
      </c>
      <c r="B131" s="15">
        <v>45000000</v>
      </c>
      <c r="C131" s="15">
        <v>139852971</v>
      </c>
      <c r="D131" s="15">
        <v>2012</v>
      </c>
      <c r="E131" s="15" t="str">
        <f>VLOOKUP(A131, Currency!$A$2:$B$100, 2, FALSE)</f>
        <v>EUR</v>
      </c>
      <c r="F131" s="15">
        <f ca="1">IFERROR(__xludf.DUMMYFUNCTION("IF(E131=""USD"",B131,B131 * GOOGLEFINANCE(""CURRENCY:"" &amp; E131 &amp; ""USD""))
"),48813300)</f>
        <v>48813300</v>
      </c>
      <c r="G131" s="16">
        <f ca="1">IFERROR(__xludf.DUMMYFUNCTION("IF(E131=""USD"",C131,C131 * GOOGLEFINANCE(""CURRENCY:"" &amp; E131 &amp; ""USD""))
"),151704111.76254)</f>
        <v>151704111.76254001</v>
      </c>
    </row>
    <row r="132" spans="1:7" ht="15.75" customHeight="1" x14ac:dyDescent="0.25">
      <c r="A132" s="11" t="s">
        <v>24</v>
      </c>
      <c r="B132" s="12">
        <v>36000000</v>
      </c>
      <c r="C132" s="12">
        <v>50129186</v>
      </c>
      <c r="D132" s="12">
        <v>1997</v>
      </c>
      <c r="E132" s="12" t="str">
        <f>VLOOKUP(A132, Currency!$A$2:$B$100, 2, FALSE)</f>
        <v>USD</v>
      </c>
      <c r="F132" s="12">
        <f ca="1">IFERROR(__xludf.DUMMYFUNCTION("IF(E132=""USD"",B132,B132 * GOOGLEFINANCE(""CURRENCY:"" &amp; E132 &amp; ""USD""))
"),36000000)</f>
        <v>36000000</v>
      </c>
      <c r="G132" s="13">
        <f ca="1">IFERROR(__xludf.DUMMYFUNCTION("IF(E132=""USD"",C132,C132 * GOOGLEFINANCE(""CURRENCY:"" &amp; E132 &amp; ""USD""))
"),50129186)</f>
        <v>50129186</v>
      </c>
    </row>
    <row r="133" spans="1:7" ht="15.75" customHeight="1" x14ac:dyDescent="0.25">
      <c r="A133" s="14" t="s">
        <v>24</v>
      </c>
      <c r="B133" s="15">
        <v>80000000</v>
      </c>
      <c r="C133" s="15">
        <v>39442871</v>
      </c>
      <c r="D133" s="15">
        <v>2000</v>
      </c>
      <c r="E133" s="15" t="str">
        <f>VLOOKUP(A133, Currency!$A$2:$B$100, 2, FALSE)</f>
        <v>USD</v>
      </c>
      <c r="F133" s="15">
        <f ca="1">IFERROR(__xludf.DUMMYFUNCTION("IF(E133=""USD"",B133,B133 * GOOGLEFINANCE(""CURRENCY:"" &amp; E133 &amp; ""USD""))
"),80000000)</f>
        <v>80000000</v>
      </c>
      <c r="G133" s="16">
        <f ca="1">IFERROR(__xludf.DUMMYFUNCTION("IF(E133=""USD"",C133,C133 * GOOGLEFINANCE(""CURRENCY:"" &amp; E133 &amp; ""USD""))
"),39442871)</f>
        <v>39442871</v>
      </c>
    </row>
    <row r="134" spans="1:7" ht="15.75" customHeight="1" x14ac:dyDescent="0.25">
      <c r="A134" s="11" t="s">
        <v>627</v>
      </c>
      <c r="B134" s="12">
        <v>17000000</v>
      </c>
      <c r="C134" s="12">
        <v>4068087</v>
      </c>
      <c r="D134" s="12">
        <v>2003</v>
      </c>
      <c r="E134" s="12" t="str">
        <f>VLOOKUP(A134, Currency!$A$2:$B$100, 2, FALSE)</f>
        <v>CAD</v>
      </c>
      <c r="F134" s="12">
        <f ca="1">IFERROR(__xludf.DUMMYFUNCTION("IF(E134=""USD"",B134,B134 * GOOGLEFINANCE(""CURRENCY:"" &amp; E134 &amp; ""USD""))
"),12297885)</f>
        <v>12297885</v>
      </c>
      <c r="G134" s="13">
        <f ca="1">IFERROR(__xludf.DUMMYFUNCTION("IF(E134=""USD"",C134,C134 * GOOGLEFINANCE(""CURRENCY:"" &amp; E134 &amp; ""USD""))
"),2942874.476235)</f>
        <v>2942874.476235</v>
      </c>
    </row>
    <row r="135" spans="1:7" ht="15.75" customHeight="1" x14ac:dyDescent="0.25">
      <c r="A135" s="14" t="s">
        <v>24</v>
      </c>
      <c r="B135" s="15">
        <v>18000000</v>
      </c>
      <c r="C135" s="15">
        <v>26830000</v>
      </c>
      <c r="D135" s="15">
        <v>1989</v>
      </c>
      <c r="E135" s="15" t="str">
        <f>VLOOKUP(A135, Currency!$A$2:$B$100, 2, FALSE)</f>
        <v>USD</v>
      </c>
      <c r="F135" s="15">
        <f ca="1">IFERROR(__xludf.DUMMYFUNCTION("IF(E135=""USD"",B135,B135 * GOOGLEFINANCE(""CURRENCY:"" &amp; E135 &amp; ""USD""))
"),18000000)</f>
        <v>18000000</v>
      </c>
      <c r="G135" s="16">
        <f ca="1">IFERROR(__xludf.DUMMYFUNCTION("IF(E135=""USD"",C135,C135 * GOOGLEFINANCE(""CURRENCY:"" &amp; E135 &amp; ""USD""))
"),26830000)</f>
        <v>26830000</v>
      </c>
    </row>
    <row r="136" spans="1:7" ht="15.75" customHeight="1" x14ac:dyDescent="0.25">
      <c r="A136" s="11" t="s">
        <v>24</v>
      </c>
      <c r="B136" s="12">
        <v>69500000</v>
      </c>
      <c r="C136" s="12">
        <v>54222000</v>
      </c>
      <c r="D136" s="12">
        <v>1989</v>
      </c>
      <c r="E136" s="12" t="str">
        <f>VLOOKUP(A136, Currency!$A$2:$B$100, 2, FALSE)</f>
        <v>USD</v>
      </c>
      <c r="F136" s="12">
        <f ca="1">IFERROR(__xludf.DUMMYFUNCTION("IF(E136=""USD"",B136,B136 * GOOGLEFINANCE(""CURRENCY:"" &amp; E136 &amp; ""USD""))
"),69500000)</f>
        <v>69500000</v>
      </c>
      <c r="G136" s="13">
        <f ca="1">IFERROR(__xludf.DUMMYFUNCTION("IF(E136=""USD"",C136,C136 * GOOGLEFINANCE(""CURRENCY:"" &amp; E136 &amp; ""USD""))
"),54222000)</f>
        <v>54222000</v>
      </c>
    </row>
    <row r="137" spans="1:7" ht="15.75" customHeight="1" x14ac:dyDescent="0.25">
      <c r="A137" s="14" t="s">
        <v>24</v>
      </c>
      <c r="B137" s="15">
        <v>35000000</v>
      </c>
      <c r="C137" s="15">
        <v>144731527</v>
      </c>
      <c r="D137" s="15">
        <v>1992</v>
      </c>
      <c r="E137" s="15" t="str">
        <f>VLOOKUP(A137, Currency!$A$2:$B$100, 2, FALSE)</f>
        <v>USD</v>
      </c>
      <c r="F137" s="15">
        <f ca="1">IFERROR(__xludf.DUMMYFUNCTION("IF(E137=""USD"",B137,B137 * GOOGLEFINANCE(""CURRENCY:"" &amp; E137 &amp; ""USD""))
"),35000000)</f>
        <v>35000000</v>
      </c>
      <c r="G137" s="16">
        <f ca="1">IFERROR(__xludf.DUMMYFUNCTION("IF(E137=""USD"",C137,C137 * GOOGLEFINANCE(""CURRENCY:"" &amp; E137 &amp; ""USD""))
"),144731527)</f>
        <v>144731527</v>
      </c>
    </row>
    <row r="138" spans="1:7" ht="15.75" customHeight="1" x14ac:dyDescent="0.25">
      <c r="A138" s="11" t="s">
        <v>24</v>
      </c>
      <c r="B138" s="12">
        <v>28000000</v>
      </c>
      <c r="C138" s="12">
        <v>179870271</v>
      </c>
      <c r="D138" s="12">
        <v>1984</v>
      </c>
      <c r="E138" s="12" t="str">
        <f>VLOOKUP(A138, Currency!$A$2:$B$100, 2, FALSE)</f>
        <v>USD</v>
      </c>
      <c r="F138" s="12">
        <f ca="1">IFERROR(__xludf.DUMMYFUNCTION("IF(E138=""USD"",B138,B138 * GOOGLEFINANCE(""CURRENCY:"" &amp; E138 &amp; ""USD""))
"),28000000)</f>
        <v>28000000</v>
      </c>
      <c r="G138" s="13">
        <f ca="1">IFERROR(__xludf.DUMMYFUNCTION("IF(E138=""USD"",C138,C138 * GOOGLEFINANCE(""CURRENCY:"" &amp; E138 &amp; ""USD""))
"),179870271)</f>
        <v>179870271</v>
      </c>
    </row>
    <row r="139" spans="1:7" ht="15.75" customHeight="1" x14ac:dyDescent="0.25">
      <c r="A139" s="14" t="s">
        <v>24</v>
      </c>
      <c r="B139" s="15">
        <v>48000000</v>
      </c>
      <c r="C139" s="15">
        <v>60652036</v>
      </c>
      <c r="D139" s="15">
        <v>1999</v>
      </c>
      <c r="E139" s="15" t="str">
        <f>VLOOKUP(A139, Currency!$A$2:$B$100, 2, FALSE)</f>
        <v>USD</v>
      </c>
      <c r="F139" s="15">
        <f ca="1">IFERROR(__xludf.DUMMYFUNCTION("IF(E139=""USD"",B139,B139 * GOOGLEFINANCE(""CURRENCY:"" &amp; E139 &amp; ""USD""))
"),48000000)</f>
        <v>48000000</v>
      </c>
      <c r="G139" s="16">
        <f ca="1">IFERROR(__xludf.DUMMYFUNCTION("IF(E139=""USD"",C139,C139 * GOOGLEFINANCE(""CURRENCY:"" &amp; E139 &amp; ""USD""))
"),60652036)</f>
        <v>60652036</v>
      </c>
    </row>
    <row r="140" spans="1:7" ht="15.75" customHeight="1" x14ac:dyDescent="0.25">
      <c r="A140" s="11" t="s">
        <v>24</v>
      </c>
      <c r="B140" s="12">
        <v>45000000</v>
      </c>
      <c r="C140" s="12">
        <v>71423726</v>
      </c>
      <c r="D140" s="12">
        <v>1999</v>
      </c>
      <c r="E140" s="12" t="str">
        <f>VLOOKUP(A140, Currency!$A$2:$B$100, 2, FALSE)</f>
        <v>USD</v>
      </c>
      <c r="F140" s="12">
        <f ca="1">IFERROR(__xludf.DUMMYFUNCTION("IF(E140=""USD"",B140,B140 * GOOGLEFINANCE(""CURRENCY:"" &amp; E140 &amp; ""USD""))
"),45000000)</f>
        <v>45000000</v>
      </c>
      <c r="G140" s="13">
        <f ca="1">IFERROR(__xludf.DUMMYFUNCTION("IF(E140=""USD"",C140,C140 * GOOGLEFINANCE(""CURRENCY:"" &amp; E140 &amp; ""USD""))
"),71423726)</f>
        <v>71423726</v>
      </c>
    </row>
    <row r="141" spans="1:7" ht="15.75" customHeight="1" x14ac:dyDescent="0.25">
      <c r="A141" s="14" t="s">
        <v>24</v>
      </c>
      <c r="B141" s="15">
        <v>25000000</v>
      </c>
      <c r="C141" s="15">
        <v>14983572</v>
      </c>
      <c r="D141" s="15">
        <v>2000</v>
      </c>
      <c r="E141" s="15" t="str">
        <f>VLOOKUP(A141, Currency!$A$2:$B$100, 2, FALSE)</f>
        <v>USD</v>
      </c>
      <c r="F141" s="15">
        <f ca="1">IFERROR(__xludf.DUMMYFUNCTION("IF(E141=""USD"",B141,B141 * GOOGLEFINANCE(""CURRENCY:"" &amp; E141 &amp; ""USD""))
"),25000000)</f>
        <v>25000000</v>
      </c>
      <c r="G141" s="16">
        <f ca="1">IFERROR(__xludf.DUMMYFUNCTION("IF(E141=""USD"",C141,C141 * GOOGLEFINANCE(""CURRENCY:"" &amp; E141 &amp; ""USD""))
"),14983572)</f>
        <v>14983572</v>
      </c>
    </row>
    <row r="142" spans="1:7" ht="15.75" customHeight="1" x14ac:dyDescent="0.25">
      <c r="A142" s="11" t="s">
        <v>611</v>
      </c>
      <c r="B142" s="12">
        <v>77000000</v>
      </c>
      <c r="C142" s="12">
        <v>33201661</v>
      </c>
      <c r="D142" s="12">
        <v>2001</v>
      </c>
      <c r="E142" s="12" t="str">
        <f>VLOOKUP(A142, Currency!$A$2:$B$100, 2, FALSE)</f>
        <v>EUR</v>
      </c>
      <c r="F142" s="12">
        <f ca="1">IFERROR(__xludf.DUMMYFUNCTION("IF(E142=""USD"",B142,B142 * GOOGLEFINANCE(""CURRENCY:"" &amp; E142 &amp; ""USD""))
"),83524980)</f>
        <v>83524980</v>
      </c>
      <c r="G142" s="13">
        <f ca="1">IFERROR(__xludf.DUMMYFUNCTION("IF(E142=""USD"",C142,C142 * GOOGLEFINANCE(""CURRENCY:"" &amp; E142 &amp; ""USD""))
"),36015169.75314)</f>
        <v>36015169.753140002</v>
      </c>
    </row>
    <row r="143" spans="1:7" ht="15.75" customHeight="1" x14ac:dyDescent="0.25">
      <c r="A143" s="14" t="s">
        <v>24</v>
      </c>
      <c r="B143" s="15">
        <v>50000000</v>
      </c>
      <c r="C143" s="15">
        <v>28133159</v>
      </c>
      <c r="D143" s="15">
        <v>2006</v>
      </c>
      <c r="E143" s="15" t="str">
        <f>VLOOKUP(A143, Currency!$A$2:$B$100, 2, FALSE)</f>
        <v>USD</v>
      </c>
      <c r="F143" s="15">
        <f ca="1">IFERROR(__xludf.DUMMYFUNCTION("IF(E143=""USD"",B143,B143 * GOOGLEFINANCE(""CURRENCY:"" &amp; E143 &amp; ""USD""))
"),50000000)</f>
        <v>50000000</v>
      </c>
      <c r="G143" s="16">
        <f ca="1">IFERROR(__xludf.DUMMYFUNCTION("IF(E143=""USD"",C143,C143 * GOOGLEFINANCE(""CURRENCY:"" &amp; E143 &amp; ""USD""))
"),28133159)</f>
        <v>28133159</v>
      </c>
    </row>
    <row r="144" spans="1:7" ht="15.75" customHeight="1" x14ac:dyDescent="0.25">
      <c r="A144" s="11" t="s">
        <v>24</v>
      </c>
      <c r="B144" s="12">
        <v>15000000</v>
      </c>
      <c r="C144" s="12">
        <v>42919096</v>
      </c>
      <c r="D144" s="12">
        <v>2013</v>
      </c>
      <c r="E144" s="12" t="str">
        <f>VLOOKUP(A144, Currency!$A$2:$B$100, 2, FALSE)</f>
        <v>USD</v>
      </c>
      <c r="F144" s="12">
        <f ca="1">IFERROR(__xludf.DUMMYFUNCTION("IF(E144=""USD"",B144,B144 * GOOGLEFINANCE(""CURRENCY:"" &amp; E144 &amp; ""USD""))
"),15000000)</f>
        <v>15000000</v>
      </c>
      <c r="G144" s="13">
        <f ca="1">IFERROR(__xludf.DUMMYFUNCTION("IF(E144=""USD"",C144,C144 * GOOGLEFINANCE(""CURRENCY:"" &amp; E144 &amp; ""USD""))
"),42919096)</f>
        <v>42919096</v>
      </c>
    </row>
    <row r="145" spans="1:7" ht="15.75" customHeight="1" x14ac:dyDescent="0.25">
      <c r="A145" s="14" t="s">
        <v>674</v>
      </c>
      <c r="B145" s="15">
        <v>7000000</v>
      </c>
      <c r="C145" s="15">
        <v>2921738</v>
      </c>
      <c r="D145" s="15">
        <v>2004</v>
      </c>
      <c r="E145" s="15" t="str">
        <f>VLOOKUP(A145, Currency!$A$2:$B$100, 2, FALSE)</f>
        <v>INR</v>
      </c>
      <c r="F145" s="15">
        <f ca="1">IFERROR(__xludf.DUMMYFUNCTION("IF(E145=""USD"",B145,B145 * GOOGLEFINANCE(""CURRENCY:"" &amp; E145 &amp; ""USD""))
"),83590.22)</f>
        <v>83590.22</v>
      </c>
      <c r="G145" s="16">
        <f ca="1">IFERROR(__xludf.DUMMYFUNCTION("IF(E145=""USD"",C145,C145 * GOOGLEFINANCE(""CURRENCY:"" &amp; E145 &amp; ""USD""))
"),34889.81745748)</f>
        <v>34889.81745748</v>
      </c>
    </row>
    <row r="146" spans="1:7" ht="15.75" customHeight="1" x14ac:dyDescent="0.25">
      <c r="A146" s="11" t="s">
        <v>24</v>
      </c>
      <c r="B146" s="12">
        <v>16400000</v>
      </c>
      <c r="C146" s="12">
        <v>95860116</v>
      </c>
      <c r="D146" s="12">
        <v>1989</v>
      </c>
      <c r="E146" s="12" t="str">
        <f>VLOOKUP(A146, Currency!$A$2:$B$100, 2, FALSE)</f>
        <v>USD</v>
      </c>
      <c r="F146" s="12">
        <f ca="1">IFERROR(__xludf.DUMMYFUNCTION("IF(E146=""USD"",B146,B146 * GOOGLEFINANCE(""CURRENCY:"" &amp; E146 &amp; ""USD""))
"),16400000)</f>
        <v>16400000</v>
      </c>
      <c r="G146" s="13">
        <f ca="1">IFERROR(__xludf.DUMMYFUNCTION("IF(E146=""USD"",C146,C146 * GOOGLEFINANCE(""CURRENCY:"" &amp; E146 &amp; ""USD""))
"),95860116)</f>
        <v>95860116</v>
      </c>
    </row>
    <row r="147" spans="1:7" ht="15.75" customHeight="1" x14ac:dyDescent="0.25">
      <c r="A147" s="14" t="s">
        <v>24</v>
      </c>
      <c r="B147" s="15">
        <v>57000000</v>
      </c>
      <c r="C147" s="15">
        <v>16991902</v>
      </c>
      <c r="D147" s="15">
        <v>2001</v>
      </c>
      <c r="E147" s="15" t="str">
        <f>VLOOKUP(A147, Currency!$A$2:$B$100, 2, FALSE)</f>
        <v>USD</v>
      </c>
      <c r="F147" s="15">
        <f ca="1">IFERROR(__xludf.DUMMYFUNCTION("IF(E147=""USD"",B147,B147 * GOOGLEFINANCE(""CURRENCY:"" &amp; E147 &amp; ""USD""))
"),57000000)</f>
        <v>57000000</v>
      </c>
      <c r="G147" s="16">
        <f ca="1">IFERROR(__xludf.DUMMYFUNCTION("IF(E147=""USD"",C147,C147 * GOOGLEFINANCE(""CURRENCY:"" &amp; E147 &amp; ""USD""))
"),16991902)</f>
        <v>16991902</v>
      </c>
    </row>
    <row r="148" spans="1:7" ht="15.75" customHeight="1" x14ac:dyDescent="0.25">
      <c r="A148" s="11" t="s">
        <v>24</v>
      </c>
      <c r="B148" s="12">
        <v>66000000</v>
      </c>
      <c r="C148" s="12">
        <v>79883359</v>
      </c>
      <c r="D148" s="12">
        <v>2011</v>
      </c>
      <c r="E148" s="12" t="str">
        <f>VLOOKUP(A148, Currency!$A$2:$B$100, 2, FALSE)</f>
        <v>USD</v>
      </c>
      <c r="F148" s="12">
        <f ca="1">IFERROR(__xludf.DUMMYFUNCTION("IF(E148=""USD"",B148,B148 * GOOGLEFINANCE(""CURRENCY:"" &amp; E148 &amp; ""USD""))
"),66000000)</f>
        <v>66000000</v>
      </c>
      <c r="G148" s="13">
        <f ca="1">IFERROR(__xludf.DUMMYFUNCTION("IF(E148=""USD"",C148,C148 * GOOGLEFINANCE(""CURRENCY:"" &amp; E148 &amp; ""USD""))
"),79883359)</f>
        <v>79883359</v>
      </c>
    </row>
    <row r="149" spans="1:7" ht="15.75" customHeight="1" x14ac:dyDescent="0.25">
      <c r="A149" s="14" t="s">
        <v>24</v>
      </c>
      <c r="B149" s="15">
        <v>1900000</v>
      </c>
      <c r="C149" s="15">
        <v>1420578</v>
      </c>
      <c r="D149" s="15">
        <v>2003</v>
      </c>
      <c r="E149" s="15" t="str">
        <f>VLOOKUP(A149, Currency!$A$2:$B$100, 2, FALSE)</f>
        <v>USD</v>
      </c>
      <c r="F149" s="15">
        <f ca="1">IFERROR(__xludf.DUMMYFUNCTION("IF(E149=""USD"",B149,B149 * GOOGLEFINANCE(""CURRENCY:"" &amp; E149 &amp; ""USD""))
"),1900000)</f>
        <v>1900000</v>
      </c>
      <c r="G149" s="16">
        <f ca="1">IFERROR(__xludf.DUMMYFUNCTION("IF(E149=""USD"",C149,C149 * GOOGLEFINANCE(""CURRENCY:"" &amp; E149 &amp; ""USD""))
"),1420578)</f>
        <v>1420578</v>
      </c>
    </row>
    <row r="150" spans="1:7" ht="15.75" customHeight="1" x14ac:dyDescent="0.25">
      <c r="A150" s="11" t="s">
        <v>24</v>
      </c>
      <c r="B150" s="12">
        <v>40000000</v>
      </c>
      <c r="C150" s="12">
        <v>59068786</v>
      </c>
      <c r="D150" s="12">
        <v>2001</v>
      </c>
      <c r="E150" s="12" t="str">
        <f>VLOOKUP(A150, Currency!$A$2:$B$100, 2, FALSE)</f>
        <v>USD</v>
      </c>
      <c r="F150" s="12">
        <f ca="1">IFERROR(__xludf.DUMMYFUNCTION("IF(E150=""USD"",B150,B150 * GOOGLEFINANCE(""CURRENCY:"" &amp; E150 &amp; ""USD""))
"),40000000)</f>
        <v>40000000</v>
      </c>
      <c r="G150" s="13">
        <f ca="1">IFERROR(__xludf.DUMMYFUNCTION("IF(E150=""USD"",C150,C150 * GOOGLEFINANCE(""CURRENCY:"" &amp; E150 &amp; ""USD""))
"),59068786)</f>
        <v>59068786</v>
      </c>
    </row>
    <row r="151" spans="1:7" ht="15.75" customHeight="1" x14ac:dyDescent="0.25">
      <c r="A151" s="14" t="s">
        <v>24</v>
      </c>
      <c r="B151" s="15">
        <v>21500000</v>
      </c>
      <c r="C151" s="15">
        <v>22294341</v>
      </c>
      <c r="D151" s="15">
        <v>1996</v>
      </c>
      <c r="E151" s="15" t="str">
        <f>VLOOKUP(A151, Currency!$A$2:$B$100, 2, FALSE)</f>
        <v>USD</v>
      </c>
      <c r="F151" s="15">
        <f ca="1">IFERROR(__xludf.DUMMYFUNCTION("IF(E151=""USD"",B151,B151 * GOOGLEFINANCE(""CURRENCY:"" &amp; E151 &amp; ""USD""))
"),21500000)</f>
        <v>21500000</v>
      </c>
      <c r="G151" s="16">
        <f ca="1">IFERROR(__xludf.DUMMYFUNCTION("IF(E151=""USD"",C151,C151 * GOOGLEFINANCE(""CURRENCY:"" &amp; E151 &amp; ""USD""))
"),22294341)</f>
        <v>22294341</v>
      </c>
    </row>
    <row r="152" spans="1:7" ht="15.75" customHeight="1" x14ac:dyDescent="0.25">
      <c r="A152" s="11" t="s">
        <v>24</v>
      </c>
      <c r="B152" s="12">
        <v>50000000</v>
      </c>
      <c r="C152" s="12">
        <v>9795017</v>
      </c>
      <c r="D152" s="12">
        <v>1995</v>
      </c>
      <c r="E152" s="12" t="str">
        <f>VLOOKUP(A152, Currency!$A$2:$B$100, 2, FALSE)</f>
        <v>USD</v>
      </c>
      <c r="F152" s="12">
        <f ca="1">IFERROR(__xludf.DUMMYFUNCTION("IF(E152=""USD"",B152,B152 * GOOGLEFINANCE(""CURRENCY:"" &amp; E152 &amp; ""USD""))
"),50000000)</f>
        <v>50000000</v>
      </c>
      <c r="G152" s="13">
        <f ca="1">IFERROR(__xludf.DUMMYFUNCTION("IF(E152=""USD"",C152,C152 * GOOGLEFINANCE(""CURRENCY:"" &amp; E152 &amp; ""USD""))
"),9795017)</f>
        <v>9795017</v>
      </c>
    </row>
    <row r="153" spans="1:7" ht="15.75" customHeight="1" x14ac:dyDescent="0.25">
      <c r="A153" s="14" t="s">
        <v>176</v>
      </c>
      <c r="B153" s="15">
        <v>13000000</v>
      </c>
      <c r="C153" s="15">
        <v>15361537</v>
      </c>
      <c r="D153" s="15">
        <v>2002</v>
      </c>
      <c r="E153" s="15" t="str">
        <f>VLOOKUP(A153, Currency!$A$2:$B$100, 2, FALSE)</f>
        <v>EUR</v>
      </c>
      <c r="F153" s="15">
        <f ca="1">IFERROR(__xludf.DUMMYFUNCTION("IF(E153=""USD"",B153,B153 * GOOGLEFINANCE(""CURRENCY:"" &amp; E153 &amp; ""USD""))
"),14101620)</f>
        <v>14101620</v>
      </c>
      <c r="G153" s="16">
        <f ca="1">IFERROR(__xludf.DUMMYFUNCTION("IF(E153=""USD"",C153,C153 * GOOGLEFINANCE(""CURRENCY:"" &amp; E153 &amp; ""USD""))
"),16663273.64538)</f>
        <v>16663273.64538</v>
      </c>
    </row>
    <row r="154" spans="1:7" ht="15.75" customHeight="1" x14ac:dyDescent="0.25">
      <c r="A154" s="11" t="s">
        <v>24</v>
      </c>
      <c r="B154" s="12">
        <v>9000000</v>
      </c>
      <c r="C154" s="12">
        <v>3193102</v>
      </c>
      <c r="D154" s="12">
        <v>1999</v>
      </c>
      <c r="E154" s="12" t="str">
        <f>VLOOKUP(A154, Currency!$A$2:$B$100, 2, FALSE)</f>
        <v>USD</v>
      </c>
      <c r="F154" s="12">
        <f ca="1">IFERROR(__xludf.DUMMYFUNCTION("IF(E154=""USD"",B154,B154 * GOOGLEFINANCE(""CURRENCY:"" &amp; E154 &amp; ""USD""))
"),9000000)</f>
        <v>9000000</v>
      </c>
      <c r="G154" s="13">
        <f ca="1">IFERROR(__xludf.DUMMYFUNCTION("IF(E154=""USD"",C154,C154 * GOOGLEFINANCE(""CURRENCY:"" &amp; E154 &amp; ""USD""))
"),3193102)</f>
        <v>3193102</v>
      </c>
    </row>
    <row r="155" spans="1:7" ht="15.75" customHeight="1" x14ac:dyDescent="0.25">
      <c r="A155" s="14" t="s">
        <v>133</v>
      </c>
      <c r="B155" s="15">
        <v>15000000</v>
      </c>
      <c r="C155" s="15">
        <v>138795342</v>
      </c>
      <c r="D155" s="15">
        <v>2010</v>
      </c>
      <c r="E155" s="15" t="str">
        <f>VLOOKUP(A155, Currency!$A$2:$B$100, 2, FALSE)</f>
        <v>GBP</v>
      </c>
      <c r="F155" s="15">
        <f ca="1">IFERROR(__xludf.DUMMYFUNCTION("IF(E155=""USD"",B155,B155 * GOOGLEFINANCE(""CURRENCY:"" &amp; E155 &amp; ""USD""))
"),19281000)</f>
        <v>19281000</v>
      </c>
      <c r="G155" s="16">
        <f ca="1">IFERROR(__xludf.DUMMYFUNCTION("IF(E155=""USD"",C155,C155 * GOOGLEFINANCE(""CURRENCY:"" &amp; E155 &amp; ""USD""))
"),178407532.6068)</f>
        <v>178407532.60679999</v>
      </c>
    </row>
    <row r="156" spans="1:7" ht="15.75" customHeight="1" x14ac:dyDescent="0.25">
      <c r="A156" s="11" t="s">
        <v>24</v>
      </c>
      <c r="B156" s="12">
        <v>40000000</v>
      </c>
      <c r="C156" s="12">
        <v>30199105</v>
      </c>
      <c r="D156" s="12">
        <v>2000</v>
      </c>
      <c r="E156" s="12" t="str">
        <f>VLOOKUP(A156, Currency!$A$2:$B$100, 2, FALSE)</f>
        <v>USD</v>
      </c>
      <c r="F156" s="12">
        <f ca="1">IFERROR(__xludf.DUMMYFUNCTION("IF(E156=""USD"",B156,B156 * GOOGLEFINANCE(""CURRENCY:"" &amp; E156 &amp; ""USD""))
"),40000000)</f>
        <v>40000000</v>
      </c>
      <c r="G156" s="13">
        <f ca="1">IFERROR(__xludf.DUMMYFUNCTION("IF(E156=""USD"",C156,C156 * GOOGLEFINANCE(""CURRENCY:"" &amp; E156 &amp; ""USD""))
"),30199105)</f>
        <v>30199105</v>
      </c>
    </row>
    <row r="157" spans="1:7" ht="15.75" customHeight="1" x14ac:dyDescent="0.25">
      <c r="A157" s="14" t="s">
        <v>24</v>
      </c>
      <c r="B157" s="15">
        <v>13000000</v>
      </c>
      <c r="C157" s="15">
        <v>73000942</v>
      </c>
      <c r="D157" s="15">
        <v>2011</v>
      </c>
      <c r="E157" s="15" t="str">
        <f>VLOOKUP(A157, Currency!$A$2:$B$100, 2, FALSE)</f>
        <v>USD</v>
      </c>
      <c r="F157" s="15">
        <f ca="1">IFERROR(__xludf.DUMMYFUNCTION("IF(E157=""USD"",B157,B157 * GOOGLEFINANCE(""CURRENCY:"" &amp; E157 &amp; ""USD""))
"),13000000)</f>
        <v>13000000</v>
      </c>
      <c r="G157" s="16">
        <f ca="1">IFERROR(__xludf.DUMMYFUNCTION("IF(E157=""USD"",C157,C157 * GOOGLEFINANCE(""CURRENCY:"" &amp; E157 &amp; ""USD""))
"),73000942)</f>
        <v>73000942</v>
      </c>
    </row>
    <row r="158" spans="1:7" ht="15.75" customHeight="1" x14ac:dyDescent="0.25">
      <c r="A158" s="11" t="s">
        <v>24</v>
      </c>
      <c r="B158" s="12">
        <v>75000000</v>
      </c>
      <c r="C158" s="12">
        <v>73661010</v>
      </c>
      <c r="D158" s="12">
        <v>2006</v>
      </c>
      <c r="E158" s="12" t="str">
        <f>VLOOKUP(A158, Currency!$A$2:$B$100, 2, FALSE)</f>
        <v>USD</v>
      </c>
      <c r="F158" s="12">
        <f ca="1">IFERROR(__xludf.DUMMYFUNCTION("IF(E158=""USD"",B158,B158 * GOOGLEFINANCE(""CURRENCY:"" &amp; E158 &amp; ""USD""))
"),75000000)</f>
        <v>75000000</v>
      </c>
      <c r="G158" s="13">
        <f ca="1">IFERROR(__xludf.DUMMYFUNCTION("IF(E158=""USD"",C158,C158 * GOOGLEFINANCE(""CURRENCY:"" &amp; E158 &amp; ""USD""))
"),73661010)</f>
        <v>73661010</v>
      </c>
    </row>
    <row r="159" spans="1:7" ht="15.75" customHeight="1" x14ac:dyDescent="0.25">
      <c r="A159" s="14" t="s">
        <v>24</v>
      </c>
      <c r="B159" s="15">
        <v>15000000</v>
      </c>
      <c r="C159" s="15">
        <v>40064955</v>
      </c>
      <c r="D159" s="15">
        <v>1998</v>
      </c>
      <c r="E159" s="15" t="str">
        <f>VLOOKUP(A159, Currency!$A$2:$B$100, 2, FALSE)</f>
        <v>USD</v>
      </c>
      <c r="F159" s="15">
        <f ca="1">IFERROR(__xludf.DUMMYFUNCTION("IF(E159=""USD"",B159,B159 * GOOGLEFINANCE(""CURRENCY:"" &amp; E159 &amp; ""USD""))
"),15000000)</f>
        <v>15000000</v>
      </c>
      <c r="G159" s="16">
        <f ca="1">IFERROR(__xludf.DUMMYFUNCTION("IF(E159=""USD"",C159,C159 * GOOGLEFINANCE(""CURRENCY:"" &amp; E159 &amp; ""USD""))
"),40064955)</f>
        <v>40064955</v>
      </c>
    </row>
    <row r="160" spans="1:7" ht="15.75" customHeight="1" x14ac:dyDescent="0.25">
      <c r="A160" s="11" t="s">
        <v>627</v>
      </c>
      <c r="B160" s="12">
        <v>10000000</v>
      </c>
      <c r="C160" s="12">
        <v>9473382</v>
      </c>
      <c r="D160" s="12">
        <v>1998</v>
      </c>
      <c r="E160" s="12" t="str">
        <f>VLOOKUP(A160, Currency!$A$2:$B$100, 2, FALSE)</f>
        <v>CAD</v>
      </c>
      <c r="F160" s="12">
        <f ca="1">IFERROR(__xludf.DUMMYFUNCTION("IF(E160=""USD"",B160,B160 * GOOGLEFINANCE(""CURRENCY:"" &amp; E160 &amp; ""USD""))
"),7234050)</f>
        <v>7234050</v>
      </c>
      <c r="G160" s="13">
        <f ca="1">IFERROR(__xludf.DUMMYFUNCTION("IF(E160=""USD"",C160,C160 * GOOGLEFINANCE(""CURRENCY:"" &amp; E160 &amp; ""USD""))
"),6853091.90571)</f>
        <v>6853091.9057099996</v>
      </c>
    </row>
    <row r="161" spans="1:7" ht="15.75" customHeight="1" x14ac:dyDescent="0.25">
      <c r="A161" s="14" t="s">
        <v>24</v>
      </c>
      <c r="B161" s="15">
        <v>18000000</v>
      </c>
      <c r="C161" s="15">
        <v>17174870</v>
      </c>
      <c r="D161" s="15">
        <v>2000</v>
      </c>
      <c r="E161" s="15" t="str">
        <f>VLOOKUP(A161, Currency!$A$2:$B$100, 2, FALSE)</f>
        <v>USD</v>
      </c>
      <c r="F161" s="15">
        <f ca="1">IFERROR(__xludf.DUMMYFUNCTION("IF(E161=""USD"",B161,B161 * GOOGLEFINANCE(""CURRENCY:"" &amp; E161 &amp; ""USD""))
"),18000000)</f>
        <v>18000000</v>
      </c>
      <c r="G161" s="16">
        <f ca="1">IFERROR(__xludf.DUMMYFUNCTION("IF(E161=""USD"",C161,C161 * GOOGLEFINANCE(""CURRENCY:"" &amp; E161 &amp; ""USD""))
"),17174870)</f>
        <v>17174870</v>
      </c>
    </row>
    <row r="162" spans="1:7" ht="15.75" customHeight="1" x14ac:dyDescent="0.25">
      <c r="A162" s="11" t="s">
        <v>611</v>
      </c>
      <c r="B162" s="12">
        <v>103000000</v>
      </c>
      <c r="C162" s="12">
        <v>274299</v>
      </c>
      <c r="D162" s="12">
        <v>2002</v>
      </c>
      <c r="E162" s="12" t="str">
        <f>VLOOKUP(A162, Currency!$A$2:$B$100, 2, FALSE)</f>
        <v>EUR</v>
      </c>
      <c r="F162" s="12">
        <f ca="1">IFERROR(__xludf.DUMMYFUNCTION("IF(E162=""USD"",B162,B162 * GOOGLEFINANCE(""CURRENCY:"" &amp; E162 &amp; ""USD""))
"),111728220)</f>
        <v>111728220</v>
      </c>
      <c r="G162" s="13">
        <f ca="1">IFERROR(__xludf.DUMMYFUNCTION("IF(E162=""USD"",C162,C162 * GOOGLEFINANCE(""CURRENCY:"" &amp; E162 &amp; ""USD""))
"),297543.09726)</f>
        <v>297543.09726000001</v>
      </c>
    </row>
    <row r="163" spans="1:7" ht="15.75" customHeight="1" x14ac:dyDescent="0.25">
      <c r="A163" s="14" t="s">
        <v>24</v>
      </c>
      <c r="B163" s="15">
        <v>84000000</v>
      </c>
      <c r="C163" s="15">
        <v>17010646</v>
      </c>
      <c r="D163" s="15">
        <v>2005</v>
      </c>
      <c r="E163" s="15" t="str">
        <f>VLOOKUP(A163, Currency!$A$2:$B$100, 2, FALSE)</f>
        <v>USD</v>
      </c>
      <c r="F163" s="15">
        <f ca="1">IFERROR(__xludf.DUMMYFUNCTION("IF(E163=""USD"",B163,B163 * GOOGLEFINANCE(""CURRENCY:"" &amp; E163 &amp; ""USD""))
"),84000000)</f>
        <v>84000000</v>
      </c>
      <c r="G163" s="16">
        <f ca="1">IFERROR(__xludf.DUMMYFUNCTION("IF(E163=""USD"",C163,C163 * GOOGLEFINANCE(""CURRENCY:"" &amp; E163 &amp; ""USD""))
"),17010646)</f>
        <v>17010646</v>
      </c>
    </row>
    <row r="164" spans="1:7" ht="15.75" customHeight="1" x14ac:dyDescent="0.25">
      <c r="A164" s="11" t="s">
        <v>24</v>
      </c>
      <c r="B164" s="12">
        <v>15000000</v>
      </c>
      <c r="C164" s="12">
        <v>1953732</v>
      </c>
      <c r="D164" s="12">
        <v>1986</v>
      </c>
      <c r="E164" s="12" t="str">
        <f>VLOOKUP(A164, Currency!$A$2:$B$100, 2, FALSE)</f>
        <v>USD</v>
      </c>
      <c r="F164" s="12">
        <f ca="1">IFERROR(__xludf.DUMMYFUNCTION("IF(E164=""USD"",B164,B164 * GOOGLEFINANCE(""CURRENCY:"" &amp; E164 &amp; ""USD""))
"),15000000)</f>
        <v>15000000</v>
      </c>
      <c r="G164" s="13">
        <f ca="1">IFERROR(__xludf.DUMMYFUNCTION("IF(E164=""USD"",C164,C164 * GOOGLEFINANCE(""CURRENCY:"" &amp; E164 &amp; ""USD""))
"),1953732)</f>
        <v>1953732</v>
      </c>
    </row>
    <row r="165" spans="1:7" ht="15.75" customHeight="1" x14ac:dyDescent="0.25">
      <c r="A165" s="14" t="s">
        <v>611</v>
      </c>
      <c r="B165" s="15">
        <v>65000000</v>
      </c>
      <c r="C165" s="15">
        <v>38966057</v>
      </c>
      <c r="D165" s="15">
        <v>1998</v>
      </c>
      <c r="E165" s="15" t="str">
        <f>VLOOKUP(A165, Currency!$A$2:$B$100, 2, FALSE)</f>
        <v>EUR</v>
      </c>
      <c r="F165" s="15">
        <f ca="1">IFERROR(__xludf.DUMMYFUNCTION("IF(E165=""USD"",B165,B165 * GOOGLEFINANCE(""CURRENCY:"" &amp; E165 &amp; ""USD""))
"),70508100)</f>
        <v>70508100</v>
      </c>
      <c r="G165" s="16">
        <f ca="1">IFERROR(__xludf.DUMMYFUNCTION("IF(E165=""USD"",C165,C165 * GOOGLEFINANCE(""CURRENCY:"" &amp; E165 &amp; ""USD""))
"),42268040.67018)</f>
        <v>42268040.67018</v>
      </c>
    </row>
    <row r="166" spans="1:7" ht="15.75" customHeight="1" x14ac:dyDescent="0.25">
      <c r="A166" s="11" t="s">
        <v>24</v>
      </c>
      <c r="B166" s="12">
        <v>11000000</v>
      </c>
      <c r="C166" s="12">
        <v>41227069</v>
      </c>
      <c r="D166" s="12">
        <v>2002</v>
      </c>
      <c r="E166" s="12" t="str">
        <f>VLOOKUP(A166, Currency!$A$2:$B$100, 2, FALSE)</f>
        <v>USD</v>
      </c>
      <c r="F166" s="12">
        <f ca="1">IFERROR(__xludf.DUMMYFUNCTION("IF(E166=""USD"",B166,B166 * GOOGLEFINANCE(""CURRENCY:"" &amp; E166 &amp; ""USD""))
"),11000000)</f>
        <v>11000000</v>
      </c>
      <c r="G166" s="13">
        <f ca="1">IFERROR(__xludf.DUMMYFUNCTION("IF(E166=""USD"",C166,C166 * GOOGLEFINANCE(""CURRENCY:"" &amp; E166 &amp; ""USD""))
"),41227069)</f>
        <v>41227069</v>
      </c>
    </row>
    <row r="167" spans="1:7" ht="15.75" customHeight="1" x14ac:dyDescent="0.25">
      <c r="A167" s="14" t="s">
        <v>24</v>
      </c>
      <c r="B167" s="15">
        <v>55000000</v>
      </c>
      <c r="C167" s="15">
        <v>16640210</v>
      </c>
      <c r="D167" s="15">
        <v>1999</v>
      </c>
      <c r="E167" s="15" t="str">
        <f>VLOOKUP(A167, Currency!$A$2:$B$100, 2, FALSE)</f>
        <v>USD</v>
      </c>
      <c r="F167" s="15">
        <f ca="1">IFERROR(__xludf.DUMMYFUNCTION("IF(E167=""USD"",B167,B167 * GOOGLEFINANCE(""CURRENCY:"" &amp; E167 &amp; ""USD""))
"),55000000)</f>
        <v>55000000</v>
      </c>
      <c r="G167" s="16">
        <f ca="1">IFERROR(__xludf.DUMMYFUNCTION("IF(E167=""USD"",C167,C167 * GOOGLEFINANCE(""CURRENCY:"" &amp; E167 &amp; ""USD""))
"),16640210)</f>
        <v>16640210</v>
      </c>
    </row>
    <row r="168" spans="1:7" ht="15.75" customHeight="1" x14ac:dyDescent="0.25">
      <c r="A168" s="11" t="s">
        <v>24</v>
      </c>
      <c r="B168" s="12">
        <v>25000000</v>
      </c>
      <c r="C168" s="12">
        <v>10911750</v>
      </c>
      <c r="D168" s="12">
        <v>2008</v>
      </c>
      <c r="E168" s="12" t="str">
        <f>VLOOKUP(A168, Currency!$A$2:$B$100, 2, FALSE)</f>
        <v>USD</v>
      </c>
      <c r="F168" s="12">
        <f ca="1">IFERROR(__xludf.DUMMYFUNCTION("IF(E168=""USD"",B168,B168 * GOOGLEFINANCE(""CURRENCY:"" &amp; E168 &amp; ""USD""))
"),25000000)</f>
        <v>25000000</v>
      </c>
      <c r="G168" s="13">
        <f ca="1">IFERROR(__xludf.DUMMYFUNCTION("IF(E168=""USD"",C168,C168 * GOOGLEFINANCE(""CURRENCY:"" &amp; E168 &amp; ""USD""))
"),10911750)</f>
        <v>10911750</v>
      </c>
    </row>
    <row r="169" spans="1:7" ht="15.75" customHeight="1" x14ac:dyDescent="0.25">
      <c r="A169" s="14" t="s">
        <v>24</v>
      </c>
      <c r="B169" s="15">
        <v>20000000</v>
      </c>
      <c r="C169" s="15">
        <v>19661987</v>
      </c>
      <c r="D169" s="15">
        <v>2007</v>
      </c>
      <c r="E169" s="15" t="str">
        <f>VLOOKUP(A169, Currency!$A$2:$B$100, 2, FALSE)</f>
        <v>USD</v>
      </c>
      <c r="F169" s="15">
        <f ca="1">IFERROR(__xludf.DUMMYFUNCTION("IF(E169=""USD"",B169,B169 * GOOGLEFINANCE(""CURRENCY:"" &amp; E169 &amp; ""USD""))
"),20000000)</f>
        <v>20000000</v>
      </c>
      <c r="G169" s="16">
        <f ca="1">IFERROR(__xludf.DUMMYFUNCTION("IF(E169=""USD"",C169,C169 * GOOGLEFINANCE(""CURRENCY:"" &amp; E169 &amp; ""USD""))
"),19661987)</f>
        <v>19661987</v>
      </c>
    </row>
    <row r="170" spans="1:7" ht="15.75" customHeight="1" x14ac:dyDescent="0.25">
      <c r="A170" s="11" t="s">
        <v>24</v>
      </c>
      <c r="B170" s="12">
        <v>100000000</v>
      </c>
      <c r="C170" s="12">
        <v>58607007</v>
      </c>
      <c r="D170" s="12">
        <v>2014</v>
      </c>
      <c r="E170" s="12" t="str">
        <f>VLOOKUP(A170, Currency!$A$2:$B$100, 2, FALSE)</f>
        <v>USD</v>
      </c>
      <c r="F170" s="12">
        <f ca="1">IFERROR(__xludf.DUMMYFUNCTION("IF(E170=""USD"",B170,B170 * GOOGLEFINANCE(""CURRENCY:"" &amp; E170 &amp; ""USD""))
"),100000000)</f>
        <v>100000000</v>
      </c>
      <c r="G170" s="13">
        <f ca="1">IFERROR(__xludf.DUMMYFUNCTION("IF(E170=""USD"",C170,C170 * GOOGLEFINANCE(""CURRENCY:"" &amp; E170 &amp; ""USD""))
"),58607007)</f>
        <v>58607007</v>
      </c>
    </row>
    <row r="171" spans="1:7" ht="15.75" customHeight="1" x14ac:dyDescent="0.25">
      <c r="A171" s="14" t="s">
        <v>24</v>
      </c>
      <c r="B171" s="15">
        <v>85000000</v>
      </c>
      <c r="C171" s="15">
        <v>150832203</v>
      </c>
      <c r="D171" s="15">
        <v>2014</v>
      </c>
      <c r="E171" s="15" t="str">
        <f>VLOOKUP(A171, Currency!$A$2:$B$100, 2, FALSE)</f>
        <v>USD</v>
      </c>
      <c r="F171" s="15">
        <f ca="1">IFERROR(__xludf.DUMMYFUNCTION("IF(E171=""USD"",B171,B171 * GOOGLEFINANCE(""CURRENCY:"" &amp; E171 &amp; ""USD""))
"),85000000)</f>
        <v>85000000</v>
      </c>
      <c r="G171" s="16">
        <f ca="1">IFERROR(__xludf.DUMMYFUNCTION("IF(E171=""USD"",C171,C171 * GOOGLEFINANCE(""CURRENCY:"" &amp; E171 &amp; ""USD""))
"),150832203)</f>
        <v>150832203</v>
      </c>
    </row>
    <row r="172" spans="1:7" ht="15.75" customHeight="1" x14ac:dyDescent="0.25">
      <c r="A172" s="11" t="s">
        <v>24</v>
      </c>
      <c r="B172" s="12">
        <v>70000000</v>
      </c>
      <c r="C172" s="12">
        <v>216119491</v>
      </c>
      <c r="D172" s="12">
        <v>1998</v>
      </c>
      <c r="E172" s="12" t="str">
        <f>VLOOKUP(A172, Currency!$A$2:$B$100, 2, FALSE)</f>
        <v>USD</v>
      </c>
      <c r="F172" s="12">
        <f ca="1">IFERROR(__xludf.DUMMYFUNCTION("IF(E172=""USD"",B172,B172 * GOOGLEFINANCE(""CURRENCY:"" &amp; E172 &amp; ""USD""))
"),70000000)</f>
        <v>70000000</v>
      </c>
      <c r="G172" s="13">
        <f ca="1">IFERROR(__xludf.DUMMYFUNCTION("IF(E172=""USD"",C172,C172 * GOOGLEFINANCE(""CURRENCY:"" &amp; E172 &amp; ""USD""))
"),216119491)</f>
        <v>216119491</v>
      </c>
    </row>
    <row r="173" spans="1:7" ht="15.75" customHeight="1" x14ac:dyDescent="0.25">
      <c r="A173" s="14" t="s">
        <v>24</v>
      </c>
      <c r="B173" s="15">
        <v>8500000</v>
      </c>
      <c r="C173" s="15">
        <v>29200000</v>
      </c>
      <c r="D173" s="15">
        <v>1979</v>
      </c>
      <c r="E173" s="15" t="str">
        <f>VLOOKUP(A173, Currency!$A$2:$B$100, 2, FALSE)</f>
        <v>USD</v>
      </c>
      <c r="F173" s="15">
        <f ca="1">IFERROR(__xludf.DUMMYFUNCTION("IF(E173=""USD"",B173,B173 * GOOGLEFINANCE(""CURRENCY:"" &amp; E173 &amp; ""USD""))
"),8500000)</f>
        <v>8500000</v>
      </c>
      <c r="G173" s="16">
        <f ca="1">IFERROR(__xludf.DUMMYFUNCTION("IF(E173=""USD"",C173,C173 * GOOGLEFINANCE(""CURRENCY:"" &amp; E173 &amp; ""USD""))
"),29200000)</f>
        <v>29200000</v>
      </c>
    </row>
    <row r="174" spans="1:7" ht="15.75" customHeight="1" x14ac:dyDescent="0.25">
      <c r="A174" s="11" t="s">
        <v>24</v>
      </c>
      <c r="B174" s="12">
        <v>1650000</v>
      </c>
      <c r="C174" s="12">
        <v>2580</v>
      </c>
      <c r="D174" s="12">
        <v>2003</v>
      </c>
      <c r="E174" s="12" t="str">
        <f>VLOOKUP(A174, Currency!$A$2:$B$100, 2, FALSE)</f>
        <v>USD</v>
      </c>
      <c r="F174" s="12">
        <f ca="1">IFERROR(__xludf.DUMMYFUNCTION("IF(E174=""USD"",B174,B174 * GOOGLEFINANCE(""CURRENCY:"" &amp; E174 &amp; ""USD""))
"),1650000)</f>
        <v>1650000</v>
      </c>
      <c r="G174" s="13">
        <f ca="1">IFERROR(__xludf.DUMMYFUNCTION("IF(E174=""USD"",C174,C174 * GOOGLEFINANCE(""CURRENCY:"" &amp; E174 &amp; ""USD""))
"),2580)</f>
        <v>2580</v>
      </c>
    </row>
    <row r="175" spans="1:7" ht="15.75" customHeight="1" x14ac:dyDescent="0.25">
      <c r="A175" s="14" t="s">
        <v>24</v>
      </c>
      <c r="B175" s="15">
        <v>24000000</v>
      </c>
      <c r="C175" s="15">
        <v>20218</v>
      </c>
      <c r="D175" s="15">
        <v>2001</v>
      </c>
      <c r="E175" s="15" t="str">
        <f>VLOOKUP(A175, Currency!$A$2:$B$100, 2, FALSE)</f>
        <v>USD</v>
      </c>
      <c r="F175" s="15">
        <f ca="1">IFERROR(__xludf.DUMMYFUNCTION("IF(E175=""USD"",B175,B175 * GOOGLEFINANCE(""CURRENCY:"" &amp; E175 &amp; ""USD""))
"),24000000)</f>
        <v>24000000</v>
      </c>
      <c r="G175" s="16">
        <f ca="1">IFERROR(__xludf.DUMMYFUNCTION("IF(E175=""USD"",C175,C175 * GOOGLEFINANCE(""CURRENCY:"" &amp; E175 &amp; ""USD""))
"),20218)</f>
        <v>20218</v>
      </c>
    </row>
    <row r="176" spans="1:7" ht="15.75" customHeight="1" x14ac:dyDescent="0.25">
      <c r="A176" s="11" t="s">
        <v>24</v>
      </c>
      <c r="B176" s="12">
        <v>130000000</v>
      </c>
      <c r="C176" s="12">
        <v>122512052</v>
      </c>
      <c r="D176" s="12">
        <v>2013</v>
      </c>
      <c r="E176" s="12" t="str">
        <f>VLOOKUP(A176, Currency!$A$2:$B$100, 2, FALSE)</f>
        <v>USD</v>
      </c>
      <c r="F176" s="12">
        <f ca="1">IFERROR(__xludf.DUMMYFUNCTION("IF(E176=""USD"",B176,B176 * GOOGLEFINANCE(""CURRENCY:"" &amp; E176 &amp; ""USD""))
"),130000000)</f>
        <v>130000000</v>
      </c>
      <c r="G176" s="13">
        <f ca="1">IFERROR(__xludf.DUMMYFUNCTION("IF(E176=""USD"",C176,C176 * GOOGLEFINANCE(""CURRENCY:"" &amp; E176 &amp; ""USD""))
"),122512052)</f>
        <v>122512052</v>
      </c>
    </row>
    <row r="177" spans="1:7" ht="15.75" customHeight="1" x14ac:dyDescent="0.25">
      <c r="A177" s="14" t="s">
        <v>24</v>
      </c>
      <c r="B177" s="15">
        <v>70000000</v>
      </c>
      <c r="C177" s="15">
        <v>8460990</v>
      </c>
      <c r="D177" s="15">
        <v>2013</v>
      </c>
      <c r="E177" s="15" t="str">
        <f>VLOOKUP(A177, Currency!$A$2:$B$100, 2, FALSE)</f>
        <v>USD</v>
      </c>
      <c r="F177" s="15">
        <f ca="1">IFERROR(__xludf.DUMMYFUNCTION("IF(E177=""USD"",B177,B177 * GOOGLEFINANCE(""CURRENCY:"" &amp; E177 &amp; ""USD""))
"),70000000)</f>
        <v>70000000</v>
      </c>
      <c r="G177" s="16">
        <f ca="1">IFERROR(__xludf.DUMMYFUNCTION("IF(E177=""USD"",C177,C177 * GOOGLEFINANCE(""CURRENCY:"" &amp; E177 &amp; ""USD""))
"),8460990)</f>
        <v>8460990</v>
      </c>
    </row>
    <row r="178" spans="1:7" ht="15.75" customHeight="1" x14ac:dyDescent="0.25">
      <c r="A178" s="11" t="s">
        <v>24</v>
      </c>
      <c r="B178" s="12">
        <v>90000000</v>
      </c>
      <c r="C178" s="12">
        <v>33574332</v>
      </c>
      <c r="D178" s="12">
        <v>2006</v>
      </c>
      <c r="E178" s="12" t="str">
        <f>VLOOKUP(A178, Currency!$A$2:$B$100, 2, FALSE)</f>
        <v>USD</v>
      </c>
      <c r="F178" s="12">
        <f ca="1">IFERROR(__xludf.DUMMYFUNCTION("IF(E178=""USD"",B178,B178 * GOOGLEFINANCE(""CURRENCY:"" &amp; E178 &amp; ""USD""))
"),90000000)</f>
        <v>90000000</v>
      </c>
      <c r="G178" s="13">
        <f ca="1">IFERROR(__xludf.DUMMYFUNCTION("IF(E178=""USD"",C178,C178 * GOOGLEFINANCE(""CURRENCY:"" &amp; E178 &amp; ""USD""))
"),33574332)</f>
        <v>33574332</v>
      </c>
    </row>
    <row r="179" spans="1:7" ht="15.75" customHeight="1" x14ac:dyDescent="0.25">
      <c r="A179" s="14" t="s">
        <v>24</v>
      </c>
      <c r="B179" s="15">
        <v>60000000</v>
      </c>
      <c r="C179" s="15">
        <v>18208078</v>
      </c>
      <c r="D179" s="15">
        <v>2001</v>
      </c>
      <c r="E179" s="15" t="str">
        <f>VLOOKUP(A179, Currency!$A$2:$B$100, 2, FALSE)</f>
        <v>USD</v>
      </c>
      <c r="F179" s="15">
        <f ca="1">IFERROR(__xludf.DUMMYFUNCTION("IF(E179=""USD"",B179,B179 * GOOGLEFINANCE(""CURRENCY:"" &amp; E179 &amp; ""USD""))
"),60000000)</f>
        <v>60000000</v>
      </c>
      <c r="G179" s="16">
        <f ca="1">IFERROR(__xludf.DUMMYFUNCTION("IF(E179=""USD"",C179,C179 * GOOGLEFINANCE(""CURRENCY:"" &amp; E179 &amp; ""USD""))
"),18208078)</f>
        <v>18208078</v>
      </c>
    </row>
    <row r="180" spans="1:7" ht="15.75" customHeight="1" x14ac:dyDescent="0.25">
      <c r="A180" s="11" t="s">
        <v>611</v>
      </c>
      <c r="B180" s="12">
        <v>17000000</v>
      </c>
      <c r="C180" s="12">
        <v>106869</v>
      </c>
      <c r="D180" s="12">
        <v>2014</v>
      </c>
      <c r="E180" s="12" t="str">
        <f>VLOOKUP(A180, Currency!$A$2:$B$100, 2, FALSE)</f>
        <v>EUR</v>
      </c>
      <c r="F180" s="12">
        <f ca="1">IFERROR(__xludf.DUMMYFUNCTION("IF(E180=""USD"",B180,B180 * GOOGLEFINANCE(""CURRENCY:"" &amp; E180 &amp; ""USD""))
"),18440580)</f>
        <v>18440580</v>
      </c>
      <c r="G180" s="13">
        <f ca="1">IFERROR(__xludf.DUMMYFUNCTION("IF(E180=""USD"",C180,C180 * GOOGLEFINANCE(""CURRENCY:"" &amp; E180 &amp; ""USD""))
"),115925.07906)</f>
        <v>115925.07906</v>
      </c>
    </row>
    <row r="181" spans="1:7" ht="15.75" customHeight="1" x14ac:dyDescent="0.25">
      <c r="A181" s="14" t="s">
        <v>24</v>
      </c>
      <c r="B181" s="15">
        <v>90000000</v>
      </c>
      <c r="C181" s="15">
        <v>39292022</v>
      </c>
      <c r="D181" s="15">
        <v>2014</v>
      </c>
      <c r="E181" s="15" t="str">
        <f>VLOOKUP(A181, Currency!$A$2:$B$100, 2, FALSE)</f>
        <v>USD</v>
      </c>
      <c r="F181" s="15">
        <f ca="1">IFERROR(__xludf.DUMMYFUNCTION("IF(E181=""USD"",B181,B181 * GOOGLEFINANCE(""CURRENCY:"" &amp; E181 &amp; ""USD""))
"),90000000)</f>
        <v>90000000</v>
      </c>
      <c r="G181" s="16">
        <f ca="1">IFERROR(__xludf.DUMMYFUNCTION("IF(E181=""USD"",C181,C181 * GOOGLEFINANCE(""CURRENCY:"" &amp; E181 &amp; ""USD""))
"),39292022)</f>
        <v>39292022</v>
      </c>
    </row>
    <row r="182" spans="1:7" ht="15.75" customHeight="1" x14ac:dyDescent="0.25">
      <c r="A182" s="11" t="s">
        <v>24</v>
      </c>
      <c r="B182" s="12">
        <v>4700000</v>
      </c>
      <c r="C182" s="12">
        <v>1705139</v>
      </c>
      <c r="D182" s="12">
        <v>1988</v>
      </c>
      <c r="E182" s="12" t="str">
        <f>VLOOKUP(A182, Currency!$A$2:$B$100, 2, FALSE)</f>
        <v>USD</v>
      </c>
      <c r="F182" s="12">
        <f ca="1">IFERROR(__xludf.DUMMYFUNCTION("IF(E182=""USD"",B182,B182 * GOOGLEFINANCE(""CURRENCY:"" &amp; E182 &amp; ""USD""))
"),4700000)</f>
        <v>4700000</v>
      </c>
      <c r="G182" s="13">
        <f ca="1">IFERROR(__xludf.DUMMYFUNCTION("IF(E182=""USD"",C182,C182 * GOOGLEFINANCE(""CURRENCY:"" &amp; E182 &amp; ""USD""))
"),1705139)</f>
        <v>1705139</v>
      </c>
    </row>
    <row r="183" spans="1:7" ht="15.75" customHeight="1" x14ac:dyDescent="0.25">
      <c r="A183" s="14" t="s">
        <v>24</v>
      </c>
      <c r="B183" s="15">
        <v>66000000</v>
      </c>
      <c r="C183" s="15">
        <v>87704396</v>
      </c>
      <c r="D183" s="15">
        <v>1999</v>
      </c>
      <c r="E183" s="15" t="str">
        <f>VLOOKUP(A183, Currency!$A$2:$B$100, 2, FALSE)</f>
        <v>USD</v>
      </c>
      <c r="F183" s="15">
        <f ca="1">IFERROR(__xludf.DUMMYFUNCTION("IF(E183=""USD"",B183,B183 * GOOGLEFINANCE(""CURRENCY:"" &amp; E183 &amp; ""USD""))
"),66000000)</f>
        <v>66000000</v>
      </c>
      <c r="G183" s="16">
        <f ca="1">IFERROR(__xludf.DUMMYFUNCTION("IF(E183=""USD"",C183,C183 * GOOGLEFINANCE(""CURRENCY:"" &amp; E183 &amp; ""USD""))
"),87704396)</f>
        <v>87704396</v>
      </c>
    </row>
    <row r="184" spans="1:7" ht="15.75" customHeight="1" x14ac:dyDescent="0.25">
      <c r="A184" s="11" t="s">
        <v>24</v>
      </c>
      <c r="B184" s="12">
        <v>35000000</v>
      </c>
      <c r="C184" s="12">
        <v>13101142</v>
      </c>
      <c r="D184" s="12">
        <v>2012</v>
      </c>
      <c r="E184" s="12" t="str">
        <f>VLOOKUP(A184, Currency!$A$2:$B$100, 2, FALSE)</f>
        <v>USD</v>
      </c>
      <c r="F184" s="12">
        <f ca="1">IFERROR(__xludf.DUMMYFUNCTION("IF(E184=""USD"",B184,B184 * GOOGLEFINANCE(""CURRENCY:"" &amp; E184 &amp; ""USD""))
"),35000000)</f>
        <v>35000000</v>
      </c>
      <c r="G184" s="13">
        <f ca="1">IFERROR(__xludf.DUMMYFUNCTION("IF(E184=""USD"",C184,C184 * GOOGLEFINANCE(""CURRENCY:"" &amp; E184 &amp; ""USD""))
"),13101142)</f>
        <v>13101142</v>
      </c>
    </row>
    <row r="185" spans="1:7" ht="15.75" customHeight="1" x14ac:dyDescent="0.25">
      <c r="A185" s="14" t="s">
        <v>611</v>
      </c>
      <c r="B185" s="15">
        <v>1300000</v>
      </c>
      <c r="C185" s="15">
        <v>1060591</v>
      </c>
      <c r="D185" s="15">
        <v>2007</v>
      </c>
      <c r="E185" s="15" t="str">
        <f>VLOOKUP(A185, Currency!$A$2:$B$100, 2, FALSE)</f>
        <v>EUR</v>
      </c>
      <c r="F185" s="15">
        <f ca="1">IFERROR(__xludf.DUMMYFUNCTION("IF(E185=""USD"",B185,B185 * GOOGLEFINANCE(""CURRENCY:"" &amp; E185 &amp; ""USD""))
"),1410162)</f>
        <v>1410162</v>
      </c>
      <c r="G185" s="16">
        <f ca="1">IFERROR(__xludf.DUMMYFUNCTION("IF(E185=""USD"",C185,C185 * GOOGLEFINANCE(""CURRENCY:"" &amp; E185 &amp; ""USD""))
"),1150465.48134)</f>
        <v>1150465.4813399999</v>
      </c>
    </row>
    <row r="186" spans="1:7" ht="15.75" customHeight="1" x14ac:dyDescent="0.25">
      <c r="A186" s="11" t="s">
        <v>133</v>
      </c>
      <c r="B186" s="12">
        <v>32000000</v>
      </c>
      <c r="C186" s="12">
        <v>34667015</v>
      </c>
      <c r="D186" s="12">
        <v>1989</v>
      </c>
      <c r="E186" s="12" t="str">
        <f>VLOOKUP(A186, Currency!$A$2:$B$100, 2, FALSE)</f>
        <v>GBP</v>
      </c>
      <c r="F186" s="12">
        <f ca="1">IFERROR(__xludf.DUMMYFUNCTION("IF(E186=""USD"",B186,B186 * GOOGLEFINANCE(""CURRENCY:"" &amp; E186 &amp; ""USD""))
"),41132799.9999999)</f>
        <v>41132799.999999903</v>
      </c>
      <c r="G186" s="13">
        <f ca="1">IFERROR(__xludf.DUMMYFUNCTION("IF(E186=""USD"",C186,C186 * GOOGLEFINANCE(""CURRENCY:"" &amp; E186 &amp; ""USD""))
"),44560981.0809999)</f>
        <v>44560981.080999903</v>
      </c>
    </row>
    <row r="187" spans="1:7" ht="15.75" customHeight="1" x14ac:dyDescent="0.25">
      <c r="A187" s="14" t="s">
        <v>24</v>
      </c>
      <c r="B187" s="15">
        <v>180000000</v>
      </c>
      <c r="C187" s="15">
        <v>241407328</v>
      </c>
      <c r="D187" s="15">
        <v>2014</v>
      </c>
      <c r="E187" s="15" t="str">
        <f>VLOOKUP(A187, Currency!$A$2:$B$100, 2, FALSE)</f>
        <v>USD</v>
      </c>
      <c r="F187" s="15">
        <f ca="1">IFERROR(__xludf.DUMMYFUNCTION("IF(E187=""USD"",B187,B187 * GOOGLEFINANCE(""CURRENCY:"" &amp; E187 &amp; ""USD""))
"),180000000)</f>
        <v>180000000</v>
      </c>
      <c r="G187" s="16">
        <f ca="1">IFERROR(__xludf.DUMMYFUNCTION("IF(E187=""USD"",C187,C187 * GOOGLEFINANCE(""CURRENCY:"" &amp; E187 &amp; ""USD""))
"),241407328)</f>
        <v>241407328</v>
      </c>
    </row>
    <row r="188" spans="1:7" ht="15.75" customHeight="1" x14ac:dyDescent="0.25">
      <c r="A188" s="11" t="s">
        <v>24</v>
      </c>
      <c r="B188" s="12">
        <v>150000000</v>
      </c>
      <c r="C188" s="12">
        <v>281492479</v>
      </c>
      <c r="D188" s="12">
        <v>2003</v>
      </c>
      <c r="E188" s="12" t="str">
        <f>VLOOKUP(A188, Currency!$A$2:$B$100, 2, FALSE)</f>
        <v>USD</v>
      </c>
      <c r="F188" s="12">
        <f ca="1">IFERROR(__xludf.DUMMYFUNCTION("IF(E188=""USD"",B188,B188 * GOOGLEFINANCE(""CURRENCY:"" &amp; E188 &amp; ""USD""))
"),150000000)</f>
        <v>150000000</v>
      </c>
      <c r="G188" s="13">
        <f ca="1">IFERROR(__xludf.DUMMYFUNCTION("IF(E188=""USD"",C188,C188 * GOOGLEFINANCE(""CURRENCY:"" &amp; E188 &amp; ""USD""))
"),281492479)</f>
        <v>281492479</v>
      </c>
    </row>
    <row r="189" spans="1:7" ht="15.75" customHeight="1" x14ac:dyDescent="0.25">
      <c r="A189" s="14" t="s">
        <v>24</v>
      </c>
      <c r="B189" s="15">
        <v>3500000</v>
      </c>
      <c r="C189" s="15">
        <v>220234</v>
      </c>
      <c r="D189" s="15">
        <v>2006</v>
      </c>
      <c r="E189" s="15" t="str">
        <f>VLOOKUP(A189, Currency!$A$2:$B$100, 2, FALSE)</f>
        <v>USD</v>
      </c>
      <c r="F189" s="15">
        <f ca="1">IFERROR(__xludf.DUMMYFUNCTION("IF(E189=""USD"",B189,B189 * GOOGLEFINANCE(""CURRENCY:"" &amp; E189 &amp; ""USD""))
"),3500000)</f>
        <v>3500000</v>
      </c>
      <c r="G189" s="16">
        <f ca="1">IFERROR(__xludf.DUMMYFUNCTION("IF(E189=""USD"",C189,C189 * GOOGLEFINANCE(""CURRENCY:"" &amp; E189 &amp; ""USD""))
"),220234)</f>
        <v>220234</v>
      </c>
    </row>
    <row r="190" spans="1:7" ht="15.75" customHeight="1" x14ac:dyDescent="0.25">
      <c r="A190" s="11" t="s">
        <v>24</v>
      </c>
      <c r="B190" s="12">
        <v>50000000</v>
      </c>
      <c r="C190" s="12">
        <v>150315155</v>
      </c>
      <c r="D190" s="12">
        <v>2015</v>
      </c>
      <c r="E190" s="12" t="str">
        <f>VLOOKUP(A190, Currency!$A$2:$B$100, 2, FALSE)</f>
        <v>USD</v>
      </c>
      <c r="F190" s="12">
        <f ca="1">IFERROR(__xludf.DUMMYFUNCTION("IF(E190=""USD"",B190,B190 * GOOGLEFINANCE(""CURRENCY:"" &amp; E190 &amp; ""USD""))
"),50000000)</f>
        <v>50000000</v>
      </c>
      <c r="G190" s="13">
        <f ca="1">IFERROR(__xludf.DUMMYFUNCTION("IF(E190=""USD"",C190,C190 * GOOGLEFINANCE(""CURRENCY:"" &amp; E190 &amp; ""USD""))
"),150315155)</f>
        <v>150315155</v>
      </c>
    </row>
    <row r="191" spans="1:7" ht="15.75" customHeight="1" x14ac:dyDescent="0.25">
      <c r="A191" s="14" t="s">
        <v>24</v>
      </c>
      <c r="B191" s="15">
        <v>140000000</v>
      </c>
      <c r="C191" s="15">
        <v>198539855</v>
      </c>
      <c r="D191" s="15">
        <v>2001</v>
      </c>
      <c r="E191" s="15" t="str">
        <f>VLOOKUP(A191, Currency!$A$2:$B$100, 2, FALSE)</f>
        <v>USD</v>
      </c>
      <c r="F191" s="15">
        <f ca="1">IFERROR(__xludf.DUMMYFUNCTION("IF(E191=""USD"",B191,B191 * GOOGLEFINANCE(""CURRENCY:"" &amp; E191 &amp; ""USD""))
"),140000000)</f>
        <v>140000000</v>
      </c>
      <c r="G191" s="16">
        <f ca="1">IFERROR(__xludf.DUMMYFUNCTION("IF(E191=""USD"",C191,C191 * GOOGLEFINANCE(""CURRENCY:"" &amp; E191 &amp; ""USD""))
"),198539855)</f>
        <v>198539855</v>
      </c>
    </row>
    <row r="192" spans="1:7" ht="15.75" customHeight="1" x14ac:dyDescent="0.25">
      <c r="A192" s="11" t="s">
        <v>24</v>
      </c>
      <c r="B192" s="12">
        <v>165000000</v>
      </c>
      <c r="C192" s="12">
        <v>665426</v>
      </c>
      <c r="D192" s="12">
        <v>2004</v>
      </c>
      <c r="E192" s="12" t="str">
        <f>VLOOKUP(A192, Currency!$A$2:$B$100, 2, FALSE)</f>
        <v>USD</v>
      </c>
      <c r="F192" s="12">
        <f ca="1">IFERROR(__xludf.DUMMYFUNCTION("IF(E192=""USD"",B192,B192 * GOOGLEFINANCE(""CURRENCY:"" &amp; E192 &amp; ""USD""))
"),165000000)</f>
        <v>165000000</v>
      </c>
      <c r="G192" s="13">
        <f ca="1">IFERROR(__xludf.DUMMYFUNCTION("IF(E192=""USD"",C192,C192 * GOOGLEFINANCE(""CURRENCY:"" &amp; E192 &amp; ""USD""))
"),665426)</f>
        <v>665426</v>
      </c>
    </row>
    <row r="193" spans="1:7" ht="15.75" customHeight="1" x14ac:dyDescent="0.25">
      <c r="A193" s="14" t="s">
        <v>24</v>
      </c>
      <c r="B193" s="15">
        <v>50000000</v>
      </c>
      <c r="C193" s="15">
        <v>70450000</v>
      </c>
      <c r="D193" s="15">
        <v>1996</v>
      </c>
      <c r="E193" s="15" t="str">
        <f>VLOOKUP(A193, Currency!$A$2:$B$100, 2, FALSE)</f>
        <v>USD</v>
      </c>
      <c r="F193" s="15">
        <f ca="1">IFERROR(__xludf.DUMMYFUNCTION("IF(E193=""USD"",B193,B193 * GOOGLEFINANCE(""CURRENCY:"" &amp; E193 &amp; ""USD""))
"),50000000)</f>
        <v>50000000</v>
      </c>
      <c r="G193" s="16">
        <f ca="1">IFERROR(__xludf.DUMMYFUNCTION("IF(E193=""USD"",C193,C193 * GOOGLEFINANCE(""CURRENCY:"" &amp; E193 &amp; ""USD""))
"),70450000)</f>
        <v>70450000</v>
      </c>
    </row>
    <row r="194" spans="1:7" ht="15.75" customHeight="1" x14ac:dyDescent="0.25">
      <c r="A194" s="11" t="s">
        <v>24</v>
      </c>
      <c r="B194" s="12">
        <v>15000000</v>
      </c>
      <c r="C194" s="12">
        <v>1294640</v>
      </c>
      <c r="D194" s="12">
        <v>2007</v>
      </c>
      <c r="E194" s="12" t="str">
        <f>VLOOKUP(A194, Currency!$A$2:$B$100, 2, FALSE)</f>
        <v>USD</v>
      </c>
      <c r="F194" s="12">
        <f ca="1">IFERROR(__xludf.DUMMYFUNCTION("IF(E194=""USD"",B194,B194 * GOOGLEFINANCE(""CURRENCY:"" &amp; E194 &amp; ""USD""))
"),15000000)</f>
        <v>15000000</v>
      </c>
      <c r="G194" s="13">
        <f ca="1">IFERROR(__xludf.DUMMYFUNCTION("IF(E194=""USD"",C194,C194 * GOOGLEFINANCE(""CURRENCY:"" &amp; E194 &amp; ""USD""))
"),1294640)</f>
        <v>1294640</v>
      </c>
    </row>
    <row r="195" spans="1:7" ht="15.75" customHeight="1" x14ac:dyDescent="0.25">
      <c r="A195" s="14" t="s">
        <v>24</v>
      </c>
      <c r="B195" s="15">
        <v>2000000</v>
      </c>
      <c r="C195" s="15">
        <v>3335839</v>
      </c>
      <c r="D195" s="15">
        <v>2005</v>
      </c>
      <c r="E195" s="15" t="str">
        <f>VLOOKUP(A195, Currency!$A$2:$B$100, 2, FALSE)</f>
        <v>USD</v>
      </c>
      <c r="F195" s="15">
        <f ca="1">IFERROR(__xludf.DUMMYFUNCTION("IF(E195=""USD"",B195,B195 * GOOGLEFINANCE(""CURRENCY:"" &amp; E195 &amp; ""USD""))
"),2000000)</f>
        <v>2000000</v>
      </c>
      <c r="G195" s="16">
        <f ca="1">IFERROR(__xludf.DUMMYFUNCTION("IF(E195=""USD"",C195,C195 * GOOGLEFINANCE(""CURRENCY:"" &amp; E195 &amp; ""USD""))
"),3335839)</f>
        <v>3335839</v>
      </c>
    </row>
    <row r="196" spans="1:7" ht="15.75" customHeight="1" x14ac:dyDescent="0.25">
      <c r="A196" s="11" t="s">
        <v>133</v>
      </c>
      <c r="B196" s="12">
        <v>15000000</v>
      </c>
      <c r="C196" s="12">
        <v>9929000</v>
      </c>
      <c r="D196" s="12">
        <v>1985</v>
      </c>
      <c r="E196" s="12" t="str">
        <f>VLOOKUP(A196, Currency!$A$2:$B$100, 2, FALSE)</f>
        <v>GBP</v>
      </c>
      <c r="F196" s="12">
        <f ca="1">IFERROR(__xludf.DUMMYFUNCTION("IF(E196=""USD"",B196,B196 * GOOGLEFINANCE(""CURRENCY:"" &amp; E196 &amp; ""USD""))
"),19281000)</f>
        <v>19281000</v>
      </c>
      <c r="G196" s="13">
        <f ca="1">IFERROR(__xludf.DUMMYFUNCTION("IF(E196=""USD"",C196,C196 * GOOGLEFINANCE(""CURRENCY:"" &amp; E196 &amp; ""USD""))
"),12762736.6)</f>
        <v>12762736.6</v>
      </c>
    </row>
    <row r="197" spans="1:7" ht="15.75" customHeight="1" x14ac:dyDescent="0.25">
      <c r="A197" s="14" t="s">
        <v>176</v>
      </c>
      <c r="B197" s="15">
        <v>13000000</v>
      </c>
      <c r="C197" s="15">
        <v>6615578</v>
      </c>
      <c r="D197" s="15">
        <v>2009</v>
      </c>
      <c r="E197" s="15" t="str">
        <f>VLOOKUP(A197, Currency!$A$2:$B$100, 2, FALSE)</f>
        <v>EUR</v>
      </c>
      <c r="F197" s="15">
        <f ca="1">IFERROR(__xludf.DUMMYFUNCTION("IF(E197=""USD"",B197,B197 * GOOGLEFINANCE(""CURRENCY:"" &amp; E197 &amp; ""USD""))
"),14101620)</f>
        <v>14101620</v>
      </c>
      <c r="G197" s="16">
        <f ca="1">IFERROR(__xludf.DUMMYFUNCTION("IF(E197=""USD"",C197,C197 * GOOGLEFINANCE(""CURRENCY:"" &amp; E197 &amp; ""USD""))
"),7176182.07972)</f>
        <v>7176182.0797199998</v>
      </c>
    </row>
    <row r="198" spans="1:7" ht="15.75" customHeight="1" x14ac:dyDescent="0.25">
      <c r="A198" s="11" t="s">
        <v>24</v>
      </c>
      <c r="B198" s="12">
        <v>14000000</v>
      </c>
      <c r="C198" s="12">
        <v>34793160</v>
      </c>
      <c r="D198" s="12">
        <v>1991</v>
      </c>
      <c r="E198" s="12" t="str">
        <f>VLOOKUP(A198, Currency!$A$2:$B$100, 2, FALSE)</f>
        <v>USD</v>
      </c>
      <c r="F198" s="12">
        <f ca="1">IFERROR(__xludf.DUMMYFUNCTION("IF(E198=""USD"",B198,B198 * GOOGLEFINANCE(""CURRENCY:"" &amp; E198 &amp; ""USD""))
"),14000000)</f>
        <v>14000000</v>
      </c>
      <c r="G198" s="13">
        <f ca="1">IFERROR(__xludf.DUMMYFUNCTION("IF(E198=""USD"",C198,C198 * GOOGLEFINANCE(""CURRENCY:"" &amp; E198 &amp; ""USD""))
"),34793160)</f>
        <v>34793160</v>
      </c>
    </row>
    <row r="199" spans="1:7" ht="15.75" customHeight="1" x14ac:dyDescent="0.25">
      <c r="A199" s="14" t="s">
        <v>24</v>
      </c>
      <c r="B199" s="15">
        <v>35000000</v>
      </c>
      <c r="C199" s="15">
        <v>25266129</v>
      </c>
      <c r="D199" s="15">
        <v>2004</v>
      </c>
      <c r="E199" s="15" t="str">
        <f>VLOOKUP(A199, Currency!$A$2:$B$100, 2, FALSE)</f>
        <v>USD</v>
      </c>
      <c r="F199" s="15">
        <f ca="1">IFERROR(__xludf.DUMMYFUNCTION("IF(E199=""USD"",B199,B199 * GOOGLEFINANCE(""CURRENCY:"" &amp; E199 &amp; ""USD""))
"),35000000)</f>
        <v>35000000</v>
      </c>
      <c r="G199" s="16">
        <f ca="1">IFERROR(__xludf.DUMMYFUNCTION("IF(E199=""USD"",C199,C199 * GOOGLEFINANCE(""CURRENCY:"" &amp; E199 &amp; ""USD""))
"),25266129)</f>
        <v>25266129</v>
      </c>
    </row>
    <row r="200" spans="1:7" ht="15.75" customHeight="1" x14ac:dyDescent="0.25">
      <c r="A200" s="11" t="s">
        <v>24</v>
      </c>
      <c r="B200" s="12">
        <v>16000000</v>
      </c>
      <c r="C200" s="12">
        <v>15427192</v>
      </c>
      <c r="D200" s="12">
        <v>2000</v>
      </c>
      <c r="E200" s="12" t="str">
        <f>VLOOKUP(A200, Currency!$A$2:$B$100, 2, FALSE)</f>
        <v>USD</v>
      </c>
      <c r="F200" s="12">
        <f ca="1">IFERROR(__xludf.DUMMYFUNCTION("IF(E200=""USD"",B200,B200 * GOOGLEFINANCE(""CURRENCY:"" &amp; E200 &amp; ""USD""))
"),16000000)</f>
        <v>16000000</v>
      </c>
      <c r="G200" s="13">
        <f ca="1">IFERROR(__xludf.DUMMYFUNCTION("IF(E200=""USD"",C200,C200 * GOOGLEFINANCE(""CURRENCY:"" &amp; E200 &amp; ""USD""))
"),15427192)</f>
        <v>15427192</v>
      </c>
    </row>
    <row r="201" spans="1:7" ht="15.75" customHeight="1" x14ac:dyDescent="0.25">
      <c r="A201" s="14" t="s">
        <v>24</v>
      </c>
      <c r="B201" s="15">
        <v>40000000</v>
      </c>
      <c r="C201" s="15">
        <v>38105077</v>
      </c>
      <c r="D201" s="15">
        <v>2009</v>
      </c>
      <c r="E201" s="15" t="str">
        <f>VLOOKUP(A201, Currency!$A$2:$B$100, 2, FALSE)</f>
        <v>USD</v>
      </c>
      <c r="F201" s="15">
        <f ca="1">IFERROR(__xludf.DUMMYFUNCTION("IF(E201=""USD"",B201,B201 * GOOGLEFINANCE(""CURRENCY:"" &amp; E201 &amp; ""USD""))
"),40000000)</f>
        <v>40000000</v>
      </c>
      <c r="G201" s="16">
        <f ca="1">IFERROR(__xludf.DUMMYFUNCTION("IF(E201=""USD"",C201,C201 * GOOGLEFINANCE(""CURRENCY:"" &amp; E201 &amp; ""USD""))
"),38105077)</f>
        <v>38105077</v>
      </c>
    </row>
    <row r="202" spans="1:7" ht="15.75" customHeight="1" x14ac:dyDescent="0.25">
      <c r="A202" s="11" t="s">
        <v>611</v>
      </c>
      <c r="B202" s="12">
        <v>15000000</v>
      </c>
      <c r="C202" s="12">
        <v>44667095</v>
      </c>
      <c r="D202" s="12">
        <v>2011</v>
      </c>
      <c r="E202" s="12" t="str">
        <f>VLOOKUP(A202, Currency!$A$2:$B$100, 2, FALSE)</f>
        <v>EUR</v>
      </c>
      <c r="F202" s="12">
        <f ca="1">IFERROR(__xludf.DUMMYFUNCTION("IF(E202=""USD"",B202,B202 * GOOGLEFINANCE(""CURRENCY:"" &amp; E202 &amp; ""USD""))
"),16271100)</f>
        <v>16271100</v>
      </c>
      <c r="G202" s="13">
        <f ca="1">IFERROR(__xludf.DUMMYFUNCTION("IF(E202=""USD"",C202,C202 * GOOGLEFINANCE(""CURRENCY:"" &amp; E202 &amp; ""USD""))
"),48452184.6303)</f>
        <v>48452184.6303</v>
      </c>
    </row>
    <row r="203" spans="1:7" ht="15.75" customHeight="1" x14ac:dyDescent="0.25">
      <c r="A203" s="14" t="s">
        <v>24</v>
      </c>
      <c r="B203" s="15">
        <v>12000000</v>
      </c>
      <c r="C203" s="15">
        <v>10198766</v>
      </c>
      <c r="D203" s="15">
        <v>2002</v>
      </c>
      <c r="E203" s="15" t="str">
        <f>VLOOKUP(A203, Currency!$A$2:$B$100, 2, FALSE)</f>
        <v>USD</v>
      </c>
      <c r="F203" s="15">
        <f ca="1">IFERROR(__xludf.DUMMYFUNCTION("IF(E203=""USD"",B203,B203 * GOOGLEFINANCE(""CURRENCY:"" &amp; E203 &amp; ""USD""))
"),12000000)</f>
        <v>12000000</v>
      </c>
      <c r="G203" s="16">
        <f ca="1">IFERROR(__xludf.DUMMYFUNCTION("IF(E203=""USD"",C203,C203 * GOOGLEFINANCE(""CURRENCY:"" &amp; E203 &amp; ""USD""))
"),10198766)</f>
        <v>10198766</v>
      </c>
    </row>
    <row r="204" spans="1:7" ht="15.75" customHeight="1" x14ac:dyDescent="0.25">
      <c r="A204" s="11" t="s">
        <v>627</v>
      </c>
      <c r="B204" s="12">
        <v>56000000</v>
      </c>
      <c r="C204" s="12">
        <v>113006880</v>
      </c>
      <c r="D204" s="12">
        <v>2005</v>
      </c>
      <c r="E204" s="12" t="str">
        <f>VLOOKUP(A204, Currency!$A$2:$B$100, 2, FALSE)</f>
        <v>CAD</v>
      </c>
      <c r="F204" s="12">
        <f ca="1">IFERROR(__xludf.DUMMYFUNCTION("IF(E204=""USD"",B204,B204 * GOOGLEFINANCE(""CURRENCY:"" &amp; E204 &amp; ""USD""))
"),40510680)</f>
        <v>40510680</v>
      </c>
      <c r="G204" s="13">
        <f ca="1">IFERROR(__xludf.DUMMYFUNCTION("IF(E204=""USD"",C204,C204 * GOOGLEFINANCE(""CURRENCY:"" &amp; E204 &amp; ""USD""))
"),81749742.0264)</f>
        <v>81749742.0264</v>
      </c>
    </row>
    <row r="205" spans="1:7" ht="15.75" customHeight="1" x14ac:dyDescent="0.25">
      <c r="A205" s="14" t="s">
        <v>24</v>
      </c>
      <c r="B205" s="15">
        <v>14000000</v>
      </c>
      <c r="C205" s="15">
        <v>61356221</v>
      </c>
      <c r="D205" s="15">
        <v>2007</v>
      </c>
      <c r="E205" s="15" t="str">
        <f>VLOOKUP(A205, Currency!$A$2:$B$100, 2, FALSE)</f>
        <v>USD</v>
      </c>
      <c r="F205" s="15">
        <f ca="1">IFERROR(__xludf.DUMMYFUNCTION("IF(E205=""USD"",B205,B205 * GOOGLEFINANCE(""CURRENCY:"" &amp; E205 &amp; ""USD""))
"),14000000)</f>
        <v>14000000</v>
      </c>
      <c r="G205" s="16">
        <f ca="1">IFERROR(__xludf.DUMMYFUNCTION("IF(E205=""USD"",C205,C205 * GOOGLEFINANCE(""CURRENCY:"" &amp; E205 &amp; ""USD""))
"),61356221)</f>
        <v>61356221</v>
      </c>
    </row>
    <row r="206" spans="1:7" ht="15.75" customHeight="1" x14ac:dyDescent="0.25">
      <c r="A206" s="11" t="s">
        <v>24</v>
      </c>
      <c r="B206" s="12">
        <v>160000000</v>
      </c>
      <c r="C206" s="12">
        <v>60655503</v>
      </c>
      <c r="D206" s="12">
        <v>2006</v>
      </c>
      <c r="E206" s="12" t="str">
        <f>VLOOKUP(A206, Currency!$A$2:$B$100, 2, FALSE)</f>
        <v>USD</v>
      </c>
      <c r="F206" s="12">
        <f ca="1">IFERROR(__xludf.DUMMYFUNCTION("IF(E206=""USD"",B206,B206 * GOOGLEFINANCE(""CURRENCY:"" &amp; E206 &amp; ""USD""))
"),160000000)</f>
        <v>160000000</v>
      </c>
      <c r="G206" s="13">
        <f ca="1">IFERROR(__xludf.DUMMYFUNCTION("IF(E206=""USD"",C206,C206 * GOOGLEFINANCE(""CURRENCY:"" &amp; E206 &amp; ""USD""))
"),60655503)</f>
        <v>60655503</v>
      </c>
    </row>
    <row r="207" spans="1:7" ht="15.75" customHeight="1" x14ac:dyDescent="0.25">
      <c r="A207" s="14" t="s">
        <v>24</v>
      </c>
      <c r="B207" s="15">
        <v>80000000</v>
      </c>
      <c r="C207" s="15">
        <v>19673424</v>
      </c>
      <c r="D207" s="15">
        <v>2009</v>
      </c>
      <c r="E207" s="15" t="str">
        <f>VLOOKUP(A207, Currency!$A$2:$B$100, 2, FALSE)</f>
        <v>USD</v>
      </c>
      <c r="F207" s="15">
        <f ca="1">IFERROR(__xludf.DUMMYFUNCTION("IF(E207=""USD"",B207,B207 * GOOGLEFINANCE(""CURRENCY:"" &amp; E207 &amp; ""USD""))
"),80000000)</f>
        <v>80000000</v>
      </c>
      <c r="G207" s="16">
        <f ca="1">IFERROR(__xludf.DUMMYFUNCTION("IF(E207=""USD"",C207,C207 * GOOGLEFINANCE(""CURRENCY:"" &amp; E207 &amp; ""USD""))
"),19673424)</f>
        <v>19673424</v>
      </c>
    </row>
    <row r="208" spans="1:7" ht="15.75" customHeight="1" x14ac:dyDescent="0.25">
      <c r="A208" s="11" t="s">
        <v>24</v>
      </c>
      <c r="B208" s="12">
        <v>4000000</v>
      </c>
      <c r="C208" s="12">
        <v>44566004</v>
      </c>
      <c r="D208" s="12">
        <v>2003</v>
      </c>
      <c r="E208" s="12" t="str">
        <f>VLOOKUP(A208, Currency!$A$2:$B$100, 2, FALSE)</f>
        <v>USD</v>
      </c>
      <c r="F208" s="12">
        <f ca="1">IFERROR(__xludf.DUMMYFUNCTION("IF(E208=""USD"",B208,B208 * GOOGLEFINANCE(""CURRENCY:"" &amp; E208 &amp; ""USD""))
"),4000000)</f>
        <v>4000000</v>
      </c>
      <c r="G208" s="13">
        <f ca="1">IFERROR(__xludf.DUMMYFUNCTION("IF(E208=""USD"",C208,C208 * GOOGLEFINANCE(""CURRENCY:"" &amp; E208 &amp; ""USD""))
"),44566004)</f>
        <v>44566004</v>
      </c>
    </row>
    <row r="209" spans="1:7" ht="15.75" customHeight="1" x14ac:dyDescent="0.25">
      <c r="A209" s="14" t="s">
        <v>24</v>
      </c>
      <c r="B209" s="15">
        <v>71500000</v>
      </c>
      <c r="C209" s="15">
        <v>144156464</v>
      </c>
      <c r="D209" s="15">
        <v>1998</v>
      </c>
      <c r="E209" s="15" t="str">
        <f>VLOOKUP(A209, Currency!$A$2:$B$100, 2, FALSE)</f>
        <v>USD</v>
      </c>
      <c r="F209" s="15">
        <f ca="1">IFERROR(__xludf.DUMMYFUNCTION("IF(E209=""USD"",B209,B209 * GOOGLEFINANCE(""CURRENCY:"" &amp; E209 &amp; ""USD""))
"),71500000)</f>
        <v>71500000</v>
      </c>
      <c r="G209" s="16">
        <f ca="1">IFERROR(__xludf.DUMMYFUNCTION("IF(E209=""USD"",C209,C209 * GOOGLEFINANCE(""CURRENCY:"" &amp; E209 &amp; ""USD""))
"),144156464)</f>
        <v>144156464</v>
      </c>
    </row>
    <row r="210" spans="1:7" ht="15.75" customHeight="1" x14ac:dyDescent="0.25">
      <c r="A210" s="11" t="s">
        <v>24</v>
      </c>
      <c r="B210" s="12">
        <v>50000000</v>
      </c>
      <c r="C210" s="12">
        <v>26442251</v>
      </c>
      <c r="D210" s="12">
        <v>2015</v>
      </c>
      <c r="E210" s="12" t="str">
        <f>VLOOKUP(A210, Currency!$A$2:$B$100, 2, FALSE)</f>
        <v>USD</v>
      </c>
      <c r="F210" s="12">
        <f ca="1">IFERROR(__xludf.DUMMYFUNCTION("IF(E210=""USD"",B210,B210 * GOOGLEFINANCE(""CURRENCY:"" &amp; E210 &amp; ""USD""))
"),50000000)</f>
        <v>50000000</v>
      </c>
      <c r="G210" s="13">
        <f ca="1">IFERROR(__xludf.DUMMYFUNCTION("IF(E210=""USD"",C210,C210 * GOOGLEFINANCE(""CURRENCY:"" &amp; E210 &amp; ""USD""))
"),26442251)</f>
        <v>26442251</v>
      </c>
    </row>
    <row r="211" spans="1:7" ht="15.75" customHeight="1" x14ac:dyDescent="0.25">
      <c r="A211" s="14" t="s">
        <v>24</v>
      </c>
      <c r="B211" s="15">
        <v>30000000</v>
      </c>
      <c r="C211" s="15">
        <v>60033780</v>
      </c>
      <c r="D211" s="15">
        <v>1998</v>
      </c>
      <c r="E211" s="15" t="str">
        <f>VLOOKUP(A211, Currency!$A$2:$B$100, 2, FALSE)</f>
        <v>USD</v>
      </c>
      <c r="F211" s="15">
        <f ca="1">IFERROR(__xludf.DUMMYFUNCTION("IF(E211=""USD"",B211,B211 * GOOGLEFINANCE(""CURRENCY:"" &amp; E211 &amp; ""USD""))
"),30000000)</f>
        <v>30000000</v>
      </c>
      <c r="G211" s="16">
        <f ca="1">IFERROR(__xludf.DUMMYFUNCTION("IF(E211=""USD"",C211,C211 * GOOGLEFINANCE(""CURRENCY:"" &amp; E211 &amp; ""USD""))
"),60033780)</f>
        <v>60033780</v>
      </c>
    </row>
    <row r="212" spans="1:7" ht="15.75" customHeight="1" x14ac:dyDescent="0.25">
      <c r="A212" s="11" t="s">
        <v>149</v>
      </c>
      <c r="B212" s="12">
        <v>21150000</v>
      </c>
      <c r="C212" s="12">
        <v>25590119</v>
      </c>
      <c r="D212" s="12">
        <v>2001</v>
      </c>
      <c r="E212" s="12" t="str">
        <f>VLOOKUP(A212, Currency!$A$2:$B$100, 2, FALSE)</f>
        <v>AUD</v>
      </c>
      <c r="F212" s="12">
        <f ca="1">IFERROR(__xludf.DUMMYFUNCTION("IF(E212=""USD"",B212,B212 * GOOGLEFINANCE(""CURRENCY:"" &amp; E212 &amp; ""USD""))
"),13829562)</f>
        <v>13829562</v>
      </c>
      <c r="G212" s="13">
        <f ca="1">IFERROR(__xludf.DUMMYFUNCTION("IF(E212=""USD"",C212,C212 * GOOGLEFINANCE(""CURRENCY:"" &amp; E212 &amp; ""USD""))
"),16732867.01172)</f>
        <v>16732867.01172</v>
      </c>
    </row>
    <row r="213" spans="1:7" ht="15.75" customHeight="1" x14ac:dyDescent="0.25">
      <c r="A213" s="14" t="s">
        <v>24</v>
      </c>
      <c r="B213" s="15">
        <v>50000000</v>
      </c>
      <c r="C213" s="15">
        <v>58297830</v>
      </c>
      <c r="D213" s="15">
        <v>1997</v>
      </c>
      <c r="E213" s="15" t="str">
        <f>VLOOKUP(A213, Currency!$A$2:$B$100, 2, FALSE)</f>
        <v>USD</v>
      </c>
      <c r="F213" s="15">
        <f ca="1">IFERROR(__xludf.DUMMYFUNCTION("IF(E213=""USD"",B213,B213 * GOOGLEFINANCE(""CURRENCY:"" &amp; E213 &amp; ""USD""))
"),50000000)</f>
        <v>50000000</v>
      </c>
      <c r="G213" s="16">
        <f ca="1">IFERROR(__xludf.DUMMYFUNCTION("IF(E213=""USD"",C213,C213 * GOOGLEFINANCE(""CURRENCY:"" &amp; E213 &amp; ""USD""))
"),58297830)</f>
        <v>58297830</v>
      </c>
    </row>
    <row r="214" spans="1:7" ht="15.75" customHeight="1" x14ac:dyDescent="0.25">
      <c r="A214" s="11" t="s">
        <v>24</v>
      </c>
      <c r="B214" s="12">
        <v>2500000</v>
      </c>
      <c r="C214" s="12">
        <v>15935068</v>
      </c>
      <c r="D214" s="12">
        <v>1993</v>
      </c>
      <c r="E214" s="12" t="str">
        <f>VLOOKUP(A214, Currency!$A$2:$B$100, 2, FALSE)</f>
        <v>USD</v>
      </c>
      <c r="F214" s="12">
        <f ca="1">IFERROR(__xludf.DUMMYFUNCTION("IF(E214=""USD"",B214,B214 * GOOGLEFINANCE(""CURRENCY:"" &amp; E214 &amp; ""USD""))
"),2500000)</f>
        <v>2500000</v>
      </c>
      <c r="G214" s="13">
        <f ca="1">IFERROR(__xludf.DUMMYFUNCTION("IF(E214=""USD"",C214,C214 * GOOGLEFINANCE(""CURRENCY:"" &amp; E214 &amp; ""USD""))
"),15935068)</f>
        <v>15935068</v>
      </c>
    </row>
    <row r="215" spans="1:7" ht="15.75" customHeight="1" x14ac:dyDescent="0.25">
      <c r="A215" s="14" t="s">
        <v>24</v>
      </c>
      <c r="B215" s="15">
        <v>15000000</v>
      </c>
      <c r="C215" s="15">
        <v>42919096</v>
      </c>
      <c r="D215" s="15">
        <v>2013</v>
      </c>
      <c r="E215" s="15" t="str">
        <f>VLOOKUP(A215, Currency!$A$2:$B$100, 2, FALSE)</f>
        <v>USD</v>
      </c>
      <c r="F215" s="15">
        <f ca="1">IFERROR(__xludf.DUMMYFUNCTION("IF(E215=""USD"",B215,B215 * GOOGLEFINANCE(""CURRENCY:"" &amp; E215 &amp; ""USD""))
"),15000000)</f>
        <v>15000000</v>
      </c>
      <c r="G215" s="16">
        <f ca="1">IFERROR(__xludf.DUMMYFUNCTION("IF(E215=""USD"",C215,C215 * GOOGLEFINANCE(""CURRENCY:"" &amp; E215 &amp; ""USD""))
"),42919096)</f>
        <v>42919096</v>
      </c>
    </row>
    <row r="216" spans="1:7" ht="15.75" customHeight="1" x14ac:dyDescent="0.25">
      <c r="A216" s="11" t="s">
        <v>24</v>
      </c>
      <c r="B216" s="12">
        <v>63000000</v>
      </c>
      <c r="C216" s="12">
        <v>70236496</v>
      </c>
      <c r="D216" s="12">
        <v>2006</v>
      </c>
      <c r="E216" s="12" t="str">
        <f>VLOOKUP(A216, Currency!$A$2:$B$100, 2, FALSE)</f>
        <v>USD</v>
      </c>
      <c r="F216" s="12">
        <f ca="1">IFERROR(__xludf.DUMMYFUNCTION("IF(E216=""USD"",B216,B216 * GOOGLEFINANCE(""CURRENCY:"" &amp; E216 &amp; ""USD""))
"),63000000)</f>
        <v>63000000</v>
      </c>
      <c r="G216" s="13">
        <f ca="1">IFERROR(__xludf.DUMMYFUNCTION("IF(E216=""USD"",C216,C216 * GOOGLEFINANCE(""CURRENCY:"" &amp; E216 &amp; ""USD""))
"),70236496)</f>
        <v>70236496</v>
      </c>
    </row>
    <row r="217" spans="1:7" ht="15.75" customHeight="1" x14ac:dyDescent="0.25">
      <c r="A217" s="14" t="s">
        <v>24</v>
      </c>
      <c r="B217" s="15">
        <v>50000000</v>
      </c>
      <c r="C217" s="15">
        <v>84244877</v>
      </c>
      <c r="D217" s="15">
        <v>2011</v>
      </c>
      <c r="E217" s="15" t="str">
        <f>VLOOKUP(A217, Currency!$A$2:$B$100, 2, FALSE)</f>
        <v>USD</v>
      </c>
      <c r="F217" s="15">
        <f ca="1">IFERROR(__xludf.DUMMYFUNCTION("IF(E217=""USD"",B217,B217 * GOOGLEFINANCE(""CURRENCY:"" &amp; E217 &amp; ""USD""))
"),50000000)</f>
        <v>50000000</v>
      </c>
      <c r="G217" s="16">
        <f ca="1">IFERROR(__xludf.DUMMYFUNCTION("IF(E217=""USD"",C217,C217 * GOOGLEFINANCE(""CURRENCY:"" &amp; E217 &amp; ""USD""))
"),84244877)</f>
        <v>84244877</v>
      </c>
    </row>
    <row r="218" spans="1:7" ht="15.75" customHeight="1" x14ac:dyDescent="0.25">
      <c r="A218" s="11" t="s">
        <v>24</v>
      </c>
      <c r="B218" s="12">
        <v>13500000</v>
      </c>
      <c r="C218" s="12">
        <v>186354</v>
      </c>
      <c r="D218" s="12">
        <v>2015</v>
      </c>
      <c r="E218" s="12" t="str">
        <f>VLOOKUP(A218, Currency!$A$2:$B$100, 2, FALSE)</f>
        <v>USD</v>
      </c>
      <c r="F218" s="12">
        <f ca="1">IFERROR(__xludf.DUMMYFUNCTION("IF(E218=""USD"",B218,B218 * GOOGLEFINANCE(""CURRENCY:"" &amp; E218 &amp; ""USD""))
"),13500000)</f>
        <v>13500000</v>
      </c>
      <c r="G218" s="13">
        <f ca="1">IFERROR(__xludf.DUMMYFUNCTION("IF(E218=""USD"",C218,C218 * GOOGLEFINANCE(""CURRENCY:"" &amp; E218 &amp; ""USD""))
"),186354)</f>
        <v>186354</v>
      </c>
    </row>
    <row r="219" spans="1:7" ht="15.75" customHeight="1" x14ac:dyDescent="0.25">
      <c r="A219" s="14" t="s">
        <v>24</v>
      </c>
      <c r="B219" s="15">
        <v>40000000</v>
      </c>
      <c r="C219" s="15">
        <v>19118247</v>
      </c>
      <c r="D219" s="15">
        <v>2005</v>
      </c>
      <c r="E219" s="15" t="str">
        <f>VLOOKUP(A219, Currency!$A$2:$B$100, 2, FALSE)</f>
        <v>USD</v>
      </c>
      <c r="F219" s="15">
        <f ca="1">IFERROR(__xludf.DUMMYFUNCTION("IF(E219=""USD"",B219,B219 * GOOGLEFINANCE(""CURRENCY:"" &amp; E219 &amp; ""USD""))
"),40000000)</f>
        <v>40000000</v>
      </c>
      <c r="G219" s="16">
        <f ca="1">IFERROR(__xludf.DUMMYFUNCTION("IF(E219=""USD"",C219,C219 * GOOGLEFINANCE(""CURRENCY:"" &amp; E219 &amp; ""USD""))
"),19118247)</f>
        <v>19118247</v>
      </c>
    </row>
    <row r="220" spans="1:7" ht="15.75" customHeight="1" x14ac:dyDescent="0.25">
      <c r="A220" s="11" t="s">
        <v>24</v>
      </c>
      <c r="B220" s="12">
        <v>110000000</v>
      </c>
      <c r="C220" s="12">
        <v>85463309</v>
      </c>
      <c r="D220" s="12">
        <v>2011</v>
      </c>
      <c r="E220" s="12" t="str">
        <f>VLOOKUP(A220, Currency!$A$2:$B$100, 2, FALSE)</f>
        <v>USD</v>
      </c>
      <c r="F220" s="12">
        <f ca="1">IFERROR(__xludf.DUMMYFUNCTION("IF(E220=""USD"",B220,B220 * GOOGLEFINANCE(""CURRENCY:"" &amp; E220 &amp; ""USD""))
"),110000000)</f>
        <v>110000000</v>
      </c>
      <c r="G220" s="13">
        <f ca="1">IFERROR(__xludf.DUMMYFUNCTION("IF(E220=""USD"",C220,C220 * GOOGLEFINANCE(""CURRENCY:"" &amp; E220 &amp; ""USD""))
"),85463309)</f>
        <v>85463309</v>
      </c>
    </row>
    <row r="221" spans="1:7" ht="15.75" customHeight="1" x14ac:dyDescent="0.25">
      <c r="A221" s="14" t="s">
        <v>24</v>
      </c>
      <c r="B221" s="15">
        <v>600000</v>
      </c>
      <c r="C221" s="15">
        <v>171988</v>
      </c>
      <c r="D221" s="15">
        <v>2000</v>
      </c>
      <c r="E221" s="15" t="str">
        <f>VLOOKUP(A221, Currency!$A$2:$B$100, 2, FALSE)</f>
        <v>USD</v>
      </c>
      <c r="F221" s="15">
        <f ca="1">IFERROR(__xludf.DUMMYFUNCTION("IF(E221=""USD"",B221,B221 * GOOGLEFINANCE(""CURRENCY:"" &amp; E221 &amp; ""USD""))
"),600000)</f>
        <v>600000</v>
      </c>
      <c r="G221" s="16">
        <f ca="1">IFERROR(__xludf.DUMMYFUNCTION("IF(E221=""USD"",C221,C221 * GOOGLEFINANCE(""CURRENCY:"" &amp; E221 &amp; ""USD""))
"),171988)</f>
        <v>171988</v>
      </c>
    </row>
    <row r="222" spans="1:7" ht="15.75" customHeight="1" x14ac:dyDescent="0.25">
      <c r="A222" s="11" t="s">
        <v>24</v>
      </c>
      <c r="B222" s="12">
        <v>16000000</v>
      </c>
      <c r="C222" s="12">
        <v>37882551</v>
      </c>
      <c r="D222" s="12">
        <v>2001</v>
      </c>
      <c r="E222" s="12" t="str">
        <f>VLOOKUP(A222, Currency!$A$2:$B$100, 2, FALSE)</f>
        <v>USD</v>
      </c>
      <c r="F222" s="12">
        <f ca="1">IFERROR(__xludf.DUMMYFUNCTION("IF(E222=""USD"",B222,B222 * GOOGLEFINANCE(""CURRENCY:"" &amp; E222 &amp; ""USD""))
"),16000000)</f>
        <v>16000000</v>
      </c>
      <c r="G222" s="13">
        <f ca="1">IFERROR(__xludf.DUMMYFUNCTION("IF(E222=""USD"",C222,C222 * GOOGLEFINANCE(""CURRENCY:"" &amp; E222 &amp; ""USD""))
"),37882551)</f>
        <v>37882551</v>
      </c>
    </row>
    <row r="223" spans="1:7" ht="15.75" customHeight="1" x14ac:dyDescent="0.25">
      <c r="A223" s="14" t="s">
        <v>24</v>
      </c>
      <c r="B223" s="15">
        <v>95000000</v>
      </c>
      <c r="C223" s="15">
        <v>102678089</v>
      </c>
      <c r="D223" s="15">
        <v>1999</v>
      </c>
      <c r="E223" s="15" t="str">
        <f>VLOOKUP(A223, Currency!$A$2:$B$100, 2, FALSE)</f>
        <v>USD</v>
      </c>
      <c r="F223" s="15">
        <f ca="1">IFERROR(__xludf.DUMMYFUNCTION("IF(E223=""USD"",B223,B223 * GOOGLEFINANCE(""CURRENCY:"" &amp; E223 &amp; ""USD""))
"),95000000)</f>
        <v>95000000</v>
      </c>
      <c r="G223" s="16">
        <f ca="1">IFERROR(__xludf.DUMMYFUNCTION("IF(E223=""USD"",C223,C223 * GOOGLEFINANCE(""CURRENCY:"" &amp; E223 &amp; ""USD""))
"),102678089)</f>
        <v>102678089</v>
      </c>
    </row>
    <row r="224" spans="1:7" ht="15.75" customHeight="1" x14ac:dyDescent="0.25">
      <c r="A224" s="11" t="s">
        <v>24</v>
      </c>
      <c r="B224" s="12">
        <v>25000000</v>
      </c>
      <c r="C224" s="12">
        <v>38230435</v>
      </c>
      <c r="D224" s="12">
        <v>2002</v>
      </c>
      <c r="E224" s="12" t="str">
        <f>VLOOKUP(A224, Currency!$A$2:$B$100, 2, FALSE)</f>
        <v>USD</v>
      </c>
      <c r="F224" s="12">
        <f ca="1">IFERROR(__xludf.DUMMYFUNCTION("IF(E224=""USD"",B224,B224 * GOOGLEFINANCE(""CURRENCY:"" &amp; E224 &amp; ""USD""))
"),25000000)</f>
        <v>25000000</v>
      </c>
      <c r="G224" s="13">
        <f ca="1">IFERROR(__xludf.DUMMYFUNCTION("IF(E224=""USD"",C224,C224 * GOOGLEFINANCE(""CURRENCY:"" &amp; E224 &amp; ""USD""))
"),38230435)</f>
        <v>38230435</v>
      </c>
    </row>
    <row r="225" spans="1:7" ht="15.75" customHeight="1" x14ac:dyDescent="0.25">
      <c r="A225" s="14" t="s">
        <v>24</v>
      </c>
      <c r="B225" s="15">
        <v>500000</v>
      </c>
      <c r="C225" s="15">
        <v>12055</v>
      </c>
      <c r="D225" s="15">
        <v>2007</v>
      </c>
      <c r="E225" s="15" t="str">
        <f>VLOOKUP(A225, Currency!$A$2:$B$100, 2, FALSE)</f>
        <v>USD</v>
      </c>
      <c r="F225" s="15">
        <f ca="1">IFERROR(__xludf.DUMMYFUNCTION("IF(E225=""USD"",B225,B225 * GOOGLEFINANCE(""CURRENCY:"" &amp; E225 &amp; ""USD""))
"),500000)</f>
        <v>500000</v>
      </c>
      <c r="G225" s="16">
        <f ca="1">IFERROR(__xludf.DUMMYFUNCTION("IF(E225=""USD"",C225,C225 * GOOGLEFINANCE(""CURRENCY:"" &amp; E225 &amp; ""USD""))
"),12055)</f>
        <v>12055</v>
      </c>
    </row>
    <row r="226" spans="1:7" ht="15.75" customHeight="1" x14ac:dyDescent="0.25">
      <c r="A226" s="11" t="s">
        <v>1005</v>
      </c>
      <c r="B226" s="12">
        <v>207000000</v>
      </c>
      <c r="C226" s="12">
        <v>218051260</v>
      </c>
      <c r="D226" s="12">
        <v>2005</v>
      </c>
      <c r="E226" s="12" t="str">
        <f>VLOOKUP(A226, Currency!$A$2:$B$100, 2, FALSE)</f>
        <v>NZD</v>
      </c>
      <c r="F226" s="12">
        <f ca="1">IFERROR(__xludf.DUMMYFUNCTION("IF(E226=""USD"",B226,B226 * GOOGLEFINANCE(""CURRENCY:"" &amp; E226 &amp; ""USD""))
"),121870214.999999)</f>
        <v>121870214.999999</v>
      </c>
      <c r="G226" s="13">
        <f ca="1">IFERROR(__xludf.DUMMYFUNCTION("IF(E226=""USD"",C226,C226 * GOOGLEFINANCE(""CURRENCY:"" &amp; E226 &amp; ""USD""))
"),128376589.068699)</f>
        <v>128376589.068699</v>
      </c>
    </row>
    <row r="227" spans="1:7" ht="15.75" customHeight="1" x14ac:dyDescent="0.25">
      <c r="A227" s="14" t="s">
        <v>24</v>
      </c>
      <c r="B227" s="15">
        <v>65000</v>
      </c>
      <c r="C227" s="15">
        <v>11529368</v>
      </c>
      <c r="D227" s="15">
        <v>2004</v>
      </c>
      <c r="E227" s="15" t="str">
        <f>VLOOKUP(A227, Currency!$A$2:$B$100, 2, FALSE)</f>
        <v>USD</v>
      </c>
      <c r="F227" s="15">
        <f ca="1">IFERROR(__xludf.DUMMYFUNCTION("IF(E227=""USD"",B227,B227 * GOOGLEFINANCE(""CURRENCY:"" &amp; E227 &amp; ""USD""))
"),65000)</f>
        <v>65000</v>
      </c>
      <c r="G227" s="16">
        <f ca="1">IFERROR(__xludf.DUMMYFUNCTION("IF(E227=""USD"",C227,C227 * GOOGLEFINANCE(""CURRENCY:"" &amp; E227 &amp; ""USD""))
"),11529368)</f>
        <v>11529368</v>
      </c>
    </row>
    <row r="228" spans="1:7" ht="15.75" customHeight="1" x14ac:dyDescent="0.25">
      <c r="A228" s="11" t="s">
        <v>24</v>
      </c>
      <c r="B228" s="12">
        <v>5000000</v>
      </c>
      <c r="C228" s="12">
        <v>19281235</v>
      </c>
      <c r="D228" s="12">
        <v>1991</v>
      </c>
      <c r="E228" s="12" t="str">
        <f>VLOOKUP(A228, Currency!$A$2:$B$100, 2, FALSE)</f>
        <v>USD</v>
      </c>
      <c r="F228" s="12">
        <f ca="1">IFERROR(__xludf.DUMMYFUNCTION("IF(E228=""USD"",B228,B228 * GOOGLEFINANCE(""CURRENCY:"" &amp; E228 &amp; ""USD""))
"),5000000)</f>
        <v>5000000</v>
      </c>
      <c r="G228" s="13">
        <f ca="1">IFERROR(__xludf.DUMMYFUNCTION("IF(E228=""USD"",C228,C228 * GOOGLEFINANCE(""CURRENCY:"" &amp; E228 &amp; ""USD""))
"),19281235)</f>
        <v>19281235</v>
      </c>
    </row>
    <row r="229" spans="1:7" ht="15.75" customHeight="1" x14ac:dyDescent="0.25">
      <c r="A229" s="14" t="s">
        <v>24</v>
      </c>
      <c r="B229" s="15">
        <v>50000000</v>
      </c>
      <c r="C229" s="15">
        <v>10556196</v>
      </c>
      <c r="D229" s="15">
        <v>1997</v>
      </c>
      <c r="E229" s="15" t="str">
        <f>VLOOKUP(A229, Currency!$A$2:$B$100, 2, FALSE)</f>
        <v>USD</v>
      </c>
      <c r="F229" s="15">
        <f ca="1">IFERROR(__xludf.DUMMYFUNCTION("IF(E229=""USD"",B229,B229 * GOOGLEFINANCE(""CURRENCY:"" &amp; E229 &amp; ""USD""))
"),50000000)</f>
        <v>50000000</v>
      </c>
      <c r="G229" s="16">
        <f ca="1">IFERROR(__xludf.DUMMYFUNCTION("IF(E229=""USD"",C229,C229 * GOOGLEFINANCE(""CURRENCY:"" &amp; E229 &amp; ""USD""))
"),10556196)</f>
        <v>10556196</v>
      </c>
    </row>
    <row r="230" spans="1:7" ht="15.75" customHeight="1" x14ac:dyDescent="0.25">
      <c r="A230" s="11" t="s">
        <v>24</v>
      </c>
      <c r="B230" s="12">
        <v>12000000</v>
      </c>
      <c r="C230" s="12">
        <v>31691811</v>
      </c>
      <c r="D230" s="12">
        <v>2008</v>
      </c>
      <c r="E230" s="12" t="str">
        <f>VLOOKUP(A230, Currency!$A$2:$B$100, 2, FALSE)</f>
        <v>USD</v>
      </c>
      <c r="F230" s="12">
        <f ca="1">IFERROR(__xludf.DUMMYFUNCTION("IF(E230=""USD"",B230,B230 * GOOGLEFINANCE(""CURRENCY:"" &amp; E230 &amp; ""USD""))
"),12000000)</f>
        <v>12000000</v>
      </c>
      <c r="G230" s="13">
        <f ca="1">IFERROR(__xludf.DUMMYFUNCTION("IF(E230=""USD"",C230,C230 * GOOGLEFINANCE(""CURRENCY:"" &amp; E230 &amp; ""USD""))
"),31691811)</f>
        <v>31691811</v>
      </c>
    </row>
    <row r="231" spans="1:7" ht="15.75" customHeight="1" x14ac:dyDescent="0.25">
      <c r="A231" s="14" t="s">
        <v>133</v>
      </c>
      <c r="B231" s="15">
        <v>250000000</v>
      </c>
      <c r="C231" s="15">
        <v>301956980</v>
      </c>
      <c r="D231" s="15">
        <v>2009</v>
      </c>
      <c r="E231" s="15" t="str">
        <f>VLOOKUP(A231, Currency!$A$2:$B$100, 2, FALSE)</f>
        <v>GBP</v>
      </c>
      <c r="F231" s="15">
        <f ca="1">IFERROR(__xludf.DUMMYFUNCTION("IF(E231=""USD"",B231,B231 * GOOGLEFINANCE(""CURRENCY:"" &amp; E231 &amp; ""USD""))
"),321349999.999999)</f>
        <v>321349999.99999899</v>
      </c>
      <c r="G231" s="16">
        <f ca="1">IFERROR(__xludf.DUMMYFUNCTION("IF(E231=""USD"",C231,C231 * GOOGLEFINANCE(""CURRENCY:"" &amp; E231 &amp; ""USD""))
"),388135502.091999)</f>
        <v>388135502.09199899</v>
      </c>
    </row>
    <row r="232" spans="1:7" ht="15.75" customHeight="1" x14ac:dyDescent="0.25">
      <c r="A232" s="11" t="s">
        <v>24</v>
      </c>
      <c r="B232" s="12">
        <v>60000000</v>
      </c>
      <c r="C232" s="12">
        <v>114195633</v>
      </c>
      <c r="D232" s="12">
        <v>2004</v>
      </c>
      <c r="E232" s="12" t="str">
        <f>VLOOKUP(A232, Currency!$A$2:$B$100, 2, FALSE)</f>
        <v>USD</v>
      </c>
      <c r="F232" s="12">
        <f ca="1">IFERROR(__xludf.DUMMYFUNCTION("IF(E232=""USD"",B232,B232 * GOOGLEFINANCE(""CURRENCY:"" &amp; E232 &amp; ""USD""))
"),60000000)</f>
        <v>60000000</v>
      </c>
      <c r="G232" s="13">
        <f ca="1">IFERROR(__xludf.DUMMYFUNCTION("IF(E232=""USD"",C232,C232 * GOOGLEFINANCE(""CURRENCY:"" &amp; E232 &amp; ""USD""))
"),114195633)</f>
        <v>114195633</v>
      </c>
    </row>
    <row r="233" spans="1:7" ht="15.75" customHeight="1" x14ac:dyDescent="0.25">
      <c r="A233" s="14" t="s">
        <v>24</v>
      </c>
      <c r="B233" s="15">
        <v>94000000</v>
      </c>
      <c r="C233" s="15">
        <v>340478898</v>
      </c>
      <c r="D233" s="15">
        <v>2002</v>
      </c>
      <c r="E233" s="15" t="str">
        <f>VLOOKUP(A233, Currency!$A$2:$B$100, 2, FALSE)</f>
        <v>USD</v>
      </c>
      <c r="F233" s="15">
        <f ca="1">IFERROR(__xludf.DUMMYFUNCTION("IF(E233=""USD"",B233,B233 * GOOGLEFINANCE(""CURRENCY:"" &amp; E233 &amp; ""USD""))
"),94000000)</f>
        <v>94000000</v>
      </c>
      <c r="G233" s="16">
        <f ca="1">IFERROR(__xludf.DUMMYFUNCTION("IF(E233=""USD"",C233,C233 * GOOGLEFINANCE(""CURRENCY:"" &amp; E233 &amp; ""USD""))
"),340478898)</f>
        <v>340478898</v>
      </c>
    </row>
    <row r="234" spans="1:7" ht="15.75" customHeight="1" x14ac:dyDescent="0.25">
      <c r="A234" s="11" t="s">
        <v>24</v>
      </c>
      <c r="B234" s="12">
        <v>7000000</v>
      </c>
      <c r="C234" s="12">
        <v>9094451</v>
      </c>
      <c r="D234" s="12">
        <v>1989</v>
      </c>
      <c r="E234" s="12" t="str">
        <f>VLOOKUP(A234, Currency!$A$2:$B$100, 2, FALSE)</f>
        <v>USD</v>
      </c>
      <c r="F234" s="12">
        <f ca="1">IFERROR(__xludf.DUMMYFUNCTION("IF(E234=""USD"",B234,B234 * GOOGLEFINANCE(""CURRENCY:"" &amp; E234 &amp; ""USD""))
"),7000000)</f>
        <v>7000000</v>
      </c>
      <c r="G234" s="13">
        <f ca="1">IFERROR(__xludf.DUMMYFUNCTION("IF(E234=""USD"",C234,C234 * GOOGLEFINANCE(""CURRENCY:"" &amp; E234 &amp; ""USD""))
"),9094451)</f>
        <v>9094451</v>
      </c>
    </row>
    <row r="235" spans="1:7" ht="15.75" customHeight="1" x14ac:dyDescent="0.25">
      <c r="A235" s="14" t="s">
        <v>176</v>
      </c>
      <c r="B235" s="15">
        <v>2700000</v>
      </c>
      <c r="C235" s="15">
        <v>95016</v>
      </c>
      <c r="D235" s="15">
        <v>2004</v>
      </c>
      <c r="E235" s="15" t="str">
        <f>VLOOKUP(A235, Currency!$A$2:$B$100, 2, FALSE)</f>
        <v>EUR</v>
      </c>
      <c r="F235" s="15">
        <f ca="1">IFERROR(__xludf.DUMMYFUNCTION("IF(E235=""USD"",B235,B235 * GOOGLEFINANCE(""CURRENCY:"" &amp; E235 &amp; ""USD""))
"),2928798)</f>
        <v>2928798</v>
      </c>
      <c r="G235" s="16">
        <f ca="1">IFERROR(__xludf.DUMMYFUNCTION("IF(E235=""USD"",C235,C235 * GOOGLEFINANCE(""CURRENCY:"" &amp; E235 &amp; ""USD""))
"),103067.65584)</f>
        <v>103067.65584000001</v>
      </c>
    </row>
    <row r="236" spans="1:7" ht="15.75" customHeight="1" x14ac:dyDescent="0.25">
      <c r="A236" s="11" t="s">
        <v>611</v>
      </c>
      <c r="B236" s="12">
        <v>47000000</v>
      </c>
      <c r="C236" s="12">
        <v>6167817</v>
      </c>
      <c r="D236" s="12">
        <v>2004</v>
      </c>
      <c r="E236" s="12" t="str">
        <f>VLOOKUP(A236, Currency!$A$2:$B$100, 2, FALSE)</f>
        <v>EUR</v>
      </c>
      <c r="F236" s="12">
        <f ca="1">IFERROR(__xludf.DUMMYFUNCTION("IF(E236=""USD"",B236,B236 * GOOGLEFINANCE(""CURRENCY:"" &amp; E236 &amp; ""USD""))
"),50982780)</f>
        <v>50982780</v>
      </c>
      <c r="G236" s="13">
        <f ca="1">IFERROR(__xludf.DUMMYFUNCTION("IF(E236=""USD"",C236,C236 * GOOGLEFINANCE(""CURRENCY:"" &amp; E236 &amp; ""USD""))
"),6690477.81258)</f>
        <v>6690477.8125799997</v>
      </c>
    </row>
    <row r="237" spans="1:7" ht="15.75" customHeight="1" x14ac:dyDescent="0.25">
      <c r="A237" s="14" t="s">
        <v>24</v>
      </c>
      <c r="B237" s="15">
        <v>13000000</v>
      </c>
      <c r="C237" s="15">
        <v>51697449</v>
      </c>
      <c r="D237" s="15">
        <v>2009</v>
      </c>
      <c r="E237" s="15" t="str">
        <f>VLOOKUP(A237, Currency!$A$2:$B$100, 2, FALSE)</f>
        <v>USD</v>
      </c>
      <c r="F237" s="15">
        <f ca="1">IFERROR(__xludf.DUMMYFUNCTION("IF(E237=""USD"",B237,B237 * GOOGLEFINANCE(""CURRENCY:"" &amp; E237 &amp; ""USD""))
"),13000000)</f>
        <v>13000000</v>
      </c>
      <c r="G237" s="16">
        <f ca="1">IFERROR(__xludf.DUMMYFUNCTION("IF(E237=""USD"",C237,C237 * GOOGLEFINANCE(""CURRENCY:"" &amp; E237 &amp; ""USD""))
"),51697449)</f>
        <v>51697449</v>
      </c>
    </row>
    <row r="238" spans="1:7" ht="15.75" customHeight="1" x14ac:dyDescent="0.25">
      <c r="A238" s="11" t="s">
        <v>24</v>
      </c>
      <c r="B238" s="12">
        <v>8000000</v>
      </c>
      <c r="C238" s="12">
        <v>6350058</v>
      </c>
      <c r="D238" s="12">
        <v>2010</v>
      </c>
      <c r="E238" s="12" t="str">
        <f>VLOOKUP(A238, Currency!$A$2:$B$100, 2, FALSE)</f>
        <v>USD</v>
      </c>
      <c r="F238" s="12">
        <f ca="1">IFERROR(__xludf.DUMMYFUNCTION("IF(E238=""USD"",B238,B238 * GOOGLEFINANCE(""CURRENCY:"" &amp; E238 &amp; ""USD""))
"),8000000)</f>
        <v>8000000</v>
      </c>
      <c r="G238" s="13">
        <f ca="1">IFERROR(__xludf.DUMMYFUNCTION("IF(E238=""USD"",C238,C238 * GOOGLEFINANCE(""CURRENCY:"" &amp; E238 &amp; ""USD""))
"),6350058)</f>
        <v>6350058</v>
      </c>
    </row>
    <row r="239" spans="1:7" ht="15.75" customHeight="1" x14ac:dyDescent="0.25">
      <c r="A239" s="14" t="s">
        <v>133</v>
      </c>
      <c r="B239" s="15">
        <v>13000000</v>
      </c>
      <c r="C239" s="15">
        <v>4919896</v>
      </c>
      <c r="D239" s="15">
        <v>2001</v>
      </c>
      <c r="E239" s="15" t="str">
        <f>VLOOKUP(A239, Currency!$A$2:$B$100, 2, FALSE)</f>
        <v>GBP</v>
      </c>
      <c r="F239" s="15">
        <f ca="1">IFERROR(__xludf.DUMMYFUNCTION("IF(E239=""USD"",B239,B239 * GOOGLEFINANCE(""CURRENCY:"" &amp; E239 &amp; ""USD""))
"),16710199.9999999)</f>
        <v>16710199.999999899</v>
      </c>
      <c r="G239" s="16">
        <f ca="1">IFERROR(__xludf.DUMMYFUNCTION("IF(E239=""USD"",C239,C239 * GOOGLEFINANCE(""CURRENCY:"" &amp; E239 &amp; ""USD""))
"),6324034.31839999)</f>
        <v>6324034.31839999</v>
      </c>
    </row>
    <row r="240" spans="1:7" ht="15.75" customHeight="1" x14ac:dyDescent="0.25">
      <c r="A240" s="11" t="s">
        <v>24</v>
      </c>
      <c r="B240" s="12">
        <v>10000000</v>
      </c>
      <c r="C240" s="12">
        <v>306715</v>
      </c>
      <c r="D240" s="12">
        <v>1998</v>
      </c>
      <c r="E240" s="12" t="str">
        <f>VLOOKUP(A240, Currency!$A$2:$B$100, 2, FALSE)</f>
        <v>USD</v>
      </c>
      <c r="F240" s="12">
        <f ca="1">IFERROR(__xludf.DUMMYFUNCTION("IF(E240=""USD"",B240,B240 * GOOGLEFINANCE(""CURRENCY:"" &amp; E240 &amp; ""USD""))
"),10000000)</f>
        <v>10000000</v>
      </c>
      <c r="G240" s="13">
        <f ca="1">IFERROR(__xludf.DUMMYFUNCTION("IF(E240=""USD"",C240,C240 * GOOGLEFINANCE(""CURRENCY:"" &amp; E240 &amp; ""USD""))
"),306715)</f>
        <v>306715</v>
      </c>
    </row>
    <row r="241" spans="1:7" ht="15.75" customHeight="1" x14ac:dyDescent="0.25">
      <c r="A241" s="14" t="s">
        <v>24</v>
      </c>
      <c r="B241" s="15">
        <v>15000000</v>
      </c>
      <c r="C241" s="15">
        <v>101978840</v>
      </c>
      <c r="D241" s="15">
        <v>2013</v>
      </c>
      <c r="E241" s="15" t="str">
        <f>VLOOKUP(A241, Currency!$A$2:$B$100, 2, FALSE)</f>
        <v>USD</v>
      </c>
      <c r="F241" s="15">
        <f ca="1">IFERROR(__xludf.DUMMYFUNCTION("IF(E241=""USD"",B241,B241 * GOOGLEFINANCE(""CURRENCY:"" &amp; E241 &amp; ""USD""))
"),15000000)</f>
        <v>15000000</v>
      </c>
      <c r="G241" s="16">
        <f ca="1">IFERROR(__xludf.DUMMYFUNCTION("IF(E241=""USD"",C241,C241 * GOOGLEFINANCE(""CURRENCY:"" &amp; E241 &amp; ""USD""))
"),101978840)</f>
        <v>101978840</v>
      </c>
    </row>
    <row r="242" spans="1:7" ht="15.75" customHeight="1" x14ac:dyDescent="0.25">
      <c r="A242" s="11" t="s">
        <v>24</v>
      </c>
      <c r="B242" s="12">
        <v>900000</v>
      </c>
      <c r="C242" s="12">
        <v>6643</v>
      </c>
      <c r="D242" s="12">
        <v>2012</v>
      </c>
      <c r="E242" s="12" t="str">
        <f>VLOOKUP(A242, Currency!$A$2:$B$100, 2, FALSE)</f>
        <v>USD</v>
      </c>
      <c r="F242" s="12">
        <f ca="1">IFERROR(__xludf.DUMMYFUNCTION("IF(E242=""USD"",B242,B242 * GOOGLEFINANCE(""CURRENCY:"" &amp; E242 &amp; ""USD""))
"),900000)</f>
        <v>900000</v>
      </c>
      <c r="G242" s="13">
        <f ca="1">IFERROR(__xludf.DUMMYFUNCTION("IF(E242=""USD"",C242,C242 * GOOGLEFINANCE(""CURRENCY:"" &amp; E242 &amp; ""USD""))
"),6643)</f>
        <v>6643</v>
      </c>
    </row>
    <row r="243" spans="1:7" ht="15.75" customHeight="1" x14ac:dyDescent="0.25">
      <c r="A243" s="14" t="s">
        <v>24</v>
      </c>
      <c r="B243" s="15">
        <v>15000000</v>
      </c>
      <c r="C243" s="15">
        <v>8735529</v>
      </c>
      <c r="D243" s="15">
        <v>2000</v>
      </c>
      <c r="E243" s="15" t="str">
        <f>VLOOKUP(A243, Currency!$A$2:$B$100, 2, FALSE)</f>
        <v>USD</v>
      </c>
      <c r="F243" s="15">
        <f ca="1">IFERROR(__xludf.DUMMYFUNCTION("IF(E243=""USD"",B243,B243 * GOOGLEFINANCE(""CURRENCY:"" &amp; E243 &amp; ""USD""))
"),15000000)</f>
        <v>15000000</v>
      </c>
      <c r="G243" s="16">
        <f ca="1">IFERROR(__xludf.DUMMYFUNCTION("IF(E243=""USD"",C243,C243 * GOOGLEFINANCE(""CURRENCY:"" &amp; E243 &amp; ""USD""))
"),8735529)</f>
        <v>8735529</v>
      </c>
    </row>
    <row r="244" spans="1:7" ht="15.75" customHeight="1" x14ac:dyDescent="0.25">
      <c r="A244" s="11" t="s">
        <v>24</v>
      </c>
      <c r="B244" s="12">
        <v>60000000</v>
      </c>
      <c r="C244" s="12">
        <v>22326247</v>
      </c>
      <c r="D244" s="12">
        <v>1999</v>
      </c>
      <c r="E244" s="12" t="str">
        <f>VLOOKUP(A244, Currency!$A$2:$B$100, 2, FALSE)</f>
        <v>USD</v>
      </c>
      <c r="F244" s="12">
        <f ca="1">IFERROR(__xludf.DUMMYFUNCTION("IF(E244=""USD"",B244,B244 * GOOGLEFINANCE(""CURRENCY:"" &amp; E244 &amp; ""USD""))
"),60000000)</f>
        <v>60000000</v>
      </c>
      <c r="G244" s="13">
        <f ca="1">IFERROR(__xludf.DUMMYFUNCTION("IF(E244=""USD"",C244,C244 * GOOGLEFINANCE(""CURRENCY:"" &amp; E244 &amp; ""USD""))
"),22326247)</f>
        <v>22326247</v>
      </c>
    </row>
    <row r="245" spans="1:7" ht="15.75" customHeight="1" x14ac:dyDescent="0.25">
      <c r="A245" s="14" t="s">
        <v>24</v>
      </c>
      <c r="B245" s="15">
        <v>7000000</v>
      </c>
      <c r="C245" s="15">
        <v>532988</v>
      </c>
      <c r="D245" s="15">
        <v>2015</v>
      </c>
      <c r="E245" s="15" t="str">
        <f>VLOOKUP(A245, Currency!$A$2:$B$100, 2, FALSE)</f>
        <v>USD</v>
      </c>
      <c r="F245" s="15">
        <f ca="1">IFERROR(__xludf.DUMMYFUNCTION("IF(E245=""USD"",B245,B245 * GOOGLEFINANCE(""CURRENCY:"" &amp; E245 &amp; ""USD""))
"),7000000)</f>
        <v>7000000</v>
      </c>
      <c r="G245" s="16">
        <f ca="1">IFERROR(__xludf.DUMMYFUNCTION("IF(E245=""USD"",C245,C245 * GOOGLEFINANCE(""CURRENCY:"" &amp; E245 &amp; ""USD""))
"),532988)</f>
        <v>532988</v>
      </c>
    </row>
    <row r="246" spans="1:7" ht="15.75" customHeight="1" x14ac:dyDescent="0.25">
      <c r="A246" s="11" t="s">
        <v>24</v>
      </c>
      <c r="B246" s="12">
        <v>1000000</v>
      </c>
      <c r="C246" s="12">
        <v>274661</v>
      </c>
      <c r="D246" s="12">
        <v>2007</v>
      </c>
      <c r="E246" s="12" t="str">
        <f>VLOOKUP(A246, Currency!$A$2:$B$100, 2, FALSE)</f>
        <v>USD</v>
      </c>
      <c r="F246" s="12">
        <f ca="1">IFERROR(__xludf.DUMMYFUNCTION("IF(E246=""USD"",B246,B246 * GOOGLEFINANCE(""CURRENCY:"" &amp; E246 &amp; ""USD""))
"),1000000)</f>
        <v>1000000</v>
      </c>
      <c r="G246" s="13">
        <f ca="1">IFERROR(__xludf.DUMMYFUNCTION("IF(E246=""USD"",C246,C246 * GOOGLEFINANCE(""CURRENCY:"" &amp; E246 &amp; ""USD""))
"),274661)</f>
        <v>274661</v>
      </c>
    </row>
    <row r="247" spans="1:7" ht="15.75" customHeight="1" x14ac:dyDescent="0.25">
      <c r="A247" s="14" t="s">
        <v>24</v>
      </c>
      <c r="B247" s="15">
        <v>26000000</v>
      </c>
      <c r="C247" s="15">
        <v>28501651</v>
      </c>
      <c r="D247" s="15">
        <v>2009</v>
      </c>
      <c r="E247" s="15" t="str">
        <f>VLOOKUP(A247, Currency!$A$2:$B$100, 2, FALSE)</f>
        <v>USD</v>
      </c>
      <c r="F247" s="15">
        <f ca="1">IFERROR(__xludf.DUMMYFUNCTION("IF(E247=""USD"",B247,B247 * GOOGLEFINANCE(""CURRENCY:"" &amp; E247 &amp; ""USD""))
"),26000000)</f>
        <v>26000000</v>
      </c>
      <c r="G247" s="16">
        <f ca="1">IFERROR(__xludf.DUMMYFUNCTION("IF(E247=""USD"",C247,C247 * GOOGLEFINANCE(""CURRENCY:"" &amp; E247 &amp; ""USD""))
"),28501651)</f>
        <v>28501651</v>
      </c>
    </row>
    <row r="248" spans="1:7" ht="15.75" customHeight="1" x14ac:dyDescent="0.25">
      <c r="A248" s="11" t="s">
        <v>24</v>
      </c>
      <c r="B248" s="12">
        <v>60000000</v>
      </c>
      <c r="C248" s="12">
        <v>35231365</v>
      </c>
      <c r="D248" s="12">
        <v>2000</v>
      </c>
      <c r="E248" s="12" t="str">
        <f>VLOOKUP(A248, Currency!$A$2:$B$100, 2, FALSE)</f>
        <v>USD</v>
      </c>
      <c r="F248" s="12">
        <f ca="1">IFERROR(__xludf.DUMMYFUNCTION("IF(E248=""USD"",B248,B248 * GOOGLEFINANCE(""CURRENCY:"" &amp; E248 &amp; ""USD""))
"),60000000)</f>
        <v>60000000</v>
      </c>
      <c r="G248" s="13">
        <f ca="1">IFERROR(__xludf.DUMMYFUNCTION("IF(E248=""USD"",C248,C248 * GOOGLEFINANCE(""CURRENCY:"" &amp; E248 &amp; ""USD""))
"),35231365)</f>
        <v>35231365</v>
      </c>
    </row>
    <row r="249" spans="1:7" ht="15.75" customHeight="1" x14ac:dyDescent="0.25">
      <c r="A249" s="14" t="s">
        <v>24</v>
      </c>
      <c r="B249" s="15">
        <v>70000000</v>
      </c>
      <c r="C249" s="15">
        <v>117541000</v>
      </c>
      <c r="D249" s="15">
        <v>1990</v>
      </c>
      <c r="E249" s="15" t="str">
        <f>VLOOKUP(A249, Currency!$A$2:$B$100, 2, FALSE)</f>
        <v>USD</v>
      </c>
      <c r="F249" s="15">
        <f ca="1">IFERROR(__xludf.DUMMYFUNCTION("IF(E249=""USD"",B249,B249 * GOOGLEFINANCE(""CURRENCY:"" &amp; E249 &amp; ""USD""))
"),70000000)</f>
        <v>70000000</v>
      </c>
      <c r="G249" s="16">
        <f ca="1">IFERROR(__xludf.DUMMYFUNCTION("IF(E249=""USD"",C249,C249 * GOOGLEFINANCE(""CURRENCY:"" &amp; E249 &amp; ""USD""))
"),117541000)</f>
        <v>117541000</v>
      </c>
    </row>
    <row r="250" spans="1:7" ht="15.75" customHeight="1" x14ac:dyDescent="0.25">
      <c r="A250" s="11" t="s">
        <v>24</v>
      </c>
      <c r="B250" s="12">
        <v>11000000</v>
      </c>
      <c r="C250" s="12">
        <v>148170000</v>
      </c>
      <c r="D250" s="12">
        <v>1984</v>
      </c>
      <c r="E250" s="12" t="str">
        <f>VLOOKUP(A250, Currency!$A$2:$B$100, 2, FALSE)</f>
        <v>USD</v>
      </c>
      <c r="F250" s="12">
        <f ca="1">IFERROR(__xludf.DUMMYFUNCTION("IF(E250=""USD"",B250,B250 * GOOGLEFINANCE(""CURRENCY:"" &amp; E250 &amp; ""USD""))
"),11000000)</f>
        <v>11000000</v>
      </c>
      <c r="G250" s="13">
        <f ca="1">IFERROR(__xludf.DUMMYFUNCTION("IF(E250=""USD"",C250,C250 * GOOGLEFINANCE(""CURRENCY:"" &amp; E250 &amp; ""USD""))
"),148170000)</f>
        <v>148170000</v>
      </c>
    </row>
    <row r="251" spans="1:7" ht="15.75" customHeight="1" x14ac:dyDescent="0.25">
      <c r="A251" s="14" t="s">
        <v>1111</v>
      </c>
      <c r="B251" s="15">
        <v>11350000</v>
      </c>
      <c r="C251" s="15">
        <v>229311</v>
      </c>
      <c r="D251" s="15">
        <v>1999</v>
      </c>
      <c r="E251" s="15" t="str">
        <f>VLOOKUP(A251, Currency!$A$2:$B$100, 2, FALSE)</f>
        <v>EUR</v>
      </c>
      <c r="F251" s="15">
        <f ca="1">IFERROR(__xludf.DUMMYFUNCTION("IF(E251=""USD"",B251,B251 * GOOGLEFINANCE(""CURRENCY:"" &amp; E251 &amp; ""USD""))
"),12311799)</f>
        <v>12311799</v>
      </c>
      <c r="G251" s="16">
        <f ca="1">IFERROR(__xludf.DUMMYFUNCTION("IF(E251=""USD"",C251,C251 * GOOGLEFINANCE(""CURRENCY:"" &amp; E251 &amp; ""USD""))
"),248742.81414)</f>
        <v>248742.81414</v>
      </c>
    </row>
    <row r="252" spans="1:7" ht="15.75" customHeight="1" x14ac:dyDescent="0.25">
      <c r="A252" s="11" t="s">
        <v>24</v>
      </c>
      <c r="B252" s="12">
        <v>25000000</v>
      </c>
      <c r="C252" s="12">
        <v>16969390</v>
      </c>
      <c r="D252" s="12">
        <v>2013</v>
      </c>
      <c r="E252" s="12" t="str">
        <f>VLOOKUP(A252, Currency!$A$2:$B$100, 2, FALSE)</f>
        <v>USD</v>
      </c>
      <c r="F252" s="12">
        <f ca="1">IFERROR(__xludf.DUMMYFUNCTION("IF(E252=""USD"",B252,B252 * GOOGLEFINANCE(""CURRENCY:"" &amp; E252 &amp; ""USD""))
"),25000000)</f>
        <v>25000000</v>
      </c>
      <c r="G252" s="13">
        <f ca="1">IFERROR(__xludf.DUMMYFUNCTION("IF(E252=""USD"",C252,C252 * GOOGLEFINANCE(""CURRENCY:"" &amp; E252 &amp; ""USD""))
"),16969390)</f>
        <v>16969390</v>
      </c>
    </row>
    <row r="253" spans="1:7" ht="15.75" customHeight="1" x14ac:dyDescent="0.25">
      <c r="A253" s="14" t="s">
        <v>24</v>
      </c>
      <c r="B253" s="15">
        <v>160000000</v>
      </c>
      <c r="C253" s="15">
        <v>48068396</v>
      </c>
      <c r="D253" s="15">
        <v>1997</v>
      </c>
      <c r="E253" s="15" t="str">
        <f>VLOOKUP(A253, Currency!$A$2:$B$100, 2, FALSE)</f>
        <v>USD</v>
      </c>
      <c r="F253" s="15">
        <f ca="1">IFERROR(__xludf.DUMMYFUNCTION("IF(E253=""USD"",B253,B253 * GOOGLEFINANCE(""CURRENCY:"" &amp; E253 &amp; ""USD""))
"),160000000)</f>
        <v>160000000</v>
      </c>
      <c r="G253" s="16">
        <f ca="1">IFERROR(__xludf.DUMMYFUNCTION("IF(E253=""USD"",C253,C253 * GOOGLEFINANCE(""CURRENCY:"" &amp; E253 &amp; ""USD""))
"),48068396)</f>
        <v>48068396</v>
      </c>
    </row>
    <row r="254" spans="1:7" ht="15.75" customHeight="1" x14ac:dyDescent="0.25">
      <c r="A254" s="11" t="s">
        <v>220</v>
      </c>
      <c r="B254" s="12">
        <v>150000000</v>
      </c>
      <c r="C254" s="12">
        <v>195000874</v>
      </c>
      <c r="D254" s="12">
        <v>2015</v>
      </c>
      <c r="E254" s="12" t="str">
        <f>VLOOKUP(A254, Currency!$A$2:$B$100, 2, FALSE)</f>
        <v>CNY</v>
      </c>
      <c r="F254" s="12">
        <f ca="1">IFERROR(__xludf.DUMMYFUNCTION("IF(E254=""USD"",B254,B254 * GOOGLEFINANCE(""CURRENCY:"" &amp; E254 &amp; ""USD""))
"),20742584.9999999)</f>
        <v>20742584.999999899</v>
      </c>
      <c r="G254" s="13">
        <f ca="1">IFERROR(__xludf.DUMMYFUNCTION("IF(E254=""USD"",C254,C254 * GOOGLEFINANCE(""CURRENCY:"" &amp; E254 &amp; ""USD""))
"),26965481.3601285)</f>
        <v>26965481.3601285</v>
      </c>
    </row>
    <row r="255" spans="1:7" ht="15.75" customHeight="1" x14ac:dyDescent="0.25">
      <c r="A255" s="14" t="s">
        <v>24</v>
      </c>
      <c r="B255" s="15">
        <v>165000000</v>
      </c>
      <c r="C255" s="15">
        <v>102315545</v>
      </c>
      <c r="D255" s="15">
        <v>2016</v>
      </c>
      <c r="E255" s="15" t="str">
        <f>VLOOKUP(A255, Currency!$A$2:$B$100, 2, FALSE)</f>
        <v>USD</v>
      </c>
      <c r="F255" s="15">
        <f ca="1">IFERROR(__xludf.DUMMYFUNCTION("IF(E255=""USD"",B255,B255 * GOOGLEFINANCE(""CURRENCY:"" &amp; E255 &amp; ""USD""))
"),165000000)</f>
        <v>165000000</v>
      </c>
      <c r="G255" s="16">
        <f ca="1">IFERROR(__xludf.DUMMYFUNCTION("IF(E255=""USD"",C255,C255 * GOOGLEFINANCE(""CURRENCY:"" &amp; E255 &amp; ""USD""))
"),102315545)</f>
        <v>102315545</v>
      </c>
    </row>
    <row r="256" spans="1:7" ht="15.75" customHeight="1" x14ac:dyDescent="0.25">
      <c r="A256" s="11" t="s">
        <v>24</v>
      </c>
      <c r="B256" s="12">
        <v>100000000</v>
      </c>
      <c r="C256" s="12">
        <v>49392095</v>
      </c>
      <c r="D256" s="12">
        <v>2009</v>
      </c>
      <c r="E256" s="12" t="str">
        <f>VLOOKUP(A256, Currency!$A$2:$B$100, 2, FALSE)</f>
        <v>USD</v>
      </c>
      <c r="F256" s="12">
        <f ca="1">IFERROR(__xludf.DUMMYFUNCTION("IF(E256=""USD"",B256,B256 * GOOGLEFINANCE(""CURRENCY:"" &amp; E256 &amp; ""USD""))
"),100000000)</f>
        <v>100000000</v>
      </c>
      <c r="G256" s="13">
        <f ca="1">IFERROR(__xludf.DUMMYFUNCTION("IF(E256=""USD"",C256,C256 * GOOGLEFINANCE(""CURRENCY:"" &amp; E256 &amp; ""USD""))
"),49392095)</f>
        <v>49392095</v>
      </c>
    </row>
    <row r="257" spans="1:7" ht="15.75" customHeight="1" x14ac:dyDescent="0.25">
      <c r="A257" s="14" t="s">
        <v>24</v>
      </c>
      <c r="B257" s="15">
        <v>88000000</v>
      </c>
      <c r="C257" s="15">
        <v>61644321</v>
      </c>
      <c r="D257" s="15">
        <v>2005</v>
      </c>
      <c r="E257" s="15" t="str">
        <f>VLOOKUP(A257, Currency!$A$2:$B$100, 2, FALSE)</f>
        <v>USD</v>
      </c>
      <c r="F257" s="15">
        <f ca="1">IFERROR(__xludf.DUMMYFUNCTION("IF(E257=""USD"",B257,B257 * GOOGLEFINANCE(""CURRENCY:"" &amp; E257 &amp; ""USD""))
"),88000000)</f>
        <v>88000000</v>
      </c>
      <c r="G257" s="16">
        <f ca="1">IFERROR(__xludf.DUMMYFUNCTION("IF(E257=""USD"",C257,C257 * GOOGLEFINANCE(""CURRENCY:"" &amp; E257 &amp; ""USD""))
"),61644321)</f>
        <v>61644321</v>
      </c>
    </row>
    <row r="258" spans="1:7" ht="15.75" customHeight="1" x14ac:dyDescent="0.25">
      <c r="A258" s="11" t="s">
        <v>24</v>
      </c>
      <c r="B258" s="12">
        <v>8000000</v>
      </c>
      <c r="C258" s="12">
        <v>40066497</v>
      </c>
      <c r="D258" s="12">
        <v>2004</v>
      </c>
      <c r="E258" s="12" t="str">
        <f>VLOOKUP(A258, Currency!$A$2:$B$100, 2, FALSE)</f>
        <v>USD</v>
      </c>
      <c r="F258" s="12">
        <f ca="1">IFERROR(__xludf.DUMMYFUNCTION("IF(E258=""USD"",B258,B258 * GOOGLEFINANCE(""CURRENCY:"" &amp; E258 &amp; ""USD""))
"),8000000)</f>
        <v>8000000</v>
      </c>
      <c r="G258" s="13">
        <f ca="1">IFERROR(__xludf.DUMMYFUNCTION("IF(E258=""USD"",C258,C258 * GOOGLEFINANCE(""CURRENCY:"" &amp; E258 &amp; ""USD""))
"),40066497)</f>
        <v>40066497</v>
      </c>
    </row>
    <row r="259" spans="1:7" ht="15.75" customHeight="1" x14ac:dyDescent="0.25">
      <c r="A259" s="14" t="s">
        <v>24</v>
      </c>
      <c r="B259" s="15">
        <v>15000000</v>
      </c>
      <c r="C259" s="15">
        <v>20801344</v>
      </c>
      <c r="D259" s="15">
        <v>2007</v>
      </c>
      <c r="E259" s="15" t="str">
        <f>VLOOKUP(A259, Currency!$A$2:$B$100, 2, FALSE)</f>
        <v>USD</v>
      </c>
      <c r="F259" s="15">
        <f ca="1">IFERROR(__xludf.DUMMYFUNCTION("IF(E259=""USD"",B259,B259 * GOOGLEFINANCE(""CURRENCY:"" &amp; E259 &amp; ""USD""))
"),15000000)</f>
        <v>15000000</v>
      </c>
      <c r="G259" s="16">
        <f ca="1">IFERROR(__xludf.DUMMYFUNCTION("IF(E259=""USD"",C259,C259 * GOOGLEFINANCE(""CURRENCY:"" &amp; E259 &amp; ""USD""))
"),20801344)</f>
        <v>20801344</v>
      </c>
    </row>
    <row r="260" spans="1:7" ht="15.75" customHeight="1" x14ac:dyDescent="0.25">
      <c r="A260" s="11" t="s">
        <v>24</v>
      </c>
      <c r="B260" s="12">
        <v>40000000</v>
      </c>
      <c r="C260" s="12">
        <v>20999103</v>
      </c>
      <c r="D260" s="12">
        <v>2009</v>
      </c>
      <c r="E260" s="12" t="str">
        <f>VLOOKUP(A260, Currency!$A$2:$B$100, 2, FALSE)</f>
        <v>USD</v>
      </c>
      <c r="F260" s="12">
        <f ca="1">IFERROR(__xludf.DUMMYFUNCTION("IF(E260=""USD"",B260,B260 * GOOGLEFINANCE(""CURRENCY:"" &amp; E260 &amp; ""USD""))
"),40000000)</f>
        <v>40000000</v>
      </c>
      <c r="G260" s="13">
        <f ca="1">IFERROR(__xludf.DUMMYFUNCTION("IF(E260=""USD"",C260,C260 * GOOGLEFINANCE(""CURRENCY:"" &amp; E260 &amp; ""USD""))
"),20999103)</f>
        <v>20999103</v>
      </c>
    </row>
    <row r="261" spans="1:7" ht="15.75" customHeight="1" x14ac:dyDescent="0.25">
      <c r="A261" s="14" t="s">
        <v>24</v>
      </c>
      <c r="B261" s="15">
        <v>13500000</v>
      </c>
      <c r="C261" s="15">
        <v>15854988</v>
      </c>
      <c r="D261" s="15">
        <v>2002</v>
      </c>
      <c r="E261" s="15" t="str">
        <f>VLOOKUP(A261, Currency!$A$2:$B$100, 2, FALSE)</f>
        <v>USD</v>
      </c>
      <c r="F261" s="15">
        <f ca="1">IFERROR(__xludf.DUMMYFUNCTION("IF(E261=""USD"",B261,B261 * GOOGLEFINANCE(""CURRENCY:"" &amp; E261 &amp; ""USD""))
"),13500000)</f>
        <v>13500000</v>
      </c>
      <c r="G261" s="16">
        <f ca="1">IFERROR(__xludf.DUMMYFUNCTION("IF(E261=""USD"",C261,C261 * GOOGLEFINANCE(""CURRENCY:"" &amp; E261 &amp; ""USD""))
"),15854988)</f>
        <v>15854988</v>
      </c>
    </row>
    <row r="262" spans="1:7" ht="15.75" customHeight="1" x14ac:dyDescent="0.25">
      <c r="A262" s="11" t="s">
        <v>24</v>
      </c>
      <c r="B262" s="12">
        <v>105000000</v>
      </c>
      <c r="C262" s="12">
        <v>57637485</v>
      </c>
      <c r="D262" s="12">
        <v>2004</v>
      </c>
      <c r="E262" s="12" t="str">
        <f>VLOOKUP(A262, Currency!$A$2:$B$100, 2, FALSE)</f>
        <v>USD</v>
      </c>
      <c r="F262" s="12">
        <f ca="1">IFERROR(__xludf.DUMMYFUNCTION("IF(E262=""USD"",B262,B262 * GOOGLEFINANCE(""CURRENCY:"" &amp; E262 &amp; ""USD""))
"),105000000)</f>
        <v>105000000</v>
      </c>
      <c r="G262" s="13">
        <f ca="1">IFERROR(__xludf.DUMMYFUNCTION("IF(E262=""USD"",C262,C262 * GOOGLEFINANCE(""CURRENCY:"" &amp; E262 &amp; ""USD""))
"),57637485)</f>
        <v>57637485</v>
      </c>
    </row>
    <row r="263" spans="1:7" ht="15.75" customHeight="1" x14ac:dyDescent="0.25">
      <c r="A263" s="14" t="s">
        <v>24</v>
      </c>
      <c r="B263" s="15">
        <v>3500000</v>
      </c>
      <c r="C263" s="15">
        <v>10305534</v>
      </c>
      <c r="D263" s="15">
        <v>1998</v>
      </c>
      <c r="E263" s="15" t="str">
        <f>VLOOKUP(A263, Currency!$A$2:$B$100, 2, FALSE)</f>
        <v>USD</v>
      </c>
      <c r="F263" s="15">
        <f ca="1">IFERROR(__xludf.DUMMYFUNCTION("IF(E263=""USD"",B263,B263 * GOOGLEFINANCE(""CURRENCY:"" &amp; E263 &amp; ""USD""))
"),3500000)</f>
        <v>3500000</v>
      </c>
      <c r="G263" s="16">
        <f ca="1">IFERROR(__xludf.DUMMYFUNCTION("IF(E263=""USD"",C263,C263 * GOOGLEFINANCE(""CURRENCY:"" &amp; E263 &amp; ""USD""))
"),10305534)</f>
        <v>10305534</v>
      </c>
    </row>
    <row r="264" spans="1:7" ht="15.75" customHeight="1" x14ac:dyDescent="0.25">
      <c r="A264" s="11" t="s">
        <v>24</v>
      </c>
      <c r="B264" s="12">
        <v>82000000</v>
      </c>
      <c r="C264" s="12">
        <v>158115031</v>
      </c>
      <c r="D264" s="12">
        <v>2005</v>
      </c>
      <c r="E264" s="12" t="str">
        <f>VLOOKUP(A264, Currency!$A$2:$B$100, 2, FALSE)</f>
        <v>USD</v>
      </c>
      <c r="F264" s="12">
        <f ca="1">IFERROR(__xludf.DUMMYFUNCTION("IF(E264=""USD"",B264,B264 * GOOGLEFINANCE(""CURRENCY:"" &amp; E264 &amp; ""USD""))
"),82000000)</f>
        <v>82000000</v>
      </c>
      <c r="G264" s="13">
        <f ca="1">IFERROR(__xludf.DUMMYFUNCTION("IF(E264=""USD"",C264,C264 * GOOGLEFINANCE(""CURRENCY:"" &amp; E264 &amp; ""USD""))
"),158115031)</f>
        <v>158115031</v>
      </c>
    </row>
    <row r="265" spans="1:7" ht="15.75" customHeight="1" x14ac:dyDescent="0.25">
      <c r="A265" s="14" t="s">
        <v>24</v>
      </c>
      <c r="B265" s="15">
        <v>26000000</v>
      </c>
      <c r="C265" s="15">
        <v>40168080</v>
      </c>
      <c r="D265" s="15">
        <v>2010</v>
      </c>
      <c r="E265" s="15" t="str">
        <f>VLOOKUP(A265, Currency!$A$2:$B$100, 2, FALSE)</f>
        <v>USD</v>
      </c>
      <c r="F265" s="15">
        <f ca="1">IFERROR(__xludf.DUMMYFUNCTION("IF(E265=""USD"",B265,B265 * GOOGLEFINANCE(""CURRENCY:"" &amp; E265 &amp; ""USD""))
"),26000000)</f>
        <v>26000000</v>
      </c>
      <c r="G265" s="16">
        <f ca="1">IFERROR(__xludf.DUMMYFUNCTION("IF(E265=""USD"",C265,C265 * GOOGLEFINANCE(""CURRENCY:"" &amp; E265 &amp; ""USD""))
"),40168080)</f>
        <v>40168080</v>
      </c>
    </row>
    <row r="266" spans="1:7" ht="15.75" customHeight="1" x14ac:dyDescent="0.25">
      <c r="A266" s="11" t="s">
        <v>24</v>
      </c>
      <c r="B266" s="12">
        <v>38000000</v>
      </c>
      <c r="C266" s="12">
        <v>7659747</v>
      </c>
      <c r="D266" s="12">
        <v>2003</v>
      </c>
      <c r="E266" s="12" t="str">
        <f>VLOOKUP(A266, Currency!$A$2:$B$100, 2, FALSE)</f>
        <v>USD</v>
      </c>
      <c r="F266" s="12">
        <f ca="1">IFERROR(__xludf.DUMMYFUNCTION("IF(E266=""USD"",B266,B266 * GOOGLEFINANCE(""CURRENCY:"" &amp; E266 &amp; ""USD""))
"),38000000)</f>
        <v>38000000</v>
      </c>
      <c r="G266" s="13">
        <f ca="1">IFERROR(__xludf.DUMMYFUNCTION("IF(E266=""USD"",C266,C266 * GOOGLEFINANCE(""CURRENCY:"" &amp; E266 &amp; ""USD""))
"),7659747)</f>
        <v>7659747</v>
      </c>
    </row>
    <row r="267" spans="1:7" ht="15.75" customHeight="1" x14ac:dyDescent="0.25">
      <c r="A267" s="14" t="s">
        <v>24</v>
      </c>
      <c r="B267" s="15">
        <v>26000000</v>
      </c>
      <c r="C267" s="15">
        <v>30659817</v>
      </c>
      <c r="D267" s="15">
        <v>2013</v>
      </c>
      <c r="E267" s="15" t="str">
        <f>VLOOKUP(A267, Currency!$A$2:$B$100, 2, FALSE)</f>
        <v>USD</v>
      </c>
      <c r="F267" s="15">
        <f ca="1">IFERROR(__xludf.DUMMYFUNCTION("IF(E267=""USD"",B267,B267 * GOOGLEFINANCE(""CURRENCY:"" &amp; E267 &amp; ""USD""))
"),26000000)</f>
        <v>26000000</v>
      </c>
      <c r="G267" s="16">
        <f ca="1">IFERROR(__xludf.DUMMYFUNCTION("IF(E267=""USD"",C267,C267 * GOOGLEFINANCE(""CURRENCY:"" &amp; E267 &amp; ""USD""))
"),30659817)</f>
        <v>30659817</v>
      </c>
    </row>
    <row r="268" spans="1:7" ht="15.75" customHeight="1" x14ac:dyDescent="0.25">
      <c r="A268" s="11" t="s">
        <v>24</v>
      </c>
      <c r="B268" s="12">
        <v>90000000</v>
      </c>
      <c r="C268" s="12">
        <v>120618403</v>
      </c>
      <c r="D268" s="12">
        <v>1998</v>
      </c>
      <c r="E268" s="12" t="str">
        <f>VLOOKUP(A268, Currency!$A$2:$B$100, 2, FALSE)</f>
        <v>USD</v>
      </c>
      <c r="F268" s="12">
        <f ca="1">IFERROR(__xludf.DUMMYFUNCTION("IF(E268=""USD"",B268,B268 * GOOGLEFINANCE(""CURRENCY:"" &amp; E268 &amp; ""USD""))
"),90000000)</f>
        <v>90000000</v>
      </c>
      <c r="G268" s="13">
        <f ca="1">IFERROR(__xludf.DUMMYFUNCTION("IF(E268=""USD"",C268,C268 * GOOGLEFINANCE(""CURRENCY:"" &amp; E268 &amp; ""USD""))
"),120618403)</f>
        <v>120618403</v>
      </c>
    </row>
    <row r="269" spans="1:7" ht="15.75" customHeight="1" x14ac:dyDescent="0.25">
      <c r="A269" s="14" t="s">
        <v>24</v>
      </c>
      <c r="B269" s="15">
        <v>20000000</v>
      </c>
      <c r="C269" s="15">
        <v>38037513</v>
      </c>
      <c r="D269" s="15">
        <v>1991</v>
      </c>
      <c r="E269" s="15" t="str">
        <f>VLOOKUP(A269, Currency!$A$2:$B$100, 2, FALSE)</f>
        <v>USD</v>
      </c>
      <c r="F269" s="15">
        <f ca="1">IFERROR(__xludf.DUMMYFUNCTION("IF(E269=""USD"",B269,B269 * GOOGLEFINANCE(""CURRENCY:"" &amp; E269 &amp; ""USD""))
"),20000000)</f>
        <v>20000000</v>
      </c>
      <c r="G269" s="16">
        <f ca="1">IFERROR(__xludf.DUMMYFUNCTION("IF(E269=""USD"",C269,C269 * GOOGLEFINANCE(""CURRENCY:"" &amp; E269 &amp; ""USD""))
"),38037513)</f>
        <v>38037513</v>
      </c>
    </row>
    <row r="270" spans="1:7" ht="15.75" customHeight="1" x14ac:dyDescent="0.25">
      <c r="A270" s="11" t="s">
        <v>24</v>
      </c>
      <c r="B270" s="12">
        <v>65000000</v>
      </c>
      <c r="C270" s="12">
        <v>43982842</v>
      </c>
      <c r="D270" s="12">
        <v>2009</v>
      </c>
      <c r="E270" s="12" t="str">
        <f>VLOOKUP(A270, Currency!$A$2:$B$100, 2, FALSE)</f>
        <v>USD</v>
      </c>
      <c r="F270" s="12">
        <f ca="1">IFERROR(__xludf.DUMMYFUNCTION("IF(E270=""USD"",B270,B270 * GOOGLEFINANCE(""CURRENCY:"" &amp; E270 &amp; ""USD""))
"),65000000)</f>
        <v>65000000</v>
      </c>
      <c r="G270" s="13">
        <f ca="1">IFERROR(__xludf.DUMMYFUNCTION("IF(E270=""USD"",C270,C270 * GOOGLEFINANCE(""CURRENCY:"" &amp; E270 &amp; ""USD""))
"),43982842)</f>
        <v>43982842</v>
      </c>
    </row>
    <row r="271" spans="1:7" ht="15.75" customHeight="1" x14ac:dyDescent="0.25">
      <c r="A271" s="14" t="s">
        <v>24</v>
      </c>
      <c r="B271" s="15">
        <v>60000000</v>
      </c>
      <c r="C271" s="15">
        <v>80033643</v>
      </c>
      <c r="D271" s="15">
        <v>2012</v>
      </c>
      <c r="E271" s="15" t="str">
        <f>VLOOKUP(A271, Currency!$A$2:$B$100, 2, FALSE)</f>
        <v>USD</v>
      </c>
      <c r="F271" s="15">
        <f ca="1">IFERROR(__xludf.DUMMYFUNCTION("IF(E271=""USD"",B271,B271 * GOOGLEFINANCE(""CURRENCY:"" &amp; E271 &amp; ""USD""))
"),60000000)</f>
        <v>60000000</v>
      </c>
      <c r="G271" s="16">
        <f ca="1">IFERROR(__xludf.DUMMYFUNCTION("IF(E271=""USD"",C271,C271 * GOOGLEFINANCE(""CURRENCY:"" &amp; E271 &amp; ""USD""))
"),80033643)</f>
        <v>80033643</v>
      </c>
    </row>
    <row r="272" spans="1:7" ht="15.75" customHeight="1" x14ac:dyDescent="0.25">
      <c r="A272" s="11" t="s">
        <v>24</v>
      </c>
      <c r="B272" s="12">
        <v>12000000</v>
      </c>
      <c r="C272" s="12">
        <v>31179516</v>
      </c>
      <c r="D272" s="12">
        <v>2004</v>
      </c>
      <c r="E272" s="12" t="str">
        <f>VLOOKUP(A272, Currency!$A$2:$B$100, 2, FALSE)</f>
        <v>USD</v>
      </c>
      <c r="F272" s="12">
        <f ca="1">IFERROR(__xludf.DUMMYFUNCTION("IF(E272=""USD"",B272,B272 * GOOGLEFINANCE(""CURRENCY:"" &amp; E272 &amp; ""USD""))
"),12000000)</f>
        <v>12000000</v>
      </c>
      <c r="G272" s="13">
        <f ca="1">IFERROR(__xludf.DUMMYFUNCTION("IF(E272=""USD"",C272,C272 * GOOGLEFINANCE(""CURRENCY:"" &amp; E272 &amp; ""USD""))
"),31179516)</f>
        <v>31179516</v>
      </c>
    </row>
    <row r="273" spans="1:7" ht="15.75" customHeight="1" x14ac:dyDescent="0.25">
      <c r="A273" s="14" t="s">
        <v>24</v>
      </c>
      <c r="B273" s="15">
        <v>40000000</v>
      </c>
      <c r="C273" s="15">
        <v>90353764</v>
      </c>
      <c r="D273" s="15">
        <v>2015</v>
      </c>
      <c r="E273" s="15" t="str">
        <f>VLOOKUP(A273, Currency!$A$2:$B$100, 2, FALSE)</f>
        <v>USD</v>
      </c>
      <c r="F273" s="15">
        <f ca="1">IFERROR(__xludf.DUMMYFUNCTION("IF(E273=""USD"",B273,B273 * GOOGLEFINANCE(""CURRENCY:"" &amp; E273 &amp; ""USD""))
"),40000000)</f>
        <v>40000000</v>
      </c>
      <c r="G273" s="16">
        <f ca="1">IFERROR(__xludf.DUMMYFUNCTION("IF(E273=""USD"",C273,C273 * GOOGLEFINANCE(""CURRENCY:"" &amp; E273 &amp; ""USD""))
"),90353764)</f>
        <v>90353764</v>
      </c>
    </row>
    <row r="274" spans="1:7" ht="15.75" customHeight="1" x14ac:dyDescent="0.25">
      <c r="A274" s="11" t="s">
        <v>24</v>
      </c>
      <c r="B274" s="12">
        <v>16500000</v>
      </c>
      <c r="C274" s="12">
        <v>42700000</v>
      </c>
      <c r="D274" s="12">
        <v>1995</v>
      </c>
      <c r="E274" s="12" t="str">
        <f>VLOOKUP(A274, Currency!$A$2:$B$100, 2, FALSE)</f>
        <v>USD</v>
      </c>
      <c r="F274" s="12">
        <f ca="1">IFERROR(__xludf.DUMMYFUNCTION("IF(E274=""USD"",B274,B274 * GOOGLEFINANCE(""CURRENCY:"" &amp; E274 &amp; ""USD""))
"),16500000)</f>
        <v>16500000</v>
      </c>
      <c r="G274" s="13">
        <f ca="1">IFERROR(__xludf.DUMMYFUNCTION("IF(E274=""USD"",C274,C274 * GOOGLEFINANCE(""CURRENCY:"" &amp; E274 &amp; ""USD""))
"),42700000)</f>
        <v>42700000</v>
      </c>
    </row>
    <row r="275" spans="1:7" ht="15.75" customHeight="1" x14ac:dyDescent="0.25">
      <c r="A275" s="14" t="s">
        <v>24</v>
      </c>
      <c r="B275" s="15">
        <v>2600000</v>
      </c>
      <c r="C275" s="15">
        <v>84300000</v>
      </c>
      <c r="D275" s="15">
        <v>1940</v>
      </c>
      <c r="E275" s="15" t="str">
        <f>VLOOKUP(A275, Currency!$A$2:$B$100, 2, FALSE)</f>
        <v>USD</v>
      </c>
      <c r="F275" s="15">
        <f ca="1">IFERROR(__xludf.DUMMYFUNCTION("IF(E275=""USD"",B275,B275 * GOOGLEFINANCE(""CURRENCY:"" &amp; E275 &amp; ""USD""))
"),2600000)</f>
        <v>2600000</v>
      </c>
      <c r="G275" s="16">
        <f ca="1">IFERROR(__xludf.DUMMYFUNCTION("IF(E275=""USD"",C275,C275 * GOOGLEFINANCE(""CURRENCY:"" &amp; E275 &amp; ""USD""))
"),84300000)</f>
        <v>84300000</v>
      </c>
    </row>
    <row r="276" spans="1:7" ht="15.75" customHeight="1" x14ac:dyDescent="0.25">
      <c r="A276" s="11" t="s">
        <v>24</v>
      </c>
      <c r="B276" s="12">
        <v>8000000</v>
      </c>
      <c r="C276" s="12">
        <v>59889948</v>
      </c>
      <c r="D276" s="12">
        <v>2006</v>
      </c>
      <c r="E276" s="12" t="str">
        <f>VLOOKUP(A276, Currency!$A$2:$B$100, 2, FALSE)</f>
        <v>USD</v>
      </c>
      <c r="F276" s="12">
        <f ca="1">IFERROR(__xludf.DUMMYFUNCTION("IF(E276=""USD"",B276,B276 * GOOGLEFINANCE(""CURRENCY:"" &amp; E276 &amp; ""USD""))
"),8000000)</f>
        <v>8000000</v>
      </c>
      <c r="G276" s="13">
        <f ca="1">IFERROR(__xludf.DUMMYFUNCTION("IF(E276=""USD"",C276,C276 * GOOGLEFINANCE(""CURRENCY:"" &amp; E276 &amp; ""USD""))
"),59889948)</f>
        <v>59889948</v>
      </c>
    </row>
    <row r="277" spans="1:7" ht="15.75" customHeight="1" x14ac:dyDescent="0.25">
      <c r="A277" s="14" t="s">
        <v>24</v>
      </c>
      <c r="B277" s="15">
        <v>135000000</v>
      </c>
      <c r="C277" s="15">
        <v>177343675</v>
      </c>
      <c r="D277" s="15">
        <v>2015</v>
      </c>
      <c r="E277" s="15" t="str">
        <f>VLOOKUP(A277, Currency!$A$2:$B$100, 2, FALSE)</f>
        <v>USD</v>
      </c>
      <c r="F277" s="15">
        <f ca="1">IFERROR(__xludf.DUMMYFUNCTION("IF(E277=""USD"",B277,B277 * GOOGLEFINANCE(""CURRENCY:"" &amp; E277 &amp; ""USD""))
"),135000000)</f>
        <v>135000000</v>
      </c>
      <c r="G277" s="16">
        <f ca="1">IFERROR(__xludf.DUMMYFUNCTION("IF(E277=""USD"",C277,C277 * GOOGLEFINANCE(""CURRENCY:"" &amp; E277 &amp; ""USD""))
"),177343675)</f>
        <v>177343675</v>
      </c>
    </row>
    <row r="278" spans="1:7" ht="15.75" customHeight="1" x14ac:dyDescent="0.25">
      <c r="A278" s="11" t="s">
        <v>24</v>
      </c>
      <c r="B278" s="12">
        <v>16000000</v>
      </c>
      <c r="C278" s="12">
        <v>127175354</v>
      </c>
      <c r="D278" s="12">
        <v>1994</v>
      </c>
      <c r="E278" s="12" t="str">
        <f>VLOOKUP(A278, Currency!$A$2:$B$100, 2, FALSE)</f>
        <v>USD</v>
      </c>
      <c r="F278" s="12">
        <f ca="1">IFERROR(__xludf.DUMMYFUNCTION("IF(E278=""USD"",B278,B278 * GOOGLEFINANCE(""CURRENCY:"" &amp; E278 &amp; ""USD""))
"),16000000)</f>
        <v>16000000</v>
      </c>
      <c r="G278" s="13">
        <f ca="1">IFERROR(__xludf.DUMMYFUNCTION("IF(E278=""USD"",C278,C278 * GOOGLEFINANCE(""CURRENCY:"" &amp; E278 &amp; ""USD""))
"),127175354)</f>
        <v>127175354</v>
      </c>
    </row>
    <row r="279" spans="1:7" ht="15.75" customHeight="1" x14ac:dyDescent="0.25">
      <c r="A279" s="14" t="s">
        <v>133</v>
      </c>
      <c r="B279" s="15">
        <v>130000000</v>
      </c>
      <c r="C279" s="15">
        <v>68642452</v>
      </c>
      <c r="D279" s="15">
        <v>2005</v>
      </c>
      <c r="E279" s="15" t="str">
        <f>VLOOKUP(A279, Currency!$A$2:$B$100, 2, FALSE)</f>
        <v>GBP</v>
      </c>
      <c r="F279" s="15">
        <f ca="1">IFERROR(__xludf.DUMMYFUNCTION("IF(E279=""USD"",B279,B279 * GOOGLEFINANCE(""CURRENCY:"" &amp; E279 &amp; ""USD""))
"),167101999.999999)</f>
        <v>167101999.99999899</v>
      </c>
      <c r="G279" s="16">
        <f ca="1">IFERROR(__xludf.DUMMYFUNCTION("IF(E279=""USD"",C279,C279 * GOOGLEFINANCE(""CURRENCY:"" &amp; E279 &amp; ""USD""))
"),88233007.8008)</f>
        <v>88233007.800799996</v>
      </c>
    </row>
    <row r="280" spans="1:7" ht="15.75" customHeight="1" x14ac:dyDescent="0.25">
      <c r="A280" s="11" t="s">
        <v>24</v>
      </c>
      <c r="B280" s="12">
        <v>14000000</v>
      </c>
      <c r="C280" s="12">
        <v>9402410</v>
      </c>
      <c r="D280" s="12">
        <v>2012</v>
      </c>
      <c r="E280" s="12" t="str">
        <f>VLOOKUP(A280, Currency!$A$2:$B$100, 2, FALSE)</f>
        <v>USD</v>
      </c>
      <c r="F280" s="12">
        <f ca="1">IFERROR(__xludf.DUMMYFUNCTION("IF(E280=""USD"",B280,B280 * GOOGLEFINANCE(""CURRENCY:"" &amp; E280 &amp; ""USD""))
"),14000000)</f>
        <v>14000000</v>
      </c>
      <c r="G280" s="13">
        <f ca="1">IFERROR(__xludf.DUMMYFUNCTION("IF(E280=""USD"",C280,C280 * GOOGLEFINANCE(""CURRENCY:"" &amp; E280 &amp; ""USD""))
"),9402410)</f>
        <v>9402410</v>
      </c>
    </row>
    <row r="281" spans="1:7" ht="15.75" customHeight="1" x14ac:dyDescent="0.25">
      <c r="A281" s="14" t="s">
        <v>1220</v>
      </c>
      <c r="B281" s="15">
        <v>3000000</v>
      </c>
      <c r="C281" s="15">
        <v>3105269</v>
      </c>
      <c r="D281" s="15">
        <v>2016</v>
      </c>
      <c r="E281" s="15" t="str">
        <f>VLOOKUP(A281, Currency!$A$2:$B$100, 2, FALSE)</f>
        <v>MXN</v>
      </c>
      <c r="F281" s="15">
        <f ca="1">IFERROR(__xludf.DUMMYFUNCTION("IF(E281=""USD"",B281,B281 * GOOGLEFINANCE(""CURRENCY:"" &amp; E281 &amp; ""USD""))
"),162614.07)</f>
        <v>162614.07</v>
      </c>
      <c r="G281" s="16">
        <f ca="1">IFERROR(__xludf.DUMMYFUNCTION("IF(E281=""USD"",C281,C281 * GOOGLEFINANCE(""CURRENCY:"" &amp; E281 &amp; ""USD""))
"),168320.14351161)</f>
        <v>168320.14351160999</v>
      </c>
    </row>
    <row r="282" spans="1:7" ht="15.75" customHeight="1" x14ac:dyDescent="0.25">
      <c r="A282" s="11" t="s">
        <v>24</v>
      </c>
      <c r="B282" s="12">
        <v>15000000</v>
      </c>
      <c r="C282" s="12">
        <v>20566327</v>
      </c>
      <c r="D282" s="12">
        <v>2016</v>
      </c>
      <c r="E282" s="12" t="str">
        <f>VLOOKUP(A282, Currency!$A$2:$B$100, 2, FALSE)</f>
        <v>USD</v>
      </c>
      <c r="F282" s="12">
        <f ca="1">IFERROR(__xludf.DUMMYFUNCTION("IF(E282=""USD"",B282,B282 * GOOGLEFINANCE(""CURRENCY:"" &amp; E282 &amp; ""USD""))
"),15000000)</f>
        <v>15000000</v>
      </c>
      <c r="G282" s="13">
        <f ca="1">IFERROR(__xludf.DUMMYFUNCTION("IF(E282=""USD"",C282,C282 * GOOGLEFINANCE(""CURRENCY:"" &amp; E282 &amp; ""USD""))
"),20566327)</f>
        <v>20566327</v>
      </c>
    </row>
    <row r="283" spans="1:7" ht="15.75" customHeight="1" x14ac:dyDescent="0.25">
      <c r="A283" s="14" t="s">
        <v>24</v>
      </c>
      <c r="B283" s="15">
        <v>55000000</v>
      </c>
      <c r="C283" s="15">
        <v>58422650</v>
      </c>
      <c r="D283" s="15">
        <v>1992</v>
      </c>
      <c r="E283" s="15" t="str">
        <f>VLOOKUP(A283, Currency!$A$2:$B$100, 2, FALSE)</f>
        <v>USD</v>
      </c>
      <c r="F283" s="15">
        <f ca="1">IFERROR(__xludf.DUMMYFUNCTION("IF(E283=""USD"",B283,B283 * GOOGLEFINANCE(""CURRENCY:"" &amp; E283 &amp; ""USD""))
"),55000000)</f>
        <v>55000000</v>
      </c>
      <c r="G283" s="16">
        <f ca="1">IFERROR(__xludf.DUMMYFUNCTION("IF(E283=""USD"",C283,C283 * GOOGLEFINANCE(""CURRENCY:"" &amp; E283 &amp; ""USD""))
"),58422650)</f>
        <v>58422650</v>
      </c>
    </row>
    <row r="284" spans="1:7" ht="15.75" customHeight="1" x14ac:dyDescent="0.25">
      <c r="A284" s="11" t="s">
        <v>24</v>
      </c>
      <c r="B284" s="12">
        <v>15000000</v>
      </c>
      <c r="C284" s="12">
        <v>12212417</v>
      </c>
      <c r="D284" s="12">
        <v>2003</v>
      </c>
      <c r="E284" s="12" t="str">
        <f>VLOOKUP(A284, Currency!$A$2:$B$100, 2, FALSE)</f>
        <v>USD</v>
      </c>
      <c r="F284" s="12">
        <f ca="1">IFERROR(__xludf.DUMMYFUNCTION("IF(E284=""USD"",B284,B284 * GOOGLEFINANCE(""CURRENCY:"" &amp; E284 &amp; ""USD""))
"),15000000)</f>
        <v>15000000</v>
      </c>
      <c r="G284" s="13">
        <f ca="1">IFERROR(__xludf.DUMMYFUNCTION("IF(E284=""USD"",C284,C284 * GOOGLEFINANCE(""CURRENCY:"" &amp; E284 &amp; ""USD""))
"),12212417)</f>
        <v>12212417</v>
      </c>
    </row>
    <row r="285" spans="1:7" ht="15.75" customHeight="1" x14ac:dyDescent="0.25">
      <c r="A285" s="14" t="s">
        <v>24</v>
      </c>
      <c r="B285" s="15">
        <v>30000000</v>
      </c>
      <c r="C285" s="15">
        <v>4357000</v>
      </c>
      <c r="D285" s="15">
        <v>1996</v>
      </c>
      <c r="E285" s="15" t="str">
        <f>VLOOKUP(A285, Currency!$A$2:$B$100, 2, FALSE)</f>
        <v>USD</v>
      </c>
      <c r="F285" s="15">
        <f ca="1">IFERROR(__xludf.DUMMYFUNCTION("IF(E285=""USD"",B285,B285 * GOOGLEFINANCE(""CURRENCY:"" &amp; E285 &amp; ""USD""))
"),30000000)</f>
        <v>30000000</v>
      </c>
      <c r="G285" s="16">
        <f ca="1">IFERROR(__xludf.DUMMYFUNCTION("IF(E285=""USD"",C285,C285 * GOOGLEFINANCE(""CURRENCY:"" &amp; E285 &amp; ""USD""))
"),4357000)</f>
        <v>4357000</v>
      </c>
    </row>
    <row r="286" spans="1:7" ht="15.75" customHeight="1" x14ac:dyDescent="0.25">
      <c r="A286" s="11" t="s">
        <v>24</v>
      </c>
      <c r="B286" s="12">
        <v>40000000</v>
      </c>
      <c r="C286" s="12">
        <v>293501675</v>
      </c>
      <c r="D286" s="12">
        <v>1999</v>
      </c>
      <c r="E286" s="12" t="str">
        <f>VLOOKUP(A286, Currency!$A$2:$B$100, 2, FALSE)</f>
        <v>USD</v>
      </c>
      <c r="F286" s="12">
        <f ca="1">IFERROR(__xludf.DUMMYFUNCTION("IF(E286=""USD"",B286,B286 * GOOGLEFINANCE(""CURRENCY:"" &amp; E286 &amp; ""USD""))
"),40000000)</f>
        <v>40000000</v>
      </c>
      <c r="G286" s="13">
        <f ca="1">IFERROR(__xludf.DUMMYFUNCTION("IF(E286=""USD"",C286,C286 * GOOGLEFINANCE(""CURRENCY:"" &amp; E286 &amp; ""USD""))
"),293501675)</f>
        <v>293501675</v>
      </c>
    </row>
    <row r="287" spans="1:7" ht="15.75" customHeight="1" x14ac:dyDescent="0.25">
      <c r="A287" s="14" t="s">
        <v>24</v>
      </c>
      <c r="B287" s="15">
        <v>34000000</v>
      </c>
      <c r="C287" s="15">
        <v>10654581</v>
      </c>
      <c r="D287" s="15">
        <v>1999</v>
      </c>
      <c r="E287" s="15" t="str">
        <f>VLOOKUP(A287, Currency!$A$2:$B$100, 2, FALSE)</f>
        <v>USD</v>
      </c>
      <c r="F287" s="15">
        <f ca="1">IFERROR(__xludf.DUMMYFUNCTION("IF(E287=""USD"",B287,B287 * GOOGLEFINANCE(""CURRENCY:"" &amp; E287 &amp; ""USD""))
"),34000000)</f>
        <v>34000000</v>
      </c>
      <c r="G287" s="16">
        <f ca="1">IFERROR(__xludf.DUMMYFUNCTION("IF(E287=""USD"",C287,C287 * GOOGLEFINANCE(""CURRENCY:"" &amp; E287 &amp; ""USD""))
"),10654581)</f>
        <v>10654581</v>
      </c>
    </row>
    <row r="288" spans="1:7" ht="15.75" customHeight="1" x14ac:dyDescent="0.25">
      <c r="A288" s="11" t="s">
        <v>24</v>
      </c>
      <c r="B288" s="12">
        <v>9000000</v>
      </c>
      <c r="C288" s="12">
        <v>33244684</v>
      </c>
      <c r="D288" s="12">
        <v>1988</v>
      </c>
      <c r="E288" s="12" t="str">
        <f>VLOOKUP(A288, Currency!$A$2:$B$100, 2, FALSE)</f>
        <v>USD</v>
      </c>
      <c r="F288" s="12">
        <f ca="1">IFERROR(__xludf.DUMMYFUNCTION("IF(E288=""USD"",B288,B288 * GOOGLEFINANCE(""CURRENCY:"" &amp; E288 &amp; ""USD""))
"),9000000)</f>
        <v>9000000</v>
      </c>
      <c r="G288" s="13">
        <f ca="1">IFERROR(__xludf.DUMMYFUNCTION("IF(E288=""USD"",C288,C288 * GOOGLEFINANCE(""CURRENCY:"" &amp; E288 &amp; ""USD""))
"),33244684)</f>
        <v>33244684</v>
      </c>
    </row>
    <row r="289" spans="1:7" ht="15.75" customHeight="1" x14ac:dyDescent="0.25">
      <c r="A289" s="14" t="s">
        <v>24</v>
      </c>
      <c r="B289" s="15">
        <v>43000000</v>
      </c>
      <c r="C289" s="15">
        <v>51768623</v>
      </c>
      <c r="D289" s="15">
        <v>2000</v>
      </c>
      <c r="E289" s="15" t="str">
        <f>VLOOKUP(A289, Currency!$A$2:$B$100, 2, FALSE)</f>
        <v>USD</v>
      </c>
      <c r="F289" s="15">
        <f ca="1">IFERROR(__xludf.DUMMYFUNCTION("IF(E289=""USD"",B289,B289 * GOOGLEFINANCE(""CURRENCY:"" &amp; E289 &amp; ""USD""))
"),43000000)</f>
        <v>43000000</v>
      </c>
      <c r="G289" s="16">
        <f ca="1">IFERROR(__xludf.DUMMYFUNCTION("IF(E289=""USD"",C289,C289 * GOOGLEFINANCE(""CURRENCY:"" &amp; E289 &amp; ""USD""))
"),51768623)</f>
        <v>51768623</v>
      </c>
    </row>
    <row r="290" spans="1:7" ht="15.75" customHeight="1" x14ac:dyDescent="0.25">
      <c r="A290" s="11" t="s">
        <v>24</v>
      </c>
      <c r="B290" s="12">
        <v>850000</v>
      </c>
      <c r="C290" s="12">
        <v>442638</v>
      </c>
      <c r="D290" s="12">
        <v>2007</v>
      </c>
      <c r="E290" s="12" t="str">
        <f>VLOOKUP(A290, Currency!$A$2:$B$100, 2, FALSE)</f>
        <v>USD</v>
      </c>
      <c r="F290" s="12">
        <f ca="1">IFERROR(__xludf.DUMMYFUNCTION("IF(E290=""USD"",B290,B290 * GOOGLEFINANCE(""CURRENCY:"" &amp; E290 &amp; ""USD""))
"),850000)</f>
        <v>850000</v>
      </c>
      <c r="G290" s="13">
        <f ca="1">IFERROR(__xludf.DUMMYFUNCTION("IF(E290=""USD"",C290,C290 * GOOGLEFINANCE(""CURRENCY:"" &amp; E290 &amp; ""USD""))
"),442638)</f>
        <v>442638</v>
      </c>
    </row>
    <row r="291" spans="1:7" ht="15.75" customHeight="1" x14ac:dyDescent="0.25">
      <c r="A291" s="14" t="s">
        <v>24</v>
      </c>
      <c r="B291" s="15">
        <v>125000000</v>
      </c>
      <c r="C291" s="15">
        <v>107285004</v>
      </c>
      <c r="D291" s="15">
        <v>1997</v>
      </c>
      <c r="E291" s="15" t="str">
        <f>VLOOKUP(A291, Currency!$A$2:$B$100, 2, FALSE)</f>
        <v>USD</v>
      </c>
      <c r="F291" s="15">
        <f ca="1">IFERROR(__xludf.DUMMYFUNCTION("IF(E291=""USD"",B291,B291 * GOOGLEFINANCE(""CURRENCY:"" &amp; E291 &amp; ""USD""))
"),125000000)</f>
        <v>125000000</v>
      </c>
      <c r="G291" s="16">
        <f ca="1">IFERROR(__xludf.DUMMYFUNCTION("IF(E291=""USD"",C291,C291 * GOOGLEFINANCE(""CURRENCY:"" &amp; E291 &amp; ""USD""))
"),107285004)</f>
        <v>107285004</v>
      </c>
    </row>
    <row r="292" spans="1:7" ht="15.75" customHeight="1" x14ac:dyDescent="0.25">
      <c r="A292" s="11" t="s">
        <v>24</v>
      </c>
      <c r="B292" s="12">
        <v>26000000</v>
      </c>
      <c r="C292" s="12">
        <v>45489752</v>
      </c>
      <c r="D292" s="12">
        <v>2004</v>
      </c>
      <c r="E292" s="12" t="str">
        <f>VLOOKUP(A292, Currency!$A$2:$B$100, 2, FALSE)</f>
        <v>USD</v>
      </c>
      <c r="F292" s="12">
        <f ca="1">IFERROR(__xludf.DUMMYFUNCTION("IF(E292=""USD"",B292,B292 * GOOGLEFINANCE(""CURRENCY:"" &amp; E292 &amp; ""USD""))
"),26000000)</f>
        <v>26000000</v>
      </c>
      <c r="G292" s="13">
        <f ca="1">IFERROR(__xludf.DUMMYFUNCTION("IF(E292=""USD"",C292,C292 * GOOGLEFINANCE(""CURRENCY:"" &amp; E292 &amp; ""USD""))
"),45489752)</f>
        <v>45489752</v>
      </c>
    </row>
    <row r="293" spans="1:7" ht="15.75" customHeight="1" x14ac:dyDescent="0.25">
      <c r="A293" s="14" t="s">
        <v>24</v>
      </c>
      <c r="B293" s="15">
        <v>180000000</v>
      </c>
      <c r="C293" s="15">
        <v>70083519</v>
      </c>
      <c r="D293" s="15">
        <v>2007</v>
      </c>
      <c r="E293" s="15" t="str">
        <f>VLOOKUP(A293, Currency!$A$2:$B$100, 2, FALSE)</f>
        <v>USD</v>
      </c>
      <c r="F293" s="15">
        <f ca="1">IFERROR(__xludf.DUMMYFUNCTION("IF(E293=""USD"",B293,B293 * GOOGLEFINANCE(""CURRENCY:"" &amp; E293 &amp; ""USD""))
"),180000000)</f>
        <v>180000000</v>
      </c>
      <c r="G293" s="16">
        <f ca="1">IFERROR(__xludf.DUMMYFUNCTION("IF(E293=""USD"",C293,C293 * GOOGLEFINANCE(""CURRENCY:"" &amp; E293 &amp; ""USD""))
"),70083519)</f>
        <v>70083519</v>
      </c>
    </row>
    <row r="294" spans="1:7" ht="15.75" customHeight="1" x14ac:dyDescent="0.25">
      <c r="A294" s="11" t="s">
        <v>24</v>
      </c>
      <c r="B294" s="12">
        <v>1300000</v>
      </c>
      <c r="C294" s="12">
        <v>609042</v>
      </c>
      <c r="D294" s="12">
        <v>1999</v>
      </c>
      <c r="E294" s="12" t="str">
        <f>VLOOKUP(A294, Currency!$A$2:$B$100, 2, FALSE)</f>
        <v>USD</v>
      </c>
      <c r="F294" s="12">
        <f ca="1">IFERROR(__xludf.DUMMYFUNCTION("IF(E294=""USD"",B294,B294 * GOOGLEFINANCE(""CURRENCY:"" &amp; E294 &amp; ""USD""))
"),1300000)</f>
        <v>1300000</v>
      </c>
      <c r="G294" s="13">
        <f ca="1">IFERROR(__xludf.DUMMYFUNCTION("IF(E294=""USD"",C294,C294 * GOOGLEFINANCE(""CURRENCY:"" &amp; E294 &amp; ""USD""))
"),609042)</f>
        <v>609042</v>
      </c>
    </row>
    <row r="295" spans="1:7" ht="15.75" customHeight="1" x14ac:dyDescent="0.25">
      <c r="A295" s="14" t="s">
        <v>24</v>
      </c>
      <c r="B295" s="15">
        <v>7000000</v>
      </c>
      <c r="C295" s="15">
        <v>20257000</v>
      </c>
      <c r="D295" s="15">
        <v>1988</v>
      </c>
      <c r="E295" s="15" t="str">
        <f>VLOOKUP(A295, Currency!$A$2:$B$100, 2, FALSE)</f>
        <v>USD</v>
      </c>
      <c r="F295" s="15">
        <f ca="1">IFERROR(__xludf.DUMMYFUNCTION("IF(E295=""USD"",B295,B295 * GOOGLEFINANCE(""CURRENCY:"" &amp; E295 &amp; ""USD""))
"),7000000)</f>
        <v>7000000</v>
      </c>
      <c r="G295" s="16">
        <f ca="1">IFERROR(__xludf.DUMMYFUNCTION("IF(E295=""USD"",C295,C295 * GOOGLEFINANCE(""CURRENCY:"" &amp; E295 &amp; ""USD""))
"),20257000)</f>
        <v>20257000</v>
      </c>
    </row>
    <row r="296" spans="1:7" ht="15.75" customHeight="1" x14ac:dyDescent="0.25">
      <c r="A296" s="11" t="s">
        <v>24</v>
      </c>
      <c r="B296" s="12">
        <v>5000000</v>
      </c>
      <c r="C296" s="12">
        <v>2711210</v>
      </c>
      <c r="D296" s="12">
        <v>2010</v>
      </c>
      <c r="E296" s="12" t="str">
        <f>VLOOKUP(A296, Currency!$A$2:$B$100, 2, FALSE)</f>
        <v>USD</v>
      </c>
      <c r="F296" s="12">
        <f ca="1">IFERROR(__xludf.DUMMYFUNCTION("IF(E296=""USD"",B296,B296 * GOOGLEFINANCE(""CURRENCY:"" &amp; E296 &amp; ""USD""))
"),5000000)</f>
        <v>5000000</v>
      </c>
      <c r="G296" s="13">
        <f ca="1">IFERROR(__xludf.DUMMYFUNCTION("IF(E296=""USD"",C296,C296 * GOOGLEFINANCE(""CURRENCY:"" &amp; E296 &amp; ""USD""))
"),2711210)</f>
        <v>2711210</v>
      </c>
    </row>
    <row r="297" spans="1:7" ht="15.75" customHeight="1" x14ac:dyDescent="0.25">
      <c r="A297" s="14" t="s">
        <v>24</v>
      </c>
      <c r="B297" s="15">
        <v>25000000</v>
      </c>
      <c r="C297" s="15">
        <v>32055248</v>
      </c>
      <c r="D297" s="15">
        <v>1994</v>
      </c>
      <c r="E297" s="15" t="str">
        <f>VLOOKUP(A297, Currency!$A$2:$B$100, 2, FALSE)</f>
        <v>USD</v>
      </c>
      <c r="F297" s="15">
        <f ca="1">IFERROR(__xludf.DUMMYFUNCTION("IF(E297=""USD"",B297,B297 * GOOGLEFINANCE(""CURRENCY:"" &amp; E297 &amp; ""USD""))
"),25000000)</f>
        <v>25000000</v>
      </c>
      <c r="G297" s="16">
        <f ca="1">IFERROR(__xludf.DUMMYFUNCTION("IF(E297=""USD"",C297,C297 * GOOGLEFINANCE(""CURRENCY:"" &amp; E297 &amp; ""USD""))
"),32055248)</f>
        <v>32055248</v>
      </c>
    </row>
    <row r="298" spans="1:7" ht="15.75" customHeight="1" x14ac:dyDescent="0.25">
      <c r="A298" s="11" t="s">
        <v>24</v>
      </c>
      <c r="B298" s="12">
        <v>22000000</v>
      </c>
      <c r="C298" s="12">
        <v>121972</v>
      </c>
      <c r="D298" s="12">
        <v>2002</v>
      </c>
      <c r="E298" s="12" t="str">
        <f>VLOOKUP(A298, Currency!$A$2:$B$100, 2, FALSE)</f>
        <v>USD</v>
      </c>
      <c r="F298" s="12">
        <f ca="1">IFERROR(__xludf.DUMMYFUNCTION("IF(E298=""USD"",B298,B298 * GOOGLEFINANCE(""CURRENCY:"" &amp; E298 &amp; ""USD""))
"),22000000)</f>
        <v>22000000</v>
      </c>
      <c r="G298" s="13">
        <f ca="1">IFERROR(__xludf.DUMMYFUNCTION("IF(E298=""USD"",C298,C298 * GOOGLEFINANCE(""CURRENCY:"" &amp; E298 &amp; ""USD""))
"),121972)</f>
        <v>121972</v>
      </c>
    </row>
    <row r="299" spans="1:7" ht="15.75" customHeight="1" x14ac:dyDescent="0.25">
      <c r="A299" s="14" t="s">
        <v>24</v>
      </c>
      <c r="B299" s="15">
        <v>78000000</v>
      </c>
      <c r="C299" s="15">
        <v>119793567</v>
      </c>
      <c r="D299" s="15">
        <v>2013</v>
      </c>
      <c r="E299" s="15" t="str">
        <f>VLOOKUP(A299, Currency!$A$2:$B$100, 2, FALSE)</f>
        <v>USD</v>
      </c>
      <c r="F299" s="15">
        <f ca="1">IFERROR(__xludf.DUMMYFUNCTION("IF(E299=""USD"",B299,B299 * GOOGLEFINANCE(""CURRENCY:"" &amp; E299 &amp; ""USD""))
"),78000000)</f>
        <v>78000000</v>
      </c>
      <c r="G299" s="16">
        <f ca="1">IFERROR(__xludf.DUMMYFUNCTION("IF(E299=""USD"",C299,C299 * GOOGLEFINANCE(""CURRENCY:"" &amp; E299 &amp; ""USD""))
"),119793567)</f>
        <v>119793567</v>
      </c>
    </row>
    <row r="300" spans="1:7" ht="15.75" customHeight="1" x14ac:dyDescent="0.25">
      <c r="A300" s="11" t="s">
        <v>133</v>
      </c>
      <c r="B300" s="12">
        <v>7200000</v>
      </c>
      <c r="C300" s="12">
        <v>43800000</v>
      </c>
      <c r="D300" s="12">
        <v>1971</v>
      </c>
      <c r="E300" s="12" t="str">
        <f>VLOOKUP(A300, Currency!$A$2:$B$100, 2, FALSE)</f>
        <v>GBP</v>
      </c>
      <c r="F300" s="12">
        <f ca="1">IFERROR(__xludf.DUMMYFUNCTION("IF(E300=""USD"",B300,B300 * GOOGLEFINANCE(""CURRENCY:"" &amp; E300 &amp; ""USD""))
"),9254880)</f>
        <v>9254880</v>
      </c>
      <c r="G300" s="13">
        <f ca="1">IFERROR(__xludf.DUMMYFUNCTION("IF(E300=""USD"",C300,C300 * GOOGLEFINANCE(""CURRENCY:"" &amp; E300 &amp; ""USD""))
"),56300519.9999999)</f>
        <v>56300519.999999903</v>
      </c>
    </row>
    <row r="301" spans="1:7" ht="15.75" customHeight="1" x14ac:dyDescent="0.25">
      <c r="A301" s="14" t="s">
        <v>24</v>
      </c>
      <c r="B301" s="15">
        <v>11000000</v>
      </c>
      <c r="C301" s="15">
        <v>460935665</v>
      </c>
      <c r="D301" s="15">
        <v>1977</v>
      </c>
      <c r="E301" s="15" t="str">
        <f>VLOOKUP(A301, Currency!$A$2:$B$100, 2, FALSE)</f>
        <v>USD</v>
      </c>
      <c r="F301" s="15">
        <f ca="1">IFERROR(__xludf.DUMMYFUNCTION("IF(E301=""USD"",B301,B301 * GOOGLEFINANCE(""CURRENCY:"" &amp; E301 &amp; ""USD""))
"),11000000)</f>
        <v>11000000</v>
      </c>
      <c r="G301" s="16">
        <f ca="1">IFERROR(__xludf.DUMMYFUNCTION("IF(E301=""USD"",C301,C301 * GOOGLEFINANCE(""CURRENCY:"" &amp; E301 &amp; ""USD""))
"),460935665)</f>
        <v>460935665</v>
      </c>
    </row>
    <row r="302" spans="1:7" ht="15.75" customHeight="1" x14ac:dyDescent="0.25">
      <c r="A302" s="11" t="s">
        <v>133</v>
      </c>
      <c r="B302" s="12">
        <v>2800000</v>
      </c>
      <c r="C302" s="12">
        <v>1247453</v>
      </c>
      <c r="D302" s="12">
        <v>2005</v>
      </c>
      <c r="E302" s="12" t="str">
        <f>VLOOKUP(A302, Currency!$A$2:$B$100, 2, FALSE)</f>
        <v>GBP</v>
      </c>
      <c r="F302" s="12">
        <f ca="1">IFERROR(__xludf.DUMMYFUNCTION("IF(E302=""USD"",B302,B302 * GOOGLEFINANCE(""CURRENCY:"" &amp; E302 &amp; ""USD""))
"),3599119.99999999)</f>
        <v>3599119.9999999902</v>
      </c>
      <c r="G302" s="13">
        <f ca="1">IFERROR(__xludf.DUMMYFUNCTION("IF(E302=""USD"",C302,C302 * GOOGLEFINANCE(""CURRENCY:"" &amp; E302 &amp; ""USD""))
"),1603476.08619999)</f>
        <v>1603476.08619999</v>
      </c>
    </row>
    <row r="303" spans="1:7" ht="15.75" customHeight="1" x14ac:dyDescent="0.25">
      <c r="A303" s="14" t="s">
        <v>24</v>
      </c>
      <c r="B303" s="15">
        <v>135000000</v>
      </c>
      <c r="C303" s="15">
        <v>31704416</v>
      </c>
      <c r="D303" s="15">
        <v>2005</v>
      </c>
      <c r="E303" s="15" t="str">
        <f>VLOOKUP(A303, Currency!$A$2:$B$100, 2, FALSE)</f>
        <v>USD</v>
      </c>
      <c r="F303" s="15">
        <f ca="1">IFERROR(__xludf.DUMMYFUNCTION("IF(E303=""USD"",B303,B303 * GOOGLEFINANCE(""CURRENCY:"" &amp; E303 &amp; ""USD""))
"),135000000)</f>
        <v>135000000</v>
      </c>
      <c r="G303" s="16">
        <f ca="1">IFERROR(__xludf.DUMMYFUNCTION("IF(E303=""USD"",C303,C303 * GOOGLEFINANCE(""CURRENCY:"" &amp; E303 &amp; ""USD""))
"),31704416)</f>
        <v>31704416</v>
      </c>
    </row>
    <row r="304" spans="1:7" ht="15.75" customHeight="1" x14ac:dyDescent="0.25">
      <c r="A304" s="11" t="s">
        <v>24</v>
      </c>
      <c r="B304" s="12">
        <v>32000000</v>
      </c>
      <c r="C304" s="12">
        <v>37911876</v>
      </c>
      <c r="D304" s="12">
        <v>2011</v>
      </c>
      <c r="E304" s="12" t="str">
        <f>VLOOKUP(A304, Currency!$A$2:$B$100, 2, FALSE)</f>
        <v>USD</v>
      </c>
      <c r="F304" s="12">
        <f ca="1">IFERROR(__xludf.DUMMYFUNCTION("IF(E304=""USD"",B304,B304 * GOOGLEFINANCE(""CURRENCY:"" &amp; E304 &amp; ""USD""))
"),32000000)</f>
        <v>32000000</v>
      </c>
      <c r="G304" s="13">
        <f ca="1">IFERROR(__xludf.DUMMYFUNCTION("IF(E304=""USD"",C304,C304 * GOOGLEFINANCE(""CURRENCY:"" &amp; E304 &amp; ""USD""))
"),37911876)</f>
        <v>37911876</v>
      </c>
    </row>
    <row r="305" spans="1:7" ht="15.75" customHeight="1" x14ac:dyDescent="0.25">
      <c r="A305" s="14" t="s">
        <v>24</v>
      </c>
      <c r="B305" s="15">
        <v>50000000</v>
      </c>
      <c r="C305" s="15">
        <v>50007168</v>
      </c>
      <c r="D305" s="15">
        <v>1997</v>
      </c>
      <c r="E305" s="15" t="str">
        <f>VLOOKUP(A305, Currency!$A$2:$B$100, 2, FALSE)</f>
        <v>USD</v>
      </c>
      <c r="F305" s="15">
        <f ca="1">IFERROR(__xludf.DUMMYFUNCTION("IF(E305=""USD"",B305,B305 * GOOGLEFINANCE(""CURRENCY:"" &amp; E305 &amp; ""USD""))
"),50000000)</f>
        <v>50000000</v>
      </c>
      <c r="G305" s="16">
        <f ca="1">IFERROR(__xludf.DUMMYFUNCTION("IF(E305=""USD"",C305,C305 * GOOGLEFINANCE(""CURRENCY:"" &amp; E305 &amp; ""USD""))
"),50007168)</f>
        <v>50007168</v>
      </c>
    </row>
    <row r="306" spans="1:7" ht="15.75" customHeight="1" x14ac:dyDescent="0.25">
      <c r="A306" s="11" t="s">
        <v>24</v>
      </c>
      <c r="B306" s="12">
        <v>16000000</v>
      </c>
      <c r="C306" s="12">
        <v>2849142</v>
      </c>
      <c r="D306" s="12">
        <v>2007</v>
      </c>
      <c r="E306" s="12" t="str">
        <f>VLOOKUP(A306, Currency!$A$2:$B$100, 2, FALSE)</f>
        <v>USD</v>
      </c>
      <c r="F306" s="12">
        <f ca="1">IFERROR(__xludf.DUMMYFUNCTION("IF(E306=""USD"",B306,B306 * GOOGLEFINANCE(""CURRENCY:"" &amp; E306 &amp; ""USD""))
"),16000000)</f>
        <v>16000000</v>
      </c>
      <c r="G306" s="13">
        <f ca="1">IFERROR(__xludf.DUMMYFUNCTION("IF(E306=""USD"",C306,C306 * GOOGLEFINANCE(""CURRENCY:"" &amp; E306 &amp; ""USD""))
"),2849142)</f>
        <v>2849142</v>
      </c>
    </row>
    <row r="307" spans="1:7" ht="15.75" customHeight="1" x14ac:dyDescent="0.25">
      <c r="A307" s="14" t="s">
        <v>24</v>
      </c>
      <c r="B307" s="15">
        <v>40000000</v>
      </c>
      <c r="C307" s="15">
        <v>26404753</v>
      </c>
      <c r="D307" s="15">
        <v>2012</v>
      </c>
      <c r="E307" s="15" t="str">
        <f>VLOOKUP(A307, Currency!$A$2:$B$100, 2, FALSE)</f>
        <v>USD</v>
      </c>
      <c r="F307" s="15">
        <f ca="1">IFERROR(__xludf.DUMMYFUNCTION("IF(E307=""USD"",B307,B307 * GOOGLEFINANCE(""CURRENCY:"" &amp; E307 &amp; ""USD""))
"),40000000)</f>
        <v>40000000</v>
      </c>
      <c r="G307" s="16">
        <f ca="1">IFERROR(__xludf.DUMMYFUNCTION("IF(E307=""USD"",C307,C307 * GOOGLEFINANCE(""CURRENCY:"" &amp; E307 &amp; ""USD""))
"),26404753)</f>
        <v>26404753</v>
      </c>
    </row>
    <row r="308" spans="1:7" ht="15.75" customHeight="1" x14ac:dyDescent="0.25">
      <c r="A308" s="11" t="s">
        <v>24</v>
      </c>
      <c r="B308" s="12">
        <v>20000000</v>
      </c>
      <c r="C308" s="12">
        <v>3749061</v>
      </c>
      <c r="D308" s="12">
        <v>2012</v>
      </c>
      <c r="E308" s="12" t="str">
        <f>VLOOKUP(A308, Currency!$A$2:$B$100, 2, FALSE)</f>
        <v>USD</v>
      </c>
      <c r="F308" s="12">
        <f ca="1">IFERROR(__xludf.DUMMYFUNCTION("IF(E308=""USD"",B308,B308 * GOOGLEFINANCE(""CURRENCY:"" &amp; E308 &amp; ""USD""))
"),20000000)</f>
        <v>20000000</v>
      </c>
      <c r="G308" s="13">
        <f ca="1">IFERROR(__xludf.DUMMYFUNCTION("IF(E308=""USD"",C308,C308 * GOOGLEFINANCE(""CURRENCY:"" &amp; E308 &amp; ""USD""))
"),3749061)</f>
        <v>3749061</v>
      </c>
    </row>
    <row r="309" spans="1:7" ht="15.75" customHeight="1" x14ac:dyDescent="0.25">
      <c r="A309" s="14" t="s">
        <v>24</v>
      </c>
      <c r="B309" s="15">
        <v>25000000</v>
      </c>
      <c r="C309" s="15">
        <v>30222640</v>
      </c>
      <c r="D309" s="15">
        <v>2003</v>
      </c>
      <c r="E309" s="15" t="str">
        <f>VLOOKUP(A309, Currency!$A$2:$B$100, 2, FALSE)</f>
        <v>USD</v>
      </c>
      <c r="F309" s="15">
        <f ca="1">IFERROR(__xludf.DUMMYFUNCTION("IF(E309=""USD"",B309,B309 * GOOGLEFINANCE(""CURRENCY:"" &amp; E309 &amp; ""USD""))
"),25000000)</f>
        <v>25000000</v>
      </c>
      <c r="G309" s="16">
        <f ca="1">IFERROR(__xludf.DUMMYFUNCTION("IF(E309=""USD"",C309,C309 * GOOGLEFINANCE(""CURRENCY:"" &amp; E309 &amp; ""USD""))
"),30222640)</f>
        <v>30222640</v>
      </c>
    </row>
    <row r="310" spans="1:7" ht="15.75" customHeight="1" x14ac:dyDescent="0.25">
      <c r="A310" s="11" t="s">
        <v>24</v>
      </c>
      <c r="B310" s="12">
        <v>6000000</v>
      </c>
      <c r="C310" s="12">
        <v>23272306</v>
      </c>
      <c r="D310" s="12">
        <v>1995</v>
      </c>
      <c r="E310" s="12" t="str">
        <f>VLOOKUP(A310, Currency!$A$2:$B$100, 2, FALSE)</f>
        <v>USD</v>
      </c>
      <c r="F310" s="12">
        <f ca="1">IFERROR(__xludf.DUMMYFUNCTION("IF(E310=""USD"",B310,B310 * GOOGLEFINANCE(""CURRENCY:"" &amp; E310 &amp; ""USD""))
"),6000000)</f>
        <v>6000000</v>
      </c>
      <c r="G310" s="13">
        <f ca="1">IFERROR(__xludf.DUMMYFUNCTION("IF(E310=""USD"",C310,C310 * GOOGLEFINANCE(""CURRENCY:"" &amp; E310 &amp; ""USD""))
"),23272306)</f>
        <v>23272306</v>
      </c>
    </row>
    <row r="311" spans="1:7" ht="15.75" customHeight="1" x14ac:dyDescent="0.25">
      <c r="A311" s="14" t="s">
        <v>24</v>
      </c>
      <c r="B311" s="15">
        <v>132000000</v>
      </c>
      <c r="C311" s="15">
        <v>234277056</v>
      </c>
      <c r="D311" s="15">
        <v>2005</v>
      </c>
      <c r="E311" s="15" t="str">
        <f>VLOOKUP(A311, Currency!$A$2:$B$100, 2, FALSE)</f>
        <v>USD</v>
      </c>
      <c r="F311" s="15">
        <f ca="1">IFERROR(__xludf.DUMMYFUNCTION("IF(E311=""USD"",B311,B311 * GOOGLEFINANCE(""CURRENCY:"" &amp; E311 &amp; ""USD""))
"),132000000)</f>
        <v>132000000</v>
      </c>
      <c r="G311" s="16">
        <f ca="1">IFERROR(__xludf.DUMMYFUNCTION("IF(E311=""USD"",C311,C311 * GOOGLEFINANCE(""CURRENCY:"" &amp; E311 &amp; ""USD""))
"),234277056)</f>
        <v>234277056</v>
      </c>
    </row>
    <row r="312" spans="1:7" ht="15.75" customHeight="1" x14ac:dyDescent="0.25">
      <c r="A312" s="11" t="s">
        <v>24</v>
      </c>
      <c r="B312" s="12">
        <v>12000000</v>
      </c>
      <c r="C312" s="12">
        <v>4884663</v>
      </c>
      <c r="D312" s="12">
        <v>1986</v>
      </c>
      <c r="E312" s="12" t="str">
        <f>VLOOKUP(A312, Currency!$A$2:$B$100, 2, FALSE)</f>
        <v>USD</v>
      </c>
      <c r="F312" s="12">
        <f ca="1">IFERROR(__xludf.DUMMYFUNCTION("IF(E312=""USD"",B312,B312 * GOOGLEFINANCE(""CURRENCY:"" &amp; E312 &amp; ""USD""))
"),12000000)</f>
        <v>12000000</v>
      </c>
      <c r="G312" s="13">
        <f ca="1">IFERROR(__xludf.DUMMYFUNCTION("IF(E312=""USD"",C312,C312 * GOOGLEFINANCE(""CURRENCY:"" &amp; E312 &amp; ""USD""))
"),4884663)</f>
        <v>4884663</v>
      </c>
    </row>
    <row r="313" spans="1:7" ht="15.75" customHeight="1" x14ac:dyDescent="0.25">
      <c r="A313" s="14" t="s">
        <v>611</v>
      </c>
      <c r="B313" s="15">
        <v>20000000</v>
      </c>
      <c r="C313" s="15">
        <v>24104113</v>
      </c>
      <c r="D313" s="15">
        <v>2011</v>
      </c>
      <c r="E313" s="15" t="str">
        <f>VLOOKUP(A313, Currency!$A$2:$B$100, 2, FALSE)</f>
        <v>EUR</v>
      </c>
      <c r="F313" s="15">
        <f ca="1">IFERROR(__xludf.DUMMYFUNCTION("IF(E313=""USD"",B313,B313 * GOOGLEFINANCE(""CURRENCY:"" &amp; E313 &amp; ""USD""))
"),21694800)</f>
        <v>21694800</v>
      </c>
      <c r="G313" s="16">
        <f ca="1">IFERROR(__xludf.DUMMYFUNCTION("IF(E313=""USD"",C313,C313 * GOOGLEFINANCE(""CURRENCY:"" &amp; E313 &amp; ""USD""))
"),26146695.53562)</f>
        <v>26146695.53562</v>
      </c>
    </row>
    <row r="314" spans="1:7" ht="15.75" customHeight="1" x14ac:dyDescent="0.25">
      <c r="A314" s="11" t="s">
        <v>24</v>
      </c>
      <c r="B314" s="12">
        <v>13000000</v>
      </c>
      <c r="C314" s="12">
        <v>8026971</v>
      </c>
      <c r="D314" s="12">
        <v>1998</v>
      </c>
      <c r="E314" s="12" t="str">
        <f>VLOOKUP(A314, Currency!$A$2:$B$100, 2, FALSE)</f>
        <v>USD</v>
      </c>
      <c r="F314" s="12">
        <f ca="1">IFERROR(__xludf.DUMMYFUNCTION("IF(E314=""USD"",B314,B314 * GOOGLEFINANCE(""CURRENCY:"" &amp; E314 &amp; ""USD""))
"),13000000)</f>
        <v>13000000</v>
      </c>
      <c r="G314" s="13">
        <f ca="1">IFERROR(__xludf.DUMMYFUNCTION("IF(E314=""USD"",C314,C314 * GOOGLEFINANCE(""CURRENCY:"" &amp; E314 &amp; ""USD""))
"),8026971)</f>
        <v>8026971</v>
      </c>
    </row>
    <row r="315" spans="1:7" ht="15.75" customHeight="1" x14ac:dyDescent="0.25">
      <c r="A315" s="14" t="s">
        <v>24</v>
      </c>
      <c r="B315" s="15">
        <v>21000000</v>
      </c>
      <c r="C315" s="15">
        <v>8855646</v>
      </c>
      <c r="D315" s="15">
        <v>2009</v>
      </c>
      <c r="E315" s="15" t="str">
        <f>VLOOKUP(A315, Currency!$A$2:$B$100, 2, FALSE)</f>
        <v>USD</v>
      </c>
      <c r="F315" s="15">
        <f ca="1">IFERROR(__xludf.DUMMYFUNCTION("IF(E315=""USD"",B315,B315 * GOOGLEFINANCE(""CURRENCY:"" &amp; E315 &amp; ""USD""))
"),21000000)</f>
        <v>21000000</v>
      </c>
      <c r="G315" s="16">
        <f ca="1">IFERROR(__xludf.DUMMYFUNCTION("IF(E315=""USD"",C315,C315 * GOOGLEFINANCE(""CURRENCY:"" &amp; E315 &amp; ""USD""))
"),8855646)</f>
        <v>8855646</v>
      </c>
    </row>
    <row r="316" spans="1:7" ht="15.75" customHeight="1" x14ac:dyDescent="0.25">
      <c r="A316" s="11" t="s">
        <v>24</v>
      </c>
      <c r="B316" s="12">
        <v>9400000</v>
      </c>
      <c r="C316" s="12">
        <v>46300000</v>
      </c>
      <c r="D316" s="12">
        <v>1963</v>
      </c>
      <c r="E316" s="12" t="str">
        <f>VLOOKUP(A316, Currency!$A$2:$B$100, 2, FALSE)</f>
        <v>USD</v>
      </c>
      <c r="F316" s="12">
        <f ca="1">IFERROR(__xludf.DUMMYFUNCTION("IF(E316=""USD"",B316,B316 * GOOGLEFINANCE(""CURRENCY:"" &amp; E316 &amp; ""USD""))
"),9400000)</f>
        <v>9400000</v>
      </c>
      <c r="G316" s="13">
        <f ca="1">IFERROR(__xludf.DUMMYFUNCTION("IF(E316=""USD"",C316,C316 * GOOGLEFINANCE(""CURRENCY:"" &amp; E316 &amp; ""USD""))
"),46300000)</f>
        <v>46300000</v>
      </c>
    </row>
    <row r="317" spans="1:7" ht="15.75" customHeight="1" x14ac:dyDescent="0.25">
      <c r="A317" s="14" t="s">
        <v>627</v>
      </c>
      <c r="B317" s="15">
        <v>10000000</v>
      </c>
      <c r="C317" s="15">
        <v>1011054</v>
      </c>
      <c r="D317" s="15">
        <v>2003</v>
      </c>
      <c r="E317" s="15" t="str">
        <f>VLOOKUP(A317, Currency!$A$2:$B$100, 2, FALSE)</f>
        <v>CAD</v>
      </c>
      <c r="F317" s="15">
        <f ca="1">IFERROR(__xludf.DUMMYFUNCTION("IF(E317=""USD"",B317,B317 * GOOGLEFINANCE(""CURRENCY:"" &amp; E317 &amp; ""USD""))
"),7234050)</f>
        <v>7234050</v>
      </c>
      <c r="G317" s="16">
        <f ca="1">IFERROR(__xludf.DUMMYFUNCTION("IF(E317=""USD"",C317,C317 * GOOGLEFINANCE(""CURRENCY:"" &amp; E317 &amp; ""USD""))
"),731401.518869999)</f>
        <v>731401.51886999898</v>
      </c>
    </row>
    <row r="318" spans="1:7" ht="15.75" customHeight="1" x14ac:dyDescent="0.25">
      <c r="A318" s="11" t="s">
        <v>24</v>
      </c>
      <c r="B318" s="12">
        <v>10000000</v>
      </c>
      <c r="C318" s="12">
        <v>8070311</v>
      </c>
      <c r="D318" s="12">
        <v>2004</v>
      </c>
      <c r="E318" s="12" t="str">
        <f>VLOOKUP(A318, Currency!$A$2:$B$100, 2, FALSE)</f>
        <v>USD</v>
      </c>
      <c r="F318" s="12">
        <f ca="1">IFERROR(__xludf.DUMMYFUNCTION("IF(E318=""USD"",B318,B318 * GOOGLEFINANCE(""CURRENCY:"" &amp; E318 &amp; ""USD""))
"),10000000)</f>
        <v>10000000</v>
      </c>
      <c r="G318" s="13">
        <f ca="1">IFERROR(__xludf.DUMMYFUNCTION("IF(E318=""USD"",C318,C318 * GOOGLEFINANCE(""CURRENCY:"" &amp; E318 &amp; ""USD""))
"),8070311)</f>
        <v>8070311</v>
      </c>
    </row>
    <row r="319" spans="1:7" ht="15.75" customHeight="1" x14ac:dyDescent="0.25">
      <c r="A319" s="14" t="s">
        <v>24</v>
      </c>
      <c r="B319" s="15">
        <v>258000000</v>
      </c>
      <c r="C319" s="15">
        <v>336530303</v>
      </c>
      <c r="D319" s="15">
        <v>2007</v>
      </c>
      <c r="E319" s="15" t="str">
        <f>VLOOKUP(A319, Currency!$A$2:$B$100, 2, FALSE)</f>
        <v>USD</v>
      </c>
      <c r="F319" s="15">
        <f ca="1">IFERROR(__xludf.DUMMYFUNCTION("IF(E319=""USD"",B319,B319 * GOOGLEFINANCE(""CURRENCY:"" &amp; E319 &amp; ""USD""))
"),258000000)</f>
        <v>258000000</v>
      </c>
      <c r="G319" s="16">
        <f ca="1">IFERROR(__xludf.DUMMYFUNCTION("IF(E319=""USD"",C319,C319 * GOOGLEFINANCE(""CURRENCY:"" &amp; E319 &amp; ""USD""))
"),336530303)</f>
        <v>336530303</v>
      </c>
    </row>
    <row r="320" spans="1:7" ht="15.75" customHeight="1" x14ac:dyDescent="0.25">
      <c r="A320" s="11" t="s">
        <v>24</v>
      </c>
      <c r="B320" s="12">
        <v>160000000</v>
      </c>
      <c r="C320" s="12">
        <v>292568851</v>
      </c>
      <c r="D320" s="12">
        <v>2010</v>
      </c>
      <c r="E320" s="12" t="str">
        <f>VLOOKUP(A320, Currency!$A$2:$B$100, 2, FALSE)</f>
        <v>USD</v>
      </c>
      <c r="F320" s="12">
        <f ca="1">IFERROR(__xludf.DUMMYFUNCTION("IF(E320=""USD"",B320,B320 * GOOGLEFINANCE(""CURRENCY:"" &amp; E320 &amp; ""USD""))
"),160000000)</f>
        <v>160000000</v>
      </c>
      <c r="G320" s="13">
        <f ca="1">IFERROR(__xludf.DUMMYFUNCTION("IF(E320=""USD"",C320,C320 * GOOGLEFINANCE(""CURRENCY:"" &amp; E320 &amp; ""USD""))
"),292568851)</f>
        <v>292568851</v>
      </c>
    </row>
    <row r="321" spans="1:7" ht="15.75" customHeight="1" x14ac:dyDescent="0.25">
      <c r="A321" s="14" t="s">
        <v>24</v>
      </c>
      <c r="B321" s="15">
        <v>218</v>
      </c>
      <c r="C321" s="15">
        <v>592014</v>
      </c>
      <c r="D321" s="15">
        <v>2003</v>
      </c>
      <c r="E321" s="15" t="str">
        <f>VLOOKUP(A321, Currency!$A$2:$B$100, 2, FALSE)</f>
        <v>USD</v>
      </c>
      <c r="F321" s="15">
        <f ca="1">IFERROR(__xludf.DUMMYFUNCTION("IF(E321=""USD"",B321,B321 * GOOGLEFINANCE(""CURRENCY:"" &amp; E321 &amp; ""USD""))
"),218)</f>
        <v>218</v>
      </c>
      <c r="G321" s="16">
        <f ca="1">IFERROR(__xludf.DUMMYFUNCTION("IF(E321=""USD"",C321,C321 * GOOGLEFINANCE(""CURRENCY:"" &amp; E321 &amp; ""USD""))
"),592014)</f>
        <v>592014</v>
      </c>
    </row>
    <row r="322" spans="1:7" ht="15.75" customHeight="1" x14ac:dyDescent="0.25">
      <c r="A322" s="11" t="s">
        <v>24</v>
      </c>
      <c r="B322" s="12">
        <v>4900000</v>
      </c>
      <c r="C322" s="12">
        <v>56536016</v>
      </c>
      <c r="D322" s="12">
        <v>2016</v>
      </c>
      <c r="E322" s="12" t="str">
        <f>VLOOKUP(A322, Currency!$A$2:$B$100, 2, FALSE)</f>
        <v>USD</v>
      </c>
      <c r="F322" s="12">
        <f ca="1">IFERROR(__xludf.DUMMYFUNCTION("IF(E322=""USD"",B322,B322 * GOOGLEFINANCE(""CURRENCY:"" &amp; E322 &amp; ""USD""))
"),4900000)</f>
        <v>4900000</v>
      </c>
      <c r="G322" s="13">
        <f ca="1">IFERROR(__xludf.DUMMYFUNCTION("IF(E322=""USD"",C322,C322 * GOOGLEFINANCE(""CURRENCY:"" &amp; E322 &amp; ""USD""))
"),56536016)</f>
        <v>56536016</v>
      </c>
    </row>
    <row r="323" spans="1:7" ht="15.75" customHeight="1" x14ac:dyDescent="0.25">
      <c r="A323" s="14" t="s">
        <v>24</v>
      </c>
      <c r="B323" s="15">
        <v>70000000</v>
      </c>
      <c r="C323" s="15">
        <v>18821279</v>
      </c>
      <c r="D323" s="15">
        <v>2014</v>
      </c>
      <c r="E323" s="15" t="str">
        <f>VLOOKUP(A323, Currency!$A$2:$B$100, 2, FALSE)</f>
        <v>USD</v>
      </c>
      <c r="F323" s="15">
        <f ca="1">IFERROR(__xludf.DUMMYFUNCTION("IF(E323=""USD"",B323,B323 * GOOGLEFINANCE(""CURRENCY:"" &amp; E323 &amp; ""USD""))
"),70000000)</f>
        <v>70000000</v>
      </c>
      <c r="G323" s="16">
        <f ca="1">IFERROR(__xludf.DUMMYFUNCTION("IF(E323=""USD"",C323,C323 * GOOGLEFINANCE(""CURRENCY:"" &amp; E323 &amp; ""USD""))
"),18821279)</f>
        <v>18821279</v>
      </c>
    </row>
    <row r="324" spans="1:7" ht="15.75" customHeight="1" x14ac:dyDescent="0.25">
      <c r="A324" s="11" t="s">
        <v>611</v>
      </c>
      <c r="B324" s="12">
        <v>14000000</v>
      </c>
      <c r="C324" s="12">
        <v>63260</v>
      </c>
      <c r="D324" s="12">
        <v>2006</v>
      </c>
      <c r="E324" s="12" t="str">
        <f>VLOOKUP(A324, Currency!$A$2:$B$100, 2, FALSE)</f>
        <v>EUR</v>
      </c>
      <c r="F324" s="12">
        <f ca="1">IFERROR(__xludf.DUMMYFUNCTION("IF(E324=""USD"",B324,B324 * GOOGLEFINANCE(""CURRENCY:"" &amp; E324 &amp; ""USD""))
"),15186360)</f>
        <v>15186360</v>
      </c>
      <c r="G324" s="13">
        <f ca="1">IFERROR(__xludf.DUMMYFUNCTION("IF(E324=""USD"",C324,C324 * GOOGLEFINANCE(""CURRENCY:"" &amp; E324 &amp; ""USD""))
"),68620.6524)</f>
        <v>68620.652400000006</v>
      </c>
    </row>
    <row r="325" spans="1:7" ht="15.75" customHeight="1" x14ac:dyDescent="0.25">
      <c r="A325" s="14" t="s">
        <v>24</v>
      </c>
      <c r="B325" s="15">
        <v>150000000</v>
      </c>
      <c r="C325" s="15">
        <v>133382309</v>
      </c>
      <c r="D325" s="15">
        <v>2006</v>
      </c>
      <c r="E325" s="15" t="str">
        <f>VLOOKUP(A325, Currency!$A$2:$B$100, 2, FALSE)</f>
        <v>USD</v>
      </c>
      <c r="F325" s="15">
        <f ca="1">IFERROR(__xludf.DUMMYFUNCTION("IF(E325=""USD"",B325,B325 * GOOGLEFINANCE(""CURRENCY:"" &amp; E325 &amp; ""USD""))
"),150000000)</f>
        <v>150000000</v>
      </c>
      <c r="G325" s="16">
        <f ca="1">IFERROR(__xludf.DUMMYFUNCTION("IF(E325=""USD"",C325,C325 * GOOGLEFINANCE(""CURRENCY:"" &amp; E325 &amp; ""USD""))
"),133382309)</f>
        <v>133382309</v>
      </c>
    </row>
    <row r="326" spans="1:7" ht="15.75" customHeight="1" x14ac:dyDescent="0.25">
      <c r="A326" s="11" t="s">
        <v>24</v>
      </c>
      <c r="B326" s="12">
        <v>3000000</v>
      </c>
      <c r="C326" s="12">
        <v>39852</v>
      </c>
      <c r="D326" s="12">
        <v>1999</v>
      </c>
      <c r="E326" s="12" t="str">
        <f>VLOOKUP(A326, Currency!$A$2:$B$100, 2, FALSE)</f>
        <v>USD</v>
      </c>
      <c r="F326" s="12">
        <f ca="1">IFERROR(__xludf.DUMMYFUNCTION("IF(E326=""USD"",B326,B326 * GOOGLEFINANCE(""CURRENCY:"" &amp; E326 &amp; ""USD""))
"),3000000)</f>
        <v>3000000</v>
      </c>
      <c r="G326" s="13">
        <f ca="1">IFERROR(__xludf.DUMMYFUNCTION("IF(E326=""USD"",C326,C326 * GOOGLEFINANCE(""CURRENCY:"" &amp; E326 &amp; ""USD""))
"),39852)</f>
        <v>39852</v>
      </c>
    </row>
    <row r="327" spans="1:7" ht="15.75" customHeight="1" x14ac:dyDescent="0.25">
      <c r="A327" s="14" t="s">
        <v>24</v>
      </c>
      <c r="B327" s="15">
        <v>34000000</v>
      </c>
      <c r="C327" s="15">
        <v>102413606</v>
      </c>
      <c r="D327" s="15">
        <v>2014</v>
      </c>
      <c r="E327" s="15" t="str">
        <f>VLOOKUP(A327, Currency!$A$2:$B$100, 2, FALSE)</f>
        <v>USD</v>
      </c>
      <c r="F327" s="15">
        <f ca="1">IFERROR(__xludf.DUMMYFUNCTION("IF(E327=""USD"",B327,B327 * GOOGLEFINANCE(""CURRENCY:"" &amp; E327 &amp; ""USD""))
"),34000000)</f>
        <v>34000000</v>
      </c>
      <c r="G327" s="16">
        <f ca="1">IFERROR(__xludf.DUMMYFUNCTION("IF(E327=""USD"",C327,C327 * GOOGLEFINANCE(""CURRENCY:"" &amp; E327 &amp; ""USD""))
"),102413606)</f>
        <v>102413606</v>
      </c>
    </row>
    <row r="328" spans="1:7" ht="15.75" customHeight="1" x14ac:dyDescent="0.25">
      <c r="A328" s="11" t="s">
        <v>24</v>
      </c>
      <c r="B328" s="12">
        <v>35000000</v>
      </c>
      <c r="C328" s="12">
        <v>80276912</v>
      </c>
      <c r="D328" s="12">
        <v>2008</v>
      </c>
      <c r="E328" s="12" t="str">
        <f>VLOOKUP(A328, Currency!$A$2:$B$100, 2, FALSE)</f>
        <v>USD</v>
      </c>
      <c r="F328" s="12">
        <f ca="1">IFERROR(__xludf.DUMMYFUNCTION("IF(E328=""USD"",B328,B328 * GOOGLEFINANCE(""CURRENCY:"" &amp; E328 &amp; ""USD""))
"),35000000)</f>
        <v>35000000</v>
      </c>
      <c r="G328" s="13">
        <f ca="1">IFERROR(__xludf.DUMMYFUNCTION("IF(E328=""USD"",C328,C328 * GOOGLEFINANCE(""CURRENCY:"" &amp; E328 &amp; ""USD""))
"),80276912)</f>
        <v>80276912</v>
      </c>
    </row>
    <row r="329" spans="1:7" ht="15.75" customHeight="1" x14ac:dyDescent="0.25">
      <c r="A329" s="14" t="s">
        <v>24</v>
      </c>
      <c r="B329" s="15">
        <v>3500000</v>
      </c>
      <c r="C329" s="15">
        <v>29233</v>
      </c>
      <c r="D329" s="15">
        <v>2015</v>
      </c>
      <c r="E329" s="15" t="str">
        <f>VLOOKUP(A329, Currency!$A$2:$B$100, 2, FALSE)</f>
        <v>USD</v>
      </c>
      <c r="F329" s="15">
        <f ca="1">IFERROR(__xludf.DUMMYFUNCTION("IF(E329=""USD"",B329,B329 * GOOGLEFINANCE(""CURRENCY:"" &amp; E329 &amp; ""USD""))
"),3500000)</f>
        <v>3500000</v>
      </c>
      <c r="G329" s="16">
        <f ca="1">IFERROR(__xludf.DUMMYFUNCTION("IF(E329=""USD"",C329,C329 * GOOGLEFINANCE(""CURRENCY:"" &amp; E329 &amp; ""USD""))
"),29233)</f>
        <v>29233</v>
      </c>
    </row>
    <row r="330" spans="1:7" ht="15.75" customHeight="1" x14ac:dyDescent="0.25">
      <c r="A330" s="11" t="s">
        <v>24</v>
      </c>
      <c r="B330" s="12">
        <v>125000000</v>
      </c>
      <c r="C330" s="12">
        <v>190871240</v>
      </c>
      <c r="D330" s="12">
        <v>2014</v>
      </c>
      <c r="E330" s="12" t="str">
        <f>VLOOKUP(A330, Currency!$A$2:$B$100, 2, FALSE)</f>
        <v>USD</v>
      </c>
      <c r="F330" s="12">
        <f ca="1">IFERROR(__xludf.DUMMYFUNCTION("IF(E330=""USD"",B330,B330 * GOOGLEFINANCE(""CURRENCY:"" &amp; E330 &amp; ""USD""))
"),125000000)</f>
        <v>125000000</v>
      </c>
      <c r="G330" s="13">
        <f ca="1">IFERROR(__xludf.DUMMYFUNCTION("IF(E330=""USD"",C330,C330 * GOOGLEFINANCE(""CURRENCY:"" &amp; E330 &amp; ""USD""))
"),190871240)</f>
        <v>190871240</v>
      </c>
    </row>
    <row r="331" spans="1:7" ht="15.75" customHeight="1" x14ac:dyDescent="0.25">
      <c r="A331" s="14" t="s">
        <v>24</v>
      </c>
      <c r="B331" s="15">
        <v>175000000</v>
      </c>
      <c r="C331" s="15">
        <v>88246220</v>
      </c>
      <c r="D331" s="15">
        <v>1995</v>
      </c>
      <c r="E331" s="15" t="str">
        <f>VLOOKUP(A331, Currency!$A$2:$B$100, 2, FALSE)</f>
        <v>USD</v>
      </c>
      <c r="F331" s="15">
        <f ca="1">IFERROR(__xludf.DUMMYFUNCTION("IF(E331=""USD"",B331,B331 * GOOGLEFINANCE(""CURRENCY:"" &amp; E331 &amp; ""USD""))
"),175000000)</f>
        <v>175000000</v>
      </c>
      <c r="G331" s="16">
        <f ca="1">IFERROR(__xludf.DUMMYFUNCTION("IF(E331=""USD"",C331,C331 * GOOGLEFINANCE(""CURRENCY:"" &amp; E331 &amp; ""USD""))
"),88246220)</f>
        <v>88246220</v>
      </c>
    </row>
    <row r="332" spans="1:7" ht="15.75" customHeight="1" x14ac:dyDescent="0.25">
      <c r="A332" s="11" t="s">
        <v>24</v>
      </c>
      <c r="B332" s="12">
        <v>21000000</v>
      </c>
      <c r="C332" s="12">
        <v>52008288</v>
      </c>
      <c r="D332" s="12">
        <v>1999</v>
      </c>
      <c r="E332" s="12" t="str">
        <f>VLOOKUP(A332, Currency!$A$2:$B$100, 2, FALSE)</f>
        <v>USD</v>
      </c>
      <c r="F332" s="12">
        <f ca="1">IFERROR(__xludf.DUMMYFUNCTION("IF(E332=""USD"",B332,B332 * GOOGLEFINANCE(""CURRENCY:"" &amp; E332 &amp; ""USD""))
"),21000000)</f>
        <v>21000000</v>
      </c>
      <c r="G332" s="13">
        <f ca="1">IFERROR(__xludf.DUMMYFUNCTION("IF(E332=""USD"",C332,C332 * GOOGLEFINANCE(""CURRENCY:"" &amp; E332 &amp; ""USD""))
"),52008288)</f>
        <v>52008288</v>
      </c>
    </row>
    <row r="333" spans="1:7" ht="15.75" customHeight="1" x14ac:dyDescent="0.25">
      <c r="A333" s="14" t="s">
        <v>24</v>
      </c>
      <c r="B333" s="15">
        <v>38000000</v>
      </c>
      <c r="C333" s="15">
        <v>10300000</v>
      </c>
      <c r="D333" s="15">
        <v>1996</v>
      </c>
      <c r="E333" s="15" t="str">
        <f>VLOOKUP(A333, Currency!$A$2:$B$100, 2, FALSE)</f>
        <v>USD</v>
      </c>
      <c r="F333" s="15">
        <f ca="1">IFERROR(__xludf.DUMMYFUNCTION("IF(E333=""USD"",B333,B333 * GOOGLEFINANCE(""CURRENCY:"" &amp; E333 &amp; ""USD""))
"),38000000)</f>
        <v>38000000</v>
      </c>
      <c r="G333" s="16">
        <f ca="1">IFERROR(__xludf.DUMMYFUNCTION("IF(E333=""USD"",C333,C333 * GOOGLEFINANCE(""CURRENCY:"" &amp; E333 &amp; ""USD""))
"),10300000)</f>
        <v>10300000</v>
      </c>
    </row>
    <row r="334" spans="1:7" ht="15.75" customHeight="1" x14ac:dyDescent="0.25">
      <c r="A334" s="11" t="s">
        <v>24</v>
      </c>
      <c r="B334" s="12">
        <v>75000000</v>
      </c>
      <c r="C334" s="12">
        <v>38509342</v>
      </c>
      <c r="D334" s="12">
        <v>2012</v>
      </c>
      <c r="E334" s="12" t="str">
        <f>VLOOKUP(A334, Currency!$A$2:$B$100, 2, FALSE)</f>
        <v>USD</v>
      </c>
      <c r="F334" s="12">
        <f ca="1">IFERROR(__xludf.DUMMYFUNCTION("IF(E334=""USD"",B334,B334 * GOOGLEFINANCE(""CURRENCY:"" &amp; E334 &amp; ""USD""))
"),75000000)</f>
        <v>75000000</v>
      </c>
      <c r="G334" s="13">
        <f ca="1">IFERROR(__xludf.DUMMYFUNCTION("IF(E334=""USD"",C334,C334 * GOOGLEFINANCE(""CURRENCY:"" &amp; E334 &amp; ""USD""))
"),38509342)</f>
        <v>38509342</v>
      </c>
    </row>
    <row r="335" spans="1:7" ht="15.75" customHeight="1" x14ac:dyDescent="0.25">
      <c r="A335" s="14" t="s">
        <v>24</v>
      </c>
      <c r="B335" s="15">
        <v>70000000</v>
      </c>
      <c r="C335" s="15">
        <v>83552429</v>
      </c>
      <c r="D335" s="15">
        <v>2011</v>
      </c>
      <c r="E335" s="15" t="str">
        <f>VLOOKUP(A335, Currency!$A$2:$B$100, 2, FALSE)</f>
        <v>USD</v>
      </c>
      <c r="F335" s="15">
        <f ca="1">IFERROR(__xludf.DUMMYFUNCTION("IF(E335=""USD"",B335,B335 * GOOGLEFINANCE(""CURRENCY:"" &amp; E335 &amp; ""USD""))
"),70000000)</f>
        <v>70000000</v>
      </c>
      <c r="G335" s="16">
        <f ca="1">IFERROR(__xludf.DUMMYFUNCTION("IF(E335=""USD"",C335,C335 * GOOGLEFINANCE(""CURRENCY:"" &amp; E335 &amp; ""USD""))
"),83552429)</f>
        <v>83552429</v>
      </c>
    </row>
    <row r="336" spans="1:7" ht="15.75" customHeight="1" x14ac:dyDescent="0.25">
      <c r="A336" s="11" t="s">
        <v>133</v>
      </c>
      <c r="B336" s="12">
        <v>14000000</v>
      </c>
      <c r="C336" s="12">
        <v>46800000</v>
      </c>
      <c r="D336" s="12">
        <v>1977</v>
      </c>
      <c r="E336" s="12" t="str">
        <f>VLOOKUP(A336, Currency!$A$2:$B$100, 2, FALSE)</f>
        <v>GBP</v>
      </c>
      <c r="F336" s="12">
        <f ca="1">IFERROR(__xludf.DUMMYFUNCTION("IF(E336=""USD"",B336,B336 * GOOGLEFINANCE(""CURRENCY:"" &amp; E336 &amp; ""USD""))
"),17995600)</f>
        <v>17995600</v>
      </c>
      <c r="G336" s="13">
        <f ca="1">IFERROR(__xludf.DUMMYFUNCTION("IF(E336=""USD"",C336,C336 * GOOGLEFINANCE(""CURRENCY:"" &amp; E336 &amp; ""USD""))
"),60156719.9999999)</f>
        <v>60156719.999999903</v>
      </c>
    </row>
    <row r="337" spans="1:7" ht="15.75" customHeight="1" x14ac:dyDescent="0.25">
      <c r="A337" s="14" t="s">
        <v>24</v>
      </c>
      <c r="B337" s="15">
        <v>21000000</v>
      </c>
      <c r="C337" s="15">
        <v>46700000</v>
      </c>
      <c r="D337" s="15">
        <v>1982</v>
      </c>
      <c r="E337" s="15" t="str">
        <f>VLOOKUP(A337, Currency!$A$2:$B$100, 2, FALSE)</f>
        <v>USD</v>
      </c>
      <c r="F337" s="15">
        <f ca="1">IFERROR(__xludf.DUMMYFUNCTION("IF(E337=""USD"",B337,B337 * GOOGLEFINANCE(""CURRENCY:"" &amp; E337 &amp; ""USD""))
"),21000000)</f>
        <v>21000000</v>
      </c>
      <c r="G337" s="16">
        <f ca="1">IFERROR(__xludf.DUMMYFUNCTION("IF(E337=""USD"",C337,C337 * GOOGLEFINANCE(""CURRENCY:"" &amp; E337 &amp; ""USD""))
"),46700000)</f>
        <v>46700000</v>
      </c>
    </row>
    <row r="338" spans="1:7" ht="15.75" customHeight="1" x14ac:dyDescent="0.25">
      <c r="A338" s="11" t="s">
        <v>133</v>
      </c>
      <c r="B338" s="12">
        <v>19800000</v>
      </c>
      <c r="C338" s="12">
        <v>41300105</v>
      </c>
      <c r="D338" s="12">
        <v>2001</v>
      </c>
      <c r="E338" s="12" t="str">
        <f>VLOOKUP(A338, Currency!$A$2:$B$100, 2, FALSE)</f>
        <v>GBP</v>
      </c>
      <c r="F338" s="12">
        <f ca="1">IFERROR(__xludf.DUMMYFUNCTION("IF(E338=""USD"",B338,B338 * GOOGLEFINANCE(""CURRENCY:"" &amp; E338 &amp; ""USD""))
"),25450919.9999999)</f>
        <v>25450919.999999899</v>
      </c>
      <c r="G338" s="13">
        <f ca="1">IFERROR(__xludf.DUMMYFUNCTION("IF(E338=""USD"",C338,C338 * GOOGLEFINANCE(""CURRENCY:"" &amp; E338 &amp; ""USD""))
"),53087154.9669999)</f>
        <v>53087154.966999903</v>
      </c>
    </row>
    <row r="339" spans="1:7" ht="15.75" customHeight="1" x14ac:dyDescent="0.25">
      <c r="A339" s="14" t="s">
        <v>24</v>
      </c>
      <c r="B339" s="15">
        <v>60000000</v>
      </c>
      <c r="C339" s="15">
        <v>93307796</v>
      </c>
      <c r="D339" s="15">
        <v>2002</v>
      </c>
      <c r="E339" s="15" t="str">
        <f>VLOOKUP(A339, Currency!$A$2:$B$100, 2, FALSE)</f>
        <v>USD</v>
      </c>
      <c r="F339" s="15">
        <f ca="1">IFERROR(__xludf.DUMMYFUNCTION("IF(E339=""USD"",B339,B339 * GOOGLEFINANCE(""CURRENCY:"" &amp; E339 &amp; ""USD""))
"),60000000)</f>
        <v>60000000</v>
      </c>
      <c r="G339" s="16">
        <f ca="1">IFERROR(__xludf.DUMMYFUNCTION("IF(E339=""USD"",C339,C339 * GOOGLEFINANCE(""CURRENCY:"" &amp; E339 &amp; ""USD""))
"),93307796)</f>
        <v>93307796</v>
      </c>
    </row>
    <row r="340" spans="1:7" ht="15.75" customHeight="1" x14ac:dyDescent="0.25">
      <c r="A340" s="11" t="s">
        <v>24</v>
      </c>
      <c r="B340" s="12">
        <v>60000000</v>
      </c>
      <c r="C340" s="12">
        <v>19076815</v>
      </c>
      <c r="D340" s="12">
        <v>2002</v>
      </c>
      <c r="E340" s="12" t="str">
        <f>VLOOKUP(A340, Currency!$A$2:$B$100, 2, FALSE)</f>
        <v>USD</v>
      </c>
      <c r="F340" s="12">
        <f ca="1">IFERROR(__xludf.DUMMYFUNCTION("IF(E340=""USD"",B340,B340 * GOOGLEFINANCE(""CURRENCY:"" &amp; E340 &amp; ""USD""))
"),60000000)</f>
        <v>60000000</v>
      </c>
      <c r="G340" s="13">
        <f ca="1">IFERROR(__xludf.DUMMYFUNCTION("IF(E340=""USD"",C340,C340 * GOOGLEFINANCE(""CURRENCY:"" &amp; E340 &amp; ""USD""))
"),19076815)</f>
        <v>19076815</v>
      </c>
    </row>
    <row r="341" spans="1:7" ht="15.75" customHeight="1" x14ac:dyDescent="0.25">
      <c r="A341" s="14" t="s">
        <v>24</v>
      </c>
      <c r="B341" s="15">
        <v>63000000</v>
      </c>
      <c r="C341" s="15">
        <v>37023395</v>
      </c>
      <c r="D341" s="15">
        <v>1999</v>
      </c>
      <c r="E341" s="15" t="str">
        <f>VLOOKUP(A341, Currency!$A$2:$B$100, 2, FALSE)</f>
        <v>USD</v>
      </c>
      <c r="F341" s="15">
        <f ca="1">IFERROR(__xludf.DUMMYFUNCTION("IF(E341=""USD"",B341,B341 * GOOGLEFINANCE(""CURRENCY:"" &amp; E341 &amp; ""USD""))
"),63000000)</f>
        <v>63000000</v>
      </c>
      <c r="G341" s="16">
        <f ca="1">IFERROR(__xludf.DUMMYFUNCTION("IF(E341=""USD"",C341,C341 * GOOGLEFINANCE(""CURRENCY:"" &amp; E341 &amp; ""USD""))
"),37023395)</f>
        <v>37023395</v>
      </c>
    </row>
    <row r="342" spans="1:7" ht="15.75" customHeight="1" x14ac:dyDescent="0.25">
      <c r="A342" s="11" t="s">
        <v>24</v>
      </c>
      <c r="B342" s="12">
        <v>11000000</v>
      </c>
      <c r="C342" s="12">
        <v>16667084</v>
      </c>
      <c r="D342" s="12">
        <v>1990</v>
      </c>
      <c r="E342" s="12" t="str">
        <f>VLOOKUP(A342, Currency!$A$2:$B$100, 2, FALSE)</f>
        <v>USD</v>
      </c>
      <c r="F342" s="12">
        <f ca="1">IFERROR(__xludf.DUMMYFUNCTION("IF(E342=""USD"",B342,B342 * GOOGLEFINANCE(""CURRENCY:"" &amp; E342 &amp; ""USD""))
"),11000000)</f>
        <v>11000000</v>
      </c>
      <c r="G342" s="13">
        <f ca="1">IFERROR(__xludf.DUMMYFUNCTION("IF(E342=""USD"",C342,C342 * GOOGLEFINANCE(""CURRENCY:"" &amp; E342 &amp; ""USD""))
"),16667084)</f>
        <v>16667084</v>
      </c>
    </row>
    <row r="343" spans="1:7" ht="15.75" customHeight="1" x14ac:dyDescent="0.25">
      <c r="A343" s="14" t="s">
        <v>24</v>
      </c>
      <c r="B343" s="15">
        <v>19000000</v>
      </c>
      <c r="C343" s="15">
        <v>7156725</v>
      </c>
      <c r="D343" s="15">
        <v>2006</v>
      </c>
      <c r="E343" s="15" t="str">
        <f>VLOOKUP(A343, Currency!$A$2:$B$100, 2, FALSE)</f>
        <v>USD</v>
      </c>
      <c r="F343" s="15">
        <f ca="1">IFERROR(__xludf.DUMMYFUNCTION("IF(E343=""USD"",B343,B343 * GOOGLEFINANCE(""CURRENCY:"" &amp; E343 &amp; ""USD""))
"),19000000)</f>
        <v>19000000</v>
      </c>
      <c r="G343" s="16">
        <f ca="1">IFERROR(__xludf.DUMMYFUNCTION("IF(E343=""USD"",C343,C343 * GOOGLEFINANCE(""CURRENCY:"" &amp; E343 &amp; ""USD""))
"),7156725)</f>
        <v>7156725</v>
      </c>
    </row>
    <row r="344" spans="1:7" ht="15.75" customHeight="1" x14ac:dyDescent="0.25">
      <c r="A344" s="11" t="s">
        <v>24</v>
      </c>
      <c r="B344" s="12">
        <v>60000000</v>
      </c>
      <c r="C344" s="12">
        <v>69688384</v>
      </c>
      <c r="D344" s="12">
        <v>2000</v>
      </c>
      <c r="E344" s="12" t="str">
        <f>VLOOKUP(A344, Currency!$A$2:$B$100, 2, FALSE)</f>
        <v>USD</v>
      </c>
      <c r="F344" s="12">
        <f ca="1">IFERROR(__xludf.DUMMYFUNCTION("IF(E344=""USD"",B344,B344 * GOOGLEFINANCE(""CURRENCY:"" &amp; E344 &amp; ""USD""))
"),60000000)</f>
        <v>60000000</v>
      </c>
      <c r="G344" s="13">
        <f ca="1">IFERROR(__xludf.DUMMYFUNCTION("IF(E344=""USD"",C344,C344 * GOOGLEFINANCE(""CURRENCY:"" &amp; E344 &amp; ""USD""))
"),69688384)</f>
        <v>69688384</v>
      </c>
    </row>
    <row r="345" spans="1:7" ht="15.75" customHeight="1" x14ac:dyDescent="0.25">
      <c r="A345" s="14" t="s">
        <v>24</v>
      </c>
      <c r="B345" s="15">
        <v>100000000</v>
      </c>
      <c r="C345" s="15">
        <v>24985612</v>
      </c>
      <c r="D345" s="15">
        <v>2015</v>
      </c>
      <c r="E345" s="15" t="str">
        <f>VLOOKUP(A345, Currency!$A$2:$B$100, 2, FALSE)</f>
        <v>USD</v>
      </c>
      <c r="F345" s="15">
        <f ca="1">IFERROR(__xludf.DUMMYFUNCTION("IF(E345=""USD"",B345,B345 * GOOGLEFINANCE(""CURRENCY:"" &amp; E345 &amp; ""USD""))
"),100000000)</f>
        <v>100000000</v>
      </c>
      <c r="G345" s="16">
        <f ca="1">IFERROR(__xludf.DUMMYFUNCTION("IF(E345=""USD"",C345,C345 * GOOGLEFINANCE(""CURRENCY:"" &amp; E345 &amp; ""USD""))
"),24985612)</f>
        <v>24985612</v>
      </c>
    </row>
    <row r="346" spans="1:7" ht="15.75" customHeight="1" x14ac:dyDescent="0.25">
      <c r="A346" s="11" t="s">
        <v>24</v>
      </c>
      <c r="B346" s="12">
        <v>19000000</v>
      </c>
      <c r="C346" s="12">
        <v>27758465</v>
      </c>
      <c r="D346" s="12">
        <v>2010</v>
      </c>
      <c r="E346" s="12" t="str">
        <f>VLOOKUP(A346, Currency!$A$2:$B$100, 2, FALSE)</f>
        <v>USD</v>
      </c>
      <c r="F346" s="12">
        <f ca="1">IFERROR(__xludf.DUMMYFUNCTION("IF(E346=""USD"",B346,B346 * GOOGLEFINANCE(""CURRENCY:"" &amp; E346 &amp; ""USD""))
"),19000000)</f>
        <v>19000000</v>
      </c>
      <c r="G346" s="13">
        <f ca="1">IFERROR(__xludf.DUMMYFUNCTION("IF(E346=""USD"",C346,C346 * GOOGLEFINANCE(""CURRENCY:"" &amp; E346 &amp; ""USD""))
"),27758465)</f>
        <v>27758465</v>
      </c>
    </row>
    <row r="347" spans="1:7" ht="15.75" customHeight="1" x14ac:dyDescent="0.25">
      <c r="A347" s="14" t="s">
        <v>24</v>
      </c>
      <c r="B347" s="15">
        <v>110000000</v>
      </c>
      <c r="C347" s="15">
        <v>113330342</v>
      </c>
      <c r="D347" s="15">
        <v>2000</v>
      </c>
      <c r="E347" s="15" t="str">
        <f>VLOOKUP(A347, Currency!$A$2:$B$100, 2, FALSE)</f>
        <v>USD</v>
      </c>
      <c r="F347" s="15">
        <f ca="1">IFERROR(__xludf.DUMMYFUNCTION("IF(E347=""USD"",B347,B347 * GOOGLEFINANCE(""CURRENCY:"" &amp; E347 &amp; ""USD""))
"),110000000)</f>
        <v>110000000</v>
      </c>
      <c r="G347" s="16">
        <f ca="1">IFERROR(__xludf.DUMMYFUNCTION("IF(E347=""USD"",C347,C347 * GOOGLEFINANCE(""CURRENCY:"" &amp; E347 &amp; ""USD""))
"),113330342)</f>
        <v>113330342</v>
      </c>
    </row>
    <row r="348" spans="1:7" ht="15.75" customHeight="1" x14ac:dyDescent="0.25">
      <c r="A348" s="11" t="s">
        <v>611</v>
      </c>
      <c r="B348" s="12">
        <v>16000000</v>
      </c>
      <c r="C348" s="12">
        <v>634277</v>
      </c>
      <c r="D348" s="12">
        <v>2007</v>
      </c>
      <c r="E348" s="12" t="str">
        <f>VLOOKUP(A348, Currency!$A$2:$B$100, 2, FALSE)</f>
        <v>EUR</v>
      </c>
      <c r="F348" s="12">
        <f ca="1">IFERROR(__xludf.DUMMYFUNCTION("IF(E348=""USD"",B348,B348 * GOOGLEFINANCE(""CURRENCY:"" &amp; E348 &amp; ""USD""))
"),17355840)</f>
        <v>17355840</v>
      </c>
      <c r="G348" s="13">
        <f ca="1">IFERROR(__xludf.DUMMYFUNCTION("IF(E348=""USD"",C348,C348 * GOOGLEFINANCE(""CURRENCY:"" &amp; E348 &amp; ""USD""))
"),688025.63298)</f>
        <v>688025.63297999999</v>
      </c>
    </row>
    <row r="349" spans="1:7" ht="15.75" customHeight="1" x14ac:dyDescent="0.25">
      <c r="A349" s="14" t="s">
        <v>24</v>
      </c>
      <c r="B349" s="15">
        <v>54000000</v>
      </c>
      <c r="C349" s="15">
        <v>128769345</v>
      </c>
      <c r="D349" s="15">
        <v>1996</v>
      </c>
      <c r="E349" s="15" t="str">
        <f>VLOOKUP(A349, Currency!$A$2:$B$100, 2, FALSE)</f>
        <v>USD</v>
      </c>
      <c r="F349" s="15">
        <f ca="1">IFERROR(__xludf.DUMMYFUNCTION("IF(E349=""USD"",B349,B349 * GOOGLEFINANCE(""CURRENCY:"" &amp; E349 &amp; ""USD""))
"),54000000)</f>
        <v>54000000</v>
      </c>
      <c r="G349" s="16">
        <f ca="1">IFERROR(__xludf.DUMMYFUNCTION("IF(E349=""USD"",C349,C349 * GOOGLEFINANCE(""CURRENCY:"" &amp; E349 &amp; ""USD""))
"),128769345)</f>
        <v>128769345</v>
      </c>
    </row>
    <row r="350" spans="1:7" ht="15.75" customHeight="1" x14ac:dyDescent="0.25">
      <c r="A350" s="11" t="s">
        <v>24</v>
      </c>
      <c r="B350" s="12">
        <v>55000000</v>
      </c>
      <c r="C350" s="12">
        <v>33828318</v>
      </c>
      <c r="D350" s="12">
        <v>2003</v>
      </c>
      <c r="E350" s="12" t="str">
        <f>VLOOKUP(A350, Currency!$A$2:$B$100, 2, FALSE)</f>
        <v>USD</v>
      </c>
      <c r="F350" s="12">
        <f ca="1">IFERROR(__xludf.DUMMYFUNCTION("IF(E350=""USD"",B350,B350 * GOOGLEFINANCE(""CURRENCY:"" &amp; E350 &amp; ""USD""))
"),55000000)</f>
        <v>55000000</v>
      </c>
      <c r="G350" s="13">
        <f ca="1">IFERROR(__xludf.DUMMYFUNCTION("IF(E350=""USD"",C350,C350 * GOOGLEFINANCE(""CURRENCY:"" &amp; E350 &amp; ""USD""))
"),33828318)</f>
        <v>33828318</v>
      </c>
    </row>
    <row r="351" spans="1:7" ht="15.75" customHeight="1" x14ac:dyDescent="0.25">
      <c r="A351" s="14" t="s">
        <v>176</v>
      </c>
      <c r="B351" s="15">
        <v>8400000</v>
      </c>
      <c r="C351" s="15">
        <v>5725</v>
      </c>
      <c r="D351" s="15">
        <v>2000</v>
      </c>
      <c r="E351" s="15" t="str">
        <f>VLOOKUP(A351, Currency!$A$2:$B$100, 2, FALSE)</f>
        <v>EUR</v>
      </c>
      <c r="F351" s="15">
        <f ca="1">IFERROR(__xludf.DUMMYFUNCTION("IF(E351=""USD"",B351,B351 * GOOGLEFINANCE(""CURRENCY:"" &amp; E351 &amp; ""USD""))
"),9111816)</f>
        <v>9111816</v>
      </c>
      <c r="G351" s="16">
        <f ca="1">IFERROR(__xludf.DUMMYFUNCTION("IF(E351=""USD"",C351,C351 * GOOGLEFINANCE(""CURRENCY:"" &amp; E351 &amp; ""USD""))
"),6210.1365)</f>
        <v>6210.1364999999996</v>
      </c>
    </row>
    <row r="352" spans="1:7" ht="15.75" customHeight="1" x14ac:dyDescent="0.25">
      <c r="A352" s="11" t="s">
        <v>133</v>
      </c>
      <c r="B352" s="12">
        <v>8000000</v>
      </c>
      <c r="C352" s="12">
        <v>8279017</v>
      </c>
      <c r="D352" s="12">
        <v>2000</v>
      </c>
      <c r="E352" s="12" t="str">
        <f>VLOOKUP(A352, Currency!$A$2:$B$100, 2, FALSE)</f>
        <v>GBP</v>
      </c>
      <c r="F352" s="12">
        <f ca="1">IFERROR(__xludf.DUMMYFUNCTION("IF(E352=""USD"",B352,B352 * GOOGLEFINANCE(""CURRENCY:"" &amp; E352 &amp; ""USD""))
"),10283199.9999999)</f>
        <v>10283199.999999899</v>
      </c>
      <c r="G352" s="13">
        <f ca="1">IFERROR(__xludf.DUMMYFUNCTION("IF(E352=""USD"",C352,C352 * GOOGLEFINANCE(""CURRENCY:"" &amp; E352 &amp; ""USD""))
"),10641848.4517999)</f>
        <v>10641848.451799899</v>
      </c>
    </row>
    <row r="353" spans="1:7" ht="15.75" customHeight="1" x14ac:dyDescent="0.25">
      <c r="A353" s="14" t="s">
        <v>24</v>
      </c>
      <c r="B353" s="15">
        <v>24000000</v>
      </c>
      <c r="C353" s="15">
        <v>39989008</v>
      </c>
      <c r="D353" s="15">
        <v>1998</v>
      </c>
      <c r="E353" s="15" t="str">
        <f>VLOOKUP(A353, Currency!$A$2:$B$100, 2, FALSE)</f>
        <v>USD</v>
      </c>
      <c r="F353" s="15">
        <f ca="1">IFERROR(__xludf.DUMMYFUNCTION("IF(E353=""USD"",B353,B353 * GOOGLEFINANCE(""CURRENCY:"" &amp; E353 &amp; ""USD""))
"),24000000)</f>
        <v>24000000</v>
      </c>
      <c r="G353" s="16">
        <f ca="1">IFERROR(__xludf.DUMMYFUNCTION("IF(E353=""USD"",C353,C353 * GOOGLEFINANCE(""CURRENCY:"" &amp; E353 &amp; ""USD""))
"),39989008)</f>
        <v>39989008</v>
      </c>
    </row>
    <row r="354" spans="1:7" ht="15.75" customHeight="1" x14ac:dyDescent="0.25">
      <c r="A354" s="11" t="s">
        <v>24</v>
      </c>
      <c r="B354" s="12">
        <v>66000000</v>
      </c>
      <c r="C354" s="12">
        <v>59035104</v>
      </c>
      <c r="D354" s="12">
        <v>2004</v>
      </c>
      <c r="E354" s="12" t="str">
        <f>VLOOKUP(A354, Currency!$A$2:$B$100, 2, FALSE)</f>
        <v>USD</v>
      </c>
      <c r="F354" s="12">
        <f ca="1">IFERROR(__xludf.DUMMYFUNCTION("IF(E354=""USD"",B354,B354 * GOOGLEFINANCE(""CURRENCY:"" &amp; E354 &amp; ""USD""))
"),66000000)</f>
        <v>66000000</v>
      </c>
      <c r="G354" s="13">
        <f ca="1">IFERROR(__xludf.DUMMYFUNCTION("IF(E354=""USD"",C354,C354 * GOOGLEFINANCE(""CURRENCY:"" &amp; E354 &amp; ""USD""))
"),59035104)</f>
        <v>59035104</v>
      </c>
    </row>
    <row r="355" spans="1:7" ht="15.75" customHeight="1" x14ac:dyDescent="0.25">
      <c r="A355" s="14" t="s">
        <v>1491</v>
      </c>
      <c r="B355" s="15">
        <v>12620000</v>
      </c>
      <c r="C355" s="15">
        <v>31662</v>
      </c>
      <c r="D355" s="15">
        <v>2016</v>
      </c>
      <c r="E355" s="15" t="str">
        <f>VLOOKUP(A355, Currency!$A$2:$B$100, 2, FALSE)</f>
        <v>KRW</v>
      </c>
      <c r="F355" s="15">
        <f ca="1">IFERROR(__xludf.DUMMYFUNCTION("IF(E355=""USD"",B355,B355 * GOOGLEFINANCE(""CURRENCY:"" &amp; E355 &amp; ""USD""))
"),9135.20154)</f>
        <v>9135.20154</v>
      </c>
      <c r="G355" s="16">
        <f ca="1">IFERROR(__xludf.DUMMYFUNCTION("IF(E355=""USD"",C355,C355 * GOOGLEFINANCE(""CURRENCY:"" &amp; E355 &amp; ""USD""))
"),22.919076954)</f>
        <v>22.919076954000001</v>
      </c>
    </row>
    <row r="356" spans="1:7" ht="15.75" customHeight="1" x14ac:dyDescent="0.25">
      <c r="A356" s="11" t="s">
        <v>24</v>
      </c>
      <c r="B356" s="12">
        <v>130000000</v>
      </c>
      <c r="C356" s="12">
        <v>47396698</v>
      </c>
      <c r="D356" s="12">
        <v>2005</v>
      </c>
      <c r="E356" s="12" t="str">
        <f>VLOOKUP(A356, Currency!$A$2:$B$100, 2, FALSE)</f>
        <v>USD</v>
      </c>
      <c r="F356" s="12">
        <f ca="1">IFERROR(__xludf.DUMMYFUNCTION("IF(E356=""USD"",B356,B356 * GOOGLEFINANCE(""CURRENCY:"" &amp; E356 &amp; ""USD""))
"),130000000)</f>
        <v>130000000</v>
      </c>
      <c r="G356" s="13">
        <f ca="1">IFERROR(__xludf.DUMMYFUNCTION("IF(E356=""USD"",C356,C356 * GOOGLEFINANCE(""CURRENCY:"" &amp; E356 &amp; ""USD""))
"),47396698)</f>
        <v>47396698</v>
      </c>
    </row>
    <row r="357" spans="1:7" ht="15.75" customHeight="1" x14ac:dyDescent="0.25">
      <c r="A357" s="14" t="s">
        <v>133</v>
      </c>
      <c r="B357" s="15">
        <v>20000000</v>
      </c>
      <c r="C357" s="15">
        <v>30028592</v>
      </c>
      <c r="D357" s="15">
        <v>2008</v>
      </c>
      <c r="E357" s="15" t="str">
        <f>VLOOKUP(A357, Currency!$A$2:$B$100, 2, FALSE)</f>
        <v>GBP</v>
      </c>
      <c r="F357" s="15">
        <f ca="1">IFERROR(__xludf.DUMMYFUNCTION("IF(E357=""USD"",B357,B357 * GOOGLEFINANCE(""CURRENCY:"" &amp; E357 &amp; ""USD""))
"),25707999.9999999)</f>
        <v>25707999.999999899</v>
      </c>
      <c r="G357" s="16">
        <f ca="1">IFERROR(__xludf.DUMMYFUNCTION("IF(E357=""USD"",C357,C357 * GOOGLEFINANCE(""CURRENCY:"" &amp; E357 &amp; ""USD""))
"),38598752.1567999)</f>
        <v>38598752.156799898</v>
      </c>
    </row>
    <row r="358" spans="1:7" ht="15.75" customHeight="1" x14ac:dyDescent="0.25">
      <c r="A358" s="11" t="s">
        <v>24</v>
      </c>
      <c r="B358" s="12">
        <v>30000000</v>
      </c>
      <c r="C358" s="12">
        <v>18252684</v>
      </c>
      <c r="D358" s="12">
        <v>1998</v>
      </c>
      <c r="E358" s="12" t="str">
        <f>VLOOKUP(A358, Currency!$A$2:$B$100, 2, FALSE)</f>
        <v>USD</v>
      </c>
      <c r="F358" s="12">
        <f ca="1">IFERROR(__xludf.DUMMYFUNCTION("IF(E358=""USD"",B358,B358 * GOOGLEFINANCE(""CURRENCY:"" &amp; E358 &amp; ""USD""))
"),30000000)</f>
        <v>30000000</v>
      </c>
      <c r="G358" s="13">
        <f ca="1">IFERROR(__xludf.DUMMYFUNCTION("IF(E358=""USD"",C358,C358 * GOOGLEFINANCE(""CURRENCY:"" &amp; E358 &amp; ""USD""))
"),18252684)</f>
        <v>18252684</v>
      </c>
    </row>
    <row r="359" spans="1:7" ht="15.75" customHeight="1" x14ac:dyDescent="0.25">
      <c r="A359" s="14" t="s">
        <v>24</v>
      </c>
      <c r="B359" s="15">
        <v>25000000</v>
      </c>
      <c r="C359" s="15">
        <v>100241322</v>
      </c>
      <c r="D359" s="15">
        <v>1998</v>
      </c>
      <c r="E359" s="15" t="str">
        <f>VLOOKUP(A359, Currency!$A$2:$B$100, 2, FALSE)</f>
        <v>USD</v>
      </c>
      <c r="F359" s="15">
        <f ca="1">IFERROR(__xludf.DUMMYFUNCTION("IF(E359=""USD"",B359,B359 * GOOGLEFINANCE(""CURRENCY:"" &amp; E359 &amp; ""USD""))
"),25000000)</f>
        <v>25000000</v>
      </c>
      <c r="G359" s="16">
        <f ca="1">IFERROR(__xludf.DUMMYFUNCTION("IF(E359=""USD"",C359,C359 * GOOGLEFINANCE(""CURRENCY:"" &amp; E359 &amp; ""USD""))
"),100241322)</f>
        <v>100241322</v>
      </c>
    </row>
    <row r="360" spans="1:7" ht="15.75" customHeight="1" x14ac:dyDescent="0.25">
      <c r="A360" s="11" t="s">
        <v>24</v>
      </c>
      <c r="B360" s="12">
        <v>2000000</v>
      </c>
      <c r="C360" s="12">
        <v>6531491</v>
      </c>
      <c r="D360" s="12">
        <v>2010</v>
      </c>
      <c r="E360" s="12" t="str">
        <f>VLOOKUP(A360, Currency!$A$2:$B$100, 2, FALSE)</f>
        <v>USD</v>
      </c>
      <c r="F360" s="12">
        <f ca="1">IFERROR(__xludf.DUMMYFUNCTION("IF(E360=""USD"",B360,B360 * GOOGLEFINANCE(""CURRENCY:"" &amp; E360 &amp; ""USD""))
"),2000000)</f>
        <v>2000000</v>
      </c>
      <c r="G360" s="13">
        <f ca="1">IFERROR(__xludf.DUMMYFUNCTION("IF(E360=""USD"",C360,C360 * GOOGLEFINANCE(""CURRENCY:"" &amp; E360 &amp; ""USD""))
"),6531491)</f>
        <v>6531491</v>
      </c>
    </row>
    <row r="361" spans="1:7" ht="15.75" customHeight="1" x14ac:dyDescent="0.25">
      <c r="A361" s="14" t="s">
        <v>24</v>
      </c>
      <c r="B361" s="15">
        <v>75000000</v>
      </c>
      <c r="C361" s="15">
        <v>5409517</v>
      </c>
      <c r="D361" s="15">
        <v>2001</v>
      </c>
      <c r="E361" s="15" t="str">
        <f>VLOOKUP(A361, Currency!$A$2:$B$100, 2, FALSE)</f>
        <v>USD</v>
      </c>
      <c r="F361" s="15">
        <f ca="1">IFERROR(__xludf.DUMMYFUNCTION("IF(E361=""USD"",B361,B361 * GOOGLEFINANCE(""CURRENCY:"" &amp; E361 &amp; ""USD""))
"),75000000)</f>
        <v>75000000</v>
      </c>
      <c r="G361" s="16">
        <f ca="1">IFERROR(__xludf.DUMMYFUNCTION("IF(E361=""USD"",C361,C361 * GOOGLEFINANCE(""CURRENCY:"" &amp; E361 &amp; ""USD""))
"),5409517)</f>
        <v>5409517</v>
      </c>
    </row>
    <row r="362" spans="1:7" ht="15.75" customHeight="1" x14ac:dyDescent="0.25">
      <c r="A362" s="11" t="s">
        <v>627</v>
      </c>
      <c r="B362" s="12">
        <v>43000000</v>
      </c>
      <c r="C362" s="12">
        <v>24407944</v>
      </c>
      <c r="D362" s="12">
        <v>2005</v>
      </c>
      <c r="E362" s="12" t="str">
        <f>VLOOKUP(A362, Currency!$A$2:$B$100, 2, FALSE)</f>
        <v>CAD</v>
      </c>
      <c r="F362" s="12">
        <f ca="1">IFERROR(__xludf.DUMMYFUNCTION("IF(E362=""USD"",B362,B362 * GOOGLEFINANCE(""CURRENCY:"" &amp; E362 &amp; ""USD""))
"),31106415)</f>
        <v>31106415</v>
      </c>
      <c r="G362" s="13">
        <f ca="1">IFERROR(__xludf.DUMMYFUNCTION("IF(E362=""USD"",C362,C362 * GOOGLEFINANCE(""CURRENCY:"" &amp; E362 &amp; ""USD""))
"),17656828.72932)</f>
        <v>17656828.729320001</v>
      </c>
    </row>
    <row r="363" spans="1:7" ht="15.75" customHeight="1" x14ac:dyDescent="0.25">
      <c r="A363" s="14" t="s">
        <v>24</v>
      </c>
      <c r="B363" s="15">
        <v>32000000</v>
      </c>
      <c r="C363" s="15">
        <v>17797316</v>
      </c>
      <c r="D363" s="15">
        <v>2010</v>
      </c>
      <c r="E363" s="15" t="str">
        <f>VLOOKUP(A363, Currency!$A$2:$B$100, 2, FALSE)</f>
        <v>USD</v>
      </c>
      <c r="F363" s="15">
        <f ca="1">IFERROR(__xludf.DUMMYFUNCTION("IF(E363=""USD"",B363,B363 * GOOGLEFINANCE(""CURRENCY:"" &amp; E363 &amp; ""USD""))
"),32000000)</f>
        <v>32000000</v>
      </c>
      <c r="G363" s="16">
        <f ca="1">IFERROR(__xludf.DUMMYFUNCTION("IF(E363=""USD"",C363,C363 * GOOGLEFINANCE(""CURRENCY:"" &amp; E363 &amp; ""USD""))
"),17797316)</f>
        <v>17797316</v>
      </c>
    </row>
    <row r="364" spans="1:7" ht="15.75" customHeight="1" x14ac:dyDescent="0.25">
      <c r="A364" s="11" t="s">
        <v>24</v>
      </c>
      <c r="B364" s="12">
        <v>40000000</v>
      </c>
      <c r="C364" s="12">
        <v>22717758</v>
      </c>
      <c r="D364" s="12">
        <v>1998</v>
      </c>
      <c r="E364" s="12" t="str">
        <f>VLOOKUP(A364, Currency!$A$2:$B$100, 2, FALSE)</f>
        <v>USD</v>
      </c>
      <c r="F364" s="12">
        <f ca="1">IFERROR(__xludf.DUMMYFUNCTION("IF(E364=""USD"",B364,B364 * GOOGLEFINANCE(""CURRENCY:"" &amp; E364 &amp; ""USD""))
"),40000000)</f>
        <v>40000000</v>
      </c>
      <c r="G364" s="13">
        <f ca="1">IFERROR(__xludf.DUMMYFUNCTION("IF(E364=""USD"",C364,C364 * GOOGLEFINANCE(""CURRENCY:"" &amp; E364 &amp; ""USD""))
"),22717758)</f>
        <v>22717758</v>
      </c>
    </row>
    <row r="365" spans="1:7" ht="15.75" customHeight="1" x14ac:dyDescent="0.25">
      <c r="A365" s="14" t="s">
        <v>24</v>
      </c>
      <c r="B365" s="15">
        <v>110000000</v>
      </c>
      <c r="C365" s="15">
        <v>115802596</v>
      </c>
      <c r="D365" s="15">
        <v>2007</v>
      </c>
      <c r="E365" s="15" t="str">
        <f>VLOOKUP(A365, Currency!$A$2:$B$100, 2, FALSE)</f>
        <v>USD</v>
      </c>
      <c r="F365" s="15">
        <f ca="1">IFERROR(__xludf.DUMMYFUNCTION("IF(E365=""USD"",B365,B365 * GOOGLEFINANCE(""CURRENCY:"" &amp; E365 &amp; ""USD""))
"),110000000)</f>
        <v>110000000</v>
      </c>
      <c r="G365" s="16">
        <f ca="1">IFERROR(__xludf.DUMMYFUNCTION("IF(E365=""USD"",C365,C365 * GOOGLEFINANCE(""CURRENCY:"" &amp; E365 &amp; ""USD""))
"),115802596)</f>
        <v>115802596</v>
      </c>
    </row>
    <row r="366" spans="1:7" ht="15.75" customHeight="1" x14ac:dyDescent="0.25">
      <c r="A366" s="11" t="s">
        <v>24</v>
      </c>
      <c r="B366" s="12">
        <v>25000000</v>
      </c>
      <c r="C366" s="12">
        <v>51676606</v>
      </c>
      <c r="D366" s="12">
        <v>2004</v>
      </c>
      <c r="E366" s="12" t="str">
        <f>VLOOKUP(A366, Currency!$A$2:$B$100, 2, FALSE)</f>
        <v>USD</v>
      </c>
      <c r="F366" s="12">
        <f ca="1">IFERROR(__xludf.DUMMYFUNCTION("IF(E366=""USD"",B366,B366 * GOOGLEFINANCE(""CURRENCY:"" &amp; E366 &amp; ""USD""))
"),25000000)</f>
        <v>25000000</v>
      </c>
      <c r="G366" s="13">
        <f ca="1">IFERROR(__xludf.DUMMYFUNCTION("IF(E366=""USD"",C366,C366 * GOOGLEFINANCE(""CURRENCY:"" &amp; E366 &amp; ""USD""))
"),51676606)</f>
        <v>51676606</v>
      </c>
    </row>
    <row r="367" spans="1:7" ht="15.75" customHeight="1" x14ac:dyDescent="0.25">
      <c r="A367" s="14" t="s">
        <v>24</v>
      </c>
      <c r="B367" s="15">
        <v>1500000</v>
      </c>
      <c r="C367" s="15">
        <v>173066</v>
      </c>
      <c r="D367" s="15">
        <v>2007</v>
      </c>
      <c r="E367" s="15" t="str">
        <f>VLOOKUP(A367, Currency!$A$2:$B$100, 2, FALSE)</f>
        <v>USD</v>
      </c>
      <c r="F367" s="15">
        <f ca="1">IFERROR(__xludf.DUMMYFUNCTION("IF(E367=""USD"",B367,B367 * GOOGLEFINANCE(""CURRENCY:"" &amp; E367 &amp; ""USD""))
"),1500000)</f>
        <v>1500000</v>
      </c>
      <c r="G367" s="16">
        <f ca="1">IFERROR(__xludf.DUMMYFUNCTION("IF(E367=""USD"",C367,C367 * GOOGLEFINANCE(""CURRENCY:"" &amp; E367 &amp; ""USD""))
"),173066)</f>
        <v>173066</v>
      </c>
    </row>
    <row r="368" spans="1:7" ht="15.75" customHeight="1" x14ac:dyDescent="0.25">
      <c r="A368" s="11" t="s">
        <v>24</v>
      </c>
      <c r="B368" s="12">
        <v>2100000</v>
      </c>
      <c r="C368" s="12">
        <v>3330</v>
      </c>
      <c r="D368" s="12">
        <v>2015</v>
      </c>
      <c r="E368" s="12" t="str">
        <f>VLOOKUP(A368, Currency!$A$2:$B$100, 2, FALSE)</f>
        <v>USD</v>
      </c>
      <c r="F368" s="12">
        <f ca="1">IFERROR(__xludf.DUMMYFUNCTION("IF(E368=""USD"",B368,B368 * GOOGLEFINANCE(""CURRENCY:"" &amp; E368 &amp; ""USD""))
"),2100000)</f>
        <v>2100000</v>
      </c>
      <c r="G368" s="13">
        <f ca="1">IFERROR(__xludf.DUMMYFUNCTION("IF(E368=""USD"",C368,C368 * GOOGLEFINANCE(""CURRENCY:"" &amp; E368 &amp; ""USD""))
"),3330)</f>
        <v>3330</v>
      </c>
    </row>
    <row r="369" spans="1:7" ht="15.75" customHeight="1" x14ac:dyDescent="0.25">
      <c r="A369" s="14" t="s">
        <v>24</v>
      </c>
      <c r="B369" s="15">
        <v>35000000</v>
      </c>
      <c r="C369" s="15">
        <v>21129348</v>
      </c>
      <c r="D369" s="15">
        <v>2010</v>
      </c>
      <c r="E369" s="15" t="str">
        <f>VLOOKUP(A369, Currency!$A$2:$B$100, 2, FALSE)</f>
        <v>USD</v>
      </c>
      <c r="F369" s="15">
        <f ca="1">IFERROR(__xludf.DUMMYFUNCTION("IF(E369=""USD"",B369,B369 * GOOGLEFINANCE(""CURRENCY:"" &amp; E369 &amp; ""USD""))
"),35000000)</f>
        <v>35000000</v>
      </c>
      <c r="G369" s="16">
        <f ca="1">IFERROR(__xludf.DUMMYFUNCTION("IF(E369=""USD"",C369,C369 * GOOGLEFINANCE(""CURRENCY:"" &amp; E369 &amp; ""USD""))
"),21129348)</f>
        <v>21129348</v>
      </c>
    </row>
    <row r="370" spans="1:7" ht="15.75" customHeight="1" x14ac:dyDescent="0.25">
      <c r="A370" s="11" t="s">
        <v>24</v>
      </c>
      <c r="B370" s="12">
        <v>140000000</v>
      </c>
      <c r="C370" s="12">
        <v>305388685</v>
      </c>
      <c r="D370" s="12">
        <v>2003</v>
      </c>
      <c r="E370" s="12" t="str">
        <f>VLOOKUP(A370, Currency!$A$2:$B$100, 2, FALSE)</f>
        <v>USD</v>
      </c>
      <c r="F370" s="12">
        <f ca="1">IFERROR(__xludf.DUMMYFUNCTION("IF(E370=""USD"",B370,B370 * GOOGLEFINANCE(""CURRENCY:"" &amp; E370 &amp; ""USD""))
"),140000000)</f>
        <v>140000000</v>
      </c>
      <c r="G370" s="13">
        <f ca="1">IFERROR(__xludf.DUMMYFUNCTION("IF(E370=""USD"",C370,C370 * GOOGLEFINANCE(""CURRENCY:"" &amp; E370 &amp; ""USD""))
"),305388685)</f>
        <v>305388685</v>
      </c>
    </row>
    <row r="371" spans="1:7" ht="15.75" customHeight="1" x14ac:dyDescent="0.25">
      <c r="A371" s="14" t="s">
        <v>1551</v>
      </c>
      <c r="B371" s="15">
        <v>1100000000</v>
      </c>
      <c r="C371" s="15">
        <v>439162</v>
      </c>
      <c r="D371" s="15">
        <v>1988</v>
      </c>
      <c r="E371" s="15" t="str">
        <f>VLOOKUP(A371, Currency!$A$2:$B$100, 2, FALSE)</f>
        <v>JPY</v>
      </c>
      <c r="F371" s="15">
        <f ca="1">IFERROR(__xludf.DUMMYFUNCTION("IF(E371=""USD"",B371,B371 * GOOGLEFINANCE(""CURRENCY:"" &amp; E371 &amp; ""USD""))
"),7146260)</f>
        <v>7146260</v>
      </c>
      <c r="G371" s="16">
        <f ca="1">IFERROR(__xludf.DUMMYFUNCTION("IF(E371=""USD"",C371,C371 * GOOGLEFINANCE(""CURRENCY:"" &amp; E371 &amp; ""USD""))
"),2853.0598492)</f>
        <v>2853.0598491999999</v>
      </c>
    </row>
    <row r="372" spans="1:7" ht="15.75" customHeight="1" x14ac:dyDescent="0.25">
      <c r="A372" s="11" t="s">
        <v>24</v>
      </c>
      <c r="B372" s="12">
        <v>120000000</v>
      </c>
      <c r="C372" s="12">
        <v>56114221</v>
      </c>
      <c r="D372" s="12">
        <v>2015</v>
      </c>
      <c r="E372" s="12" t="str">
        <f>VLOOKUP(A372, Currency!$A$2:$B$100, 2, FALSE)</f>
        <v>USD</v>
      </c>
      <c r="F372" s="12">
        <f ca="1">IFERROR(__xludf.DUMMYFUNCTION("IF(E372=""USD"",B372,B372 * GOOGLEFINANCE(""CURRENCY:"" &amp; E372 &amp; ""USD""))
"),120000000)</f>
        <v>120000000</v>
      </c>
      <c r="G372" s="13">
        <f ca="1">IFERROR(__xludf.DUMMYFUNCTION("IF(E372=""USD"",C372,C372 * GOOGLEFINANCE(""CURRENCY:"" &amp; E372 &amp; ""USD""))
"),56114221)</f>
        <v>56114221</v>
      </c>
    </row>
    <row r="373" spans="1:7" ht="15.75" customHeight="1" x14ac:dyDescent="0.25">
      <c r="A373" s="14" t="s">
        <v>24</v>
      </c>
      <c r="B373" s="15">
        <v>36000000</v>
      </c>
      <c r="C373" s="15">
        <v>26183197</v>
      </c>
      <c r="D373" s="15">
        <v>2003</v>
      </c>
      <c r="E373" s="15" t="str">
        <f>VLOOKUP(A373, Currency!$A$2:$B$100, 2, FALSE)</f>
        <v>USD</v>
      </c>
      <c r="F373" s="15">
        <f ca="1">IFERROR(__xludf.DUMMYFUNCTION("IF(E373=""USD"",B373,B373 * GOOGLEFINANCE(""CURRENCY:"" &amp; E373 &amp; ""USD""))
"),36000000)</f>
        <v>36000000</v>
      </c>
      <c r="G373" s="16">
        <f ca="1">IFERROR(__xludf.DUMMYFUNCTION("IF(E373=""USD"",C373,C373 * GOOGLEFINANCE(""CURRENCY:"" &amp; E373 &amp; ""USD""))
"),26183197)</f>
        <v>26183197</v>
      </c>
    </row>
    <row r="374" spans="1:7" ht="15.75" customHeight="1" x14ac:dyDescent="0.25">
      <c r="A374" s="11" t="s">
        <v>133</v>
      </c>
      <c r="B374" s="12">
        <v>150000000</v>
      </c>
      <c r="C374" s="12">
        <v>167007184</v>
      </c>
      <c r="D374" s="12">
        <v>2006</v>
      </c>
      <c r="E374" s="12" t="str">
        <f>VLOOKUP(A374, Currency!$A$2:$B$100, 2, FALSE)</f>
        <v>GBP</v>
      </c>
      <c r="F374" s="12">
        <f ca="1">IFERROR(__xludf.DUMMYFUNCTION("IF(E374=""USD"",B374,B374 * GOOGLEFINANCE(""CURRENCY:"" &amp; E374 &amp; ""USD""))
"),192809999.999999)</f>
        <v>192809999.99999899</v>
      </c>
      <c r="G374" s="13">
        <f ca="1">IFERROR(__xludf.DUMMYFUNCTION("IF(E374=""USD"",C374,C374 * GOOGLEFINANCE(""CURRENCY:"" &amp; E374 &amp; ""USD""))
"),214671034.313599)</f>
        <v>214671034.31359899</v>
      </c>
    </row>
    <row r="375" spans="1:7" ht="15.75" customHeight="1" x14ac:dyDescent="0.25">
      <c r="A375" s="14" t="s">
        <v>24</v>
      </c>
      <c r="B375" s="15">
        <v>90000000</v>
      </c>
      <c r="C375" s="15">
        <v>47474112</v>
      </c>
      <c r="D375" s="15">
        <v>1997</v>
      </c>
      <c r="E375" s="15" t="str">
        <f>VLOOKUP(A375, Currency!$A$2:$B$100, 2, FALSE)</f>
        <v>USD</v>
      </c>
      <c r="F375" s="15">
        <f ca="1">IFERROR(__xludf.DUMMYFUNCTION("IF(E375=""USD"",B375,B375 * GOOGLEFINANCE(""CURRENCY:"" &amp; E375 &amp; ""USD""))
"),90000000)</f>
        <v>90000000</v>
      </c>
      <c r="G375" s="16">
        <f ca="1">IFERROR(__xludf.DUMMYFUNCTION("IF(E375=""USD"",C375,C375 * GOOGLEFINANCE(""CURRENCY:"" &amp; E375 &amp; ""USD""))
"),47474112)</f>
        <v>47474112</v>
      </c>
    </row>
    <row r="376" spans="1:7" ht="15.75" customHeight="1" x14ac:dyDescent="0.25">
      <c r="A376" s="11" t="s">
        <v>24</v>
      </c>
      <c r="B376" s="12">
        <v>400000</v>
      </c>
      <c r="C376" s="12">
        <v>1689999</v>
      </c>
      <c r="D376" s="12">
        <v>2006</v>
      </c>
      <c r="E376" s="12" t="str">
        <f>VLOOKUP(A376, Currency!$A$2:$B$100, 2, FALSE)</f>
        <v>USD</v>
      </c>
      <c r="F376" s="12">
        <f ca="1">IFERROR(__xludf.DUMMYFUNCTION("IF(E376=""USD"",B376,B376 * GOOGLEFINANCE(""CURRENCY:"" &amp; E376 &amp; ""USD""))
"),400000)</f>
        <v>400000</v>
      </c>
      <c r="G376" s="13">
        <f ca="1">IFERROR(__xludf.DUMMYFUNCTION("IF(E376=""USD"",C376,C376 * GOOGLEFINANCE(""CURRENCY:"" &amp; E376 &amp; ""USD""))
"),1689999)</f>
        <v>1689999</v>
      </c>
    </row>
    <row r="377" spans="1:7" ht="15.75" customHeight="1" x14ac:dyDescent="0.25">
      <c r="A377" s="14" t="s">
        <v>24</v>
      </c>
      <c r="B377" s="15">
        <v>30000000</v>
      </c>
      <c r="C377" s="15">
        <v>34604054</v>
      </c>
      <c r="D377" s="15">
        <v>2003</v>
      </c>
      <c r="E377" s="15" t="str">
        <f>VLOOKUP(A377, Currency!$A$2:$B$100, 2, FALSE)</f>
        <v>USD</v>
      </c>
      <c r="F377" s="15">
        <f ca="1">IFERROR(__xludf.DUMMYFUNCTION("IF(E377=""USD"",B377,B377 * GOOGLEFINANCE(""CURRENCY:"" &amp; E377 &amp; ""USD""))
"),30000000)</f>
        <v>30000000</v>
      </c>
      <c r="G377" s="16">
        <f ca="1">IFERROR(__xludf.DUMMYFUNCTION("IF(E377=""USD"",C377,C377 * GOOGLEFINANCE(""CURRENCY:"" &amp; E377 &amp; ""USD""))
"),34604054)</f>
        <v>34604054</v>
      </c>
    </row>
    <row r="378" spans="1:7" ht="15.75" customHeight="1" x14ac:dyDescent="0.25">
      <c r="A378" s="11" t="s">
        <v>24</v>
      </c>
      <c r="B378" s="12">
        <v>120000000</v>
      </c>
      <c r="C378" s="12">
        <v>100685880</v>
      </c>
      <c r="D378" s="12">
        <v>2003</v>
      </c>
      <c r="E378" s="12" t="str">
        <f>VLOOKUP(A378, Currency!$A$2:$B$100, 2, FALSE)</f>
        <v>USD</v>
      </c>
      <c r="F378" s="12">
        <f ca="1">IFERROR(__xludf.DUMMYFUNCTION("IF(E378=""USD"",B378,B378 * GOOGLEFINANCE(""CURRENCY:"" &amp; E378 &amp; ""USD""))
"),120000000)</f>
        <v>120000000</v>
      </c>
      <c r="G378" s="13">
        <f ca="1">IFERROR(__xludf.DUMMYFUNCTION("IF(E378=""USD"",C378,C378 * GOOGLEFINANCE(""CURRENCY:"" &amp; E378 &amp; ""USD""))
"),100685880)</f>
        <v>100685880</v>
      </c>
    </row>
    <row r="379" spans="1:7" ht="15.75" customHeight="1" x14ac:dyDescent="0.25">
      <c r="A379" s="14" t="s">
        <v>24</v>
      </c>
      <c r="B379" s="15">
        <v>16000000</v>
      </c>
      <c r="C379" s="15">
        <v>42638165</v>
      </c>
      <c r="D379" s="15">
        <v>2009</v>
      </c>
      <c r="E379" s="15" t="str">
        <f>VLOOKUP(A379, Currency!$A$2:$B$100, 2, FALSE)</f>
        <v>USD</v>
      </c>
      <c r="F379" s="15">
        <f ca="1">IFERROR(__xludf.DUMMYFUNCTION("IF(E379=""USD"",B379,B379 * GOOGLEFINANCE(""CURRENCY:"" &amp; E379 &amp; ""USD""))
"),16000000)</f>
        <v>16000000</v>
      </c>
      <c r="G379" s="16">
        <f ca="1">IFERROR(__xludf.DUMMYFUNCTION("IF(E379=""USD"",C379,C379 * GOOGLEFINANCE(""CURRENCY:"" &amp; E379 &amp; ""USD""))
"),42638165)</f>
        <v>42638165</v>
      </c>
    </row>
    <row r="380" spans="1:7" ht="15.75" customHeight="1" x14ac:dyDescent="0.25">
      <c r="A380" s="11" t="s">
        <v>24</v>
      </c>
      <c r="B380" s="12">
        <v>19400870</v>
      </c>
      <c r="C380" s="12">
        <v>128300000</v>
      </c>
      <c r="D380" s="12">
        <v>1977</v>
      </c>
      <c r="E380" s="12" t="str">
        <f>VLOOKUP(A380, Currency!$A$2:$B$100, 2, FALSE)</f>
        <v>USD</v>
      </c>
      <c r="F380" s="12">
        <f ca="1">IFERROR(__xludf.DUMMYFUNCTION("IF(E380=""USD"",B380,B380 * GOOGLEFINANCE(""CURRENCY:"" &amp; E380 &amp; ""USD""))
"),19400870)</f>
        <v>19400870</v>
      </c>
      <c r="G380" s="13">
        <f ca="1">IFERROR(__xludf.DUMMYFUNCTION("IF(E380=""USD"",C380,C380 * GOOGLEFINANCE(""CURRENCY:"" &amp; E380 &amp; ""USD""))
"),128300000)</f>
        <v>128300000</v>
      </c>
    </row>
    <row r="381" spans="1:7" ht="15.75" customHeight="1" x14ac:dyDescent="0.25">
      <c r="A381" s="14" t="s">
        <v>176</v>
      </c>
      <c r="B381" s="15">
        <v>3500000</v>
      </c>
      <c r="C381" s="15">
        <v>7267324</v>
      </c>
      <c r="D381" s="15">
        <v>1998</v>
      </c>
      <c r="E381" s="15" t="str">
        <f>VLOOKUP(A381, Currency!$A$2:$B$100, 2, FALSE)</f>
        <v>EUR</v>
      </c>
      <c r="F381" s="15">
        <f ca="1">IFERROR(__xludf.DUMMYFUNCTION("IF(E381=""USD"",B381,B381 * GOOGLEFINANCE(""CURRENCY:"" &amp; E381 &amp; ""USD""))
"),3796590)</f>
        <v>3796590</v>
      </c>
      <c r="G381" s="16">
        <f ca="1">IFERROR(__xludf.DUMMYFUNCTION("IF(E381=""USD"",C381,C381 * GOOGLEFINANCE(""CURRENCY:"" &amp; E381 &amp; ""USD""))
"),7883157.03576)</f>
        <v>7883157.0357600003</v>
      </c>
    </row>
    <row r="382" spans="1:7" ht="15.75" customHeight="1" x14ac:dyDescent="0.25">
      <c r="A382" s="11" t="s">
        <v>133</v>
      </c>
      <c r="B382" s="12">
        <v>22000000</v>
      </c>
      <c r="C382" s="12">
        <v>29997095</v>
      </c>
      <c r="D382" s="12">
        <v>2016</v>
      </c>
      <c r="E382" s="12" t="str">
        <f>VLOOKUP(A382, Currency!$A$2:$B$100, 2, FALSE)</f>
        <v>GBP</v>
      </c>
      <c r="F382" s="12">
        <f ca="1">IFERROR(__xludf.DUMMYFUNCTION("IF(E382=""USD"",B382,B382 * GOOGLEFINANCE(""CURRENCY:"" &amp; E382 &amp; ""USD""))
"),28278799.9999999)</f>
        <v>28278799.999999899</v>
      </c>
      <c r="G382" s="13">
        <f ca="1">IFERROR(__xludf.DUMMYFUNCTION("IF(E382=""USD"",C382,C382 * GOOGLEFINANCE(""CURRENCY:"" &amp; E382 &amp; ""USD""))
"),38558265.9129999)</f>
        <v>38558265.912999898</v>
      </c>
    </row>
    <row r="383" spans="1:7" ht="15.75" customHeight="1" x14ac:dyDescent="0.25">
      <c r="A383" s="14" t="s">
        <v>24</v>
      </c>
      <c r="B383" s="15">
        <v>15000000</v>
      </c>
      <c r="C383" s="15">
        <v>50003300</v>
      </c>
      <c r="D383" s="15">
        <v>1994</v>
      </c>
      <c r="E383" s="15" t="str">
        <f>VLOOKUP(A383, Currency!$A$2:$B$100, 2, FALSE)</f>
        <v>USD</v>
      </c>
      <c r="F383" s="15">
        <f ca="1">IFERROR(__xludf.DUMMYFUNCTION("IF(E383=""USD"",B383,B383 * GOOGLEFINANCE(""CURRENCY:"" &amp; E383 &amp; ""USD""))
"),15000000)</f>
        <v>15000000</v>
      </c>
      <c r="G383" s="16">
        <f ca="1">IFERROR(__xludf.DUMMYFUNCTION("IF(E383=""USD"",C383,C383 * GOOGLEFINANCE(""CURRENCY:"" &amp; E383 &amp; ""USD""))
"),50003300)</f>
        <v>50003300</v>
      </c>
    </row>
    <row r="384" spans="1:7" ht="15.75" customHeight="1" x14ac:dyDescent="0.25">
      <c r="A384" s="11" t="s">
        <v>24</v>
      </c>
      <c r="B384" s="12">
        <v>6000000</v>
      </c>
      <c r="C384" s="12">
        <v>3588432</v>
      </c>
      <c r="D384" s="12">
        <v>2014</v>
      </c>
      <c r="E384" s="12" t="str">
        <f>VLOOKUP(A384, Currency!$A$2:$B$100, 2, FALSE)</f>
        <v>USD</v>
      </c>
      <c r="F384" s="12">
        <f ca="1">IFERROR(__xludf.DUMMYFUNCTION("IF(E384=""USD"",B384,B384 * GOOGLEFINANCE(""CURRENCY:"" &amp; E384 &amp; ""USD""))
"),6000000)</f>
        <v>6000000</v>
      </c>
      <c r="G384" s="13">
        <f ca="1">IFERROR(__xludf.DUMMYFUNCTION("IF(E384=""USD"",C384,C384 * GOOGLEFINANCE(""CURRENCY:"" &amp; E384 &amp; ""USD""))
"),3588432)</f>
        <v>3588432</v>
      </c>
    </row>
    <row r="385" spans="1:7" ht="15.75" customHeight="1" x14ac:dyDescent="0.25">
      <c r="A385" s="14" t="s">
        <v>24</v>
      </c>
      <c r="B385" s="15">
        <v>16000000</v>
      </c>
      <c r="C385" s="15">
        <v>39511038</v>
      </c>
      <c r="D385" s="15">
        <v>2006</v>
      </c>
      <c r="E385" s="15" t="str">
        <f>VLOOKUP(A385, Currency!$A$2:$B$100, 2, FALSE)</f>
        <v>USD</v>
      </c>
      <c r="F385" s="15">
        <f ca="1">IFERROR(__xludf.DUMMYFUNCTION("IF(E385=""USD"",B385,B385 * GOOGLEFINANCE(""CURRENCY:"" &amp; E385 &amp; ""USD""))
"),16000000)</f>
        <v>16000000</v>
      </c>
      <c r="G385" s="16">
        <f ca="1">IFERROR(__xludf.DUMMYFUNCTION("IF(E385=""USD"",C385,C385 * GOOGLEFINANCE(""CURRENCY:"" &amp; E385 &amp; ""USD""))
"),39511038)</f>
        <v>39511038</v>
      </c>
    </row>
    <row r="386" spans="1:7" ht="15.75" customHeight="1" x14ac:dyDescent="0.25">
      <c r="A386" s="11" t="s">
        <v>24</v>
      </c>
      <c r="B386" s="12">
        <v>35000000</v>
      </c>
      <c r="C386" s="12">
        <v>63826569</v>
      </c>
      <c r="D386" s="12">
        <v>1997</v>
      </c>
      <c r="E386" s="12" t="str">
        <f>VLOOKUP(A386, Currency!$A$2:$B$100, 2, FALSE)</f>
        <v>USD</v>
      </c>
      <c r="F386" s="12">
        <f ca="1">IFERROR(__xludf.DUMMYFUNCTION("IF(E386=""USD"",B386,B386 * GOOGLEFINANCE(""CURRENCY:"" &amp; E386 &amp; ""USD""))
"),35000000)</f>
        <v>35000000</v>
      </c>
      <c r="G386" s="13">
        <f ca="1">IFERROR(__xludf.DUMMYFUNCTION("IF(E386=""USD"",C386,C386 * GOOGLEFINANCE(""CURRENCY:"" &amp; E386 &amp; ""USD""))
"),63826569)</f>
        <v>63826569</v>
      </c>
    </row>
    <row r="387" spans="1:7" ht="15.75" customHeight="1" x14ac:dyDescent="0.25">
      <c r="A387" s="14" t="s">
        <v>24</v>
      </c>
      <c r="B387" s="15">
        <v>40000000</v>
      </c>
      <c r="C387" s="15">
        <v>6114237</v>
      </c>
      <c r="D387" s="15">
        <v>2001</v>
      </c>
      <c r="E387" s="15" t="str">
        <f>VLOOKUP(A387, Currency!$A$2:$B$100, 2, FALSE)</f>
        <v>USD</v>
      </c>
      <c r="F387" s="15">
        <f ca="1">IFERROR(__xludf.DUMMYFUNCTION("IF(E387=""USD"",B387,B387 * GOOGLEFINANCE(""CURRENCY:"" &amp; E387 &amp; ""USD""))
"),40000000)</f>
        <v>40000000</v>
      </c>
      <c r="G387" s="16">
        <f ca="1">IFERROR(__xludf.DUMMYFUNCTION("IF(E387=""USD"",C387,C387 * GOOGLEFINANCE(""CURRENCY:"" &amp; E387 &amp; ""USD""))
"),6114237)</f>
        <v>6114237</v>
      </c>
    </row>
    <row r="388" spans="1:7" ht="15.75" customHeight="1" x14ac:dyDescent="0.25">
      <c r="A388" s="11" t="s">
        <v>24</v>
      </c>
      <c r="B388" s="12">
        <v>35000000</v>
      </c>
      <c r="C388" s="12">
        <v>7458269</v>
      </c>
      <c r="D388" s="12">
        <v>2006</v>
      </c>
      <c r="E388" s="12" t="str">
        <f>VLOOKUP(A388, Currency!$A$2:$B$100, 2, FALSE)</f>
        <v>USD</v>
      </c>
      <c r="F388" s="12">
        <f ca="1">IFERROR(__xludf.DUMMYFUNCTION("IF(E388=""USD"",B388,B388 * GOOGLEFINANCE(""CURRENCY:"" &amp; E388 &amp; ""USD""))
"),35000000)</f>
        <v>35000000</v>
      </c>
      <c r="G388" s="13">
        <f ca="1">IFERROR(__xludf.DUMMYFUNCTION("IF(E388=""USD"",C388,C388 * GOOGLEFINANCE(""CURRENCY:"" &amp; E388 &amp; ""USD""))
"),7458269)</f>
        <v>7458269</v>
      </c>
    </row>
    <row r="389" spans="1:7" ht="15.75" customHeight="1" x14ac:dyDescent="0.25">
      <c r="A389" s="14" t="s">
        <v>24</v>
      </c>
      <c r="B389" s="15">
        <v>1500000</v>
      </c>
      <c r="C389" s="15">
        <v>2365931</v>
      </c>
      <c r="D389" s="15">
        <v>1998</v>
      </c>
      <c r="E389" s="15" t="str">
        <f>VLOOKUP(A389, Currency!$A$2:$B$100, 2, FALSE)</f>
        <v>USD</v>
      </c>
      <c r="F389" s="15">
        <f ca="1">IFERROR(__xludf.DUMMYFUNCTION("IF(E389=""USD"",B389,B389 * GOOGLEFINANCE(""CURRENCY:"" &amp; E389 &amp; ""USD""))
"),1500000)</f>
        <v>1500000</v>
      </c>
      <c r="G389" s="16">
        <f ca="1">IFERROR(__xludf.DUMMYFUNCTION("IF(E389=""USD"",C389,C389 * GOOGLEFINANCE(""CURRENCY:"" &amp; E389 &amp; ""USD""))
"),2365931)</f>
        <v>2365931</v>
      </c>
    </row>
    <row r="390" spans="1:7" ht="15.75" customHeight="1" x14ac:dyDescent="0.25">
      <c r="A390" s="11" t="s">
        <v>24</v>
      </c>
      <c r="B390" s="12">
        <v>6000000</v>
      </c>
      <c r="C390" s="12">
        <v>36497</v>
      </c>
      <c r="D390" s="12">
        <v>2008</v>
      </c>
      <c r="E390" s="12" t="str">
        <f>VLOOKUP(A390, Currency!$A$2:$B$100, 2, FALSE)</f>
        <v>USD</v>
      </c>
      <c r="F390" s="12">
        <f ca="1">IFERROR(__xludf.DUMMYFUNCTION("IF(E390=""USD"",B390,B390 * GOOGLEFINANCE(""CURRENCY:"" &amp; E390 &amp; ""USD""))
"),6000000)</f>
        <v>6000000</v>
      </c>
      <c r="G390" s="13">
        <f ca="1">IFERROR(__xludf.DUMMYFUNCTION("IF(E390=""USD"",C390,C390 * GOOGLEFINANCE(""CURRENCY:"" &amp; E390 &amp; ""USD""))
"),36497)</f>
        <v>36497</v>
      </c>
    </row>
    <row r="391" spans="1:7" ht="15.75" customHeight="1" x14ac:dyDescent="0.25">
      <c r="A391" s="14" t="s">
        <v>24</v>
      </c>
      <c r="B391" s="15">
        <v>88000000</v>
      </c>
      <c r="C391" s="15">
        <v>37899638</v>
      </c>
      <c r="D391" s="15">
        <v>2005</v>
      </c>
      <c r="E391" s="15" t="str">
        <f>VLOOKUP(A391, Currency!$A$2:$B$100, 2, FALSE)</f>
        <v>USD</v>
      </c>
      <c r="F391" s="15">
        <f ca="1">IFERROR(__xludf.DUMMYFUNCTION("IF(E391=""USD"",B391,B391 * GOOGLEFINANCE(""CURRENCY:"" &amp; E391 &amp; ""USD""))
"),88000000)</f>
        <v>88000000</v>
      </c>
      <c r="G391" s="16">
        <f ca="1">IFERROR(__xludf.DUMMYFUNCTION("IF(E391=""USD"",C391,C391 * GOOGLEFINANCE(""CURRENCY:"" &amp; E391 &amp; ""USD""))
"),37899638)</f>
        <v>37899638</v>
      </c>
    </row>
    <row r="392" spans="1:7" ht="15.75" customHeight="1" x14ac:dyDescent="0.25">
      <c r="A392" s="11" t="s">
        <v>133</v>
      </c>
      <c r="B392" s="12">
        <v>6000000</v>
      </c>
      <c r="C392" s="12">
        <v>54606</v>
      </c>
      <c r="D392" s="12">
        <v>2001</v>
      </c>
      <c r="E392" s="12" t="str">
        <f>VLOOKUP(A392, Currency!$A$2:$B$100, 2, FALSE)</f>
        <v>GBP</v>
      </c>
      <c r="F392" s="12">
        <f ca="1">IFERROR(__xludf.DUMMYFUNCTION("IF(E392=""USD"",B392,B392 * GOOGLEFINANCE(""CURRENCY:"" &amp; E392 &amp; ""USD""))
"),7712399.99999999)</f>
        <v>7712399.9999999898</v>
      </c>
      <c r="G392" s="13">
        <f ca="1">IFERROR(__xludf.DUMMYFUNCTION("IF(E392=""USD"",C392,C392 * GOOGLEFINANCE(""CURRENCY:"" &amp; E392 &amp; ""USD""))
"),70190.5524)</f>
        <v>70190.5524</v>
      </c>
    </row>
    <row r="393" spans="1:7" ht="15.75" customHeight="1" x14ac:dyDescent="0.25">
      <c r="A393" s="14" t="s">
        <v>133</v>
      </c>
      <c r="B393" s="15">
        <v>28000000</v>
      </c>
      <c r="C393" s="15">
        <v>669276</v>
      </c>
      <c r="D393" s="15">
        <v>1993</v>
      </c>
      <c r="E393" s="15" t="str">
        <f>VLOOKUP(A393, Currency!$A$2:$B$100, 2, FALSE)</f>
        <v>GBP</v>
      </c>
      <c r="F393" s="15">
        <f ca="1">IFERROR(__xludf.DUMMYFUNCTION("IF(E393=""USD"",B393,B393 * GOOGLEFINANCE(""CURRENCY:"" &amp; E393 &amp; ""USD""))
"),35991200)</f>
        <v>35991200</v>
      </c>
      <c r="G393" s="16">
        <f ca="1">IFERROR(__xludf.DUMMYFUNCTION("IF(E393=""USD"",C393,C393 * GOOGLEFINANCE(""CURRENCY:"" &amp; E393 &amp; ""USD""))
"),860287.370399999)</f>
        <v>860287.37039999897</v>
      </c>
    </row>
    <row r="394" spans="1:7" ht="15.75" customHeight="1" x14ac:dyDescent="0.25">
      <c r="A394" s="11" t="s">
        <v>133</v>
      </c>
      <c r="B394" s="12">
        <v>250000</v>
      </c>
      <c r="C394" s="12">
        <v>177840</v>
      </c>
      <c r="D394" s="12">
        <v>1999</v>
      </c>
      <c r="E394" s="12" t="str">
        <f>VLOOKUP(A394, Currency!$A$2:$B$100, 2, FALSE)</f>
        <v>GBP</v>
      </c>
      <c r="F394" s="12">
        <f ca="1">IFERROR(__xludf.DUMMYFUNCTION("IF(E394=""USD"",B394,B394 * GOOGLEFINANCE(""CURRENCY:"" &amp; E394 &amp; ""USD""))
"),321349.999999999)</f>
        <v>321349.99999999901</v>
      </c>
      <c r="G394" s="13">
        <f ca="1">IFERROR(__xludf.DUMMYFUNCTION("IF(E394=""USD"",C394,C394 * GOOGLEFINANCE(""CURRENCY:"" &amp; E394 &amp; ""USD""))
"),228595.535999999)</f>
        <v>228595.535999999</v>
      </c>
    </row>
    <row r="395" spans="1:7" ht="15.75" customHeight="1" x14ac:dyDescent="0.25">
      <c r="A395" s="14" t="s">
        <v>611</v>
      </c>
      <c r="B395" s="15">
        <v>800000</v>
      </c>
      <c r="C395" s="15">
        <v>144583</v>
      </c>
      <c r="D395" s="15">
        <v>1999</v>
      </c>
      <c r="E395" s="15" t="str">
        <f>VLOOKUP(A395, Currency!$A$2:$B$100, 2, FALSE)</f>
        <v>EUR</v>
      </c>
      <c r="F395" s="15">
        <f ca="1">IFERROR(__xludf.DUMMYFUNCTION("IF(E395=""USD"",B395,B395 * GOOGLEFINANCE(""CURRENCY:"" &amp; E395 &amp; ""USD""))
"),867792)</f>
        <v>867792</v>
      </c>
      <c r="G395" s="16">
        <f ca="1">IFERROR(__xludf.DUMMYFUNCTION("IF(E395=""USD"",C395,C395 * GOOGLEFINANCE(""CURRENCY:"" &amp; E395 &amp; ""USD""))
"),156834.96342)</f>
        <v>156834.96341999999</v>
      </c>
    </row>
    <row r="396" spans="1:7" ht="15.75" customHeight="1" x14ac:dyDescent="0.25">
      <c r="A396" s="11" t="s">
        <v>24</v>
      </c>
      <c r="B396" s="12">
        <v>7000000</v>
      </c>
      <c r="C396" s="12">
        <v>15818967</v>
      </c>
      <c r="D396" s="12">
        <v>2014</v>
      </c>
      <c r="E396" s="12" t="str">
        <f>VLOOKUP(A396, Currency!$A$2:$B$100, 2, FALSE)</f>
        <v>USD</v>
      </c>
      <c r="F396" s="12">
        <f ca="1">IFERROR(__xludf.DUMMYFUNCTION("IF(E396=""USD"",B396,B396 * GOOGLEFINANCE(""CURRENCY:"" &amp; E396 &amp; ""USD""))
"),7000000)</f>
        <v>7000000</v>
      </c>
      <c r="G396" s="13">
        <f ca="1">IFERROR(__xludf.DUMMYFUNCTION("IF(E396=""USD"",C396,C396 * GOOGLEFINANCE(""CURRENCY:"" &amp; E396 &amp; ""USD""))
"),15818967)</f>
        <v>15818967</v>
      </c>
    </row>
    <row r="397" spans="1:7" ht="15.75" customHeight="1" x14ac:dyDescent="0.25">
      <c r="A397" s="14" t="s">
        <v>24</v>
      </c>
      <c r="B397" s="15">
        <v>250000000</v>
      </c>
      <c r="C397" s="15">
        <v>458991599</v>
      </c>
      <c r="D397" s="15">
        <v>2015</v>
      </c>
      <c r="E397" s="15" t="str">
        <f>VLOOKUP(A397, Currency!$A$2:$B$100, 2, FALSE)</f>
        <v>USD</v>
      </c>
      <c r="F397" s="15">
        <f ca="1">IFERROR(__xludf.DUMMYFUNCTION("IF(E397=""USD"",B397,B397 * GOOGLEFINANCE(""CURRENCY:"" &amp; E397 &amp; ""USD""))
"),250000000)</f>
        <v>250000000</v>
      </c>
      <c r="G397" s="16">
        <f ca="1">IFERROR(__xludf.DUMMYFUNCTION("IF(E397=""USD"",C397,C397 * GOOGLEFINANCE(""CURRENCY:"" &amp; E397 &amp; ""USD""))
"),458991599)</f>
        <v>458991599</v>
      </c>
    </row>
    <row r="398" spans="1:7" ht="15.75" customHeight="1" x14ac:dyDescent="0.25">
      <c r="A398" s="11" t="s">
        <v>133</v>
      </c>
      <c r="B398" s="12">
        <v>30000000</v>
      </c>
      <c r="C398" s="12">
        <v>1865774</v>
      </c>
      <c r="D398" s="12">
        <v>2015</v>
      </c>
      <c r="E398" s="12" t="str">
        <f>VLOOKUP(A398, Currency!$A$2:$B$100, 2, FALSE)</f>
        <v>GBP</v>
      </c>
      <c r="F398" s="12">
        <f ca="1">IFERROR(__xludf.DUMMYFUNCTION("IF(E398=""USD"",B398,B398 * GOOGLEFINANCE(""CURRENCY:"" &amp; E398 &amp; ""USD""))
"),38562000)</f>
        <v>38562000</v>
      </c>
      <c r="G398" s="13">
        <f ca="1">IFERROR(__xludf.DUMMYFUNCTION("IF(E398=""USD"",C398,C398 * GOOGLEFINANCE(""CURRENCY:"" &amp; E398 &amp; ""USD""))
"),2398265.89959999)</f>
        <v>2398265.8995999899</v>
      </c>
    </row>
    <row r="399" spans="1:7" ht="15.75" customHeight="1" x14ac:dyDescent="0.25">
      <c r="A399" s="14" t="s">
        <v>24</v>
      </c>
      <c r="B399" s="15">
        <v>30000000</v>
      </c>
      <c r="C399" s="15">
        <v>45542421</v>
      </c>
      <c r="D399" s="15">
        <v>2000</v>
      </c>
      <c r="E399" s="15" t="str">
        <f>VLOOKUP(A399, Currency!$A$2:$B$100, 2, FALSE)</f>
        <v>USD</v>
      </c>
      <c r="F399" s="15">
        <f ca="1">IFERROR(__xludf.DUMMYFUNCTION("IF(E399=""USD"",B399,B399 * GOOGLEFINANCE(""CURRENCY:"" &amp; E399 &amp; ""USD""))
"),30000000)</f>
        <v>30000000</v>
      </c>
      <c r="G399" s="16">
        <f ca="1">IFERROR(__xludf.DUMMYFUNCTION("IF(E399=""USD"",C399,C399 * GOOGLEFINANCE(""CURRENCY:"" &amp; E399 &amp; ""USD""))
"),45542421)</f>
        <v>45542421</v>
      </c>
    </row>
    <row r="400" spans="1:7" ht="15.75" customHeight="1" x14ac:dyDescent="0.25">
      <c r="A400" s="11" t="s">
        <v>24</v>
      </c>
      <c r="B400" s="12">
        <v>2800000</v>
      </c>
      <c r="C400" s="12">
        <v>19170001</v>
      </c>
      <c r="D400" s="12">
        <v>1988</v>
      </c>
      <c r="E400" s="12" t="str">
        <f>VLOOKUP(A400, Currency!$A$2:$B$100, 2, FALSE)</f>
        <v>USD</v>
      </c>
      <c r="F400" s="12">
        <f ca="1">IFERROR(__xludf.DUMMYFUNCTION("IF(E400=""USD"",B400,B400 * GOOGLEFINANCE(""CURRENCY:"" &amp; E400 &amp; ""USD""))
"),2800000)</f>
        <v>2800000</v>
      </c>
      <c r="G400" s="13">
        <f ca="1">IFERROR(__xludf.DUMMYFUNCTION("IF(E400=""USD"",C400,C400 * GOOGLEFINANCE(""CURRENCY:"" &amp; E400 &amp; ""USD""))
"),19170001)</f>
        <v>19170001</v>
      </c>
    </row>
    <row r="401" spans="1:7" ht="15.75" customHeight="1" x14ac:dyDescent="0.25">
      <c r="A401" s="14" t="s">
        <v>24</v>
      </c>
      <c r="B401" s="15">
        <v>500000</v>
      </c>
      <c r="C401" s="15">
        <v>15180000</v>
      </c>
      <c r="D401" s="15">
        <v>1971</v>
      </c>
      <c r="E401" s="15" t="str">
        <f>VLOOKUP(A401, Currency!$A$2:$B$100, 2, FALSE)</f>
        <v>USD</v>
      </c>
      <c r="F401" s="15">
        <f ca="1">IFERROR(__xludf.DUMMYFUNCTION("IF(E401=""USD"",B401,B401 * GOOGLEFINANCE(""CURRENCY:"" &amp; E401 &amp; ""USD""))
"),500000)</f>
        <v>500000</v>
      </c>
      <c r="G401" s="16">
        <f ca="1">IFERROR(__xludf.DUMMYFUNCTION("IF(E401=""USD"",C401,C401 * GOOGLEFINANCE(""CURRENCY:"" &amp; E401 &amp; ""USD""))
"),15180000)</f>
        <v>15180000</v>
      </c>
    </row>
    <row r="402" spans="1:7" ht="15.75" customHeight="1" x14ac:dyDescent="0.25">
      <c r="A402" s="11" t="s">
        <v>176</v>
      </c>
      <c r="B402" s="12">
        <v>1000000</v>
      </c>
      <c r="C402" s="12">
        <v>721</v>
      </c>
      <c r="D402" s="12">
        <v>2006</v>
      </c>
      <c r="E402" s="12" t="str">
        <f>VLOOKUP(A402, Currency!$A$2:$B$100, 2, FALSE)</f>
        <v>EUR</v>
      </c>
      <c r="F402" s="12">
        <f ca="1">IFERROR(__xludf.DUMMYFUNCTION("IF(E402=""USD"",B402,B402 * GOOGLEFINANCE(""CURRENCY:"" &amp; E402 &amp; ""USD""))
"),1084740)</f>
        <v>1084740</v>
      </c>
      <c r="G402" s="13">
        <f ca="1">IFERROR(__xludf.DUMMYFUNCTION("IF(E402=""USD"",C402,C402 * GOOGLEFINANCE(""CURRENCY:"" &amp; E402 &amp; ""USD""))
"),782.09754)</f>
        <v>782.09753999999998</v>
      </c>
    </row>
    <row r="403" spans="1:7" ht="15.75" customHeight="1" x14ac:dyDescent="0.25">
      <c r="A403" s="14" t="s">
        <v>133</v>
      </c>
      <c r="B403" s="15">
        <v>6000000</v>
      </c>
      <c r="C403" s="15">
        <v>25244700</v>
      </c>
      <c r="D403" s="15">
        <v>1981</v>
      </c>
      <c r="E403" s="15" t="str">
        <f>VLOOKUP(A403, Currency!$A$2:$B$100, 2, FALSE)</f>
        <v>GBP</v>
      </c>
      <c r="F403" s="15">
        <f ca="1">IFERROR(__xludf.DUMMYFUNCTION("IF(E403=""USD"",B403,B403 * GOOGLEFINANCE(""CURRENCY:"" &amp; E403 &amp; ""USD""))
"),7712399.99999999)</f>
        <v>7712399.9999999898</v>
      </c>
      <c r="G403" s="16">
        <f ca="1">IFERROR(__xludf.DUMMYFUNCTION("IF(E403=""USD"",C403,C403 * GOOGLEFINANCE(""CURRENCY:"" &amp; E403 &amp; ""USD""))
"),32449537.3799999)</f>
        <v>32449537.379999898</v>
      </c>
    </row>
    <row r="404" spans="1:7" ht="15.75" customHeight="1" x14ac:dyDescent="0.25">
      <c r="A404" s="11" t="s">
        <v>24</v>
      </c>
      <c r="B404" s="12">
        <v>10000000</v>
      </c>
      <c r="C404" s="12">
        <v>25600000</v>
      </c>
      <c r="D404" s="12">
        <v>1983</v>
      </c>
      <c r="E404" s="12" t="str">
        <f>VLOOKUP(A404, Currency!$A$2:$B$100, 2, FALSE)</f>
        <v>USD</v>
      </c>
      <c r="F404" s="12">
        <f ca="1">IFERROR(__xludf.DUMMYFUNCTION("IF(E404=""USD"",B404,B404 * GOOGLEFINANCE(""CURRENCY:"" &amp; E404 &amp; ""USD""))
"),10000000)</f>
        <v>10000000</v>
      </c>
      <c r="G404" s="13">
        <f ca="1">IFERROR(__xludf.DUMMYFUNCTION("IF(E404=""USD"",C404,C404 * GOOGLEFINANCE(""CURRENCY:"" &amp; E404 &amp; ""USD""))
"),25600000)</f>
        <v>25600000</v>
      </c>
    </row>
    <row r="405" spans="1:7" ht="15.75" customHeight="1" x14ac:dyDescent="0.25">
      <c r="A405" s="14" t="s">
        <v>24</v>
      </c>
      <c r="B405" s="15">
        <v>100000000</v>
      </c>
      <c r="C405" s="15">
        <v>77679638</v>
      </c>
      <c r="D405" s="15">
        <v>2002</v>
      </c>
      <c r="E405" s="15" t="str">
        <f>VLOOKUP(A405, Currency!$A$2:$B$100, 2, FALSE)</f>
        <v>USD</v>
      </c>
      <c r="F405" s="15">
        <f ca="1">IFERROR(__xludf.DUMMYFUNCTION("IF(E405=""USD"",B405,B405 * GOOGLEFINANCE(""CURRENCY:"" &amp; E405 &amp; ""USD""))
"),100000000)</f>
        <v>100000000</v>
      </c>
      <c r="G405" s="16">
        <f ca="1">IFERROR(__xludf.DUMMYFUNCTION("IF(E405=""USD"",C405,C405 * GOOGLEFINANCE(""CURRENCY:"" &amp; E405 &amp; ""USD""))
"),77679638)</f>
        <v>77679638</v>
      </c>
    </row>
    <row r="406" spans="1:7" ht="15.75" customHeight="1" x14ac:dyDescent="0.25">
      <c r="A406" s="11" t="s">
        <v>24</v>
      </c>
      <c r="B406" s="12">
        <v>13200000</v>
      </c>
      <c r="C406" s="12">
        <v>52543632</v>
      </c>
      <c r="D406" s="12">
        <v>2014</v>
      </c>
      <c r="E406" s="12" t="str">
        <f>VLOOKUP(A406, Currency!$A$2:$B$100, 2, FALSE)</f>
        <v>USD</v>
      </c>
      <c r="F406" s="12">
        <f ca="1">IFERROR(__xludf.DUMMYFUNCTION("IF(E406=""USD"",B406,B406 * GOOGLEFINANCE(""CURRENCY:"" &amp; E406 &amp; ""USD""))
"),13200000)</f>
        <v>13200000</v>
      </c>
      <c r="G406" s="13">
        <f ca="1">IFERROR(__xludf.DUMMYFUNCTION("IF(E406=""USD"",C406,C406 * GOOGLEFINANCE(""CURRENCY:"" &amp; E406 &amp; ""USD""))
"),52543632)</f>
        <v>52543632</v>
      </c>
    </row>
    <row r="407" spans="1:7" ht="15.75" customHeight="1" x14ac:dyDescent="0.25">
      <c r="A407" s="14" t="s">
        <v>24</v>
      </c>
      <c r="B407" s="15">
        <v>10000000</v>
      </c>
      <c r="C407" s="15">
        <v>6044618</v>
      </c>
      <c r="D407" s="15">
        <v>2002</v>
      </c>
      <c r="E407" s="15" t="str">
        <f>VLOOKUP(A407, Currency!$A$2:$B$100, 2, FALSE)</f>
        <v>USD</v>
      </c>
      <c r="F407" s="15">
        <f ca="1">IFERROR(__xludf.DUMMYFUNCTION("IF(E407=""USD"",B407,B407 * GOOGLEFINANCE(""CURRENCY:"" &amp; E407 &amp; ""USD""))
"),10000000)</f>
        <v>10000000</v>
      </c>
      <c r="G407" s="16">
        <f ca="1">IFERROR(__xludf.DUMMYFUNCTION("IF(E407=""USD"",C407,C407 * GOOGLEFINANCE(""CURRENCY:"" &amp; E407 &amp; ""USD""))
"),6044618)</f>
        <v>6044618</v>
      </c>
    </row>
    <row r="408" spans="1:7" ht="15.75" customHeight="1" x14ac:dyDescent="0.25">
      <c r="A408" s="11" t="s">
        <v>24</v>
      </c>
      <c r="B408" s="12">
        <v>4000000</v>
      </c>
      <c r="C408" s="12">
        <v>101055</v>
      </c>
      <c r="D408" s="12">
        <v>2009</v>
      </c>
      <c r="E408" s="12" t="str">
        <f>VLOOKUP(A408, Currency!$A$2:$B$100, 2, FALSE)</f>
        <v>USD</v>
      </c>
      <c r="F408" s="12">
        <f ca="1">IFERROR(__xludf.DUMMYFUNCTION("IF(E408=""USD"",B408,B408 * GOOGLEFINANCE(""CURRENCY:"" &amp; E408 &amp; ""USD""))
"),4000000)</f>
        <v>4000000</v>
      </c>
      <c r="G408" s="13">
        <f ca="1">IFERROR(__xludf.DUMMYFUNCTION("IF(E408=""USD"",C408,C408 * GOOGLEFINANCE(""CURRENCY:"" &amp; E408 &amp; ""USD""))
"),101055)</f>
        <v>101055</v>
      </c>
    </row>
    <row r="409" spans="1:7" ht="15.75" customHeight="1" x14ac:dyDescent="0.25">
      <c r="A409" s="14" t="s">
        <v>133</v>
      </c>
      <c r="B409" s="15">
        <v>1900000</v>
      </c>
      <c r="C409" s="15">
        <v>4170647</v>
      </c>
      <c r="D409" s="15">
        <v>1999</v>
      </c>
      <c r="E409" s="15" t="str">
        <f>VLOOKUP(A409, Currency!$A$2:$B$100, 2, FALSE)</f>
        <v>GBP</v>
      </c>
      <c r="F409" s="15">
        <f ca="1">IFERROR(__xludf.DUMMYFUNCTION("IF(E409=""USD"",B409,B409 * GOOGLEFINANCE(""CURRENCY:"" &amp; E409 &amp; ""USD""))
"),2442259.99999999)</f>
        <v>2442259.9999999902</v>
      </c>
      <c r="G409" s="16">
        <f ca="1">IFERROR(__xludf.DUMMYFUNCTION("IF(E409=""USD"",C409,C409 * GOOGLEFINANCE(""CURRENCY:"" &amp; E409 &amp; ""USD""))
"),5360949.65379999)</f>
        <v>5360949.6537999902</v>
      </c>
    </row>
    <row r="410" spans="1:7" ht="15.75" customHeight="1" x14ac:dyDescent="0.25">
      <c r="A410" s="11" t="s">
        <v>24</v>
      </c>
      <c r="B410" s="12">
        <v>40000000</v>
      </c>
      <c r="C410" s="12">
        <v>81593527</v>
      </c>
      <c r="D410" s="12">
        <v>2006</v>
      </c>
      <c r="E410" s="12" t="str">
        <f>VLOOKUP(A410, Currency!$A$2:$B$100, 2, FALSE)</f>
        <v>USD</v>
      </c>
      <c r="F410" s="12">
        <f ca="1">IFERROR(__xludf.DUMMYFUNCTION("IF(E410=""USD"",B410,B410 * GOOGLEFINANCE(""CURRENCY:"" &amp; E410 &amp; ""USD""))
"),40000000)</f>
        <v>40000000</v>
      </c>
      <c r="G410" s="13">
        <f ca="1">IFERROR(__xludf.DUMMYFUNCTION("IF(E410=""USD"",C410,C410 * GOOGLEFINANCE(""CURRENCY:"" &amp; E410 &amp; ""USD""))
"),81593527)</f>
        <v>81593527</v>
      </c>
    </row>
    <row r="411" spans="1:7" ht="15.75" customHeight="1" x14ac:dyDescent="0.25">
      <c r="A411" s="14" t="s">
        <v>24</v>
      </c>
      <c r="B411" s="15">
        <v>42000000</v>
      </c>
      <c r="C411" s="15">
        <v>87856565</v>
      </c>
      <c r="D411" s="15">
        <v>2004</v>
      </c>
      <c r="E411" s="15" t="str">
        <f>VLOOKUP(A411, Currency!$A$2:$B$100, 2, FALSE)</f>
        <v>USD</v>
      </c>
      <c r="F411" s="15">
        <f ca="1">IFERROR(__xludf.DUMMYFUNCTION("IF(E411=""USD"",B411,B411 * GOOGLEFINANCE(""CURRENCY:"" &amp; E411 &amp; ""USD""))
"),42000000)</f>
        <v>42000000</v>
      </c>
      <c r="G411" s="16">
        <f ca="1">IFERROR(__xludf.DUMMYFUNCTION("IF(E411=""USD"",C411,C411 * GOOGLEFINANCE(""CURRENCY:"" &amp; E411 &amp; ""USD""))
"),87856565)</f>
        <v>87856565</v>
      </c>
    </row>
    <row r="412" spans="1:7" ht="15.75" customHeight="1" x14ac:dyDescent="0.25">
      <c r="A412" s="11" t="s">
        <v>627</v>
      </c>
      <c r="B412" s="12">
        <v>80000000</v>
      </c>
      <c r="C412" s="12">
        <v>23219748</v>
      </c>
      <c r="D412" s="12">
        <v>2014</v>
      </c>
      <c r="E412" s="12" t="str">
        <f>VLOOKUP(A412, Currency!$A$2:$B$100, 2, FALSE)</f>
        <v>CAD</v>
      </c>
      <c r="F412" s="12">
        <f ca="1">IFERROR(__xludf.DUMMYFUNCTION("IF(E412=""USD"",B412,B412 * GOOGLEFINANCE(""CURRENCY:"" &amp; E412 &amp; ""USD""))
"),57872400)</f>
        <v>57872400</v>
      </c>
      <c r="G412" s="13">
        <f ca="1">IFERROR(__xludf.DUMMYFUNCTION("IF(E412=""USD"",C412,C412 * GOOGLEFINANCE(""CURRENCY:"" &amp; E412 &amp; ""USD""))
"),16797281.8019399)</f>
        <v>16797281.801939901</v>
      </c>
    </row>
    <row r="413" spans="1:7" ht="15.75" customHeight="1" x14ac:dyDescent="0.25">
      <c r="A413" s="14" t="s">
        <v>24</v>
      </c>
      <c r="B413" s="15">
        <v>25000000</v>
      </c>
      <c r="C413" s="15">
        <v>36447959</v>
      </c>
      <c r="D413" s="15">
        <v>2014</v>
      </c>
      <c r="E413" s="15" t="str">
        <f>VLOOKUP(A413, Currency!$A$2:$B$100, 2, FALSE)</f>
        <v>USD</v>
      </c>
      <c r="F413" s="15">
        <f ca="1">IFERROR(__xludf.DUMMYFUNCTION("IF(E413=""USD"",B413,B413 * GOOGLEFINANCE(""CURRENCY:"" &amp; E413 &amp; ""USD""))
"),25000000)</f>
        <v>25000000</v>
      </c>
      <c r="G413" s="16">
        <f ca="1">IFERROR(__xludf.DUMMYFUNCTION("IF(E413=""USD"",C413,C413 * GOOGLEFINANCE(""CURRENCY:"" &amp; E413 &amp; ""USD""))
"),36447959)</f>
        <v>36447959</v>
      </c>
    </row>
    <row r="414" spans="1:7" ht="15.75" customHeight="1" x14ac:dyDescent="0.25">
      <c r="A414" s="11" t="s">
        <v>24</v>
      </c>
      <c r="B414" s="12">
        <v>135000000</v>
      </c>
      <c r="C414" s="12">
        <v>183635922</v>
      </c>
      <c r="D414" s="12">
        <v>2015</v>
      </c>
      <c r="E414" s="12" t="str">
        <f>VLOOKUP(A414, Currency!$A$2:$B$100, 2, FALSE)</f>
        <v>USD</v>
      </c>
      <c r="F414" s="12">
        <f ca="1">IFERROR(__xludf.DUMMYFUNCTION("IF(E414=""USD"",B414,B414 * GOOGLEFINANCE(""CURRENCY:"" &amp; E414 &amp; ""USD""))
"),135000000)</f>
        <v>135000000</v>
      </c>
      <c r="G414" s="13">
        <f ca="1">IFERROR(__xludf.DUMMYFUNCTION("IF(E414=""USD"",C414,C414 * GOOGLEFINANCE(""CURRENCY:"" &amp; E414 &amp; ""USD""))
"),183635922)</f>
        <v>183635922</v>
      </c>
    </row>
    <row r="415" spans="1:7" ht="15.75" customHeight="1" x14ac:dyDescent="0.25">
      <c r="A415" s="14" t="s">
        <v>24</v>
      </c>
      <c r="B415" s="15">
        <v>70000000</v>
      </c>
      <c r="C415" s="15">
        <v>37760080</v>
      </c>
      <c r="D415" s="15">
        <v>2004</v>
      </c>
      <c r="E415" s="15" t="str">
        <f>VLOOKUP(A415, Currency!$A$2:$B$100, 2, FALSE)</f>
        <v>USD</v>
      </c>
      <c r="F415" s="15">
        <f ca="1">IFERROR(__xludf.DUMMYFUNCTION("IF(E415=""USD"",B415,B415 * GOOGLEFINANCE(""CURRENCY:"" &amp; E415 &amp; ""USD""))
"),70000000)</f>
        <v>70000000</v>
      </c>
      <c r="G415" s="16">
        <f ca="1">IFERROR(__xludf.DUMMYFUNCTION("IF(E415=""USD"",C415,C415 * GOOGLEFINANCE(""CURRENCY:"" &amp; E415 &amp; ""USD""))
"),37760080)</f>
        <v>37760080</v>
      </c>
    </row>
    <row r="416" spans="1:7" ht="15.75" customHeight="1" x14ac:dyDescent="0.25">
      <c r="A416" s="11" t="s">
        <v>24</v>
      </c>
      <c r="B416" s="12">
        <v>25000000</v>
      </c>
      <c r="C416" s="12">
        <v>1512815</v>
      </c>
      <c r="D416" s="12">
        <v>2016</v>
      </c>
      <c r="E416" s="12" t="str">
        <f>VLOOKUP(A416, Currency!$A$2:$B$100, 2, FALSE)</f>
        <v>USD</v>
      </c>
      <c r="F416" s="12">
        <f ca="1">IFERROR(__xludf.DUMMYFUNCTION("IF(E416=""USD"",B416,B416 * GOOGLEFINANCE(""CURRENCY:"" &amp; E416 &amp; ""USD""))
"),25000000)</f>
        <v>25000000</v>
      </c>
      <c r="G416" s="13">
        <f ca="1">IFERROR(__xludf.DUMMYFUNCTION("IF(E416=""USD"",C416,C416 * GOOGLEFINANCE(""CURRENCY:"" &amp; E416 &amp; ""USD""))
"),1512815)</f>
        <v>1512815</v>
      </c>
    </row>
    <row r="417" spans="1:7" ht="15.75" customHeight="1" x14ac:dyDescent="0.25">
      <c r="A417" s="14" t="s">
        <v>24</v>
      </c>
      <c r="B417" s="15">
        <v>27500000</v>
      </c>
      <c r="C417" s="15">
        <v>9664316</v>
      </c>
      <c r="D417" s="15">
        <v>2007</v>
      </c>
      <c r="E417" s="15" t="str">
        <f>VLOOKUP(A417, Currency!$A$2:$B$100, 2, FALSE)</f>
        <v>USD</v>
      </c>
      <c r="F417" s="15">
        <f ca="1">IFERROR(__xludf.DUMMYFUNCTION("IF(E417=""USD"",B417,B417 * GOOGLEFINANCE(""CURRENCY:"" &amp; E417 &amp; ""USD""))
"),27500000)</f>
        <v>27500000</v>
      </c>
      <c r="G417" s="16">
        <f ca="1">IFERROR(__xludf.DUMMYFUNCTION("IF(E417=""USD"",C417,C417 * GOOGLEFINANCE(""CURRENCY:"" &amp; E417 &amp; ""USD""))
"),9664316)</f>
        <v>9664316</v>
      </c>
    </row>
    <row r="418" spans="1:7" ht="15.75" customHeight="1" x14ac:dyDescent="0.25">
      <c r="A418" s="11" t="s">
        <v>133</v>
      </c>
      <c r="B418" s="12">
        <v>20000000</v>
      </c>
      <c r="C418" s="12">
        <v>26003149</v>
      </c>
      <c r="D418" s="12">
        <v>2013</v>
      </c>
      <c r="E418" s="12" t="str">
        <f>VLOOKUP(A418, Currency!$A$2:$B$100, 2, FALSE)</f>
        <v>GBP</v>
      </c>
      <c r="F418" s="12">
        <f ca="1">IFERROR(__xludf.DUMMYFUNCTION("IF(E418=""USD"",B418,B418 * GOOGLEFINANCE(""CURRENCY:"" &amp; E418 &amp; ""USD""))
"),25707999.9999999)</f>
        <v>25707999.999999899</v>
      </c>
      <c r="G418" s="13">
        <f ca="1">IFERROR(__xludf.DUMMYFUNCTION("IF(E418=""USD"",C418,C418 * GOOGLEFINANCE(""CURRENCY:"" &amp; E418 &amp; ""USD""))
"),33424447.7246)</f>
        <v>33424447.724599998</v>
      </c>
    </row>
    <row r="419" spans="1:7" ht="15.75" customHeight="1" x14ac:dyDescent="0.25">
      <c r="A419" s="14" t="s">
        <v>24</v>
      </c>
      <c r="B419" s="15">
        <v>145000000</v>
      </c>
      <c r="C419" s="15">
        <v>111505642</v>
      </c>
      <c r="D419" s="15">
        <v>2014</v>
      </c>
      <c r="E419" s="15" t="str">
        <f>VLOOKUP(A419, Currency!$A$2:$B$100, 2, FALSE)</f>
        <v>USD</v>
      </c>
      <c r="F419" s="15">
        <f ca="1">IFERROR(__xludf.DUMMYFUNCTION("IF(E419=""USD"",B419,B419 * GOOGLEFINANCE(""CURRENCY:"" &amp; E419 &amp; ""USD""))
"),145000000)</f>
        <v>145000000</v>
      </c>
      <c r="G419" s="16">
        <f ca="1">IFERROR(__xludf.DUMMYFUNCTION("IF(E419=""USD"",C419,C419 * GOOGLEFINANCE(""CURRENCY:"" &amp; E419 &amp; ""USD""))
"),111505642)</f>
        <v>111505642</v>
      </c>
    </row>
    <row r="420" spans="1:7" ht="15.75" customHeight="1" x14ac:dyDescent="0.25">
      <c r="A420" s="11" t="s">
        <v>24</v>
      </c>
      <c r="B420" s="12">
        <v>5000000</v>
      </c>
      <c r="C420" s="12">
        <v>50820940</v>
      </c>
      <c r="D420" s="12">
        <v>2014</v>
      </c>
      <c r="E420" s="12" t="str">
        <f>VLOOKUP(A420, Currency!$A$2:$B$100, 2, FALSE)</f>
        <v>USD</v>
      </c>
      <c r="F420" s="12">
        <f ca="1">IFERROR(__xludf.DUMMYFUNCTION("IF(E420=""USD"",B420,B420 * GOOGLEFINANCE(""CURRENCY:"" &amp; E420 &amp; ""USD""))
"),5000000)</f>
        <v>5000000</v>
      </c>
      <c r="G420" s="13">
        <f ca="1">IFERROR(__xludf.DUMMYFUNCTION("IF(E420=""USD"",C420,C420 * GOOGLEFINANCE(""CURRENCY:"" &amp; E420 &amp; ""USD""))
"),50820940)</f>
        <v>50820940</v>
      </c>
    </row>
    <row r="421" spans="1:7" ht="15.75" customHeight="1" x14ac:dyDescent="0.25">
      <c r="A421" s="14" t="s">
        <v>24</v>
      </c>
      <c r="B421" s="15">
        <v>40000000</v>
      </c>
      <c r="C421" s="15">
        <v>30993544</v>
      </c>
      <c r="D421" s="15">
        <v>2010</v>
      </c>
      <c r="E421" s="15" t="str">
        <f>VLOOKUP(A421, Currency!$A$2:$B$100, 2, FALSE)</f>
        <v>USD</v>
      </c>
      <c r="F421" s="15">
        <f ca="1">IFERROR(__xludf.DUMMYFUNCTION("IF(E421=""USD"",B421,B421 * GOOGLEFINANCE(""CURRENCY:"" &amp; E421 &amp; ""USD""))
"),40000000)</f>
        <v>40000000</v>
      </c>
      <c r="G421" s="16">
        <f ca="1">IFERROR(__xludf.DUMMYFUNCTION("IF(E421=""USD"",C421,C421 * GOOGLEFINANCE(""CURRENCY:"" &amp; E421 &amp; ""USD""))
"),30993544)</f>
        <v>30993544</v>
      </c>
    </row>
    <row r="422" spans="1:7" ht="15.75" customHeight="1" x14ac:dyDescent="0.25">
      <c r="A422" s="11" t="s">
        <v>133</v>
      </c>
      <c r="B422" s="12">
        <v>1000000</v>
      </c>
      <c r="C422" s="12">
        <v>144431</v>
      </c>
      <c r="D422" s="12">
        <v>2006</v>
      </c>
      <c r="E422" s="12" t="str">
        <f>VLOOKUP(A422, Currency!$A$2:$B$100, 2, FALSE)</f>
        <v>GBP</v>
      </c>
      <c r="F422" s="12">
        <f ca="1">IFERROR(__xludf.DUMMYFUNCTION("IF(E422=""USD"",B422,B422 * GOOGLEFINANCE(""CURRENCY:"" &amp; E422 &amp; ""USD""))
"),1285399.99999999)</f>
        <v>1285399.99999999</v>
      </c>
      <c r="G422" s="13">
        <f ca="1">IFERROR(__xludf.DUMMYFUNCTION("IF(E422=""USD"",C422,C422 * GOOGLEFINANCE(""CURRENCY:"" &amp; E422 &amp; ""USD""))
"),185651.607399999)</f>
        <v>185651.60739999899</v>
      </c>
    </row>
    <row r="423" spans="1:7" ht="15.75" customHeight="1" x14ac:dyDescent="0.25">
      <c r="A423" s="14" t="s">
        <v>24</v>
      </c>
      <c r="B423" s="15">
        <v>8000000</v>
      </c>
      <c r="C423" s="15">
        <v>90800000</v>
      </c>
      <c r="D423" s="15">
        <v>1984</v>
      </c>
      <c r="E423" s="15" t="str">
        <f>VLOOKUP(A423, Currency!$A$2:$B$100, 2, FALSE)</f>
        <v>USD</v>
      </c>
      <c r="F423" s="15">
        <f ca="1">IFERROR(__xludf.DUMMYFUNCTION("IF(E423=""USD"",B423,B423 * GOOGLEFINANCE(""CURRENCY:"" &amp; E423 &amp; ""USD""))
"),8000000)</f>
        <v>8000000</v>
      </c>
      <c r="G423" s="16">
        <f ca="1">IFERROR(__xludf.DUMMYFUNCTION("IF(E423=""USD"",C423,C423 * GOOGLEFINANCE(""CURRENCY:"" &amp; E423 &amp; ""USD""))
"),90800000)</f>
        <v>90800000</v>
      </c>
    </row>
    <row r="424" spans="1:7" ht="15.75" customHeight="1" x14ac:dyDescent="0.25">
      <c r="A424" s="11" t="s">
        <v>24</v>
      </c>
      <c r="B424" s="12">
        <v>5000000</v>
      </c>
      <c r="C424" s="12">
        <v>10429707</v>
      </c>
      <c r="D424" s="12">
        <v>2014</v>
      </c>
      <c r="E424" s="12" t="str">
        <f>VLOOKUP(A424, Currency!$A$2:$B$100, 2, FALSE)</f>
        <v>USD</v>
      </c>
      <c r="F424" s="12">
        <f ca="1">IFERROR(__xludf.DUMMYFUNCTION("IF(E424=""USD"",B424,B424 * GOOGLEFINANCE(""CURRENCY:"" &amp; E424 &amp; ""USD""))
"),5000000)</f>
        <v>5000000</v>
      </c>
      <c r="G424" s="13">
        <f ca="1">IFERROR(__xludf.DUMMYFUNCTION("IF(E424=""USD"",C424,C424 * GOOGLEFINANCE(""CURRENCY:"" &amp; E424 &amp; ""USD""))
"),10429707)</f>
        <v>10429707</v>
      </c>
    </row>
    <row r="425" spans="1:7" ht="15.75" customHeight="1" x14ac:dyDescent="0.25">
      <c r="A425" s="14" t="s">
        <v>24</v>
      </c>
      <c r="B425" s="15">
        <v>50000000</v>
      </c>
      <c r="C425" s="15">
        <v>20488579</v>
      </c>
      <c r="D425" s="15">
        <v>2009</v>
      </c>
      <c r="E425" s="15" t="str">
        <f>VLOOKUP(A425, Currency!$A$2:$B$100, 2, FALSE)</f>
        <v>USD</v>
      </c>
      <c r="F425" s="15">
        <f ca="1">IFERROR(__xludf.DUMMYFUNCTION("IF(E425=""USD"",B425,B425 * GOOGLEFINANCE(""CURRENCY:"" &amp; E425 &amp; ""USD""))
"),50000000)</f>
        <v>50000000</v>
      </c>
      <c r="G425" s="16">
        <f ca="1">IFERROR(__xludf.DUMMYFUNCTION("IF(E425=""USD"",C425,C425 * GOOGLEFINANCE(""CURRENCY:"" &amp; E425 &amp; ""USD""))
"),20488579)</f>
        <v>20488579</v>
      </c>
    </row>
    <row r="426" spans="1:7" ht="15.75" customHeight="1" x14ac:dyDescent="0.25">
      <c r="A426" s="11" t="s">
        <v>24</v>
      </c>
      <c r="B426" s="12">
        <v>31000000</v>
      </c>
      <c r="C426" s="12">
        <v>58879132</v>
      </c>
      <c r="D426" s="12">
        <v>2015</v>
      </c>
      <c r="E426" s="12" t="str">
        <f>VLOOKUP(A426, Currency!$A$2:$B$100, 2, FALSE)</f>
        <v>USD</v>
      </c>
      <c r="F426" s="12">
        <f ca="1">IFERROR(__xludf.DUMMYFUNCTION("IF(E426=""USD"",B426,B426 * GOOGLEFINANCE(""CURRENCY:"" &amp; E426 &amp; ""USD""))
"),31000000)</f>
        <v>31000000</v>
      </c>
      <c r="G426" s="13">
        <f ca="1">IFERROR(__xludf.DUMMYFUNCTION("IF(E426=""USD"",C426,C426 * GOOGLEFINANCE(""CURRENCY:"" &amp; E426 &amp; ""USD""))
"),58879132)</f>
        <v>58879132</v>
      </c>
    </row>
    <row r="427" spans="1:7" ht="15.75" customHeight="1" x14ac:dyDescent="0.25">
      <c r="A427" s="14" t="s">
        <v>1111</v>
      </c>
      <c r="B427" s="15">
        <v>17000000</v>
      </c>
      <c r="C427" s="15">
        <v>56816662</v>
      </c>
      <c r="D427" s="15">
        <v>2011</v>
      </c>
      <c r="E427" s="15" t="str">
        <f>VLOOKUP(A427, Currency!$A$2:$B$100, 2, FALSE)</f>
        <v>EUR</v>
      </c>
      <c r="F427" s="15">
        <f ca="1">IFERROR(__xludf.DUMMYFUNCTION("IF(E427=""USD"",B427,B427 * GOOGLEFINANCE(""CURRENCY:"" &amp; E427 &amp; ""USD""))
"),18440580)</f>
        <v>18440580</v>
      </c>
      <c r="G427" s="16">
        <f ca="1">IFERROR(__xludf.DUMMYFUNCTION("IF(E427=""USD"",C427,C427 * GOOGLEFINANCE(""CURRENCY:"" &amp; E427 &amp; ""USD""))
"),61631305.93788)</f>
        <v>61631305.937880002</v>
      </c>
    </row>
    <row r="428" spans="1:7" ht="15.75" customHeight="1" x14ac:dyDescent="0.25">
      <c r="A428" s="11" t="s">
        <v>24</v>
      </c>
      <c r="B428" s="12">
        <v>60000000</v>
      </c>
      <c r="C428" s="12">
        <v>32522352</v>
      </c>
      <c r="D428" s="12">
        <v>2000</v>
      </c>
      <c r="E428" s="12" t="str">
        <f>VLOOKUP(A428, Currency!$A$2:$B$100, 2, FALSE)</f>
        <v>USD</v>
      </c>
      <c r="F428" s="12">
        <f ca="1">IFERROR(__xludf.DUMMYFUNCTION("IF(E428=""USD"",B428,B428 * GOOGLEFINANCE(""CURRENCY:"" &amp; E428 &amp; ""USD""))
"),60000000)</f>
        <v>60000000</v>
      </c>
      <c r="G428" s="13">
        <f ca="1">IFERROR(__xludf.DUMMYFUNCTION("IF(E428=""USD"",C428,C428 * GOOGLEFINANCE(""CURRENCY:"" &amp; E428 &amp; ""USD""))
"),32522352)</f>
        <v>32522352</v>
      </c>
    </row>
    <row r="429" spans="1:7" ht="15.75" customHeight="1" x14ac:dyDescent="0.25">
      <c r="A429" s="14" t="s">
        <v>24</v>
      </c>
      <c r="B429" s="15">
        <v>20000000</v>
      </c>
      <c r="C429" s="15">
        <v>13854000</v>
      </c>
      <c r="D429" s="15">
        <v>1988</v>
      </c>
      <c r="E429" s="15" t="str">
        <f>VLOOKUP(A429, Currency!$A$2:$B$100, 2, FALSE)</f>
        <v>USD</v>
      </c>
      <c r="F429" s="15">
        <f ca="1">IFERROR(__xludf.DUMMYFUNCTION("IF(E429=""USD"",B429,B429 * GOOGLEFINANCE(""CURRENCY:"" &amp; E429 &amp; ""USD""))
"),20000000)</f>
        <v>20000000</v>
      </c>
      <c r="G429" s="16">
        <f ca="1">IFERROR(__xludf.DUMMYFUNCTION("IF(E429=""USD"",C429,C429 * GOOGLEFINANCE(""CURRENCY:"" &amp; E429 &amp; ""USD""))
"),13854000)</f>
        <v>13854000</v>
      </c>
    </row>
    <row r="430" spans="1:7" ht="15.75" customHeight="1" x14ac:dyDescent="0.25">
      <c r="A430" s="11" t="s">
        <v>133</v>
      </c>
      <c r="B430" s="12">
        <v>10000000</v>
      </c>
      <c r="C430" s="12">
        <v>1309849</v>
      </c>
      <c r="D430" s="12">
        <v>2002</v>
      </c>
      <c r="E430" s="12" t="str">
        <f>VLOOKUP(A430, Currency!$A$2:$B$100, 2, FALSE)</f>
        <v>GBP</v>
      </c>
      <c r="F430" s="12">
        <f ca="1">IFERROR(__xludf.DUMMYFUNCTION("IF(E430=""USD"",B430,B430 * GOOGLEFINANCE(""CURRENCY:"" &amp; E430 &amp; ""USD""))
"),12853999.9999999)</f>
        <v>12853999.999999899</v>
      </c>
      <c r="G430" s="13">
        <f ca="1">IFERROR(__xludf.DUMMYFUNCTION("IF(E430=""USD"",C430,C430 * GOOGLEFINANCE(""CURRENCY:"" &amp; E430 &amp; ""USD""))
"),1683679.90459999)</f>
        <v>1683679.90459999</v>
      </c>
    </row>
    <row r="431" spans="1:7" ht="15.75" customHeight="1" x14ac:dyDescent="0.25">
      <c r="A431" s="14" t="s">
        <v>24</v>
      </c>
      <c r="B431" s="15">
        <v>18000000</v>
      </c>
      <c r="C431" s="15">
        <v>10494494</v>
      </c>
      <c r="D431" s="15">
        <v>2013</v>
      </c>
      <c r="E431" s="15" t="str">
        <f>VLOOKUP(A431, Currency!$A$2:$B$100, 2, FALSE)</f>
        <v>USD</v>
      </c>
      <c r="F431" s="15">
        <f ca="1">IFERROR(__xludf.DUMMYFUNCTION("IF(E431=""USD"",B431,B431 * GOOGLEFINANCE(""CURRENCY:"" &amp; E431 &amp; ""USD""))
"),18000000)</f>
        <v>18000000</v>
      </c>
      <c r="G431" s="16">
        <f ca="1">IFERROR(__xludf.DUMMYFUNCTION("IF(E431=""USD"",C431,C431 * GOOGLEFINANCE(""CURRENCY:"" &amp; E431 &amp; ""USD""))
"),10494494)</f>
        <v>10494494</v>
      </c>
    </row>
    <row r="432" spans="1:7" ht="15.75" customHeight="1" x14ac:dyDescent="0.25">
      <c r="A432" s="11" t="s">
        <v>1491</v>
      </c>
      <c r="B432" s="12">
        <v>10000000</v>
      </c>
      <c r="C432" s="12">
        <v>128486</v>
      </c>
      <c r="D432" s="12">
        <v>2008</v>
      </c>
      <c r="E432" s="12" t="str">
        <f>VLOOKUP(A432, Currency!$A$2:$B$100, 2, FALSE)</f>
        <v>KRW</v>
      </c>
      <c r="F432" s="12">
        <f ca="1">IFERROR(__xludf.DUMMYFUNCTION("IF(E432=""USD"",B432,B432 * GOOGLEFINANCE(""CURRENCY:"" &amp; E432 &amp; ""USD""))
"),7238.67)</f>
        <v>7238.67</v>
      </c>
      <c r="G432" s="13">
        <f ca="1">IFERROR(__xludf.DUMMYFUNCTION("IF(E432=""USD"",C432,C432 * GOOGLEFINANCE(""CURRENCY:"" &amp; E432 &amp; ""USD""))
"),93.006775362)</f>
        <v>93.006775361999999</v>
      </c>
    </row>
    <row r="433" spans="1:7" ht="15.75" customHeight="1" x14ac:dyDescent="0.25">
      <c r="A433" s="14" t="s">
        <v>24</v>
      </c>
      <c r="B433" s="15">
        <v>5000000</v>
      </c>
      <c r="C433" s="15">
        <v>14100000</v>
      </c>
      <c r="D433" s="15">
        <v>1982</v>
      </c>
      <c r="E433" s="15" t="str">
        <f>VLOOKUP(A433, Currency!$A$2:$B$100, 2, FALSE)</f>
        <v>USD</v>
      </c>
      <c r="F433" s="15">
        <f ca="1">IFERROR(__xludf.DUMMYFUNCTION("IF(E433=""USD"",B433,B433 * GOOGLEFINANCE(""CURRENCY:"" &amp; E433 &amp; ""USD""))
"),5000000)</f>
        <v>5000000</v>
      </c>
      <c r="G433" s="16">
        <f ca="1">IFERROR(__xludf.DUMMYFUNCTION("IF(E433=""USD"",C433,C433 * GOOGLEFINANCE(""CURRENCY:"" &amp; E433 &amp; ""USD""))
"),14100000)</f>
        <v>14100000</v>
      </c>
    </row>
    <row r="434" spans="1:7" ht="15.75" customHeight="1" x14ac:dyDescent="0.25">
      <c r="A434" s="11" t="s">
        <v>24</v>
      </c>
      <c r="B434" s="12">
        <v>15000000</v>
      </c>
      <c r="C434" s="12">
        <v>6409206</v>
      </c>
      <c r="D434" s="12">
        <v>2008</v>
      </c>
      <c r="E434" s="12" t="str">
        <f>VLOOKUP(A434, Currency!$A$2:$B$100, 2, FALSE)</f>
        <v>USD</v>
      </c>
      <c r="F434" s="12">
        <f ca="1">IFERROR(__xludf.DUMMYFUNCTION("IF(E434=""USD"",B434,B434 * GOOGLEFINANCE(""CURRENCY:"" &amp; E434 &amp; ""USD""))
"),15000000)</f>
        <v>15000000</v>
      </c>
      <c r="G434" s="13">
        <f ca="1">IFERROR(__xludf.DUMMYFUNCTION("IF(E434=""USD"",C434,C434 * GOOGLEFINANCE(""CURRENCY:"" &amp; E434 &amp; ""USD""))
"),6409206)</f>
        <v>6409206</v>
      </c>
    </row>
    <row r="435" spans="1:7" ht="15.75" customHeight="1" x14ac:dyDescent="0.25">
      <c r="A435" s="14" t="s">
        <v>24</v>
      </c>
      <c r="B435" s="15">
        <v>69000000</v>
      </c>
      <c r="C435" s="15">
        <v>55585389</v>
      </c>
      <c r="D435" s="15">
        <v>1998</v>
      </c>
      <c r="E435" s="15" t="str">
        <f>VLOOKUP(A435, Currency!$A$2:$B$100, 2, FALSE)</f>
        <v>USD</v>
      </c>
      <c r="F435" s="15">
        <f ca="1">IFERROR(__xludf.DUMMYFUNCTION("IF(E435=""USD"",B435,B435 * GOOGLEFINANCE(""CURRENCY:"" &amp; E435 &amp; ""USD""))
"),69000000)</f>
        <v>69000000</v>
      </c>
      <c r="G435" s="16">
        <f ca="1">IFERROR(__xludf.DUMMYFUNCTION("IF(E435=""USD"",C435,C435 * GOOGLEFINANCE(""CURRENCY:"" &amp; E435 &amp; ""USD""))
"),55585389)</f>
        <v>55585389</v>
      </c>
    </row>
    <row r="436" spans="1:7" ht="15.75" customHeight="1" x14ac:dyDescent="0.25">
      <c r="A436" s="11" t="s">
        <v>24</v>
      </c>
      <c r="B436" s="12">
        <v>52000000</v>
      </c>
      <c r="C436" s="12">
        <v>164435221</v>
      </c>
      <c r="D436" s="12">
        <v>2002</v>
      </c>
      <c r="E436" s="12" t="str">
        <f>VLOOKUP(A436, Currency!$A$2:$B$100, 2, FALSE)</f>
        <v>USD</v>
      </c>
      <c r="F436" s="12">
        <f ca="1">IFERROR(__xludf.DUMMYFUNCTION("IF(E436=""USD"",B436,B436 * GOOGLEFINANCE(""CURRENCY:"" &amp; E436 &amp; ""USD""))
"),52000000)</f>
        <v>52000000</v>
      </c>
      <c r="G436" s="13">
        <f ca="1">IFERROR(__xludf.DUMMYFUNCTION("IF(E436=""USD"",C436,C436 * GOOGLEFINANCE(""CURRENCY:"" &amp; E436 &amp; ""USD""))
"),164435221)</f>
        <v>164435221</v>
      </c>
    </row>
    <row r="437" spans="1:7" ht="15.75" customHeight="1" x14ac:dyDescent="0.25">
      <c r="A437" s="14" t="s">
        <v>24</v>
      </c>
      <c r="B437" s="15">
        <v>22000000</v>
      </c>
      <c r="C437" s="15">
        <v>12784713</v>
      </c>
      <c r="D437" s="15">
        <v>2004</v>
      </c>
      <c r="E437" s="15" t="str">
        <f>VLOOKUP(A437, Currency!$A$2:$B$100, 2, FALSE)</f>
        <v>USD</v>
      </c>
      <c r="F437" s="15">
        <f ca="1">IFERROR(__xludf.DUMMYFUNCTION("IF(E437=""USD"",B437,B437 * GOOGLEFINANCE(""CURRENCY:"" &amp; E437 &amp; ""USD""))
"),22000000)</f>
        <v>22000000</v>
      </c>
      <c r="G437" s="16">
        <f ca="1">IFERROR(__xludf.DUMMYFUNCTION("IF(E437=""USD"",C437,C437 * GOOGLEFINANCE(""CURRENCY:"" &amp; E437 &amp; ""USD""))
"),12784713)</f>
        <v>12784713</v>
      </c>
    </row>
    <row r="438" spans="1:7" ht="15.75" customHeight="1" x14ac:dyDescent="0.25">
      <c r="A438" s="11" t="s">
        <v>24</v>
      </c>
      <c r="B438" s="12">
        <v>3500000</v>
      </c>
      <c r="C438" s="12">
        <v>20803237</v>
      </c>
      <c r="D438" s="12">
        <v>2010</v>
      </c>
      <c r="E438" s="12" t="str">
        <f>VLOOKUP(A438, Currency!$A$2:$B$100, 2, FALSE)</f>
        <v>USD</v>
      </c>
      <c r="F438" s="12">
        <f ca="1">IFERROR(__xludf.DUMMYFUNCTION("IF(E438=""USD"",B438,B438 * GOOGLEFINANCE(""CURRENCY:"" &amp; E438 &amp; ""USD""))
"),3500000)</f>
        <v>3500000</v>
      </c>
      <c r="G438" s="13">
        <f ca="1">IFERROR(__xludf.DUMMYFUNCTION("IF(E438=""USD"",C438,C438 * GOOGLEFINANCE(""CURRENCY:"" &amp; E438 &amp; ""USD""))
"),20803237)</f>
        <v>20803237</v>
      </c>
    </row>
    <row r="439" spans="1:7" ht="15.75" customHeight="1" x14ac:dyDescent="0.25">
      <c r="A439" s="14" t="s">
        <v>160</v>
      </c>
      <c r="B439" s="15">
        <v>2000000</v>
      </c>
      <c r="C439" s="15">
        <v>11546543</v>
      </c>
      <c r="D439" s="15">
        <v>1994</v>
      </c>
      <c r="E439" s="15" t="str">
        <f>VLOOKUP(A439, Currency!$A$2:$B$100, 2, FALSE)</f>
        <v>HKD</v>
      </c>
      <c r="F439" s="15">
        <f ca="1">IFERROR(__xludf.DUMMYFUNCTION("IF(E439=""USD"",B439,B439 * GOOGLEFINANCE(""CURRENCY:"" &amp; E439 &amp; ""USD""))
"),256188.599999999)</f>
        <v>256188.59999999899</v>
      </c>
      <c r="G439" s="16">
        <f ca="1">IFERROR(__xludf.DUMMYFUNCTION("IF(E439=""USD"",C439,C439 * GOOGLEFINANCE(""CURRENCY:"" &amp; E439 &amp; ""USD""))
"),1479046.3430049)</f>
        <v>1479046.3430049</v>
      </c>
    </row>
    <row r="440" spans="1:7" ht="15.75" customHeight="1" x14ac:dyDescent="0.25">
      <c r="A440" s="11" t="s">
        <v>24</v>
      </c>
      <c r="B440" s="12">
        <v>12000000</v>
      </c>
      <c r="C440" s="12">
        <v>70011073</v>
      </c>
      <c r="D440" s="12">
        <v>2012</v>
      </c>
      <c r="E440" s="12" t="str">
        <f>VLOOKUP(A440, Currency!$A$2:$B$100, 2, FALSE)</f>
        <v>USD</v>
      </c>
      <c r="F440" s="12">
        <f ca="1">IFERROR(__xludf.DUMMYFUNCTION("IF(E440=""USD"",B440,B440 * GOOGLEFINANCE(""CURRENCY:"" &amp; E440 &amp; ""USD""))
"),12000000)</f>
        <v>12000000</v>
      </c>
      <c r="G440" s="13">
        <f ca="1">IFERROR(__xludf.DUMMYFUNCTION("IF(E440=""USD"",C440,C440 * GOOGLEFINANCE(""CURRENCY:"" &amp; E440 &amp; ""USD""))
"),70011073)</f>
        <v>70011073</v>
      </c>
    </row>
    <row r="441" spans="1:7" ht="15.75" customHeight="1" x14ac:dyDescent="0.25">
      <c r="A441" s="14" t="s">
        <v>627</v>
      </c>
      <c r="B441" s="15">
        <v>8000000</v>
      </c>
      <c r="C441" s="15">
        <v>298110</v>
      </c>
      <c r="D441" s="15">
        <v>2006</v>
      </c>
      <c r="E441" s="15" t="str">
        <f>VLOOKUP(A441, Currency!$A$2:$B$100, 2, FALSE)</f>
        <v>CAD</v>
      </c>
      <c r="F441" s="15">
        <f ca="1">IFERROR(__xludf.DUMMYFUNCTION("IF(E441=""USD"",B441,B441 * GOOGLEFINANCE(""CURRENCY:"" &amp; E441 &amp; ""USD""))
"),5787240)</f>
        <v>5787240</v>
      </c>
      <c r="G441" s="16">
        <f ca="1">IFERROR(__xludf.DUMMYFUNCTION("IF(E441=""USD"",C441,C441 * GOOGLEFINANCE(""CURRENCY:"" &amp; E441 &amp; ""USD""))
"),215654.26455)</f>
        <v>215654.26454999999</v>
      </c>
    </row>
    <row r="442" spans="1:7" ht="15.75" customHeight="1" x14ac:dyDescent="0.25">
      <c r="A442" s="11" t="s">
        <v>24</v>
      </c>
      <c r="B442" s="12">
        <v>45000000</v>
      </c>
      <c r="C442" s="12">
        <v>20101861</v>
      </c>
      <c r="D442" s="12">
        <v>1996</v>
      </c>
      <c r="E442" s="12" t="str">
        <f>VLOOKUP(A442, Currency!$A$2:$B$100, 2, FALSE)</f>
        <v>USD</v>
      </c>
      <c r="F442" s="12">
        <f ca="1">IFERROR(__xludf.DUMMYFUNCTION("IF(E442=""USD"",B442,B442 * GOOGLEFINANCE(""CURRENCY:"" &amp; E442 &amp; ""USD""))
"),45000000)</f>
        <v>45000000</v>
      </c>
      <c r="G442" s="13">
        <f ca="1">IFERROR(__xludf.DUMMYFUNCTION("IF(E442=""USD"",C442,C442 * GOOGLEFINANCE(""CURRENCY:"" &amp; E442 &amp; ""USD""))
"),20101861)</f>
        <v>20101861</v>
      </c>
    </row>
    <row r="443" spans="1:7" ht="15.75" customHeight="1" x14ac:dyDescent="0.25">
      <c r="A443" s="14" t="s">
        <v>24</v>
      </c>
      <c r="B443" s="15">
        <v>6500000</v>
      </c>
      <c r="C443" s="15">
        <v>82528097</v>
      </c>
      <c r="D443" s="15">
        <v>1995</v>
      </c>
      <c r="E443" s="15" t="str">
        <f>VLOOKUP(A443, Currency!$A$2:$B$100, 2, FALSE)</f>
        <v>USD</v>
      </c>
      <c r="F443" s="15">
        <f ca="1">IFERROR(__xludf.DUMMYFUNCTION("IF(E443=""USD"",B443,B443 * GOOGLEFINANCE(""CURRENCY:"" &amp; E443 &amp; ""USD""))
"),6500000)</f>
        <v>6500000</v>
      </c>
      <c r="G443" s="16">
        <f ca="1">IFERROR(__xludf.DUMMYFUNCTION("IF(E443=""USD"",C443,C443 * GOOGLEFINANCE(""CURRENCY:"" &amp; E443 &amp; ""USD""))
"),82528097)</f>
        <v>82528097</v>
      </c>
    </row>
    <row r="444" spans="1:7" ht="15.75" customHeight="1" x14ac:dyDescent="0.25">
      <c r="A444" s="11" t="s">
        <v>24</v>
      </c>
      <c r="B444" s="12">
        <v>75000000</v>
      </c>
      <c r="C444" s="12">
        <v>120776832</v>
      </c>
      <c r="D444" s="12">
        <v>2004</v>
      </c>
      <c r="E444" s="12" t="str">
        <f>VLOOKUP(A444, Currency!$A$2:$B$100, 2, FALSE)</f>
        <v>USD</v>
      </c>
      <c r="F444" s="12">
        <f ca="1">IFERROR(__xludf.DUMMYFUNCTION("IF(E444=""USD"",B444,B444 * GOOGLEFINANCE(""CURRENCY:"" &amp; E444 &amp; ""USD""))
"),75000000)</f>
        <v>75000000</v>
      </c>
      <c r="G444" s="13">
        <f ca="1">IFERROR(__xludf.DUMMYFUNCTION("IF(E444=""USD"",C444,C444 * GOOGLEFINANCE(""CURRENCY:"" &amp; E444 &amp; ""USD""))
"),120776832)</f>
        <v>120776832</v>
      </c>
    </row>
    <row r="445" spans="1:7" ht="15.75" customHeight="1" x14ac:dyDescent="0.25">
      <c r="A445" s="14" t="s">
        <v>133</v>
      </c>
      <c r="B445" s="15">
        <v>4500000</v>
      </c>
      <c r="C445" s="15">
        <v>52700832</v>
      </c>
      <c r="D445" s="15">
        <v>1994</v>
      </c>
      <c r="E445" s="15" t="str">
        <f>VLOOKUP(A445, Currency!$A$2:$B$100, 2, FALSE)</f>
        <v>GBP</v>
      </c>
      <c r="F445" s="15">
        <f ca="1">IFERROR(__xludf.DUMMYFUNCTION("IF(E445=""USD"",B445,B445 * GOOGLEFINANCE(""CURRENCY:"" &amp; E445 &amp; ""USD""))
"),5784299.99999999)</f>
        <v>5784299.9999999898</v>
      </c>
      <c r="G445" s="16">
        <f ca="1">IFERROR(__xludf.DUMMYFUNCTION("IF(E445=""USD"",C445,C445 * GOOGLEFINANCE(""CURRENCY:"" &amp; E445 &amp; ""USD""))
"),67741649.4527999)</f>
        <v>67741649.452799901</v>
      </c>
    </row>
    <row r="446" spans="1:7" ht="15.75" customHeight="1" x14ac:dyDescent="0.25">
      <c r="A446" s="11" t="s">
        <v>133</v>
      </c>
      <c r="B446" s="12">
        <v>35000000</v>
      </c>
      <c r="C446" s="12">
        <v>8324748</v>
      </c>
      <c r="D446" s="12">
        <v>2013</v>
      </c>
      <c r="E446" s="12" t="str">
        <f>VLOOKUP(A446, Currency!$A$2:$B$100, 2, FALSE)</f>
        <v>GBP</v>
      </c>
      <c r="F446" s="12">
        <f ca="1">IFERROR(__xludf.DUMMYFUNCTION("IF(E446=""USD"",B446,B446 * GOOGLEFINANCE(""CURRENCY:"" &amp; E446 &amp; ""USD""))
"),44988999.9999999)</f>
        <v>44988999.999999903</v>
      </c>
      <c r="G446" s="13">
        <f ca="1">IFERROR(__xludf.DUMMYFUNCTION("IF(E446=""USD"",C446,C446 * GOOGLEFINANCE(""CURRENCY:"" &amp; E446 &amp; ""USD""))
"),10700631.0792)</f>
        <v>10700631.0792</v>
      </c>
    </row>
    <row r="447" spans="1:7" ht="15.75" customHeight="1" x14ac:dyDescent="0.25">
      <c r="A447" s="14" t="s">
        <v>24</v>
      </c>
      <c r="B447" s="15">
        <v>95000000</v>
      </c>
      <c r="C447" s="15">
        <v>161317423</v>
      </c>
      <c r="D447" s="15">
        <v>2012</v>
      </c>
      <c r="E447" s="15" t="str">
        <f>VLOOKUP(A447, Currency!$A$2:$B$100, 2, FALSE)</f>
        <v>USD</v>
      </c>
      <c r="F447" s="15">
        <f ca="1">IFERROR(__xludf.DUMMYFUNCTION("IF(E447=""USD"",B447,B447 * GOOGLEFINANCE(""CURRENCY:"" &amp; E447 &amp; ""USD""))
"),95000000)</f>
        <v>95000000</v>
      </c>
      <c r="G447" s="16">
        <f ca="1">IFERROR(__xludf.DUMMYFUNCTION("IF(E447=""USD"",C447,C447 * GOOGLEFINANCE(""CURRENCY:"" &amp; E447 &amp; ""USD""))
"),161317423)</f>
        <v>161317423</v>
      </c>
    </row>
    <row r="448" spans="1:7" ht="15.75" customHeight="1" x14ac:dyDescent="0.25">
      <c r="A448" s="11" t="s">
        <v>24</v>
      </c>
      <c r="B448" s="12">
        <v>60000000</v>
      </c>
      <c r="C448" s="12">
        <v>75370763</v>
      </c>
      <c r="D448" s="12">
        <v>1998</v>
      </c>
      <c r="E448" s="12" t="str">
        <f>VLOOKUP(A448, Currency!$A$2:$B$100, 2, FALSE)</f>
        <v>USD</v>
      </c>
      <c r="F448" s="12">
        <f ca="1">IFERROR(__xludf.DUMMYFUNCTION("IF(E448=""USD"",B448,B448 * GOOGLEFINANCE(""CURRENCY:"" &amp; E448 &amp; ""USD""))
"),60000000)</f>
        <v>60000000</v>
      </c>
      <c r="G448" s="13">
        <f ca="1">IFERROR(__xludf.DUMMYFUNCTION("IF(E448=""USD"",C448,C448 * GOOGLEFINANCE(""CURRENCY:"" &amp; E448 &amp; ""USD""))
"),75370763)</f>
        <v>75370763</v>
      </c>
    </row>
    <row r="449" spans="1:7" ht="15.75" customHeight="1" x14ac:dyDescent="0.25">
      <c r="A449" s="14" t="s">
        <v>24</v>
      </c>
      <c r="B449" s="15">
        <v>20000000</v>
      </c>
      <c r="C449" s="15">
        <v>37442180</v>
      </c>
      <c r="D449" s="15">
        <v>2006</v>
      </c>
      <c r="E449" s="15" t="str">
        <f>VLOOKUP(A449, Currency!$A$2:$B$100, 2, FALSE)</f>
        <v>USD</v>
      </c>
      <c r="F449" s="15">
        <f ca="1">IFERROR(__xludf.DUMMYFUNCTION("IF(E449=""USD"",B449,B449 * GOOGLEFINANCE(""CURRENCY:"" &amp; E449 &amp; ""USD""))
"),20000000)</f>
        <v>20000000</v>
      </c>
      <c r="G449" s="16">
        <f ca="1">IFERROR(__xludf.DUMMYFUNCTION("IF(E449=""USD"",C449,C449 * GOOGLEFINANCE(""CURRENCY:"" &amp; E449 &amp; ""USD""))
"),37442180)</f>
        <v>37442180</v>
      </c>
    </row>
    <row r="450" spans="1:7" ht="15.75" customHeight="1" x14ac:dyDescent="0.25">
      <c r="A450" s="11" t="s">
        <v>24</v>
      </c>
      <c r="B450" s="12">
        <v>11000000</v>
      </c>
      <c r="C450" s="12">
        <v>3074838</v>
      </c>
      <c r="D450" s="12">
        <v>2009</v>
      </c>
      <c r="E450" s="12" t="str">
        <f>VLOOKUP(A450, Currency!$A$2:$B$100, 2, FALSE)</f>
        <v>USD</v>
      </c>
      <c r="F450" s="12">
        <f ca="1">IFERROR(__xludf.DUMMYFUNCTION("IF(E450=""USD"",B450,B450 * GOOGLEFINANCE(""CURRENCY:"" &amp; E450 &amp; ""USD""))
"),11000000)</f>
        <v>11000000</v>
      </c>
      <c r="G450" s="13">
        <f ca="1">IFERROR(__xludf.DUMMYFUNCTION("IF(E450=""USD"",C450,C450 * GOOGLEFINANCE(""CURRENCY:"" &amp; E450 &amp; ""USD""))
"),3074838)</f>
        <v>3074838</v>
      </c>
    </row>
    <row r="451" spans="1:7" ht="15.75" customHeight="1" x14ac:dyDescent="0.25">
      <c r="A451" s="14" t="s">
        <v>24</v>
      </c>
      <c r="B451" s="15">
        <v>60000000</v>
      </c>
      <c r="C451" s="15">
        <v>93375151</v>
      </c>
      <c r="D451" s="15">
        <v>2001</v>
      </c>
      <c r="E451" s="15" t="str">
        <f>VLOOKUP(A451, Currency!$A$2:$B$100, 2, FALSE)</f>
        <v>USD</v>
      </c>
      <c r="F451" s="15">
        <f ca="1">IFERROR(__xludf.DUMMYFUNCTION("IF(E451=""USD"",B451,B451 * GOOGLEFINANCE(""CURRENCY:"" &amp; E451 &amp; ""USD""))
"),60000000)</f>
        <v>60000000</v>
      </c>
      <c r="G451" s="16">
        <f ca="1">IFERROR(__xludf.DUMMYFUNCTION("IF(E451=""USD"",C451,C451 * GOOGLEFINANCE(""CURRENCY:"" &amp; E451 &amp; ""USD""))
"),93375151)</f>
        <v>93375151</v>
      </c>
    </row>
    <row r="452" spans="1:7" ht="15.75" customHeight="1" x14ac:dyDescent="0.25">
      <c r="A452" s="11" t="s">
        <v>24</v>
      </c>
      <c r="B452" s="12">
        <v>800000</v>
      </c>
      <c r="C452" s="12">
        <v>4771000</v>
      </c>
      <c r="D452" s="12">
        <v>1995</v>
      </c>
      <c r="E452" s="12" t="str">
        <f>VLOOKUP(A452, Currency!$A$2:$B$100, 2, FALSE)</f>
        <v>USD</v>
      </c>
      <c r="F452" s="12">
        <f ca="1">IFERROR(__xludf.DUMMYFUNCTION("IF(E452=""USD"",B452,B452 * GOOGLEFINANCE(""CURRENCY:"" &amp; E452 &amp; ""USD""))
"),800000)</f>
        <v>800000</v>
      </c>
      <c r="G452" s="13">
        <f ca="1">IFERROR(__xludf.DUMMYFUNCTION("IF(E452=""USD"",C452,C452 * GOOGLEFINANCE(""CURRENCY:"" &amp; E452 &amp; ""USD""))
"),4771000)</f>
        <v>4771000</v>
      </c>
    </row>
    <row r="453" spans="1:7" ht="15.75" customHeight="1" x14ac:dyDescent="0.25">
      <c r="A453" s="14" t="s">
        <v>24</v>
      </c>
      <c r="B453" s="15">
        <v>21000000</v>
      </c>
      <c r="C453" s="15">
        <v>480314</v>
      </c>
      <c r="D453" s="15">
        <v>2006</v>
      </c>
      <c r="E453" s="15" t="str">
        <f>VLOOKUP(A453, Currency!$A$2:$B$100, 2, FALSE)</f>
        <v>USD</v>
      </c>
      <c r="F453" s="15">
        <f ca="1">IFERROR(__xludf.DUMMYFUNCTION("IF(E453=""USD"",B453,B453 * GOOGLEFINANCE(""CURRENCY:"" &amp; E453 &amp; ""USD""))
"),21000000)</f>
        <v>21000000</v>
      </c>
      <c r="G453" s="16">
        <f ca="1">IFERROR(__xludf.DUMMYFUNCTION("IF(E453=""USD"",C453,C453 * GOOGLEFINANCE(""CURRENCY:"" &amp; E453 &amp; ""USD""))
"),480314)</f>
        <v>480314</v>
      </c>
    </row>
    <row r="454" spans="1:7" ht="15.75" customHeight="1" x14ac:dyDescent="0.25">
      <c r="A454" s="11" t="s">
        <v>24</v>
      </c>
      <c r="B454" s="12">
        <v>145000000</v>
      </c>
      <c r="C454" s="12">
        <v>102176165</v>
      </c>
      <c r="D454" s="12">
        <v>2008</v>
      </c>
      <c r="E454" s="12" t="str">
        <f>VLOOKUP(A454, Currency!$A$2:$B$100, 2, FALSE)</f>
        <v>USD</v>
      </c>
      <c r="F454" s="12">
        <f ca="1">IFERROR(__xludf.DUMMYFUNCTION("IF(E454=""USD"",B454,B454 * GOOGLEFINANCE(""CURRENCY:"" &amp; E454 &amp; ""USD""))
"),145000000)</f>
        <v>145000000</v>
      </c>
      <c r="G454" s="13">
        <f ca="1">IFERROR(__xludf.DUMMYFUNCTION("IF(E454=""USD"",C454,C454 * GOOGLEFINANCE(""CURRENCY:"" &amp; E454 &amp; ""USD""))
"),102176165)</f>
        <v>102176165</v>
      </c>
    </row>
    <row r="455" spans="1:7" ht="15.75" customHeight="1" x14ac:dyDescent="0.25">
      <c r="A455" s="14" t="s">
        <v>24</v>
      </c>
      <c r="B455" s="15">
        <v>28000000</v>
      </c>
      <c r="C455" s="15">
        <v>16779636</v>
      </c>
      <c r="D455" s="15">
        <v>2000</v>
      </c>
      <c r="E455" s="15" t="str">
        <f>VLOOKUP(A455, Currency!$A$2:$B$100, 2, FALSE)</f>
        <v>USD</v>
      </c>
      <c r="F455" s="15">
        <f ca="1">IFERROR(__xludf.DUMMYFUNCTION("IF(E455=""USD"",B455,B455 * GOOGLEFINANCE(""CURRENCY:"" &amp; E455 &amp; ""USD""))
"),28000000)</f>
        <v>28000000</v>
      </c>
      <c r="G455" s="16">
        <f ca="1">IFERROR(__xludf.DUMMYFUNCTION("IF(E455=""USD"",C455,C455 * GOOGLEFINANCE(""CURRENCY:"" &amp; E455 &amp; ""USD""))
"),16779636)</f>
        <v>16779636</v>
      </c>
    </row>
    <row r="456" spans="1:7" ht="15.75" customHeight="1" x14ac:dyDescent="0.25">
      <c r="A456" s="11" t="s">
        <v>133</v>
      </c>
      <c r="B456" s="12">
        <v>10000000</v>
      </c>
      <c r="C456" s="12">
        <v>6201757</v>
      </c>
      <c r="D456" s="12">
        <v>1999</v>
      </c>
      <c r="E456" s="12" t="str">
        <f>VLOOKUP(A456, Currency!$A$2:$B$100, 2, FALSE)</f>
        <v>GBP</v>
      </c>
      <c r="F456" s="12">
        <f ca="1">IFERROR(__xludf.DUMMYFUNCTION("IF(E456=""USD"",B456,B456 * GOOGLEFINANCE(""CURRENCY:"" &amp; E456 &amp; ""USD""))
"),12853999.9999999)</f>
        <v>12853999.999999899</v>
      </c>
      <c r="G456" s="13">
        <f ca="1">IFERROR(__xludf.DUMMYFUNCTION("IF(E456=""USD"",C456,C456 * GOOGLEFINANCE(""CURRENCY:"" &amp; E456 &amp; ""USD""))
"),7971738.44779999)</f>
        <v>7971738.44779999</v>
      </c>
    </row>
    <row r="457" spans="1:7" ht="15.75" customHeight="1" x14ac:dyDescent="0.25">
      <c r="A457" s="14" t="s">
        <v>176</v>
      </c>
      <c r="B457" s="15">
        <v>28000000</v>
      </c>
      <c r="C457" s="15">
        <v>67266300</v>
      </c>
      <c r="D457" s="15">
        <v>2008</v>
      </c>
      <c r="E457" s="15" t="str">
        <f>VLOOKUP(A457, Currency!$A$2:$B$100, 2, FALSE)</f>
        <v>EUR</v>
      </c>
      <c r="F457" s="15">
        <f ca="1">IFERROR(__xludf.DUMMYFUNCTION("IF(E457=""USD"",B457,B457 * GOOGLEFINANCE(""CURRENCY:"" &amp; E457 &amp; ""USD""))
"),30372720)</f>
        <v>30372720</v>
      </c>
      <c r="G457" s="16">
        <f ca="1">IFERROR(__xludf.DUMMYFUNCTION("IF(E457=""USD"",C457,C457 * GOOGLEFINANCE(""CURRENCY:"" &amp; E457 &amp; ""USD""))
"),72966446.262)</f>
        <v>72966446.261999995</v>
      </c>
    </row>
    <row r="458" spans="1:7" ht="15.75" customHeight="1" x14ac:dyDescent="0.25">
      <c r="A458" s="11" t="s">
        <v>24</v>
      </c>
      <c r="B458" s="12">
        <v>8000000</v>
      </c>
      <c r="C458" s="12">
        <v>568695</v>
      </c>
      <c r="D458" s="12">
        <v>2005</v>
      </c>
      <c r="E458" s="12" t="str">
        <f>VLOOKUP(A458, Currency!$A$2:$B$100, 2, FALSE)</f>
        <v>USD</v>
      </c>
      <c r="F458" s="12">
        <f ca="1">IFERROR(__xludf.DUMMYFUNCTION("IF(E458=""USD"",B458,B458 * GOOGLEFINANCE(""CURRENCY:"" &amp; E458 &amp; ""USD""))
"),8000000)</f>
        <v>8000000</v>
      </c>
      <c r="G458" s="13">
        <f ca="1">IFERROR(__xludf.DUMMYFUNCTION("IF(E458=""USD"",C458,C458 * GOOGLEFINANCE(""CURRENCY:"" &amp; E458 &amp; ""USD""))
"),568695)</f>
        <v>568695</v>
      </c>
    </row>
    <row r="459" spans="1:7" ht="15.75" customHeight="1" x14ac:dyDescent="0.25">
      <c r="A459" s="14" t="s">
        <v>24</v>
      </c>
      <c r="B459" s="15">
        <v>80000000</v>
      </c>
      <c r="C459" s="15">
        <v>100169068</v>
      </c>
      <c r="D459" s="15">
        <v>2010</v>
      </c>
      <c r="E459" s="15" t="str">
        <f>VLOOKUP(A459, Currency!$A$2:$B$100, 2, FALSE)</f>
        <v>USD</v>
      </c>
      <c r="F459" s="15">
        <f ca="1">IFERROR(__xludf.DUMMYFUNCTION("IF(E459=""USD"",B459,B459 * GOOGLEFINANCE(""CURRENCY:"" &amp; E459 &amp; ""USD""))
"),80000000)</f>
        <v>80000000</v>
      </c>
      <c r="G459" s="16">
        <f ca="1">IFERROR(__xludf.DUMMYFUNCTION("IF(E459=""USD"",C459,C459 * GOOGLEFINANCE(""CURRENCY:"" &amp; E459 &amp; ""USD""))
"),100169068)</f>
        <v>100169068</v>
      </c>
    </row>
    <row r="460" spans="1:7" ht="15.75" customHeight="1" x14ac:dyDescent="0.25">
      <c r="A460" s="11" t="s">
        <v>24</v>
      </c>
      <c r="B460" s="12">
        <v>30000000</v>
      </c>
      <c r="C460" s="12">
        <v>17266505</v>
      </c>
      <c r="D460" s="12">
        <v>2002</v>
      </c>
      <c r="E460" s="12" t="str">
        <f>VLOOKUP(A460, Currency!$A$2:$B$100, 2, FALSE)</f>
        <v>USD</v>
      </c>
      <c r="F460" s="12">
        <f ca="1">IFERROR(__xludf.DUMMYFUNCTION("IF(E460=""USD"",B460,B460 * GOOGLEFINANCE(""CURRENCY:"" &amp; E460 &amp; ""USD""))
"),30000000)</f>
        <v>30000000</v>
      </c>
      <c r="G460" s="13">
        <f ca="1">IFERROR(__xludf.DUMMYFUNCTION("IF(E460=""USD"",C460,C460 * GOOGLEFINANCE(""CURRENCY:"" &amp; E460 &amp; ""USD""))
"),17266505)</f>
        <v>17266505</v>
      </c>
    </row>
    <row r="461" spans="1:7" ht="15.75" customHeight="1" x14ac:dyDescent="0.25">
      <c r="A461" s="14" t="s">
        <v>611</v>
      </c>
      <c r="B461" s="15">
        <v>25000000</v>
      </c>
      <c r="C461" s="15">
        <v>16027866</v>
      </c>
      <c r="D461" s="15">
        <v>2015</v>
      </c>
      <c r="E461" s="15" t="str">
        <f>VLOOKUP(A461, Currency!$A$2:$B$100, 2, FALSE)</f>
        <v>EUR</v>
      </c>
      <c r="F461" s="15">
        <f ca="1">IFERROR(__xludf.DUMMYFUNCTION("IF(E461=""USD"",B461,B461 * GOOGLEFINANCE(""CURRENCY:"" &amp; E461 &amp; ""USD""))
"),27118500)</f>
        <v>27118500</v>
      </c>
      <c r="G461" s="16">
        <f ca="1">IFERROR(__xludf.DUMMYFUNCTION("IF(E461=""USD"",C461,C461 * GOOGLEFINANCE(""CURRENCY:"" &amp; E461 &amp; ""USD""))
"),17386067.36484)</f>
        <v>17386067.364840001</v>
      </c>
    </row>
    <row r="462" spans="1:7" ht="15.75" customHeight="1" x14ac:dyDescent="0.25">
      <c r="A462" s="11" t="s">
        <v>24</v>
      </c>
      <c r="B462" s="12">
        <v>90000000</v>
      </c>
      <c r="C462" s="12">
        <v>226138454</v>
      </c>
      <c r="D462" s="12">
        <v>2001</v>
      </c>
      <c r="E462" s="12" t="str">
        <f>VLOOKUP(A462, Currency!$A$2:$B$100, 2, FALSE)</f>
        <v>USD</v>
      </c>
      <c r="F462" s="12">
        <f ca="1">IFERROR(__xludf.DUMMYFUNCTION("IF(E462=""USD"",B462,B462 * GOOGLEFINANCE(""CURRENCY:"" &amp; E462 &amp; ""USD""))
"),90000000)</f>
        <v>90000000</v>
      </c>
      <c r="G462" s="13">
        <f ca="1">IFERROR(__xludf.DUMMYFUNCTION("IF(E462=""USD"",C462,C462 * GOOGLEFINANCE(""CURRENCY:"" &amp; E462 &amp; ""USD""))
"),226138454)</f>
        <v>226138454</v>
      </c>
    </row>
    <row r="463" spans="1:7" ht="15.75" customHeight="1" x14ac:dyDescent="0.25">
      <c r="A463" s="14" t="s">
        <v>24</v>
      </c>
      <c r="B463" s="15">
        <v>80000000</v>
      </c>
      <c r="C463" s="15">
        <v>19480739</v>
      </c>
      <c r="D463" s="15">
        <v>2003</v>
      </c>
      <c r="E463" s="15" t="str">
        <f>VLOOKUP(A463, Currency!$A$2:$B$100, 2, FALSE)</f>
        <v>USD</v>
      </c>
      <c r="F463" s="15">
        <f ca="1">IFERROR(__xludf.DUMMYFUNCTION("IF(E463=""USD"",B463,B463 * GOOGLEFINANCE(""CURRENCY:"" &amp; E463 &amp; ""USD""))
"),80000000)</f>
        <v>80000000</v>
      </c>
      <c r="G463" s="16">
        <f ca="1">IFERROR(__xludf.DUMMYFUNCTION("IF(E463=""USD"",C463,C463 * GOOGLEFINANCE(""CURRENCY:"" &amp; E463 &amp; ""USD""))
"),19480739)</f>
        <v>19480739</v>
      </c>
    </row>
    <row r="464" spans="1:7" ht="15.75" customHeight="1" x14ac:dyDescent="0.25">
      <c r="A464" s="11" t="s">
        <v>176</v>
      </c>
      <c r="B464" s="12">
        <v>133000000</v>
      </c>
      <c r="C464" s="12">
        <v>140015224</v>
      </c>
      <c r="D464" s="12">
        <v>1999</v>
      </c>
      <c r="E464" s="12" t="str">
        <f>VLOOKUP(A464, Currency!$A$2:$B$100, 2, FALSE)</f>
        <v>EUR</v>
      </c>
      <c r="F464" s="12">
        <f ca="1">IFERROR(__xludf.DUMMYFUNCTION("IF(E464=""USD"",B464,B464 * GOOGLEFINANCE(""CURRENCY:"" &amp; E464 &amp; ""USD""))
"),144270420)</f>
        <v>144270420</v>
      </c>
      <c r="G464" s="13">
        <f ca="1">IFERROR(__xludf.DUMMYFUNCTION("IF(E464=""USD"",C464,C464 * GOOGLEFINANCE(""CURRENCY:"" &amp; E464 &amp; ""USD""))
"),151880114.08176)</f>
        <v>151880114.08175999</v>
      </c>
    </row>
    <row r="465" spans="1:7" ht="15.75" customHeight="1" x14ac:dyDescent="0.25">
      <c r="A465" s="14" t="s">
        <v>24</v>
      </c>
      <c r="B465" s="15">
        <v>70000000</v>
      </c>
      <c r="C465" s="15">
        <v>17218080</v>
      </c>
      <c r="D465" s="15">
        <v>1991</v>
      </c>
      <c r="E465" s="15" t="str">
        <f>VLOOKUP(A465, Currency!$A$2:$B$100, 2, FALSE)</f>
        <v>USD</v>
      </c>
      <c r="F465" s="15">
        <f ca="1">IFERROR(__xludf.DUMMYFUNCTION("IF(E465=""USD"",B465,B465 * GOOGLEFINANCE(""CURRENCY:"" &amp; E465 &amp; ""USD""))
"),70000000)</f>
        <v>70000000</v>
      </c>
      <c r="G465" s="16">
        <f ca="1">IFERROR(__xludf.DUMMYFUNCTION("IF(E465=""USD"",C465,C465 * GOOGLEFINANCE(""CURRENCY:"" &amp; E465 &amp; ""USD""))
"),17218080)</f>
        <v>17218080</v>
      </c>
    </row>
    <row r="466" spans="1:7" ht="15.75" customHeight="1" x14ac:dyDescent="0.25">
      <c r="A466" s="11" t="s">
        <v>24</v>
      </c>
      <c r="B466" s="12">
        <v>52000000</v>
      </c>
      <c r="C466" s="12">
        <v>125548685</v>
      </c>
      <c r="D466" s="12">
        <v>2000</v>
      </c>
      <c r="E466" s="12" t="str">
        <f>VLOOKUP(A466, Currency!$A$2:$B$100, 2, FALSE)</f>
        <v>USD</v>
      </c>
      <c r="F466" s="12">
        <f ca="1">IFERROR(__xludf.DUMMYFUNCTION("IF(E466=""USD"",B466,B466 * GOOGLEFINANCE(""CURRENCY:"" &amp; E466 &amp; ""USD""))
"),52000000)</f>
        <v>52000000</v>
      </c>
      <c r="G466" s="13">
        <f ca="1">IFERROR(__xludf.DUMMYFUNCTION("IF(E466=""USD"",C466,C466 * GOOGLEFINANCE(""CURRENCY:"" &amp; E466 &amp; ""USD""))
"),125548685)</f>
        <v>125548685</v>
      </c>
    </row>
    <row r="467" spans="1:7" ht="15.75" customHeight="1" x14ac:dyDescent="0.25">
      <c r="A467" s="14" t="s">
        <v>24</v>
      </c>
      <c r="B467" s="15">
        <v>7000000</v>
      </c>
      <c r="C467" s="15">
        <v>6200756</v>
      </c>
      <c r="D467" s="15">
        <v>2001</v>
      </c>
      <c r="E467" s="15" t="str">
        <f>VLOOKUP(A467, Currency!$A$2:$B$100, 2, FALSE)</f>
        <v>USD</v>
      </c>
      <c r="F467" s="15">
        <f ca="1">IFERROR(__xludf.DUMMYFUNCTION("IF(E467=""USD"",B467,B467 * GOOGLEFINANCE(""CURRENCY:"" &amp; E467 &amp; ""USD""))
"),7000000)</f>
        <v>7000000</v>
      </c>
      <c r="G467" s="16">
        <f ca="1">IFERROR(__xludf.DUMMYFUNCTION("IF(E467=""USD"",C467,C467 * GOOGLEFINANCE(""CURRENCY:"" &amp; E467 &amp; ""USD""))
"),6200756)</f>
        <v>6200756</v>
      </c>
    </row>
    <row r="468" spans="1:7" ht="15.75" customHeight="1" x14ac:dyDescent="0.25">
      <c r="A468" s="11" t="s">
        <v>24</v>
      </c>
      <c r="B468" s="12">
        <v>14000000</v>
      </c>
      <c r="C468" s="12">
        <v>38048637</v>
      </c>
      <c r="D468" s="12">
        <v>1998</v>
      </c>
      <c r="E468" s="12" t="str">
        <f>VLOOKUP(A468, Currency!$A$2:$B$100, 2, FALSE)</f>
        <v>USD</v>
      </c>
      <c r="F468" s="12">
        <f ca="1">IFERROR(__xludf.DUMMYFUNCTION("IF(E468=""USD"",B468,B468 * GOOGLEFINANCE(""CURRENCY:"" &amp; E468 &amp; ""USD""))
"),14000000)</f>
        <v>14000000</v>
      </c>
      <c r="G468" s="13">
        <f ca="1">IFERROR(__xludf.DUMMYFUNCTION("IF(E468=""USD"",C468,C468 * GOOGLEFINANCE(""CURRENCY:"" &amp; E468 &amp; ""USD""))
"),38048637)</f>
        <v>38048637</v>
      </c>
    </row>
    <row r="469" spans="1:7" ht="15.75" customHeight="1" x14ac:dyDescent="0.25">
      <c r="A469" s="14" t="s">
        <v>1220</v>
      </c>
      <c r="B469" s="15">
        <v>1800000</v>
      </c>
      <c r="C469" s="15">
        <v>5709616</v>
      </c>
      <c r="D469" s="15">
        <v>2002</v>
      </c>
      <c r="E469" s="15" t="str">
        <f>VLOOKUP(A469, Currency!$A$2:$B$100, 2, FALSE)</f>
        <v>MXN</v>
      </c>
      <c r="F469" s="15">
        <f ca="1">IFERROR(__xludf.DUMMYFUNCTION("IF(E469=""USD"",B469,B469 * GOOGLEFINANCE(""CURRENCY:"" &amp; E469 &amp; ""USD""))
"),97568.442)</f>
        <v>97568.441999999995</v>
      </c>
      <c r="G469" s="16">
        <f ca="1">IFERROR(__xludf.DUMMYFUNCTION("IF(E469=""USD"",C469,C469 * GOOGLEFINANCE(""CURRENCY:"" &amp; E469 &amp; ""USD""))
"),309487.96529904)</f>
        <v>309487.96529904002</v>
      </c>
    </row>
    <row r="470" spans="1:7" ht="15.75" customHeight="1" x14ac:dyDescent="0.25">
      <c r="A470" s="11" t="s">
        <v>611</v>
      </c>
      <c r="B470" s="12">
        <v>390000000</v>
      </c>
      <c r="C470" s="12">
        <v>14131298</v>
      </c>
      <c r="D470" s="12">
        <v>1999</v>
      </c>
      <c r="E470" s="12" t="str">
        <f>VLOOKUP(A470, Currency!$A$2:$B$100, 2, FALSE)</f>
        <v>EUR</v>
      </c>
      <c r="F470" s="12">
        <f ca="1">IFERROR(__xludf.DUMMYFUNCTION("IF(E470=""USD"",B470,B470 * GOOGLEFINANCE(""CURRENCY:"" &amp; E470 &amp; ""USD""))
"),423048600)</f>
        <v>423048600</v>
      </c>
      <c r="G470" s="13">
        <f ca="1">IFERROR(__xludf.DUMMYFUNCTION("IF(E470=""USD"",C470,C470 * GOOGLEFINANCE(""CURRENCY:"" &amp; E470 &amp; ""USD""))
"),15328784.19252)</f>
        <v>15328784.19252</v>
      </c>
    </row>
    <row r="471" spans="1:7" ht="15.75" customHeight="1" x14ac:dyDescent="0.25">
      <c r="A471" s="14" t="s">
        <v>627</v>
      </c>
      <c r="B471" s="15">
        <v>8000000</v>
      </c>
      <c r="C471" s="15">
        <v>1641788</v>
      </c>
      <c r="D471" s="15">
        <v>2002</v>
      </c>
      <c r="E471" s="15" t="str">
        <f>VLOOKUP(A471, Currency!$A$2:$B$100, 2, FALSE)</f>
        <v>CAD</v>
      </c>
      <c r="F471" s="15">
        <f ca="1">IFERROR(__xludf.DUMMYFUNCTION("IF(E471=""USD"",B471,B471 * GOOGLEFINANCE(""CURRENCY:"" &amp; E471 &amp; ""USD""))
"),5787240)</f>
        <v>5787240</v>
      </c>
      <c r="G471" s="16">
        <f ca="1">IFERROR(__xludf.DUMMYFUNCTION("IF(E471=""USD"",C471,C471 * GOOGLEFINANCE(""CURRENCY:"" &amp; E471 &amp; ""USD""))
"),1187677.64814)</f>
        <v>1187677.6481399999</v>
      </c>
    </row>
    <row r="472" spans="1:7" ht="15.75" customHeight="1" x14ac:dyDescent="0.25">
      <c r="A472" s="11" t="s">
        <v>24</v>
      </c>
      <c r="B472" s="12">
        <v>50000000</v>
      </c>
      <c r="C472" s="12">
        <v>88658172</v>
      </c>
      <c r="D472" s="12">
        <v>2006</v>
      </c>
      <c r="E472" s="12" t="str">
        <f>VLOOKUP(A472, Currency!$A$2:$B$100, 2, FALSE)</f>
        <v>USD</v>
      </c>
      <c r="F472" s="12">
        <f ca="1">IFERROR(__xludf.DUMMYFUNCTION("IF(E472=""USD"",B472,B472 * GOOGLEFINANCE(""CURRENCY:"" &amp; E472 &amp; ""USD""))
"),50000000)</f>
        <v>50000000</v>
      </c>
      <c r="G472" s="13">
        <f ca="1">IFERROR(__xludf.DUMMYFUNCTION("IF(E472=""USD"",C472,C472 * GOOGLEFINANCE(""CURRENCY:"" &amp; E472 &amp; ""USD""))
"),88658172)</f>
        <v>88658172</v>
      </c>
    </row>
    <row r="473" spans="1:7" ht="15.75" customHeight="1" x14ac:dyDescent="0.25">
      <c r="A473" s="14" t="s">
        <v>24</v>
      </c>
      <c r="B473" s="15">
        <v>5000000</v>
      </c>
      <c r="C473" s="15">
        <v>17683670</v>
      </c>
      <c r="D473" s="15">
        <v>2011</v>
      </c>
      <c r="E473" s="15" t="str">
        <f>VLOOKUP(A473, Currency!$A$2:$B$100, 2, FALSE)</f>
        <v>USD</v>
      </c>
      <c r="F473" s="15">
        <f ca="1">IFERROR(__xludf.DUMMYFUNCTION("IF(E473=""USD"",B473,B473 * GOOGLEFINANCE(""CURRENCY:"" &amp; E473 &amp; ""USD""))
"),5000000)</f>
        <v>5000000</v>
      </c>
      <c r="G473" s="16">
        <f ca="1">IFERROR(__xludf.DUMMYFUNCTION("IF(E473=""USD"",C473,C473 * GOOGLEFINANCE(""CURRENCY:"" &amp; E473 &amp; ""USD""))
"),17683670)</f>
        <v>17683670</v>
      </c>
    </row>
    <row r="474" spans="1:7" ht="15.75" customHeight="1" x14ac:dyDescent="0.25">
      <c r="A474" s="11" t="s">
        <v>24</v>
      </c>
      <c r="B474" s="12">
        <v>16000000</v>
      </c>
      <c r="C474" s="12">
        <v>40363530</v>
      </c>
      <c r="D474" s="12">
        <v>2002</v>
      </c>
      <c r="E474" s="12" t="str">
        <f>VLOOKUP(A474, Currency!$A$2:$B$100, 2, FALSE)</f>
        <v>USD</v>
      </c>
      <c r="F474" s="12">
        <f ca="1">IFERROR(__xludf.DUMMYFUNCTION("IF(E474=""USD"",B474,B474 * GOOGLEFINANCE(""CURRENCY:"" &amp; E474 &amp; ""USD""))
"),16000000)</f>
        <v>16000000</v>
      </c>
      <c r="G474" s="13">
        <f ca="1">IFERROR(__xludf.DUMMYFUNCTION("IF(E474=""USD"",C474,C474 * GOOGLEFINANCE(""CURRENCY:"" &amp; E474 &amp; ""USD""))
"),40363530)</f>
        <v>40363530</v>
      </c>
    </row>
    <row r="475" spans="1:7" ht="15.75" customHeight="1" x14ac:dyDescent="0.25">
      <c r="A475" s="14" t="s">
        <v>24</v>
      </c>
      <c r="B475" s="15">
        <v>35000000</v>
      </c>
      <c r="C475" s="15">
        <v>25871834</v>
      </c>
      <c r="D475" s="15">
        <v>2008</v>
      </c>
      <c r="E475" s="15" t="str">
        <f>VLOOKUP(A475, Currency!$A$2:$B$100, 2, FALSE)</f>
        <v>USD</v>
      </c>
      <c r="F475" s="15">
        <f ca="1">IFERROR(__xludf.DUMMYFUNCTION("IF(E475=""USD"",B475,B475 * GOOGLEFINANCE(""CURRENCY:"" &amp; E475 &amp; ""USD""))
"),35000000)</f>
        <v>35000000</v>
      </c>
      <c r="G475" s="16">
        <f ca="1">IFERROR(__xludf.DUMMYFUNCTION("IF(E475=""USD"",C475,C475 * GOOGLEFINANCE(""CURRENCY:"" &amp; E475 &amp; ""USD""))
"),25871834)</f>
        <v>25871834</v>
      </c>
    </row>
    <row r="476" spans="1:7" ht="15.75" customHeight="1" x14ac:dyDescent="0.25">
      <c r="A476" s="11" t="s">
        <v>24</v>
      </c>
      <c r="B476" s="12">
        <v>18000000</v>
      </c>
      <c r="C476" s="12">
        <v>5887457</v>
      </c>
      <c r="D476" s="12">
        <v>1994</v>
      </c>
      <c r="E476" s="12" t="str">
        <f>VLOOKUP(A476, Currency!$A$2:$B$100, 2, FALSE)</f>
        <v>USD</v>
      </c>
      <c r="F476" s="12">
        <f ca="1">IFERROR(__xludf.DUMMYFUNCTION("IF(E476=""USD"",B476,B476 * GOOGLEFINANCE(""CURRENCY:"" &amp; E476 &amp; ""USD""))
"),18000000)</f>
        <v>18000000</v>
      </c>
      <c r="G476" s="13">
        <f ca="1">IFERROR(__xludf.DUMMYFUNCTION("IF(E476=""USD"",C476,C476 * GOOGLEFINANCE(""CURRENCY:"" &amp; E476 &amp; ""USD""))
"),5887457)</f>
        <v>5887457</v>
      </c>
    </row>
    <row r="477" spans="1:7" ht="15.75" customHeight="1" x14ac:dyDescent="0.25">
      <c r="A477" s="14" t="s">
        <v>24</v>
      </c>
      <c r="B477" s="15">
        <v>63000000</v>
      </c>
      <c r="C477" s="15">
        <v>356784000</v>
      </c>
      <c r="D477" s="15">
        <v>1993</v>
      </c>
      <c r="E477" s="15" t="str">
        <f>VLOOKUP(A477, Currency!$A$2:$B$100, 2, FALSE)</f>
        <v>USD</v>
      </c>
      <c r="F477" s="15">
        <f ca="1">IFERROR(__xludf.DUMMYFUNCTION("IF(E477=""USD"",B477,B477 * GOOGLEFINANCE(""CURRENCY:"" &amp; E477 &amp; ""USD""))
"),63000000)</f>
        <v>63000000</v>
      </c>
      <c r="G477" s="16">
        <f ca="1">IFERROR(__xludf.DUMMYFUNCTION("IF(E477=""USD"",C477,C477 * GOOGLEFINANCE(""CURRENCY:"" &amp; E477 &amp; ""USD""))
"),356784000)</f>
        <v>356784000</v>
      </c>
    </row>
    <row r="478" spans="1:7" ht="15.75" customHeight="1" x14ac:dyDescent="0.25">
      <c r="A478" s="11" t="s">
        <v>24</v>
      </c>
      <c r="B478" s="12">
        <v>1000000</v>
      </c>
      <c r="C478" s="12">
        <v>19539</v>
      </c>
      <c r="D478" s="12">
        <v>2003</v>
      </c>
      <c r="E478" s="12" t="str">
        <f>VLOOKUP(A478, Currency!$A$2:$B$100, 2, FALSE)</f>
        <v>USD</v>
      </c>
      <c r="F478" s="12">
        <f ca="1">IFERROR(__xludf.DUMMYFUNCTION("IF(E478=""USD"",B478,B478 * GOOGLEFINANCE(""CURRENCY:"" &amp; E478 &amp; ""USD""))
"),1000000)</f>
        <v>1000000</v>
      </c>
      <c r="G478" s="13">
        <f ca="1">IFERROR(__xludf.DUMMYFUNCTION("IF(E478=""USD"",C478,C478 * GOOGLEFINANCE(""CURRENCY:"" &amp; E478 &amp; ""USD""))
"),19539)</f>
        <v>19539</v>
      </c>
    </row>
    <row r="479" spans="1:7" ht="15.75" customHeight="1" x14ac:dyDescent="0.25">
      <c r="A479" s="14" t="s">
        <v>24</v>
      </c>
      <c r="B479" s="15">
        <v>55000000</v>
      </c>
      <c r="C479" s="15">
        <v>134218018</v>
      </c>
      <c r="D479" s="15">
        <v>1978</v>
      </c>
      <c r="E479" s="15" t="str">
        <f>VLOOKUP(A479, Currency!$A$2:$B$100, 2, FALSE)</f>
        <v>USD</v>
      </c>
      <c r="F479" s="15">
        <f ca="1">IFERROR(__xludf.DUMMYFUNCTION("IF(E479=""USD"",B479,B479 * GOOGLEFINANCE(""CURRENCY:"" &amp; E479 &amp; ""USD""))
"),55000000)</f>
        <v>55000000</v>
      </c>
      <c r="G479" s="16">
        <f ca="1">IFERROR(__xludf.DUMMYFUNCTION("IF(E479=""USD"",C479,C479 * GOOGLEFINANCE(""CURRENCY:"" &amp; E479 &amp; ""USD""))
"),134218018)</f>
        <v>134218018</v>
      </c>
    </row>
    <row r="480" spans="1:7" ht="15.75" customHeight="1" x14ac:dyDescent="0.25">
      <c r="A480" s="11" t="s">
        <v>24</v>
      </c>
      <c r="B480" s="12">
        <v>75000000</v>
      </c>
      <c r="C480" s="12">
        <v>101087161</v>
      </c>
      <c r="D480" s="12">
        <v>1997</v>
      </c>
      <c r="E480" s="12" t="str">
        <f>VLOOKUP(A480, Currency!$A$2:$B$100, 2, FALSE)</f>
        <v>USD</v>
      </c>
      <c r="F480" s="12">
        <f ca="1">IFERROR(__xludf.DUMMYFUNCTION("IF(E480=""USD"",B480,B480 * GOOGLEFINANCE(""CURRENCY:"" &amp; E480 &amp; ""USD""))
"),75000000)</f>
        <v>75000000</v>
      </c>
      <c r="G480" s="13">
        <f ca="1">IFERROR(__xludf.DUMMYFUNCTION("IF(E480=""USD"",C480,C480 * GOOGLEFINANCE(""CURRENCY:"" &amp; E480 &amp; ""USD""))
"),101087161)</f>
        <v>101087161</v>
      </c>
    </row>
    <row r="481" spans="1:7" ht="15.75" customHeight="1" x14ac:dyDescent="0.25">
      <c r="A481" s="14" t="s">
        <v>24</v>
      </c>
      <c r="B481" s="15">
        <v>609000</v>
      </c>
      <c r="C481" s="15">
        <v>3000000</v>
      </c>
      <c r="D481" s="15">
        <v>1935</v>
      </c>
      <c r="E481" s="15" t="str">
        <f>VLOOKUP(A481, Currency!$A$2:$B$100, 2, FALSE)</f>
        <v>USD</v>
      </c>
      <c r="F481" s="15">
        <f ca="1">IFERROR(__xludf.DUMMYFUNCTION("IF(E481=""USD"",B481,B481 * GOOGLEFINANCE(""CURRENCY:"" &amp; E481 &amp; ""USD""))
"),609000)</f>
        <v>609000</v>
      </c>
      <c r="G481" s="16">
        <f ca="1">IFERROR(__xludf.DUMMYFUNCTION("IF(E481=""USD"",C481,C481 * GOOGLEFINANCE(""CURRENCY:"" &amp; E481 &amp; ""USD""))
"),3000000)</f>
        <v>3000000</v>
      </c>
    </row>
    <row r="482" spans="1:7" ht="15.75" customHeight="1" x14ac:dyDescent="0.25">
      <c r="A482" s="11" t="s">
        <v>24</v>
      </c>
      <c r="B482" s="12">
        <v>25000000</v>
      </c>
      <c r="C482" s="12">
        <v>41597830</v>
      </c>
      <c r="D482" s="12">
        <v>2002</v>
      </c>
      <c r="E482" s="12" t="str">
        <f>VLOOKUP(A482, Currency!$A$2:$B$100, 2, FALSE)</f>
        <v>USD</v>
      </c>
      <c r="F482" s="12">
        <f ca="1">IFERROR(__xludf.DUMMYFUNCTION("IF(E482=""USD"",B482,B482 * GOOGLEFINANCE(""CURRENCY:"" &amp; E482 &amp; ""USD""))
"),25000000)</f>
        <v>25000000</v>
      </c>
      <c r="G482" s="13">
        <f ca="1">IFERROR(__xludf.DUMMYFUNCTION("IF(E482=""USD"",C482,C482 * GOOGLEFINANCE(""CURRENCY:"" &amp; E482 &amp; ""USD""))
"),41597830)</f>
        <v>41597830</v>
      </c>
    </row>
    <row r="483" spans="1:7" ht="15.75" customHeight="1" x14ac:dyDescent="0.25">
      <c r="A483" s="14" t="s">
        <v>24</v>
      </c>
      <c r="B483" s="15">
        <v>20000000</v>
      </c>
      <c r="C483" s="15">
        <v>13630226</v>
      </c>
      <c r="D483" s="15">
        <v>2009</v>
      </c>
      <c r="E483" s="15" t="str">
        <f>VLOOKUP(A483, Currency!$A$2:$B$100, 2, FALSE)</f>
        <v>USD</v>
      </c>
      <c r="F483" s="15">
        <f ca="1">IFERROR(__xludf.DUMMYFUNCTION("IF(E483=""USD"",B483,B483 * GOOGLEFINANCE(""CURRENCY:"" &amp; E483 &amp; ""USD""))
"),20000000)</f>
        <v>20000000</v>
      </c>
      <c r="G483" s="16">
        <f ca="1">IFERROR(__xludf.DUMMYFUNCTION("IF(E483=""USD"",C483,C483 * GOOGLEFINANCE(""CURRENCY:"" &amp; E483 &amp; ""USD""))
"),13630226)</f>
        <v>13630226</v>
      </c>
    </row>
    <row r="484" spans="1:7" ht="15.75" customHeight="1" x14ac:dyDescent="0.25">
      <c r="A484" s="11" t="s">
        <v>133</v>
      </c>
      <c r="B484" s="12">
        <v>60000000</v>
      </c>
      <c r="C484" s="12">
        <v>7605668</v>
      </c>
      <c r="D484" s="12">
        <v>2015</v>
      </c>
      <c r="E484" s="12" t="str">
        <f>VLOOKUP(A484, Currency!$A$2:$B$100, 2, FALSE)</f>
        <v>GBP</v>
      </c>
      <c r="F484" s="12">
        <f ca="1">IFERROR(__xludf.DUMMYFUNCTION("IF(E484=""USD"",B484,B484 * GOOGLEFINANCE(""CURRENCY:"" &amp; E484 &amp; ""USD""))
"),77124000)</f>
        <v>77124000</v>
      </c>
      <c r="G484" s="13">
        <f ca="1">IFERROR(__xludf.DUMMYFUNCTION("IF(E484=""USD"",C484,C484 * GOOGLEFINANCE(""CURRENCY:"" &amp; E484 &amp; ""USD""))
"),9776325.6472)</f>
        <v>9776325.6471999995</v>
      </c>
    </row>
    <row r="485" spans="1:7" ht="15.75" customHeight="1" x14ac:dyDescent="0.25">
      <c r="A485" s="14" t="s">
        <v>24</v>
      </c>
      <c r="B485" s="15">
        <v>52000000</v>
      </c>
      <c r="C485" s="15">
        <v>143704210</v>
      </c>
      <c r="D485" s="15">
        <v>2008</v>
      </c>
      <c r="E485" s="15" t="str">
        <f>VLOOKUP(A485, Currency!$A$2:$B$100, 2, FALSE)</f>
        <v>USD</v>
      </c>
      <c r="F485" s="15">
        <f ca="1">IFERROR(__xludf.DUMMYFUNCTION("IF(E485=""USD"",B485,B485 * GOOGLEFINANCE(""CURRENCY:"" &amp; E485 &amp; ""USD""))
"),52000000)</f>
        <v>52000000</v>
      </c>
      <c r="G485" s="16">
        <f ca="1">IFERROR(__xludf.DUMMYFUNCTION("IF(E485=""USD"",C485,C485 * GOOGLEFINANCE(""CURRENCY:"" &amp; E485 &amp; ""USD""))
"),143704210)</f>
        <v>143704210</v>
      </c>
    </row>
    <row r="486" spans="1:7" ht="15.75" customHeight="1" x14ac:dyDescent="0.25">
      <c r="A486" s="11" t="s">
        <v>176</v>
      </c>
      <c r="B486" s="12">
        <v>33000000</v>
      </c>
      <c r="C486" s="12">
        <v>34014398</v>
      </c>
      <c r="D486" s="12">
        <v>2006</v>
      </c>
      <c r="E486" s="12" t="str">
        <f>VLOOKUP(A486, Currency!$A$2:$B$100, 2, FALSE)</f>
        <v>EUR</v>
      </c>
      <c r="F486" s="12">
        <f ca="1">IFERROR(__xludf.DUMMYFUNCTION("IF(E486=""USD"",B486,B486 * GOOGLEFINANCE(""CURRENCY:"" &amp; E486 &amp; ""USD""))
"),35796420)</f>
        <v>35796420</v>
      </c>
      <c r="G486" s="13">
        <f ca="1">IFERROR(__xludf.DUMMYFUNCTION("IF(E486=""USD"",C486,C486 * GOOGLEFINANCE(""CURRENCY:"" &amp; E486 &amp; ""USD""))
"),36896778.08652)</f>
        <v>36896778.086520001</v>
      </c>
    </row>
    <row r="487" spans="1:7" ht="15.75" customHeight="1" x14ac:dyDescent="0.25">
      <c r="A487" s="14" t="s">
        <v>627</v>
      </c>
      <c r="B487" s="15">
        <v>13000000</v>
      </c>
      <c r="C487" s="15">
        <v>9975684</v>
      </c>
      <c r="D487" s="15">
        <v>1998</v>
      </c>
      <c r="E487" s="15" t="str">
        <f>VLOOKUP(A487, Currency!$A$2:$B$100, 2, FALSE)</f>
        <v>CAD</v>
      </c>
      <c r="F487" s="15">
        <f ca="1">IFERROR(__xludf.DUMMYFUNCTION("IF(E487=""USD"",B487,B487 * GOOGLEFINANCE(""CURRENCY:"" &amp; E487 &amp; ""USD""))
"),9404265)</f>
        <v>9404265</v>
      </c>
      <c r="G487" s="16">
        <f ca="1">IFERROR(__xludf.DUMMYFUNCTION("IF(E487=""USD"",C487,C487 * GOOGLEFINANCE(""CURRENCY:"" &amp; E487 &amp; ""USD""))
"),7216459.68402)</f>
        <v>7216459.6840199996</v>
      </c>
    </row>
    <row r="488" spans="1:7" ht="15.75" customHeight="1" x14ac:dyDescent="0.25">
      <c r="A488" s="11" t="s">
        <v>24</v>
      </c>
      <c r="B488" s="12">
        <v>3000000</v>
      </c>
      <c r="C488" s="12">
        <v>11694528</v>
      </c>
      <c r="D488" s="12">
        <v>2005</v>
      </c>
      <c r="E488" s="12" t="str">
        <f>VLOOKUP(A488, Currency!$A$2:$B$100, 2, FALSE)</f>
        <v>USD</v>
      </c>
      <c r="F488" s="12">
        <f ca="1">IFERROR(__xludf.DUMMYFUNCTION("IF(E488=""USD"",B488,B488 * GOOGLEFINANCE(""CURRENCY:"" &amp; E488 &amp; ""USD""))
"),3000000)</f>
        <v>3000000</v>
      </c>
      <c r="G488" s="13">
        <f ca="1">IFERROR(__xludf.DUMMYFUNCTION("IF(E488=""USD"",C488,C488 * GOOGLEFINANCE(""CURRENCY:"" &amp; E488 &amp; ""USD""))
"),11694528)</f>
        <v>11694528</v>
      </c>
    </row>
    <row r="489" spans="1:7" ht="15.75" customHeight="1" x14ac:dyDescent="0.25">
      <c r="A489" s="14" t="s">
        <v>24</v>
      </c>
      <c r="B489" s="15">
        <v>175000000</v>
      </c>
      <c r="C489" s="15">
        <v>100289690</v>
      </c>
      <c r="D489" s="15">
        <v>2007</v>
      </c>
      <c r="E489" s="15" t="str">
        <f>VLOOKUP(A489, Currency!$A$2:$B$100, 2, FALSE)</f>
        <v>USD</v>
      </c>
      <c r="F489" s="15">
        <f ca="1">IFERROR(__xludf.DUMMYFUNCTION("IF(E489=""USD"",B489,B489 * GOOGLEFINANCE(""CURRENCY:"" &amp; E489 &amp; ""USD""))
"),175000000)</f>
        <v>175000000</v>
      </c>
      <c r="G489" s="16">
        <f ca="1">IFERROR(__xludf.DUMMYFUNCTION("IF(E489=""USD"",C489,C489 * GOOGLEFINANCE(""CURRENCY:"" &amp; E489 &amp; ""USD""))
"),100289690)</f>
        <v>100289690</v>
      </c>
    </row>
    <row r="490" spans="1:7" ht="15.75" customHeight="1" x14ac:dyDescent="0.25">
      <c r="A490" s="11" t="s">
        <v>24</v>
      </c>
      <c r="B490" s="12">
        <v>48000000</v>
      </c>
      <c r="C490" s="12">
        <v>95308367</v>
      </c>
      <c r="D490" s="12">
        <v>2002</v>
      </c>
      <c r="E490" s="12" t="str">
        <f>VLOOKUP(A490, Currency!$A$2:$B$100, 2, FALSE)</f>
        <v>USD</v>
      </c>
      <c r="F490" s="12">
        <f ca="1">IFERROR(__xludf.DUMMYFUNCTION("IF(E490=""USD"",B490,B490 * GOOGLEFINANCE(""CURRENCY:"" &amp; E490 &amp; ""USD""))
"),48000000)</f>
        <v>48000000</v>
      </c>
      <c r="G490" s="13">
        <f ca="1">IFERROR(__xludf.DUMMYFUNCTION("IF(E490=""USD"",C490,C490 * GOOGLEFINANCE(""CURRENCY:"" &amp; E490 &amp; ""USD""))
"),95308367)</f>
        <v>95308367</v>
      </c>
    </row>
    <row r="491" spans="1:7" ht="15.75" customHeight="1" x14ac:dyDescent="0.25">
      <c r="A491" s="14" t="s">
        <v>24</v>
      </c>
      <c r="B491" s="15">
        <v>12000000</v>
      </c>
      <c r="C491" s="15">
        <v>31155435</v>
      </c>
      <c r="D491" s="15">
        <v>2001</v>
      </c>
      <c r="E491" s="15" t="str">
        <f>VLOOKUP(A491, Currency!$A$2:$B$100, 2, FALSE)</f>
        <v>USD</v>
      </c>
      <c r="F491" s="15">
        <f ca="1">IFERROR(__xludf.DUMMYFUNCTION("IF(E491=""USD"",B491,B491 * GOOGLEFINANCE(""CURRENCY:"" &amp; E491 &amp; ""USD""))
"),12000000)</f>
        <v>12000000</v>
      </c>
      <c r="G491" s="16">
        <f ca="1">IFERROR(__xludf.DUMMYFUNCTION("IF(E491=""USD"",C491,C491 * GOOGLEFINANCE(""CURRENCY:"" &amp; E491 &amp; ""USD""))
"),31155435)</f>
        <v>31155435</v>
      </c>
    </row>
    <row r="492" spans="1:7" ht="15.75" customHeight="1" x14ac:dyDescent="0.25">
      <c r="A492" s="11" t="s">
        <v>24</v>
      </c>
      <c r="B492" s="12">
        <v>110000000</v>
      </c>
      <c r="C492" s="12">
        <v>250863268</v>
      </c>
      <c r="D492" s="12">
        <v>2006</v>
      </c>
      <c r="E492" s="12" t="str">
        <f>VLOOKUP(A492, Currency!$A$2:$B$100, 2, FALSE)</f>
        <v>USD</v>
      </c>
      <c r="F492" s="12">
        <f ca="1">IFERROR(__xludf.DUMMYFUNCTION("IF(E492=""USD"",B492,B492 * GOOGLEFINANCE(""CURRENCY:"" &amp; E492 &amp; ""USD""))
"),110000000)</f>
        <v>110000000</v>
      </c>
      <c r="G492" s="13">
        <f ca="1">IFERROR(__xludf.DUMMYFUNCTION("IF(E492=""USD"",C492,C492 * GOOGLEFINANCE(""CURRENCY:"" &amp; E492 &amp; ""USD""))
"),250863268)</f>
        <v>250863268</v>
      </c>
    </row>
    <row r="493" spans="1:7" ht="15.75" customHeight="1" x14ac:dyDescent="0.25">
      <c r="A493" s="14" t="s">
        <v>24</v>
      </c>
      <c r="B493" s="15">
        <v>25000000</v>
      </c>
      <c r="C493" s="15">
        <v>76270454</v>
      </c>
      <c r="D493" s="15">
        <v>1987</v>
      </c>
      <c r="E493" s="15" t="str">
        <f>VLOOKUP(A493, Currency!$A$2:$B$100, 2, FALSE)</f>
        <v>USD</v>
      </c>
      <c r="F493" s="15">
        <f ca="1">IFERROR(__xludf.DUMMYFUNCTION("IF(E493=""USD"",B493,B493 * GOOGLEFINANCE(""CURRENCY:"" &amp; E493 &amp; ""USD""))
"),25000000)</f>
        <v>25000000</v>
      </c>
      <c r="G493" s="16">
        <f ca="1">IFERROR(__xludf.DUMMYFUNCTION("IF(E493=""USD"",C493,C493 * GOOGLEFINANCE(""CURRENCY:"" &amp; E493 &amp; ""USD""))
"),76270454)</f>
        <v>76270454</v>
      </c>
    </row>
    <row r="494" spans="1:7" ht="15.75" customHeight="1" x14ac:dyDescent="0.25">
      <c r="A494" s="11" t="s">
        <v>24</v>
      </c>
      <c r="B494" s="12">
        <v>8500000</v>
      </c>
      <c r="C494" s="12">
        <v>15171475</v>
      </c>
      <c r="D494" s="12">
        <v>1996</v>
      </c>
      <c r="E494" s="12" t="str">
        <f>VLOOKUP(A494, Currency!$A$2:$B$100, 2, FALSE)</f>
        <v>USD</v>
      </c>
      <c r="F494" s="12">
        <f ca="1">IFERROR(__xludf.DUMMYFUNCTION("IF(E494=""USD"",B494,B494 * GOOGLEFINANCE(""CURRENCY:"" &amp; E494 &amp; ""USD""))
"),8500000)</f>
        <v>8500000</v>
      </c>
      <c r="G494" s="13">
        <f ca="1">IFERROR(__xludf.DUMMYFUNCTION("IF(E494=""USD"",C494,C494 * GOOGLEFINANCE(""CURRENCY:"" &amp; E494 &amp; ""USD""))
"),15171475)</f>
        <v>15171475</v>
      </c>
    </row>
    <row r="495" spans="1:7" ht="15.75" customHeight="1" x14ac:dyDescent="0.25">
      <c r="A495" s="14" t="s">
        <v>24</v>
      </c>
      <c r="B495" s="15">
        <v>35000000</v>
      </c>
      <c r="C495" s="15">
        <v>24276500</v>
      </c>
      <c r="D495" s="15">
        <v>1992</v>
      </c>
      <c r="E495" s="15" t="str">
        <f>VLOOKUP(A495, Currency!$A$2:$B$100, 2, FALSE)</f>
        <v>USD</v>
      </c>
      <c r="F495" s="15">
        <f ca="1">IFERROR(__xludf.DUMMYFUNCTION("IF(E495=""USD"",B495,B495 * GOOGLEFINANCE(""CURRENCY:"" &amp; E495 &amp; ""USD""))
"),35000000)</f>
        <v>35000000</v>
      </c>
      <c r="G495" s="16">
        <f ca="1">IFERROR(__xludf.DUMMYFUNCTION("IF(E495=""USD"",C495,C495 * GOOGLEFINANCE(""CURRENCY:"" &amp; E495 &amp; ""USD""))
"),24276500)</f>
        <v>24276500</v>
      </c>
    </row>
    <row r="496" spans="1:7" ht="15.75" customHeight="1" x14ac:dyDescent="0.25">
      <c r="A496" s="11" t="s">
        <v>24</v>
      </c>
      <c r="B496" s="12">
        <v>34000000</v>
      </c>
      <c r="C496" s="12">
        <v>6543194</v>
      </c>
      <c r="D496" s="12">
        <v>2000</v>
      </c>
      <c r="E496" s="12" t="str">
        <f>VLOOKUP(A496, Currency!$A$2:$B$100, 2, FALSE)</f>
        <v>USD</v>
      </c>
      <c r="F496" s="12">
        <f ca="1">IFERROR(__xludf.DUMMYFUNCTION("IF(E496=""USD"",B496,B496 * GOOGLEFINANCE(""CURRENCY:"" &amp; E496 &amp; ""USD""))
"),34000000)</f>
        <v>34000000</v>
      </c>
      <c r="G496" s="13">
        <f ca="1">IFERROR(__xludf.DUMMYFUNCTION("IF(E496=""USD"",C496,C496 * GOOGLEFINANCE(""CURRENCY:"" &amp; E496 &amp; ""USD""))
"),6543194)</f>
        <v>6543194</v>
      </c>
    </row>
    <row r="497" spans="1:7" ht="15.75" customHeight="1" x14ac:dyDescent="0.25">
      <c r="A497" s="14" t="s">
        <v>24</v>
      </c>
      <c r="B497" s="15">
        <v>8000000</v>
      </c>
      <c r="C497" s="15">
        <v>34963967</v>
      </c>
      <c r="D497" s="15">
        <v>2011</v>
      </c>
      <c r="E497" s="15" t="str">
        <f>VLOOKUP(A497, Currency!$A$2:$B$100, 2, FALSE)</f>
        <v>USD</v>
      </c>
      <c r="F497" s="15">
        <f ca="1">IFERROR(__xludf.DUMMYFUNCTION("IF(E497=""USD"",B497,B497 * GOOGLEFINANCE(""CURRENCY:"" &amp; E497 &amp; ""USD""))
"),8000000)</f>
        <v>8000000</v>
      </c>
      <c r="G497" s="16">
        <f ca="1">IFERROR(__xludf.DUMMYFUNCTION("IF(E497=""USD"",C497,C497 * GOOGLEFINANCE(""CURRENCY:"" &amp; E497 &amp; ""USD""))
"),34963967)</f>
        <v>34963967</v>
      </c>
    </row>
    <row r="498" spans="1:7" ht="15.75" customHeight="1" x14ac:dyDescent="0.25">
      <c r="A498" s="11" t="s">
        <v>24</v>
      </c>
      <c r="B498" s="12">
        <v>14000000</v>
      </c>
      <c r="C498" s="12">
        <v>15549702</v>
      </c>
      <c r="D498" s="12">
        <v>2003</v>
      </c>
      <c r="E498" s="12" t="str">
        <f>VLOOKUP(A498, Currency!$A$2:$B$100, 2, FALSE)</f>
        <v>USD</v>
      </c>
      <c r="F498" s="12">
        <f ca="1">IFERROR(__xludf.DUMMYFUNCTION("IF(E498=""USD"",B498,B498 * GOOGLEFINANCE(""CURRENCY:"" &amp; E498 &amp; ""USD""))
"),14000000)</f>
        <v>14000000</v>
      </c>
      <c r="G498" s="13">
        <f ca="1">IFERROR(__xludf.DUMMYFUNCTION("IF(E498=""USD"",C498,C498 * GOOGLEFINANCE(""CURRENCY:"" &amp; E498 &amp; ""USD""))
"),15549702)</f>
        <v>15549702</v>
      </c>
    </row>
    <row r="499" spans="1:7" ht="15.75" customHeight="1" x14ac:dyDescent="0.25">
      <c r="A499" s="14" t="s">
        <v>24</v>
      </c>
      <c r="B499" s="15">
        <v>70000000</v>
      </c>
      <c r="C499" s="15">
        <v>30157016</v>
      </c>
      <c r="D499" s="15">
        <v>2002</v>
      </c>
      <c r="E499" s="15" t="str">
        <f>VLOOKUP(A499, Currency!$A$2:$B$100, 2, FALSE)</f>
        <v>USD</v>
      </c>
      <c r="F499" s="15">
        <f ca="1">IFERROR(__xludf.DUMMYFUNCTION("IF(E499=""USD"",B499,B499 * GOOGLEFINANCE(""CURRENCY:"" &amp; E499 &amp; ""USD""))
"),70000000)</f>
        <v>70000000</v>
      </c>
      <c r="G499" s="16">
        <f ca="1">IFERROR(__xludf.DUMMYFUNCTION("IF(E499=""USD"",C499,C499 * GOOGLEFINANCE(""CURRENCY:"" &amp; E499 &amp; ""USD""))
"),30157016)</f>
        <v>30157016</v>
      </c>
    </row>
    <row r="500" spans="1:7" ht="15.75" customHeight="1" x14ac:dyDescent="0.25">
      <c r="A500" s="11" t="s">
        <v>611</v>
      </c>
      <c r="B500" s="12">
        <v>100000000</v>
      </c>
      <c r="C500" s="12">
        <v>3058380</v>
      </c>
      <c r="D500" s="12">
        <v>2000</v>
      </c>
      <c r="E500" s="12" t="str">
        <f>VLOOKUP(A500, Currency!$A$2:$B$100, 2, FALSE)</f>
        <v>EUR</v>
      </c>
      <c r="F500" s="12">
        <f ca="1">IFERROR(__xludf.DUMMYFUNCTION("IF(E500=""USD"",B500,B500 * GOOGLEFINANCE(""CURRENCY:"" &amp; E500 &amp; ""USD""))
"),108474000)</f>
        <v>108474000</v>
      </c>
      <c r="G500" s="13">
        <f ca="1">IFERROR(__xludf.DUMMYFUNCTION("IF(E500=""USD"",C500,C500 * GOOGLEFINANCE(""CURRENCY:"" &amp; E500 &amp; ""USD""))
"),3317547.1212)</f>
        <v>3317547.1211999999</v>
      </c>
    </row>
    <row r="501" spans="1:7" ht="15.75" customHeight="1" x14ac:dyDescent="0.25">
      <c r="A501" s="14" t="s">
        <v>133</v>
      </c>
      <c r="B501" s="15">
        <v>150000000</v>
      </c>
      <c r="C501" s="15">
        <v>167007184</v>
      </c>
      <c r="D501" s="15">
        <v>2006</v>
      </c>
      <c r="E501" s="15" t="str">
        <f>VLOOKUP(A501, Currency!$A$2:$B$100, 2, FALSE)</f>
        <v>GBP</v>
      </c>
      <c r="F501" s="15">
        <f ca="1">IFERROR(__xludf.DUMMYFUNCTION("IF(E501=""USD"",B501,B501 * GOOGLEFINANCE(""CURRENCY:"" &amp; E501 &amp; ""USD""))
"),192809999.999999)</f>
        <v>192809999.99999899</v>
      </c>
      <c r="G501" s="16">
        <f ca="1">IFERROR(__xludf.DUMMYFUNCTION("IF(E501=""USD"",C501,C501 * GOOGLEFINANCE(""CURRENCY:"" &amp; E501 &amp; ""USD""))
"),214671034.313599)</f>
        <v>214671034.31359899</v>
      </c>
    </row>
    <row r="502" spans="1:7" ht="15.75" customHeight="1" x14ac:dyDescent="0.25">
      <c r="A502" s="11" t="s">
        <v>24</v>
      </c>
      <c r="B502" s="12">
        <v>25000000</v>
      </c>
      <c r="C502" s="12">
        <v>33631221</v>
      </c>
      <c r="D502" s="12">
        <v>2014</v>
      </c>
      <c r="E502" s="12" t="str">
        <f>VLOOKUP(A502, Currency!$A$2:$B$100, 2, FALSE)</f>
        <v>USD</v>
      </c>
      <c r="F502" s="12">
        <f ca="1">IFERROR(__xludf.DUMMYFUNCTION("IF(E502=""USD"",B502,B502 * GOOGLEFINANCE(""CURRENCY:"" &amp; E502 &amp; ""USD""))
"),25000000)</f>
        <v>25000000</v>
      </c>
      <c r="G502" s="13">
        <f ca="1">IFERROR(__xludf.DUMMYFUNCTION("IF(E502=""USD"",C502,C502 * GOOGLEFINANCE(""CURRENCY:"" &amp; E502 &amp; ""USD""))
"),33631221)</f>
        <v>33631221</v>
      </c>
    </row>
    <row r="503" spans="1:7" ht="15.75" customHeight="1" x14ac:dyDescent="0.25">
      <c r="A503" s="14" t="s">
        <v>24</v>
      </c>
      <c r="B503" s="15">
        <v>35000000</v>
      </c>
      <c r="C503" s="15">
        <v>34507079</v>
      </c>
      <c r="D503" s="15">
        <v>2015</v>
      </c>
      <c r="E503" s="15" t="str">
        <f>VLOOKUP(A503, Currency!$A$2:$B$100, 2, FALSE)</f>
        <v>USD</v>
      </c>
      <c r="F503" s="15">
        <f ca="1">IFERROR(__xludf.DUMMYFUNCTION("IF(E503=""USD"",B503,B503 * GOOGLEFINANCE(""CURRENCY:"" &amp; E503 &amp; ""USD""))
"),35000000)</f>
        <v>35000000</v>
      </c>
      <c r="G503" s="16">
        <f ca="1">IFERROR(__xludf.DUMMYFUNCTION("IF(E503=""USD"",C503,C503 * GOOGLEFINANCE(""CURRENCY:"" &amp; E503 &amp; ""USD""))
"),34507079)</f>
        <v>34507079</v>
      </c>
    </row>
    <row r="504" spans="1:7" ht="15.75" customHeight="1" x14ac:dyDescent="0.25">
      <c r="A504" s="11" t="s">
        <v>24</v>
      </c>
      <c r="B504" s="12">
        <v>13000000</v>
      </c>
      <c r="C504" s="12">
        <v>17738570</v>
      </c>
      <c r="D504" s="12">
        <v>2012</v>
      </c>
      <c r="E504" s="12" t="str">
        <f>VLOOKUP(A504, Currency!$A$2:$B$100, 2, FALSE)</f>
        <v>USD</v>
      </c>
      <c r="F504" s="12">
        <f ca="1">IFERROR(__xludf.DUMMYFUNCTION("IF(E504=""USD"",B504,B504 * GOOGLEFINANCE(""CURRENCY:"" &amp; E504 &amp; ""USD""))
"),13000000)</f>
        <v>13000000</v>
      </c>
      <c r="G504" s="13">
        <f ca="1">IFERROR(__xludf.DUMMYFUNCTION("IF(E504=""USD"",C504,C504 * GOOGLEFINANCE(""CURRENCY:"" &amp; E504 &amp; ""USD""))
"),17738570)</f>
        <v>17738570</v>
      </c>
    </row>
    <row r="505" spans="1:7" ht="15.75" customHeight="1" x14ac:dyDescent="0.25">
      <c r="A505" s="14" t="s">
        <v>24</v>
      </c>
      <c r="B505" s="15">
        <v>5000000</v>
      </c>
      <c r="C505" s="15">
        <v>3093491</v>
      </c>
      <c r="D505" s="15">
        <v>2014</v>
      </c>
      <c r="E505" s="15" t="str">
        <f>VLOOKUP(A505, Currency!$A$2:$B$100, 2, FALSE)</f>
        <v>USD</v>
      </c>
      <c r="F505" s="15">
        <f ca="1">IFERROR(__xludf.DUMMYFUNCTION("IF(E505=""USD"",B505,B505 * GOOGLEFINANCE(""CURRENCY:"" &amp; E505 &amp; ""USD""))
"),5000000)</f>
        <v>5000000</v>
      </c>
      <c r="G505" s="16">
        <f ca="1">IFERROR(__xludf.DUMMYFUNCTION("IF(E505=""USD"",C505,C505 * GOOGLEFINANCE(""CURRENCY:"" &amp; E505 &amp; ""USD""))
"),3093491)</f>
        <v>3093491</v>
      </c>
    </row>
    <row r="506" spans="1:7" ht="15.75" customHeight="1" x14ac:dyDescent="0.25">
      <c r="A506" s="11" t="s">
        <v>24</v>
      </c>
      <c r="B506" s="12">
        <v>4500000</v>
      </c>
      <c r="C506" s="12">
        <v>3609278</v>
      </c>
      <c r="D506" s="12">
        <v>2000</v>
      </c>
      <c r="E506" s="12" t="str">
        <f>VLOOKUP(A506, Currency!$A$2:$B$100, 2, FALSE)</f>
        <v>USD</v>
      </c>
      <c r="F506" s="12">
        <f ca="1">IFERROR(__xludf.DUMMYFUNCTION("IF(E506=""USD"",B506,B506 * GOOGLEFINANCE(""CURRENCY:"" &amp; E506 &amp; ""USD""))
"),4500000)</f>
        <v>4500000</v>
      </c>
      <c r="G506" s="13">
        <f ca="1">IFERROR(__xludf.DUMMYFUNCTION("IF(E506=""USD"",C506,C506 * GOOGLEFINANCE(""CURRENCY:"" &amp; E506 &amp; ""USD""))
"),3609278)</f>
        <v>3609278</v>
      </c>
    </row>
    <row r="507" spans="1:7" ht="15.75" customHeight="1" x14ac:dyDescent="0.25">
      <c r="A507" s="14" t="s">
        <v>611</v>
      </c>
      <c r="B507" s="15">
        <v>10000000</v>
      </c>
      <c r="C507" s="15">
        <v>1276984</v>
      </c>
      <c r="D507" s="15">
        <v>2000</v>
      </c>
      <c r="E507" s="15" t="str">
        <f>VLOOKUP(A507, Currency!$A$2:$B$100, 2, FALSE)</f>
        <v>EUR</v>
      </c>
      <c r="F507" s="15">
        <f ca="1">IFERROR(__xludf.DUMMYFUNCTION("IF(E507=""USD"",B507,B507 * GOOGLEFINANCE(""CURRENCY:"" &amp; E507 &amp; ""USD""))
"),10847400)</f>
        <v>10847400</v>
      </c>
      <c r="G507" s="16">
        <f ca="1">IFERROR(__xludf.DUMMYFUNCTION("IF(E507=""USD"",C507,C507 * GOOGLEFINANCE(""CURRENCY:"" &amp; E507 &amp; ""USD""))
"),1385195.62416)</f>
        <v>1385195.6241599999</v>
      </c>
    </row>
    <row r="508" spans="1:7" ht="15.75" customHeight="1" x14ac:dyDescent="0.25">
      <c r="A508" s="11" t="s">
        <v>133</v>
      </c>
      <c r="B508" s="12">
        <v>15000000</v>
      </c>
      <c r="C508" s="12">
        <v>14989761</v>
      </c>
      <c r="D508" s="12">
        <v>2012</v>
      </c>
      <c r="E508" s="12" t="str">
        <f>VLOOKUP(A508, Currency!$A$2:$B$100, 2, FALSE)</f>
        <v>GBP</v>
      </c>
      <c r="F508" s="12">
        <f ca="1">IFERROR(__xludf.DUMMYFUNCTION("IF(E508=""USD"",B508,B508 * GOOGLEFINANCE(""CURRENCY:"" &amp; E508 &amp; ""USD""))
"),19281000)</f>
        <v>19281000</v>
      </c>
      <c r="G508" s="13">
        <f ca="1">IFERROR(__xludf.DUMMYFUNCTION("IF(E508=""USD"",C508,C508 * GOOGLEFINANCE(""CURRENCY:"" &amp; E508 &amp; ""USD""))
"),19267838.7893999)</f>
        <v>19267838.7893999</v>
      </c>
    </row>
    <row r="509" spans="1:7" ht="15.75" customHeight="1" x14ac:dyDescent="0.25">
      <c r="A509" s="14" t="s">
        <v>24</v>
      </c>
      <c r="B509" s="15">
        <v>132000000</v>
      </c>
      <c r="C509" s="15">
        <v>83348920</v>
      </c>
      <c r="D509" s="15">
        <v>2014</v>
      </c>
      <c r="E509" s="15" t="str">
        <f>VLOOKUP(A509, Currency!$A$2:$B$100, 2, FALSE)</f>
        <v>USD</v>
      </c>
      <c r="F509" s="15">
        <f ca="1">IFERROR(__xludf.DUMMYFUNCTION("IF(E509=""USD"",B509,B509 * GOOGLEFINANCE(""CURRENCY:"" &amp; E509 &amp; ""USD""))
"),132000000)</f>
        <v>132000000</v>
      </c>
      <c r="G509" s="16">
        <f ca="1">IFERROR(__xludf.DUMMYFUNCTION("IF(E509=""USD"",C509,C509 * GOOGLEFINANCE(""CURRENCY:"" &amp; E509 &amp; ""USD""))
"),83348920)</f>
        <v>83348920</v>
      </c>
    </row>
    <row r="510" spans="1:7" ht="15.75" customHeight="1" x14ac:dyDescent="0.25">
      <c r="A510" s="11" t="s">
        <v>24</v>
      </c>
      <c r="B510" s="12">
        <v>52000000</v>
      </c>
      <c r="C510" s="12">
        <v>34636443</v>
      </c>
      <c r="D510" s="12">
        <v>2005</v>
      </c>
      <c r="E510" s="12" t="str">
        <f>VLOOKUP(A510, Currency!$A$2:$B$100, 2, FALSE)</f>
        <v>USD</v>
      </c>
      <c r="F510" s="12">
        <f ca="1">IFERROR(__xludf.DUMMYFUNCTION("IF(E510=""USD"",B510,B510 * GOOGLEFINANCE(""CURRENCY:"" &amp; E510 &amp; ""USD""))
"),52000000)</f>
        <v>52000000</v>
      </c>
      <c r="G510" s="13">
        <f ca="1">IFERROR(__xludf.DUMMYFUNCTION("IF(E510=""USD"",C510,C510 * GOOGLEFINANCE(""CURRENCY:"" &amp; E510 &amp; ""USD""))
"),34636443)</f>
        <v>34636443</v>
      </c>
    </row>
    <row r="511" spans="1:7" ht="15.75" customHeight="1" x14ac:dyDescent="0.25">
      <c r="A511" s="14" t="s">
        <v>24</v>
      </c>
      <c r="B511" s="15">
        <v>23000000</v>
      </c>
      <c r="C511" s="15">
        <v>20763013</v>
      </c>
      <c r="D511" s="15">
        <v>1987</v>
      </c>
      <c r="E511" s="15" t="str">
        <f>VLOOKUP(A511, Currency!$A$2:$B$100, 2, FALSE)</f>
        <v>USD</v>
      </c>
      <c r="F511" s="15">
        <f ca="1">IFERROR(__xludf.DUMMYFUNCTION("IF(E511=""USD"",B511,B511 * GOOGLEFINANCE(""CURRENCY:"" &amp; E511 &amp; ""USD""))
"),23000000)</f>
        <v>23000000</v>
      </c>
      <c r="G511" s="16">
        <f ca="1">IFERROR(__xludf.DUMMYFUNCTION("IF(E511=""USD"",C511,C511 * GOOGLEFINANCE(""CURRENCY:"" &amp; E511 &amp; ""USD""))
"),20763013)</f>
        <v>20763013</v>
      </c>
    </row>
    <row r="512" spans="1:7" ht="15.75" customHeight="1" x14ac:dyDescent="0.25">
      <c r="A512" s="11" t="s">
        <v>24</v>
      </c>
      <c r="B512" s="12">
        <v>8000000</v>
      </c>
      <c r="C512" s="12">
        <v>127144</v>
      </c>
      <c r="D512" s="12">
        <v>2005</v>
      </c>
      <c r="E512" s="12" t="str">
        <f>VLOOKUP(A512, Currency!$A$2:$B$100, 2, FALSE)</f>
        <v>USD</v>
      </c>
      <c r="F512" s="12">
        <f ca="1">IFERROR(__xludf.DUMMYFUNCTION("IF(E512=""USD"",B512,B512 * GOOGLEFINANCE(""CURRENCY:"" &amp; E512 &amp; ""USD""))
"),8000000)</f>
        <v>8000000</v>
      </c>
      <c r="G512" s="13">
        <f ca="1">IFERROR(__xludf.DUMMYFUNCTION("IF(E512=""USD"",C512,C512 * GOOGLEFINANCE(""CURRENCY:"" &amp; E512 &amp; ""USD""))
"),127144)</f>
        <v>127144</v>
      </c>
    </row>
    <row r="513" spans="1:7" ht="15.75" customHeight="1" x14ac:dyDescent="0.25">
      <c r="A513" s="14" t="s">
        <v>24</v>
      </c>
      <c r="B513" s="15">
        <v>68000000</v>
      </c>
      <c r="C513" s="15">
        <v>34350553</v>
      </c>
      <c r="D513" s="15">
        <v>2012</v>
      </c>
      <c r="E513" s="15" t="str">
        <f>VLOOKUP(A513, Currency!$A$2:$B$100, 2, FALSE)</f>
        <v>USD</v>
      </c>
      <c r="F513" s="15">
        <f ca="1">IFERROR(__xludf.DUMMYFUNCTION("IF(E513=""USD"",B513,B513 * GOOGLEFINANCE(""CURRENCY:"" &amp; E513 &amp; ""USD""))
"),68000000)</f>
        <v>68000000</v>
      </c>
      <c r="G513" s="16">
        <f ca="1">IFERROR(__xludf.DUMMYFUNCTION("IF(E513=""USD"",C513,C513 * GOOGLEFINANCE(""CURRENCY:"" &amp; E513 &amp; ""USD""))
"),34350553)</f>
        <v>34350553</v>
      </c>
    </row>
    <row r="514" spans="1:7" ht="15.75" customHeight="1" x14ac:dyDescent="0.25">
      <c r="A514" s="11" t="s">
        <v>24</v>
      </c>
      <c r="B514" s="12">
        <v>17000000</v>
      </c>
      <c r="C514" s="12">
        <v>30324946</v>
      </c>
      <c r="D514" s="12">
        <v>1998</v>
      </c>
      <c r="E514" s="12" t="str">
        <f>VLOOKUP(A514, Currency!$A$2:$B$100, 2, FALSE)</f>
        <v>USD</v>
      </c>
      <c r="F514" s="12">
        <f ca="1">IFERROR(__xludf.DUMMYFUNCTION("IF(E514=""USD"",B514,B514 * GOOGLEFINANCE(""CURRENCY:"" &amp; E514 &amp; ""USD""))
"),17000000)</f>
        <v>17000000</v>
      </c>
      <c r="G514" s="13">
        <f ca="1">IFERROR(__xludf.DUMMYFUNCTION("IF(E514=""USD"",C514,C514 * GOOGLEFINANCE(""CURRENCY:"" &amp; E514 &amp; ""USD""))
"),30324946)</f>
        <v>30324946</v>
      </c>
    </row>
    <row r="515" spans="1:7" ht="15.75" customHeight="1" x14ac:dyDescent="0.25">
      <c r="A515" s="14" t="s">
        <v>24</v>
      </c>
      <c r="B515" s="15">
        <v>5500000</v>
      </c>
      <c r="C515" s="15">
        <v>159600000</v>
      </c>
      <c r="D515" s="15">
        <v>1973</v>
      </c>
      <c r="E515" s="15" t="str">
        <f>VLOOKUP(A515, Currency!$A$2:$B$100, 2, FALSE)</f>
        <v>USD</v>
      </c>
      <c r="F515" s="15">
        <f ca="1">IFERROR(__xludf.DUMMYFUNCTION("IF(E515=""USD"",B515,B515 * GOOGLEFINANCE(""CURRENCY:"" &amp; E515 &amp; ""USD""))
"),5500000)</f>
        <v>5500000</v>
      </c>
      <c r="G515" s="16">
        <f ca="1">IFERROR(__xludf.DUMMYFUNCTION("IF(E515=""USD"",C515,C515 * GOOGLEFINANCE(""CURRENCY:"" &amp; E515 &amp; ""USD""))
"),159600000)</f>
        <v>159600000</v>
      </c>
    </row>
    <row r="516" spans="1:7" ht="15.75" customHeight="1" x14ac:dyDescent="0.25">
      <c r="A516" s="11" t="s">
        <v>24</v>
      </c>
      <c r="B516" s="12">
        <v>22000000</v>
      </c>
      <c r="C516" s="12">
        <v>184208848</v>
      </c>
      <c r="D516" s="12">
        <v>1990</v>
      </c>
      <c r="E516" s="12" t="str">
        <f>VLOOKUP(A516, Currency!$A$2:$B$100, 2, FALSE)</f>
        <v>USD</v>
      </c>
      <c r="F516" s="12">
        <f ca="1">IFERROR(__xludf.DUMMYFUNCTION("IF(E516=""USD"",B516,B516 * GOOGLEFINANCE(""CURRENCY:"" &amp; E516 &amp; ""USD""))
"),22000000)</f>
        <v>22000000</v>
      </c>
      <c r="G516" s="13">
        <f ca="1">IFERROR(__xludf.DUMMYFUNCTION("IF(E516=""USD"",C516,C516 * GOOGLEFINANCE(""CURRENCY:"" &amp; E516 &amp; ""USD""))
"),184208848)</f>
        <v>184208848</v>
      </c>
    </row>
    <row r="517" spans="1:7" ht="15.75" customHeight="1" x14ac:dyDescent="0.25">
      <c r="A517" s="14" t="s">
        <v>24</v>
      </c>
      <c r="B517" s="15">
        <v>22000000</v>
      </c>
      <c r="C517" s="15">
        <v>144833357</v>
      </c>
      <c r="D517" s="15">
        <v>1994</v>
      </c>
      <c r="E517" s="15" t="str">
        <f>VLOOKUP(A517, Currency!$A$2:$B$100, 2, FALSE)</f>
        <v>USD</v>
      </c>
      <c r="F517" s="15">
        <f ca="1">IFERROR(__xludf.DUMMYFUNCTION("IF(E517=""USD"",B517,B517 * GOOGLEFINANCE(""CURRENCY:"" &amp; E517 &amp; ""USD""))
"),22000000)</f>
        <v>22000000</v>
      </c>
      <c r="G517" s="16">
        <f ca="1">IFERROR(__xludf.DUMMYFUNCTION("IF(E517=""USD"",C517,C517 * GOOGLEFINANCE(""CURRENCY:"" &amp; E517 &amp; ""USD""))
"),144833357)</f>
        <v>144833357</v>
      </c>
    </row>
    <row r="518" spans="1:7" ht="15.75" customHeight="1" x14ac:dyDescent="0.25">
      <c r="A518" s="11" t="s">
        <v>24</v>
      </c>
      <c r="B518" s="12">
        <v>230000000</v>
      </c>
      <c r="C518" s="12">
        <v>262030663</v>
      </c>
      <c r="D518" s="12">
        <v>2012</v>
      </c>
      <c r="E518" s="12" t="str">
        <f>VLOOKUP(A518, Currency!$A$2:$B$100, 2, FALSE)</f>
        <v>USD</v>
      </c>
      <c r="F518" s="12">
        <f ca="1">IFERROR(__xludf.DUMMYFUNCTION("IF(E518=""USD"",B518,B518 * GOOGLEFINANCE(""CURRENCY:"" &amp; E518 &amp; ""USD""))
"),230000000)</f>
        <v>230000000</v>
      </c>
      <c r="G518" s="13">
        <f ca="1">IFERROR(__xludf.DUMMYFUNCTION("IF(E518=""USD"",C518,C518 * GOOGLEFINANCE(""CURRENCY:"" &amp; E518 &amp; ""USD""))
"),262030663)</f>
        <v>262030663</v>
      </c>
    </row>
    <row r="519" spans="1:7" ht="15.75" customHeight="1" x14ac:dyDescent="0.25">
      <c r="A519" s="14" t="s">
        <v>2083</v>
      </c>
      <c r="B519" s="15">
        <v>15000000</v>
      </c>
      <c r="C519" s="15">
        <v>1357042</v>
      </c>
      <c r="D519" s="15">
        <v>2011</v>
      </c>
      <c r="E519" s="15" t="str">
        <f>VLOOKUP(A519, Currency!$A$2:$B$100, 2, FALSE)</f>
        <v>EUR</v>
      </c>
      <c r="F519" s="15">
        <f ca="1">IFERROR(__xludf.DUMMYFUNCTION("IF(E519=""USD"",B519,B519 * GOOGLEFINANCE(""CURRENCY:"" &amp; E519 &amp; ""USD""))
"),16271100)</f>
        <v>16271100</v>
      </c>
      <c r="G519" s="16">
        <f ca="1">IFERROR(__xludf.DUMMYFUNCTION("IF(E519=""USD"",C519,C519 * GOOGLEFINANCE(""CURRENCY:"" &amp; E519 &amp; ""USD""))
"),1472037.73908)</f>
        <v>1472037.73908</v>
      </c>
    </row>
    <row r="520" spans="1:7" ht="15.75" customHeight="1" x14ac:dyDescent="0.25">
      <c r="A520" s="11" t="s">
        <v>133</v>
      </c>
      <c r="B520" s="12">
        <v>15000000</v>
      </c>
      <c r="C520" s="12">
        <v>8378141</v>
      </c>
      <c r="D520" s="12">
        <v>2002</v>
      </c>
      <c r="E520" s="12" t="str">
        <f>VLOOKUP(A520, Currency!$A$2:$B$100, 2, FALSE)</f>
        <v>GBP</v>
      </c>
      <c r="F520" s="12">
        <f ca="1">IFERROR(__xludf.DUMMYFUNCTION("IF(E520=""USD"",B520,B520 * GOOGLEFINANCE(""CURRENCY:"" &amp; E520 &amp; ""USD""))
"),19281000)</f>
        <v>19281000</v>
      </c>
      <c r="G520" s="13">
        <f ca="1">IFERROR(__xludf.DUMMYFUNCTION("IF(E520=""USD"",C520,C520 * GOOGLEFINANCE(""CURRENCY:"" &amp; E520 &amp; ""USD""))
"),10769262.4413999)</f>
        <v>10769262.4413999</v>
      </c>
    </row>
    <row r="521" spans="1:7" ht="15.75" customHeight="1" x14ac:dyDescent="0.25">
      <c r="A521" s="14" t="s">
        <v>24</v>
      </c>
      <c r="B521" s="15">
        <v>45000000</v>
      </c>
      <c r="C521" s="15">
        <v>88625922</v>
      </c>
      <c r="D521" s="15">
        <v>2011</v>
      </c>
      <c r="E521" s="15" t="str">
        <f>VLOOKUP(A521, Currency!$A$2:$B$100, 2, FALSE)</f>
        <v>USD</v>
      </c>
      <c r="F521" s="15">
        <f ca="1">IFERROR(__xludf.DUMMYFUNCTION("IF(E521=""USD"",B521,B521 * GOOGLEFINANCE(""CURRENCY:"" &amp; E521 &amp; ""USD""))
"),45000000)</f>
        <v>45000000</v>
      </c>
      <c r="G521" s="16">
        <f ca="1">IFERROR(__xludf.DUMMYFUNCTION("IF(E521=""USD"",C521,C521 * GOOGLEFINANCE(""CURRENCY:"" &amp; E521 &amp; ""USD""))
"),88625922)</f>
        <v>88625922</v>
      </c>
    </row>
    <row r="522" spans="1:7" ht="15.75" customHeight="1" x14ac:dyDescent="0.25">
      <c r="A522" s="11" t="s">
        <v>24</v>
      </c>
      <c r="B522" s="12">
        <v>16500000</v>
      </c>
      <c r="C522" s="12">
        <v>59847242</v>
      </c>
      <c r="D522" s="12">
        <v>1991</v>
      </c>
      <c r="E522" s="12" t="str">
        <f>VLOOKUP(A522, Currency!$A$2:$B$100, 2, FALSE)</f>
        <v>USD</v>
      </c>
      <c r="F522" s="12">
        <f ca="1">IFERROR(__xludf.DUMMYFUNCTION("IF(E522=""USD"",B522,B522 * GOOGLEFINANCE(""CURRENCY:"" &amp; E522 &amp; ""USD""))
"),16500000)</f>
        <v>16500000</v>
      </c>
      <c r="G522" s="13">
        <f ca="1">IFERROR(__xludf.DUMMYFUNCTION("IF(E522=""USD"",C522,C522 * GOOGLEFINANCE(""CURRENCY:"" &amp; E522 &amp; ""USD""))
"),59847242)</f>
        <v>59847242</v>
      </c>
    </row>
    <row r="523" spans="1:7" ht="15.75" customHeight="1" x14ac:dyDescent="0.25">
      <c r="A523" s="14" t="s">
        <v>24</v>
      </c>
      <c r="B523" s="15">
        <v>75000000</v>
      </c>
      <c r="C523" s="15">
        <v>134006721</v>
      </c>
      <c r="D523" s="15">
        <v>1996</v>
      </c>
      <c r="E523" s="15" t="str">
        <f>VLOOKUP(A523, Currency!$A$2:$B$100, 2, FALSE)</f>
        <v>USD</v>
      </c>
      <c r="F523" s="15">
        <f ca="1">IFERROR(__xludf.DUMMYFUNCTION("IF(E523=""USD"",B523,B523 * GOOGLEFINANCE(""CURRENCY:"" &amp; E523 &amp; ""USD""))
"),75000000)</f>
        <v>75000000</v>
      </c>
      <c r="G523" s="16">
        <f ca="1">IFERROR(__xludf.DUMMYFUNCTION("IF(E523=""USD"",C523,C523 * GOOGLEFINANCE(""CURRENCY:"" &amp; E523 &amp; ""USD""))
"),134006721)</f>
        <v>134006721</v>
      </c>
    </row>
    <row r="524" spans="1:7" ht="15.75" customHeight="1" x14ac:dyDescent="0.25">
      <c r="A524" s="11" t="s">
        <v>24</v>
      </c>
      <c r="B524" s="12">
        <v>1000000</v>
      </c>
      <c r="C524" s="12">
        <v>464655</v>
      </c>
      <c r="D524" s="12">
        <v>1997</v>
      </c>
      <c r="E524" s="12" t="str">
        <f>VLOOKUP(A524, Currency!$A$2:$B$100, 2, FALSE)</f>
        <v>USD</v>
      </c>
      <c r="F524" s="12">
        <f ca="1">IFERROR(__xludf.DUMMYFUNCTION("IF(E524=""USD"",B524,B524 * GOOGLEFINANCE(""CURRENCY:"" &amp; E524 &amp; ""USD""))
"),1000000)</f>
        <v>1000000</v>
      </c>
      <c r="G524" s="13">
        <f ca="1">IFERROR(__xludf.DUMMYFUNCTION("IF(E524=""USD"",C524,C524 * GOOGLEFINANCE(""CURRENCY:"" &amp; E524 &amp; ""USD""))
"),464655)</f>
        <v>464655</v>
      </c>
    </row>
    <row r="525" spans="1:7" ht="15.75" customHeight="1" x14ac:dyDescent="0.25">
      <c r="A525" s="14" t="s">
        <v>24</v>
      </c>
      <c r="B525" s="15">
        <v>25000000</v>
      </c>
      <c r="C525" s="15">
        <v>39008741</v>
      </c>
      <c r="D525" s="15">
        <v>2005</v>
      </c>
      <c r="E525" s="15" t="str">
        <f>VLOOKUP(A525, Currency!$A$2:$B$100, 2, FALSE)</f>
        <v>USD</v>
      </c>
      <c r="F525" s="15">
        <f ca="1">IFERROR(__xludf.DUMMYFUNCTION("IF(E525=""USD"",B525,B525 * GOOGLEFINANCE(""CURRENCY:"" &amp; E525 &amp; ""USD""))
"),25000000)</f>
        <v>25000000</v>
      </c>
      <c r="G525" s="16">
        <f ca="1">IFERROR(__xludf.DUMMYFUNCTION("IF(E525=""USD"",C525,C525 * GOOGLEFINANCE(""CURRENCY:"" &amp; E525 &amp; ""USD""))
"),39008741)</f>
        <v>39008741</v>
      </c>
    </row>
    <row r="526" spans="1:7" ht="15.75" customHeight="1" x14ac:dyDescent="0.25">
      <c r="A526" s="11" t="s">
        <v>24</v>
      </c>
      <c r="B526" s="12">
        <v>90000000</v>
      </c>
      <c r="C526" s="12">
        <v>64685359</v>
      </c>
      <c r="D526" s="12">
        <v>2016</v>
      </c>
      <c r="E526" s="12" t="str">
        <f>VLOOKUP(A526, Currency!$A$2:$B$100, 2, FALSE)</f>
        <v>USD</v>
      </c>
      <c r="F526" s="12">
        <f ca="1">IFERROR(__xludf.DUMMYFUNCTION("IF(E526=""USD"",B526,B526 * GOOGLEFINANCE(""CURRENCY:"" &amp; E526 &amp; ""USD""))
"),90000000)</f>
        <v>90000000</v>
      </c>
      <c r="G526" s="13">
        <f ca="1">IFERROR(__xludf.DUMMYFUNCTION("IF(E526=""USD"",C526,C526 * GOOGLEFINANCE(""CURRENCY:"" &amp; E526 &amp; ""USD""))
"),64685359)</f>
        <v>64685359</v>
      </c>
    </row>
    <row r="527" spans="1:7" ht="15.75" customHeight="1" x14ac:dyDescent="0.25">
      <c r="A527" s="14" t="s">
        <v>24</v>
      </c>
      <c r="B527" s="15">
        <v>80000000</v>
      </c>
      <c r="C527" s="15">
        <v>133668525</v>
      </c>
      <c r="D527" s="15">
        <v>2013</v>
      </c>
      <c r="E527" s="15" t="str">
        <f>VLOOKUP(A527, Currency!$A$2:$B$100, 2, FALSE)</f>
        <v>USD</v>
      </c>
      <c r="F527" s="15">
        <f ca="1">IFERROR(__xludf.DUMMYFUNCTION("IF(E527=""USD"",B527,B527 * GOOGLEFINANCE(""CURRENCY:"" &amp; E527 &amp; ""USD""))
"),80000000)</f>
        <v>80000000</v>
      </c>
      <c r="G527" s="16">
        <f ca="1">IFERROR(__xludf.DUMMYFUNCTION("IF(E527=""USD"",C527,C527 * GOOGLEFINANCE(""CURRENCY:"" &amp; E527 &amp; ""USD""))
"),133668525)</f>
        <v>133668525</v>
      </c>
    </row>
    <row r="528" spans="1:7" ht="15.75" customHeight="1" x14ac:dyDescent="0.25">
      <c r="A528" s="11" t="s">
        <v>24</v>
      </c>
      <c r="B528" s="12">
        <v>150000000</v>
      </c>
      <c r="C528" s="12">
        <v>257704099</v>
      </c>
      <c r="D528" s="12">
        <v>2009</v>
      </c>
      <c r="E528" s="12" t="str">
        <f>VLOOKUP(A528, Currency!$A$2:$B$100, 2, FALSE)</f>
        <v>USD</v>
      </c>
      <c r="F528" s="12">
        <f ca="1">IFERROR(__xludf.DUMMYFUNCTION("IF(E528=""USD"",B528,B528 * GOOGLEFINANCE(""CURRENCY:"" &amp; E528 &amp; ""USD""))
"),150000000)</f>
        <v>150000000</v>
      </c>
      <c r="G528" s="13">
        <f ca="1">IFERROR(__xludf.DUMMYFUNCTION("IF(E528=""USD"",C528,C528 * GOOGLEFINANCE(""CURRENCY:"" &amp; E528 &amp; ""USD""))
"),257704099)</f>
        <v>257704099</v>
      </c>
    </row>
    <row r="529" spans="1:7" ht="15.75" customHeight="1" x14ac:dyDescent="0.25">
      <c r="A529" s="14" t="s">
        <v>24</v>
      </c>
      <c r="B529" s="15">
        <v>2500000</v>
      </c>
      <c r="C529" s="15">
        <v>322157</v>
      </c>
      <c r="D529" s="15">
        <v>2010</v>
      </c>
      <c r="E529" s="15" t="str">
        <f>VLOOKUP(A529, Currency!$A$2:$B$100, 2, FALSE)</f>
        <v>USD</v>
      </c>
      <c r="F529" s="15">
        <f ca="1">IFERROR(__xludf.DUMMYFUNCTION("IF(E529=""USD"",B529,B529 * GOOGLEFINANCE(""CURRENCY:"" &amp; E529 &amp; ""USD""))
"),2500000)</f>
        <v>2500000</v>
      </c>
      <c r="G529" s="16">
        <f ca="1">IFERROR(__xludf.DUMMYFUNCTION("IF(E529=""USD"",C529,C529 * GOOGLEFINANCE(""CURRENCY:"" &amp; E529 &amp; ""USD""))
"),322157)</f>
        <v>322157</v>
      </c>
    </row>
    <row r="530" spans="1:7" ht="15.75" customHeight="1" x14ac:dyDescent="0.25">
      <c r="A530" s="11" t="s">
        <v>24</v>
      </c>
      <c r="B530" s="12">
        <v>24000000</v>
      </c>
      <c r="C530" s="12">
        <v>10431220</v>
      </c>
      <c r="D530" s="12">
        <v>1999</v>
      </c>
      <c r="E530" s="12" t="str">
        <f>VLOOKUP(A530, Currency!$A$2:$B$100, 2, FALSE)</f>
        <v>USD</v>
      </c>
      <c r="F530" s="12">
        <f ca="1">IFERROR(__xludf.DUMMYFUNCTION("IF(E530=""USD"",B530,B530 * GOOGLEFINANCE(""CURRENCY:"" &amp; E530 &amp; ""USD""))
"),24000000)</f>
        <v>24000000</v>
      </c>
      <c r="G530" s="13">
        <f ca="1">IFERROR(__xludf.DUMMYFUNCTION("IF(E530=""USD"",C530,C530 * GOOGLEFINANCE(""CURRENCY:"" &amp; E530 &amp; ""USD""))
"),10431220)</f>
        <v>10431220</v>
      </c>
    </row>
    <row r="531" spans="1:7" ht="15.75" customHeight="1" x14ac:dyDescent="0.25">
      <c r="A531" s="14" t="s">
        <v>24</v>
      </c>
      <c r="B531" s="15">
        <v>200000000</v>
      </c>
      <c r="C531" s="15">
        <v>166112167</v>
      </c>
      <c r="D531" s="15">
        <v>2009</v>
      </c>
      <c r="E531" s="15" t="str">
        <f>VLOOKUP(A531, Currency!$A$2:$B$100, 2, FALSE)</f>
        <v>USD</v>
      </c>
      <c r="F531" s="15">
        <f ca="1">IFERROR(__xludf.DUMMYFUNCTION("IF(E531=""USD"",B531,B531 * GOOGLEFINANCE(""CURRENCY:"" &amp; E531 &amp; ""USD""))
"),200000000)</f>
        <v>200000000</v>
      </c>
      <c r="G531" s="16">
        <f ca="1">IFERROR(__xludf.DUMMYFUNCTION("IF(E531=""USD"",C531,C531 * GOOGLEFINANCE(""CURRENCY:"" &amp; E531 &amp; ""USD""))
"),166112167)</f>
        <v>166112167</v>
      </c>
    </row>
    <row r="532" spans="1:7" ht="15.75" customHeight="1" x14ac:dyDescent="0.25">
      <c r="A532" s="11" t="s">
        <v>24</v>
      </c>
      <c r="B532" s="12">
        <v>60000000</v>
      </c>
      <c r="C532" s="12">
        <v>125603360</v>
      </c>
      <c r="D532" s="12">
        <v>1998</v>
      </c>
      <c r="E532" s="12" t="str">
        <f>VLOOKUP(A532, Currency!$A$2:$B$100, 2, FALSE)</f>
        <v>USD</v>
      </c>
      <c r="F532" s="12">
        <f ca="1">IFERROR(__xludf.DUMMYFUNCTION("IF(E532=""USD"",B532,B532 * GOOGLEFINANCE(""CURRENCY:"" &amp; E532 &amp; ""USD""))
"),60000000)</f>
        <v>60000000</v>
      </c>
      <c r="G532" s="13">
        <f ca="1">IFERROR(__xludf.DUMMYFUNCTION("IF(E532=""USD"",C532,C532 * GOOGLEFINANCE(""CURRENCY:"" &amp; E532 &amp; ""USD""))
"),125603360)</f>
        <v>125603360</v>
      </c>
    </row>
    <row r="533" spans="1:7" ht="15.75" customHeight="1" x14ac:dyDescent="0.25">
      <c r="A533" s="14" t="s">
        <v>41</v>
      </c>
      <c r="B533" s="15">
        <v>12000000</v>
      </c>
      <c r="C533" s="15">
        <v>14348123</v>
      </c>
      <c r="D533" s="15">
        <v>1999</v>
      </c>
      <c r="E533" s="15" t="str">
        <f>VLOOKUP(A533, Currency!$A$2:$B$100, 2, FALSE)</f>
        <v>EUR</v>
      </c>
      <c r="F533" s="15">
        <f ca="1">IFERROR(__xludf.DUMMYFUNCTION("IF(E533=""USD"",B533,B533 * GOOGLEFINANCE(""CURRENCY:"" &amp; E533 &amp; ""USD""))
"),13016880)</f>
        <v>13016880</v>
      </c>
      <c r="G533" s="16">
        <f ca="1">IFERROR(__xludf.DUMMYFUNCTION("IF(E533=""USD"",C533,C533 * GOOGLEFINANCE(""CURRENCY:"" &amp; E533 &amp; ""USD""))
"),15563982.94302)</f>
        <v>15563982.943019999</v>
      </c>
    </row>
    <row r="534" spans="1:7" ht="15.75" customHeight="1" x14ac:dyDescent="0.25">
      <c r="A534" s="11" t="s">
        <v>24</v>
      </c>
      <c r="B534" s="12">
        <v>65000000</v>
      </c>
      <c r="C534" s="12">
        <v>100468793</v>
      </c>
      <c r="D534" s="12">
        <v>2008</v>
      </c>
      <c r="E534" s="12" t="str">
        <f>VLOOKUP(A534, Currency!$A$2:$B$100, 2, FALSE)</f>
        <v>USD</v>
      </c>
      <c r="F534" s="12">
        <f ca="1">IFERROR(__xludf.DUMMYFUNCTION("IF(E534=""USD"",B534,B534 * GOOGLEFINANCE(""CURRENCY:"" &amp; E534 &amp; ""USD""))
"),65000000)</f>
        <v>65000000</v>
      </c>
      <c r="G534" s="13">
        <f ca="1">IFERROR(__xludf.DUMMYFUNCTION("IF(E534=""USD"",C534,C534 * GOOGLEFINANCE(""CURRENCY:"" &amp; E534 &amp; ""USD""))
"),100468793)</f>
        <v>100468793</v>
      </c>
    </row>
    <row r="535" spans="1:7" ht="15.75" customHeight="1" x14ac:dyDescent="0.25">
      <c r="A535" s="14" t="s">
        <v>611</v>
      </c>
      <c r="B535" s="15">
        <v>70000000</v>
      </c>
      <c r="C535" s="15">
        <v>22531698</v>
      </c>
      <c r="D535" s="15">
        <v>2008</v>
      </c>
      <c r="E535" s="15" t="str">
        <f>VLOOKUP(A535, Currency!$A$2:$B$100, 2, FALSE)</f>
        <v>EUR</v>
      </c>
      <c r="F535" s="15">
        <f ca="1">IFERROR(__xludf.DUMMYFUNCTION("IF(E535=""USD"",B535,B535 * GOOGLEFINANCE(""CURRENCY:"" &amp; E535 &amp; ""USD""))
"),75931800)</f>
        <v>75931800</v>
      </c>
      <c r="G535" s="16">
        <f ca="1">IFERROR(__xludf.DUMMYFUNCTION("IF(E535=""USD"",C535,C535 * GOOGLEFINANCE(""CURRENCY:"" &amp; E535 &amp; ""USD""))
"),24441034.08852)</f>
        <v>24441034.088520002</v>
      </c>
    </row>
    <row r="536" spans="1:7" ht="15.75" customHeight="1" x14ac:dyDescent="0.25">
      <c r="A536" s="11" t="s">
        <v>24</v>
      </c>
      <c r="B536" s="12">
        <v>48000000</v>
      </c>
      <c r="C536" s="12">
        <v>197171806</v>
      </c>
      <c r="D536" s="12">
        <v>1989</v>
      </c>
      <c r="E536" s="12" t="str">
        <f>VLOOKUP(A536, Currency!$A$2:$B$100, 2, FALSE)</f>
        <v>USD</v>
      </c>
      <c r="F536" s="12">
        <f ca="1">IFERROR(__xludf.DUMMYFUNCTION("IF(E536=""USD"",B536,B536 * GOOGLEFINANCE(""CURRENCY:"" &amp; E536 &amp; ""USD""))
"),48000000)</f>
        <v>48000000</v>
      </c>
      <c r="G536" s="13">
        <f ca="1">IFERROR(__xludf.DUMMYFUNCTION("IF(E536=""USD"",C536,C536 * GOOGLEFINANCE(""CURRENCY:"" &amp; E536 &amp; ""USD""))
"),197171806)</f>
        <v>197171806</v>
      </c>
    </row>
    <row r="537" spans="1:7" ht="15.75" customHeight="1" x14ac:dyDescent="0.25">
      <c r="A537" s="14" t="s">
        <v>24</v>
      </c>
      <c r="B537" s="15">
        <v>20000000</v>
      </c>
      <c r="C537" s="15">
        <v>2246000</v>
      </c>
      <c r="D537" s="15">
        <v>2015</v>
      </c>
      <c r="E537" s="15" t="str">
        <f>VLOOKUP(A537, Currency!$A$2:$B$100, 2, FALSE)</f>
        <v>USD</v>
      </c>
      <c r="F537" s="15">
        <f ca="1">IFERROR(__xludf.DUMMYFUNCTION("IF(E537=""USD"",B537,B537 * GOOGLEFINANCE(""CURRENCY:"" &amp; E537 &amp; ""USD""))
"),20000000)</f>
        <v>20000000</v>
      </c>
      <c r="G537" s="16">
        <f ca="1">IFERROR(__xludf.DUMMYFUNCTION("IF(E537=""USD"",C537,C537 * GOOGLEFINANCE(""CURRENCY:"" &amp; E537 &amp; ""USD""))
"),2246000)</f>
        <v>2246000</v>
      </c>
    </row>
    <row r="538" spans="1:7" ht="15.75" customHeight="1" x14ac:dyDescent="0.25">
      <c r="A538" s="11" t="s">
        <v>24</v>
      </c>
      <c r="B538" s="12">
        <v>35000000</v>
      </c>
      <c r="C538" s="12">
        <v>45802315</v>
      </c>
      <c r="D538" s="12">
        <v>2009</v>
      </c>
      <c r="E538" s="12" t="str">
        <f>VLOOKUP(A538, Currency!$A$2:$B$100, 2, FALSE)</f>
        <v>USD</v>
      </c>
      <c r="F538" s="12">
        <f ca="1">IFERROR(__xludf.DUMMYFUNCTION("IF(E538=""USD"",B538,B538 * GOOGLEFINANCE(""CURRENCY:"" &amp; E538 &amp; ""USD""))
"),35000000)</f>
        <v>35000000</v>
      </c>
      <c r="G538" s="13">
        <f ca="1">IFERROR(__xludf.DUMMYFUNCTION("IF(E538=""USD"",C538,C538 * GOOGLEFINANCE(""CURRENCY:"" &amp; E538 &amp; ""USD""))
"),45802315)</f>
        <v>45802315</v>
      </c>
    </row>
    <row r="539" spans="1:7" ht="15.75" customHeight="1" x14ac:dyDescent="0.25">
      <c r="A539" s="14" t="s">
        <v>611</v>
      </c>
      <c r="B539" s="15">
        <v>65000000</v>
      </c>
      <c r="C539" s="15">
        <v>10014234</v>
      </c>
      <c r="D539" s="15">
        <v>2000</v>
      </c>
      <c r="E539" s="15" t="str">
        <f>VLOOKUP(A539, Currency!$A$2:$B$100, 2, FALSE)</f>
        <v>EUR</v>
      </c>
      <c r="F539" s="15">
        <f ca="1">IFERROR(__xludf.DUMMYFUNCTION("IF(E539=""USD"",B539,B539 * GOOGLEFINANCE(""CURRENCY:"" &amp; E539 &amp; ""USD""))
"),70508100)</f>
        <v>70508100</v>
      </c>
      <c r="G539" s="16">
        <f ca="1">IFERROR(__xludf.DUMMYFUNCTION("IF(E539=""USD"",C539,C539 * GOOGLEFINANCE(""CURRENCY:"" &amp; E539 &amp; ""USD""))
"),10862840.18916)</f>
        <v>10862840.189160001</v>
      </c>
    </row>
    <row r="540" spans="1:7" ht="15.75" customHeight="1" x14ac:dyDescent="0.25">
      <c r="A540" s="11" t="s">
        <v>133</v>
      </c>
      <c r="B540" s="12">
        <v>30000000</v>
      </c>
      <c r="C540" s="12">
        <v>10955425</v>
      </c>
      <c r="D540" s="12">
        <v>2008</v>
      </c>
      <c r="E540" s="12" t="str">
        <f>VLOOKUP(A540, Currency!$A$2:$B$100, 2, FALSE)</f>
        <v>GBP</v>
      </c>
      <c r="F540" s="12">
        <f ca="1">IFERROR(__xludf.DUMMYFUNCTION("IF(E540=""USD"",B540,B540 * GOOGLEFINANCE(""CURRENCY:"" &amp; E540 &amp; ""USD""))
"),38562000)</f>
        <v>38562000</v>
      </c>
      <c r="G540" s="13">
        <f ca="1">IFERROR(__xludf.DUMMYFUNCTION("IF(E540=""USD"",C540,C540 * GOOGLEFINANCE(""CURRENCY:"" &amp; E540 &amp; ""USD""))
"),14082103.2949999)</f>
        <v>14082103.294999899</v>
      </c>
    </row>
    <row r="541" spans="1:7" ht="15.75" customHeight="1" x14ac:dyDescent="0.25">
      <c r="A541" s="14" t="s">
        <v>24</v>
      </c>
      <c r="B541" s="15">
        <v>250000000</v>
      </c>
      <c r="C541" s="15">
        <v>448130642</v>
      </c>
      <c r="D541" s="15">
        <v>2012</v>
      </c>
      <c r="E541" s="15" t="str">
        <f>VLOOKUP(A541, Currency!$A$2:$B$100, 2, FALSE)</f>
        <v>USD</v>
      </c>
      <c r="F541" s="15">
        <f ca="1">IFERROR(__xludf.DUMMYFUNCTION("IF(E541=""USD"",B541,B541 * GOOGLEFINANCE(""CURRENCY:"" &amp; E541 &amp; ""USD""))
"),250000000)</f>
        <v>250000000</v>
      </c>
      <c r="G541" s="16">
        <f ca="1">IFERROR(__xludf.DUMMYFUNCTION("IF(E541=""USD"",C541,C541 * GOOGLEFINANCE(""CURRENCY:"" &amp; E541 &amp; ""USD""))
"),448130642)</f>
        <v>448130642</v>
      </c>
    </row>
    <row r="542" spans="1:7" ht="15.75" customHeight="1" x14ac:dyDescent="0.25">
      <c r="A542" s="11" t="s">
        <v>24</v>
      </c>
      <c r="B542" s="12">
        <v>25000000</v>
      </c>
      <c r="C542" s="12">
        <v>10114315</v>
      </c>
      <c r="D542" s="12">
        <v>1999</v>
      </c>
      <c r="E542" s="12" t="str">
        <f>VLOOKUP(A542, Currency!$A$2:$B$100, 2, FALSE)</f>
        <v>USD</v>
      </c>
      <c r="F542" s="12">
        <f ca="1">IFERROR(__xludf.DUMMYFUNCTION("IF(E542=""USD"",B542,B542 * GOOGLEFINANCE(""CURRENCY:"" &amp; E542 &amp; ""USD""))
"),25000000)</f>
        <v>25000000</v>
      </c>
      <c r="G542" s="13">
        <f ca="1">IFERROR(__xludf.DUMMYFUNCTION("IF(E542=""USD"",C542,C542 * GOOGLEFINANCE(""CURRENCY:"" &amp; E542 &amp; ""USD""))
"),10114315)</f>
        <v>10114315</v>
      </c>
    </row>
    <row r="543" spans="1:7" ht="15.75" customHeight="1" x14ac:dyDescent="0.25">
      <c r="A543" s="14" t="s">
        <v>611</v>
      </c>
      <c r="B543" s="15">
        <v>93000000</v>
      </c>
      <c r="C543" s="15">
        <v>63540020</v>
      </c>
      <c r="D543" s="15">
        <v>1997</v>
      </c>
      <c r="E543" s="15" t="str">
        <f>VLOOKUP(A543, Currency!$A$2:$B$100, 2, FALSE)</f>
        <v>EUR</v>
      </c>
      <c r="F543" s="15">
        <f ca="1">IFERROR(__xludf.DUMMYFUNCTION("IF(E543=""USD"",B543,B543 * GOOGLEFINANCE(""CURRENCY:"" &amp; E543 &amp; ""USD""))
"),100880820)</f>
        <v>100880820</v>
      </c>
      <c r="G543" s="16">
        <f ca="1">IFERROR(__xludf.DUMMYFUNCTION("IF(E543=""USD"",C543,C543 * GOOGLEFINANCE(""CURRENCY:"" &amp; E543 &amp; ""USD""))
"),68924401.2948)</f>
        <v>68924401.294799998</v>
      </c>
    </row>
    <row r="544" spans="1:7" ht="15.75" customHeight="1" x14ac:dyDescent="0.25">
      <c r="A544" s="11" t="s">
        <v>24</v>
      </c>
      <c r="B544" s="12">
        <v>90000000</v>
      </c>
      <c r="C544" s="12">
        <v>132373442</v>
      </c>
      <c r="D544" s="12">
        <v>2006</v>
      </c>
      <c r="E544" s="12" t="str">
        <f>VLOOKUP(A544, Currency!$A$2:$B$100, 2, FALSE)</f>
        <v>USD</v>
      </c>
      <c r="F544" s="12">
        <f ca="1">IFERROR(__xludf.DUMMYFUNCTION("IF(E544=""USD"",B544,B544 * GOOGLEFINANCE(""CURRENCY:"" &amp; E544 &amp; ""USD""))
"),90000000)</f>
        <v>90000000</v>
      </c>
      <c r="G544" s="13">
        <f ca="1">IFERROR(__xludf.DUMMYFUNCTION("IF(E544=""USD"",C544,C544 * GOOGLEFINANCE(""CURRENCY:"" &amp; E544 &amp; ""USD""))
"),132373442)</f>
        <v>132373442</v>
      </c>
    </row>
    <row r="545" spans="1:7" ht="15.75" customHeight="1" x14ac:dyDescent="0.25">
      <c r="A545" s="14" t="s">
        <v>1220</v>
      </c>
      <c r="B545" s="15">
        <v>2000000</v>
      </c>
      <c r="C545" s="15">
        <v>5383834</v>
      </c>
      <c r="D545" s="15">
        <v>2000</v>
      </c>
      <c r="E545" s="15" t="str">
        <f>VLOOKUP(A545, Currency!$A$2:$B$100, 2, FALSE)</f>
        <v>MXN</v>
      </c>
      <c r="F545" s="15">
        <f ca="1">IFERROR(__xludf.DUMMYFUNCTION("IF(E545=""USD"",B545,B545 * GOOGLEFINANCE(""CURRENCY:"" &amp; E545 &amp; ""USD""))
"),108409.38)</f>
        <v>108409.38</v>
      </c>
      <c r="G545" s="16">
        <f ca="1">IFERROR(__xludf.DUMMYFUNCTION("IF(E545=""USD"",C545,C545 * GOOGLEFINANCE(""CURRENCY:"" &amp; E545 &amp; ""USD""))
"),291829.05298146)</f>
        <v>291829.05298146</v>
      </c>
    </row>
    <row r="546" spans="1:7" ht="15.75" customHeight="1" x14ac:dyDescent="0.25">
      <c r="A546" s="11" t="s">
        <v>24</v>
      </c>
      <c r="B546" s="12">
        <v>28000000</v>
      </c>
      <c r="C546" s="12">
        <v>161029270</v>
      </c>
      <c r="D546" s="12">
        <v>2015</v>
      </c>
      <c r="E546" s="12" t="str">
        <f>VLOOKUP(A546, Currency!$A$2:$B$100, 2, FALSE)</f>
        <v>USD</v>
      </c>
      <c r="F546" s="12">
        <f ca="1">IFERROR(__xludf.DUMMYFUNCTION("IF(E546=""USD"",B546,B546 * GOOGLEFINANCE(""CURRENCY:"" &amp; E546 &amp; ""USD""))
"),28000000)</f>
        <v>28000000</v>
      </c>
      <c r="G546" s="13">
        <f ca="1">IFERROR(__xludf.DUMMYFUNCTION("IF(E546=""USD"",C546,C546 * GOOGLEFINANCE(""CURRENCY:"" &amp; E546 &amp; ""USD""))
"),161029270)</f>
        <v>161029270</v>
      </c>
    </row>
    <row r="547" spans="1:7" ht="15.75" customHeight="1" x14ac:dyDescent="0.25">
      <c r="A547" s="14" t="s">
        <v>160</v>
      </c>
      <c r="B547" s="15">
        <v>65000000</v>
      </c>
      <c r="C547" s="15">
        <v>19548064</v>
      </c>
      <c r="D547" s="15">
        <v>2009</v>
      </c>
      <c r="E547" s="15" t="str">
        <f>VLOOKUP(A547, Currency!$A$2:$B$100, 2, FALSE)</f>
        <v>HKD</v>
      </c>
      <c r="F547" s="15">
        <f ca="1">IFERROR(__xludf.DUMMYFUNCTION("IF(E547=""USD"",B547,B547 * GOOGLEFINANCE(""CURRENCY:"" &amp; E547 &amp; ""USD""))
"),8326129.5)</f>
        <v>8326129.5</v>
      </c>
      <c r="G547" s="16">
        <f ca="1">IFERROR(__xludf.DUMMYFUNCTION("IF(E547=""USD"",C547,C547 * GOOGLEFINANCE(""CURRENCY:"" &amp; E547 &amp; ""USD""))
"),2503995.5744352)</f>
        <v>2503995.5744352001</v>
      </c>
    </row>
    <row r="548" spans="1:7" ht="15.75" customHeight="1" x14ac:dyDescent="0.25">
      <c r="A548" s="11" t="s">
        <v>1005</v>
      </c>
      <c r="B548" s="12">
        <v>93000000</v>
      </c>
      <c r="C548" s="12">
        <v>313837577</v>
      </c>
      <c r="D548" s="12">
        <v>2001</v>
      </c>
      <c r="E548" s="12" t="str">
        <f>VLOOKUP(A548, Currency!$A$2:$B$100, 2, FALSE)</f>
        <v>NZD</v>
      </c>
      <c r="F548" s="12">
        <f ca="1">IFERROR(__xludf.DUMMYFUNCTION("IF(E548=""USD"",B548,B548 * GOOGLEFINANCE(""CURRENCY:"" &amp; E548 &amp; ""USD""))
"),54753285)</f>
        <v>54753285</v>
      </c>
      <c r="G548" s="13">
        <f ca="1">IFERROR(__xludf.DUMMYFUNCTION("IF(E548=""USD"",C548,C548 * GOOGLEFINANCE(""CURRENCY:"" &amp; E548 &amp; ""USD""))
"),184770304.270865)</f>
        <v>184770304.27086499</v>
      </c>
    </row>
    <row r="549" spans="1:7" ht="15.75" customHeight="1" x14ac:dyDescent="0.25">
      <c r="A549" s="14" t="s">
        <v>149</v>
      </c>
      <c r="B549" s="15">
        <v>11400000</v>
      </c>
      <c r="C549" s="15">
        <v>13751</v>
      </c>
      <c r="D549" s="15">
        <v>2006</v>
      </c>
      <c r="E549" s="15" t="str">
        <f>VLOOKUP(A549, Currency!$A$2:$B$100, 2, FALSE)</f>
        <v>AUD</v>
      </c>
      <c r="F549" s="15">
        <f ca="1">IFERROR(__xludf.DUMMYFUNCTION("IF(E549=""USD"",B549,B549 * GOOGLEFINANCE(""CURRENCY:"" &amp; E549 &amp; ""USD""))
"),7454232)</f>
        <v>7454232</v>
      </c>
      <c r="G549" s="16">
        <f ca="1">IFERROR(__xludf.DUMMYFUNCTION("IF(E549=""USD"",C549,C549 * GOOGLEFINANCE(""CURRENCY:"" &amp; E549 &amp; ""USD""))
"),8991.50388)</f>
        <v>8991.5038800000002</v>
      </c>
    </row>
    <row r="550" spans="1:7" ht="15.75" customHeight="1" x14ac:dyDescent="0.25">
      <c r="A550" s="11" t="s">
        <v>24</v>
      </c>
      <c r="B550" s="12">
        <v>18000000</v>
      </c>
      <c r="C550" s="12">
        <v>59573085</v>
      </c>
      <c r="D550" s="12">
        <v>2016</v>
      </c>
      <c r="E550" s="12" t="str">
        <f>VLOOKUP(A550, Currency!$A$2:$B$100, 2, FALSE)</f>
        <v>USD</v>
      </c>
      <c r="F550" s="12">
        <f ca="1">IFERROR(__xludf.DUMMYFUNCTION("IF(E550=""USD"",B550,B550 * GOOGLEFINANCE(""CURRENCY:"" &amp; E550 &amp; ""USD""))
"),18000000)</f>
        <v>18000000</v>
      </c>
      <c r="G550" s="13">
        <f ca="1">IFERROR(__xludf.DUMMYFUNCTION("IF(E550=""USD"",C550,C550 * GOOGLEFINANCE(""CURRENCY:"" &amp; E550 &amp; ""USD""))
"),59573085)</f>
        <v>59573085</v>
      </c>
    </row>
    <row r="551" spans="1:7" ht="15.75" customHeight="1" x14ac:dyDescent="0.25">
      <c r="A551" s="14" t="s">
        <v>24</v>
      </c>
      <c r="B551" s="15">
        <v>16000000</v>
      </c>
      <c r="C551" s="15">
        <v>15045676</v>
      </c>
      <c r="D551" s="15">
        <v>2009</v>
      </c>
      <c r="E551" s="15" t="str">
        <f>VLOOKUP(A551, Currency!$A$2:$B$100, 2, FALSE)</f>
        <v>USD</v>
      </c>
      <c r="F551" s="15">
        <f ca="1">IFERROR(__xludf.DUMMYFUNCTION("IF(E551=""USD"",B551,B551 * GOOGLEFINANCE(""CURRENCY:"" &amp; E551 &amp; ""USD""))
"),16000000)</f>
        <v>16000000</v>
      </c>
      <c r="G551" s="16">
        <f ca="1">IFERROR(__xludf.DUMMYFUNCTION("IF(E551=""USD"",C551,C551 * GOOGLEFINANCE(""CURRENCY:"" &amp; E551 &amp; ""USD""))
"),15045676)</f>
        <v>15045676</v>
      </c>
    </row>
    <row r="552" spans="1:7" ht="15.75" customHeight="1" x14ac:dyDescent="0.25">
      <c r="A552" s="11" t="s">
        <v>24</v>
      </c>
      <c r="B552" s="12">
        <v>33000000</v>
      </c>
      <c r="C552" s="12">
        <v>51758599</v>
      </c>
      <c r="D552" s="12">
        <v>2001</v>
      </c>
      <c r="E552" s="12" t="str">
        <f>VLOOKUP(A552, Currency!$A$2:$B$100, 2, FALSE)</f>
        <v>USD</v>
      </c>
      <c r="F552" s="12">
        <f ca="1">IFERROR(__xludf.DUMMYFUNCTION("IF(E552=""USD"",B552,B552 * GOOGLEFINANCE(""CURRENCY:"" &amp; E552 &amp; ""USD""))
"),33000000)</f>
        <v>33000000</v>
      </c>
      <c r="G552" s="13">
        <f ca="1">IFERROR(__xludf.DUMMYFUNCTION("IF(E552=""USD"",C552,C552 * GOOGLEFINANCE(""CURRENCY:"" &amp; E552 &amp; ""USD""))
"),51758599)</f>
        <v>51758599</v>
      </c>
    </row>
    <row r="553" spans="1:7" ht="15.75" customHeight="1" x14ac:dyDescent="0.25">
      <c r="A553" s="14" t="s">
        <v>24</v>
      </c>
      <c r="B553" s="15">
        <v>225000</v>
      </c>
      <c r="C553" s="15">
        <v>2938208</v>
      </c>
      <c r="D553" s="15">
        <v>1990</v>
      </c>
      <c r="E553" s="15" t="str">
        <f>VLOOKUP(A553, Currency!$A$2:$B$100, 2, FALSE)</f>
        <v>USD</v>
      </c>
      <c r="F553" s="15">
        <f ca="1">IFERROR(__xludf.DUMMYFUNCTION("IF(E553=""USD"",B553,B553 * GOOGLEFINANCE(""CURRENCY:"" &amp; E553 &amp; ""USD""))
"),225000)</f>
        <v>225000</v>
      </c>
      <c r="G553" s="16">
        <f ca="1">IFERROR(__xludf.DUMMYFUNCTION("IF(E553=""USD"",C553,C553 * GOOGLEFINANCE(""CURRENCY:"" &amp; E553 &amp; ""USD""))
"),2938208)</f>
        <v>2938208</v>
      </c>
    </row>
    <row r="554" spans="1:7" ht="15.75" customHeight="1" x14ac:dyDescent="0.25">
      <c r="A554" s="11" t="s">
        <v>24</v>
      </c>
      <c r="B554" s="12">
        <v>12000000</v>
      </c>
      <c r="C554" s="12">
        <v>64572496</v>
      </c>
      <c r="D554" s="12">
        <v>2012</v>
      </c>
      <c r="E554" s="12" t="str">
        <f>VLOOKUP(A554, Currency!$A$2:$B$100, 2, FALSE)</f>
        <v>USD</v>
      </c>
      <c r="F554" s="12">
        <f ca="1">IFERROR(__xludf.DUMMYFUNCTION("IF(E554=""USD"",B554,B554 * GOOGLEFINANCE(""CURRENCY:"" &amp; E554 &amp; ""USD""))
"),12000000)</f>
        <v>12000000</v>
      </c>
      <c r="G554" s="13">
        <f ca="1">IFERROR(__xludf.DUMMYFUNCTION("IF(E554=""USD"",C554,C554 * GOOGLEFINANCE(""CURRENCY:"" &amp; E554 &amp; ""USD""))
"),64572496)</f>
        <v>64572496</v>
      </c>
    </row>
    <row r="555" spans="1:7" ht="15.75" customHeight="1" x14ac:dyDescent="0.25">
      <c r="A555" s="14" t="s">
        <v>24</v>
      </c>
      <c r="B555" s="15">
        <v>30000000</v>
      </c>
      <c r="C555" s="15">
        <v>117559438</v>
      </c>
      <c r="D555" s="15">
        <v>2000</v>
      </c>
      <c r="E555" s="15" t="str">
        <f>VLOOKUP(A555, Currency!$A$2:$B$100, 2, FALSE)</f>
        <v>USD</v>
      </c>
      <c r="F555" s="15">
        <f ca="1">IFERROR(__xludf.DUMMYFUNCTION("IF(E555=""USD"",B555,B555 * GOOGLEFINANCE(""CURRENCY:"" &amp; E555 &amp; ""USD""))
"),30000000)</f>
        <v>30000000</v>
      </c>
      <c r="G555" s="16">
        <f ca="1">IFERROR(__xludf.DUMMYFUNCTION("IF(E555=""USD"",C555,C555 * GOOGLEFINANCE(""CURRENCY:"" &amp; E555 &amp; ""USD""))
"),117559438)</f>
        <v>117559438</v>
      </c>
    </row>
    <row r="556" spans="1:7" ht="15.75" customHeight="1" x14ac:dyDescent="0.25">
      <c r="A556" s="11" t="s">
        <v>24</v>
      </c>
      <c r="B556" s="12">
        <v>47000000</v>
      </c>
      <c r="C556" s="12">
        <v>60154431</v>
      </c>
      <c r="D556" s="12">
        <v>1996</v>
      </c>
      <c r="E556" s="12" t="str">
        <f>VLOOKUP(A556, Currency!$A$2:$B$100, 2, FALSE)</f>
        <v>USD</v>
      </c>
      <c r="F556" s="12">
        <f ca="1">IFERROR(__xludf.DUMMYFUNCTION("IF(E556=""USD"",B556,B556 * GOOGLEFINANCE(""CURRENCY:"" &amp; E556 &amp; ""USD""))
"),47000000)</f>
        <v>47000000</v>
      </c>
      <c r="G556" s="13">
        <f ca="1">IFERROR(__xludf.DUMMYFUNCTION("IF(E556=""USD"",C556,C556 * GOOGLEFINANCE(""CURRENCY:"" &amp; E556 &amp; ""USD""))
"),60154431)</f>
        <v>60154431</v>
      </c>
    </row>
    <row r="557" spans="1:7" ht="15.75" customHeight="1" x14ac:dyDescent="0.25">
      <c r="A557" s="14" t="s">
        <v>24</v>
      </c>
      <c r="B557" s="15">
        <v>30000000</v>
      </c>
      <c r="C557" s="15">
        <v>38432823</v>
      </c>
      <c r="D557" s="15">
        <v>2006</v>
      </c>
      <c r="E557" s="15" t="str">
        <f>VLOOKUP(A557, Currency!$A$2:$B$100, 2, FALSE)</f>
        <v>USD</v>
      </c>
      <c r="F557" s="15">
        <f ca="1">IFERROR(__xludf.DUMMYFUNCTION("IF(E557=""USD"",B557,B557 * GOOGLEFINANCE(""CURRENCY:"" &amp; E557 &amp; ""USD""))
"),30000000)</f>
        <v>30000000</v>
      </c>
      <c r="G557" s="16">
        <f ca="1">IFERROR(__xludf.DUMMYFUNCTION("IF(E557=""USD"",C557,C557 * GOOGLEFINANCE(""CURRENCY:"" &amp; E557 &amp; ""USD""))
"),38432823)</f>
        <v>38432823</v>
      </c>
    </row>
    <row r="558" spans="1:7" ht="15.75" customHeight="1" x14ac:dyDescent="0.25">
      <c r="A558" s="11" t="s">
        <v>24</v>
      </c>
      <c r="B558" s="12">
        <v>29000000</v>
      </c>
      <c r="C558" s="12">
        <v>50041732</v>
      </c>
      <c r="D558" s="12">
        <v>1999</v>
      </c>
      <c r="E558" s="12" t="str">
        <f>VLOOKUP(A558, Currency!$A$2:$B$100, 2, FALSE)</f>
        <v>USD</v>
      </c>
      <c r="F558" s="12">
        <f ca="1">IFERROR(__xludf.DUMMYFUNCTION("IF(E558=""USD"",B558,B558 * GOOGLEFINANCE(""CURRENCY:"" &amp; E558 &amp; ""USD""))
"),29000000)</f>
        <v>29000000</v>
      </c>
      <c r="G558" s="13">
        <f ca="1">IFERROR(__xludf.DUMMYFUNCTION("IF(E558=""USD"",C558,C558 * GOOGLEFINANCE(""CURRENCY:"" &amp; E558 &amp; ""USD""))
"),50041732)</f>
        <v>50041732</v>
      </c>
    </row>
    <row r="559" spans="1:7" ht="15.75" customHeight="1" x14ac:dyDescent="0.25">
      <c r="A559" s="14" t="s">
        <v>674</v>
      </c>
      <c r="B559" s="15">
        <v>7217600</v>
      </c>
      <c r="C559" s="15">
        <v>3047539</v>
      </c>
      <c r="D559" s="15">
        <v>2012</v>
      </c>
      <c r="E559" s="15" t="str">
        <f>VLOOKUP(A559, Currency!$A$2:$B$100, 2, FALSE)</f>
        <v>INR</v>
      </c>
      <c r="F559" s="15">
        <f ca="1">IFERROR(__xludf.DUMMYFUNCTION("IF(E559=""USD"",B559,B559 * GOOGLEFINANCE(""CURRENCY:"" &amp; E559 &amp; ""USD""))
"),86188.681696)</f>
        <v>86188.681696</v>
      </c>
      <c r="G559" s="16">
        <f ca="1">IFERROR(__xludf.DUMMYFUNCTION("IF(E559=""USD"",C559,C559 * GOOGLEFINANCE(""CURRENCY:"" &amp; E559 &amp; ""USD""))
"),36392.06506694)</f>
        <v>36392.065066939998</v>
      </c>
    </row>
    <row r="560" spans="1:7" ht="15.75" customHeight="1" x14ac:dyDescent="0.25">
      <c r="A560" s="11" t="s">
        <v>627</v>
      </c>
      <c r="B560" s="12">
        <v>15000000</v>
      </c>
      <c r="C560" s="12">
        <v>16459004</v>
      </c>
      <c r="D560" s="12">
        <v>1999</v>
      </c>
      <c r="E560" s="12" t="str">
        <f>VLOOKUP(A560, Currency!$A$2:$B$100, 2, FALSE)</f>
        <v>CAD</v>
      </c>
      <c r="F560" s="12">
        <f ca="1">IFERROR(__xludf.DUMMYFUNCTION("IF(E560=""USD"",B560,B560 * GOOGLEFINANCE(""CURRENCY:"" &amp; E560 &amp; ""USD""))
"),10851075)</f>
        <v>10851075</v>
      </c>
      <c r="G560" s="13">
        <f ca="1">IFERROR(__xludf.DUMMYFUNCTION("IF(E560=""USD"",C560,C560 * GOOGLEFINANCE(""CURRENCY:"" &amp; E560 &amp; ""USD""))
"),11906525.7886199)</f>
        <v>11906525.7886199</v>
      </c>
    </row>
    <row r="561" spans="1:7" ht="15.75" customHeight="1" x14ac:dyDescent="0.25">
      <c r="A561" s="14" t="s">
        <v>24</v>
      </c>
      <c r="B561" s="15">
        <v>31500000</v>
      </c>
      <c r="C561" s="15">
        <v>78800000</v>
      </c>
      <c r="D561" s="15">
        <v>1979</v>
      </c>
      <c r="E561" s="15" t="str">
        <f>VLOOKUP(A561, Currency!$A$2:$B$100, 2, FALSE)</f>
        <v>USD</v>
      </c>
      <c r="F561" s="15">
        <f ca="1">IFERROR(__xludf.DUMMYFUNCTION("IF(E561=""USD"",B561,B561 * GOOGLEFINANCE(""CURRENCY:"" &amp; E561 &amp; ""USD""))
"),31500000)</f>
        <v>31500000</v>
      </c>
      <c r="G561" s="16">
        <f ca="1">IFERROR(__xludf.DUMMYFUNCTION("IF(E561=""USD"",C561,C561 * GOOGLEFINANCE(""CURRENCY:"" &amp; E561 &amp; ""USD""))
"),78800000)</f>
        <v>78800000</v>
      </c>
    </row>
    <row r="562" spans="1:7" ht="15.75" customHeight="1" x14ac:dyDescent="0.25">
      <c r="A562" s="11" t="s">
        <v>24</v>
      </c>
      <c r="B562" s="12">
        <v>50000000</v>
      </c>
      <c r="C562" s="12">
        <v>58336565</v>
      </c>
      <c r="D562" s="12">
        <v>2006</v>
      </c>
      <c r="E562" s="12" t="str">
        <f>VLOOKUP(A562, Currency!$A$2:$B$100, 2, FALSE)</f>
        <v>USD</v>
      </c>
      <c r="F562" s="12">
        <f ca="1">IFERROR(__xludf.DUMMYFUNCTION("IF(E562=""USD"",B562,B562 * GOOGLEFINANCE(""CURRENCY:"" &amp; E562 &amp; ""USD""))
"),50000000)</f>
        <v>50000000</v>
      </c>
      <c r="G562" s="13">
        <f ca="1">IFERROR(__xludf.DUMMYFUNCTION("IF(E562=""USD"",C562,C562 * GOOGLEFINANCE(""CURRENCY:"" &amp; E562 &amp; ""USD""))
"),58336565)</f>
        <v>58336565</v>
      </c>
    </row>
    <row r="563" spans="1:7" ht="15.75" customHeight="1" x14ac:dyDescent="0.25">
      <c r="A563" s="14" t="s">
        <v>24</v>
      </c>
      <c r="B563" s="15">
        <v>18000000</v>
      </c>
      <c r="C563" s="15">
        <v>7837632</v>
      </c>
      <c r="D563" s="15">
        <v>1997</v>
      </c>
      <c r="E563" s="15" t="str">
        <f>VLOOKUP(A563, Currency!$A$2:$B$100, 2, FALSE)</f>
        <v>USD</v>
      </c>
      <c r="F563" s="15">
        <f ca="1">IFERROR(__xludf.DUMMYFUNCTION("IF(E563=""USD"",B563,B563 * GOOGLEFINANCE(""CURRENCY:"" &amp; E563 &amp; ""USD""))
"),18000000)</f>
        <v>18000000</v>
      </c>
      <c r="G563" s="16">
        <f ca="1">IFERROR(__xludf.DUMMYFUNCTION("IF(E563=""USD"",C563,C563 * GOOGLEFINANCE(""CURRENCY:"" &amp; E563 &amp; ""USD""))
"),7837632)</f>
        <v>7837632</v>
      </c>
    </row>
    <row r="564" spans="1:7" ht="15.75" customHeight="1" x14ac:dyDescent="0.25">
      <c r="A564" s="11" t="s">
        <v>24</v>
      </c>
      <c r="B564" s="12">
        <v>35000000</v>
      </c>
      <c r="C564" s="12">
        <v>10499968</v>
      </c>
      <c r="D564" s="12">
        <v>2014</v>
      </c>
      <c r="E564" s="12" t="str">
        <f>VLOOKUP(A564, Currency!$A$2:$B$100, 2, FALSE)</f>
        <v>USD</v>
      </c>
      <c r="F564" s="12">
        <f ca="1">IFERROR(__xludf.DUMMYFUNCTION("IF(E564=""USD"",B564,B564 * GOOGLEFINANCE(""CURRENCY:"" &amp; E564 &amp; ""USD""))
"),35000000)</f>
        <v>35000000</v>
      </c>
      <c r="G564" s="13">
        <f ca="1">IFERROR(__xludf.DUMMYFUNCTION("IF(E564=""USD"",C564,C564 * GOOGLEFINANCE(""CURRENCY:"" &amp; E564 &amp; ""USD""))
"),10499968)</f>
        <v>10499968</v>
      </c>
    </row>
    <row r="565" spans="1:7" ht="15.75" customHeight="1" x14ac:dyDescent="0.25">
      <c r="A565" s="14" t="s">
        <v>2236</v>
      </c>
      <c r="B565" s="15">
        <v>2000000</v>
      </c>
      <c r="C565" s="15">
        <v>20167424</v>
      </c>
      <c r="D565" s="15">
        <v>2009</v>
      </c>
      <c r="E565" s="15" t="str">
        <f>VLOOKUP(A565, Currency!$A$2:$B$100, 2, FALSE)</f>
        <v>ARS</v>
      </c>
      <c r="F565" s="15">
        <f ca="1">IFERROR(__xludf.DUMMYFUNCTION("IF(E565=""USD"",B565,B565 * GOOGLEFINANCE(""CURRENCY:"" &amp; E565 &amp; ""USD""))
"),2151.714)</f>
        <v>2151.7139999999999</v>
      </c>
      <c r="G565" s="16">
        <f ca="1">IFERROR(__xludf.DUMMYFUNCTION("IF(E565=""USD"",C565,C565 * GOOGLEFINANCE(""CURRENCY:"" &amp; E565 &amp; ""USD""))
"),21697.264282368)</f>
        <v>21697.264282368</v>
      </c>
    </row>
    <row r="566" spans="1:7" ht="15.75" customHeight="1" x14ac:dyDescent="0.25">
      <c r="A566" s="11" t="s">
        <v>24</v>
      </c>
      <c r="B566" s="12">
        <v>11000000</v>
      </c>
      <c r="C566" s="12">
        <v>352786</v>
      </c>
      <c r="D566" s="12">
        <v>2006</v>
      </c>
      <c r="E566" s="12" t="str">
        <f>VLOOKUP(A566, Currency!$A$2:$B$100, 2, FALSE)</f>
        <v>USD</v>
      </c>
      <c r="F566" s="12">
        <f ca="1">IFERROR(__xludf.DUMMYFUNCTION("IF(E566=""USD"",B566,B566 * GOOGLEFINANCE(""CURRENCY:"" &amp; E566 &amp; ""USD""))
"),11000000)</f>
        <v>11000000</v>
      </c>
      <c r="G566" s="13">
        <f ca="1">IFERROR(__xludf.DUMMYFUNCTION("IF(E566=""USD"",C566,C566 * GOOGLEFINANCE(""CURRENCY:"" &amp; E566 &amp; ""USD""))
"),352786)</f>
        <v>352786</v>
      </c>
    </row>
    <row r="567" spans="1:7" ht="15.75" customHeight="1" x14ac:dyDescent="0.25">
      <c r="A567" s="14" t="s">
        <v>24</v>
      </c>
      <c r="B567" s="15">
        <v>53000000</v>
      </c>
      <c r="C567" s="15">
        <v>45207112</v>
      </c>
      <c r="D567" s="15">
        <v>2001</v>
      </c>
      <c r="E567" s="15" t="str">
        <f>VLOOKUP(A567, Currency!$A$2:$B$100, 2, FALSE)</f>
        <v>USD</v>
      </c>
      <c r="F567" s="15">
        <f ca="1">IFERROR(__xludf.DUMMYFUNCTION("IF(E567=""USD"",B567,B567 * GOOGLEFINANCE(""CURRENCY:"" &amp; E567 &amp; ""USD""))
"),53000000)</f>
        <v>53000000</v>
      </c>
      <c r="G567" s="16">
        <f ca="1">IFERROR(__xludf.DUMMYFUNCTION("IF(E567=""USD"",C567,C567 * GOOGLEFINANCE(""CURRENCY:"" &amp; E567 &amp; ""USD""))
"),45207112)</f>
        <v>45207112</v>
      </c>
    </row>
    <row r="568" spans="1:7" ht="15.75" customHeight="1" x14ac:dyDescent="0.25">
      <c r="A568" s="11" t="s">
        <v>24</v>
      </c>
      <c r="B568" s="12">
        <v>45000000</v>
      </c>
      <c r="C568" s="12">
        <v>24343673</v>
      </c>
      <c r="D568" s="12">
        <v>2007</v>
      </c>
      <c r="E568" s="12" t="str">
        <f>VLOOKUP(A568, Currency!$A$2:$B$100, 2, FALSE)</f>
        <v>USD</v>
      </c>
      <c r="F568" s="12">
        <f ca="1">IFERROR(__xludf.DUMMYFUNCTION("IF(E568=""USD"",B568,B568 * GOOGLEFINANCE(""CURRENCY:"" &amp; E568 &amp; ""USD""))
"),45000000)</f>
        <v>45000000</v>
      </c>
      <c r="G568" s="13">
        <f ca="1">IFERROR(__xludf.DUMMYFUNCTION("IF(E568=""USD"",C568,C568 * GOOGLEFINANCE(""CURRENCY:"" &amp; E568 &amp; ""USD""))
"),24343673)</f>
        <v>24343673</v>
      </c>
    </row>
    <row r="569" spans="1:7" ht="15.75" customHeight="1" x14ac:dyDescent="0.25">
      <c r="A569" s="14" t="s">
        <v>24</v>
      </c>
      <c r="B569" s="15">
        <v>8200000</v>
      </c>
      <c r="C569" s="15">
        <v>80000000</v>
      </c>
      <c r="D569" s="15">
        <v>1984</v>
      </c>
      <c r="E569" s="15" t="str">
        <f>VLOOKUP(A569, Currency!$A$2:$B$100, 2, FALSE)</f>
        <v>USD</v>
      </c>
      <c r="F569" s="15">
        <f ca="1">IFERROR(__xludf.DUMMYFUNCTION("IF(E569=""USD"",B569,B569 * GOOGLEFINANCE(""CURRENCY:"" &amp; E569 &amp; ""USD""))
"),8200000)</f>
        <v>8200000</v>
      </c>
      <c r="G569" s="16">
        <f ca="1">IFERROR(__xludf.DUMMYFUNCTION("IF(E569=""USD"",C569,C569 * GOOGLEFINANCE(""CURRENCY:"" &amp; E569 &amp; ""USD""))
"),80000000)</f>
        <v>80000000</v>
      </c>
    </row>
    <row r="570" spans="1:7" ht="15.75" customHeight="1" x14ac:dyDescent="0.25">
      <c r="A570" s="11" t="s">
        <v>24</v>
      </c>
      <c r="B570" s="12">
        <v>50000000</v>
      </c>
      <c r="C570" s="12">
        <v>100328194</v>
      </c>
      <c r="D570" s="12">
        <v>1995</v>
      </c>
      <c r="E570" s="12" t="str">
        <f>VLOOKUP(A570, Currency!$A$2:$B$100, 2, FALSE)</f>
        <v>USD</v>
      </c>
      <c r="F570" s="12">
        <f ca="1">IFERROR(__xludf.DUMMYFUNCTION("IF(E570=""USD"",B570,B570 * GOOGLEFINANCE(""CURRENCY:"" &amp; E570 &amp; ""USD""))
"),50000000)</f>
        <v>50000000</v>
      </c>
      <c r="G570" s="13">
        <f ca="1">IFERROR(__xludf.DUMMYFUNCTION("IF(E570=""USD"",C570,C570 * GOOGLEFINANCE(""CURRENCY:"" &amp; E570 &amp; ""USD""))
"),100328194)</f>
        <v>100328194</v>
      </c>
    </row>
    <row r="571" spans="1:7" ht="15.75" customHeight="1" x14ac:dyDescent="0.25">
      <c r="A571" s="14" t="s">
        <v>24</v>
      </c>
      <c r="B571" s="15">
        <v>20000000</v>
      </c>
      <c r="C571" s="15">
        <v>7382993</v>
      </c>
      <c r="D571" s="15">
        <v>2006</v>
      </c>
      <c r="E571" s="15" t="str">
        <f>VLOOKUP(A571, Currency!$A$2:$B$100, 2, FALSE)</f>
        <v>USD</v>
      </c>
      <c r="F571" s="15">
        <f ca="1">IFERROR(__xludf.DUMMYFUNCTION("IF(E571=""USD"",B571,B571 * GOOGLEFINANCE(""CURRENCY:"" &amp; E571 &amp; ""USD""))
"),20000000)</f>
        <v>20000000</v>
      </c>
      <c r="G571" s="16">
        <f ca="1">IFERROR(__xludf.DUMMYFUNCTION("IF(E571=""USD"",C571,C571 * GOOGLEFINANCE(""CURRENCY:"" &amp; E571 &amp; ""USD""))
"),7382993)</f>
        <v>7382993</v>
      </c>
    </row>
    <row r="572" spans="1:7" ht="15.75" customHeight="1" x14ac:dyDescent="0.25">
      <c r="A572" s="11" t="s">
        <v>24</v>
      </c>
      <c r="B572" s="12">
        <v>70000000</v>
      </c>
      <c r="C572" s="12">
        <v>70224196</v>
      </c>
      <c r="D572" s="12">
        <v>2008</v>
      </c>
      <c r="E572" s="12" t="str">
        <f>VLOOKUP(A572, Currency!$A$2:$B$100, 2, FALSE)</f>
        <v>USD</v>
      </c>
      <c r="F572" s="12">
        <f ca="1">IFERROR(__xludf.DUMMYFUNCTION("IF(E572=""USD"",B572,B572 * GOOGLEFINANCE(""CURRENCY:"" &amp; E572 &amp; ""USD""))
"),70000000)</f>
        <v>70000000</v>
      </c>
      <c r="G572" s="13">
        <f ca="1">IFERROR(__xludf.DUMMYFUNCTION("IF(E572=""USD"",C572,C572 * GOOGLEFINANCE(""CURRENCY:"" &amp; E572 &amp; ""USD""))
"),70224196)</f>
        <v>70224196</v>
      </c>
    </row>
    <row r="573" spans="1:7" ht="15.75" customHeight="1" x14ac:dyDescent="0.25">
      <c r="A573" s="14" t="s">
        <v>24</v>
      </c>
      <c r="B573" s="15">
        <v>60000000</v>
      </c>
      <c r="C573" s="15">
        <v>45996718</v>
      </c>
      <c r="D573" s="15">
        <v>2013</v>
      </c>
      <c r="E573" s="15" t="str">
        <f>VLOOKUP(A573, Currency!$A$2:$B$100, 2, FALSE)</f>
        <v>USD</v>
      </c>
      <c r="F573" s="15">
        <f ca="1">IFERROR(__xludf.DUMMYFUNCTION("IF(E573=""USD"",B573,B573 * GOOGLEFINANCE(""CURRENCY:"" &amp; E573 &amp; ""USD""))
"),60000000)</f>
        <v>60000000</v>
      </c>
      <c r="G573" s="16">
        <f ca="1">IFERROR(__xludf.DUMMYFUNCTION("IF(E573=""USD"",C573,C573 * GOOGLEFINANCE(""CURRENCY:"" &amp; E573 &amp; ""USD""))
"),45996718)</f>
        <v>45996718</v>
      </c>
    </row>
    <row r="574" spans="1:7" ht="15.75" customHeight="1" x14ac:dyDescent="0.25">
      <c r="A574" s="11" t="s">
        <v>133</v>
      </c>
      <c r="B574" s="12">
        <v>20000000</v>
      </c>
      <c r="C574" s="12">
        <v>11169531</v>
      </c>
      <c r="D574" s="12">
        <v>2008</v>
      </c>
      <c r="E574" s="12" t="str">
        <f>VLOOKUP(A574, Currency!$A$2:$B$100, 2, FALSE)</f>
        <v>GBP</v>
      </c>
      <c r="F574" s="12">
        <f ca="1">IFERROR(__xludf.DUMMYFUNCTION("IF(E574=""USD"",B574,B574 * GOOGLEFINANCE(""CURRENCY:"" &amp; E574 &amp; ""USD""))
"),25707999.9999999)</f>
        <v>25707999.999999899</v>
      </c>
      <c r="G574" s="13">
        <f ca="1">IFERROR(__xludf.DUMMYFUNCTION("IF(E574=""USD"",C574,C574 * GOOGLEFINANCE(""CURRENCY:"" &amp; E574 &amp; ""USD""))
"),14357315.1474)</f>
        <v>14357315.147399999</v>
      </c>
    </row>
    <row r="575" spans="1:7" ht="15.75" customHeight="1" x14ac:dyDescent="0.25">
      <c r="A575" s="14" t="s">
        <v>24</v>
      </c>
      <c r="B575" s="15">
        <v>15000000</v>
      </c>
      <c r="C575" s="15">
        <v>64001297</v>
      </c>
      <c r="D575" s="15">
        <v>2010</v>
      </c>
      <c r="E575" s="15" t="str">
        <f>VLOOKUP(A575, Currency!$A$2:$B$100, 2, FALSE)</f>
        <v>USD</v>
      </c>
      <c r="F575" s="15">
        <f ca="1">IFERROR(__xludf.DUMMYFUNCTION("IF(E575=""USD"",B575,B575 * GOOGLEFINANCE(""CURRENCY:"" &amp; E575 &amp; ""USD""))
"),15000000)</f>
        <v>15000000</v>
      </c>
      <c r="G575" s="16">
        <f ca="1">IFERROR(__xludf.DUMMYFUNCTION("IF(E575=""USD"",C575,C575 * GOOGLEFINANCE(""CURRENCY:"" &amp; E575 &amp; ""USD""))
"),64001297)</f>
        <v>64001297</v>
      </c>
    </row>
    <row r="576" spans="1:7" ht="15.75" customHeight="1" x14ac:dyDescent="0.25">
      <c r="A576" s="11" t="s">
        <v>24</v>
      </c>
      <c r="B576" s="12">
        <v>140000000</v>
      </c>
      <c r="C576" s="12">
        <v>129734803</v>
      </c>
      <c r="D576" s="12">
        <v>1998</v>
      </c>
      <c r="E576" s="12" t="str">
        <f>VLOOKUP(A576, Currency!$A$2:$B$100, 2, FALSE)</f>
        <v>USD</v>
      </c>
      <c r="F576" s="12">
        <f ca="1">IFERROR(__xludf.DUMMYFUNCTION("IF(E576=""USD"",B576,B576 * GOOGLEFINANCE(""CURRENCY:"" &amp; E576 &amp; ""USD""))
"),140000000)</f>
        <v>140000000</v>
      </c>
      <c r="G576" s="13">
        <f ca="1">IFERROR(__xludf.DUMMYFUNCTION("IF(E576=""USD"",C576,C576 * GOOGLEFINANCE(""CURRENCY:"" &amp; E576 &amp; ""USD""))
"),129734803)</f>
        <v>129734803</v>
      </c>
    </row>
    <row r="577" spans="1:7" ht="15.75" customHeight="1" x14ac:dyDescent="0.25">
      <c r="A577" s="14" t="s">
        <v>24</v>
      </c>
      <c r="B577" s="15">
        <v>5000000</v>
      </c>
      <c r="C577" s="15">
        <v>1474508</v>
      </c>
      <c r="D577" s="15">
        <v>2009</v>
      </c>
      <c r="E577" s="15" t="str">
        <f>VLOOKUP(A577, Currency!$A$2:$B$100, 2, FALSE)</f>
        <v>USD</v>
      </c>
      <c r="F577" s="15">
        <f ca="1">IFERROR(__xludf.DUMMYFUNCTION("IF(E577=""USD"",B577,B577 * GOOGLEFINANCE(""CURRENCY:"" &amp; E577 &amp; ""USD""))
"),5000000)</f>
        <v>5000000</v>
      </c>
      <c r="G577" s="16">
        <f ca="1">IFERROR(__xludf.DUMMYFUNCTION("IF(E577=""USD"",C577,C577 * GOOGLEFINANCE(""CURRENCY:"" &amp; E577 &amp; ""USD""))
"),1474508)</f>
        <v>1474508</v>
      </c>
    </row>
    <row r="578" spans="1:7" ht="15.75" customHeight="1" x14ac:dyDescent="0.25">
      <c r="A578" s="11" t="s">
        <v>24</v>
      </c>
      <c r="B578" s="12">
        <v>170000000</v>
      </c>
      <c r="C578" s="12">
        <v>333130696</v>
      </c>
      <c r="D578" s="12">
        <v>2014</v>
      </c>
      <c r="E578" s="12" t="str">
        <f>VLOOKUP(A578, Currency!$A$2:$B$100, 2, FALSE)</f>
        <v>USD</v>
      </c>
      <c r="F578" s="12">
        <f ca="1">IFERROR(__xludf.DUMMYFUNCTION("IF(E578=""USD"",B578,B578 * GOOGLEFINANCE(""CURRENCY:"" &amp; E578 &amp; ""USD""))
"),170000000)</f>
        <v>170000000</v>
      </c>
      <c r="G578" s="13">
        <f ca="1">IFERROR(__xludf.DUMMYFUNCTION("IF(E578=""USD"",C578,C578 * GOOGLEFINANCE(""CURRENCY:"" &amp; E578 &amp; ""USD""))
"),333130696)</f>
        <v>333130696</v>
      </c>
    </row>
    <row r="579" spans="1:7" ht="15.75" customHeight="1" x14ac:dyDescent="0.25">
      <c r="A579" s="14" t="s">
        <v>24</v>
      </c>
      <c r="B579" s="15">
        <v>5000000</v>
      </c>
      <c r="C579" s="15">
        <v>1056102</v>
      </c>
      <c r="D579" s="15">
        <v>2003</v>
      </c>
      <c r="E579" s="15" t="str">
        <f>VLOOKUP(A579, Currency!$A$2:$B$100, 2, FALSE)</f>
        <v>USD</v>
      </c>
      <c r="F579" s="15">
        <f ca="1">IFERROR(__xludf.DUMMYFUNCTION("IF(E579=""USD"",B579,B579 * GOOGLEFINANCE(""CURRENCY:"" &amp; E579 &amp; ""USD""))
"),5000000)</f>
        <v>5000000</v>
      </c>
      <c r="G579" s="16">
        <f ca="1">IFERROR(__xludf.DUMMYFUNCTION("IF(E579=""USD"",C579,C579 * GOOGLEFINANCE(""CURRENCY:"" &amp; E579 &amp; ""USD""))
"),1056102)</f>
        <v>1056102</v>
      </c>
    </row>
    <row r="580" spans="1:7" ht="15.75" customHeight="1" x14ac:dyDescent="0.25">
      <c r="A580" s="11" t="s">
        <v>24</v>
      </c>
      <c r="B580" s="12">
        <v>85000000</v>
      </c>
      <c r="C580" s="12">
        <v>172620724</v>
      </c>
      <c r="D580" s="12">
        <v>1997</v>
      </c>
      <c r="E580" s="12" t="str">
        <f>VLOOKUP(A580, Currency!$A$2:$B$100, 2, FALSE)</f>
        <v>USD</v>
      </c>
      <c r="F580" s="12">
        <f ca="1">IFERROR(__xludf.DUMMYFUNCTION("IF(E580=""USD"",B580,B580 * GOOGLEFINANCE(""CURRENCY:"" &amp; E580 &amp; ""USD""))
"),85000000)</f>
        <v>85000000</v>
      </c>
      <c r="G580" s="13">
        <f ca="1">IFERROR(__xludf.DUMMYFUNCTION("IF(E580=""USD"",C580,C580 * GOOGLEFINANCE(""CURRENCY:"" &amp; E580 &amp; ""USD""))
"),172620724)</f>
        <v>172620724</v>
      </c>
    </row>
    <row r="581" spans="1:7" ht="15.75" customHeight="1" x14ac:dyDescent="0.25">
      <c r="A581" s="14" t="s">
        <v>24</v>
      </c>
      <c r="B581" s="15">
        <v>120000000</v>
      </c>
      <c r="C581" s="15">
        <v>162792677</v>
      </c>
      <c r="D581" s="15">
        <v>1998</v>
      </c>
      <c r="E581" s="15" t="str">
        <f>VLOOKUP(A581, Currency!$A$2:$B$100, 2, FALSE)</f>
        <v>USD</v>
      </c>
      <c r="F581" s="15">
        <f ca="1">IFERROR(__xludf.DUMMYFUNCTION("IF(E581=""USD"",B581,B581 * GOOGLEFINANCE(""CURRENCY:"" &amp; E581 &amp; ""USD""))
"),120000000)</f>
        <v>120000000</v>
      </c>
      <c r="G581" s="16">
        <f ca="1">IFERROR(__xludf.DUMMYFUNCTION("IF(E581=""USD"",C581,C581 * GOOGLEFINANCE(""CURRENCY:"" &amp; E581 &amp; ""USD""))
"),162792677)</f>
        <v>162792677</v>
      </c>
    </row>
    <row r="582" spans="1:7" ht="15.75" customHeight="1" x14ac:dyDescent="0.25">
      <c r="A582" s="11" t="s">
        <v>24</v>
      </c>
      <c r="B582" s="12">
        <v>10000000</v>
      </c>
      <c r="C582" s="12">
        <v>47536959</v>
      </c>
      <c r="D582" s="12">
        <v>2009</v>
      </c>
      <c r="E582" s="12" t="str">
        <f>VLOOKUP(A582, Currency!$A$2:$B$100, 2, FALSE)</f>
        <v>USD</v>
      </c>
      <c r="F582" s="12">
        <f ca="1">IFERROR(__xludf.DUMMYFUNCTION("IF(E582=""USD"",B582,B582 * GOOGLEFINANCE(""CURRENCY:"" &amp; E582 &amp; ""USD""))
"),10000000)</f>
        <v>10000000</v>
      </c>
      <c r="G582" s="13">
        <f ca="1">IFERROR(__xludf.DUMMYFUNCTION("IF(E582=""USD"",C582,C582 * GOOGLEFINANCE(""CURRENCY:"" &amp; E582 &amp; ""USD""))
"),47536959)</f>
        <v>47536959</v>
      </c>
    </row>
    <row r="583" spans="1:7" ht="15.75" customHeight="1" x14ac:dyDescent="0.25">
      <c r="A583" s="14" t="s">
        <v>24</v>
      </c>
      <c r="B583" s="15">
        <v>50000000</v>
      </c>
      <c r="C583" s="15">
        <v>41482207</v>
      </c>
      <c r="D583" s="15">
        <v>1990</v>
      </c>
      <c r="E583" s="15" t="str">
        <f>VLOOKUP(A583, Currency!$A$2:$B$100, 2, FALSE)</f>
        <v>USD</v>
      </c>
      <c r="F583" s="15">
        <f ca="1">IFERROR(__xludf.DUMMYFUNCTION("IF(E583=""USD"",B583,B583 * GOOGLEFINANCE(""CURRENCY:"" &amp; E583 &amp; ""USD""))
"),50000000)</f>
        <v>50000000</v>
      </c>
      <c r="G583" s="16">
        <f ca="1">IFERROR(__xludf.DUMMYFUNCTION("IF(E583=""USD"",C583,C583 * GOOGLEFINANCE(""CURRENCY:"" &amp; E583 &amp; ""USD""))
"),41482207)</f>
        <v>41482207</v>
      </c>
    </row>
    <row r="584" spans="1:7" ht="15.75" customHeight="1" x14ac:dyDescent="0.25">
      <c r="A584" s="11" t="s">
        <v>24</v>
      </c>
      <c r="B584" s="12">
        <v>13000000</v>
      </c>
      <c r="C584" s="12">
        <v>38916903</v>
      </c>
      <c r="D584" s="12">
        <v>2014</v>
      </c>
      <c r="E584" s="12" t="str">
        <f>VLOOKUP(A584, Currency!$A$2:$B$100, 2, FALSE)</f>
        <v>USD</v>
      </c>
      <c r="F584" s="12">
        <f ca="1">IFERROR(__xludf.DUMMYFUNCTION("IF(E584=""USD"",B584,B584 * GOOGLEFINANCE(""CURRENCY:"" &amp; E584 &amp; ""USD""))
"),13000000)</f>
        <v>13000000</v>
      </c>
      <c r="G584" s="13">
        <f ca="1">IFERROR(__xludf.DUMMYFUNCTION("IF(E584=""USD"",C584,C584 * GOOGLEFINANCE(""CURRENCY:"" &amp; E584 &amp; ""USD""))
"),38916903)</f>
        <v>38916903</v>
      </c>
    </row>
    <row r="585" spans="1:7" ht="15.75" customHeight="1" x14ac:dyDescent="0.25">
      <c r="A585" s="14" t="s">
        <v>24</v>
      </c>
      <c r="B585" s="15">
        <v>4000000</v>
      </c>
      <c r="C585" s="15">
        <v>2601847</v>
      </c>
      <c r="D585" s="15">
        <v>2011</v>
      </c>
      <c r="E585" s="15" t="str">
        <f>VLOOKUP(A585, Currency!$A$2:$B$100, 2, FALSE)</f>
        <v>USD</v>
      </c>
      <c r="F585" s="15">
        <f ca="1">IFERROR(__xludf.DUMMYFUNCTION("IF(E585=""USD"",B585,B585 * GOOGLEFINANCE(""CURRENCY:"" &amp; E585 &amp; ""USD""))
"),4000000)</f>
        <v>4000000</v>
      </c>
      <c r="G585" s="16">
        <f ca="1">IFERROR(__xludf.DUMMYFUNCTION("IF(E585=""USD"",C585,C585 * GOOGLEFINANCE(""CURRENCY:"" &amp; E585 &amp; ""USD""))
"),2601847)</f>
        <v>2601847</v>
      </c>
    </row>
    <row r="586" spans="1:7" ht="15.75" customHeight="1" x14ac:dyDescent="0.25">
      <c r="A586" s="11" t="s">
        <v>24</v>
      </c>
      <c r="B586" s="12">
        <v>65000000</v>
      </c>
      <c r="C586" s="12">
        <v>59617068</v>
      </c>
      <c r="D586" s="12">
        <v>2012</v>
      </c>
      <c r="E586" s="12" t="str">
        <f>VLOOKUP(A586, Currency!$A$2:$B$100, 2, FALSE)</f>
        <v>USD</v>
      </c>
      <c r="F586" s="12">
        <f ca="1">IFERROR(__xludf.DUMMYFUNCTION("IF(E586=""USD"",B586,B586 * GOOGLEFINANCE(""CURRENCY:"" &amp; E586 &amp; ""USD""))
"),65000000)</f>
        <v>65000000</v>
      </c>
      <c r="G586" s="13">
        <f ca="1">IFERROR(__xludf.DUMMYFUNCTION("IF(E586=""USD"",C586,C586 * GOOGLEFINANCE(""CURRENCY:"" &amp; E586 &amp; ""USD""))
"),59617068)</f>
        <v>59617068</v>
      </c>
    </row>
    <row r="587" spans="1:7" ht="15.75" customHeight="1" x14ac:dyDescent="0.25">
      <c r="A587" s="14" t="s">
        <v>24</v>
      </c>
      <c r="B587" s="15">
        <v>500000</v>
      </c>
      <c r="C587" s="15">
        <v>145540</v>
      </c>
      <c r="D587" s="15">
        <v>2002</v>
      </c>
      <c r="E587" s="15" t="str">
        <f>VLOOKUP(A587, Currency!$A$2:$B$100, 2, FALSE)</f>
        <v>USD</v>
      </c>
      <c r="F587" s="15">
        <f ca="1">IFERROR(__xludf.DUMMYFUNCTION("IF(E587=""USD"",B587,B587 * GOOGLEFINANCE(""CURRENCY:"" &amp; E587 &amp; ""USD""))
"),500000)</f>
        <v>500000</v>
      </c>
      <c r="G587" s="16">
        <f ca="1">IFERROR(__xludf.DUMMYFUNCTION("IF(E587=""USD"",C587,C587 * GOOGLEFINANCE(""CURRENCY:"" &amp; E587 &amp; ""USD""))
"),145540)</f>
        <v>145540</v>
      </c>
    </row>
    <row r="588" spans="1:7" ht="15.75" customHeight="1" x14ac:dyDescent="0.25">
      <c r="A588" s="11" t="s">
        <v>24</v>
      </c>
      <c r="B588" s="12">
        <v>24000000</v>
      </c>
      <c r="C588" s="12">
        <v>23225911</v>
      </c>
      <c r="D588" s="12">
        <v>2010</v>
      </c>
      <c r="E588" s="12" t="str">
        <f>VLOOKUP(A588, Currency!$A$2:$B$100, 2, FALSE)</f>
        <v>USD</v>
      </c>
      <c r="F588" s="12">
        <f ca="1">IFERROR(__xludf.DUMMYFUNCTION("IF(E588=""USD"",B588,B588 * GOOGLEFINANCE(""CURRENCY:"" &amp; E588 &amp; ""USD""))
"),24000000)</f>
        <v>24000000</v>
      </c>
      <c r="G588" s="13">
        <f ca="1">IFERROR(__xludf.DUMMYFUNCTION("IF(E588=""USD"",C588,C588 * GOOGLEFINANCE(""CURRENCY:"" &amp; E588 &amp; ""USD""))
"),23225911)</f>
        <v>23225911</v>
      </c>
    </row>
    <row r="589" spans="1:7" ht="15.75" customHeight="1" x14ac:dyDescent="0.25">
      <c r="A589" s="14" t="s">
        <v>24</v>
      </c>
      <c r="B589" s="15">
        <v>14600000</v>
      </c>
      <c r="C589" s="15">
        <v>70906973</v>
      </c>
      <c r="D589" s="15">
        <v>1993</v>
      </c>
      <c r="E589" s="15" t="str">
        <f>VLOOKUP(A589, Currency!$A$2:$B$100, 2, FALSE)</f>
        <v>USD</v>
      </c>
      <c r="F589" s="15">
        <f ca="1">IFERROR(__xludf.DUMMYFUNCTION("IF(E589=""USD"",B589,B589 * GOOGLEFINANCE(""CURRENCY:"" &amp; E589 &amp; ""USD""))
"),14600000)</f>
        <v>14600000</v>
      </c>
      <c r="G589" s="16">
        <f ca="1">IFERROR(__xludf.DUMMYFUNCTION("IF(E589=""USD"",C589,C589 * GOOGLEFINANCE(""CURRENCY:"" &amp; E589 &amp; ""USD""))
"),70906973)</f>
        <v>70906973</v>
      </c>
    </row>
    <row r="590" spans="1:7" ht="15.75" customHeight="1" x14ac:dyDescent="0.25">
      <c r="A590" s="11" t="s">
        <v>24</v>
      </c>
      <c r="B590" s="12">
        <v>2000000</v>
      </c>
      <c r="C590" s="12">
        <v>1430185</v>
      </c>
      <c r="D590" s="12">
        <v>2007</v>
      </c>
      <c r="E590" s="12" t="str">
        <f>VLOOKUP(A590, Currency!$A$2:$B$100, 2, FALSE)</f>
        <v>USD</v>
      </c>
      <c r="F590" s="12">
        <f ca="1">IFERROR(__xludf.DUMMYFUNCTION("IF(E590=""USD"",B590,B590 * GOOGLEFINANCE(""CURRENCY:"" &amp; E590 &amp; ""USD""))
"),2000000)</f>
        <v>2000000</v>
      </c>
      <c r="G590" s="13">
        <f ca="1">IFERROR(__xludf.DUMMYFUNCTION("IF(E590=""USD"",C590,C590 * GOOGLEFINANCE(""CURRENCY:"" &amp; E590 &amp; ""USD""))
"),1430185)</f>
        <v>1430185</v>
      </c>
    </row>
    <row r="591" spans="1:7" ht="15.75" customHeight="1" x14ac:dyDescent="0.25">
      <c r="A591" s="14" t="s">
        <v>24</v>
      </c>
      <c r="B591" s="15">
        <v>35000000</v>
      </c>
      <c r="C591" s="15">
        <v>28064226</v>
      </c>
      <c r="D591" s="15">
        <v>2011</v>
      </c>
      <c r="E591" s="15" t="str">
        <f>VLOOKUP(A591, Currency!$A$2:$B$100, 2, FALSE)</f>
        <v>USD</v>
      </c>
      <c r="F591" s="15">
        <f ca="1">IFERROR(__xludf.DUMMYFUNCTION("IF(E591=""USD"",B591,B591 * GOOGLEFINANCE(""CURRENCY:"" &amp; E591 &amp; ""USD""))
"),35000000)</f>
        <v>35000000</v>
      </c>
      <c r="G591" s="16">
        <f ca="1">IFERROR(__xludf.DUMMYFUNCTION("IF(E591=""USD"",C591,C591 * GOOGLEFINANCE(""CURRENCY:"" &amp; E591 &amp; ""USD""))
"),28064226)</f>
        <v>28064226</v>
      </c>
    </row>
    <row r="592" spans="1:7" ht="15.75" customHeight="1" x14ac:dyDescent="0.25">
      <c r="A592" s="11" t="s">
        <v>24</v>
      </c>
      <c r="B592" s="12">
        <v>18000000</v>
      </c>
      <c r="C592" s="12">
        <v>3752725</v>
      </c>
      <c r="D592" s="12">
        <v>2004</v>
      </c>
      <c r="E592" s="12" t="str">
        <f>VLOOKUP(A592, Currency!$A$2:$B$100, 2, FALSE)</f>
        <v>USD</v>
      </c>
      <c r="F592" s="12">
        <f ca="1">IFERROR(__xludf.DUMMYFUNCTION("IF(E592=""USD"",B592,B592 * GOOGLEFINANCE(""CURRENCY:"" &amp; E592 &amp; ""USD""))
"),18000000)</f>
        <v>18000000</v>
      </c>
      <c r="G592" s="13">
        <f ca="1">IFERROR(__xludf.DUMMYFUNCTION("IF(E592=""USD"",C592,C592 * GOOGLEFINANCE(""CURRENCY:"" &amp; E592 &amp; ""USD""))
"),3752725)</f>
        <v>3752725</v>
      </c>
    </row>
    <row r="593" spans="1:7" ht="15.75" customHeight="1" x14ac:dyDescent="0.25">
      <c r="A593" s="14" t="s">
        <v>176</v>
      </c>
      <c r="B593" s="15">
        <v>4800000</v>
      </c>
      <c r="C593" s="15">
        <v>4063859</v>
      </c>
      <c r="D593" s="15">
        <v>2003</v>
      </c>
      <c r="E593" s="15" t="str">
        <f>VLOOKUP(A593, Currency!$A$2:$B$100, 2, FALSE)</f>
        <v>EUR</v>
      </c>
      <c r="F593" s="15">
        <f ca="1">IFERROR(__xludf.DUMMYFUNCTION("IF(E593=""USD"",B593,B593 * GOOGLEFINANCE(""CURRENCY:"" &amp; E593 &amp; ""USD""))
"),5206752)</f>
        <v>5206752</v>
      </c>
      <c r="G593" s="16">
        <f ca="1">IFERROR(__xludf.DUMMYFUNCTION("IF(E593=""USD"",C593,C593 * GOOGLEFINANCE(""CURRENCY:"" &amp; E593 &amp; ""USD""))
"),4408230.41166)</f>
        <v>4408230.4116599998</v>
      </c>
    </row>
    <row r="594" spans="1:7" ht="15.75" customHeight="1" x14ac:dyDescent="0.25">
      <c r="A594" s="11" t="s">
        <v>24</v>
      </c>
      <c r="B594" s="12">
        <v>20000000</v>
      </c>
      <c r="C594" s="12">
        <v>20259297</v>
      </c>
      <c r="D594" s="12">
        <v>2006</v>
      </c>
      <c r="E594" s="12" t="str">
        <f>VLOOKUP(A594, Currency!$A$2:$B$100, 2, FALSE)</f>
        <v>USD</v>
      </c>
      <c r="F594" s="12">
        <f ca="1">IFERROR(__xludf.DUMMYFUNCTION("IF(E594=""USD"",B594,B594 * GOOGLEFINANCE(""CURRENCY:"" &amp; E594 &amp; ""USD""))
"),20000000)</f>
        <v>20000000</v>
      </c>
      <c r="G594" s="13">
        <f ca="1">IFERROR(__xludf.DUMMYFUNCTION("IF(E594=""USD"",C594,C594 * GOOGLEFINANCE(""CURRENCY:"" &amp; E594 &amp; ""USD""))
"),20259297)</f>
        <v>20259297</v>
      </c>
    </row>
    <row r="595" spans="1:7" ht="15.75" customHeight="1" x14ac:dyDescent="0.25">
      <c r="A595" s="14" t="s">
        <v>24</v>
      </c>
      <c r="B595" s="15">
        <v>31000000</v>
      </c>
      <c r="C595" s="15">
        <v>53133888</v>
      </c>
      <c r="D595" s="15">
        <v>1990</v>
      </c>
      <c r="E595" s="15" t="str">
        <f>VLOOKUP(A595, Currency!$A$2:$B$100, 2, FALSE)</f>
        <v>USD</v>
      </c>
      <c r="F595" s="15">
        <f ca="1">IFERROR(__xludf.DUMMYFUNCTION("IF(E595=""USD"",B595,B595 * GOOGLEFINANCE(""CURRENCY:"" &amp; E595 &amp; ""USD""))
"),31000000)</f>
        <v>31000000</v>
      </c>
      <c r="G595" s="16">
        <f ca="1">IFERROR(__xludf.DUMMYFUNCTION("IF(E595=""USD"",C595,C595 * GOOGLEFINANCE(""CURRENCY:"" &amp; E595 &amp; ""USD""))
"),53133888)</f>
        <v>53133888</v>
      </c>
    </row>
    <row r="596" spans="1:7" ht="15.75" customHeight="1" x14ac:dyDescent="0.25">
      <c r="A596" s="11" t="s">
        <v>24</v>
      </c>
      <c r="B596" s="12">
        <v>20000000</v>
      </c>
      <c r="C596" s="12">
        <v>15408822</v>
      </c>
      <c r="D596" s="12">
        <v>2003</v>
      </c>
      <c r="E596" s="12" t="str">
        <f>VLOOKUP(A596, Currency!$A$2:$B$100, 2, FALSE)</f>
        <v>USD</v>
      </c>
      <c r="F596" s="12">
        <f ca="1">IFERROR(__xludf.DUMMYFUNCTION("IF(E596=""USD"",B596,B596 * GOOGLEFINANCE(""CURRENCY:"" &amp; E596 &amp; ""USD""))
"),20000000)</f>
        <v>20000000</v>
      </c>
      <c r="G596" s="13">
        <f ca="1">IFERROR(__xludf.DUMMYFUNCTION("IF(E596=""USD"",C596,C596 * GOOGLEFINANCE(""CURRENCY:"" &amp; E596 &amp; ""USD""))
"),15408822)</f>
        <v>15408822</v>
      </c>
    </row>
    <row r="597" spans="1:7" ht="15.75" customHeight="1" x14ac:dyDescent="0.25">
      <c r="A597" s="14" t="s">
        <v>24</v>
      </c>
      <c r="B597" s="15">
        <v>51000000</v>
      </c>
      <c r="C597" s="15">
        <v>90567722</v>
      </c>
      <c r="D597" s="15">
        <v>2000</v>
      </c>
      <c r="E597" s="15" t="str">
        <f>VLOOKUP(A597, Currency!$A$2:$B$100, 2, FALSE)</f>
        <v>USD</v>
      </c>
      <c r="F597" s="15">
        <f ca="1">IFERROR(__xludf.DUMMYFUNCTION("IF(E597=""USD"",B597,B597 * GOOGLEFINANCE(""CURRENCY:"" &amp; E597 &amp; ""USD""))
"),51000000)</f>
        <v>51000000</v>
      </c>
      <c r="G597" s="16">
        <f ca="1">IFERROR(__xludf.DUMMYFUNCTION("IF(E597=""USD"",C597,C597 * GOOGLEFINANCE(""CURRENCY:"" &amp; E597 &amp; ""USD""))
"),90567722)</f>
        <v>90567722</v>
      </c>
    </row>
    <row r="598" spans="1:7" ht="15.75" customHeight="1" x14ac:dyDescent="0.25">
      <c r="A598" s="11" t="s">
        <v>24</v>
      </c>
      <c r="B598" s="12">
        <v>26000000</v>
      </c>
      <c r="C598" s="12">
        <v>36985501</v>
      </c>
      <c r="D598" s="12">
        <v>2002</v>
      </c>
      <c r="E598" s="12" t="str">
        <f>VLOOKUP(A598, Currency!$A$2:$B$100, 2, FALSE)</f>
        <v>USD</v>
      </c>
      <c r="F598" s="12">
        <f ca="1">IFERROR(__xludf.DUMMYFUNCTION("IF(E598=""USD"",B598,B598 * GOOGLEFINANCE(""CURRENCY:"" &amp; E598 &amp; ""USD""))
"),26000000)</f>
        <v>26000000</v>
      </c>
      <c r="G598" s="13">
        <f ca="1">IFERROR(__xludf.DUMMYFUNCTION("IF(E598=""USD"",C598,C598 * GOOGLEFINANCE(""CURRENCY:"" &amp; E598 &amp; ""USD""))
"),36985501)</f>
        <v>36985501</v>
      </c>
    </row>
    <row r="599" spans="1:7" ht="15.75" customHeight="1" x14ac:dyDescent="0.25">
      <c r="A599" s="14" t="s">
        <v>24</v>
      </c>
      <c r="B599" s="15">
        <v>20000000</v>
      </c>
      <c r="C599" s="15">
        <v>19976073</v>
      </c>
      <c r="D599" s="15">
        <v>2005</v>
      </c>
      <c r="E599" s="15" t="str">
        <f>VLOOKUP(A599, Currency!$A$2:$B$100, 2, FALSE)</f>
        <v>USD</v>
      </c>
      <c r="F599" s="15">
        <f ca="1">IFERROR(__xludf.DUMMYFUNCTION("IF(E599=""USD"",B599,B599 * GOOGLEFINANCE(""CURRENCY:"" &amp; E599 &amp; ""USD""))
"),20000000)</f>
        <v>20000000</v>
      </c>
      <c r="G599" s="16">
        <f ca="1">IFERROR(__xludf.DUMMYFUNCTION("IF(E599=""USD"",C599,C599 * GOOGLEFINANCE(""CURRENCY:"" &amp; E599 &amp; ""USD""))
"),19976073)</f>
        <v>19976073</v>
      </c>
    </row>
    <row r="600" spans="1:7" ht="15.75" customHeight="1" x14ac:dyDescent="0.25">
      <c r="A600" s="11" t="s">
        <v>24</v>
      </c>
      <c r="B600" s="12">
        <v>15000000</v>
      </c>
      <c r="C600" s="12">
        <v>28870</v>
      </c>
      <c r="D600" s="12">
        <v>2011</v>
      </c>
      <c r="E600" s="12" t="str">
        <f>VLOOKUP(A600, Currency!$A$2:$B$100, 2, FALSE)</f>
        <v>USD</v>
      </c>
      <c r="F600" s="12">
        <f ca="1">IFERROR(__xludf.DUMMYFUNCTION("IF(E600=""USD"",B600,B600 * GOOGLEFINANCE(""CURRENCY:"" &amp; E600 &amp; ""USD""))
"),15000000)</f>
        <v>15000000</v>
      </c>
      <c r="G600" s="13">
        <f ca="1">IFERROR(__xludf.DUMMYFUNCTION("IF(E600=""USD"",C600,C600 * GOOGLEFINANCE(""CURRENCY:"" &amp; E600 &amp; ""USD""))
"),28870)</f>
        <v>28870</v>
      </c>
    </row>
    <row r="601" spans="1:7" ht="15.75" customHeight="1" x14ac:dyDescent="0.25">
      <c r="A601" s="14" t="s">
        <v>24</v>
      </c>
      <c r="B601" s="15">
        <v>90000000</v>
      </c>
      <c r="C601" s="15">
        <v>196573705</v>
      </c>
      <c r="D601" s="15">
        <v>2009</v>
      </c>
      <c r="E601" s="15" t="str">
        <f>VLOOKUP(A601, Currency!$A$2:$B$100, 2, FALSE)</f>
        <v>USD</v>
      </c>
      <c r="F601" s="15">
        <f ca="1">IFERROR(__xludf.DUMMYFUNCTION("IF(E601=""USD"",B601,B601 * GOOGLEFINANCE(""CURRENCY:"" &amp; E601 &amp; ""USD""))
"),90000000)</f>
        <v>90000000</v>
      </c>
      <c r="G601" s="16">
        <f ca="1">IFERROR(__xludf.DUMMYFUNCTION("IF(E601=""USD"",C601,C601 * GOOGLEFINANCE(""CURRENCY:"" &amp; E601 &amp; ""USD""))
"),196573705)</f>
        <v>196573705</v>
      </c>
    </row>
    <row r="602" spans="1:7" ht="15.75" customHeight="1" x14ac:dyDescent="0.25">
      <c r="A602" s="11" t="s">
        <v>611</v>
      </c>
      <c r="B602" s="12">
        <v>1500000</v>
      </c>
      <c r="C602" s="12">
        <v>418953</v>
      </c>
      <c r="D602" s="12">
        <v>1993</v>
      </c>
      <c r="E602" s="12" t="str">
        <f>VLOOKUP(A602, Currency!$A$2:$B$100, 2, FALSE)</f>
        <v>EUR</v>
      </c>
      <c r="F602" s="12">
        <f ca="1">IFERROR(__xludf.DUMMYFUNCTION("IF(E602=""USD"",B602,B602 * GOOGLEFINANCE(""CURRENCY:"" &amp; E602 &amp; ""USD""))
"),1627110)</f>
        <v>1627110</v>
      </c>
      <c r="G602" s="13">
        <f ca="1">IFERROR(__xludf.DUMMYFUNCTION("IF(E602=""USD"",C602,C602 * GOOGLEFINANCE(""CURRENCY:"" &amp; E602 &amp; ""USD""))
"),454455.07722)</f>
        <v>454455.07721999998</v>
      </c>
    </row>
    <row r="603" spans="1:7" ht="15.75" customHeight="1" x14ac:dyDescent="0.25">
      <c r="A603" s="14" t="s">
        <v>24</v>
      </c>
      <c r="B603" s="15">
        <v>58000000</v>
      </c>
      <c r="C603" s="15">
        <v>90356857</v>
      </c>
      <c r="D603" s="15">
        <v>2010</v>
      </c>
      <c r="E603" s="15" t="str">
        <f>VLOOKUP(A603, Currency!$A$2:$B$100, 2, FALSE)</f>
        <v>USD</v>
      </c>
      <c r="F603" s="15">
        <f ca="1">IFERROR(__xludf.DUMMYFUNCTION("IF(E603=""USD"",B603,B603 * GOOGLEFINANCE(""CURRENCY:"" &amp; E603 &amp; ""USD""))
"),58000000)</f>
        <v>58000000</v>
      </c>
      <c r="G603" s="16">
        <f ca="1">IFERROR(__xludf.DUMMYFUNCTION("IF(E603=""USD"",C603,C603 * GOOGLEFINANCE(""CURRENCY:"" &amp; E603 &amp; ""USD""))
"),90356857)</f>
        <v>90356857</v>
      </c>
    </row>
    <row r="604" spans="1:7" ht="15.75" customHeight="1" x14ac:dyDescent="0.25">
      <c r="A604" s="11" t="s">
        <v>24</v>
      </c>
      <c r="B604" s="12">
        <v>10000000</v>
      </c>
      <c r="C604" s="12">
        <v>2331318</v>
      </c>
      <c r="D604" s="12">
        <v>2011</v>
      </c>
      <c r="E604" s="12" t="str">
        <f>VLOOKUP(A604, Currency!$A$2:$B$100, 2, FALSE)</f>
        <v>USD</v>
      </c>
      <c r="F604" s="12">
        <f ca="1">IFERROR(__xludf.DUMMYFUNCTION("IF(E604=""USD"",B604,B604 * GOOGLEFINANCE(""CURRENCY:"" &amp; E604 &amp; ""USD""))
"),10000000)</f>
        <v>10000000</v>
      </c>
      <c r="G604" s="13">
        <f ca="1">IFERROR(__xludf.DUMMYFUNCTION("IF(E604=""USD"",C604,C604 * GOOGLEFINANCE(""CURRENCY:"" &amp; E604 &amp; ""USD""))
"),2331318)</f>
        <v>2331318</v>
      </c>
    </row>
    <row r="605" spans="1:7" ht="15.75" customHeight="1" x14ac:dyDescent="0.25">
      <c r="A605" s="14" t="s">
        <v>24</v>
      </c>
      <c r="B605" s="15">
        <v>6500000</v>
      </c>
      <c r="C605" s="15">
        <v>24103594</v>
      </c>
      <c r="D605" s="15">
        <v>1993</v>
      </c>
      <c r="E605" s="15" t="str">
        <f>VLOOKUP(A605, Currency!$A$2:$B$100, 2, FALSE)</f>
        <v>USD</v>
      </c>
      <c r="F605" s="15">
        <f ca="1">IFERROR(__xludf.DUMMYFUNCTION("IF(E605=""USD"",B605,B605 * GOOGLEFINANCE(""CURRENCY:"" &amp; E605 &amp; ""USD""))
"),6500000)</f>
        <v>6500000</v>
      </c>
      <c r="G605" s="16">
        <f ca="1">IFERROR(__xludf.DUMMYFUNCTION("IF(E605=""USD"",C605,C605 * GOOGLEFINANCE(""CURRENCY:"" &amp; E605 &amp; ""USD""))
"),24103594)</f>
        <v>24103594</v>
      </c>
    </row>
    <row r="606" spans="1:7" ht="15.75" customHeight="1" x14ac:dyDescent="0.25">
      <c r="A606" s="11" t="s">
        <v>24</v>
      </c>
      <c r="B606" s="12">
        <v>18000000</v>
      </c>
      <c r="C606" s="12">
        <v>43601508</v>
      </c>
      <c r="D606" s="12">
        <v>2003</v>
      </c>
      <c r="E606" s="12" t="str">
        <f>VLOOKUP(A606, Currency!$A$2:$B$100, 2, FALSE)</f>
        <v>USD</v>
      </c>
      <c r="F606" s="12">
        <f ca="1">IFERROR(__xludf.DUMMYFUNCTION("IF(E606=""USD"",B606,B606 * GOOGLEFINANCE(""CURRENCY:"" &amp; E606 &amp; ""USD""))
"),18000000)</f>
        <v>18000000</v>
      </c>
      <c r="G606" s="13">
        <f ca="1">IFERROR(__xludf.DUMMYFUNCTION("IF(E606=""USD"",C606,C606 * GOOGLEFINANCE(""CURRENCY:"" &amp; E606 &amp; ""USD""))
"),43601508)</f>
        <v>43601508</v>
      </c>
    </row>
    <row r="607" spans="1:7" ht="15.75" customHeight="1" x14ac:dyDescent="0.25">
      <c r="A607" s="14" t="s">
        <v>133</v>
      </c>
      <c r="B607" s="15">
        <v>80000000</v>
      </c>
      <c r="C607" s="15">
        <v>72515360</v>
      </c>
      <c r="D607" s="15">
        <v>2005</v>
      </c>
      <c r="E607" s="15" t="str">
        <f>VLOOKUP(A607, Currency!$A$2:$B$100, 2, FALSE)</f>
        <v>GBP</v>
      </c>
      <c r="F607" s="15">
        <f ca="1">IFERROR(__xludf.DUMMYFUNCTION("IF(E607=""USD"",B607,B607 * GOOGLEFINANCE(""CURRENCY:"" &amp; E607 &amp; ""USD""))
"),102831999.999999)</f>
        <v>102831999.999999</v>
      </c>
      <c r="G607" s="16">
        <f ca="1">IFERROR(__xludf.DUMMYFUNCTION("IF(E607=""USD"",C607,C607 * GOOGLEFINANCE(""CURRENCY:"" &amp; E607 &amp; ""USD""))
"),93211243.7439999)</f>
        <v>93211243.743999898</v>
      </c>
    </row>
    <row r="608" spans="1:7" ht="15.75" customHeight="1" x14ac:dyDescent="0.25">
      <c r="A608" s="11" t="s">
        <v>24</v>
      </c>
      <c r="B608" s="12">
        <v>8000000</v>
      </c>
      <c r="C608" s="12">
        <v>16168741</v>
      </c>
      <c r="D608" s="12">
        <v>2013</v>
      </c>
      <c r="E608" s="12" t="str">
        <f>VLOOKUP(A608, Currency!$A$2:$B$100, 2, FALSE)</f>
        <v>USD</v>
      </c>
      <c r="F608" s="12">
        <f ca="1">IFERROR(__xludf.DUMMYFUNCTION("IF(E608=""USD"",B608,B608 * GOOGLEFINANCE(""CURRENCY:"" &amp; E608 &amp; ""USD""))
"),8000000)</f>
        <v>8000000</v>
      </c>
      <c r="G608" s="13">
        <f ca="1">IFERROR(__xludf.DUMMYFUNCTION("IF(E608=""USD"",C608,C608 * GOOGLEFINANCE(""CURRENCY:"" &amp; E608 &amp; ""USD""))
"),16168741)</f>
        <v>16168741</v>
      </c>
    </row>
    <row r="609" spans="1:7" ht="15.75" customHeight="1" x14ac:dyDescent="0.25">
      <c r="A609" s="14" t="s">
        <v>24</v>
      </c>
      <c r="B609" s="15">
        <v>40000000</v>
      </c>
      <c r="C609" s="15">
        <v>13376506</v>
      </c>
      <c r="D609" s="15">
        <v>1999</v>
      </c>
      <c r="E609" s="15" t="str">
        <f>VLOOKUP(A609, Currency!$A$2:$B$100, 2, FALSE)</f>
        <v>USD</v>
      </c>
      <c r="F609" s="15">
        <f ca="1">IFERROR(__xludf.DUMMYFUNCTION("IF(E609=""USD"",B609,B609 * GOOGLEFINANCE(""CURRENCY:"" &amp; E609 &amp; ""USD""))
"),40000000)</f>
        <v>40000000</v>
      </c>
      <c r="G609" s="16">
        <f ca="1">IFERROR(__xludf.DUMMYFUNCTION("IF(E609=""USD"",C609,C609 * GOOGLEFINANCE(""CURRENCY:"" &amp; E609 &amp; ""USD""))
"),13376506)</f>
        <v>13376506</v>
      </c>
    </row>
    <row r="610" spans="1:7" ht="15.75" customHeight="1" x14ac:dyDescent="0.25">
      <c r="A610" s="11" t="s">
        <v>24</v>
      </c>
      <c r="B610" s="12">
        <v>14000000</v>
      </c>
      <c r="C610" s="12">
        <v>3100650</v>
      </c>
      <c r="D610" s="12">
        <v>2001</v>
      </c>
      <c r="E610" s="12" t="str">
        <f>VLOOKUP(A610, Currency!$A$2:$B$100, 2, FALSE)</f>
        <v>USD</v>
      </c>
      <c r="F610" s="12">
        <f ca="1">IFERROR(__xludf.DUMMYFUNCTION("IF(E610=""USD"",B610,B610 * GOOGLEFINANCE(""CURRENCY:"" &amp; E610 &amp; ""USD""))
"),14000000)</f>
        <v>14000000</v>
      </c>
      <c r="G610" s="13">
        <f ca="1">IFERROR(__xludf.DUMMYFUNCTION("IF(E610=""USD"",C610,C610 * GOOGLEFINANCE(""CURRENCY:"" &amp; E610 &amp; ""USD""))
"),3100650)</f>
        <v>3100650</v>
      </c>
    </row>
    <row r="611" spans="1:7" ht="15.75" customHeight="1" x14ac:dyDescent="0.25">
      <c r="A611" s="14" t="s">
        <v>133</v>
      </c>
      <c r="B611" s="15">
        <v>120000000</v>
      </c>
      <c r="C611" s="15">
        <v>108521835</v>
      </c>
      <c r="D611" s="15">
        <v>2016</v>
      </c>
      <c r="E611" s="15" t="str">
        <f>VLOOKUP(A611, Currency!$A$2:$B$100, 2, FALSE)</f>
        <v>GBP</v>
      </c>
      <c r="F611" s="15">
        <f ca="1">IFERROR(__xludf.DUMMYFUNCTION("IF(E611=""USD"",B611,B611 * GOOGLEFINANCE(""CURRENCY:"" &amp; E611 &amp; ""USD""))
"),154248000)</f>
        <v>154248000</v>
      </c>
      <c r="G611" s="16">
        <f ca="1">IFERROR(__xludf.DUMMYFUNCTION("IF(E611=""USD"",C611,C611 * GOOGLEFINANCE(""CURRENCY:"" &amp; E611 &amp; ""USD""))
"),139493966.709)</f>
        <v>139493966.70899999</v>
      </c>
    </row>
    <row r="612" spans="1:7" ht="15.75" customHeight="1" x14ac:dyDescent="0.25">
      <c r="A612" s="11" t="s">
        <v>24</v>
      </c>
      <c r="B612" s="12">
        <v>15000000</v>
      </c>
      <c r="C612" s="12">
        <v>24881000</v>
      </c>
      <c r="D612" s="12">
        <v>1996</v>
      </c>
      <c r="E612" s="12" t="str">
        <f>VLOOKUP(A612, Currency!$A$2:$B$100, 2, FALSE)</f>
        <v>USD</v>
      </c>
      <c r="F612" s="12">
        <f ca="1">IFERROR(__xludf.DUMMYFUNCTION("IF(E612=""USD"",B612,B612 * GOOGLEFINANCE(""CURRENCY:"" &amp; E612 &amp; ""USD""))
"),15000000)</f>
        <v>15000000</v>
      </c>
      <c r="G612" s="13">
        <f ca="1">IFERROR(__xludf.DUMMYFUNCTION("IF(E612=""USD"",C612,C612 * GOOGLEFINANCE(""CURRENCY:"" &amp; E612 &amp; ""USD""))
"),24881000)</f>
        <v>24881000</v>
      </c>
    </row>
    <row r="613" spans="1:7" ht="15.75" customHeight="1" x14ac:dyDescent="0.25">
      <c r="A613" s="14" t="s">
        <v>24</v>
      </c>
      <c r="B613" s="15">
        <v>65000000</v>
      </c>
      <c r="C613" s="15">
        <v>43532294</v>
      </c>
      <c r="D613" s="15">
        <v>2006</v>
      </c>
      <c r="E613" s="15" t="str">
        <f>VLOOKUP(A613, Currency!$A$2:$B$100, 2, FALSE)</f>
        <v>USD</v>
      </c>
      <c r="F613" s="15">
        <f ca="1">IFERROR(__xludf.DUMMYFUNCTION("IF(E613=""USD"",B613,B613 * GOOGLEFINANCE(""CURRENCY:"" &amp; E613 &amp; ""USD""))
"),65000000)</f>
        <v>65000000</v>
      </c>
      <c r="G613" s="16">
        <f ca="1">IFERROR(__xludf.DUMMYFUNCTION("IF(E613=""USD"",C613,C613 * GOOGLEFINANCE(""CURRENCY:"" &amp; E613 &amp; ""USD""))
"),43532294)</f>
        <v>43532294</v>
      </c>
    </row>
    <row r="614" spans="1:7" ht="15.75" customHeight="1" x14ac:dyDescent="0.25">
      <c r="A614" s="11" t="s">
        <v>24</v>
      </c>
      <c r="B614" s="12">
        <v>200000000</v>
      </c>
      <c r="C614" s="12">
        <v>191450875</v>
      </c>
      <c r="D614" s="12">
        <v>2011</v>
      </c>
      <c r="E614" s="12" t="str">
        <f>VLOOKUP(A614, Currency!$A$2:$B$100, 2, FALSE)</f>
        <v>USD</v>
      </c>
      <c r="F614" s="12">
        <f ca="1">IFERROR(__xludf.DUMMYFUNCTION("IF(E614=""USD"",B614,B614 * GOOGLEFINANCE(""CURRENCY:"" &amp; E614 &amp; ""USD""))
"),200000000)</f>
        <v>200000000</v>
      </c>
      <c r="G614" s="13">
        <f ca="1">IFERROR(__xludf.DUMMYFUNCTION("IF(E614=""USD"",C614,C614 * GOOGLEFINANCE(""CURRENCY:"" &amp; E614 &amp; ""USD""))
"),191450875)</f>
        <v>191450875</v>
      </c>
    </row>
    <row r="615" spans="1:7" ht="15.75" customHeight="1" x14ac:dyDescent="0.25">
      <c r="A615" s="14" t="s">
        <v>133</v>
      </c>
      <c r="B615" s="15">
        <v>12000000</v>
      </c>
      <c r="C615" s="15">
        <v>56715371</v>
      </c>
      <c r="D615" s="15">
        <v>1968</v>
      </c>
      <c r="E615" s="15" t="str">
        <f>VLOOKUP(A615, Currency!$A$2:$B$100, 2, FALSE)</f>
        <v>GBP</v>
      </c>
      <c r="F615" s="15">
        <f ca="1">IFERROR(__xludf.DUMMYFUNCTION("IF(E615=""USD"",B615,B615 * GOOGLEFINANCE(""CURRENCY:"" &amp; E615 &amp; ""USD""))
"),15424799.9999999)</f>
        <v>15424799.999999899</v>
      </c>
      <c r="G615" s="16">
        <f ca="1">IFERROR(__xludf.DUMMYFUNCTION("IF(E615=""USD"",C615,C615 * GOOGLEFINANCE(""CURRENCY:"" &amp; E615 &amp; ""USD""))
"),72901937.8834)</f>
        <v>72901937.883399993</v>
      </c>
    </row>
    <row r="616" spans="1:7" ht="15.75" customHeight="1" x14ac:dyDescent="0.25">
      <c r="A616" s="11" t="s">
        <v>24</v>
      </c>
      <c r="B616" s="12">
        <v>500000</v>
      </c>
      <c r="C616" s="12">
        <v>39552600</v>
      </c>
      <c r="D616" s="12">
        <v>1974</v>
      </c>
      <c r="E616" s="12" t="str">
        <f>VLOOKUP(A616, Currency!$A$2:$B$100, 2, FALSE)</f>
        <v>USD</v>
      </c>
      <c r="F616" s="12">
        <f ca="1">IFERROR(__xludf.DUMMYFUNCTION("IF(E616=""USD"",B616,B616 * GOOGLEFINANCE(""CURRENCY:"" &amp; E616 &amp; ""USD""))
"),500000)</f>
        <v>500000</v>
      </c>
      <c r="G616" s="13">
        <f ca="1">IFERROR(__xludf.DUMMYFUNCTION("IF(E616=""USD"",C616,C616 * GOOGLEFINANCE(""CURRENCY:"" &amp; E616 &amp; ""USD""))
"),39552600)</f>
        <v>39552600</v>
      </c>
    </row>
    <row r="617" spans="1:7" ht="15.75" customHeight="1" x14ac:dyDescent="0.25">
      <c r="A617" s="14" t="s">
        <v>133</v>
      </c>
      <c r="B617" s="15">
        <v>20000000</v>
      </c>
      <c r="C617" s="15">
        <v>27277055</v>
      </c>
      <c r="D617" s="15">
        <v>2000</v>
      </c>
      <c r="E617" s="15" t="str">
        <f>VLOOKUP(A617, Currency!$A$2:$B$100, 2, FALSE)</f>
        <v>GBP</v>
      </c>
      <c r="F617" s="15">
        <f ca="1">IFERROR(__xludf.DUMMYFUNCTION("IF(E617=""USD"",B617,B617 * GOOGLEFINANCE(""CURRENCY:"" &amp; E617 &amp; ""USD""))
"),25707999.9999999)</f>
        <v>25707999.999999899</v>
      </c>
      <c r="G617" s="16">
        <f ca="1">IFERROR(__xludf.DUMMYFUNCTION("IF(E617=""USD"",C617,C617 * GOOGLEFINANCE(""CURRENCY:"" &amp; E617 &amp; ""USD""))
"),35061926.4969999)</f>
        <v>35061926.496999897</v>
      </c>
    </row>
    <row r="618" spans="1:7" ht="15.75" customHeight="1" x14ac:dyDescent="0.25">
      <c r="A618" s="11" t="s">
        <v>24</v>
      </c>
      <c r="B618" s="12">
        <v>35000000</v>
      </c>
      <c r="C618" s="12">
        <v>10139254</v>
      </c>
      <c r="D618" s="12">
        <v>2006</v>
      </c>
      <c r="E618" s="12" t="str">
        <f>VLOOKUP(A618, Currency!$A$2:$B$100, 2, FALSE)</f>
        <v>USD</v>
      </c>
      <c r="F618" s="12">
        <f ca="1">IFERROR(__xludf.DUMMYFUNCTION("IF(E618=""USD"",B618,B618 * GOOGLEFINANCE(""CURRENCY:"" &amp; E618 &amp; ""USD""))
"),35000000)</f>
        <v>35000000</v>
      </c>
      <c r="G618" s="13">
        <f ca="1">IFERROR(__xludf.DUMMYFUNCTION("IF(E618=""USD"",C618,C618 * GOOGLEFINANCE(""CURRENCY:"" &amp; E618 &amp; ""USD""))
"),10139254)</f>
        <v>10139254</v>
      </c>
    </row>
    <row r="619" spans="1:7" ht="15.75" customHeight="1" x14ac:dyDescent="0.25">
      <c r="A619" s="14" t="s">
        <v>133</v>
      </c>
      <c r="B619" s="15">
        <v>40000000</v>
      </c>
      <c r="C619" s="15">
        <v>40203020</v>
      </c>
      <c r="D619" s="15">
        <v>2004</v>
      </c>
      <c r="E619" s="15" t="str">
        <f>VLOOKUP(A619, Currency!$A$2:$B$100, 2, FALSE)</f>
        <v>GBP</v>
      </c>
      <c r="F619" s="15">
        <f ca="1">IFERROR(__xludf.DUMMYFUNCTION("IF(E619=""USD"",B619,B619 * GOOGLEFINANCE(""CURRENCY:"" &amp; E619 &amp; ""USD""))
"),51415999.9999999)</f>
        <v>51415999.999999903</v>
      </c>
      <c r="G619" s="16">
        <f ca="1">IFERROR(__xludf.DUMMYFUNCTION("IF(E619=""USD"",C619,C619 * GOOGLEFINANCE(""CURRENCY:"" &amp; E619 &amp; ""USD""))
"),51676961.9079999)</f>
        <v>51676961.907999903</v>
      </c>
    </row>
    <row r="620" spans="1:7" ht="15.75" customHeight="1" x14ac:dyDescent="0.25">
      <c r="A620" s="11" t="s">
        <v>24</v>
      </c>
      <c r="B620" s="12">
        <v>75000000</v>
      </c>
      <c r="C620" s="12">
        <v>47748610</v>
      </c>
      <c r="D620" s="12">
        <v>1997</v>
      </c>
      <c r="E620" s="12" t="str">
        <f>VLOOKUP(A620, Currency!$A$2:$B$100, 2, FALSE)</f>
        <v>USD</v>
      </c>
      <c r="F620" s="12">
        <f ca="1">IFERROR(__xludf.DUMMYFUNCTION("IF(E620=""USD"",B620,B620 * GOOGLEFINANCE(""CURRENCY:"" &amp; E620 &amp; ""USD""))
"),75000000)</f>
        <v>75000000</v>
      </c>
      <c r="G620" s="13">
        <f ca="1">IFERROR(__xludf.DUMMYFUNCTION("IF(E620=""USD"",C620,C620 * GOOGLEFINANCE(""CURRENCY:"" &amp; E620 &amp; ""USD""))
"),47748610)</f>
        <v>47748610</v>
      </c>
    </row>
    <row r="621" spans="1:7" ht="15.75" customHeight="1" x14ac:dyDescent="0.25">
      <c r="A621" s="14" t="s">
        <v>133</v>
      </c>
      <c r="B621" s="15">
        <v>75000000</v>
      </c>
      <c r="C621" s="15">
        <v>14567883</v>
      </c>
      <c r="D621" s="15">
        <v>1998</v>
      </c>
      <c r="E621" s="15" t="str">
        <f>VLOOKUP(A621, Currency!$A$2:$B$100, 2, FALSE)</f>
        <v>GBP</v>
      </c>
      <c r="F621" s="15">
        <f ca="1">IFERROR(__xludf.DUMMYFUNCTION("IF(E621=""USD"",B621,B621 * GOOGLEFINANCE(""CURRENCY:"" &amp; E621 &amp; ""USD""))
"),96404999.9999999)</f>
        <v>96404999.999999896</v>
      </c>
      <c r="G621" s="16">
        <f ca="1">IFERROR(__xludf.DUMMYFUNCTION("IF(E621=""USD"",C621,C621 * GOOGLEFINANCE(""CURRENCY:"" &amp; E621 &amp; ""USD""))
"),18725556.8081999)</f>
        <v>18725556.808199901</v>
      </c>
    </row>
    <row r="622" spans="1:7" ht="15.75" customHeight="1" x14ac:dyDescent="0.25">
      <c r="A622" s="11" t="s">
        <v>24</v>
      </c>
      <c r="B622" s="12">
        <v>40000000</v>
      </c>
      <c r="C622" s="12">
        <v>31836745</v>
      </c>
      <c r="D622" s="12">
        <v>2011</v>
      </c>
      <c r="E622" s="12" t="str">
        <f>VLOOKUP(A622, Currency!$A$2:$B$100, 2, FALSE)</f>
        <v>USD</v>
      </c>
      <c r="F622" s="12">
        <f ca="1">IFERROR(__xludf.DUMMYFUNCTION("IF(E622=""USD"",B622,B622 * GOOGLEFINANCE(""CURRENCY:"" &amp; E622 &amp; ""USD""))
"),40000000)</f>
        <v>40000000</v>
      </c>
      <c r="G622" s="13">
        <f ca="1">IFERROR(__xludf.DUMMYFUNCTION("IF(E622=""USD"",C622,C622 * GOOGLEFINANCE(""CURRENCY:"" &amp; E622 &amp; ""USD""))
"),31836745)</f>
        <v>31836745</v>
      </c>
    </row>
    <row r="623" spans="1:7" ht="15.75" customHeight="1" x14ac:dyDescent="0.25">
      <c r="A623" s="14" t="s">
        <v>149</v>
      </c>
      <c r="B623" s="15">
        <v>15000000</v>
      </c>
      <c r="C623" s="15">
        <v>399879</v>
      </c>
      <c r="D623" s="15">
        <v>2006</v>
      </c>
      <c r="E623" s="15" t="str">
        <f>VLOOKUP(A623, Currency!$A$2:$B$100, 2, FALSE)</f>
        <v>AUD</v>
      </c>
      <c r="F623" s="15">
        <f ca="1">IFERROR(__xludf.DUMMYFUNCTION("IF(E623=""USD"",B623,B623 * GOOGLEFINANCE(""CURRENCY:"" &amp; E623 &amp; ""USD""))
"),9808200)</f>
        <v>9808200</v>
      </c>
      <c r="G623" s="16">
        <f ca="1">IFERROR(__xludf.DUMMYFUNCTION("IF(E623=""USD"",C623,C623 * GOOGLEFINANCE(""CURRENCY:"" &amp; E623 &amp; ""USD""))
"),261472.88052)</f>
        <v>261472.88052000001</v>
      </c>
    </row>
    <row r="624" spans="1:7" ht="15.75" customHeight="1" x14ac:dyDescent="0.25">
      <c r="A624" s="11" t="s">
        <v>24</v>
      </c>
      <c r="B624" s="12">
        <v>175000000</v>
      </c>
      <c r="C624" s="12">
        <v>292979556</v>
      </c>
      <c r="D624" s="12">
        <v>2009</v>
      </c>
      <c r="E624" s="12" t="str">
        <f>VLOOKUP(A624, Currency!$A$2:$B$100, 2, FALSE)</f>
        <v>USD</v>
      </c>
      <c r="F624" s="12">
        <f ca="1">IFERROR(__xludf.DUMMYFUNCTION("IF(E624=""USD"",B624,B624 * GOOGLEFINANCE(""CURRENCY:"" &amp; E624 &amp; ""USD""))
"),175000000)</f>
        <v>175000000</v>
      </c>
      <c r="G624" s="13">
        <f ca="1">IFERROR(__xludf.DUMMYFUNCTION("IF(E624=""USD"",C624,C624 * GOOGLEFINANCE(""CURRENCY:"" &amp; E624 &amp; ""USD""))
"),292979556)</f>
        <v>292979556</v>
      </c>
    </row>
    <row r="625" spans="1:7" ht="15.75" customHeight="1" x14ac:dyDescent="0.25">
      <c r="A625" s="14" t="s">
        <v>24</v>
      </c>
      <c r="B625" s="15">
        <v>55000000</v>
      </c>
      <c r="C625" s="15">
        <v>107100855</v>
      </c>
      <c r="D625" s="15">
        <v>2013</v>
      </c>
      <c r="E625" s="15" t="str">
        <f>VLOOKUP(A625, Currency!$A$2:$B$100, 2, FALSE)</f>
        <v>USD</v>
      </c>
      <c r="F625" s="15">
        <f ca="1">IFERROR(__xludf.DUMMYFUNCTION("IF(E625=""USD"",B625,B625 * GOOGLEFINANCE(""CURRENCY:"" &amp; E625 &amp; ""USD""))
"),55000000)</f>
        <v>55000000</v>
      </c>
      <c r="G625" s="16">
        <f ca="1">IFERROR(__xludf.DUMMYFUNCTION("IF(E625=""USD"",C625,C625 * GOOGLEFINANCE(""CURRENCY:"" &amp; E625 &amp; ""USD""))
"),107100855)</f>
        <v>107100855</v>
      </c>
    </row>
    <row r="626" spans="1:7" ht="15.75" customHeight="1" x14ac:dyDescent="0.25">
      <c r="A626" s="11" t="s">
        <v>24</v>
      </c>
      <c r="B626" s="12">
        <v>20000000</v>
      </c>
      <c r="C626" s="12">
        <v>13337299</v>
      </c>
      <c r="D626" s="12">
        <v>2004</v>
      </c>
      <c r="E626" s="12" t="str">
        <f>VLOOKUP(A626, Currency!$A$2:$B$100, 2, FALSE)</f>
        <v>USD</v>
      </c>
      <c r="F626" s="12">
        <f ca="1">IFERROR(__xludf.DUMMYFUNCTION("IF(E626=""USD"",B626,B626 * GOOGLEFINANCE(""CURRENCY:"" &amp; E626 &amp; ""USD""))
"),20000000)</f>
        <v>20000000</v>
      </c>
      <c r="G626" s="13">
        <f ca="1">IFERROR(__xludf.DUMMYFUNCTION("IF(E626=""USD"",C626,C626 * GOOGLEFINANCE(""CURRENCY:"" &amp; E626 &amp; ""USD""))
"),13337299)</f>
        <v>13337299</v>
      </c>
    </row>
    <row r="627" spans="1:7" ht="15.75" customHeight="1" x14ac:dyDescent="0.25">
      <c r="A627" s="14" t="s">
        <v>24</v>
      </c>
      <c r="B627" s="15">
        <v>32000000</v>
      </c>
      <c r="C627" s="15">
        <v>60328558</v>
      </c>
      <c r="D627" s="15">
        <v>1988</v>
      </c>
      <c r="E627" s="15" t="str">
        <f>VLOOKUP(A627, Currency!$A$2:$B$100, 2, FALSE)</f>
        <v>USD</v>
      </c>
      <c r="F627" s="15">
        <f ca="1">IFERROR(__xludf.DUMMYFUNCTION("IF(E627=""USD"",B627,B627 * GOOGLEFINANCE(""CURRENCY:"" &amp; E627 &amp; ""USD""))
"),32000000)</f>
        <v>32000000</v>
      </c>
      <c r="G627" s="16">
        <f ca="1">IFERROR(__xludf.DUMMYFUNCTION("IF(E627=""USD"",C627,C627 * GOOGLEFINANCE(""CURRENCY:"" &amp; E627 &amp; ""USD""))
"),60328558)</f>
        <v>60328558</v>
      </c>
    </row>
    <row r="628" spans="1:7" ht="15.75" customHeight="1" x14ac:dyDescent="0.25">
      <c r="A628" s="11" t="s">
        <v>24</v>
      </c>
      <c r="B628" s="12">
        <v>200000</v>
      </c>
      <c r="C628" s="12">
        <v>78030</v>
      </c>
      <c r="D628" s="12">
        <v>2012</v>
      </c>
      <c r="E628" s="12" t="str">
        <f>VLOOKUP(A628, Currency!$A$2:$B$100, 2, FALSE)</f>
        <v>USD</v>
      </c>
      <c r="F628" s="12">
        <f ca="1">IFERROR(__xludf.DUMMYFUNCTION("IF(E628=""USD"",B628,B628 * GOOGLEFINANCE(""CURRENCY:"" &amp; E628 &amp; ""USD""))
"),200000)</f>
        <v>200000</v>
      </c>
      <c r="G628" s="13">
        <f ca="1">IFERROR(__xludf.DUMMYFUNCTION("IF(E628=""USD"",C628,C628 * GOOGLEFINANCE(""CURRENCY:"" &amp; E628 &amp; ""USD""))
"),78030)</f>
        <v>78030</v>
      </c>
    </row>
    <row r="629" spans="1:7" ht="15.75" customHeight="1" x14ac:dyDescent="0.25">
      <c r="A629" s="14" t="s">
        <v>24</v>
      </c>
      <c r="B629" s="15">
        <v>1000000</v>
      </c>
      <c r="C629" s="15">
        <v>53245055</v>
      </c>
      <c r="D629" s="15">
        <v>2012</v>
      </c>
      <c r="E629" s="15" t="str">
        <f>VLOOKUP(A629, Currency!$A$2:$B$100, 2, FALSE)</f>
        <v>USD</v>
      </c>
      <c r="F629" s="15">
        <f ca="1">IFERROR(__xludf.DUMMYFUNCTION("IF(E629=""USD"",B629,B629 * GOOGLEFINANCE(""CURRENCY:"" &amp; E629 &amp; ""USD""))
"),1000000)</f>
        <v>1000000</v>
      </c>
      <c r="G629" s="16">
        <f ca="1">IFERROR(__xludf.DUMMYFUNCTION("IF(E629=""USD"",C629,C629 * GOOGLEFINANCE(""CURRENCY:"" &amp; E629 &amp; ""USD""))
"),53245055)</f>
        <v>53245055</v>
      </c>
    </row>
    <row r="630" spans="1:7" ht="15.75" customHeight="1" x14ac:dyDescent="0.25">
      <c r="A630" s="11" t="s">
        <v>1111</v>
      </c>
      <c r="B630" s="12">
        <v>15000000</v>
      </c>
      <c r="C630" s="12">
        <v>2203641</v>
      </c>
      <c r="D630" s="12">
        <v>2008</v>
      </c>
      <c r="E630" s="12" t="str">
        <f>VLOOKUP(A630, Currency!$A$2:$B$100, 2, FALSE)</f>
        <v>EUR</v>
      </c>
      <c r="F630" s="12">
        <f ca="1">IFERROR(__xludf.DUMMYFUNCTION("IF(E630=""USD"",B630,B630 * GOOGLEFINANCE(""CURRENCY:"" &amp; E630 &amp; ""USD""))
"),16271100)</f>
        <v>16271100</v>
      </c>
      <c r="G630" s="13">
        <f ca="1">IFERROR(__xludf.DUMMYFUNCTION("IF(E630=""USD"",C630,C630 * GOOGLEFINANCE(""CURRENCY:"" &amp; E630 &amp; ""USD""))
"),2390377.53834)</f>
        <v>2390377.53834</v>
      </c>
    </row>
    <row r="631" spans="1:7" ht="15.75" customHeight="1" x14ac:dyDescent="0.25">
      <c r="A631" s="14" t="s">
        <v>24</v>
      </c>
      <c r="B631" s="15">
        <v>130000000</v>
      </c>
      <c r="C631" s="15">
        <v>33592415</v>
      </c>
      <c r="D631" s="15">
        <v>2013</v>
      </c>
      <c r="E631" s="15" t="str">
        <f>VLOOKUP(A631, Currency!$A$2:$B$100, 2, FALSE)</f>
        <v>USD</v>
      </c>
      <c r="F631" s="15">
        <f ca="1">IFERROR(__xludf.DUMMYFUNCTION("IF(E631=""USD"",B631,B631 * GOOGLEFINANCE(""CURRENCY:"" &amp; E631 &amp; ""USD""))
"),130000000)</f>
        <v>130000000</v>
      </c>
      <c r="G631" s="16">
        <f ca="1">IFERROR(__xludf.DUMMYFUNCTION("IF(E631=""USD"",C631,C631 * GOOGLEFINANCE(""CURRENCY:"" &amp; E631 &amp; ""USD""))
"),33592415)</f>
        <v>33592415</v>
      </c>
    </row>
    <row r="632" spans="1:7" ht="15.75" customHeight="1" x14ac:dyDescent="0.25">
      <c r="A632" s="11" t="s">
        <v>24</v>
      </c>
      <c r="B632" s="12">
        <v>15000000</v>
      </c>
      <c r="C632" s="12">
        <v>26421314</v>
      </c>
      <c r="D632" s="12">
        <v>2000</v>
      </c>
      <c r="E632" s="12" t="str">
        <f>VLOOKUP(A632, Currency!$A$2:$B$100, 2, FALSE)</f>
        <v>USD</v>
      </c>
      <c r="F632" s="12">
        <f ca="1">IFERROR(__xludf.DUMMYFUNCTION("IF(E632=""USD"",B632,B632 * GOOGLEFINANCE(""CURRENCY:"" &amp; E632 &amp; ""USD""))
"),15000000)</f>
        <v>15000000</v>
      </c>
      <c r="G632" s="13">
        <f ca="1">IFERROR(__xludf.DUMMYFUNCTION("IF(E632=""USD"",C632,C632 * GOOGLEFINANCE(""CURRENCY:"" &amp; E632 &amp; ""USD""))
"),26421314)</f>
        <v>26421314</v>
      </c>
    </row>
    <row r="633" spans="1:7" ht="15.75" customHeight="1" x14ac:dyDescent="0.25">
      <c r="A633" s="14" t="s">
        <v>133</v>
      </c>
      <c r="B633" s="15">
        <v>500000</v>
      </c>
      <c r="C633" s="15">
        <v>237301</v>
      </c>
      <c r="D633" s="15">
        <v>2010</v>
      </c>
      <c r="E633" s="15" t="str">
        <f>VLOOKUP(A633, Currency!$A$2:$B$100, 2, FALSE)</f>
        <v>GBP</v>
      </c>
      <c r="F633" s="15">
        <f ca="1">IFERROR(__xludf.DUMMYFUNCTION("IF(E633=""USD"",B633,B633 * GOOGLEFINANCE(""CURRENCY:"" &amp; E633 &amp; ""USD""))
"),642699.999999999)</f>
        <v>642699.99999999895</v>
      </c>
      <c r="G633" s="16">
        <f ca="1">IFERROR(__xludf.DUMMYFUNCTION("IF(E633=""USD"",C633,C633 * GOOGLEFINANCE(""CURRENCY:"" &amp; E633 &amp; ""USD""))
"),305026.7054)</f>
        <v>305026.70539999998</v>
      </c>
    </row>
    <row r="634" spans="1:7" ht="15.75" customHeight="1" x14ac:dyDescent="0.25">
      <c r="A634" s="11" t="s">
        <v>24</v>
      </c>
      <c r="B634" s="12">
        <v>10000000</v>
      </c>
      <c r="C634" s="12">
        <v>50752337</v>
      </c>
      <c r="D634" s="12">
        <v>1992</v>
      </c>
      <c r="E634" s="12" t="str">
        <f>VLOOKUP(A634, Currency!$A$2:$B$100, 2, FALSE)</f>
        <v>USD</v>
      </c>
      <c r="F634" s="12">
        <f ca="1">IFERROR(__xludf.DUMMYFUNCTION("IF(E634=""USD"",B634,B634 * GOOGLEFINANCE(""CURRENCY:"" &amp; E634 &amp; ""USD""))
"),10000000)</f>
        <v>10000000</v>
      </c>
      <c r="G634" s="13">
        <f ca="1">IFERROR(__xludf.DUMMYFUNCTION("IF(E634=""USD"",C634,C634 * GOOGLEFINANCE(""CURRENCY:"" &amp; E634 &amp; ""USD""))
"),50752337)</f>
        <v>50752337</v>
      </c>
    </row>
    <row r="635" spans="1:7" ht="15.75" customHeight="1" x14ac:dyDescent="0.25">
      <c r="A635" s="14" t="s">
        <v>133</v>
      </c>
      <c r="B635" s="15">
        <v>560000</v>
      </c>
      <c r="C635" s="15">
        <v>515005</v>
      </c>
      <c r="D635" s="15">
        <v>1964</v>
      </c>
      <c r="E635" s="15" t="str">
        <f>VLOOKUP(A635, Currency!$A$2:$B$100, 2, FALSE)</f>
        <v>GBP</v>
      </c>
      <c r="F635" s="15">
        <f ca="1">IFERROR(__xludf.DUMMYFUNCTION("IF(E635=""USD"",B635,B635 * GOOGLEFINANCE(""CURRENCY:"" &amp; E635 &amp; ""USD""))
"),719823.999999999)</f>
        <v>719823.99999999895</v>
      </c>
      <c r="G635" s="16">
        <f ca="1">IFERROR(__xludf.DUMMYFUNCTION("IF(E635=""USD"",C635,C635 * GOOGLEFINANCE(""CURRENCY:"" &amp; E635 &amp; ""USD""))
"),661987.426999999)</f>
        <v>661987.42699999898</v>
      </c>
    </row>
    <row r="636" spans="1:7" ht="15.75" customHeight="1" x14ac:dyDescent="0.25">
      <c r="A636" s="11" t="s">
        <v>24</v>
      </c>
      <c r="B636" s="12">
        <v>30000000</v>
      </c>
      <c r="C636" s="12">
        <v>14018364</v>
      </c>
      <c r="D636" s="12">
        <v>2004</v>
      </c>
      <c r="E636" s="12" t="str">
        <f>VLOOKUP(A636, Currency!$A$2:$B$100, 2, FALSE)</f>
        <v>USD</v>
      </c>
      <c r="F636" s="12">
        <f ca="1">IFERROR(__xludf.DUMMYFUNCTION("IF(E636=""USD"",B636,B636 * GOOGLEFINANCE(""CURRENCY:"" &amp; E636 &amp; ""USD""))
"),30000000)</f>
        <v>30000000</v>
      </c>
      <c r="G636" s="13">
        <f ca="1">IFERROR(__xludf.DUMMYFUNCTION("IF(E636=""USD"",C636,C636 * GOOGLEFINANCE(""CURRENCY:"" &amp; E636 &amp; ""USD""))
"),14018364)</f>
        <v>14018364</v>
      </c>
    </row>
    <row r="637" spans="1:7" ht="15.75" customHeight="1" x14ac:dyDescent="0.25">
      <c r="A637" s="14" t="s">
        <v>24</v>
      </c>
      <c r="B637" s="15">
        <v>160000000</v>
      </c>
      <c r="C637" s="15">
        <v>46978995</v>
      </c>
      <c r="D637" s="15">
        <v>2016</v>
      </c>
      <c r="E637" s="15" t="str">
        <f>VLOOKUP(A637, Currency!$A$2:$B$100, 2, FALSE)</f>
        <v>USD</v>
      </c>
      <c r="F637" s="15">
        <f ca="1">IFERROR(__xludf.DUMMYFUNCTION("IF(E637=""USD"",B637,B637 * GOOGLEFINANCE(""CURRENCY:"" &amp; E637 &amp; ""USD""))
"),160000000)</f>
        <v>160000000</v>
      </c>
      <c r="G637" s="16">
        <f ca="1">IFERROR(__xludf.DUMMYFUNCTION("IF(E637=""USD"",C637,C637 * GOOGLEFINANCE(""CURRENCY:"" &amp; E637 &amp; ""USD""))
"),46978995)</f>
        <v>46978995</v>
      </c>
    </row>
    <row r="638" spans="1:7" ht="15.75" customHeight="1" x14ac:dyDescent="0.25">
      <c r="A638" s="11" t="s">
        <v>24</v>
      </c>
      <c r="B638" s="12">
        <v>7500000</v>
      </c>
      <c r="C638" s="12">
        <v>106593296</v>
      </c>
      <c r="D638" s="12">
        <v>1989</v>
      </c>
      <c r="E638" s="12" t="str">
        <f>VLOOKUP(A638, Currency!$A$2:$B$100, 2, FALSE)</f>
        <v>USD</v>
      </c>
      <c r="F638" s="12">
        <f ca="1">IFERROR(__xludf.DUMMYFUNCTION("IF(E638=""USD"",B638,B638 * GOOGLEFINANCE(""CURRENCY:"" &amp; E638 &amp; ""USD""))
"),7500000)</f>
        <v>7500000</v>
      </c>
      <c r="G638" s="13">
        <f ca="1">IFERROR(__xludf.DUMMYFUNCTION("IF(E638=""USD"",C638,C638 * GOOGLEFINANCE(""CURRENCY:"" &amp; E638 &amp; ""USD""))
"),106593296)</f>
        <v>106593296</v>
      </c>
    </row>
    <row r="639" spans="1:7" ht="15.75" customHeight="1" x14ac:dyDescent="0.25">
      <c r="A639" s="14" t="s">
        <v>24</v>
      </c>
      <c r="B639" s="15">
        <v>30000000</v>
      </c>
      <c r="C639" s="15">
        <v>41407470</v>
      </c>
      <c r="D639" s="15">
        <v>2003</v>
      </c>
      <c r="E639" s="15" t="str">
        <f>VLOOKUP(A639, Currency!$A$2:$B$100, 2, FALSE)</f>
        <v>USD</v>
      </c>
      <c r="F639" s="15">
        <f ca="1">IFERROR(__xludf.DUMMYFUNCTION("IF(E639=""USD"",B639,B639 * GOOGLEFINANCE(""CURRENCY:"" &amp; E639 &amp; ""USD""))
"),30000000)</f>
        <v>30000000</v>
      </c>
      <c r="G639" s="16">
        <f ca="1">IFERROR(__xludf.DUMMYFUNCTION("IF(E639=""USD"",C639,C639 * GOOGLEFINANCE(""CURRENCY:"" &amp; E639 &amp; ""USD""))
"),41407470)</f>
        <v>41407470</v>
      </c>
    </row>
    <row r="640" spans="1:7" ht="15.75" customHeight="1" x14ac:dyDescent="0.25">
      <c r="A640" s="11" t="s">
        <v>24</v>
      </c>
      <c r="B640" s="12">
        <v>16000000</v>
      </c>
      <c r="C640" s="12">
        <v>19057024</v>
      </c>
      <c r="D640" s="12">
        <v>2010</v>
      </c>
      <c r="E640" s="12" t="str">
        <f>VLOOKUP(A640, Currency!$A$2:$B$100, 2, FALSE)</f>
        <v>USD</v>
      </c>
      <c r="F640" s="12">
        <f ca="1">IFERROR(__xludf.DUMMYFUNCTION("IF(E640=""USD"",B640,B640 * GOOGLEFINANCE(""CURRENCY:"" &amp; E640 &amp; ""USD""))
"),16000000)</f>
        <v>16000000</v>
      </c>
      <c r="G640" s="13">
        <f ca="1">IFERROR(__xludf.DUMMYFUNCTION("IF(E640=""USD"",C640,C640 * GOOGLEFINANCE(""CURRENCY:"" &amp; E640 &amp; ""USD""))
"),19057024)</f>
        <v>19057024</v>
      </c>
    </row>
    <row r="641" spans="1:7" ht="15.75" customHeight="1" x14ac:dyDescent="0.25">
      <c r="A641" s="14" t="s">
        <v>24</v>
      </c>
      <c r="B641" s="15">
        <v>30000000</v>
      </c>
      <c r="C641" s="15">
        <v>63536011</v>
      </c>
      <c r="D641" s="15">
        <v>2012</v>
      </c>
      <c r="E641" s="15" t="str">
        <f>VLOOKUP(A641, Currency!$A$2:$B$100, 2, FALSE)</f>
        <v>USD</v>
      </c>
      <c r="F641" s="15">
        <f ca="1">IFERROR(__xludf.DUMMYFUNCTION("IF(E641=""USD"",B641,B641 * GOOGLEFINANCE(""CURRENCY:"" &amp; E641 &amp; ""USD""))
"),30000000)</f>
        <v>30000000</v>
      </c>
      <c r="G641" s="16">
        <f ca="1">IFERROR(__xludf.DUMMYFUNCTION("IF(E641=""USD"",C641,C641 * GOOGLEFINANCE(""CURRENCY:"" &amp; E641 &amp; ""USD""))
"),63536011)</f>
        <v>63536011</v>
      </c>
    </row>
    <row r="642" spans="1:7" ht="15.75" customHeight="1" x14ac:dyDescent="0.25">
      <c r="A642" s="11" t="s">
        <v>176</v>
      </c>
      <c r="B642" s="12">
        <v>50000000</v>
      </c>
      <c r="C642" s="12">
        <v>2208939</v>
      </c>
      <c r="D642" s="12">
        <v>2006</v>
      </c>
      <c r="E642" s="12" t="str">
        <f>VLOOKUP(A642, Currency!$A$2:$B$100, 2, FALSE)</f>
        <v>EUR</v>
      </c>
      <c r="F642" s="12">
        <f ca="1">IFERROR(__xludf.DUMMYFUNCTION("IF(E642=""USD"",B642,B642 * GOOGLEFINANCE(""CURRENCY:"" &amp; E642 &amp; ""USD""))
"),54237000)</f>
        <v>54237000</v>
      </c>
      <c r="G642" s="13">
        <f ca="1">IFERROR(__xludf.DUMMYFUNCTION("IF(E642=""USD"",C642,C642 * GOOGLEFINANCE(""CURRENCY:"" &amp; E642 &amp; ""USD""))
"),2396124.49086)</f>
        <v>2396124.4908599998</v>
      </c>
    </row>
    <row r="643" spans="1:7" ht="15.75" customHeight="1" x14ac:dyDescent="0.25">
      <c r="A643" s="14" t="s">
        <v>611</v>
      </c>
      <c r="B643" s="15">
        <v>14000000</v>
      </c>
      <c r="C643" s="15">
        <v>2474000</v>
      </c>
      <c r="D643" s="15">
        <v>1995</v>
      </c>
      <c r="E643" s="15" t="str">
        <f>VLOOKUP(A643, Currency!$A$2:$B$100, 2, FALSE)</f>
        <v>EUR</v>
      </c>
      <c r="F643" s="15">
        <f ca="1">IFERROR(__xludf.DUMMYFUNCTION("IF(E643=""USD"",B643,B643 * GOOGLEFINANCE(""CURRENCY:"" &amp; E643 &amp; ""USD""))
"),15186360)</f>
        <v>15186360</v>
      </c>
      <c r="G643" s="16">
        <f ca="1">IFERROR(__xludf.DUMMYFUNCTION("IF(E643=""USD"",C643,C643 * GOOGLEFINANCE(""CURRENCY:"" &amp; E643 &amp; ""USD""))
"),2683646.76)</f>
        <v>2683646.7599999998</v>
      </c>
    </row>
    <row r="644" spans="1:7" ht="15.75" customHeight="1" x14ac:dyDescent="0.25">
      <c r="A644" s="11" t="s">
        <v>24</v>
      </c>
      <c r="B644" s="12">
        <v>150000000</v>
      </c>
      <c r="C644" s="12">
        <v>34964818</v>
      </c>
      <c r="D644" s="12">
        <v>2015</v>
      </c>
      <c r="E644" s="12" t="str">
        <f>VLOOKUP(A644, Currency!$A$2:$B$100, 2, FALSE)</f>
        <v>USD</v>
      </c>
      <c r="F644" s="12">
        <f ca="1">IFERROR(__xludf.DUMMYFUNCTION("IF(E644=""USD"",B644,B644 * GOOGLEFINANCE(""CURRENCY:"" &amp; E644 &amp; ""USD""))
"),150000000)</f>
        <v>150000000</v>
      </c>
      <c r="G644" s="13">
        <f ca="1">IFERROR(__xludf.DUMMYFUNCTION("IF(E644=""USD"",C644,C644 * GOOGLEFINANCE(""CURRENCY:"" &amp; E644 &amp; ""USD""))
"),34964818)</f>
        <v>34964818</v>
      </c>
    </row>
    <row r="645" spans="1:7" ht="15.75" customHeight="1" x14ac:dyDescent="0.25">
      <c r="A645" s="14" t="s">
        <v>24</v>
      </c>
      <c r="B645" s="15">
        <v>100000000</v>
      </c>
      <c r="C645" s="15">
        <v>110332737</v>
      </c>
      <c r="D645" s="15">
        <v>2005</v>
      </c>
      <c r="E645" s="15" t="str">
        <f>VLOOKUP(A645, Currency!$A$2:$B$100, 2, FALSE)</f>
        <v>USD</v>
      </c>
      <c r="F645" s="15">
        <f ca="1">IFERROR(__xludf.DUMMYFUNCTION("IF(E645=""USD"",B645,B645 * GOOGLEFINANCE(""CURRENCY:"" &amp; E645 &amp; ""USD""))
"),100000000)</f>
        <v>100000000</v>
      </c>
      <c r="G645" s="16">
        <f ca="1">IFERROR(__xludf.DUMMYFUNCTION("IF(E645=""USD"",C645,C645 * GOOGLEFINANCE(""CURRENCY:"" &amp; E645 &amp; ""USD""))
"),110332737)</f>
        <v>110332737</v>
      </c>
    </row>
    <row r="646" spans="1:7" ht="15.75" customHeight="1" x14ac:dyDescent="0.25">
      <c r="A646" s="11" t="s">
        <v>24</v>
      </c>
      <c r="B646" s="12">
        <v>13000000</v>
      </c>
      <c r="C646" s="12">
        <v>12281500</v>
      </c>
      <c r="D646" s="12">
        <v>1993</v>
      </c>
      <c r="E646" s="12" t="str">
        <f>VLOOKUP(A646, Currency!$A$2:$B$100, 2, FALSE)</f>
        <v>USD</v>
      </c>
      <c r="F646" s="12">
        <f ca="1">IFERROR(__xludf.DUMMYFUNCTION("IF(E646=""USD"",B646,B646 * GOOGLEFINANCE(""CURRENCY:"" &amp; E646 &amp; ""USD""))
"),13000000)</f>
        <v>13000000</v>
      </c>
      <c r="G646" s="13">
        <f ca="1">IFERROR(__xludf.DUMMYFUNCTION("IF(E646=""USD"",C646,C646 * GOOGLEFINANCE(""CURRENCY:"" &amp; E646 &amp; ""USD""))
"),12281500)</f>
        <v>12281500</v>
      </c>
    </row>
    <row r="647" spans="1:7" ht="15.75" customHeight="1" x14ac:dyDescent="0.25">
      <c r="A647" s="14" t="s">
        <v>24</v>
      </c>
      <c r="B647" s="15">
        <v>8500000</v>
      </c>
      <c r="C647" s="15">
        <v>32279955</v>
      </c>
      <c r="D647" s="15">
        <v>2014</v>
      </c>
      <c r="E647" s="15" t="str">
        <f>VLOOKUP(A647, Currency!$A$2:$B$100, 2, FALSE)</f>
        <v>USD</v>
      </c>
      <c r="F647" s="15">
        <f ca="1">IFERROR(__xludf.DUMMYFUNCTION("IF(E647=""USD"",B647,B647 * GOOGLEFINANCE(""CURRENCY:"" &amp; E647 &amp; ""USD""))
"),8500000)</f>
        <v>8500000</v>
      </c>
      <c r="G647" s="16">
        <f ca="1">IFERROR(__xludf.DUMMYFUNCTION("IF(E647=""USD"",C647,C647 * GOOGLEFINANCE(""CURRENCY:"" &amp; E647 &amp; ""USD""))
"),32279955)</f>
        <v>32279955</v>
      </c>
    </row>
    <row r="648" spans="1:7" ht="15.75" customHeight="1" x14ac:dyDescent="0.25">
      <c r="A648" s="11" t="s">
        <v>24</v>
      </c>
      <c r="B648" s="12">
        <v>45000000</v>
      </c>
      <c r="C648" s="12">
        <v>47307550</v>
      </c>
      <c r="D648" s="12">
        <v>2012</v>
      </c>
      <c r="E648" s="12" t="str">
        <f>VLOOKUP(A648, Currency!$A$2:$B$100, 2, FALSE)</f>
        <v>USD</v>
      </c>
      <c r="F648" s="12">
        <f ca="1">IFERROR(__xludf.DUMMYFUNCTION("IF(E648=""USD"",B648,B648 * GOOGLEFINANCE(""CURRENCY:"" &amp; E648 &amp; ""USD""))
"),45000000)</f>
        <v>45000000</v>
      </c>
      <c r="G648" s="13">
        <f ca="1">IFERROR(__xludf.DUMMYFUNCTION("IF(E648=""USD"",C648,C648 * GOOGLEFINANCE(""CURRENCY:"" &amp; E648 &amp; ""USD""))
"),47307550)</f>
        <v>47307550</v>
      </c>
    </row>
    <row r="649" spans="1:7" ht="15.75" customHeight="1" x14ac:dyDescent="0.25">
      <c r="A649" s="14" t="s">
        <v>24</v>
      </c>
      <c r="B649" s="15">
        <v>38000000</v>
      </c>
      <c r="C649" s="15">
        <v>127214072</v>
      </c>
      <c r="D649" s="15">
        <v>2002</v>
      </c>
      <c r="E649" s="15" t="str">
        <f>VLOOKUP(A649, Currency!$A$2:$B$100, 2, FALSE)</f>
        <v>USD</v>
      </c>
      <c r="F649" s="15">
        <f ca="1">IFERROR(__xludf.DUMMYFUNCTION("IF(E649=""USD"",B649,B649 * GOOGLEFINANCE(""CURRENCY:"" &amp; E649 &amp; ""USD""))
"),38000000)</f>
        <v>38000000</v>
      </c>
      <c r="G649" s="16">
        <f ca="1">IFERROR(__xludf.DUMMYFUNCTION("IF(E649=""USD"",C649,C649 * GOOGLEFINANCE(""CURRENCY:"" &amp; E649 &amp; ""USD""))
"),127214072)</f>
        <v>127214072</v>
      </c>
    </row>
    <row r="650" spans="1:7" ht="15.75" customHeight="1" x14ac:dyDescent="0.25">
      <c r="A650" s="11" t="s">
        <v>24</v>
      </c>
      <c r="B650" s="12">
        <v>8000000</v>
      </c>
      <c r="C650" s="12">
        <v>16115878</v>
      </c>
      <c r="D650" s="12">
        <v>1995</v>
      </c>
      <c r="E650" s="12" t="str">
        <f>VLOOKUP(A650, Currency!$A$2:$B$100, 2, FALSE)</f>
        <v>USD</v>
      </c>
      <c r="F650" s="12">
        <f ca="1">IFERROR(__xludf.DUMMYFUNCTION("IF(E650=""USD"",B650,B650 * GOOGLEFINANCE(""CURRENCY:"" &amp; E650 &amp; ""USD""))
"),8000000)</f>
        <v>8000000</v>
      </c>
      <c r="G650" s="13">
        <f ca="1">IFERROR(__xludf.DUMMYFUNCTION("IF(E650=""USD"",C650,C650 * GOOGLEFINANCE(""CURRENCY:"" &amp; E650 &amp; ""USD""))
"),16115878)</f>
        <v>16115878</v>
      </c>
    </row>
    <row r="651" spans="1:7" ht="15.75" customHeight="1" x14ac:dyDescent="0.25">
      <c r="A651" s="14" t="s">
        <v>24</v>
      </c>
      <c r="B651" s="15">
        <v>6000000</v>
      </c>
      <c r="C651" s="15">
        <v>2207975</v>
      </c>
      <c r="D651" s="15">
        <v>2003</v>
      </c>
      <c r="E651" s="15" t="str">
        <f>VLOOKUP(A651, Currency!$A$2:$B$100, 2, FALSE)</f>
        <v>USD</v>
      </c>
      <c r="F651" s="15">
        <f ca="1">IFERROR(__xludf.DUMMYFUNCTION("IF(E651=""USD"",B651,B651 * GOOGLEFINANCE(""CURRENCY:"" &amp; E651 &amp; ""USD""))
"),6000000)</f>
        <v>6000000</v>
      </c>
      <c r="G651" s="16">
        <f ca="1">IFERROR(__xludf.DUMMYFUNCTION("IF(E651=""USD"",C651,C651 * GOOGLEFINANCE(""CURRENCY:"" &amp; E651 &amp; ""USD""))
"),2207975)</f>
        <v>2207975</v>
      </c>
    </row>
    <row r="652" spans="1:7" ht="15.75" customHeight="1" x14ac:dyDescent="0.25">
      <c r="A652" s="11" t="s">
        <v>2546</v>
      </c>
      <c r="B652" s="12">
        <v>10000</v>
      </c>
      <c r="C652" s="12">
        <v>673780</v>
      </c>
      <c r="D652" s="12">
        <v>2000</v>
      </c>
      <c r="E652" s="12" t="str">
        <f>VLOOKUP(A652, Currency!$A$2:$B$100, 2, FALSE)</f>
        <v>IRR</v>
      </c>
      <c r="F652" s="12">
        <f ca="1">IFERROR(__xludf.DUMMYFUNCTION("IF(E652=""USD"",B652,B652 * GOOGLEFINANCE(""CURRENCY:"" &amp; E652 &amp; ""USD""))
"),0.23750148)</f>
        <v>0.23750147999999999</v>
      </c>
      <c r="G652" s="13">
        <f ca="1">IFERROR(__xludf.DUMMYFUNCTION("IF(E652=""USD"",C652,C652 * GOOGLEFINANCE(""CURRENCY:"" &amp; E652 &amp; ""USD""))
"),16.00237471944)</f>
        <v>16.002374719439999</v>
      </c>
    </row>
    <row r="653" spans="1:7" ht="15.75" customHeight="1" x14ac:dyDescent="0.25">
      <c r="A653" s="14" t="s">
        <v>24</v>
      </c>
      <c r="B653" s="15">
        <v>80000000</v>
      </c>
      <c r="C653" s="15">
        <v>32885565</v>
      </c>
      <c r="D653" s="15">
        <v>1996</v>
      </c>
      <c r="E653" s="15" t="str">
        <f>VLOOKUP(A653, Currency!$A$2:$B$100, 2, FALSE)</f>
        <v>USD</v>
      </c>
      <c r="F653" s="15">
        <f ca="1">IFERROR(__xludf.DUMMYFUNCTION("IF(E653=""USD"",B653,B653 * GOOGLEFINANCE(""CURRENCY:"" &amp; E653 &amp; ""USD""))
"),80000000)</f>
        <v>80000000</v>
      </c>
      <c r="G653" s="16">
        <f ca="1">IFERROR(__xludf.DUMMYFUNCTION("IF(E653=""USD"",C653,C653 * GOOGLEFINANCE(""CURRENCY:"" &amp; E653 &amp; ""USD""))
"),32885565)</f>
        <v>32885565</v>
      </c>
    </row>
    <row r="654" spans="1:7" ht="15.75" customHeight="1" x14ac:dyDescent="0.25">
      <c r="A654" s="11" t="s">
        <v>24</v>
      </c>
      <c r="B654" s="12">
        <v>26000000</v>
      </c>
      <c r="C654" s="12">
        <v>91457688</v>
      </c>
      <c r="D654" s="12">
        <v>1990</v>
      </c>
      <c r="E654" s="12" t="str">
        <f>VLOOKUP(A654, Currency!$A$2:$B$100, 2, FALSE)</f>
        <v>USD</v>
      </c>
      <c r="F654" s="12">
        <f ca="1">IFERROR(__xludf.DUMMYFUNCTION("IF(E654=""USD"",B654,B654 * GOOGLEFINANCE(""CURRENCY:"" &amp; E654 &amp; ""USD""))
"),26000000)</f>
        <v>26000000</v>
      </c>
      <c r="G654" s="13">
        <f ca="1">IFERROR(__xludf.DUMMYFUNCTION("IF(E654=""USD"",C654,C654 * GOOGLEFINANCE(""CURRENCY:"" &amp; E654 &amp; ""USD""))
"),91457688)</f>
        <v>91457688</v>
      </c>
    </row>
    <row r="655" spans="1:7" ht="15.75" customHeight="1" x14ac:dyDescent="0.25">
      <c r="A655" s="14" t="s">
        <v>24</v>
      </c>
      <c r="B655" s="15">
        <v>30000000</v>
      </c>
      <c r="C655" s="15">
        <v>18967571</v>
      </c>
      <c r="D655" s="15">
        <v>1998</v>
      </c>
      <c r="E655" s="15" t="str">
        <f>VLOOKUP(A655, Currency!$A$2:$B$100, 2, FALSE)</f>
        <v>USD</v>
      </c>
      <c r="F655" s="15">
        <f ca="1">IFERROR(__xludf.DUMMYFUNCTION("IF(E655=""USD"",B655,B655 * GOOGLEFINANCE(""CURRENCY:"" &amp; E655 &amp; ""USD""))
"),30000000)</f>
        <v>30000000</v>
      </c>
      <c r="G655" s="16">
        <f ca="1">IFERROR(__xludf.DUMMYFUNCTION("IF(E655=""USD"",C655,C655 * GOOGLEFINANCE(""CURRENCY:"" &amp; E655 &amp; ""USD""))
"),18967571)</f>
        <v>18967571</v>
      </c>
    </row>
    <row r="656" spans="1:7" ht="15.75" customHeight="1" x14ac:dyDescent="0.25">
      <c r="A656" s="11" t="s">
        <v>24</v>
      </c>
      <c r="B656" s="12">
        <v>40000000</v>
      </c>
      <c r="C656" s="12">
        <v>52000688</v>
      </c>
      <c r="D656" s="12">
        <v>2010</v>
      </c>
      <c r="E656" s="12" t="str">
        <f>VLOOKUP(A656, Currency!$A$2:$B$100, 2, FALSE)</f>
        <v>USD</v>
      </c>
      <c r="F656" s="12">
        <f ca="1">IFERROR(__xludf.DUMMYFUNCTION("IF(E656=""USD"",B656,B656 * GOOGLEFINANCE(""CURRENCY:"" &amp; E656 &amp; ""USD""))
"),40000000)</f>
        <v>40000000</v>
      </c>
      <c r="G656" s="13">
        <f ca="1">IFERROR(__xludf.DUMMYFUNCTION("IF(E656=""USD"",C656,C656 * GOOGLEFINANCE(""CURRENCY:"" &amp; E656 &amp; ""USD""))
"),52000688)</f>
        <v>52000688</v>
      </c>
    </row>
    <row r="657" spans="1:7" ht="15.75" customHeight="1" x14ac:dyDescent="0.25">
      <c r="A657" s="14" t="s">
        <v>24</v>
      </c>
      <c r="B657" s="15">
        <v>150000000</v>
      </c>
      <c r="C657" s="15">
        <v>63143812</v>
      </c>
      <c r="D657" s="15">
        <v>2010</v>
      </c>
      <c r="E657" s="15" t="str">
        <f>VLOOKUP(A657, Currency!$A$2:$B$100, 2, FALSE)</f>
        <v>USD</v>
      </c>
      <c r="F657" s="15">
        <f ca="1">IFERROR(__xludf.DUMMYFUNCTION("IF(E657=""USD"",B657,B657 * GOOGLEFINANCE(""CURRENCY:"" &amp; E657 &amp; ""USD""))
"),150000000)</f>
        <v>150000000</v>
      </c>
      <c r="G657" s="16">
        <f ca="1">IFERROR(__xludf.DUMMYFUNCTION("IF(E657=""USD"",C657,C657 * GOOGLEFINANCE(""CURRENCY:"" &amp; E657 &amp; ""USD""))
"),63143812)</f>
        <v>63143812</v>
      </c>
    </row>
    <row r="658" spans="1:7" ht="15.75" customHeight="1" x14ac:dyDescent="0.25">
      <c r="A658" s="11" t="s">
        <v>24</v>
      </c>
      <c r="B658" s="12">
        <v>8500000</v>
      </c>
      <c r="C658" s="12">
        <v>34017854</v>
      </c>
      <c r="D658" s="12">
        <v>2015</v>
      </c>
      <c r="E658" s="12" t="str">
        <f>VLOOKUP(A658, Currency!$A$2:$B$100, 2, FALSE)</f>
        <v>USD</v>
      </c>
      <c r="F658" s="12">
        <f ca="1">IFERROR(__xludf.DUMMYFUNCTION("IF(E658=""USD"",B658,B658 * GOOGLEFINANCE(""CURRENCY:"" &amp; E658 &amp; ""USD""))
"),8500000)</f>
        <v>8500000</v>
      </c>
      <c r="G658" s="13">
        <f ca="1">IFERROR(__xludf.DUMMYFUNCTION("IF(E658=""USD"",C658,C658 * GOOGLEFINANCE(""CURRENCY:"" &amp; E658 &amp; ""USD""))
"),34017854)</f>
        <v>34017854</v>
      </c>
    </row>
    <row r="659" spans="1:7" ht="15.75" customHeight="1" x14ac:dyDescent="0.25">
      <c r="A659" s="14" t="s">
        <v>24</v>
      </c>
      <c r="B659" s="15">
        <v>16000000</v>
      </c>
      <c r="C659" s="15">
        <v>28734552</v>
      </c>
      <c r="D659" s="15">
        <v>2001</v>
      </c>
      <c r="E659" s="15" t="str">
        <f>VLOOKUP(A659, Currency!$A$2:$B$100, 2, FALSE)</f>
        <v>USD</v>
      </c>
      <c r="F659" s="15">
        <f ca="1">IFERROR(__xludf.DUMMYFUNCTION("IF(E659=""USD"",B659,B659 * GOOGLEFINANCE(""CURRENCY:"" &amp; E659 &amp; ""USD""))
"),16000000)</f>
        <v>16000000</v>
      </c>
      <c r="G659" s="16">
        <f ca="1">IFERROR(__xludf.DUMMYFUNCTION("IF(E659=""USD"",C659,C659 * GOOGLEFINANCE(""CURRENCY:"" &amp; E659 &amp; ""USD""))
"),28734552)</f>
        <v>28734552</v>
      </c>
    </row>
    <row r="660" spans="1:7" ht="15.75" customHeight="1" x14ac:dyDescent="0.25">
      <c r="A660" s="11" t="s">
        <v>24</v>
      </c>
      <c r="B660" s="12">
        <v>100000</v>
      </c>
      <c r="C660" s="12">
        <v>3000000</v>
      </c>
      <c r="D660" s="12">
        <v>1920</v>
      </c>
      <c r="E660" s="12" t="str">
        <f>VLOOKUP(A660, Currency!$A$2:$B$100, 2, FALSE)</f>
        <v>USD</v>
      </c>
      <c r="F660" s="12">
        <f ca="1">IFERROR(__xludf.DUMMYFUNCTION("IF(E660=""USD"",B660,B660 * GOOGLEFINANCE(""CURRENCY:"" &amp; E660 &amp; ""USD""))
"),100000)</f>
        <v>100000</v>
      </c>
      <c r="G660" s="13">
        <f ca="1">IFERROR(__xludf.DUMMYFUNCTION("IF(E660=""USD"",C660,C660 * GOOGLEFINANCE(""CURRENCY:"" &amp; E660 &amp; ""USD""))
"),3000000)</f>
        <v>3000000</v>
      </c>
    </row>
    <row r="661" spans="1:7" ht="15.75" customHeight="1" x14ac:dyDescent="0.25">
      <c r="A661" s="14" t="s">
        <v>24</v>
      </c>
      <c r="B661" s="15">
        <v>45000000</v>
      </c>
      <c r="C661" s="15">
        <v>36064910</v>
      </c>
      <c r="D661" s="15">
        <v>2008</v>
      </c>
      <c r="E661" s="15" t="str">
        <f>VLOOKUP(A661, Currency!$A$2:$B$100, 2, FALSE)</f>
        <v>USD</v>
      </c>
      <c r="F661" s="15">
        <f ca="1">IFERROR(__xludf.DUMMYFUNCTION("IF(E661=""USD"",B661,B661 * GOOGLEFINANCE(""CURRENCY:"" &amp; E661 &amp; ""USD""))
"),45000000)</f>
        <v>45000000</v>
      </c>
      <c r="G661" s="16">
        <f ca="1">IFERROR(__xludf.DUMMYFUNCTION("IF(E661=""USD"",C661,C661 * GOOGLEFINANCE(""CURRENCY:"" &amp; E661 &amp; ""USD""))
"),36064910)</f>
        <v>36064910</v>
      </c>
    </row>
    <row r="662" spans="1:7" ht="15.75" customHeight="1" x14ac:dyDescent="0.25">
      <c r="A662" s="11" t="s">
        <v>24</v>
      </c>
      <c r="B662" s="12">
        <v>76000000</v>
      </c>
      <c r="C662" s="12">
        <v>26000610</v>
      </c>
      <c r="D662" s="12">
        <v>2000</v>
      </c>
      <c r="E662" s="12" t="str">
        <f>VLOOKUP(A662, Currency!$A$2:$B$100, 2, FALSE)</f>
        <v>USD</v>
      </c>
      <c r="F662" s="12">
        <f ca="1">IFERROR(__xludf.DUMMYFUNCTION("IF(E662=""USD"",B662,B662 * GOOGLEFINANCE(""CURRENCY:"" &amp; E662 &amp; ""USD""))
"),76000000)</f>
        <v>76000000</v>
      </c>
      <c r="G662" s="13">
        <f ca="1">IFERROR(__xludf.DUMMYFUNCTION("IF(E662=""USD"",C662,C662 * GOOGLEFINANCE(""CURRENCY:"" &amp; E662 &amp; ""USD""))
"),26000610)</f>
        <v>26000610</v>
      </c>
    </row>
    <row r="663" spans="1:7" ht="15.75" customHeight="1" x14ac:dyDescent="0.25">
      <c r="A663" s="14" t="s">
        <v>24</v>
      </c>
      <c r="B663" s="15">
        <v>18000000</v>
      </c>
      <c r="C663" s="15">
        <v>22927390</v>
      </c>
      <c r="D663" s="15">
        <v>2009</v>
      </c>
      <c r="E663" s="15" t="str">
        <f>VLOOKUP(A663, Currency!$A$2:$B$100, 2, FALSE)</f>
        <v>USD</v>
      </c>
      <c r="F663" s="15">
        <f ca="1">IFERROR(__xludf.DUMMYFUNCTION("IF(E663=""USD"",B663,B663 * GOOGLEFINANCE(""CURRENCY:"" &amp; E663 &amp; ""USD""))
"),18000000)</f>
        <v>18000000</v>
      </c>
      <c r="G663" s="16">
        <f ca="1">IFERROR(__xludf.DUMMYFUNCTION("IF(E663=""USD"",C663,C663 * GOOGLEFINANCE(""CURRENCY:"" &amp; E663 &amp; ""USD""))
"),22927390)</f>
        <v>22927390</v>
      </c>
    </row>
    <row r="664" spans="1:7" ht="15.75" customHeight="1" x14ac:dyDescent="0.25">
      <c r="A664" s="11" t="s">
        <v>24</v>
      </c>
      <c r="B664" s="12">
        <v>20000000</v>
      </c>
      <c r="C664" s="12">
        <v>5333658</v>
      </c>
      <c r="D664" s="12">
        <v>1982</v>
      </c>
      <c r="E664" s="12" t="str">
        <f>VLOOKUP(A664, Currency!$A$2:$B$100, 2, FALSE)</f>
        <v>USD</v>
      </c>
      <c r="F664" s="12">
        <f ca="1">IFERROR(__xludf.DUMMYFUNCTION("IF(E664=""USD"",B664,B664 * GOOGLEFINANCE(""CURRENCY:"" &amp; E664 &amp; ""USD""))
"),20000000)</f>
        <v>20000000</v>
      </c>
      <c r="G664" s="13">
        <f ca="1">IFERROR(__xludf.DUMMYFUNCTION("IF(E664=""USD"",C664,C664 * GOOGLEFINANCE(""CURRENCY:"" &amp; E664 &amp; ""USD""))
"),5333658)</f>
        <v>5333658</v>
      </c>
    </row>
    <row r="665" spans="1:7" ht="15.75" customHeight="1" x14ac:dyDescent="0.25">
      <c r="A665" s="14" t="s">
        <v>24</v>
      </c>
      <c r="B665" s="15">
        <v>30000000</v>
      </c>
      <c r="C665" s="15">
        <v>32154410</v>
      </c>
      <c r="D665" s="15">
        <v>2013</v>
      </c>
      <c r="E665" s="15" t="str">
        <f>VLOOKUP(A665, Currency!$A$2:$B$100, 2, FALSE)</f>
        <v>USD</v>
      </c>
      <c r="F665" s="15">
        <f ca="1">IFERROR(__xludf.DUMMYFUNCTION("IF(E665=""USD"",B665,B665 * GOOGLEFINANCE(""CURRENCY:"" &amp; E665 &amp; ""USD""))
"),30000000)</f>
        <v>30000000</v>
      </c>
      <c r="G665" s="16">
        <f ca="1">IFERROR(__xludf.DUMMYFUNCTION("IF(E665=""USD"",C665,C665 * GOOGLEFINANCE(""CURRENCY:"" &amp; E665 &amp; ""USD""))
"),32154410)</f>
        <v>32154410</v>
      </c>
    </row>
    <row r="666" spans="1:7" ht="15.75" customHeight="1" x14ac:dyDescent="0.25">
      <c r="A666" s="11" t="s">
        <v>176</v>
      </c>
      <c r="B666" s="12">
        <v>8000000</v>
      </c>
      <c r="C666" s="12">
        <v>1789892</v>
      </c>
      <c r="D666" s="12">
        <v>1998</v>
      </c>
      <c r="E666" s="12" t="str">
        <f>VLOOKUP(A666, Currency!$A$2:$B$100, 2, FALSE)</f>
        <v>EUR</v>
      </c>
      <c r="F666" s="12">
        <f ca="1">IFERROR(__xludf.DUMMYFUNCTION("IF(E666=""USD"",B666,B666 * GOOGLEFINANCE(""CURRENCY:"" &amp; E666 &amp; ""USD""))
"),8677920)</f>
        <v>8677920</v>
      </c>
      <c r="G666" s="13">
        <f ca="1">IFERROR(__xludf.DUMMYFUNCTION("IF(E666=""USD"",C666,C666 * GOOGLEFINANCE(""CURRENCY:"" &amp; E666 &amp; ""USD""))
"),1941567.44808)</f>
        <v>1941567.44808</v>
      </c>
    </row>
    <row r="667" spans="1:7" ht="15.75" customHeight="1" x14ac:dyDescent="0.25">
      <c r="A667" s="14" t="s">
        <v>24</v>
      </c>
      <c r="B667" s="15">
        <v>38000000</v>
      </c>
      <c r="C667" s="15">
        <v>34912982</v>
      </c>
      <c r="D667" s="15">
        <v>2016</v>
      </c>
      <c r="E667" s="15" t="str">
        <f>VLOOKUP(A667, Currency!$A$2:$B$100, 2, FALSE)</f>
        <v>USD</v>
      </c>
      <c r="F667" s="15">
        <f ca="1">IFERROR(__xludf.DUMMYFUNCTION("IF(E667=""USD"",B667,B667 * GOOGLEFINANCE(""CURRENCY:"" &amp; E667 &amp; ""USD""))
"),38000000)</f>
        <v>38000000</v>
      </c>
      <c r="G667" s="16">
        <f ca="1">IFERROR(__xludf.DUMMYFUNCTION("IF(E667=""USD"",C667,C667 * GOOGLEFINANCE(""CURRENCY:"" &amp; E667 &amp; ""USD""))
"),34912982)</f>
        <v>34912982</v>
      </c>
    </row>
    <row r="668" spans="1:7" ht="15.75" customHeight="1" x14ac:dyDescent="0.25">
      <c r="A668" s="11" t="s">
        <v>611</v>
      </c>
      <c r="B668" s="12">
        <v>6500000</v>
      </c>
      <c r="C668" s="12">
        <v>686383</v>
      </c>
      <c r="D668" s="12">
        <v>2009</v>
      </c>
      <c r="E668" s="12" t="str">
        <f>VLOOKUP(A668, Currency!$A$2:$B$100, 2, FALSE)</f>
        <v>EUR</v>
      </c>
      <c r="F668" s="12">
        <f ca="1">IFERROR(__xludf.DUMMYFUNCTION("IF(E668=""USD"",B668,B668 * GOOGLEFINANCE(""CURRENCY:"" &amp; E668 &amp; ""USD""))
"),7050810)</f>
        <v>7050810</v>
      </c>
      <c r="G668" s="13">
        <f ca="1">IFERROR(__xludf.DUMMYFUNCTION("IF(E668=""USD"",C668,C668 * GOOGLEFINANCE(""CURRENCY:"" &amp; E668 &amp; ""USD""))
"),744547.09542)</f>
        <v>744547.09542000003</v>
      </c>
    </row>
    <row r="669" spans="1:7" ht="15.75" customHeight="1" x14ac:dyDescent="0.25">
      <c r="A669" s="14" t="s">
        <v>133</v>
      </c>
      <c r="B669" s="15">
        <v>17500000</v>
      </c>
      <c r="C669" s="15">
        <v>23472900</v>
      </c>
      <c r="D669" s="15">
        <v>2004</v>
      </c>
      <c r="E669" s="15" t="str">
        <f>VLOOKUP(A669, Currency!$A$2:$B$100, 2, FALSE)</f>
        <v>GBP</v>
      </c>
      <c r="F669" s="15">
        <f ca="1">IFERROR(__xludf.DUMMYFUNCTION("IF(E669=""USD"",B669,B669 * GOOGLEFINANCE(""CURRENCY:"" &amp; E669 &amp; ""USD""))
"),22494499.9999999)</f>
        <v>22494499.999999899</v>
      </c>
      <c r="G669" s="16">
        <f ca="1">IFERROR(__xludf.DUMMYFUNCTION("IF(E669=""USD"",C669,C669 * GOOGLEFINANCE(""CURRENCY:"" &amp; E669 &amp; ""USD""))
"),30172065.6599999)</f>
        <v>30172065.6599999</v>
      </c>
    </row>
    <row r="670" spans="1:7" ht="15.75" customHeight="1" x14ac:dyDescent="0.25">
      <c r="A670" s="11" t="s">
        <v>24</v>
      </c>
      <c r="B670" s="12">
        <v>4000000</v>
      </c>
      <c r="C670" s="12">
        <v>15655665</v>
      </c>
      <c r="D670" s="12">
        <v>2006</v>
      </c>
      <c r="E670" s="12" t="str">
        <f>VLOOKUP(A670, Currency!$A$2:$B$100, 2, FALSE)</f>
        <v>USD</v>
      </c>
      <c r="F670" s="12">
        <f ca="1">IFERROR(__xludf.DUMMYFUNCTION("IF(E670=""USD"",B670,B670 * GOOGLEFINANCE(""CURRENCY:"" &amp; E670 &amp; ""USD""))
"),4000000)</f>
        <v>4000000</v>
      </c>
      <c r="G670" s="13">
        <f ca="1">IFERROR(__xludf.DUMMYFUNCTION("IF(E670=""USD"",C670,C670 * GOOGLEFINANCE(""CURRENCY:"" &amp; E670 &amp; ""USD""))
"),15655665)</f>
        <v>15655665</v>
      </c>
    </row>
    <row r="671" spans="1:7" ht="15.75" customHeight="1" x14ac:dyDescent="0.25">
      <c r="A671" s="14" t="s">
        <v>24</v>
      </c>
      <c r="B671" s="15">
        <v>1750211</v>
      </c>
      <c r="C671" s="15">
        <v>1523883</v>
      </c>
      <c r="D671" s="15">
        <v>2005</v>
      </c>
      <c r="E671" s="15" t="str">
        <f>VLOOKUP(A671, Currency!$A$2:$B$100, 2, FALSE)</f>
        <v>USD</v>
      </c>
      <c r="F671" s="15">
        <f ca="1">IFERROR(__xludf.DUMMYFUNCTION("IF(E671=""USD"",B671,B671 * GOOGLEFINANCE(""CURRENCY:"" &amp; E671 &amp; ""USD""))
"),1750211)</f>
        <v>1750211</v>
      </c>
      <c r="G671" s="16">
        <f ca="1">IFERROR(__xludf.DUMMYFUNCTION("IF(E671=""USD"",C671,C671 * GOOGLEFINANCE(""CURRENCY:"" &amp; E671 &amp; ""USD""))
"),1523883)</f>
        <v>1523883</v>
      </c>
    </row>
    <row r="672" spans="1:7" ht="15.75" customHeight="1" x14ac:dyDescent="0.25">
      <c r="A672" s="11" t="s">
        <v>24</v>
      </c>
      <c r="B672" s="12">
        <v>30000000</v>
      </c>
      <c r="C672" s="12">
        <v>22525921</v>
      </c>
      <c r="D672" s="12">
        <v>2013</v>
      </c>
      <c r="E672" s="12" t="str">
        <f>VLOOKUP(A672, Currency!$A$2:$B$100, 2, FALSE)</f>
        <v>USD</v>
      </c>
      <c r="F672" s="12">
        <f ca="1">IFERROR(__xludf.DUMMYFUNCTION("IF(E672=""USD"",B672,B672 * GOOGLEFINANCE(""CURRENCY:"" &amp; E672 &amp; ""USD""))
"),30000000)</f>
        <v>30000000</v>
      </c>
      <c r="G672" s="13">
        <f ca="1">IFERROR(__xludf.DUMMYFUNCTION("IF(E672=""USD"",C672,C672 * GOOGLEFINANCE(""CURRENCY:"" &amp; E672 &amp; ""USD""))
"),22525921)</f>
        <v>22525921</v>
      </c>
    </row>
    <row r="673" spans="1:7" ht="15.75" customHeight="1" x14ac:dyDescent="0.25">
      <c r="A673" s="14" t="s">
        <v>596</v>
      </c>
      <c r="B673" s="15">
        <v>180000</v>
      </c>
      <c r="C673" s="15">
        <v>9437933</v>
      </c>
      <c r="D673" s="15">
        <v>2007</v>
      </c>
      <c r="E673" s="15" t="str">
        <f>VLOOKUP(A673, Currency!$A$2:$B$100, 2, FALSE)</f>
        <v>EUR</v>
      </c>
      <c r="F673" s="15">
        <f ca="1">IFERROR(__xludf.DUMMYFUNCTION("IF(E673=""USD"",B673,B673 * GOOGLEFINANCE(""CURRENCY:"" &amp; E673 &amp; ""USD""))
"),195253.2)</f>
        <v>195253.2</v>
      </c>
      <c r="G673" s="16">
        <f ca="1">IFERROR(__xludf.DUMMYFUNCTION("IF(E673=""USD"",C673,C673 * GOOGLEFINANCE(""CURRENCY:"" &amp; E673 &amp; ""USD""))
"),10237703.44242)</f>
        <v>10237703.44242</v>
      </c>
    </row>
    <row r="674" spans="1:7" ht="15.75" customHeight="1" x14ac:dyDescent="0.25">
      <c r="A674" s="11" t="s">
        <v>24</v>
      </c>
      <c r="B674" s="12">
        <v>6900000</v>
      </c>
      <c r="C674" s="12">
        <v>7993039</v>
      </c>
      <c r="D674" s="12">
        <v>1993</v>
      </c>
      <c r="E674" s="12" t="str">
        <f>VLOOKUP(A674, Currency!$A$2:$B$100, 2, FALSE)</f>
        <v>USD</v>
      </c>
      <c r="F674" s="12">
        <f ca="1">IFERROR(__xludf.DUMMYFUNCTION("IF(E674=""USD"",B674,B674 * GOOGLEFINANCE(""CURRENCY:"" &amp; E674 &amp; ""USD""))
"),6900000)</f>
        <v>6900000</v>
      </c>
      <c r="G674" s="13">
        <f ca="1">IFERROR(__xludf.DUMMYFUNCTION("IF(E674=""USD"",C674,C674 * GOOGLEFINANCE(""CURRENCY:"" &amp; E674 &amp; ""USD""))
"),7993039)</f>
        <v>7993039</v>
      </c>
    </row>
    <row r="675" spans="1:7" ht="15.75" customHeight="1" x14ac:dyDescent="0.25">
      <c r="A675" s="14" t="s">
        <v>24</v>
      </c>
      <c r="B675" s="15">
        <v>65000000</v>
      </c>
      <c r="C675" s="15">
        <v>14218868</v>
      </c>
      <c r="D675" s="15">
        <v>2000</v>
      </c>
      <c r="E675" s="15" t="str">
        <f>VLOOKUP(A675, Currency!$A$2:$B$100, 2, FALSE)</f>
        <v>USD</v>
      </c>
      <c r="F675" s="15">
        <f ca="1">IFERROR(__xludf.DUMMYFUNCTION("IF(E675=""USD"",B675,B675 * GOOGLEFINANCE(""CURRENCY:"" &amp; E675 &amp; ""USD""))
"),65000000)</f>
        <v>65000000</v>
      </c>
      <c r="G675" s="16">
        <f ca="1">IFERROR(__xludf.DUMMYFUNCTION("IF(E675=""USD"",C675,C675 * GOOGLEFINANCE(""CURRENCY:"" &amp; E675 &amp; ""USD""))
"),14218868)</f>
        <v>14218868</v>
      </c>
    </row>
    <row r="676" spans="1:7" ht="15.75" customHeight="1" x14ac:dyDescent="0.25">
      <c r="A676" s="11" t="s">
        <v>24</v>
      </c>
      <c r="B676" s="12">
        <v>200000000</v>
      </c>
      <c r="C676" s="12">
        <v>150350192</v>
      </c>
      <c r="D676" s="12">
        <v>2003</v>
      </c>
      <c r="E676" s="12" t="str">
        <f>VLOOKUP(A676, Currency!$A$2:$B$100, 2, FALSE)</f>
        <v>USD</v>
      </c>
      <c r="F676" s="12">
        <f ca="1">IFERROR(__xludf.DUMMYFUNCTION("IF(E676=""USD"",B676,B676 * GOOGLEFINANCE(""CURRENCY:"" &amp; E676 &amp; ""USD""))
"),200000000)</f>
        <v>200000000</v>
      </c>
      <c r="G676" s="13">
        <f ca="1">IFERROR(__xludf.DUMMYFUNCTION("IF(E676=""USD"",C676,C676 * GOOGLEFINANCE(""CURRENCY:"" &amp; E676 &amp; ""USD""))
"),150350192)</f>
        <v>150350192</v>
      </c>
    </row>
    <row r="677" spans="1:7" ht="15.75" customHeight="1" x14ac:dyDescent="0.25">
      <c r="A677" s="14" t="s">
        <v>24</v>
      </c>
      <c r="B677" s="15">
        <v>30000000</v>
      </c>
      <c r="C677" s="15">
        <v>74787599</v>
      </c>
      <c r="D677" s="15">
        <v>1991</v>
      </c>
      <c r="E677" s="15" t="str">
        <f>VLOOKUP(A677, Currency!$A$2:$B$100, 2, FALSE)</f>
        <v>USD</v>
      </c>
      <c r="F677" s="15">
        <f ca="1">IFERROR(__xludf.DUMMYFUNCTION("IF(E677=""USD"",B677,B677 * GOOGLEFINANCE(""CURRENCY:"" &amp; E677 &amp; ""USD""))
"),30000000)</f>
        <v>30000000</v>
      </c>
      <c r="G677" s="16">
        <f ca="1">IFERROR(__xludf.DUMMYFUNCTION("IF(E677=""USD"",C677,C677 * GOOGLEFINANCE(""CURRENCY:"" &amp; E677 &amp; ""USD""))
"),74787599)</f>
        <v>74787599</v>
      </c>
    </row>
    <row r="678" spans="1:7" ht="15.75" customHeight="1" x14ac:dyDescent="0.25">
      <c r="A678" s="11" t="s">
        <v>133</v>
      </c>
      <c r="B678" s="12">
        <v>30000000</v>
      </c>
      <c r="C678" s="12">
        <v>51185897</v>
      </c>
      <c r="D678" s="12">
        <v>1987</v>
      </c>
      <c r="E678" s="12" t="str">
        <f>VLOOKUP(A678, Currency!$A$2:$B$100, 2, FALSE)</f>
        <v>GBP</v>
      </c>
      <c r="F678" s="12">
        <f ca="1">IFERROR(__xludf.DUMMYFUNCTION("IF(E678=""USD"",B678,B678 * GOOGLEFINANCE(""CURRENCY:"" &amp; E678 &amp; ""USD""))
"),38562000)</f>
        <v>38562000</v>
      </c>
      <c r="G678" s="13">
        <f ca="1">IFERROR(__xludf.DUMMYFUNCTION("IF(E678=""USD"",C678,C678 * GOOGLEFINANCE(""CURRENCY:"" &amp; E678 &amp; ""USD""))
"),65794352.0038)</f>
        <v>65794352.003799997</v>
      </c>
    </row>
    <row r="679" spans="1:7" ht="15.75" customHeight="1" x14ac:dyDescent="0.25">
      <c r="A679" s="14" t="s">
        <v>24</v>
      </c>
      <c r="B679" s="15">
        <v>34000000</v>
      </c>
      <c r="C679" s="15">
        <v>66808615</v>
      </c>
      <c r="D679" s="15">
        <v>2001</v>
      </c>
      <c r="E679" s="15" t="str">
        <f>VLOOKUP(A679, Currency!$A$2:$B$100, 2, FALSE)</f>
        <v>USD</v>
      </c>
      <c r="F679" s="15">
        <f ca="1">IFERROR(__xludf.DUMMYFUNCTION("IF(E679=""USD"",B679,B679 * GOOGLEFINANCE(""CURRENCY:"" &amp; E679 &amp; ""USD""))
"),34000000)</f>
        <v>34000000</v>
      </c>
      <c r="G679" s="16">
        <f ca="1">IFERROR(__xludf.DUMMYFUNCTION("IF(E679=""USD"",C679,C679 * GOOGLEFINANCE(""CURRENCY:"" &amp; E679 &amp; ""USD""))
"),66808615)</f>
        <v>66808615</v>
      </c>
    </row>
    <row r="680" spans="1:7" ht="15.75" customHeight="1" x14ac:dyDescent="0.25">
      <c r="A680" s="11" t="s">
        <v>24</v>
      </c>
      <c r="B680" s="12">
        <v>26000000</v>
      </c>
      <c r="C680" s="12">
        <v>77324422</v>
      </c>
      <c r="D680" s="12">
        <v>1993</v>
      </c>
      <c r="E680" s="12" t="str">
        <f>VLOOKUP(A680, Currency!$A$2:$B$100, 2, FALSE)</f>
        <v>USD</v>
      </c>
      <c r="F680" s="12">
        <f ca="1">IFERROR(__xludf.DUMMYFUNCTION("IF(E680=""USD"",B680,B680 * GOOGLEFINANCE(""CURRENCY:"" &amp; E680 &amp; ""USD""))
"),26000000)</f>
        <v>26000000</v>
      </c>
      <c r="G680" s="13">
        <f ca="1">IFERROR(__xludf.DUMMYFUNCTION("IF(E680=""USD"",C680,C680 * GOOGLEFINANCE(""CURRENCY:"" &amp; E680 &amp; ""USD""))
"),77324422)</f>
        <v>77324422</v>
      </c>
    </row>
    <row r="681" spans="1:7" ht="15.75" customHeight="1" x14ac:dyDescent="0.25">
      <c r="A681" s="14" t="s">
        <v>24</v>
      </c>
      <c r="B681" s="15">
        <v>23000000</v>
      </c>
      <c r="C681" s="15">
        <v>176483808</v>
      </c>
      <c r="D681" s="15">
        <v>1998</v>
      </c>
      <c r="E681" s="15" t="str">
        <f>VLOOKUP(A681, Currency!$A$2:$B$100, 2, FALSE)</f>
        <v>USD</v>
      </c>
      <c r="F681" s="15">
        <f ca="1">IFERROR(__xludf.DUMMYFUNCTION("IF(E681=""USD"",B681,B681 * GOOGLEFINANCE(""CURRENCY:"" &amp; E681 &amp; ""USD""))
"),23000000)</f>
        <v>23000000</v>
      </c>
      <c r="G681" s="16">
        <f ca="1">IFERROR(__xludf.DUMMYFUNCTION("IF(E681=""USD"",C681,C681 * GOOGLEFINANCE(""CURRENCY:"" &amp; E681 &amp; ""USD""))
"),176483808)</f>
        <v>176483808</v>
      </c>
    </row>
    <row r="682" spans="1:7" ht="15.75" customHeight="1" x14ac:dyDescent="0.25">
      <c r="A682" s="11" t="s">
        <v>24</v>
      </c>
      <c r="B682" s="12">
        <v>140000000</v>
      </c>
      <c r="C682" s="12">
        <v>31141074</v>
      </c>
      <c r="D682" s="12">
        <v>2016</v>
      </c>
      <c r="E682" s="12" t="str">
        <f>VLOOKUP(A682, Currency!$A$2:$B$100, 2, FALSE)</f>
        <v>USD</v>
      </c>
      <c r="F682" s="12">
        <f ca="1">IFERROR(__xludf.DUMMYFUNCTION("IF(E682=""USD"",B682,B682 * GOOGLEFINANCE(""CURRENCY:"" &amp; E682 &amp; ""USD""))
"),140000000)</f>
        <v>140000000</v>
      </c>
      <c r="G682" s="13">
        <f ca="1">IFERROR(__xludf.DUMMYFUNCTION("IF(E682=""USD"",C682,C682 * GOOGLEFINANCE(""CURRENCY:"" &amp; E682 &amp; ""USD""))
"),31141074)</f>
        <v>31141074</v>
      </c>
    </row>
    <row r="683" spans="1:7" ht="15.75" customHeight="1" x14ac:dyDescent="0.25">
      <c r="A683" s="14" t="s">
        <v>133</v>
      </c>
      <c r="B683" s="15">
        <v>25000000</v>
      </c>
      <c r="C683" s="15">
        <v>30012990</v>
      </c>
      <c r="D683" s="15">
        <v>1998</v>
      </c>
      <c r="E683" s="15" t="str">
        <f>VLOOKUP(A683, Currency!$A$2:$B$100, 2, FALSE)</f>
        <v>GBP</v>
      </c>
      <c r="F683" s="15">
        <f ca="1">IFERROR(__xludf.DUMMYFUNCTION("IF(E683=""USD"",B683,B683 * GOOGLEFINANCE(""CURRENCY:"" &amp; E683 &amp; ""USD""))
"),32134999.9999999)</f>
        <v>32134999.999999899</v>
      </c>
      <c r="G683" s="16">
        <f ca="1">IFERROR(__xludf.DUMMYFUNCTION("IF(E683=""USD"",C683,C683 * GOOGLEFINANCE(""CURRENCY:"" &amp; E683 &amp; ""USD""))
"),38578697.3459999)</f>
        <v>38578697.345999897</v>
      </c>
    </row>
    <row r="684" spans="1:7" ht="15.75" customHeight="1" x14ac:dyDescent="0.25">
      <c r="A684" s="11" t="s">
        <v>24</v>
      </c>
      <c r="B684" s="12">
        <v>30000000</v>
      </c>
      <c r="C684" s="12">
        <v>85416609</v>
      </c>
      <c r="D684" s="12">
        <v>2004</v>
      </c>
      <c r="E684" s="12" t="str">
        <f>VLOOKUP(A684, Currency!$A$2:$B$100, 2, FALSE)</f>
        <v>USD</v>
      </c>
      <c r="F684" s="12">
        <f ca="1">IFERROR(__xludf.DUMMYFUNCTION("IF(E684=""USD"",B684,B684 * GOOGLEFINANCE(""CURRENCY:"" &amp; E684 &amp; ""USD""))
"),30000000)</f>
        <v>30000000</v>
      </c>
      <c r="G684" s="13">
        <f ca="1">IFERROR(__xludf.DUMMYFUNCTION("IF(E684=""USD"",C684,C684 * GOOGLEFINANCE(""CURRENCY:"" &amp; E684 &amp; ""USD""))
"),85416609)</f>
        <v>85416609</v>
      </c>
    </row>
    <row r="685" spans="1:7" ht="15.75" customHeight="1" x14ac:dyDescent="0.25">
      <c r="A685" s="14" t="s">
        <v>24</v>
      </c>
      <c r="B685" s="15">
        <v>5000000</v>
      </c>
      <c r="C685" s="15">
        <v>8786715</v>
      </c>
      <c r="D685" s="15">
        <v>2004</v>
      </c>
      <c r="E685" s="15" t="str">
        <f>VLOOKUP(A685, Currency!$A$2:$B$100, 2, FALSE)</f>
        <v>USD</v>
      </c>
      <c r="F685" s="15">
        <f ca="1">IFERROR(__xludf.DUMMYFUNCTION("IF(E685=""USD"",B685,B685 * GOOGLEFINANCE(""CURRENCY:"" &amp; E685 &amp; ""USD""))
"),5000000)</f>
        <v>5000000</v>
      </c>
      <c r="G685" s="16">
        <f ca="1">IFERROR(__xludf.DUMMYFUNCTION("IF(E685=""USD"",C685,C685 * GOOGLEFINANCE(""CURRENCY:"" &amp; E685 &amp; ""USD""))
"),8786715)</f>
        <v>8786715</v>
      </c>
    </row>
    <row r="686" spans="1:7" ht="15.75" customHeight="1" x14ac:dyDescent="0.25">
      <c r="A686" s="11" t="s">
        <v>24</v>
      </c>
      <c r="B686" s="12">
        <v>13000000</v>
      </c>
      <c r="C686" s="12">
        <v>61693523</v>
      </c>
      <c r="D686" s="12">
        <v>2016</v>
      </c>
      <c r="E686" s="12" t="str">
        <f>VLOOKUP(A686, Currency!$A$2:$B$100, 2, FALSE)</f>
        <v>USD</v>
      </c>
      <c r="F686" s="12">
        <f ca="1">IFERROR(__xludf.DUMMYFUNCTION("IF(E686=""USD"",B686,B686 * GOOGLEFINANCE(""CURRENCY:"" &amp; E686 &amp; ""USD""))
"),13000000)</f>
        <v>13000000</v>
      </c>
      <c r="G686" s="13">
        <f ca="1">IFERROR(__xludf.DUMMYFUNCTION("IF(E686=""USD"",C686,C686 * GOOGLEFINANCE(""CURRENCY:"" &amp; E686 &amp; ""USD""))
"),61693523)</f>
        <v>61693523</v>
      </c>
    </row>
    <row r="687" spans="1:7" ht="15.75" customHeight="1" x14ac:dyDescent="0.25">
      <c r="A687" s="14" t="s">
        <v>149</v>
      </c>
      <c r="B687" s="15">
        <v>18000000</v>
      </c>
      <c r="C687" s="15">
        <v>4435083</v>
      </c>
      <c r="D687" s="15">
        <v>2013</v>
      </c>
      <c r="E687" s="15" t="str">
        <f>VLOOKUP(A687, Currency!$A$2:$B$100, 2, FALSE)</f>
        <v>AUD</v>
      </c>
      <c r="F687" s="15">
        <f ca="1">IFERROR(__xludf.DUMMYFUNCTION("IF(E687=""USD"",B687,B687 * GOOGLEFINANCE(""CURRENCY:"" &amp; E687 &amp; ""USD""))
"),11769840)</f>
        <v>11769840</v>
      </c>
      <c r="G687" s="16">
        <f ca="1">IFERROR(__xludf.DUMMYFUNCTION("IF(E687=""USD"",C687,C687 * GOOGLEFINANCE(""CURRENCY:"" &amp; E687 &amp; ""USD""))
"),2900012.07204)</f>
        <v>2900012.07204</v>
      </c>
    </row>
    <row r="688" spans="1:7" ht="15.75" customHeight="1" x14ac:dyDescent="0.25">
      <c r="A688" s="11" t="s">
        <v>24</v>
      </c>
      <c r="B688" s="12">
        <v>102000000</v>
      </c>
      <c r="C688" s="12">
        <v>132014112</v>
      </c>
      <c r="D688" s="12">
        <v>2002</v>
      </c>
      <c r="E688" s="12" t="str">
        <f>VLOOKUP(A688, Currency!$A$2:$B$100, 2, FALSE)</f>
        <v>USD</v>
      </c>
      <c r="F688" s="12">
        <f ca="1">IFERROR(__xludf.DUMMYFUNCTION("IF(E688=""USD"",B688,B688 * GOOGLEFINANCE(""CURRENCY:"" &amp; E688 &amp; ""USD""))
"),102000000)</f>
        <v>102000000</v>
      </c>
      <c r="G688" s="13">
        <f ca="1">IFERROR(__xludf.DUMMYFUNCTION("IF(E688=""USD"",C688,C688 * GOOGLEFINANCE(""CURRENCY:"" &amp; E688 &amp; ""USD""))
"),132014112)</f>
        <v>132014112</v>
      </c>
    </row>
    <row r="689" spans="1:7" ht="15.75" customHeight="1" x14ac:dyDescent="0.25">
      <c r="A689" s="14" t="s">
        <v>1551</v>
      </c>
      <c r="B689" s="15">
        <v>25000000</v>
      </c>
      <c r="C689" s="15">
        <v>14500000</v>
      </c>
      <c r="D689" s="15">
        <v>1970</v>
      </c>
      <c r="E689" s="15" t="str">
        <f>VLOOKUP(A689, Currency!$A$2:$B$100, 2, FALSE)</f>
        <v>JPY</v>
      </c>
      <c r="F689" s="15">
        <f ca="1">IFERROR(__xludf.DUMMYFUNCTION("IF(E689=""USD"",B689,B689 * GOOGLEFINANCE(""CURRENCY:"" &amp; E689 &amp; ""USD""))
"),162415)</f>
        <v>162415</v>
      </c>
      <c r="G689" s="16">
        <f ca="1">IFERROR(__xludf.DUMMYFUNCTION("IF(E689=""USD"",C689,C689 * GOOGLEFINANCE(""CURRENCY:"" &amp; E689 &amp; ""USD""))
"),94200.7)</f>
        <v>94200.7</v>
      </c>
    </row>
    <row r="690" spans="1:7" ht="15.75" customHeight="1" x14ac:dyDescent="0.25">
      <c r="A690" s="11" t="s">
        <v>24</v>
      </c>
      <c r="B690" s="12">
        <v>65000000</v>
      </c>
      <c r="C690" s="12">
        <v>68208190</v>
      </c>
      <c r="D690" s="12">
        <v>1999</v>
      </c>
      <c r="E690" s="12" t="str">
        <f>VLOOKUP(A690, Currency!$A$2:$B$100, 2, FALSE)</f>
        <v>USD</v>
      </c>
      <c r="F690" s="12">
        <f ca="1">IFERROR(__xludf.DUMMYFUNCTION("IF(E690=""USD"",B690,B690 * GOOGLEFINANCE(""CURRENCY:"" &amp; E690 &amp; ""USD""))
"),65000000)</f>
        <v>65000000</v>
      </c>
      <c r="G690" s="13">
        <f ca="1">IFERROR(__xludf.DUMMYFUNCTION("IF(E690=""USD"",C690,C690 * GOOGLEFINANCE(""CURRENCY:"" &amp; E690 &amp; ""USD""))
"),68208190)</f>
        <v>68208190</v>
      </c>
    </row>
    <row r="691" spans="1:7" ht="15.75" customHeight="1" x14ac:dyDescent="0.25">
      <c r="A691" s="14" t="s">
        <v>24</v>
      </c>
      <c r="B691" s="15">
        <v>75000000</v>
      </c>
      <c r="C691" s="15">
        <v>219613391</v>
      </c>
      <c r="D691" s="15">
        <v>2009</v>
      </c>
      <c r="E691" s="15" t="str">
        <f>VLOOKUP(A691, Currency!$A$2:$B$100, 2, FALSE)</f>
        <v>USD</v>
      </c>
      <c r="F691" s="15">
        <f ca="1">IFERROR(__xludf.DUMMYFUNCTION("IF(E691=""USD"",B691,B691 * GOOGLEFINANCE(""CURRENCY:"" &amp; E691 &amp; ""USD""))
"),75000000)</f>
        <v>75000000</v>
      </c>
      <c r="G691" s="16">
        <f ca="1">IFERROR(__xludf.DUMMYFUNCTION("IF(E691=""USD"",C691,C691 * GOOGLEFINANCE(""CURRENCY:"" &amp; E691 &amp; ""USD""))
"),219613391)</f>
        <v>219613391</v>
      </c>
    </row>
    <row r="692" spans="1:7" ht="15.75" customHeight="1" x14ac:dyDescent="0.25">
      <c r="A692" s="11" t="s">
        <v>133</v>
      </c>
      <c r="B692" s="12">
        <v>229575</v>
      </c>
      <c r="C692" s="12">
        <v>1229197</v>
      </c>
      <c r="D692" s="12">
        <v>1975</v>
      </c>
      <c r="E692" s="12" t="str">
        <f>VLOOKUP(A692, Currency!$A$2:$B$100, 2, FALSE)</f>
        <v>GBP</v>
      </c>
      <c r="F692" s="12">
        <f ca="1">IFERROR(__xludf.DUMMYFUNCTION("IF(E692=""USD"",B692,B692 * GOOGLEFINANCE(""CURRENCY:"" &amp; E692 &amp; ""USD""))
"),295095.704999999)</f>
        <v>295095.70499999903</v>
      </c>
      <c r="G692" s="13">
        <f ca="1">IFERROR(__xludf.DUMMYFUNCTION("IF(E692=""USD"",C692,C692 * GOOGLEFINANCE(""CURRENCY:"" &amp; E692 &amp; ""USD""))
"),1580009.8238)</f>
        <v>1580009.8237999999</v>
      </c>
    </row>
    <row r="693" spans="1:7" ht="15.75" customHeight="1" x14ac:dyDescent="0.25">
      <c r="A693" s="14" t="s">
        <v>24</v>
      </c>
      <c r="B693" s="15">
        <v>15000000</v>
      </c>
      <c r="C693" s="15">
        <v>9123834</v>
      </c>
      <c r="D693" s="15">
        <v>2013</v>
      </c>
      <c r="E693" s="15" t="str">
        <f>VLOOKUP(A693, Currency!$A$2:$B$100, 2, FALSE)</f>
        <v>USD</v>
      </c>
      <c r="F693" s="15">
        <f ca="1">IFERROR(__xludf.DUMMYFUNCTION("IF(E693=""USD"",B693,B693 * GOOGLEFINANCE(""CURRENCY:"" &amp; E693 &amp; ""USD""))
"),15000000)</f>
        <v>15000000</v>
      </c>
      <c r="G693" s="16">
        <f ca="1">IFERROR(__xludf.DUMMYFUNCTION("IF(E693=""USD"",C693,C693 * GOOGLEFINANCE(""CURRENCY:"" &amp; E693 &amp; ""USD""))
"),9123834)</f>
        <v>9123834</v>
      </c>
    </row>
    <row r="694" spans="1:7" ht="15.75" customHeight="1" x14ac:dyDescent="0.25">
      <c r="A694" s="11" t="s">
        <v>24</v>
      </c>
      <c r="B694" s="12">
        <v>20000000</v>
      </c>
      <c r="C694" s="12">
        <v>8586376</v>
      </c>
      <c r="D694" s="12">
        <v>2002</v>
      </c>
      <c r="E694" s="12" t="str">
        <f>VLOOKUP(A694, Currency!$A$2:$B$100, 2, FALSE)</f>
        <v>USD</v>
      </c>
      <c r="F694" s="12">
        <f ca="1">IFERROR(__xludf.DUMMYFUNCTION("IF(E694=""USD"",B694,B694 * GOOGLEFINANCE(""CURRENCY:"" &amp; E694 &amp; ""USD""))
"),20000000)</f>
        <v>20000000</v>
      </c>
      <c r="G694" s="13">
        <f ca="1">IFERROR(__xludf.DUMMYFUNCTION("IF(E694=""USD"",C694,C694 * GOOGLEFINANCE(""CURRENCY:"" &amp; E694 &amp; ""USD""))
"),8586376)</f>
        <v>8586376</v>
      </c>
    </row>
    <row r="695" spans="1:7" ht="15.75" customHeight="1" x14ac:dyDescent="0.25">
      <c r="A695" s="14" t="s">
        <v>24</v>
      </c>
      <c r="B695" s="15">
        <v>90000000</v>
      </c>
      <c r="C695" s="15">
        <v>58229120</v>
      </c>
      <c r="D695" s="15">
        <v>2013</v>
      </c>
      <c r="E695" s="15" t="str">
        <f>VLOOKUP(A695, Currency!$A$2:$B$100, 2, FALSE)</f>
        <v>USD</v>
      </c>
      <c r="F695" s="15">
        <f ca="1">IFERROR(__xludf.DUMMYFUNCTION("IF(E695=""USD"",B695,B695 * GOOGLEFINANCE(""CURRENCY:"" &amp; E695 &amp; ""USD""))
"),90000000)</f>
        <v>90000000</v>
      </c>
      <c r="G695" s="16">
        <f ca="1">IFERROR(__xludf.DUMMYFUNCTION("IF(E695=""USD"",C695,C695 * GOOGLEFINANCE(""CURRENCY:"" &amp; E695 &amp; ""USD""))
"),58229120)</f>
        <v>58229120</v>
      </c>
    </row>
    <row r="696" spans="1:7" ht="15.75" customHeight="1" x14ac:dyDescent="0.25">
      <c r="A696" s="11" t="s">
        <v>24</v>
      </c>
      <c r="B696" s="12">
        <v>3500000</v>
      </c>
      <c r="C696" s="12">
        <v>2848578</v>
      </c>
      <c r="D696" s="12">
        <v>2010</v>
      </c>
      <c r="E696" s="12" t="str">
        <f>VLOOKUP(A696, Currency!$A$2:$B$100, 2, FALSE)</f>
        <v>USD</v>
      </c>
      <c r="F696" s="12">
        <f ca="1">IFERROR(__xludf.DUMMYFUNCTION("IF(E696=""USD"",B696,B696 * GOOGLEFINANCE(""CURRENCY:"" &amp; E696 &amp; ""USD""))
"),3500000)</f>
        <v>3500000</v>
      </c>
      <c r="G696" s="13">
        <f ca="1">IFERROR(__xludf.DUMMYFUNCTION("IF(E696=""USD"",C696,C696 * GOOGLEFINANCE(""CURRENCY:"" &amp; E696 &amp; ""USD""))
"),2848578)</f>
        <v>2848578</v>
      </c>
    </row>
    <row r="697" spans="1:7" ht="15.75" customHeight="1" x14ac:dyDescent="0.25">
      <c r="A697" s="14" t="s">
        <v>24</v>
      </c>
      <c r="B697" s="15">
        <v>100000000</v>
      </c>
      <c r="C697" s="15">
        <v>97030725</v>
      </c>
      <c r="D697" s="15">
        <v>2009</v>
      </c>
      <c r="E697" s="15" t="str">
        <f>VLOOKUP(A697, Currency!$A$2:$B$100, 2, FALSE)</f>
        <v>USD</v>
      </c>
      <c r="F697" s="15">
        <f ca="1">IFERROR(__xludf.DUMMYFUNCTION("IF(E697=""USD"",B697,B697 * GOOGLEFINANCE(""CURRENCY:"" &amp; E697 &amp; ""USD""))
"),100000000)</f>
        <v>100000000</v>
      </c>
      <c r="G697" s="16">
        <f ca="1">IFERROR(__xludf.DUMMYFUNCTION("IF(E697=""USD"",C697,C697 * GOOGLEFINANCE(""CURRENCY:"" &amp; E697 &amp; ""USD""))
"),97030725)</f>
        <v>97030725</v>
      </c>
    </row>
    <row r="698" spans="1:7" ht="15.75" customHeight="1" x14ac:dyDescent="0.25">
      <c r="A698" s="11" t="s">
        <v>24</v>
      </c>
      <c r="B698" s="12">
        <v>18000000</v>
      </c>
      <c r="C698" s="12">
        <v>45250</v>
      </c>
      <c r="D698" s="12">
        <v>1980</v>
      </c>
      <c r="E698" s="12" t="str">
        <f>VLOOKUP(A698, Currency!$A$2:$B$100, 2, FALSE)</f>
        <v>USD</v>
      </c>
      <c r="F698" s="12">
        <f ca="1">IFERROR(__xludf.DUMMYFUNCTION("IF(E698=""USD"",B698,B698 * GOOGLEFINANCE(""CURRENCY:"" &amp; E698 &amp; ""USD""))
"),18000000)</f>
        <v>18000000</v>
      </c>
      <c r="G698" s="13">
        <f ca="1">IFERROR(__xludf.DUMMYFUNCTION("IF(E698=""USD"",C698,C698 * GOOGLEFINANCE(""CURRENCY:"" &amp; E698 &amp; ""USD""))
"),45250)</f>
        <v>45250</v>
      </c>
    </row>
    <row r="699" spans="1:7" ht="15.75" customHeight="1" x14ac:dyDescent="0.25">
      <c r="A699" s="14" t="s">
        <v>41</v>
      </c>
      <c r="B699" s="15">
        <v>400000</v>
      </c>
      <c r="C699" s="15">
        <v>126387</v>
      </c>
      <c r="D699" s="15">
        <v>1981</v>
      </c>
      <c r="E699" s="15" t="str">
        <f>VLOOKUP(A699, Currency!$A$2:$B$100, 2, FALSE)</f>
        <v>EUR</v>
      </c>
      <c r="F699" s="15">
        <f ca="1">IFERROR(__xludf.DUMMYFUNCTION("IF(E699=""USD"",B699,B699 * GOOGLEFINANCE(""CURRENCY:"" &amp; E699 &amp; ""USD""))
"),433896)</f>
        <v>433896</v>
      </c>
      <c r="G699" s="16">
        <f ca="1">IFERROR(__xludf.DUMMYFUNCTION("IF(E699=""USD"",C699,C699 * GOOGLEFINANCE(""CURRENCY:"" &amp; E699 &amp; ""USD""))
"),137097.03438)</f>
        <v>137097.03438</v>
      </c>
    </row>
    <row r="700" spans="1:7" ht="15.75" customHeight="1" x14ac:dyDescent="0.25">
      <c r="A700" s="11" t="s">
        <v>1111</v>
      </c>
      <c r="B700" s="12">
        <v>2000000</v>
      </c>
      <c r="C700" s="12">
        <v>395592</v>
      </c>
      <c r="D700" s="12">
        <v>2003</v>
      </c>
      <c r="E700" s="12" t="str">
        <f>VLOOKUP(A700, Currency!$A$2:$B$100, 2, FALSE)</f>
        <v>EUR</v>
      </c>
      <c r="F700" s="12">
        <f ca="1">IFERROR(__xludf.DUMMYFUNCTION("IF(E700=""USD"",B700,B700 * GOOGLEFINANCE(""CURRENCY:"" &amp; E700 &amp; ""USD""))
"),2169480)</f>
        <v>2169480</v>
      </c>
      <c r="G700" s="13">
        <f ca="1">IFERROR(__xludf.DUMMYFUNCTION("IF(E700=""USD"",C700,C700 * GOOGLEFINANCE(""CURRENCY:"" &amp; E700 &amp; ""USD""))
"),429114.46608)</f>
        <v>429114.46607999998</v>
      </c>
    </row>
    <row r="701" spans="1:7" ht="15.75" customHeight="1" x14ac:dyDescent="0.25">
      <c r="A701" s="14" t="s">
        <v>24</v>
      </c>
      <c r="B701" s="15">
        <v>80000000</v>
      </c>
      <c r="C701" s="15">
        <v>42044321</v>
      </c>
      <c r="D701" s="15">
        <v>2004</v>
      </c>
      <c r="E701" s="15" t="str">
        <f>VLOOKUP(A701, Currency!$A$2:$B$100, 2, FALSE)</f>
        <v>USD</v>
      </c>
      <c r="F701" s="15">
        <f ca="1">IFERROR(__xludf.DUMMYFUNCTION("IF(E701=""USD"",B701,B701 * GOOGLEFINANCE(""CURRENCY:"" &amp; E701 &amp; ""USD""))
"),80000000)</f>
        <v>80000000</v>
      </c>
      <c r="G701" s="16">
        <f ca="1">IFERROR(__xludf.DUMMYFUNCTION("IF(E701=""USD"",C701,C701 * GOOGLEFINANCE(""CURRENCY:"" &amp; E701 &amp; ""USD""))
"),42044321)</f>
        <v>42044321</v>
      </c>
    </row>
    <row r="702" spans="1:7" ht="15.75" customHeight="1" x14ac:dyDescent="0.25">
      <c r="A702" s="11" t="s">
        <v>24</v>
      </c>
      <c r="B702" s="12">
        <v>38000000</v>
      </c>
      <c r="C702" s="12">
        <v>144512310</v>
      </c>
      <c r="D702" s="12">
        <v>2001</v>
      </c>
      <c r="E702" s="12" t="str">
        <f>VLOOKUP(A702, Currency!$A$2:$B$100, 2, FALSE)</f>
        <v>USD</v>
      </c>
      <c r="F702" s="12">
        <f ca="1">IFERROR(__xludf.DUMMYFUNCTION("IF(E702=""USD"",B702,B702 * GOOGLEFINANCE(""CURRENCY:"" &amp; E702 &amp; ""USD""))
"),38000000)</f>
        <v>38000000</v>
      </c>
      <c r="G702" s="13">
        <f ca="1">IFERROR(__xludf.DUMMYFUNCTION("IF(E702=""USD"",C702,C702 * GOOGLEFINANCE(""CURRENCY:"" &amp; E702 &amp; ""USD""))
"),144512310)</f>
        <v>144512310</v>
      </c>
    </row>
    <row r="703" spans="1:7" ht="15.75" customHeight="1" x14ac:dyDescent="0.25">
      <c r="A703" s="14" t="s">
        <v>24</v>
      </c>
      <c r="B703" s="15">
        <v>35000000</v>
      </c>
      <c r="C703" s="15">
        <v>17609982</v>
      </c>
      <c r="D703" s="15">
        <v>2013</v>
      </c>
      <c r="E703" s="15" t="str">
        <f>VLOOKUP(A703, Currency!$A$2:$B$100, 2, FALSE)</f>
        <v>USD</v>
      </c>
      <c r="F703" s="15">
        <f ca="1">IFERROR(__xludf.DUMMYFUNCTION("IF(E703=""USD"",B703,B703 * GOOGLEFINANCE(""CURRENCY:"" &amp; E703 &amp; ""USD""))
"),35000000)</f>
        <v>35000000</v>
      </c>
      <c r="G703" s="16">
        <f ca="1">IFERROR(__xludf.DUMMYFUNCTION("IF(E703=""USD"",C703,C703 * GOOGLEFINANCE(""CURRENCY:"" &amp; E703 &amp; ""USD""))
"),17609982)</f>
        <v>17609982</v>
      </c>
    </row>
    <row r="704" spans="1:7" ht="15.75" customHeight="1" x14ac:dyDescent="0.25">
      <c r="A704" s="11" t="s">
        <v>24</v>
      </c>
      <c r="B704" s="12">
        <v>14000000</v>
      </c>
      <c r="C704" s="12">
        <v>32645546</v>
      </c>
      <c r="D704" s="12">
        <v>2005</v>
      </c>
      <c r="E704" s="12" t="str">
        <f>VLOOKUP(A704, Currency!$A$2:$B$100, 2, FALSE)</f>
        <v>USD</v>
      </c>
      <c r="F704" s="12">
        <f ca="1">IFERROR(__xludf.DUMMYFUNCTION("IF(E704=""USD"",B704,B704 * GOOGLEFINANCE(""CURRENCY:"" &amp; E704 &amp; ""USD""))
"),14000000)</f>
        <v>14000000</v>
      </c>
      <c r="G704" s="13">
        <f ca="1">IFERROR(__xludf.DUMMYFUNCTION("IF(E704=""USD"",C704,C704 * GOOGLEFINANCE(""CURRENCY:"" &amp; E704 &amp; ""USD""))
"),32645546)</f>
        <v>32645546</v>
      </c>
    </row>
    <row r="705" spans="1:7" ht="15.75" customHeight="1" x14ac:dyDescent="0.25">
      <c r="A705" s="14" t="s">
        <v>24</v>
      </c>
      <c r="B705" s="15">
        <v>35000000</v>
      </c>
      <c r="C705" s="15">
        <v>81159365</v>
      </c>
      <c r="D705" s="15">
        <v>2008</v>
      </c>
      <c r="E705" s="15" t="str">
        <f>VLOOKUP(A705, Currency!$A$2:$B$100, 2, FALSE)</f>
        <v>USD</v>
      </c>
      <c r="F705" s="15">
        <f ca="1">IFERROR(__xludf.DUMMYFUNCTION("IF(E705=""USD"",B705,B705 * GOOGLEFINANCE(""CURRENCY:"" &amp; E705 &amp; ""USD""))
"),35000000)</f>
        <v>35000000</v>
      </c>
      <c r="G705" s="16">
        <f ca="1">IFERROR(__xludf.DUMMYFUNCTION("IF(E705=""USD"",C705,C705 * GOOGLEFINANCE(""CURRENCY:"" &amp; E705 &amp; ""USD""))
"),81159365)</f>
        <v>81159365</v>
      </c>
    </row>
    <row r="706" spans="1:7" ht="15.75" customHeight="1" x14ac:dyDescent="0.25">
      <c r="A706" s="11" t="s">
        <v>24</v>
      </c>
      <c r="B706" s="12">
        <v>225000000</v>
      </c>
      <c r="C706" s="12">
        <v>423032628</v>
      </c>
      <c r="D706" s="12">
        <v>2006</v>
      </c>
      <c r="E706" s="12" t="str">
        <f>VLOOKUP(A706, Currency!$A$2:$B$100, 2, FALSE)</f>
        <v>USD</v>
      </c>
      <c r="F706" s="12">
        <f ca="1">IFERROR(__xludf.DUMMYFUNCTION("IF(E706=""USD"",B706,B706 * GOOGLEFINANCE(""CURRENCY:"" &amp; E706 &amp; ""USD""))
"),225000000)</f>
        <v>225000000</v>
      </c>
      <c r="G706" s="13">
        <f ca="1">IFERROR(__xludf.DUMMYFUNCTION("IF(E706=""USD"",C706,C706 * GOOGLEFINANCE(""CURRENCY:"" &amp; E706 &amp; ""USD""))
"),423032628)</f>
        <v>423032628</v>
      </c>
    </row>
    <row r="707" spans="1:7" ht="15.75" customHeight="1" x14ac:dyDescent="0.25">
      <c r="A707" s="14" t="s">
        <v>133</v>
      </c>
      <c r="B707" s="15">
        <v>6000000</v>
      </c>
      <c r="C707" s="15">
        <v>137963328</v>
      </c>
      <c r="D707" s="15">
        <v>1986</v>
      </c>
      <c r="E707" s="15" t="str">
        <f>VLOOKUP(A707, Currency!$A$2:$B$100, 2, FALSE)</f>
        <v>GBP</v>
      </c>
      <c r="F707" s="15">
        <f ca="1">IFERROR(__xludf.DUMMYFUNCTION("IF(E707=""USD"",B707,B707 * GOOGLEFINANCE(""CURRENCY:"" &amp; E707 &amp; ""USD""))
"),7712399.99999999)</f>
        <v>7712399.9999999898</v>
      </c>
      <c r="G707" s="16">
        <f ca="1">IFERROR(__xludf.DUMMYFUNCTION("IF(E707=""USD"",C707,C707 * GOOGLEFINANCE(""CURRENCY:"" &amp; E707 &amp; ""USD""))
"),177338061.8112)</f>
        <v>177338061.81119999</v>
      </c>
    </row>
    <row r="708" spans="1:7" ht="15.75" customHeight="1" x14ac:dyDescent="0.25">
      <c r="A708" s="11" t="s">
        <v>24</v>
      </c>
      <c r="B708" s="12">
        <v>50000000</v>
      </c>
      <c r="C708" s="12">
        <v>75605492</v>
      </c>
      <c r="D708" s="12">
        <v>2011</v>
      </c>
      <c r="E708" s="12" t="str">
        <f>VLOOKUP(A708, Currency!$A$2:$B$100, 2, FALSE)</f>
        <v>USD</v>
      </c>
      <c r="F708" s="12">
        <f ca="1">IFERROR(__xludf.DUMMYFUNCTION("IF(E708=""USD"",B708,B708 * GOOGLEFINANCE(""CURRENCY:"" &amp; E708 &amp; ""USD""))
"),50000000)</f>
        <v>50000000</v>
      </c>
      <c r="G708" s="13">
        <f ca="1">IFERROR(__xludf.DUMMYFUNCTION("IF(E708=""USD"",C708,C708 * GOOGLEFINANCE(""CURRENCY:"" &amp; E708 &amp; ""USD""))
"),75605492)</f>
        <v>75605492</v>
      </c>
    </row>
    <row r="709" spans="1:7" ht="15.75" customHeight="1" x14ac:dyDescent="0.25">
      <c r="A709" s="14" t="s">
        <v>24</v>
      </c>
      <c r="B709" s="15">
        <v>15000000</v>
      </c>
      <c r="C709" s="15">
        <v>47811275</v>
      </c>
      <c r="D709" s="15">
        <v>2002</v>
      </c>
      <c r="E709" s="15" t="str">
        <f>VLOOKUP(A709, Currency!$A$2:$B$100, 2, FALSE)</f>
        <v>USD</v>
      </c>
      <c r="F709" s="15">
        <f ca="1">IFERROR(__xludf.DUMMYFUNCTION("IF(E709=""USD"",B709,B709 * GOOGLEFINANCE(""CURRENCY:"" &amp; E709 &amp; ""USD""))
"),15000000)</f>
        <v>15000000</v>
      </c>
      <c r="G709" s="16">
        <f ca="1">IFERROR(__xludf.DUMMYFUNCTION("IF(E709=""USD"",C709,C709 * GOOGLEFINANCE(""CURRENCY:"" &amp; E709 &amp; ""USD""))
"),47811275)</f>
        <v>47811275</v>
      </c>
    </row>
    <row r="710" spans="1:7" ht="15.75" customHeight="1" x14ac:dyDescent="0.25">
      <c r="A710" s="11" t="s">
        <v>133</v>
      </c>
      <c r="B710" s="12">
        <v>3000000</v>
      </c>
      <c r="C710" s="12">
        <v>26345</v>
      </c>
      <c r="D710" s="12">
        <v>2012</v>
      </c>
      <c r="E710" s="12" t="str">
        <f>VLOOKUP(A710, Currency!$A$2:$B$100, 2, FALSE)</f>
        <v>GBP</v>
      </c>
      <c r="F710" s="12">
        <f ca="1">IFERROR(__xludf.DUMMYFUNCTION("IF(E710=""USD"",B710,B710 * GOOGLEFINANCE(""CURRENCY:"" &amp; E710 &amp; ""USD""))
"),3856199.99999999)</f>
        <v>3856199.9999999902</v>
      </c>
      <c r="G710" s="13">
        <f ca="1">IFERROR(__xludf.DUMMYFUNCTION("IF(E710=""USD"",C710,C710 * GOOGLEFINANCE(""CURRENCY:"" &amp; E710 &amp; ""USD""))
"),33863.863)</f>
        <v>33863.862999999998</v>
      </c>
    </row>
    <row r="711" spans="1:7" ht="15.75" customHeight="1" x14ac:dyDescent="0.25">
      <c r="A711" s="14" t="s">
        <v>24</v>
      </c>
      <c r="B711" s="15">
        <v>225000000</v>
      </c>
      <c r="C711" s="15">
        <v>179020854</v>
      </c>
      <c r="D711" s="15">
        <v>2012</v>
      </c>
      <c r="E711" s="15" t="str">
        <f>VLOOKUP(A711, Currency!$A$2:$B$100, 2, FALSE)</f>
        <v>USD</v>
      </c>
      <c r="F711" s="15">
        <f ca="1">IFERROR(__xludf.DUMMYFUNCTION("IF(E711=""USD"",B711,B711 * GOOGLEFINANCE(""CURRENCY:"" &amp; E711 &amp; ""USD""))
"),225000000)</f>
        <v>225000000</v>
      </c>
      <c r="G711" s="16">
        <f ca="1">IFERROR(__xludf.DUMMYFUNCTION("IF(E711=""USD"",C711,C711 * GOOGLEFINANCE(""CURRENCY:"" &amp; E711 &amp; ""USD""))
"),179020854)</f>
        <v>179020854</v>
      </c>
    </row>
    <row r="712" spans="1:7" ht="15.75" customHeight="1" x14ac:dyDescent="0.25">
      <c r="A712" s="11" t="s">
        <v>24</v>
      </c>
      <c r="B712" s="12">
        <v>165000000</v>
      </c>
      <c r="C712" s="12">
        <v>189412677</v>
      </c>
      <c r="D712" s="12">
        <v>2012</v>
      </c>
      <c r="E712" s="12" t="str">
        <f>VLOOKUP(A712, Currency!$A$2:$B$100, 2, FALSE)</f>
        <v>USD</v>
      </c>
      <c r="F712" s="12">
        <f ca="1">IFERROR(__xludf.DUMMYFUNCTION("IF(E712=""USD"",B712,B712 * GOOGLEFINANCE(""CURRENCY:"" &amp; E712 &amp; ""USD""))
"),165000000)</f>
        <v>165000000</v>
      </c>
      <c r="G712" s="13">
        <f ca="1">IFERROR(__xludf.DUMMYFUNCTION("IF(E712=""USD"",C712,C712 * GOOGLEFINANCE(""CURRENCY:"" &amp; E712 &amp; ""USD""))
"),189412677)</f>
        <v>189412677</v>
      </c>
    </row>
    <row r="713" spans="1:7" ht="15.75" customHeight="1" x14ac:dyDescent="0.25">
      <c r="A713" s="14" t="s">
        <v>24</v>
      </c>
      <c r="B713" s="15">
        <v>3000000</v>
      </c>
      <c r="C713" s="15">
        <v>15369573</v>
      </c>
      <c r="D713" s="15">
        <v>1990</v>
      </c>
      <c r="E713" s="15" t="str">
        <f>VLOOKUP(A713, Currency!$A$2:$B$100, 2, FALSE)</f>
        <v>USD</v>
      </c>
      <c r="F713" s="15">
        <f ca="1">IFERROR(__xludf.DUMMYFUNCTION("IF(E713=""USD"",B713,B713 * GOOGLEFINANCE(""CURRENCY:"" &amp; E713 &amp; ""USD""))
"),3000000)</f>
        <v>3000000</v>
      </c>
      <c r="G713" s="16">
        <f ca="1">IFERROR(__xludf.DUMMYFUNCTION("IF(E713=""USD"",C713,C713 * GOOGLEFINANCE(""CURRENCY:"" &amp; E713 &amp; ""USD""))
"),15369573)</f>
        <v>15369573</v>
      </c>
    </row>
    <row r="714" spans="1:7" ht="15.75" customHeight="1" x14ac:dyDescent="0.25">
      <c r="A714" s="11" t="s">
        <v>24</v>
      </c>
      <c r="B714" s="12">
        <v>6000000</v>
      </c>
      <c r="C714" s="12">
        <v>8828771</v>
      </c>
      <c r="D714" s="12">
        <v>2013</v>
      </c>
      <c r="E714" s="12" t="str">
        <f>VLOOKUP(A714, Currency!$A$2:$B$100, 2, FALSE)</f>
        <v>USD</v>
      </c>
      <c r="F714" s="12">
        <f ca="1">IFERROR(__xludf.DUMMYFUNCTION("IF(E714=""USD"",B714,B714 * GOOGLEFINANCE(""CURRENCY:"" &amp; E714 &amp; ""USD""))
"),6000000)</f>
        <v>6000000</v>
      </c>
      <c r="G714" s="13">
        <f ca="1">IFERROR(__xludf.DUMMYFUNCTION("IF(E714=""USD"",C714,C714 * GOOGLEFINANCE(""CURRENCY:"" &amp; E714 &amp; ""USD""))
"),8828771)</f>
        <v>8828771</v>
      </c>
    </row>
    <row r="715" spans="1:7" ht="15.75" customHeight="1" x14ac:dyDescent="0.25">
      <c r="A715" s="14" t="s">
        <v>133</v>
      </c>
      <c r="B715" s="15">
        <v>30000000</v>
      </c>
      <c r="C715" s="15">
        <v>48043505</v>
      </c>
      <c r="D715" s="15">
        <v>2010</v>
      </c>
      <c r="E715" s="15" t="str">
        <f>VLOOKUP(A715, Currency!$A$2:$B$100, 2, FALSE)</f>
        <v>GBP</v>
      </c>
      <c r="F715" s="15">
        <f ca="1">IFERROR(__xludf.DUMMYFUNCTION("IF(E715=""USD"",B715,B715 * GOOGLEFINANCE(""CURRENCY:"" &amp; E715 &amp; ""USD""))
"),38562000)</f>
        <v>38562000</v>
      </c>
      <c r="G715" s="16">
        <f ca="1">IFERROR(__xludf.DUMMYFUNCTION("IF(E715=""USD"",C715,C715 * GOOGLEFINANCE(""CURRENCY:"" &amp; E715 &amp; ""USD""))
"),61755121.3269999)</f>
        <v>61755121.326999903</v>
      </c>
    </row>
    <row r="716" spans="1:7" ht="15.75" customHeight="1" x14ac:dyDescent="0.25">
      <c r="A716" s="11" t="s">
        <v>24</v>
      </c>
      <c r="B716" s="12">
        <v>30000000</v>
      </c>
      <c r="C716" s="12">
        <v>65010106</v>
      </c>
      <c r="D716" s="12">
        <v>2002</v>
      </c>
      <c r="E716" s="12" t="str">
        <f>VLOOKUP(A716, Currency!$A$2:$B$100, 2, FALSE)</f>
        <v>USD</v>
      </c>
      <c r="F716" s="12">
        <f ca="1">IFERROR(__xludf.DUMMYFUNCTION("IF(E716=""USD"",B716,B716 * GOOGLEFINANCE(""CURRENCY:"" &amp; E716 &amp; ""USD""))
"),30000000)</f>
        <v>30000000</v>
      </c>
      <c r="G716" s="13">
        <f ca="1">IFERROR(__xludf.DUMMYFUNCTION("IF(E716=""USD"",C716,C716 * GOOGLEFINANCE(""CURRENCY:"" &amp; E716 &amp; ""USD""))
"),65010106)</f>
        <v>65010106</v>
      </c>
    </row>
    <row r="717" spans="1:7" ht="15.75" customHeight="1" x14ac:dyDescent="0.25">
      <c r="A717" s="14" t="s">
        <v>133</v>
      </c>
      <c r="B717" s="15">
        <v>10000000</v>
      </c>
      <c r="C717" s="15">
        <v>32101000</v>
      </c>
      <c r="D717" s="15">
        <v>1992</v>
      </c>
      <c r="E717" s="15" t="str">
        <f>VLOOKUP(A717, Currency!$A$2:$B$100, 2, FALSE)</f>
        <v>GBP</v>
      </c>
      <c r="F717" s="15">
        <f ca="1">IFERROR(__xludf.DUMMYFUNCTION("IF(E717=""USD"",B717,B717 * GOOGLEFINANCE(""CURRENCY:"" &amp; E717 &amp; ""USD""))
"),12853999.9999999)</f>
        <v>12853999.999999899</v>
      </c>
      <c r="G717" s="16">
        <f ca="1">IFERROR(__xludf.DUMMYFUNCTION("IF(E717=""USD"",C717,C717 * GOOGLEFINANCE(""CURRENCY:"" &amp; E717 &amp; ""USD""))
"),41262625.4)</f>
        <v>41262625.399999999</v>
      </c>
    </row>
    <row r="718" spans="1:7" ht="15.75" customHeight="1" x14ac:dyDescent="0.25">
      <c r="A718" s="11" t="s">
        <v>24</v>
      </c>
      <c r="B718" s="12">
        <v>28000000</v>
      </c>
      <c r="C718" s="12">
        <v>33000377</v>
      </c>
      <c r="D718" s="12">
        <v>2000</v>
      </c>
      <c r="E718" s="12" t="str">
        <f>VLOOKUP(A718, Currency!$A$2:$B$100, 2, FALSE)</f>
        <v>USD</v>
      </c>
      <c r="F718" s="12">
        <f ca="1">IFERROR(__xludf.DUMMYFUNCTION("IF(E718=""USD"",B718,B718 * GOOGLEFINANCE(""CURRENCY:"" &amp; E718 &amp; ""USD""))
"),28000000)</f>
        <v>28000000</v>
      </c>
      <c r="G718" s="13">
        <f ca="1">IFERROR(__xludf.DUMMYFUNCTION("IF(E718=""USD"",C718,C718 * GOOGLEFINANCE(""CURRENCY:"" &amp; E718 &amp; ""USD""))
"),33000377)</f>
        <v>33000377</v>
      </c>
    </row>
    <row r="719" spans="1:7" ht="15.75" customHeight="1" x14ac:dyDescent="0.25">
      <c r="A719" s="14" t="s">
        <v>24</v>
      </c>
      <c r="B719" s="15">
        <v>53000000</v>
      </c>
      <c r="C719" s="15">
        <v>25031037</v>
      </c>
      <c r="D719" s="15">
        <v>2007</v>
      </c>
      <c r="E719" s="15" t="str">
        <f>VLOOKUP(A719, Currency!$A$2:$B$100, 2, FALSE)</f>
        <v>USD</v>
      </c>
      <c r="F719" s="15">
        <f ca="1">IFERROR(__xludf.DUMMYFUNCTION("IF(E719=""USD"",B719,B719 * GOOGLEFINANCE(""CURRENCY:"" &amp; E719 &amp; ""USD""))
"),53000000)</f>
        <v>53000000</v>
      </c>
      <c r="G719" s="16">
        <f ca="1">IFERROR(__xludf.DUMMYFUNCTION("IF(E719=""USD"",C719,C719 * GOOGLEFINANCE(""CURRENCY:"" &amp; E719 &amp; ""USD""))
"),25031037)</f>
        <v>25031037</v>
      </c>
    </row>
    <row r="720" spans="1:7" ht="15.75" customHeight="1" x14ac:dyDescent="0.25">
      <c r="A720" s="11" t="s">
        <v>24</v>
      </c>
      <c r="B720" s="12">
        <v>40000000</v>
      </c>
      <c r="C720" s="12">
        <v>511920</v>
      </c>
      <c r="D720" s="12">
        <v>2008</v>
      </c>
      <c r="E720" s="12" t="str">
        <f>VLOOKUP(A720, Currency!$A$2:$B$100, 2, FALSE)</f>
        <v>USD</v>
      </c>
      <c r="F720" s="12">
        <f ca="1">IFERROR(__xludf.DUMMYFUNCTION("IF(E720=""USD"",B720,B720 * GOOGLEFINANCE(""CURRENCY:"" &amp; E720 &amp; ""USD""))
"),40000000)</f>
        <v>40000000</v>
      </c>
      <c r="G720" s="13">
        <f ca="1">IFERROR(__xludf.DUMMYFUNCTION("IF(E720=""USD"",C720,C720 * GOOGLEFINANCE(""CURRENCY:"" &amp; E720 &amp; ""USD""))
"),511920)</f>
        <v>511920</v>
      </c>
    </row>
    <row r="721" spans="1:7" ht="15.75" customHeight="1" x14ac:dyDescent="0.25">
      <c r="A721" s="14" t="s">
        <v>24</v>
      </c>
      <c r="B721" s="15">
        <v>40000000</v>
      </c>
      <c r="C721" s="15">
        <v>9652000</v>
      </c>
      <c r="D721" s="15">
        <v>2003</v>
      </c>
      <c r="E721" s="15" t="str">
        <f>VLOOKUP(A721, Currency!$A$2:$B$100, 2, FALSE)</f>
        <v>USD</v>
      </c>
      <c r="F721" s="15">
        <f ca="1">IFERROR(__xludf.DUMMYFUNCTION("IF(E721=""USD"",B721,B721 * GOOGLEFINANCE(""CURRENCY:"" &amp; E721 &amp; ""USD""))
"),40000000)</f>
        <v>40000000</v>
      </c>
      <c r="G721" s="16">
        <f ca="1">IFERROR(__xludf.DUMMYFUNCTION("IF(E721=""USD"",C721,C721 * GOOGLEFINANCE(""CURRENCY:"" &amp; E721 &amp; ""USD""))
"),9652000)</f>
        <v>9652000</v>
      </c>
    </row>
    <row r="722" spans="1:7" ht="15.75" customHeight="1" x14ac:dyDescent="0.25">
      <c r="A722" s="11" t="s">
        <v>24</v>
      </c>
      <c r="B722" s="12">
        <v>85000000</v>
      </c>
      <c r="C722" s="12">
        <v>148313048</v>
      </c>
      <c r="D722" s="12">
        <v>2012</v>
      </c>
      <c r="E722" s="12" t="str">
        <f>VLOOKUP(A722, Currency!$A$2:$B$100, 2, FALSE)</f>
        <v>USD</v>
      </c>
      <c r="F722" s="12">
        <f ca="1">IFERROR(__xludf.DUMMYFUNCTION("IF(E722=""USD"",B722,B722 * GOOGLEFINANCE(""CURRENCY:"" &amp; E722 &amp; ""USD""))
"),85000000)</f>
        <v>85000000</v>
      </c>
      <c r="G722" s="13">
        <f ca="1">IFERROR(__xludf.DUMMYFUNCTION("IF(E722=""USD"",C722,C722 * GOOGLEFINANCE(""CURRENCY:"" &amp; E722 &amp; ""USD""))
"),148313048)</f>
        <v>148313048</v>
      </c>
    </row>
    <row r="723" spans="1:7" ht="15.75" customHeight="1" x14ac:dyDescent="0.25">
      <c r="A723" s="14" t="s">
        <v>24</v>
      </c>
      <c r="B723" s="15">
        <v>7000000</v>
      </c>
      <c r="C723" s="15">
        <v>17474107</v>
      </c>
      <c r="D723" s="15">
        <v>2015</v>
      </c>
      <c r="E723" s="15" t="str">
        <f>VLOOKUP(A723, Currency!$A$2:$B$100, 2, FALSE)</f>
        <v>USD</v>
      </c>
      <c r="F723" s="15">
        <f ca="1">IFERROR(__xludf.DUMMYFUNCTION("IF(E723=""USD"",B723,B723 * GOOGLEFINANCE(""CURRENCY:"" &amp; E723 &amp; ""USD""))
"),7000000)</f>
        <v>7000000</v>
      </c>
      <c r="G723" s="16">
        <f ca="1">IFERROR(__xludf.DUMMYFUNCTION("IF(E723=""USD"",C723,C723 * GOOGLEFINANCE(""CURRENCY:"" &amp; E723 &amp; ""USD""))
"),17474107)</f>
        <v>17474107</v>
      </c>
    </row>
    <row r="724" spans="1:7" ht="15.75" customHeight="1" x14ac:dyDescent="0.25">
      <c r="A724" s="11" t="s">
        <v>1111</v>
      </c>
      <c r="B724" s="12">
        <v>700000000</v>
      </c>
      <c r="C724" s="12">
        <v>1687311</v>
      </c>
      <c r="D724" s="12">
        <v>1998</v>
      </c>
      <c r="E724" s="12" t="str">
        <f>VLOOKUP(A724, Currency!$A$2:$B$100, 2, FALSE)</f>
        <v>EUR</v>
      </c>
      <c r="F724" s="12">
        <f ca="1">IFERROR(__xludf.DUMMYFUNCTION("IF(E724=""USD"",B724,B724 * GOOGLEFINANCE(""CURRENCY:"" &amp; E724 &amp; ""USD""))
"),759318000)</f>
        <v>759318000</v>
      </c>
      <c r="G724" s="13">
        <f ca="1">IFERROR(__xludf.DUMMYFUNCTION("IF(E724=""USD"",C724,C724 * GOOGLEFINANCE(""CURRENCY:"" &amp; E724 &amp; ""USD""))
"),1830293.73414)</f>
        <v>1830293.7341400001</v>
      </c>
    </row>
    <row r="725" spans="1:7" ht="15.75" customHeight="1" x14ac:dyDescent="0.25">
      <c r="A725" s="14" t="s">
        <v>24</v>
      </c>
      <c r="B725" s="15">
        <v>14000000</v>
      </c>
      <c r="C725" s="15">
        <v>4741987</v>
      </c>
      <c r="D725" s="15">
        <v>1999</v>
      </c>
      <c r="E725" s="15" t="str">
        <f>VLOOKUP(A725, Currency!$A$2:$B$100, 2, FALSE)</f>
        <v>USD</v>
      </c>
      <c r="F725" s="15">
        <f ca="1">IFERROR(__xludf.DUMMYFUNCTION("IF(E725=""USD"",B725,B725 * GOOGLEFINANCE(""CURRENCY:"" &amp; E725 &amp; ""USD""))
"),14000000)</f>
        <v>14000000</v>
      </c>
      <c r="G725" s="16">
        <f ca="1">IFERROR(__xludf.DUMMYFUNCTION("IF(E725=""USD"",C725,C725 * GOOGLEFINANCE(""CURRENCY:"" &amp; E725 &amp; ""USD""))
"),4741987)</f>
        <v>4741987</v>
      </c>
    </row>
    <row r="726" spans="1:7" ht="15.75" customHeight="1" x14ac:dyDescent="0.25">
      <c r="A726" s="11" t="s">
        <v>627</v>
      </c>
      <c r="B726" s="12">
        <v>5000000</v>
      </c>
      <c r="C726" s="12">
        <v>6239558</v>
      </c>
      <c r="D726" s="12">
        <v>2003</v>
      </c>
      <c r="E726" s="12" t="str">
        <f>VLOOKUP(A726, Currency!$A$2:$B$100, 2, FALSE)</f>
        <v>CAD</v>
      </c>
      <c r="F726" s="12">
        <f ca="1">IFERROR(__xludf.DUMMYFUNCTION("IF(E726=""USD"",B726,B726 * GOOGLEFINANCE(""CURRENCY:"" &amp; E726 &amp; ""USD""))
"),3617025)</f>
        <v>3617025</v>
      </c>
      <c r="G726" s="13">
        <f ca="1">IFERROR(__xludf.DUMMYFUNCTION("IF(E726=""USD"",C726,C726 * GOOGLEFINANCE(""CURRENCY:"" &amp; E726 &amp; ""USD""))
"),4513727.45498999)</f>
        <v>4513727.4549899902</v>
      </c>
    </row>
    <row r="727" spans="1:7" ht="15.75" customHeight="1" x14ac:dyDescent="0.25">
      <c r="A727" s="14" t="s">
        <v>611</v>
      </c>
      <c r="B727" s="15">
        <v>15000000</v>
      </c>
      <c r="C727" s="15">
        <v>4956401</v>
      </c>
      <c r="D727" s="15">
        <v>1999</v>
      </c>
      <c r="E727" s="15" t="str">
        <f>VLOOKUP(A727, Currency!$A$2:$B$100, 2, FALSE)</f>
        <v>EUR</v>
      </c>
      <c r="F727" s="15">
        <f ca="1">IFERROR(__xludf.DUMMYFUNCTION("IF(E727=""USD"",B727,B727 * GOOGLEFINANCE(""CURRENCY:"" &amp; E727 &amp; ""USD""))
"),16271100)</f>
        <v>16271100</v>
      </c>
      <c r="G727" s="16">
        <f ca="1">IFERROR(__xludf.DUMMYFUNCTION("IF(E727=""USD"",C727,C727 * GOOGLEFINANCE(""CURRENCY:"" &amp; E727 &amp; ""USD""))
"),5376406.42074)</f>
        <v>5376406.42074</v>
      </c>
    </row>
    <row r="728" spans="1:7" ht="15.75" customHeight="1" x14ac:dyDescent="0.25">
      <c r="A728" s="11" t="s">
        <v>24</v>
      </c>
      <c r="B728" s="12">
        <v>25000000</v>
      </c>
      <c r="C728" s="12">
        <v>66489425</v>
      </c>
      <c r="D728" s="12">
        <v>2012</v>
      </c>
      <c r="E728" s="12" t="str">
        <f>VLOOKUP(A728, Currency!$A$2:$B$100, 2, FALSE)</f>
        <v>USD</v>
      </c>
      <c r="F728" s="12">
        <f ca="1">IFERROR(__xludf.DUMMYFUNCTION("IF(E728=""USD"",B728,B728 * GOOGLEFINANCE(""CURRENCY:"" &amp; E728 &amp; ""USD""))
"),25000000)</f>
        <v>25000000</v>
      </c>
      <c r="G728" s="13">
        <f ca="1">IFERROR(__xludf.DUMMYFUNCTION("IF(E728=""USD"",C728,C728 * GOOGLEFINANCE(""CURRENCY:"" &amp; E728 &amp; ""USD""))
"),66489425)</f>
        <v>66489425</v>
      </c>
    </row>
    <row r="729" spans="1:7" ht="15.75" customHeight="1" x14ac:dyDescent="0.25">
      <c r="A729" s="14" t="s">
        <v>24</v>
      </c>
      <c r="B729" s="15">
        <v>2000000</v>
      </c>
      <c r="C729" s="15">
        <v>99147</v>
      </c>
      <c r="D729" s="15">
        <v>1998</v>
      </c>
      <c r="E729" s="15" t="str">
        <f>VLOOKUP(A729, Currency!$A$2:$B$100, 2, FALSE)</f>
        <v>USD</v>
      </c>
      <c r="F729" s="15">
        <f ca="1">IFERROR(__xludf.DUMMYFUNCTION("IF(E729=""USD"",B729,B729 * GOOGLEFINANCE(""CURRENCY:"" &amp; E729 &amp; ""USD""))
"),2000000)</f>
        <v>2000000</v>
      </c>
      <c r="G729" s="16">
        <f ca="1">IFERROR(__xludf.DUMMYFUNCTION("IF(E729=""USD"",C729,C729 * GOOGLEFINANCE(""CURRENCY:"" &amp; E729 &amp; ""USD""))
"),99147)</f>
        <v>99147</v>
      </c>
    </row>
    <row r="730" spans="1:7" ht="15.75" customHeight="1" x14ac:dyDescent="0.25">
      <c r="A730" s="11" t="s">
        <v>24</v>
      </c>
      <c r="B730" s="12">
        <v>20000000</v>
      </c>
      <c r="C730" s="12">
        <v>263365</v>
      </c>
      <c r="D730" s="12">
        <v>2010</v>
      </c>
      <c r="E730" s="12" t="str">
        <f>VLOOKUP(A730, Currency!$A$2:$B$100, 2, FALSE)</f>
        <v>USD</v>
      </c>
      <c r="F730" s="12">
        <f ca="1">IFERROR(__xludf.DUMMYFUNCTION("IF(E730=""USD"",B730,B730 * GOOGLEFINANCE(""CURRENCY:"" &amp; E730 &amp; ""USD""))
"),20000000)</f>
        <v>20000000</v>
      </c>
      <c r="G730" s="13">
        <f ca="1">IFERROR(__xludf.DUMMYFUNCTION("IF(E730=""USD"",C730,C730 * GOOGLEFINANCE(""CURRENCY:"" &amp; E730 &amp; ""USD""))
"),263365)</f>
        <v>263365</v>
      </c>
    </row>
    <row r="731" spans="1:7" ht="15.75" customHeight="1" x14ac:dyDescent="0.25">
      <c r="A731" s="14" t="s">
        <v>24</v>
      </c>
      <c r="B731" s="15">
        <v>200000000</v>
      </c>
      <c r="C731" s="15">
        <v>268488329</v>
      </c>
      <c r="D731" s="15">
        <v>2013</v>
      </c>
      <c r="E731" s="15" t="str">
        <f>VLOOKUP(A731, Currency!$A$2:$B$100, 2, FALSE)</f>
        <v>USD</v>
      </c>
      <c r="F731" s="15">
        <f ca="1">IFERROR(__xludf.DUMMYFUNCTION("IF(E731=""USD"",B731,B731 * GOOGLEFINANCE(""CURRENCY:"" &amp; E731 &amp; ""USD""))
"),200000000)</f>
        <v>200000000</v>
      </c>
      <c r="G731" s="16">
        <f ca="1">IFERROR(__xludf.DUMMYFUNCTION("IF(E731=""USD"",C731,C731 * GOOGLEFINANCE(""CURRENCY:"" &amp; E731 &amp; ""USD""))
"),268488329)</f>
        <v>268488329</v>
      </c>
    </row>
    <row r="732" spans="1:7" ht="15.75" customHeight="1" x14ac:dyDescent="0.25">
      <c r="A732" s="11" t="s">
        <v>24</v>
      </c>
      <c r="B732" s="12">
        <v>215000000</v>
      </c>
      <c r="C732" s="12">
        <v>234903076</v>
      </c>
      <c r="D732" s="12">
        <v>2013</v>
      </c>
      <c r="E732" s="12" t="str">
        <f>VLOOKUP(A732, Currency!$A$2:$B$100, 2, FALSE)</f>
        <v>USD</v>
      </c>
      <c r="F732" s="12">
        <f ca="1">IFERROR(__xludf.DUMMYFUNCTION("IF(E732=""USD"",B732,B732 * GOOGLEFINANCE(""CURRENCY:"" &amp; E732 &amp; ""USD""))
"),215000000)</f>
        <v>215000000</v>
      </c>
      <c r="G732" s="13">
        <f ca="1">IFERROR(__xludf.DUMMYFUNCTION("IF(E732=""USD"",C732,C732 * GOOGLEFINANCE(""CURRENCY:"" &amp; E732 &amp; ""USD""))
"),234903076)</f>
        <v>234903076</v>
      </c>
    </row>
    <row r="733" spans="1:7" ht="15.75" customHeight="1" x14ac:dyDescent="0.25">
      <c r="A733" s="14" t="s">
        <v>24</v>
      </c>
      <c r="B733" s="15">
        <v>20000000</v>
      </c>
      <c r="C733" s="15">
        <v>20241395</v>
      </c>
      <c r="D733" s="15">
        <v>1998</v>
      </c>
      <c r="E733" s="15" t="str">
        <f>VLOOKUP(A733, Currency!$A$2:$B$100, 2, FALSE)</f>
        <v>USD</v>
      </c>
      <c r="F733" s="15">
        <f ca="1">IFERROR(__xludf.DUMMYFUNCTION("IF(E733=""USD"",B733,B733 * GOOGLEFINANCE(""CURRENCY:"" &amp; E733 &amp; ""USD""))
"),20000000)</f>
        <v>20000000</v>
      </c>
      <c r="G733" s="16">
        <f ca="1">IFERROR(__xludf.DUMMYFUNCTION("IF(E733=""USD"",C733,C733 * GOOGLEFINANCE(""CURRENCY:"" &amp; E733 &amp; ""USD""))
"),20241395)</f>
        <v>20241395</v>
      </c>
    </row>
    <row r="734" spans="1:7" ht="15.75" customHeight="1" x14ac:dyDescent="0.25">
      <c r="A734" s="11" t="s">
        <v>24</v>
      </c>
      <c r="B734" s="12">
        <v>1200000</v>
      </c>
      <c r="C734" s="12">
        <v>3830</v>
      </c>
      <c r="D734" s="12">
        <v>2013</v>
      </c>
      <c r="E734" s="12" t="str">
        <f>VLOOKUP(A734, Currency!$A$2:$B$100, 2, FALSE)</f>
        <v>USD</v>
      </c>
      <c r="F734" s="12">
        <f ca="1">IFERROR(__xludf.DUMMYFUNCTION("IF(E734=""USD"",B734,B734 * GOOGLEFINANCE(""CURRENCY:"" &amp; E734 &amp; ""USD""))
"),1200000)</f>
        <v>1200000</v>
      </c>
      <c r="G734" s="13">
        <f ca="1">IFERROR(__xludf.DUMMYFUNCTION("IF(E734=""USD"",C734,C734 * GOOGLEFINANCE(""CURRENCY:"" &amp; E734 &amp; ""USD""))
"),3830)</f>
        <v>3830</v>
      </c>
    </row>
    <row r="735" spans="1:7" ht="15.75" customHeight="1" x14ac:dyDescent="0.25">
      <c r="A735" s="14" t="s">
        <v>133</v>
      </c>
      <c r="B735" s="15">
        <v>15000000</v>
      </c>
      <c r="C735" s="15">
        <v>17237244</v>
      </c>
      <c r="D735" s="15">
        <v>2014</v>
      </c>
      <c r="E735" s="15" t="str">
        <f>VLOOKUP(A735, Currency!$A$2:$B$100, 2, FALSE)</f>
        <v>GBP</v>
      </c>
      <c r="F735" s="15">
        <f ca="1">IFERROR(__xludf.DUMMYFUNCTION("IF(E735=""USD"",B735,B735 * GOOGLEFINANCE(""CURRENCY:"" &amp; E735 &amp; ""USD""))
"),19281000)</f>
        <v>19281000</v>
      </c>
      <c r="G735" s="16">
        <f ca="1">IFERROR(__xludf.DUMMYFUNCTION("IF(E735=""USD"",C735,C735 * GOOGLEFINANCE(""CURRENCY:"" &amp; E735 &amp; ""USD""))
"),22156753.4375999)</f>
        <v>22156753.437599901</v>
      </c>
    </row>
    <row r="736" spans="1:7" ht="15.75" customHeight="1" x14ac:dyDescent="0.25">
      <c r="A736" s="11" t="s">
        <v>24</v>
      </c>
      <c r="B736" s="12">
        <v>600000</v>
      </c>
      <c r="C736" s="12">
        <v>13300000</v>
      </c>
      <c r="D736" s="12">
        <v>1970</v>
      </c>
      <c r="E736" s="12" t="str">
        <f>VLOOKUP(A736, Currency!$A$2:$B$100, 2, FALSE)</f>
        <v>USD</v>
      </c>
      <c r="F736" s="12">
        <f ca="1">IFERROR(__xludf.DUMMYFUNCTION("IF(E736=""USD"",B736,B736 * GOOGLEFINANCE(""CURRENCY:"" &amp; E736 &amp; ""USD""))
"),600000)</f>
        <v>600000</v>
      </c>
      <c r="G736" s="13">
        <f ca="1">IFERROR(__xludf.DUMMYFUNCTION("IF(E736=""USD"",C736,C736 * GOOGLEFINANCE(""CURRENCY:"" &amp; E736 &amp; ""USD""))
"),13300000)</f>
        <v>13300000</v>
      </c>
    </row>
    <row r="737" spans="1:7" ht="15.75" customHeight="1" x14ac:dyDescent="0.25">
      <c r="A737" s="14" t="s">
        <v>24</v>
      </c>
      <c r="B737" s="15">
        <v>15000000</v>
      </c>
      <c r="C737" s="15">
        <v>94175854</v>
      </c>
      <c r="D737" s="15">
        <v>1985</v>
      </c>
      <c r="E737" s="15" t="str">
        <f>VLOOKUP(A737, Currency!$A$2:$B$100, 2, FALSE)</f>
        <v>USD</v>
      </c>
      <c r="F737" s="15">
        <f ca="1">IFERROR(__xludf.DUMMYFUNCTION("IF(E737=""USD"",B737,B737 * GOOGLEFINANCE(""CURRENCY:"" &amp; E737 &amp; ""USD""))
"),15000000)</f>
        <v>15000000</v>
      </c>
      <c r="G737" s="16">
        <f ca="1">IFERROR(__xludf.DUMMYFUNCTION("IF(E737=""USD"",C737,C737 * GOOGLEFINANCE(""CURRENCY:"" &amp; E737 &amp; ""USD""))
"),94175854)</f>
        <v>94175854</v>
      </c>
    </row>
    <row r="738" spans="1:7" ht="15.75" customHeight="1" x14ac:dyDescent="0.25">
      <c r="A738" s="11" t="s">
        <v>24</v>
      </c>
      <c r="B738" s="12">
        <v>95000000</v>
      </c>
      <c r="C738" s="12">
        <v>73209340</v>
      </c>
      <c r="D738" s="12">
        <v>2000</v>
      </c>
      <c r="E738" s="12" t="str">
        <f>VLOOKUP(A738, Currency!$A$2:$B$100, 2, FALSE)</f>
        <v>USD</v>
      </c>
      <c r="F738" s="12">
        <f ca="1">IFERROR(__xludf.DUMMYFUNCTION("IF(E738=""USD"",B738,B738 * GOOGLEFINANCE(""CURRENCY:"" &amp; E738 &amp; ""USD""))
"),95000000)</f>
        <v>95000000</v>
      </c>
      <c r="G738" s="13">
        <f ca="1">IFERROR(__xludf.DUMMYFUNCTION("IF(E738=""USD"",C738,C738 * GOOGLEFINANCE(""CURRENCY:"" &amp; E738 &amp; ""USD""))
"),73209340)</f>
        <v>73209340</v>
      </c>
    </row>
    <row r="739" spans="1:7" ht="15.75" customHeight="1" x14ac:dyDescent="0.25">
      <c r="A739" s="14" t="s">
        <v>24</v>
      </c>
      <c r="B739" s="15">
        <v>170000000</v>
      </c>
      <c r="C739" s="15">
        <v>76846624</v>
      </c>
      <c r="D739" s="15">
        <v>2016</v>
      </c>
      <c r="E739" s="15" t="str">
        <f>VLOOKUP(A739, Currency!$A$2:$B$100, 2, FALSE)</f>
        <v>USD</v>
      </c>
      <c r="F739" s="15">
        <f ca="1">IFERROR(__xludf.DUMMYFUNCTION("IF(E739=""USD"",B739,B739 * GOOGLEFINANCE(""CURRENCY:"" &amp; E739 &amp; ""USD""))
"),170000000)</f>
        <v>170000000</v>
      </c>
      <c r="G739" s="16">
        <f ca="1">IFERROR(__xludf.DUMMYFUNCTION("IF(E739=""USD"",C739,C739 * GOOGLEFINANCE(""CURRENCY:"" &amp; E739 &amp; ""USD""))
"),76846624)</f>
        <v>76846624</v>
      </c>
    </row>
    <row r="740" spans="1:7" ht="15.75" customHeight="1" x14ac:dyDescent="0.25">
      <c r="A740" s="11" t="s">
        <v>24</v>
      </c>
      <c r="B740" s="12">
        <v>11000000</v>
      </c>
      <c r="C740" s="12">
        <v>13214255</v>
      </c>
      <c r="D740" s="12">
        <v>2013</v>
      </c>
      <c r="E740" s="12" t="str">
        <f>VLOOKUP(A740, Currency!$A$2:$B$100, 2, FALSE)</f>
        <v>USD</v>
      </c>
      <c r="F740" s="12">
        <f ca="1">IFERROR(__xludf.DUMMYFUNCTION("IF(E740=""USD"",B740,B740 * GOOGLEFINANCE(""CURRENCY:"" &amp; E740 &amp; ""USD""))
"),11000000)</f>
        <v>11000000</v>
      </c>
      <c r="G740" s="13">
        <f ca="1">IFERROR(__xludf.DUMMYFUNCTION("IF(E740=""USD"",C740,C740 * GOOGLEFINANCE(""CURRENCY:"" &amp; E740 &amp; ""USD""))
"),13214255)</f>
        <v>13214255</v>
      </c>
    </row>
    <row r="741" spans="1:7" ht="15.75" customHeight="1" x14ac:dyDescent="0.25">
      <c r="A741" s="14" t="s">
        <v>24</v>
      </c>
      <c r="B741" s="15">
        <v>17000000</v>
      </c>
      <c r="C741" s="15">
        <v>27154426</v>
      </c>
      <c r="D741" s="15">
        <v>2009</v>
      </c>
      <c r="E741" s="15" t="str">
        <f>VLOOKUP(A741, Currency!$A$2:$B$100, 2, FALSE)</f>
        <v>USD</v>
      </c>
      <c r="F741" s="15">
        <f ca="1">IFERROR(__xludf.DUMMYFUNCTION("IF(E741=""USD"",B741,B741 * GOOGLEFINANCE(""CURRENCY:"" &amp; E741 &amp; ""USD""))
"),17000000)</f>
        <v>17000000</v>
      </c>
      <c r="G741" s="16">
        <f ca="1">IFERROR(__xludf.DUMMYFUNCTION("IF(E741=""USD"",C741,C741 * GOOGLEFINANCE(""CURRENCY:"" &amp; E741 &amp; ""USD""))
"),27154426)</f>
        <v>27154426</v>
      </c>
    </row>
    <row r="742" spans="1:7" ht="15.75" customHeight="1" x14ac:dyDescent="0.25">
      <c r="A742" s="11" t="s">
        <v>24</v>
      </c>
      <c r="B742" s="12">
        <v>8000000</v>
      </c>
      <c r="C742" s="12">
        <v>4350774</v>
      </c>
      <c r="D742" s="12">
        <v>1994</v>
      </c>
      <c r="E742" s="12" t="str">
        <f>VLOOKUP(A742, Currency!$A$2:$B$100, 2, FALSE)</f>
        <v>USD</v>
      </c>
      <c r="F742" s="12">
        <f ca="1">IFERROR(__xludf.DUMMYFUNCTION("IF(E742=""USD"",B742,B742 * GOOGLEFINANCE(""CURRENCY:"" &amp; E742 &amp; ""USD""))
"),8000000)</f>
        <v>8000000</v>
      </c>
      <c r="G742" s="13">
        <f ca="1">IFERROR(__xludf.DUMMYFUNCTION("IF(E742=""USD"",C742,C742 * GOOGLEFINANCE(""CURRENCY:"" &amp; E742 &amp; ""USD""))
"),4350774)</f>
        <v>4350774</v>
      </c>
    </row>
    <row r="743" spans="1:7" ht="15.75" customHeight="1" x14ac:dyDescent="0.25">
      <c r="A743" s="14" t="s">
        <v>24</v>
      </c>
      <c r="B743" s="15">
        <v>40000000</v>
      </c>
      <c r="C743" s="15">
        <v>47034272</v>
      </c>
      <c r="D743" s="15">
        <v>2014</v>
      </c>
      <c r="E743" s="15" t="str">
        <f>VLOOKUP(A743, Currency!$A$2:$B$100, 2, FALSE)</f>
        <v>USD</v>
      </c>
      <c r="F743" s="15">
        <f ca="1">IFERROR(__xludf.DUMMYFUNCTION("IF(E743=""USD"",B743,B743 * GOOGLEFINANCE(""CURRENCY:"" &amp; E743 &amp; ""USD""))
"),40000000)</f>
        <v>40000000</v>
      </c>
      <c r="G743" s="16">
        <f ca="1">IFERROR(__xludf.DUMMYFUNCTION("IF(E743=""USD"",C743,C743 * GOOGLEFINANCE(""CURRENCY:"" &amp; E743 &amp; ""USD""))
"),47034272)</f>
        <v>47034272</v>
      </c>
    </row>
    <row r="744" spans="1:7" ht="15.75" customHeight="1" x14ac:dyDescent="0.25">
      <c r="A744" s="11" t="s">
        <v>24</v>
      </c>
      <c r="B744" s="12">
        <v>28000000</v>
      </c>
      <c r="C744" s="12">
        <v>8119205</v>
      </c>
      <c r="D744" s="12">
        <v>1997</v>
      </c>
      <c r="E744" s="12" t="str">
        <f>VLOOKUP(A744, Currency!$A$2:$B$100, 2, FALSE)</f>
        <v>USD</v>
      </c>
      <c r="F744" s="12">
        <f ca="1">IFERROR(__xludf.DUMMYFUNCTION("IF(E744=""USD"",B744,B744 * GOOGLEFINANCE(""CURRENCY:"" &amp; E744 &amp; ""USD""))
"),28000000)</f>
        <v>28000000</v>
      </c>
      <c r="G744" s="13">
        <f ca="1">IFERROR(__xludf.DUMMYFUNCTION("IF(E744=""USD"",C744,C744 * GOOGLEFINANCE(""CURRENCY:"" &amp; E744 &amp; ""USD""))
"),8119205)</f>
        <v>8119205</v>
      </c>
    </row>
    <row r="745" spans="1:7" ht="15.75" customHeight="1" x14ac:dyDescent="0.25">
      <c r="A745" s="14" t="s">
        <v>133</v>
      </c>
      <c r="B745" s="15">
        <v>30000000</v>
      </c>
      <c r="C745" s="15">
        <v>50300000</v>
      </c>
      <c r="D745" s="15">
        <v>1985</v>
      </c>
      <c r="E745" s="15" t="str">
        <f>VLOOKUP(A745, Currency!$A$2:$B$100, 2, FALSE)</f>
        <v>GBP</v>
      </c>
      <c r="F745" s="15">
        <f ca="1">IFERROR(__xludf.DUMMYFUNCTION("IF(E745=""USD"",B745,B745 * GOOGLEFINANCE(""CURRENCY:"" &amp; E745 &amp; ""USD""))
"),38562000)</f>
        <v>38562000</v>
      </c>
      <c r="G745" s="16">
        <f ca="1">IFERROR(__xludf.DUMMYFUNCTION("IF(E745=""USD"",C745,C745 * GOOGLEFINANCE(""CURRENCY:"" &amp; E745 &amp; ""USD""))
"),64655619.9999999)</f>
        <v>64655619.999999903</v>
      </c>
    </row>
    <row r="746" spans="1:7" ht="15.75" customHeight="1" x14ac:dyDescent="0.25">
      <c r="A746" s="11" t="s">
        <v>24</v>
      </c>
      <c r="B746" s="12">
        <v>806947</v>
      </c>
      <c r="C746" s="12">
        <v>32000000</v>
      </c>
      <c r="D746" s="12">
        <v>1960</v>
      </c>
      <c r="E746" s="12" t="str">
        <f>VLOOKUP(A746, Currency!$A$2:$B$100, 2, FALSE)</f>
        <v>USD</v>
      </c>
      <c r="F746" s="12">
        <f ca="1">IFERROR(__xludf.DUMMYFUNCTION("IF(E746=""USD"",B746,B746 * GOOGLEFINANCE(""CURRENCY:"" &amp; E746 &amp; ""USD""))
"),806947)</f>
        <v>806947</v>
      </c>
      <c r="G746" s="13">
        <f ca="1">IFERROR(__xludf.DUMMYFUNCTION("IF(E746=""USD"",C746,C746 * GOOGLEFINANCE(""CURRENCY:"" &amp; E746 &amp; ""USD""))
"),32000000)</f>
        <v>32000000</v>
      </c>
    </row>
    <row r="747" spans="1:7" ht="15.75" customHeight="1" x14ac:dyDescent="0.25">
      <c r="A747" s="14" t="s">
        <v>24</v>
      </c>
      <c r="B747" s="15">
        <v>8500000</v>
      </c>
      <c r="C747" s="15">
        <v>6047856</v>
      </c>
      <c r="D747" s="15">
        <v>2000</v>
      </c>
      <c r="E747" s="15" t="str">
        <f>VLOOKUP(A747, Currency!$A$2:$B$100, 2, FALSE)</f>
        <v>USD</v>
      </c>
      <c r="F747" s="15">
        <f ca="1">IFERROR(__xludf.DUMMYFUNCTION("IF(E747=""USD"",B747,B747 * GOOGLEFINANCE(""CURRENCY:"" &amp; E747 &amp; ""USD""))
"),8500000)</f>
        <v>8500000</v>
      </c>
      <c r="G747" s="16">
        <f ca="1">IFERROR(__xludf.DUMMYFUNCTION("IF(E747=""USD"",C747,C747 * GOOGLEFINANCE(""CURRENCY:"" &amp; E747 &amp; ""USD""))
"),6047856)</f>
        <v>6047856</v>
      </c>
    </row>
    <row r="748" spans="1:7" ht="15.75" customHeight="1" x14ac:dyDescent="0.25">
      <c r="A748" s="11" t="s">
        <v>24</v>
      </c>
      <c r="B748" s="12">
        <v>68000000</v>
      </c>
      <c r="C748" s="12">
        <v>33685268</v>
      </c>
      <c r="D748" s="12">
        <v>2003</v>
      </c>
      <c r="E748" s="12" t="str">
        <f>VLOOKUP(A748, Currency!$A$2:$B$100, 2, FALSE)</f>
        <v>USD</v>
      </c>
      <c r="F748" s="12">
        <f ca="1">IFERROR(__xludf.DUMMYFUNCTION("IF(E748=""USD"",B748,B748 * GOOGLEFINANCE(""CURRENCY:"" &amp; E748 &amp; ""USD""))
"),68000000)</f>
        <v>68000000</v>
      </c>
      <c r="G748" s="13">
        <f ca="1">IFERROR(__xludf.DUMMYFUNCTION("IF(E748=""USD"",C748,C748 * GOOGLEFINANCE(""CURRENCY:"" &amp; E748 &amp; ""USD""))
"),33685268)</f>
        <v>33685268</v>
      </c>
    </row>
    <row r="749" spans="1:7" ht="15.75" customHeight="1" x14ac:dyDescent="0.25">
      <c r="A749" s="14" t="s">
        <v>24</v>
      </c>
      <c r="B749" s="15">
        <v>7500000</v>
      </c>
      <c r="C749" s="15">
        <v>31501218</v>
      </c>
      <c r="D749" s="15">
        <v>2005</v>
      </c>
      <c r="E749" s="15" t="str">
        <f>VLOOKUP(A749, Currency!$A$2:$B$100, 2, FALSE)</f>
        <v>USD</v>
      </c>
      <c r="F749" s="15">
        <f ca="1">IFERROR(__xludf.DUMMYFUNCTION("IF(E749=""USD"",B749,B749 * GOOGLEFINANCE(""CURRENCY:"" &amp; E749 &amp; ""USD""))
"),7500000)</f>
        <v>7500000</v>
      </c>
      <c r="G749" s="16">
        <f ca="1">IFERROR(__xludf.DUMMYFUNCTION("IF(E749=""USD"",C749,C749 * GOOGLEFINANCE(""CURRENCY:"" &amp; E749 &amp; ""USD""))
"),31501218)</f>
        <v>31501218</v>
      </c>
    </row>
    <row r="750" spans="1:7" ht="15.75" customHeight="1" x14ac:dyDescent="0.25">
      <c r="A750" s="11" t="s">
        <v>24</v>
      </c>
      <c r="B750" s="12">
        <v>12000000</v>
      </c>
      <c r="C750" s="12">
        <v>25240988</v>
      </c>
      <c r="D750" s="12">
        <v>2012</v>
      </c>
      <c r="E750" s="12" t="str">
        <f>VLOOKUP(A750, Currency!$A$2:$B$100, 2, FALSE)</f>
        <v>USD</v>
      </c>
      <c r="F750" s="12">
        <f ca="1">IFERROR(__xludf.DUMMYFUNCTION("IF(E750=""USD"",B750,B750 * GOOGLEFINANCE(""CURRENCY:"" &amp; E750 &amp; ""USD""))
"),12000000)</f>
        <v>12000000</v>
      </c>
      <c r="G750" s="13">
        <f ca="1">IFERROR(__xludf.DUMMYFUNCTION("IF(E750=""USD"",C750,C750 * GOOGLEFINANCE(""CURRENCY:"" &amp; E750 &amp; ""USD""))
"),25240988)</f>
        <v>25240988</v>
      </c>
    </row>
    <row r="751" spans="1:7" ht="15.75" customHeight="1" x14ac:dyDescent="0.25">
      <c r="A751" s="14" t="s">
        <v>24</v>
      </c>
      <c r="B751" s="15">
        <v>6800000</v>
      </c>
      <c r="C751" s="15">
        <v>49526</v>
      </c>
      <c r="D751" s="15">
        <v>2005</v>
      </c>
      <c r="E751" s="15" t="str">
        <f>VLOOKUP(A751, Currency!$A$2:$B$100, 2, FALSE)</f>
        <v>USD</v>
      </c>
      <c r="F751" s="15">
        <f ca="1">IFERROR(__xludf.DUMMYFUNCTION("IF(E751=""USD"",B751,B751 * GOOGLEFINANCE(""CURRENCY:"" &amp; E751 &amp; ""USD""))
"),6800000)</f>
        <v>6800000</v>
      </c>
      <c r="G751" s="16">
        <f ca="1">IFERROR(__xludf.DUMMYFUNCTION("IF(E751=""USD"",C751,C751 * GOOGLEFINANCE(""CURRENCY:"" &amp; E751 &amp; ""USD""))
"),49526)</f>
        <v>49526</v>
      </c>
    </row>
    <row r="752" spans="1:7" ht="15.75" customHeight="1" x14ac:dyDescent="0.25">
      <c r="A752" s="11" t="s">
        <v>24</v>
      </c>
      <c r="B752" s="12">
        <v>137000000</v>
      </c>
      <c r="C752" s="12">
        <v>32131830</v>
      </c>
      <c r="D752" s="12">
        <v>2001</v>
      </c>
      <c r="E752" s="12" t="str">
        <f>VLOOKUP(A752, Currency!$A$2:$B$100, 2, FALSE)</f>
        <v>USD</v>
      </c>
      <c r="F752" s="12">
        <f ca="1">IFERROR(__xludf.DUMMYFUNCTION("IF(E752=""USD"",B752,B752 * GOOGLEFINANCE(""CURRENCY:"" &amp; E752 &amp; ""USD""))
"),137000000)</f>
        <v>137000000</v>
      </c>
      <c r="G752" s="13">
        <f ca="1">IFERROR(__xludf.DUMMYFUNCTION("IF(E752=""USD"",C752,C752 * GOOGLEFINANCE(""CURRENCY:"" &amp; E752 &amp; ""USD""))
"),32131830)</f>
        <v>32131830</v>
      </c>
    </row>
    <row r="753" spans="1:7" ht="15.75" customHeight="1" x14ac:dyDescent="0.25">
      <c r="A753" s="14" t="s">
        <v>133</v>
      </c>
      <c r="B753" s="15">
        <v>35000000</v>
      </c>
      <c r="C753" s="15">
        <v>13401683</v>
      </c>
      <c r="D753" s="15">
        <v>2012</v>
      </c>
      <c r="E753" s="15" t="str">
        <f>VLOOKUP(A753, Currency!$A$2:$B$100, 2, FALSE)</f>
        <v>GBP</v>
      </c>
      <c r="F753" s="15">
        <f ca="1">IFERROR(__xludf.DUMMYFUNCTION("IF(E753=""USD"",B753,B753 * GOOGLEFINANCE(""CURRENCY:"" &amp; E753 &amp; ""USD""))
"),44988999.9999999)</f>
        <v>44988999.999999903</v>
      </c>
      <c r="G753" s="16">
        <f ca="1">IFERROR(__xludf.DUMMYFUNCTION("IF(E753=""USD"",C753,C753 * GOOGLEFINANCE(""CURRENCY:"" &amp; E753 &amp; ""USD""))
"),17226523.3281999)</f>
        <v>17226523.328199901</v>
      </c>
    </row>
    <row r="754" spans="1:7" ht="15.75" customHeight="1" x14ac:dyDescent="0.25">
      <c r="A754" s="11" t="s">
        <v>24</v>
      </c>
      <c r="B754" s="12">
        <v>125000000</v>
      </c>
      <c r="C754" s="12">
        <v>163192114</v>
      </c>
      <c r="D754" s="12">
        <v>2010</v>
      </c>
      <c r="E754" s="12" t="str">
        <f>VLOOKUP(A754, Currency!$A$2:$B$100, 2, FALSE)</f>
        <v>USD</v>
      </c>
      <c r="F754" s="12">
        <f ca="1">IFERROR(__xludf.DUMMYFUNCTION("IF(E754=""USD"",B754,B754 * GOOGLEFINANCE(""CURRENCY:"" &amp; E754 &amp; ""USD""))
"),125000000)</f>
        <v>125000000</v>
      </c>
      <c r="G754" s="13">
        <f ca="1">IFERROR(__xludf.DUMMYFUNCTION("IF(E754=""USD"",C754,C754 * GOOGLEFINANCE(""CURRENCY:"" &amp; E754 &amp; ""USD""))
"),163192114)</f>
        <v>163192114</v>
      </c>
    </row>
    <row r="755" spans="1:7" ht="15.75" customHeight="1" x14ac:dyDescent="0.25">
      <c r="A755" s="14" t="s">
        <v>24</v>
      </c>
      <c r="B755" s="15">
        <v>40000000</v>
      </c>
      <c r="C755" s="15">
        <v>37371385</v>
      </c>
      <c r="D755" s="15">
        <v>2011</v>
      </c>
      <c r="E755" s="15" t="str">
        <f>VLOOKUP(A755, Currency!$A$2:$B$100, 2, FALSE)</f>
        <v>USD</v>
      </c>
      <c r="F755" s="15">
        <f ca="1">IFERROR(__xludf.DUMMYFUNCTION("IF(E755=""USD"",B755,B755 * GOOGLEFINANCE(""CURRENCY:"" &amp; E755 &amp; ""USD""))
"),40000000)</f>
        <v>40000000</v>
      </c>
      <c r="G755" s="16">
        <f ca="1">IFERROR(__xludf.DUMMYFUNCTION("IF(E755=""USD"",C755,C755 * GOOGLEFINANCE(""CURRENCY:"" &amp; E755 &amp; ""USD""))
"),37371385)</f>
        <v>37371385</v>
      </c>
    </row>
    <row r="756" spans="1:7" ht="15.75" customHeight="1" x14ac:dyDescent="0.25">
      <c r="A756" s="11" t="s">
        <v>24</v>
      </c>
      <c r="B756" s="12">
        <v>25000000</v>
      </c>
      <c r="C756" s="12">
        <v>52528330</v>
      </c>
      <c r="D756" s="12">
        <v>2013</v>
      </c>
      <c r="E756" s="12" t="str">
        <f>VLOOKUP(A756, Currency!$A$2:$B$100, 2, FALSE)</f>
        <v>USD</v>
      </c>
      <c r="F756" s="12">
        <f ca="1">IFERROR(__xludf.DUMMYFUNCTION("IF(E756=""USD"",B756,B756 * GOOGLEFINANCE(""CURRENCY:"" &amp; E756 &amp; ""USD""))
"),25000000)</f>
        <v>25000000</v>
      </c>
      <c r="G756" s="13">
        <f ca="1">IFERROR(__xludf.DUMMYFUNCTION("IF(E756=""USD"",C756,C756 * GOOGLEFINANCE(""CURRENCY:"" &amp; E756 &amp; ""USD""))
"),52528330)</f>
        <v>52528330</v>
      </c>
    </row>
    <row r="757" spans="1:7" ht="15.75" customHeight="1" x14ac:dyDescent="0.25">
      <c r="A757" s="14" t="s">
        <v>611</v>
      </c>
      <c r="B757" s="15">
        <v>5300000</v>
      </c>
      <c r="C757" s="15">
        <v>3895664</v>
      </c>
      <c r="D757" s="15">
        <v>2002</v>
      </c>
      <c r="E757" s="15" t="str">
        <f>VLOOKUP(A757, Currency!$A$2:$B$100, 2, FALSE)</f>
        <v>EUR</v>
      </c>
      <c r="F757" s="15">
        <f ca="1">IFERROR(__xludf.DUMMYFUNCTION("IF(E757=""USD"",B757,B757 * GOOGLEFINANCE(""CURRENCY:"" &amp; E757 &amp; ""USD""))
"),5749122)</f>
        <v>5749122</v>
      </c>
      <c r="G757" s="16">
        <f ca="1">IFERROR(__xludf.DUMMYFUNCTION("IF(E757=""USD"",C757,C757 * GOOGLEFINANCE(""CURRENCY:"" &amp; E757 &amp; ""USD""))
"),4225782.56736)</f>
        <v>4225782.5673599998</v>
      </c>
    </row>
    <row r="758" spans="1:7" ht="15.75" customHeight="1" x14ac:dyDescent="0.25">
      <c r="A758" s="11" t="s">
        <v>24</v>
      </c>
      <c r="B758" s="12">
        <v>87000000</v>
      </c>
      <c r="C758" s="12">
        <v>26082914</v>
      </c>
      <c r="D758" s="12">
        <v>2005</v>
      </c>
      <c r="E758" s="12" t="str">
        <f>VLOOKUP(A758, Currency!$A$2:$B$100, 2, FALSE)</f>
        <v>USD</v>
      </c>
      <c r="F758" s="12">
        <f ca="1">IFERROR(__xludf.DUMMYFUNCTION("IF(E758=""USD"",B758,B758 * GOOGLEFINANCE(""CURRENCY:"" &amp; E758 &amp; ""USD""))
"),87000000)</f>
        <v>87000000</v>
      </c>
      <c r="G758" s="13">
        <f ca="1">IFERROR(__xludf.DUMMYFUNCTION("IF(E758=""USD"",C758,C758 * GOOGLEFINANCE(""CURRENCY:"" &amp; E758 &amp; ""USD""))
"),26082914)</f>
        <v>26082914</v>
      </c>
    </row>
    <row r="759" spans="1:7" ht="15.75" customHeight="1" x14ac:dyDescent="0.25">
      <c r="A759" s="14" t="s">
        <v>1111</v>
      </c>
      <c r="B759" s="15">
        <v>3000000</v>
      </c>
      <c r="C759" s="15">
        <v>1028658</v>
      </c>
      <c r="D759" s="15">
        <v>2010</v>
      </c>
      <c r="E759" s="15" t="str">
        <f>VLOOKUP(A759, Currency!$A$2:$B$100, 2, FALSE)</f>
        <v>EUR</v>
      </c>
      <c r="F759" s="15">
        <f ca="1">IFERROR(__xludf.DUMMYFUNCTION("IF(E759=""USD"",B759,B759 * GOOGLEFINANCE(""CURRENCY:"" &amp; E759 &amp; ""USD""))
"),3254220)</f>
        <v>3254220</v>
      </c>
      <c r="G759" s="16">
        <f ca="1">IFERROR(__xludf.DUMMYFUNCTION("IF(E759=""USD"",C759,C759 * GOOGLEFINANCE(""CURRENCY:"" &amp; E759 &amp; ""USD""))
"),1115826.47892)</f>
        <v>1115826.4789199999</v>
      </c>
    </row>
    <row r="760" spans="1:7" ht="15.75" customHeight="1" x14ac:dyDescent="0.25">
      <c r="A760" s="11" t="s">
        <v>24</v>
      </c>
      <c r="B760" s="12">
        <v>50000000</v>
      </c>
      <c r="C760" s="12">
        <v>47105085</v>
      </c>
      <c r="D760" s="12">
        <v>2014</v>
      </c>
      <c r="E760" s="12" t="str">
        <f>VLOOKUP(A760, Currency!$A$2:$B$100, 2, FALSE)</f>
        <v>USD</v>
      </c>
      <c r="F760" s="12">
        <f ca="1">IFERROR(__xludf.DUMMYFUNCTION("IF(E760=""USD"",B760,B760 * GOOGLEFINANCE(""CURRENCY:"" &amp; E760 &amp; ""USD""))
"),50000000)</f>
        <v>50000000</v>
      </c>
      <c r="G760" s="13">
        <f ca="1">IFERROR(__xludf.DUMMYFUNCTION("IF(E760=""USD"",C760,C760 * GOOGLEFINANCE(""CURRENCY:"" &amp; E760 &amp; ""USD""))
"),47105085)</f>
        <v>47105085</v>
      </c>
    </row>
    <row r="761" spans="1:7" ht="15.75" customHeight="1" x14ac:dyDescent="0.25">
      <c r="A761" s="14" t="s">
        <v>24</v>
      </c>
      <c r="B761" s="15">
        <v>16000000</v>
      </c>
      <c r="C761" s="15">
        <v>38176108</v>
      </c>
      <c r="D761" s="15">
        <v>1999</v>
      </c>
      <c r="E761" s="15" t="str">
        <f>VLOOKUP(A761, Currency!$A$2:$B$100, 2, FALSE)</f>
        <v>USD</v>
      </c>
      <c r="F761" s="15">
        <f ca="1">IFERROR(__xludf.DUMMYFUNCTION("IF(E761=""USD"",B761,B761 * GOOGLEFINANCE(""CURRENCY:"" &amp; E761 &amp; ""USD""))
"),16000000)</f>
        <v>16000000</v>
      </c>
      <c r="G761" s="16">
        <f ca="1">IFERROR(__xludf.DUMMYFUNCTION("IF(E761=""USD"",C761,C761 * GOOGLEFINANCE(""CURRENCY:"" &amp; E761 &amp; ""USD""))
"),38176108)</f>
        <v>38176108</v>
      </c>
    </row>
    <row r="762" spans="1:7" ht="15.75" customHeight="1" x14ac:dyDescent="0.25">
      <c r="A762" s="11" t="s">
        <v>24</v>
      </c>
      <c r="B762" s="12">
        <v>930000</v>
      </c>
      <c r="C762" s="12">
        <v>20186</v>
      </c>
      <c r="D762" s="12">
        <v>2011</v>
      </c>
      <c r="E762" s="12" t="str">
        <f>VLOOKUP(A762, Currency!$A$2:$B$100, 2, FALSE)</f>
        <v>USD</v>
      </c>
      <c r="F762" s="12">
        <f ca="1">IFERROR(__xludf.DUMMYFUNCTION("IF(E762=""USD"",B762,B762 * GOOGLEFINANCE(""CURRENCY:"" &amp; E762 &amp; ""USD""))
"),930000)</f>
        <v>930000</v>
      </c>
      <c r="G762" s="13">
        <f ca="1">IFERROR(__xludf.DUMMYFUNCTION("IF(E762=""USD"",C762,C762 * GOOGLEFINANCE(""CURRENCY:"" &amp; E762 &amp; ""USD""))
"),20186)</f>
        <v>20186</v>
      </c>
    </row>
    <row r="763" spans="1:7" ht="15.75" customHeight="1" x14ac:dyDescent="0.25">
      <c r="A763" s="14" t="s">
        <v>24</v>
      </c>
      <c r="B763" s="15">
        <v>70000</v>
      </c>
      <c r="C763" s="15">
        <v>30084</v>
      </c>
      <c r="D763" s="15">
        <v>2014</v>
      </c>
      <c r="E763" s="15" t="str">
        <f>VLOOKUP(A763, Currency!$A$2:$B$100, 2, FALSE)</f>
        <v>USD</v>
      </c>
      <c r="F763" s="15">
        <f ca="1">IFERROR(__xludf.DUMMYFUNCTION("IF(E763=""USD"",B763,B763 * GOOGLEFINANCE(""CURRENCY:"" &amp; E763 &amp; ""USD""))
"),70000)</f>
        <v>70000</v>
      </c>
      <c r="G763" s="16">
        <f ca="1">IFERROR(__xludf.DUMMYFUNCTION("IF(E763=""USD"",C763,C763 * GOOGLEFINANCE(""CURRENCY:"" &amp; E763 &amp; ""USD""))
"),30084)</f>
        <v>30084</v>
      </c>
    </row>
    <row r="764" spans="1:7" ht="15.75" customHeight="1" x14ac:dyDescent="0.25">
      <c r="A764" s="11" t="s">
        <v>24</v>
      </c>
      <c r="B764" s="12">
        <v>5000000</v>
      </c>
      <c r="C764" s="12">
        <v>32453345</v>
      </c>
      <c r="D764" s="12">
        <v>2014</v>
      </c>
      <c r="E764" s="12" t="str">
        <f>VLOOKUP(A764, Currency!$A$2:$B$100, 2, FALSE)</f>
        <v>USD</v>
      </c>
      <c r="F764" s="12">
        <f ca="1">IFERROR(__xludf.DUMMYFUNCTION("IF(E764=""USD"",B764,B764 * GOOGLEFINANCE(""CURRENCY:"" &amp; E764 &amp; ""USD""))
"),5000000)</f>
        <v>5000000</v>
      </c>
      <c r="G764" s="13">
        <f ca="1">IFERROR(__xludf.DUMMYFUNCTION("IF(E764=""USD"",C764,C764 * GOOGLEFINANCE(""CURRENCY:"" &amp; E764 &amp; ""USD""))
"),32453345)</f>
        <v>32453345</v>
      </c>
    </row>
    <row r="765" spans="1:7" ht="15.75" customHeight="1" x14ac:dyDescent="0.25">
      <c r="A765" s="14" t="s">
        <v>24</v>
      </c>
      <c r="B765" s="15">
        <v>20000000</v>
      </c>
      <c r="C765" s="15">
        <v>1064277</v>
      </c>
      <c r="D765" s="15">
        <v>2012</v>
      </c>
      <c r="E765" s="15" t="str">
        <f>VLOOKUP(A765, Currency!$A$2:$B$100, 2, FALSE)</f>
        <v>USD</v>
      </c>
      <c r="F765" s="15">
        <f ca="1">IFERROR(__xludf.DUMMYFUNCTION("IF(E765=""USD"",B765,B765 * GOOGLEFINANCE(""CURRENCY:"" &amp; E765 &amp; ""USD""))
"),20000000)</f>
        <v>20000000</v>
      </c>
      <c r="G765" s="16">
        <f ca="1">IFERROR(__xludf.DUMMYFUNCTION("IF(E765=""USD"",C765,C765 * GOOGLEFINANCE(""CURRENCY:"" &amp; E765 &amp; ""USD""))
"),1064277)</f>
        <v>1064277</v>
      </c>
    </row>
    <row r="766" spans="1:7" ht="15.75" customHeight="1" x14ac:dyDescent="0.25">
      <c r="A766" s="11" t="s">
        <v>24</v>
      </c>
      <c r="B766" s="12">
        <v>65000000</v>
      </c>
      <c r="C766" s="12">
        <v>85911262</v>
      </c>
      <c r="D766" s="12">
        <v>2014</v>
      </c>
      <c r="E766" s="12" t="str">
        <f>VLOOKUP(A766, Currency!$A$2:$B$100, 2, FALSE)</f>
        <v>USD</v>
      </c>
      <c r="F766" s="12">
        <f ca="1">IFERROR(__xludf.DUMMYFUNCTION("IF(E766=""USD"",B766,B766 * GOOGLEFINANCE(""CURRENCY:"" &amp; E766 &amp; ""USD""))
"),65000000)</f>
        <v>65000000</v>
      </c>
      <c r="G766" s="13">
        <f ca="1">IFERROR(__xludf.DUMMYFUNCTION("IF(E766=""USD"",C766,C766 * GOOGLEFINANCE(""CURRENCY:"" &amp; E766 &amp; ""USD""))
"),85911262)</f>
        <v>85911262</v>
      </c>
    </row>
    <row r="767" spans="1:7" ht="15.75" customHeight="1" x14ac:dyDescent="0.25">
      <c r="A767" s="14" t="s">
        <v>24</v>
      </c>
      <c r="B767" s="15">
        <v>40000000</v>
      </c>
      <c r="C767" s="15">
        <v>138614544</v>
      </c>
      <c r="D767" s="15">
        <v>2003</v>
      </c>
      <c r="E767" s="15" t="str">
        <f>VLOOKUP(A767, Currency!$A$2:$B$100, 2, FALSE)</f>
        <v>USD</v>
      </c>
      <c r="F767" s="15">
        <f ca="1">IFERROR(__xludf.DUMMYFUNCTION("IF(E767=""USD"",B767,B767 * GOOGLEFINANCE(""CURRENCY:"" &amp; E767 &amp; ""USD""))
"),40000000)</f>
        <v>40000000</v>
      </c>
      <c r="G767" s="16">
        <f ca="1">IFERROR(__xludf.DUMMYFUNCTION("IF(E767=""USD"",C767,C767 * GOOGLEFINANCE(""CURRENCY:"" &amp; E767 &amp; ""USD""))
"),138614544)</f>
        <v>138614544</v>
      </c>
    </row>
    <row r="768" spans="1:7" ht="15.75" customHeight="1" x14ac:dyDescent="0.25">
      <c r="A768" s="11" t="s">
        <v>133</v>
      </c>
      <c r="B768" s="12">
        <v>16000000</v>
      </c>
      <c r="C768" s="12">
        <v>1666262</v>
      </c>
      <c r="D768" s="12">
        <v>2005</v>
      </c>
      <c r="E768" s="12" t="str">
        <f>VLOOKUP(A768, Currency!$A$2:$B$100, 2, FALSE)</f>
        <v>GBP</v>
      </c>
      <c r="F768" s="12">
        <f ca="1">IFERROR(__xludf.DUMMYFUNCTION("IF(E768=""USD"",B768,B768 * GOOGLEFINANCE(""CURRENCY:"" &amp; E768 &amp; ""USD""))
"),20566399.9999999)</f>
        <v>20566399.999999899</v>
      </c>
      <c r="G768" s="13">
        <f ca="1">IFERROR(__xludf.DUMMYFUNCTION("IF(E768=""USD"",C768,C768 * GOOGLEFINANCE(""CURRENCY:"" &amp; E768 &amp; ""USD""))
"),2141813.17479999)</f>
        <v>2141813.1747999899</v>
      </c>
    </row>
    <row r="769" spans="1:7" ht="15.75" customHeight="1" x14ac:dyDescent="0.25">
      <c r="A769" s="14" t="s">
        <v>24</v>
      </c>
      <c r="B769" s="15">
        <v>155000000</v>
      </c>
      <c r="C769" s="15">
        <v>89732035</v>
      </c>
      <c r="D769" s="15">
        <v>2015</v>
      </c>
      <c r="E769" s="15" t="str">
        <f>VLOOKUP(A769, Currency!$A$2:$B$100, 2, FALSE)</f>
        <v>USD</v>
      </c>
      <c r="F769" s="15">
        <f ca="1">IFERROR(__xludf.DUMMYFUNCTION("IF(E769=""USD"",B769,B769 * GOOGLEFINANCE(""CURRENCY:"" &amp; E769 &amp; ""USD""))
"),155000000)</f>
        <v>155000000</v>
      </c>
      <c r="G769" s="16">
        <f ca="1">IFERROR(__xludf.DUMMYFUNCTION("IF(E769=""USD"",C769,C769 * GOOGLEFINANCE(""CURRENCY:"" &amp; E769 &amp; ""USD""))
"),89732035)</f>
        <v>89732035</v>
      </c>
    </row>
    <row r="770" spans="1:7" ht="15.75" customHeight="1" x14ac:dyDescent="0.25">
      <c r="A770" s="11" t="s">
        <v>24</v>
      </c>
      <c r="B770" s="12">
        <v>24000000</v>
      </c>
      <c r="C770" s="12">
        <v>16964743</v>
      </c>
      <c r="D770" s="12">
        <v>2004</v>
      </c>
      <c r="E770" s="12" t="str">
        <f>VLOOKUP(A770, Currency!$A$2:$B$100, 2, FALSE)</f>
        <v>USD</v>
      </c>
      <c r="F770" s="12">
        <f ca="1">IFERROR(__xludf.DUMMYFUNCTION("IF(E770=""USD"",B770,B770 * GOOGLEFINANCE(""CURRENCY:"" &amp; E770 &amp; ""USD""))
"),24000000)</f>
        <v>24000000</v>
      </c>
      <c r="G770" s="13">
        <f ca="1">IFERROR(__xludf.DUMMYFUNCTION("IF(E770=""USD"",C770,C770 * GOOGLEFINANCE(""CURRENCY:"" &amp; E770 &amp; ""USD""))
"),16964743)</f>
        <v>16964743</v>
      </c>
    </row>
    <row r="771" spans="1:7" ht="15.75" customHeight="1" x14ac:dyDescent="0.25">
      <c r="A771" s="14" t="s">
        <v>24</v>
      </c>
      <c r="B771" s="15">
        <v>200000000</v>
      </c>
      <c r="C771" s="15">
        <v>334185206</v>
      </c>
      <c r="D771" s="15">
        <v>2010</v>
      </c>
      <c r="E771" s="15" t="str">
        <f>VLOOKUP(A771, Currency!$A$2:$B$100, 2, FALSE)</f>
        <v>USD</v>
      </c>
      <c r="F771" s="15">
        <f ca="1">IFERROR(__xludf.DUMMYFUNCTION("IF(E771=""USD"",B771,B771 * GOOGLEFINANCE(""CURRENCY:"" &amp; E771 &amp; ""USD""))
"),200000000)</f>
        <v>200000000</v>
      </c>
      <c r="G771" s="16">
        <f ca="1">IFERROR(__xludf.DUMMYFUNCTION("IF(E771=""USD"",C771,C771 * GOOGLEFINANCE(""CURRENCY:"" &amp; E771 &amp; ""USD""))
"),334185206)</f>
        <v>334185206</v>
      </c>
    </row>
    <row r="772" spans="1:7" ht="15.75" customHeight="1" x14ac:dyDescent="0.25">
      <c r="A772" s="11" t="s">
        <v>2940</v>
      </c>
      <c r="B772" s="12">
        <v>4000000</v>
      </c>
      <c r="C772" s="12">
        <v>375723</v>
      </c>
      <c r="D772" s="12">
        <v>2015</v>
      </c>
      <c r="E772" s="12" t="str">
        <f>VLOOKUP(A772, Currency!$A$2:$B$100, 2, FALSE)</f>
        <v>BRL</v>
      </c>
      <c r="F772" s="12">
        <f ca="1">IFERROR(__xludf.DUMMYFUNCTION("IF(E772=""USD"",B772,B772 * GOOGLEFINANCE(""CURRENCY:"" &amp; E772 &amp; ""USD""))
"),708642)</f>
        <v>708642</v>
      </c>
      <c r="G772" s="13">
        <f ca="1">IFERROR(__xludf.DUMMYFUNCTION("IF(E772=""USD"",C772,C772 * GOOGLEFINANCE(""CURRENCY:"" &amp; E772 &amp; ""USD""))
"),66563.2745415)</f>
        <v>66563.274541499995</v>
      </c>
    </row>
    <row r="773" spans="1:7" ht="15.75" customHeight="1" x14ac:dyDescent="0.25">
      <c r="A773" s="14" t="s">
        <v>176</v>
      </c>
      <c r="B773" s="15">
        <v>60000000</v>
      </c>
      <c r="C773" s="15">
        <v>82931301</v>
      </c>
      <c r="D773" s="15">
        <v>2005</v>
      </c>
      <c r="E773" s="15" t="str">
        <f>VLOOKUP(A773, Currency!$A$2:$B$100, 2, FALSE)</f>
        <v>EUR</v>
      </c>
      <c r="F773" s="15">
        <f ca="1">IFERROR(__xludf.DUMMYFUNCTION("IF(E773=""USD"",B773,B773 * GOOGLEFINANCE(""CURRENCY:"" &amp; E773 &amp; ""USD""))
"),65084400)</f>
        <v>65084400</v>
      </c>
      <c r="G773" s="16">
        <f ca="1">IFERROR(__xludf.DUMMYFUNCTION("IF(E773=""USD"",C773,C773 * GOOGLEFINANCE(""CURRENCY:"" &amp; E773 &amp; ""USD""))
"),89958899.44674)</f>
        <v>89958899.446740001</v>
      </c>
    </row>
    <row r="774" spans="1:7" ht="15.75" customHeight="1" x14ac:dyDescent="0.25">
      <c r="A774" s="11" t="s">
        <v>24</v>
      </c>
      <c r="B774" s="12">
        <v>17000000</v>
      </c>
      <c r="C774" s="12">
        <v>24397469</v>
      </c>
      <c r="D774" s="12">
        <v>2012</v>
      </c>
      <c r="E774" s="12" t="str">
        <f>VLOOKUP(A774, Currency!$A$2:$B$100, 2, FALSE)</f>
        <v>USD</v>
      </c>
      <c r="F774" s="12">
        <f ca="1">IFERROR(__xludf.DUMMYFUNCTION("IF(E774=""USD"",B774,B774 * GOOGLEFINANCE(""CURRENCY:"" &amp; E774 &amp; ""USD""))
"),17000000)</f>
        <v>17000000</v>
      </c>
      <c r="G774" s="13">
        <f ca="1">IFERROR(__xludf.DUMMYFUNCTION("IF(E774=""USD"",C774,C774 * GOOGLEFINANCE(""CURRENCY:"" &amp; E774 &amp; ""USD""))
"),24397469)</f>
        <v>24397469</v>
      </c>
    </row>
    <row r="775" spans="1:7" ht="15.75" customHeight="1" x14ac:dyDescent="0.25">
      <c r="A775" s="14" t="s">
        <v>24</v>
      </c>
      <c r="B775" s="15">
        <v>4000000</v>
      </c>
      <c r="C775" s="15">
        <v>13008928</v>
      </c>
      <c r="D775" s="15">
        <v>1988</v>
      </c>
      <c r="E775" s="15" t="str">
        <f>VLOOKUP(A775, Currency!$A$2:$B$100, 2, FALSE)</f>
        <v>USD</v>
      </c>
      <c r="F775" s="15">
        <f ca="1">IFERROR(__xludf.DUMMYFUNCTION("IF(E775=""USD"",B775,B775 * GOOGLEFINANCE(""CURRENCY:"" &amp; E775 &amp; ""USD""))
"),4000000)</f>
        <v>4000000</v>
      </c>
      <c r="G775" s="16">
        <f ca="1">IFERROR(__xludf.DUMMYFUNCTION("IF(E775=""USD"",C775,C775 * GOOGLEFINANCE(""CURRENCY:"" &amp; E775 &amp; ""USD""))
"),13008928)</f>
        <v>13008928</v>
      </c>
    </row>
    <row r="776" spans="1:7" ht="15.75" customHeight="1" x14ac:dyDescent="0.25">
      <c r="A776" s="11" t="s">
        <v>611</v>
      </c>
      <c r="B776" s="12">
        <v>17000000</v>
      </c>
      <c r="C776" s="12">
        <v>273420</v>
      </c>
      <c r="D776" s="12">
        <v>2006</v>
      </c>
      <c r="E776" s="12" t="str">
        <f>VLOOKUP(A776, Currency!$A$2:$B$100, 2, FALSE)</f>
        <v>EUR</v>
      </c>
      <c r="F776" s="12">
        <f ca="1">IFERROR(__xludf.DUMMYFUNCTION("IF(E776=""USD"",B776,B776 * GOOGLEFINANCE(""CURRENCY:"" &amp; E776 &amp; ""USD""))
"),18440580)</f>
        <v>18440580</v>
      </c>
      <c r="G776" s="13">
        <f ca="1">IFERROR(__xludf.DUMMYFUNCTION("IF(E776=""USD"",C776,C776 * GOOGLEFINANCE(""CURRENCY:"" &amp; E776 &amp; ""USD""))
"),296589.6108)</f>
        <v>296589.61080000002</v>
      </c>
    </row>
    <row r="777" spans="1:7" ht="15.75" customHeight="1" x14ac:dyDescent="0.25">
      <c r="A777" s="14" t="s">
        <v>24</v>
      </c>
      <c r="B777" s="15">
        <v>890000</v>
      </c>
      <c r="C777" s="15">
        <v>24475416</v>
      </c>
      <c r="D777" s="15">
        <v>1996</v>
      </c>
      <c r="E777" s="15" t="str">
        <f>VLOOKUP(A777, Currency!$A$2:$B$100, 2, FALSE)</f>
        <v>USD</v>
      </c>
      <c r="F777" s="15">
        <f ca="1">IFERROR(__xludf.DUMMYFUNCTION("IF(E777=""USD"",B777,B777 * GOOGLEFINANCE(""CURRENCY:"" &amp; E777 &amp; ""USD""))
"),890000)</f>
        <v>890000</v>
      </c>
      <c r="G777" s="16">
        <f ca="1">IFERROR(__xludf.DUMMYFUNCTION("IF(E777=""USD"",C777,C777 * GOOGLEFINANCE(""CURRENCY:"" &amp; E777 &amp; ""USD""))
"),24475416)</f>
        <v>24475416</v>
      </c>
    </row>
    <row r="778" spans="1:7" ht="15.75" customHeight="1" x14ac:dyDescent="0.25">
      <c r="A778" s="11" t="s">
        <v>176</v>
      </c>
      <c r="B778" s="12">
        <v>2000000</v>
      </c>
      <c r="C778" s="12">
        <v>11284657</v>
      </c>
      <c r="D778" s="12">
        <v>2006</v>
      </c>
      <c r="E778" s="12" t="str">
        <f>VLOOKUP(A778, Currency!$A$2:$B$100, 2, FALSE)</f>
        <v>EUR</v>
      </c>
      <c r="F778" s="12">
        <f ca="1">IFERROR(__xludf.DUMMYFUNCTION("IF(E778=""USD"",B778,B778 * GOOGLEFINANCE(""CURRENCY:"" &amp; E778 &amp; ""USD""))
"),2169480)</f>
        <v>2169480</v>
      </c>
      <c r="G778" s="13">
        <f ca="1">IFERROR(__xludf.DUMMYFUNCTION("IF(E778=""USD"",C778,C778 * GOOGLEFINANCE(""CURRENCY:"" &amp; E778 &amp; ""USD""))
"),12240918.83418)</f>
        <v>12240918.834179999</v>
      </c>
    </row>
    <row r="779" spans="1:7" ht="15.75" customHeight="1" x14ac:dyDescent="0.25">
      <c r="A779" s="14" t="s">
        <v>133</v>
      </c>
      <c r="B779" s="15">
        <v>14000</v>
      </c>
      <c r="C779" s="15">
        <v>12667</v>
      </c>
      <c r="D779" s="15">
        <v>2005</v>
      </c>
      <c r="E779" s="15" t="str">
        <f>VLOOKUP(A779, Currency!$A$2:$B$100, 2, FALSE)</f>
        <v>GBP</v>
      </c>
      <c r="F779" s="15">
        <f ca="1">IFERROR(__xludf.DUMMYFUNCTION("IF(E779=""USD"",B779,B779 * GOOGLEFINANCE(""CURRENCY:"" &amp; E779 &amp; ""USD""))
"),17995.6)</f>
        <v>17995.599999999999</v>
      </c>
      <c r="G779" s="16">
        <f ca="1">IFERROR(__xludf.DUMMYFUNCTION("IF(E779=""USD"",C779,C779 * GOOGLEFINANCE(""CURRENCY:"" &amp; E779 &amp; ""USD""))
"),16282.1617999999)</f>
        <v>16282.1617999999</v>
      </c>
    </row>
    <row r="780" spans="1:7" ht="15.75" customHeight="1" x14ac:dyDescent="0.25">
      <c r="A780" s="11" t="s">
        <v>24</v>
      </c>
      <c r="B780" s="12">
        <v>78000000</v>
      </c>
      <c r="C780" s="12">
        <v>407999255</v>
      </c>
      <c r="D780" s="12">
        <v>2012</v>
      </c>
      <c r="E780" s="12" t="str">
        <f>VLOOKUP(A780, Currency!$A$2:$B$100, 2, FALSE)</f>
        <v>USD</v>
      </c>
      <c r="F780" s="12">
        <f ca="1">IFERROR(__xludf.DUMMYFUNCTION("IF(E780=""USD"",B780,B780 * GOOGLEFINANCE(""CURRENCY:"" &amp; E780 &amp; ""USD""))
"),78000000)</f>
        <v>78000000</v>
      </c>
      <c r="G780" s="13">
        <f ca="1">IFERROR(__xludf.DUMMYFUNCTION("IF(E780=""USD"",C780,C780 * GOOGLEFINANCE(""CURRENCY:"" &amp; E780 &amp; ""USD""))
"),407999255)</f>
        <v>407999255</v>
      </c>
    </row>
    <row r="781" spans="1:7" ht="15.75" customHeight="1" x14ac:dyDescent="0.25">
      <c r="A781" s="14" t="s">
        <v>24</v>
      </c>
      <c r="B781" s="15">
        <v>14000000</v>
      </c>
      <c r="C781" s="15">
        <v>27515786</v>
      </c>
      <c r="D781" s="15">
        <v>1993</v>
      </c>
      <c r="E781" s="15" t="str">
        <f>VLOOKUP(A781, Currency!$A$2:$B$100, 2, FALSE)</f>
        <v>USD</v>
      </c>
      <c r="F781" s="15">
        <f ca="1">IFERROR(__xludf.DUMMYFUNCTION("IF(E781=""USD"",B781,B781 * GOOGLEFINANCE(""CURRENCY:"" &amp; E781 &amp; ""USD""))
"),14000000)</f>
        <v>14000000</v>
      </c>
      <c r="G781" s="16">
        <f ca="1">IFERROR(__xludf.DUMMYFUNCTION("IF(E781=""USD"",C781,C781 * GOOGLEFINANCE(""CURRENCY:"" &amp; E781 &amp; ""USD""))
"),27515786)</f>
        <v>27515786</v>
      </c>
    </row>
    <row r="782" spans="1:7" ht="15.75" customHeight="1" x14ac:dyDescent="0.25">
      <c r="A782" s="11" t="s">
        <v>24</v>
      </c>
      <c r="B782" s="12">
        <v>75000000</v>
      </c>
      <c r="C782" s="12">
        <v>51814190</v>
      </c>
      <c r="D782" s="12">
        <v>2009</v>
      </c>
      <c r="E782" s="12" t="str">
        <f>VLOOKUP(A782, Currency!$A$2:$B$100, 2, FALSE)</f>
        <v>USD</v>
      </c>
      <c r="F782" s="12">
        <f ca="1">IFERROR(__xludf.DUMMYFUNCTION("IF(E782=""USD"",B782,B782 * GOOGLEFINANCE(""CURRENCY:"" &amp; E782 &amp; ""USD""))
"),75000000)</f>
        <v>75000000</v>
      </c>
      <c r="G782" s="13">
        <f ca="1">IFERROR(__xludf.DUMMYFUNCTION("IF(E782=""USD"",C782,C782 * GOOGLEFINANCE(""CURRENCY:"" &amp; E782 &amp; ""USD""))
"),51814190)</f>
        <v>51814190</v>
      </c>
    </row>
    <row r="783" spans="1:7" ht="15.75" customHeight="1" x14ac:dyDescent="0.25">
      <c r="A783" s="14" t="s">
        <v>24</v>
      </c>
      <c r="B783" s="15">
        <v>25000000</v>
      </c>
      <c r="C783" s="15">
        <v>4064333</v>
      </c>
      <c r="D783" s="15">
        <v>1995</v>
      </c>
      <c r="E783" s="15" t="str">
        <f>VLOOKUP(A783, Currency!$A$2:$B$100, 2, FALSE)</f>
        <v>USD</v>
      </c>
      <c r="F783" s="15">
        <f ca="1">IFERROR(__xludf.DUMMYFUNCTION("IF(E783=""USD"",B783,B783 * GOOGLEFINANCE(""CURRENCY:"" &amp; E783 &amp; ""USD""))
"),25000000)</f>
        <v>25000000</v>
      </c>
      <c r="G783" s="16">
        <f ca="1">IFERROR(__xludf.DUMMYFUNCTION("IF(E783=""USD"",C783,C783 * GOOGLEFINANCE(""CURRENCY:"" &amp; E783 &amp; ""USD""))
"),4064333)</f>
        <v>4064333</v>
      </c>
    </row>
    <row r="784" spans="1:7" ht="15.75" customHeight="1" x14ac:dyDescent="0.25">
      <c r="A784" s="11" t="s">
        <v>24</v>
      </c>
      <c r="B784" s="12">
        <v>18000000</v>
      </c>
      <c r="C784" s="12">
        <v>16702864</v>
      </c>
      <c r="D784" s="12">
        <v>2004</v>
      </c>
      <c r="E784" s="12" t="str">
        <f>VLOOKUP(A784, Currency!$A$2:$B$100, 2, FALSE)</f>
        <v>USD</v>
      </c>
      <c r="F784" s="12">
        <f ca="1">IFERROR(__xludf.DUMMYFUNCTION("IF(E784=""USD"",B784,B784 * GOOGLEFINANCE(""CURRENCY:"" &amp; E784 &amp; ""USD""))
"),18000000)</f>
        <v>18000000</v>
      </c>
      <c r="G784" s="13">
        <f ca="1">IFERROR(__xludf.DUMMYFUNCTION("IF(E784=""USD"",C784,C784 * GOOGLEFINANCE(""CURRENCY:"" &amp; E784 &amp; ""USD""))
"),16702864)</f>
        <v>16702864</v>
      </c>
    </row>
    <row r="785" spans="1:7" ht="15.75" customHeight="1" x14ac:dyDescent="0.25">
      <c r="A785" s="14" t="s">
        <v>627</v>
      </c>
      <c r="B785" s="15">
        <v>12500000</v>
      </c>
      <c r="C785" s="15">
        <v>1089445</v>
      </c>
      <c r="D785" s="15">
        <v>2009</v>
      </c>
      <c r="E785" s="15" t="str">
        <f>VLOOKUP(A785, Currency!$A$2:$B$100, 2, FALSE)</f>
        <v>CAD</v>
      </c>
      <c r="F785" s="15">
        <f ca="1">IFERROR(__xludf.DUMMYFUNCTION("IF(E785=""USD"",B785,B785 * GOOGLEFINANCE(""CURRENCY:"" &amp; E785 &amp; ""USD""))
"),9042562.5)</f>
        <v>9042562.5</v>
      </c>
      <c r="G785" s="16">
        <f ca="1">IFERROR(__xludf.DUMMYFUNCTION("IF(E785=""USD"",C785,C785 * GOOGLEFINANCE(""CURRENCY:"" &amp; E785 &amp; ""USD""))
"),788109.960224999)</f>
        <v>788109.960224999</v>
      </c>
    </row>
    <row r="786" spans="1:7" ht="15.75" customHeight="1" x14ac:dyDescent="0.25">
      <c r="A786" s="11" t="s">
        <v>24</v>
      </c>
      <c r="B786" s="12">
        <v>40000000</v>
      </c>
      <c r="C786" s="12">
        <v>21176322</v>
      </c>
      <c r="D786" s="12">
        <v>2004</v>
      </c>
      <c r="E786" s="12" t="str">
        <f>VLOOKUP(A786, Currency!$A$2:$B$100, 2, FALSE)</f>
        <v>USD</v>
      </c>
      <c r="F786" s="12">
        <f ca="1">IFERROR(__xludf.DUMMYFUNCTION("IF(E786=""USD"",B786,B786 * GOOGLEFINANCE(""CURRENCY:"" &amp; E786 &amp; ""USD""))
"),40000000)</f>
        <v>40000000</v>
      </c>
      <c r="G786" s="13">
        <f ca="1">IFERROR(__xludf.DUMMYFUNCTION("IF(E786=""USD"",C786,C786 * GOOGLEFINANCE(""CURRENCY:"" &amp; E786 &amp; ""USD""))
"),21176322)</f>
        <v>21176322</v>
      </c>
    </row>
    <row r="787" spans="1:7" ht="15.75" customHeight="1" x14ac:dyDescent="0.25">
      <c r="A787" s="14" t="s">
        <v>24</v>
      </c>
      <c r="B787" s="15">
        <v>25000000</v>
      </c>
      <c r="C787" s="15">
        <v>121248145</v>
      </c>
      <c r="D787" s="15">
        <v>1994</v>
      </c>
      <c r="E787" s="15" t="str">
        <f>VLOOKUP(A787, Currency!$A$2:$B$100, 2, FALSE)</f>
        <v>USD</v>
      </c>
      <c r="F787" s="15">
        <f ca="1">IFERROR(__xludf.DUMMYFUNCTION("IF(E787=""USD"",B787,B787 * GOOGLEFINANCE(""CURRENCY:"" &amp; E787 &amp; ""USD""))
"),25000000)</f>
        <v>25000000</v>
      </c>
      <c r="G787" s="16">
        <f ca="1">IFERROR(__xludf.DUMMYFUNCTION("IF(E787=""USD"",C787,C787 * GOOGLEFINANCE(""CURRENCY:"" &amp; E787 &amp; ""USD""))
"),121248145)</f>
        <v>121248145</v>
      </c>
    </row>
    <row r="788" spans="1:7" ht="15.75" customHeight="1" x14ac:dyDescent="0.25">
      <c r="A788" s="11" t="s">
        <v>24</v>
      </c>
      <c r="B788" s="12">
        <v>35000000</v>
      </c>
      <c r="C788" s="12">
        <v>20422207</v>
      </c>
      <c r="D788" s="12">
        <v>2004</v>
      </c>
      <c r="E788" s="12" t="str">
        <f>VLOOKUP(A788, Currency!$A$2:$B$100, 2, FALSE)</f>
        <v>USD</v>
      </c>
      <c r="F788" s="12">
        <f ca="1">IFERROR(__xludf.DUMMYFUNCTION("IF(E788=""USD"",B788,B788 * GOOGLEFINANCE(""CURRENCY:"" &amp; E788 &amp; ""USD""))
"),35000000)</f>
        <v>35000000</v>
      </c>
      <c r="G788" s="13">
        <f ca="1">IFERROR(__xludf.DUMMYFUNCTION("IF(E788=""USD"",C788,C788 * GOOGLEFINANCE(""CURRENCY:"" &amp; E788 &amp; ""USD""))
"),20422207)</f>
        <v>20422207</v>
      </c>
    </row>
    <row r="789" spans="1:7" ht="15.75" customHeight="1" x14ac:dyDescent="0.25">
      <c r="A789" s="14" t="s">
        <v>24</v>
      </c>
      <c r="B789" s="15">
        <v>20000000</v>
      </c>
      <c r="C789" s="15">
        <v>8888355</v>
      </c>
      <c r="D789" s="15">
        <v>2013</v>
      </c>
      <c r="E789" s="15" t="str">
        <f>VLOOKUP(A789, Currency!$A$2:$B$100, 2, FALSE)</f>
        <v>USD</v>
      </c>
      <c r="F789" s="15">
        <f ca="1">IFERROR(__xludf.DUMMYFUNCTION("IF(E789=""USD"",B789,B789 * GOOGLEFINANCE(""CURRENCY:"" &amp; E789 &amp; ""USD""))
"),20000000)</f>
        <v>20000000</v>
      </c>
      <c r="G789" s="16">
        <f ca="1">IFERROR(__xludf.DUMMYFUNCTION("IF(E789=""USD"",C789,C789 * GOOGLEFINANCE(""CURRENCY:"" &amp; E789 &amp; ""USD""))
"),8888355)</f>
        <v>8888355</v>
      </c>
    </row>
    <row r="790" spans="1:7" ht="15.75" customHeight="1" x14ac:dyDescent="0.25">
      <c r="A790" s="11" t="s">
        <v>133</v>
      </c>
      <c r="B790" s="12">
        <v>35000000</v>
      </c>
      <c r="C790" s="12">
        <v>34531832</v>
      </c>
      <c r="D790" s="12">
        <v>2015</v>
      </c>
      <c r="E790" s="12" t="str">
        <f>VLOOKUP(A790, Currency!$A$2:$B$100, 2, FALSE)</f>
        <v>GBP</v>
      </c>
      <c r="F790" s="12">
        <f ca="1">IFERROR(__xludf.DUMMYFUNCTION("IF(E790=""USD"",B790,B790 * GOOGLEFINANCE(""CURRENCY:"" &amp; E790 &amp; ""USD""))
"),44988999.9999999)</f>
        <v>44988999.999999903</v>
      </c>
      <c r="G790" s="13">
        <f ca="1">IFERROR(__xludf.DUMMYFUNCTION("IF(E790=""USD"",C790,C790 * GOOGLEFINANCE(""CURRENCY:"" &amp; E790 &amp; ""USD""))
"),44387216.8528)</f>
        <v>44387216.852799997</v>
      </c>
    </row>
    <row r="791" spans="1:7" ht="15.75" customHeight="1" x14ac:dyDescent="0.25">
      <c r="A791" s="14" t="s">
        <v>24</v>
      </c>
      <c r="B791" s="15">
        <v>48000000</v>
      </c>
      <c r="C791" s="15">
        <v>50173190</v>
      </c>
      <c r="D791" s="15">
        <v>2001</v>
      </c>
      <c r="E791" s="15" t="str">
        <f>VLOOKUP(A791, Currency!$A$2:$B$100, 2, FALSE)</f>
        <v>USD</v>
      </c>
      <c r="F791" s="15">
        <f ca="1">IFERROR(__xludf.DUMMYFUNCTION("IF(E791=""USD"",B791,B791 * GOOGLEFINANCE(""CURRENCY:"" &amp; E791 &amp; ""USD""))
"),48000000)</f>
        <v>48000000</v>
      </c>
      <c r="G791" s="16">
        <f ca="1">IFERROR(__xludf.DUMMYFUNCTION("IF(E791=""USD"",C791,C791 * GOOGLEFINANCE(""CURRENCY:"" &amp; E791 &amp; ""USD""))
"),50173190)</f>
        <v>50173190</v>
      </c>
    </row>
    <row r="792" spans="1:7" ht="15.75" customHeight="1" x14ac:dyDescent="0.25">
      <c r="A792" s="11" t="s">
        <v>24</v>
      </c>
      <c r="B792" s="12">
        <v>30000000</v>
      </c>
      <c r="C792" s="12">
        <v>14888028</v>
      </c>
      <c r="D792" s="12">
        <v>2005</v>
      </c>
      <c r="E792" s="12" t="str">
        <f>VLOOKUP(A792, Currency!$A$2:$B$100, 2, FALSE)</f>
        <v>USD</v>
      </c>
      <c r="F792" s="12">
        <f ca="1">IFERROR(__xludf.DUMMYFUNCTION("IF(E792=""USD"",B792,B792 * GOOGLEFINANCE(""CURRENCY:"" &amp; E792 &amp; ""USD""))
"),30000000)</f>
        <v>30000000</v>
      </c>
      <c r="G792" s="13">
        <f ca="1">IFERROR(__xludf.DUMMYFUNCTION("IF(E792=""USD"",C792,C792 * GOOGLEFINANCE(""CURRENCY:"" &amp; E792 &amp; ""USD""))
"),14888028)</f>
        <v>14888028</v>
      </c>
    </row>
    <row r="793" spans="1:7" ht="15.75" customHeight="1" x14ac:dyDescent="0.25">
      <c r="A793" s="14" t="s">
        <v>24</v>
      </c>
      <c r="B793" s="15">
        <v>7000000</v>
      </c>
      <c r="C793" s="15">
        <v>2344847</v>
      </c>
      <c r="D793" s="15">
        <v>2008</v>
      </c>
      <c r="E793" s="15" t="str">
        <f>VLOOKUP(A793, Currency!$A$2:$B$100, 2, FALSE)</f>
        <v>USD</v>
      </c>
      <c r="F793" s="15">
        <f ca="1">IFERROR(__xludf.DUMMYFUNCTION("IF(E793=""USD"",B793,B793 * GOOGLEFINANCE(""CURRENCY:"" &amp; E793 &amp; ""USD""))
"),7000000)</f>
        <v>7000000</v>
      </c>
      <c r="G793" s="16">
        <f ca="1">IFERROR(__xludf.DUMMYFUNCTION("IF(E793=""USD"",C793,C793 * GOOGLEFINANCE(""CURRENCY:"" &amp; E793 &amp; ""USD""))
"),2344847)</f>
        <v>2344847</v>
      </c>
    </row>
    <row r="794" spans="1:7" ht="15.75" customHeight="1" x14ac:dyDescent="0.25">
      <c r="A794" s="11" t="s">
        <v>176</v>
      </c>
      <c r="B794" s="12">
        <v>155000000</v>
      </c>
      <c r="C794" s="12">
        <v>34293771</v>
      </c>
      <c r="D794" s="12">
        <v>2004</v>
      </c>
      <c r="E794" s="12" t="str">
        <f>VLOOKUP(A794, Currency!$A$2:$B$100, 2, FALSE)</f>
        <v>EUR</v>
      </c>
      <c r="F794" s="12">
        <f ca="1">IFERROR(__xludf.DUMMYFUNCTION("IF(E794=""USD"",B794,B794 * GOOGLEFINANCE(""CURRENCY:"" &amp; E794 &amp; ""USD""))
"),168134700)</f>
        <v>168134700</v>
      </c>
      <c r="G794" s="13">
        <f ca="1">IFERROR(__xludf.DUMMYFUNCTION("IF(E794=""USD"",C794,C794 * GOOGLEFINANCE(""CURRENCY:"" &amp; E794 &amp; ""USD""))
"),37199825.15454)</f>
        <v>37199825.154540002</v>
      </c>
    </row>
    <row r="795" spans="1:7" ht="15.75" customHeight="1" x14ac:dyDescent="0.25">
      <c r="A795" s="14" t="s">
        <v>24</v>
      </c>
      <c r="B795" s="15">
        <v>30000000</v>
      </c>
      <c r="C795" s="15">
        <v>32774834</v>
      </c>
      <c r="D795" s="15">
        <v>2004</v>
      </c>
      <c r="E795" s="15" t="str">
        <f>VLOOKUP(A795, Currency!$A$2:$B$100, 2, FALSE)</f>
        <v>USD</v>
      </c>
      <c r="F795" s="15">
        <f ca="1">IFERROR(__xludf.DUMMYFUNCTION("IF(E795=""USD"",B795,B795 * GOOGLEFINANCE(""CURRENCY:"" &amp; E795 &amp; ""USD""))
"),30000000)</f>
        <v>30000000</v>
      </c>
      <c r="G795" s="16">
        <f ca="1">IFERROR(__xludf.DUMMYFUNCTION("IF(E795=""USD"",C795,C795 * GOOGLEFINANCE(""CURRENCY:"" &amp; E795 &amp; ""USD""))
"),32774834)</f>
        <v>32774834</v>
      </c>
    </row>
    <row r="796" spans="1:7" ht="15.75" customHeight="1" x14ac:dyDescent="0.25">
      <c r="A796" s="11" t="s">
        <v>24</v>
      </c>
      <c r="B796" s="12">
        <v>35000000</v>
      </c>
      <c r="C796" s="12">
        <v>67962333</v>
      </c>
      <c r="D796" s="12">
        <v>2005</v>
      </c>
      <c r="E796" s="12" t="str">
        <f>VLOOKUP(A796, Currency!$A$2:$B$100, 2, FALSE)</f>
        <v>USD</v>
      </c>
      <c r="F796" s="12">
        <f ca="1">IFERROR(__xludf.DUMMYFUNCTION("IF(E796=""USD"",B796,B796 * GOOGLEFINANCE(""CURRENCY:"" &amp; E796 &amp; ""USD""))
"),35000000)</f>
        <v>35000000</v>
      </c>
      <c r="G796" s="13">
        <f ca="1">IFERROR(__xludf.DUMMYFUNCTION("IF(E796=""USD"",C796,C796 * GOOGLEFINANCE(""CURRENCY:"" &amp; E796 &amp; ""USD""))
"),67962333)</f>
        <v>67962333</v>
      </c>
    </row>
    <row r="797" spans="1:7" ht="15.75" customHeight="1" x14ac:dyDescent="0.25">
      <c r="A797" s="14" t="s">
        <v>24</v>
      </c>
      <c r="B797" s="15">
        <v>18000000</v>
      </c>
      <c r="C797" s="15">
        <v>285761243</v>
      </c>
      <c r="D797" s="15">
        <v>1990</v>
      </c>
      <c r="E797" s="15" t="str">
        <f>VLOOKUP(A797, Currency!$A$2:$B$100, 2, FALSE)</f>
        <v>USD</v>
      </c>
      <c r="F797" s="15">
        <f ca="1">IFERROR(__xludf.DUMMYFUNCTION("IF(E797=""USD"",B797,B797 * GOOGLEFINANCE(""CURRENCY:"" &amp; E797 &amp; ""USD""))
"),18000000)</f>
        <v>18000000</v>
      </c>
      <c r="G797" s="16">
        <f ca="1">IFERROR(__xludf.DUMMYFUNCTION("IF(E797=""USD"",C797,C797 * GOOGLEFINANCE(""CURRENCY:"" &amp; E797 &amp; ""USD""))
"),285761243)</f>
        <v>285761243</v>
      </c>
    </row>
    <row r="798" spans="1:7" ht="15.75" customHeight="1" x14ac:dyDescent="0.25">
      <c r="A798" s="11" t="s">
        <v>24</v>
      </c>
      <c r="B798" s="12">
        <v>11500000</v>
      </c>
      <c r="C798" s="12">
        <v>57469179</v>
      </c>
      <c r="D798" s="12">
        <v>1989</v>
      </c>
      <c r="E798" s="12" t="str">
        <f>VLOOKUP(A798, Currency!$A$2:$B$100, 2, FALSE)</f>
        <v>USD</v>
      </c>
      <c r="F798" s="12">
        <f ca="1">IFERROR(__xludf.DUMMYFUNCTION("IF(E798=""USD"",B798,B798 * GOOGLEFINANCE(""CURRENCY:"" &amp; E798 &amp; ""USD""))
"),11500000)</f>
        <v>11500000</v>
      </c>
      <c r="G798" s="13">
        <f ca="1">IFERROR(__xludf.DUMMYFUNCTION("IF(E798=""USD"",C798,C798 * GOOGLEFINANCE(""CURRENCY:"" &amp; E798 &amp; ""USD""))
"),57469179)</f>
        <v>57469179</v>
      </c>
    </row>
    <row r="799" spans="1:7" ht="15.75" customHeight="1" x14ac:dyDescent="0.25">
      <c r="A799" s="14" t="s">
        <v>24</v>
      </c>
      <c r="B799" s="15">
        <v>70000000</v>
      </c>
      <c r="C799" s="15">
        <v>50016394</v>
      </c>
      <c r="D799" s="15">
        <v>1993</v>
      </c>
      <c r="E799" s="15" t="str">
        <f>VLOOKUP(A799, Currency!$A$2:$B$100, 2, FALSE)</f>
        <v>USD</v>
      </c>
      <c r="F799" s="15">
        <f ca="1">IFERROR(__xludf.DUMMYFUNCTION("IF(E799=""USD"",B799,B799 * GOOGLEFINANCE(""CURRENCY:"" &amp; E799 &amp; ""USD""))
"),70000000)</f>
        <v>70000000</v>
      </c>
      <c r="G799" s="16">
        <f ca="1">IFERROR(__xludf.DUMMYFUNCTION("IF(E799=""USD"",C799,C799 * GOOGLEFINANCE(""CURRENCY:"" &amp; E799 &amp; ""USD""))
"),50016394)</f>
        <v>50016394</v>
      </c>
    </row>
    <row r="800" spans="1:7" ht="15.75" customHeight="1" x14ac:dyDescent="0.25">
      <c r="A800" s="11" t="s">
        <v>24</v>
      </c>
      <c r="B800" s="12">
        <v>25000000</v>
      </c>
      <c r="C800" s="12">
        <v>39399750</v>
      </c>
      <c r="D800" s="12">
        <v>2003</v>
      </c>
      <c r="E800" s="12" t="str">
        <f>VLOOKUP(A800, Currency!$A$2:$B$100, 2, FALSE)</f>
        <v>USD</v>
      </c>
      <c r="F800" s="12">
        <f ca="1">IFERROR(__xludf.DUMMYFUNCTION("IF(E800=""USD"",B800,B800 * GOOGLEFINANCE(""CURRENCY:"" &amp; E800 &amp; ""USD""))
"),25000000)</f>
        <v>25000000</v>
      </c>
      <c r="G800" s="13">
        <f ca="1">IFERROR(__xludf.DUMMYFUNCTION("IF(E800=""USD"",C800,C800 * GOOGLEFINANCE(""CURRENCY:"" &amp; E800 &amp; ""USD""))
"),39399750)</f>
        <v>39399750</v>
      </c>
    </row>
    <row r="801" spans="1:7" ht="15.75" customHeight="1" x14ac:dyDescent="0.25">
      <c r="A801" s="14" t="s">
        <v>24</v>
      </c>
      <c r="B801" s="15">
        <v>3600000</v>
      </c>
      <c r="C801" s="15">
        <v>5923044</v>
      </c>
      <c r="D801" s="15">
        <v>1987</v>
      </c>
      <c r="E801" s="15" t="str">
        <f>VLOOKUP(A801, Currency!$A$2:$B$100, 2, FALSE)</f>
        <v>USD</v>
      </c>
      <c r="F801" s="15">
        <f ca="1">IFERROR(__xludf.DUMMYFUNCTION("IF(E801=""USD"",B801,B801 * GOOGLEFINANCE(""CURRENCY:"" &amp; E801 &amp; ""USD""))
"),3600000)</f>
        <v>3600000</v>
      </c>
      <c r="G801" s="16">
        <f ca="1">IFERROR(__xludf.DUMMYFUNCTION("IF(E801=""USD"",C801,C801 * GOOGLEFINANCE(""CURRENCY:"" &amp; E801 &amp; ""USD""))
"),5923044)</f>
        <v>5923044</v>
      </c>
    </row>
    <row r="802" spans="1:7" ht="15.75" customHeight="1" x14ac:dyDescent="0.25">
      <c r="A802" s="11" t="s">
        <v>24</v>
      </c>
      <c r="B802" s="12">
        <v>5000000</v>
      </c>
      <c r="C802" s="12">
        <v>27296514</v>
      </c>
      <c r="D802" s="12">
        <v>2013</v>
      </c>
      <c r="E802" s="12" t="str">
        <f>VLOOKUP(A802, Currency!$A$2:$B$100, 2, FALSE)</f>
        <v>USD</v>
      </c>
      <c r="F802" s="12">
        <f ca="1">IFERROR(__xludf.DUMMYFUNCTION("IF(E802=""USD"",B802,B802 * GOOGLEFINANCE(""CURRENCY:"" &amp; E802 &amp; ""USD""))
"),5000000)</f>
        <v>5000000</v>
      </c>
      <c r="G802" s="13">
        <f ca="1">IFERROR(__xludf.DUMMYFUNCTION("IF(E802=""USD"",C802,C802 * GOOGLEFINANCE(""CURRENCY:"" &amp; E802 &amp; ""USD""))
"),27296514)</f>
        <v>27296514</v>
      </c>
    </row>
    <row r="803" spans="1:7" ht="15.75" customHeight="1" x14ac:dyDescent="0.25">
      <c r="A803" s="14" t="s">
        <v>24</v>
      </c>
      <c r="B803" s="15">
        <v>80000000</v>
      </c>
      <c r="C803" s="15">
        <v>145771527</v>
      </c>
      <c r="D803" s="15">
        <v>2002</v>
      </c>
      <c r="E803" s="15" t="str">
        <f>VLOOKUP(A803, Currency!$A$2:$B$100, 2, FALSE)</f>
        <v>USD</v>
      </c>
      <c r="F803" s="15">
        <f ca="1">IFERROR(__xludf.DUMMYFUNCTION("IF(E803=""USD"",B803,B803 * GOOGLEFINANCE(""CURRENCY:"" &amp; E803 &amp; ""USD""))
"),80000000)</f>
        <v>80000000</v>
      </c>
      <c r="G803" s="16">
        <f ca="1">IFERROR(__xludf.DUMMYFUNCTION("IF(E803=""USD"",C803,C803 * GOOGLEFINANCE(""CURRENCY:"" &amp; E803 &amp; ""USD""))
"),145771527)</f>
        <v>145771527</v>
      </c>
    </row>
    <row r="804" spans="1:7" ht="15.75" customHeight="1" x14ac:dyDescent="0.25">
      <c r="A804" s="11" t="s">
        <v>611</v>
      </c>
      <c r="B804" s="12">
        <v>8900000</v>
      </c>
      <c r="C804" s="12">
        <v>225377</v>
      </c>
      <c r="D804" s="12">
        <v>2012</v>
      </c>
      <c r="E804" s="12" t="str">
        <f>VLOOKUP(A804, Currency!$A$2:$B$100, 2, FALSE)</f>
        <v>EUR</v>
      </c>
      <c r="F804" s="12">
        <f ca="1">IFERROR(__xludf.DUMMYFUNCTION("IF(E804=""USD"",B804,B804 * GOOGLEFINANCE(""CURRENCY:"" &amp; E804 &amp; ""USD""))
"),9654186)</f>
        <v>9654186</v>
      </c>
      <c r="G804" s="13">
        <f ca="1">IFERROR(__xludf.DUMMYFUNCTION("IF(E804=""USD"",C804,C804 * GOOGLEFINANCE(""CURRENCY:"" &amp; E804 &amp; ""USD""))
"),244475.44698)</f>
        <v>244475.44698000001</v>
      </c>
    </row>
    <row r="805" spans="1:7" ht="15.75" customHeight="1" x14ac:dyDescent="0.25">
      <c r="A805" s="14" t="s">
        <v>24</v>
      </c>
      <c r="B805" s="15">
        <v>6500000</v>
      </c>
      <c r="C805" s="15">
        <v>54215416</v>
      </c>
      <c r="D805" s="15">
        <v>1987</v>
      </c>
      <c r="E805" s="15" t="str">
        <f>VLOOKUP(A805, Currency!$A$2:$B$100, 2, FALSE)</f>
        <v>USD</v>
      </c>
      <c r="F805" s="15">
        <f ca="1">IFERROR(__xludf.DUMMYFUNCTION("IF(E805=""USD"",B805,B805 * GOOGLEFINANCE(""CURRENCY:"" &amp; E805 &amp; ""USD""))
"),6500000)</f>
        <v>6500000</v>
      </c>
      <c r="G805" s="16">
        <f ca="1">IFERROR(__xludf.DUMMYFUNCTION("IF(E805=""USD"",C805,C805 * GOOGLEFINANCE(""CURRENCY:"" &amp; E805 &amp; ""USD""))
"),54215416)</f>
        <v>54215416</v>
      </c>
    </row>
    <row r="806" spans="1:7" ht="15.75" customHeight="1" x14ac:dyDescent="0.25">
      <c r="A806" s="11" t="s">
        <v>24</v>
      </c>
      <c r="B806" s="12">
        <v>14000000</v>
      </c>
      <c r="C806" s="12">
        <v>75078</v>
      </c>
      <c r="D806" s="12">
        <v>2000</v>
      </c>
      <c r="E806" s="12" t="str">
        <f>VLOOKUP(A806, Currency!$A$2:$B$100, 2, FALSE)</f>
        <v>USD</v>
      </c>
      <c r="F806" s="12">
        <f ca="1">IFERROR(__xludf.DUMMYFUNCTION("IF(E806=""USD"",B806,B806 * GOOGLEFINANCE(""CURRENCY:"" &amp; E806 &amp; ""USD""))
"),14000000)</f>
        <v>14000000</v>
      </c>
      <c r="G806" s="13">
        <f ca="1">IFERROR(__xludf.DUMMYFUNCTION("IF(E806=""USD"",C806,C806 * GOOGLEFINANCE(""CURRENCY:"" &amp; E806 &amp; ""USD""))
"),75078)</f>
        <v>75078</v>
      </c>
    </row>
    <row r="807" spans="1:7" ht="15.75" customHeight="1" x14ac:dyDescent="0.25">
      <c r="A807" s="14" t="s">
        <v>24</v>
      </c>
      <c r="B807" s="15">
        <v>57000000</v>
      </c>
      <c r="C807" s="15">
        <v>15527125</v>
      </c>
      <c r="D807" s="15">
        <v>2000</v>
      </c>
      <c r="E807" s="15" t="str">
        <f>VLOOKUP(A807, Currency!$A$2:$B$100, 2, FALSE)</f>
        <v>USD</v>
      </c>
      <c r="F807" s="15">
        <f ca="1">IFERROR(__xludf.DUMMYFUNCTION("IF(E807=""USD"",B807,B807 * GOOGLEFINANCE(""CURRENCY:"" &amp; E807 &amp; ""USD""))
"),57000000)</f>
        <v>57000000</v>
      </c>
      <c r="G807" s="16">
        <f ca="1">IFERROR(__xludf.DUMMYFUNCTION("IF(E807=""USD"",C807,C807 * GOOGLEFINANCE(""CURRENCY:"" &amp; E807 &amp; ""USD""))
"),15527125)</f>
        <v>15527125</v>
      </c>
    </row>
    <row r="808" spans="1:7" ht="15.75" customHeight="1" x14ac:dyDescent="0.25">
      <c r="A808" s="11" t="s">
        <v>24</v>
      </c>
      <c r="B808" s="12">
        <v>40000000</v>
      </c>
      <c r="C808" s="12">
        <v>7262288</v>
      </c>
      <c r="D808" s="12">
        <v>2002</v>
      </c>
      <c r="E808" s="12" t="str">
        <f>VLOOKUP(A808, Currency!$A$2:$B$100, 2, FALSE)</f>
        <v>USD</v>
      </c>
      <c r="F808" s="12">
        <f ca="1">IFERROR(__xludf.DUMMYFUNCTION("IF(E808=""USD"",B808,B808 * GOOGLEFINANCE(""CURRENCY:"" &amp; E808 &amp; ""USD""))
"),40000000)</f>
        <v>40000000</v>
      </c>
      <c r="G808" s="13">
        <f ca="1">IFERROR(__xludf.DUMMYFUNCTION("IF(E808=""USD"",C808,C808 * GOOGLEFINANCE(""CURRENCY:"" &amp; E808 &amp; ""USD""))
"),7262288)</f>
        <v>7262288</v>
      </c>
    </row>
    <row r="809" spans="1:7" ht="15.75" customHeight="1" x14ac:dyDescent="0.25">
      <c r="A809" s="14" t="s">
        <v>24</v>
      </c>
      <c r="B809" s="15">
        <v>8000000</v>
      </c>
      <c r="C809" s="15">
        <v>17843379</v>
      </c>
      <c r="D809" s="15">
        <v>1999</v>
      </c>
      <c r="E809" s="15" t="str">
        <f>VLOOKUP(A809, Currency!$A$2:$B$100, 2, FALSE)</f>
        <v>USD</v>
      </c>
      <c r="F809" s="15">
        <f ca="1">IFERROR(__xludf.DUMMYFUNCTION("IF(E809=""USD"",B809,B809 * GOOGLEFINANCE(""CURRENCY:"" &amp; E809 &amp; ""USD""))
"),8000000)</f>
        <v>8000000</v>
      </c>
      <c r="G809" s="16">
        <f ca="1">IFERROR(__xludf.DUMMYFUNCTION("IF(E809=""USD"",C809,C809 * GOOGLEFINANCE(""CURRENCY:"" &amp; E809 &amp; ""USD""))
"),17843379)</f>
        <v>17843379</v>
      </c>
    </row>
    <row r="810" spans="1:7" ht="15.75" customHeight="1" x14ac:dyDescent="0.25">
      <c r="A810" s="11" t="s">
        <v>24</v>
      </c>
      <c r="B810" s="12">
        <v>7000000</v>
      </c>
      <c r="C810" s="12">
        <v>1040879</v>
      </c>
      <c r="D810" s="12">
        <v>1996</v>
      </c>
      <c r="E810" s="12" t="str">
        <f>VLOOKUP(A810, Currency!$A$2:$B$100, 2, FALSE)</f>
        <v>USD</v>
      </c>
      <c r="F810" s="12">
        <f ca="1">IFERROR(__xludf.DUMMYFUNCTION("IF(E810=""USD"",B810,B810 * GOOGLEFINANCE(""CURRENCY:"" &amp; E810 &amp; ""USD""))
"),7000000)</f>
        <v>7000000</v>
      </c>
      <c r="G810" s="13">
        <f ca="1">IFERROR(__xludf.DUMMYFUNCTION("IF(E810=""USD"",C810,C810 * GOOGLEFINANCE(""CURRENCY:"" &amp; E810 &amp; ""USD""))
"),1040879)</f>
        <v>1040879</v>
      </c>
    </row>
    <row r="811" spans="1:7" ht="15.75" customHeight="1" x14ac:dyDescent="0.25">
      <c r="A811" s="14" t="s">
        <v>24</v>
      </c>
      <c r="B811" s="15">
        <v>4000000</v>
      </c>
      <c r="C811" s="15">
        <v>7825820</v>
      </c>
      <c r="D811" s="15">
        <v>2006</v>
      </c>
      <c r="E811" s="15" t="str">
        <f>VLOOKUP(A811, Currency!$A$2:$B$100, 2, FALSE)</f>
        <v>USD</v>
      </c>
      <c r="F811" s="15">
        <f ca="1">IFERROR(__xludf.DUMMYFUNCTION("IF(E811=""USD"",B811,B811 * GOOGLEFINANCE(""CURRENCY:"" &amp; E811 &amp; ""USD""))
"),4000000)</f>
        <v>4000000</v>
      </c>
      <c r="G811" s="16">
        <f ca="1">IFERROR(__xludf.DUMMYFUNCTION("IF(E811=""USD"",C811,C811 * GOOGLEFINANCE(""CURRENCY:"" &amp; E811 &amp; ""USD""))
"),7825820)</f>
        <v>7825820</v>
      </c>
    </row>
    <row r="812" spans="1:7" ht="15.75" customHeight="1" x14ac:dyDescent="0.25">
      <c r="A812" s="11" t="s">
        <v>24</v>
      </c>
      <c r="B812" s="12">
        <v>150000000</v>
      </c>
      <c r="C812" s="12">
        <v>114053579</v>
      </c>
      <c r="D812" s="12">
        <v>2008</v>
      </c>
      <c r="E812" s="12" t="str">
        <f>VLOOKUP(A812, Currency!$A$2:$B$100, 2, FALSE)</f>
        <v>USD</v>
      </c>
      <c r="F812" s="12">
        <f ca="1">IFERROR(__xludf.DUMMYFUNCTION("IF(E812=""USD"",B812,B812 * GOOGLEFINANCE(""CURRENCY:"" &amp; E812 &amp; ""USD""))
"),150000000)</f>
        <v>150000000</v>
      </c>
      <c r="G812" s="13">
        <f ca="1">IFERROR(__xludf.DUMMYFUNCTION("IF(E812=""USD"",C812,C812 * GOOGLEFINANCE(""CURRENCY:"" &amp; E812 &amp; ""USD""))
"),114053579)</f>
        <v>114053579</v>
      </c>
    </row>
    <row r="813" spans="1:7" ht="15.75" customHeight="1" x14ac:dyDescent="0.25">
      <c r="A813" s="14" t="s">
        <v>24</v>
      </c>
      <c r="B813" s="15">
        <v>5000000</v>
      </c>
      <c r="C813" s="15">
        <v>4040588</v>
      </c>
      <c r="D813" s="15">
        <v>2008</v>
      </c>
      <c r="E813" s="15" t="str">
        <f>VLOOKUP(A813, Currency!$A$2:$B$100, 2, FALSE)</f>
        <v>USD</v>
      </c>
      <c r="F813" s="15">
        <f ca="1">IFERROR(__xludf.DUMMYFUNCTION("IF(E813=""USD"",B813,B813 * GOOGLEFINANCE(""CURRENCY:"" &amp; E813 &amp; ""USD""))
"),5000000)</f>
        <v>5000000</v>
      </c>
      <c r="G813" s="16">
        <f ca="1">IFERROR(__xludf.DUMMYFUNCTION("IF(E813=""USD"",C813,C813 * GOOGLEFINANCE(""CURRENCY:"" &amp; E813 &amp; ""USD""))
"),4040588)</f>
        <v>4040588</v>
      </c>
    </row>
    <row r="814" spans="1:7" ht="15.75" customHeight="1" x14ac:dyDescent="0.25">
      <c r="A814" s="11" t="s">
        <v>24</v>
      </c>
      <c r="B814" s="12">
        <v>14000000</v>
      </c>
      <c r="C814" s="12">
        <v>10397365</v>
      </c>
      <c r="D814" s="12">
        <v>2001</v>
      </c>
      <c r="E814" s="12" t="str">
        <f>VLOOKUP(A814, Currency!$A$2:$B$100, 2, FALSE)</f>
        <v>USD</v>
      </c>
      <c r="F814" s="12">
        <f ca="1">IFERROR(__xludf.DUMMYFUNCTION("IF(E814=""USD"",B814,B814 * GOOGLEFINANCE(""CURRENCY:"" &amp; E814 &amp; ""USD""))
"),14000000)</f>
        <v>14000000</v>
      </c>
      <c r="G814" s="13">
        <f ca="1">IFERROR(__xludf.DUMMYFUNCTION("IF(E814=""USD"",C814,C814 * GOOGLEFINANCE(""CURRENCY:"" &amp; E814 &amp; ""USD""))
"),10397365)</f>
        <v>10397365</v>
      </c>
    </row>
    <row r="815" spans="1:7" ht="15.75" customHeight="1" x14ac:dyDescent="0.25">
      <c r="A815" s="14" t="s">
        <v>24</v>
      </c>
      <c r="B815" s="15">
        <v>20000000</v>
      </c>
      <c r="C815" s="15">
        <v>23292105</v>
      </c>
      <c r="D815" s="15">
        <v>2006</v>
      </c>
      <c r="E815" s="15" t="str">
        <f>VLOOKUP(A815, Currency!$A$2:$B$100, 2, FALSE)</f>
        <v>USD</v>
      </c>
      <c r="F815" s="15">
        <f ca="1">IFERROR(__xludf.DUMMYFUNCTION("IF(E815=""USD"",B815,B815 * GOOGLEFINANCE(""CURRENCY:"" &amp; E815 &amp; ""USD""))
"),20000000)</f>
        <v>20000000</v>
      </c>
      <c r="G815" s="16">
        <f ca="1">IFERROR(__xludf.DUMMYFUNCTION("IF(E815=""USD"",C815,C815 * GOOGLEFINANCE(""CURRENCY:"" &amp; E815 &amp; ""USD""))
"),23292105)</f>
        <v>23292105</v>
      </c>
    </row>
    <row r="816" spans="1:7" ht="15.75" customHeight="1" x14ac:dyDescent="0.25">
      <c r="A816" s="11" t="s">
        <v>24</v>
      </c>
      <c r="B816" s="12">
        <v>2700000</v>
      </c>
      <c r="C816" s="12">
        <v>5792822</v>
      </c>
      <c r="D816" s="12">
        <v>2004</v>
      </c>
      <c r="E816" s="12" t="str">
        <f>VLOOKUP(A816, Currency!$A$2:$B$100, 2, FALSE)</f>
        <v>USD</v>
      </c>
      <c r="F816" s="12">
        <f ca="1">IFERROR(__xludf.DUMMYFUNCTION("IF(E816=""USD"",B816,B816 * GOOGLEFINANCE(""CURRENCY:"" &amp; E816 &amp; ""USD""))
"),2700000)</f>
        <v>2700000</v>
      </c>
      <c r="G816" s="13">
        <f ca="1">IFERROR(__xludf.DUMMYFUNCTION("IF(E816=""USD"",C816,C816 * GOOGLEFINANCE(""CURRENCY:"" &amp; E816 &amp; ""USD""))
"),5792822)</f>
        <v>5792822</v>
      </c>
    </row>
    <row r="817" spans="1:7" ht="15.75" customHeight="1" x14ac:dyDescent="0.25">
      <c r="A817" s="14" t="s">
        <v>24</v>
      </c>
      <c r="B817" s="15">
        <v>100000000</v>
      </c>
      <c r="C817" s="15">
        <v>148383780</v>
      </c>
      <c r="D817" s="15">
        <v>2010</v>
      </c>
      <c r="E817" s="15" t="str">
        <f>VLOOKUP(A817, Currency!$A$2:$B$100, 2, FALSE)</f>
        <v>USD</v>
      </c>
      <c r="F817" s="15">
        <f ca="1">IFERROR(__xludf.DUMMYFUNCTION("IF(E817=""USD"",B817,B817 * GOOGLEFINANCE(""CURRENCY:"" &amp; E817 &amp; ""USD""))
"),100000000)</f>
        <v>100000000</v>
      </c>
      <c r="G817" s="16">
        <f ca="1">IFERROR(__xludf.DUMMYFUNCTION("IF(E817=""USD"",C817,C817 * GOOGLEFINANCE(""CURRENCY:"" &amp; E817 &amp; ""USD""))
"),148383780)</f>
        <v>148383780</v>
      </c>
    </row>
    <row r="818" spans="1:7" ht="15.75" customHeight="1" x14ac:dyDescent="0.25">
      <c r="A818" s="11" t="s">
        <v>24</v>
      </c>
      <c r="B818" s="12">
        <v>5000000</v>
      </c>
      <c r="C818" s="12">
        <v>13350177</v>
      </c>
      <c r="D818" s="12">
        <v>2008</v>
      </c>
      <c r="E818" s="12" t="str">
        <f>VLOOKUP(A818, Currency!$A$2:$B$100, 2, FALSE)</f>
        <v>USD</v>
      </c>
      <c r="F818" s="12">
        <f ca="1">IFERROR(__xludf.DUMMYFUNCTION("IF(E818=""USD"",B818,B818 * GOOGLEFINANCE(""CURRENCY:"" &amp; E818 &amp; ""USD""))
"),5000000)</f>
        <v>5000000</v>
      </c>
      <c r="G818" s="13">
        <f ca="1">IFERROR(__xludf.DUMMYFUNCTION("IF(E818=""USD"",C818,C818 * GOOGLEFINANCE(""CURRENCY:"" &amp; E818 &amp; ""USD""))
"),13350177)</f>
        <v>13350177</v>
      </c>
    </row>
    <row r="819" spans="1:7" ht="15.75" customHeight="1" x14ac:dyDescent="0.25">
      <c r="A819" s="14" t="s">
        <v>24</v>
      </c>
      <c r="B819" s="15">
        <v>20000000</v>
      </c>
      <c r="C819" s="15">
        <v>17803796</v>
      </c>
      <c r="D819" s="15">
        <v>2006</v>
      </c>
      <c r="E819" s="15" t="str">
        <f>VLOOKUP(A819, Currency!$A$2:$B$100, 2, FALSE)</f>
        <v>USD</v>
      </c>
      <c r="F819" s="15">
        <f ca="1">IFERROR(__xludf.DUMMYFUNCTION("IF(E819=""USD"",B819,B819 * GOOGLEFINANCE(""CURRENCY:"" &amp; E819 &amp; ""USD""))
"),20000000)</f>
        <v>20000000</v>
      </c>
      <c r="G819" s="16">
        <f ca="1">IFERROR(__xludf.DUMMYFUNCTION("IF(E819=""USD"",C819,C819 * GOOGLEFINANCE(""CURRENCY:"" &amp; E819 &amp; ""USD""))
"),17803796)</f>
        <v>17803796</v>
      </c>
    </row>
    <row r="820" spans="1:7" ht="15.75" customHeight="1" x14ac:dyDescent="0.25">
      <c r="A820" s="11" t="s">
        <v>24</v>
      </c>
      <c r="B820" s="12">
        <v>40000000</v>
      </c>
      <c r="C820" s="12">
        <v>25178165</v>
      </c>
      <c r="D820" s="12">
        <v>2001</v>
      </c>
      <c r="E820" s="12" t="str">
        <f>VLOOKUP(A820, Currency!$A$2:$B$100, 2, FALSE)</f>
        <v>USD</v>
      </c>
      <c r="F820" s="12">
        <f ca="1">IFERROR(__xludf.DUMMYFUNCTION("IF(E820=""USD"",B820,B820 * GOOGLEFINANCE(""CURRENCY:"" &amp; E820 &amp; ""USD""))
"),40000000)</f>
        <v>40000000</v>
      </c>
      <c r="G820" s="13">
        <f ca="1">IFERROR(__xludf.DUMMYFUNCTION("IF(E820=""USD"",C820,C820 * GOOGLEFINANCE(""CURRENCY:"" &amp; E820 &amp; ""USD""))
"),25178165)</f>
        <v>25178165</v>
      </c>
    </row>
    <row r="821" spans="1:7" ht="15.75" customHeight="1" x14ac:dyDescent="0.25">
      <c r="A821" s="14" t="s">
        <v>24</v>
      </c>
      <c r="B821" s="15">
        <v>2400000</v>
      </c>
      <c r="C821" s="15">
        <v>5731103</v>
      </c>
      <c r="D821" s="15">
        <v>1996</v>
      </c>
      <c r="E821" s="15" t="str">
        <f>VLOOKUP(A821, Currency!$A$2:$B$100, 2, FALSE)</f>
        <v>USD</v>
      </c>
      <c r="F821" s="15">
        <f ca="1">IFERROR(__xludf.DUMMYFUNCTION("IF(E821=""USD"",B821,B821 * GOOGLEFINANCE(""CURRENCY:"" &amp; E821 &amp; ""USD""))
"),2400000)</f>
        <v>2400000</v>
      </c>
      <c r="G821" s="16">
        <f ca="1">IFERROR(__xludf.DUMMYFUNCTION("IF(E821=""USD"",C821,C821 * GOOGLEFINANCE(""CURRENCY:"" &amp; E821 &amp; ""USD""))
"),5731103)</f>
        <v>5731103</v>
      </c>
    </row>
    <row r="822" spans="1:7" ht="15.75" customHeight="1" x14ac:dyDescent="0.25">
      <c r="A822" s="11" t="s">
        <v>24</v>
      </c>
      <c r="B822" s="12">
        <v>135000000</v>
      </c>
      <c r="C822" s="12">
        <v>187165546</v>
      </c>
      <c r="D822" s="12">
        <v>2013</v>
      </c>
      <c r="E822" s="12" t="str">
        <f>VLOOKUP(A822, Currency!$A$2:$B$100, 2, FALSE)</f>
        <v>USD</v>
      </c>
      <c r="F822" s="12">
        <f ca="1">IFERROR(__xludf.DUMMYFUNCTION("IF(E822=""USD"",B822,B822 * GOOGLEFINANCE(""CURRENCY:"" &amp; E822 &amp; ""USD""))
"),135000000)</f>
        <v>135000000</v>
      </c>
      <c r="G822" s="13">
        <f ca="1">IFERROR(__xludf.DUMMYFUNCTION("IF(E822=""USD"",C822,C822 * GOOGLEFINANCE(""CURRENCY:"" &amp; E822 &amp; ""USD""))
"),187165546)</f>
        <v>187165546</v>
      </c>
    </row>
    <row r="823" spans="1:7" ht="15.75" customHeight="1" x14ac:dyDescent="0.25">
      <c r="A823" s="14" t="s">
        <v>24</v>
      </c>
      <c r="B823" s="15">
        <v>4500000</v>
      </c>
      <c r="C823" s="15">
        <v>727883</v>
      </c>
      <c r="D823" s="15">
        <v>2001</v>
      </c>
      <c r="E823" s="15" t="str">
        <f>VLOOKUP(A823, Currency!$A$2:$B$100, 2, FALSE)</f>
        <v>USD</v>
      </c>
      <c r="F823" s="15">
        <f ca="1">IFERROR(__xludf.DUMMYFUNCTION("IF(E823=""USD"",B823,B823 * GOOGLEFINANCE(""CURRENCY:"" &amp; E823 &amp; ""USD""))
"),4500000)</f>
        <v>4500000</v>
      </c>
      <c r="G823" s="16">
        <f ca="1">IFERROR(__xludf.DUMMYFUNCTION("IF(E823=""USD"",C823,C823 * GOOGLEFINANCE(""CURRENCY:"" &amp; E823 &amp; ""USD""))
"),727883)</f>
        <v>727883</v>
      </c>
    </row>
    <row r="824" spans="1:7" ht="15.75" customHeight="1" x14ac:dyDescent="0.25">
      <c r="A824" s="11" t="s">
        <v>176</v>
      </c>
      <c r="B824" s="12">
        <v>100000000</v>
      </c>
      <c r="C824" s="12">
        <v>57366262</v>
      </c>
      <c r="D824" s="12">
        <v>2006</v>
      </c>
      <c r="E824" s="12" t="str">
        <f>VLOOKUP(A824, Currency!$A$2:$B$100, 2, FALSE)</f>
        <v>EUR</v>
      </c>
      <c r="F824" s="12">
        <f ca="1">IFERROR(__xludf.DUMMYFUNCTION("IF(E824=""USD"",B824,B824 * GOOGLEFINANCE(""CURRENCY:"" &amp; E824 &amp; ""USD""))
"),108474000)</f>
        <v>108474000</v>
      </c>
      <c r="G824" s="13">
        <f ca="1">IFERROR(__xludf.DUMMYFUNCTION("IF(E824=""USD"",C824,C824 * GOOGLEFINANCE(""CURRENCY:"" &amp; E824 &amp; ""USD""))
"),62227479.04188)</f>
        <v>62227479.041879997</v>
      </c>
    </row>
    <row r="825" spans="1:7" ht="15.75" customHeight="1" x14ac:dyDescent="0.25">
      <c r="A825" s="14" t="s">
        <v>24</v>
      </c>
      <c r="B825" s="15">
        <v>55000000</v>
      </c>
      <c r="C825" s="15">
        <v>89706988</v>
      </c>
      <c r="D825" s="15">
        <v>2005</v>
      </c>
      <c r="E825" s="15" t="str">
        <f>VLOOKUP(A825, Currency!$A$2:$B$100, 2, FALSE)</f>
        <v>USD</v>
      </c>
      <c r="F825" s="15">
        <f ca="1">IFERROR(__xludf.DUMMYFUNCTION("IF(E825=""USD"",B825,B825 * GOOGLEFINANCE(""CURRENCY:"" &amp; E825 &amp; ""USD""))
"),55000000)</f>
        <v>55000000</v>
      </c>
      <c r="G825" s="16">
        <f ca="1">IFERROR(__xludf.DUMMYFUNCTION("IF(E825=""USD"",C825,C825 * GOOGLEFINANCE(""CURRENCY:"" &amp; E825 &amp; ""USD""))
"),89706988)</f>
        <v>89706988</v>
      </c>
    </row>
    <row r="826" spans="1:7" ht="15.75" customHeight="1" x14ac:dyDescent="0.25">
      <c r="A826" s="11" t="s">
        <v>24</v>
      </c>
      <c r="B826" s="12">
        <v>24000000</v>
      </c>
      <c r="C826" s="12">
        <v>74608545</v>
      </c>
      <c r="D826" s="12">
        <v>2003</v>
      </c>
      <c r="E826" s="12" t="str">
        <f>VLOOKUP(A826, Currency!$A$2:$B$100, 2, FALSE)</f>
        <v>USD</v>
      </c>
      <c r="F826" s="12">
        <f ca="1">IFERROR(__xludf.DUMMYFUNCTION("IF(E826=""USD"",B826,B826 * GOOGLEFINANCE(""CURRENCY:"" &amp; E826 &amp; ""USD""))
"),24000000)</f>
        <v>24000000</v>
      </c>
      <c r="G826" s="13">
        <f ca="1">IFERROR(__xludf.DUMMYFUNCTION("IF(E826=""USD"",C826,C826 * GOOGLEFINANCE(""CURRENCY:"" &amp; E826 &amp; ""USD""))
"),74608545)</f>
        <v>74608545</v>
      </c>
    </row>
    <row r="827" spans="1:7" ht="15.75" customHeight="1" x14ac:dyDescent="0.25">
      <c r="A827" s="14" t="s">
        <v>24</v>
      </c>
      <c r="B827" s="15">
        <v>30000000</v>
      </c>
      <c r="C827" s="15">
        <v>35927406</v>
      </c>
      <c r="D827" s="15">
        <v>1997</v>
      </c>
      <c r="E827" s="15" t="str">
        <f>VLOOKUP(A827, Currency!$A$2:$B$100, 2, FALSE)</f>
        <v>USD</v>
      </c>
      <c r="F827" s="15">
        <f ca="1">IFERROR(__xludf.DUMMYFUNCTION("IF(E827=""USD"",B827,B827 * GOOGLEFINANCE(""CURRENCY:"" &amp; E827 &amp; ""USD""))
"),30000000)</f>
        <v>30000000</v>
      </c>
      <c r="G827" s="16">
        <f ca="1">IFERROR(__xludf.DUMMYFUNCTION("IF(E827=""USD"",C827,C827 * GOOGLEFINANCE(""CURRENCY:"" &amp; E827 &amp; ""USD""))
"),35927406)</f>
        <v>35927406</v>
      </c>
    </row>
    <row r="828" spans="1:7" ht="15.75" customHeight="1" x14ac:dyDescent="0.25">
      <c r="A828" s="11" t="s">
        <v>24</v>
      </c>
      <c r="B828" s="12">
        <v>20000000</v>
      </c>
      <c r="C828" s="12">
        <v>47887943</v>
      </c>
      <c r="D828" s="12">
        <v>2003</v>
      </c>
      <c r="E828" s="12" t="str">
        <f>VLOOKUP(A828, Currency!$A$2:$B$100, 2, FALSE)</f>
        <v>USD</v>
      </c>
      <c r="F828" s="12">
        <f ca="1">IFERROR(__xludf.DUMMYFUNCTION("IF(E828=""USD"",B828,B828 * GOOGLEFINANCE(""CURRENCY:"" &amp; E828 &amp; ""USD""))
"),20000000)</f>
        <v>20000000</v>
      </c>
      <c r="G828" s="13">
        <f ca="1">IFERROR(__xludf.DUMMYFUNCTION("IF(E828=""USD"",C828,C828 * GOOGLEFINANCE(""CURRENCY:"" &amp; E828 &amp; ""USD""))
"),47887943)</f>
        <v>47887943</v>
      </c>
    </row>
    <row r="829" spans="1:7" ht="15.75" customHeight="1" x14ac:dyDescent="0.25">
      <c r="A829" s="14" t="s">
        <v>24</v>
      </c>
      <c r="B829" s="15">
        <v>8000000</v>
      </c>
      <c r="C829" s="15">
        <v>260000000</v>
      </c>
      <c r="D829" s="15">
        <v>1975</v>
      </c>
      <c r="E829" s="15" t="str">
        <f>VLOOKUP(A829, Currency!$A$2:$B$100, 2, FALSE)</f>
        <v>USD</v>
      </c>
      <c r="F829" s="15">
        <f ca="1">IFERROR(__xludf.DUMMYFUNCTION("IF(E829=""USD"",B829,B829 * GOOGLEFINANCE(""CURRENCY:"" &amp; E829 &amp; ""USD""))
"),8000000)</f>
        <v>8000000</v>
      </c>
      <c r="G829" s="16">
        <f ca="1">IFERROR(__xludf.DUMMYFUNCTION("IF(E829=""USD"",C829,C829 * GOOGLEFINANCE(""CURRENCY:"" &amp; E829 &amp; ""USD""))
"),260000000)</f>
        <v>260000000</v>
      </c>
    </row>
    <row r="830" spans="1:7" ht="15.75" customHeight="1" x14ac:dyDescent="0.25">
      <c r="A830" s="11" t="s">
        <v>24</v>
      </c>
      <c r="B830" s="12">
        <v>20000000</v>
      </c>
      <c r="C830" s="12">
        <v>37567440</v>
      </c>
      <c r="D830" s="12">
        <v>1982</v>
      </c>
      <c r="E830" s="12" t="str">
        <f>VLOOKUP(A830, Currency!$A$2:$B$100, 2, FALSE)</f>
        <v>USD</v>
      </c>
      <c r="F830" s="12">
        <f ca="1">IFERROR(__xludf.DUMMYFUNCTION("IF(E830=""USD"",B830,B830 * GOOGLEFINANCE(""CURRENCY:"" &amp; E830 &amp; ""USD""))
"),20000000)</f>
        <v>20000000</v>
      </c>
      <c r="G830" s="13">
        <f ca="1">IFERROR(__xludf.DUMMYFUNCTION("IF(E830=""USD"",C830,C830 * GOOGLEFINANCE(""CURRENCY:"" &amp; E830 &amp; ""USD""))
"),37567440)</f>
        <v>37567440</v>
      </c>
    </row>
    <row r="831" spans="1:7" ht="15.75" customHeight="1" x14ac:dyDescent="0.25">
      <c r="A831" s="14" t="s">
        <v>24</v>
      </c>
      <c r="B831" s="15">
        <v>6000000</v>
      </c>
      <c r="C831" s="15">
        <v>4859475</v>
      </c>
      <c r="D831" s="15">
        <v>1999</v>
      </c>
      <c r="E831" s="15" t="str">
        <f>VLOOKUP(A831, Currency!$A$2:$B$100, 2, FALSE)</f>
        <v>USD</v>
      </c>
      <c r="F831" s="15">
        <f ca="1">IFERROR(__xludf.DUMMYFUNCTION("IF(E831=""USD"",B831,B831 * GOOGLEFINANCE(""CURRENCY:"" &amp; E831 &amp; ""USD""))
"),6000000)</f>
        <v>6000000</v>
      </c>
      <c r="G831" s="16">
        <f ca="1">IFERROR(__xludf.DUMMYFUNCTION("IF(E831=""USD"",C831,C831 * GOOGLEFINANCE(""CURRENCY:"" &amp; E831 &amp; ""USD""))
"),4859475)</f>
        <v>4859475</v>
      </c>
    </row>
    <row r="832" spans="1:7" ht="15.75" customHeight="1" x14ac:dyDescent="0.25">
      <c r="A832" s="11" t="s">
        <v>24</v>
      </c>
      <c r="B832" s="12">
        <v>10000000</v>
      </c>
      <c r="C832" s="12">
        <v>30651422</v>
      </c>
      <c r="D832" s="12">
        <v>1999</v>
      </c>
      <c r="E832" s="12" t="str">
        <f>VLOOKUP(A832, Currency!$A$2:$B$100, 2, FALSE)</f>
        <v>USD</v>
      </c>
      <c r="F832" s="12">
        <f ca="1">IFERROR(__xludf.DUMMYFUNCTION("IF(E832=""USD"",B832,B832 * GOOGLEFINANCE(""CURRENCY:"" &amp; E832 &amp; ""USD""))
"),10000000)</f>
        <v>10000000</v>
      </c>
      <c r="G832" s="13">
        <f ca="1">IFERROR(__xludf.DUMMYFUNCTION("IF(E832=""USD"",C832,C832 * GOOGLEFINANCE(""CURRENCY:"" &amp; E832 &amp; ""USD""))
"),30651422)</f>
        <v>30651422</v>
      </c>
    </row>
    <row r="833" spans="1:7" ht="15.75" customHeight="1" x14ac:dyDescent="0.25">
      <c r="A833" s="14" t="s">
        <v>24</v>
      </c>
      <c r="B833" s="15">
        <v>17000000</v>
      </c>
      <c r="C833" s="15">
        <v>35143332</v>
      </c>
      <c r="D833" s="15">
        <v>2003</v>
      </c>
      <c r="E833" s="15" t="str">
        <f>VLOOKUP(A833, Currency!$A$2:$B$100, 2, FALSE)</f>
        <v>USD</v>
      </c>
      <c r="F833" s="15">
        <f ca="1">IFERROR(__xludf.DUMMYFUNCTION("IF(E833=""USD"",B833,B833 * GOOGLEFINANCE(""CURRENCY:"" &amp; E833 &amp; ""USD""))
"),17000000)</f>
        <v>17000000</v>
      </c>
      <c r="G833" s="16">
        <f ca="1">IFERROR(__xludf.DUMMYFUNCTION("IF(E833=""USD"",C833,C833 * GOOGLEFINANCE(""CURRENCY:"" &amp; E833 &amp; ""USD""))
"),35143332)</f>
        <v>35143332</v>
      </c>
    </row>
    <row r="834" spans="1:7" ht="15.75" customHeight="1" x14ac:dyDescent="0.25">
      <c r="A834" s="11" t="s">
        <v>24</v>
      </c>
      <c r="B834" s="12">
        <v>15000000</v>
      </c>
      <c r="C834" s="12">
        <v>14938570</v>
      </c>
      <c r="D834" s="12">
        <v>2012</v>
      </c>
      <c r="E834" s="12" t="str">
        <f>VLOOKUP(A834, Currency!$A$2:$B$100, 2, FALSE)</f>
        <v>USD</v>
      </c>
      <c r="F834" s="12">
        <f ca="1">IFERROR(__xludf.DUMMYFUNCTION("IF(E834=""USD"",B834,B834 * GOOGLEFINANCE(""CURRENCY:"" &amp; E834 &amp; ""USD""))
"),15000000)</f>
        <v>15000000</v>
      </c>
      <c r="G834" s="13">
        <f ca="1">IFERROR(__xludf.DUMMYFUNCTION("IF(E834=""USD"",C834,C834 * GOOGLEFINANCE(""CURRENCY:"" &amp; E834 &amp; ""USD""))
"),14938570)</f>
        <v>14938570</v>
      </c>
    </row>
    <row r="835" spans="1:7" ht="15.75" customHeight="1" x14ac:dyDescent="0.25">
      <c r="A835" s="14" t="s">
        <v>24</v>
      </c>
      <c r="B835" s="15">
        <v>30000000</v>
      </c>
      <c r="C835" s="15">
        <v>76806312</v>
      </c>
      <c r="D835" s="15">
        <v>2008</v>
      </c>
      <c r="E835" s="15" t="str">
        <f>VLOOKUP(A835, Currency!$A$2:$B$100, 2, FALSE)</f>
        <v>USD</v>
      </c>
      <c r="F835" s="15">
        <f ca="1">IFERROR(__xludf.DUMMYFUNCTION("IF(E835=""USD"",B835,B835 * GOOGLEFINANCE(""CURRENCY:"" &amp; E835 &amp; ""USD""))
"),30000000)</f>
        <v>30000000</v>
      </c>
      <c r="G835" s="16">
        <f ca="1">IFERROR(__xludf.DUMMYFUNCTION("IF(E835=""USD"",C835,C835 * GOOGLEFINANCE(""CURRENCY:"" &amp; E835 &amp; ""USD""))
"),76806312)</f>
        <v>76806312</v>
      </c>
    </row>
    <row r="836" spans="1:7" ht="15.75" customHeight="1" x14ac:dyDescent="0.25">
      <c r="A836" s="11" t="s">
        <v>611</v>
      </c>
      <c r="B836" s="12">
        <v>50000000</v>
      </c>
      <c r="C836" s="12">
        <v>700000</v>
      </c>
      <c r="D836" s="12">
        <v>1993</v>
      </c>
      <c r="E836" s="12" t="str">
        <f>VLOOKUP(A836, Currency!$A$2:$B$100, 2, FALSE)</f>
        <v>EUR</v>
      </c>
      <c r="F836" s="12">
        <f ca="1">IFERROR(__xludf.DUMMYFUNCTION("IF(E836=""USD"",B836,B836 * GOOGLEFINANCE(""CURRENCY:"" &amp; E836 &amp; ""USD""))
"),54237000)</f>
        <v>54237000</v>
      </c>
      <c r="G836" s="13">
        <f ca="1">IFERROR(__xludf.DUMMYFUNCTION("IF(E836=""USD"",C836,C836 * GOOGLEFINANCE(""CURRENCY:"" &amp; E836 &amp; ""USD""))
"),759318)</f>
        <v>759318</v>
      </c>
    </row>
    <row r="837" spans="1:7" ht="15.75" customHeight="1" x14ac:dyDescent="0.25">
      <c r="A837" s="14" t="s">
        <v>1220</v>
      </c>
      <c r="B837" s="15">
        <v>20000000</v>
      </c>
      <c r="C837" s="15">
        <v>6420319</v>
      </c>
      <c r="D837" s="15">
        <v>2015</v>
      </c>
      <c r="E837" s="15" t="str">
        <f>VLOOKUP(A837, Currency!$A$2:$B$100, 2, FALSE)</f>
        <v>MXN</v>
      </c>
      <c r="F837" s="15">
        <f ca="1">IFERROR(__xludf.DUMMYFUNCTION("IF(E837=""USD"",B837,B837 * GOOGLEFINANCE(""CURRENCY:"" &amp; E837 &amp; ""USD""))
"),1084093.8)</f>
        <v>1084093.8</v>
      </c>
      <c r="G837" s="16">
        <f ca="1">IFERROR(__xludf.DUMMYFUNCTION("IF(E837=""USD"",C837,C837 * GOOGLEFINANCE(""CURRENCY:"" &amp; E837 &amp; ""USD""))
"),348011.40109611)</f>
        <v>348011.40109611</v>
      </c>
    </row>
    <row r="838" spans="1:7" ht="15.75" customHeight="1" x14ac:dyDescent="0.25">
      <c r="A838" s="11" t="s">
        <v>24</v>
      </c>
      <c r="B838" s="12">
        <v>75000000</v>
      </c>
      <c r="C838" s="12">
        <v>66636385</v>
      </c>
      <c r="D838" s="12">
        <v>2007</v>
      </c>
      <c r="E838" s="12" t="str">
        <f>VLOOKUP(A838, Currency!$A$2:$B$100, 2, FALSE)</f>
        <v>USD</v>
      </c>
      <c r="F838" s="12">
        <f ca="1">IFERROR(__xludf.DUMMYFUNCTION("IF(E838=""USD"",B838,B838 * GOOGLEFINANCE(""CURRENCY:"" &amp; E838 &amp; ""USD""))
"),75000000)</f>
        <v>75000000</v>
      </c>
      <c r="G838" s="13">
        <f ca="1">IFERROR(__xludf.DUMMYFUNCTION("IF(E838=""USD"",C838,C838 * GOOGLEFINANCE(""CURRENCY:"" &amp; E838 &amp; ""USD""))
"),66636385)</f>
        <v>66636385</v>
      </c>
    </row>
    <row r="839" spans="1:7" ht="15.75" customHeight="1" x14ac:dyDescent="0.25">
      <c r="A839" s="14" t="s">
        <v>24</v>
      </c>
      <c r="B839" s="15">
        <v>40000000</v>
      </c>
      <c r="C839" s="15">
        <v>163947053</v>
      </c>
      <c r="D839" s="15">
        <v>2009</v>
      </c>
      <c r="E839" s="15" t="str">
        <f>VLOOKUP(A839, Currency!$A$2:$B$100, 2, FALSE)</f>
        <v>USD</v>
      </c>
      <c r="F839" s="15">
        <f ca="1">IFERROR(__xludf.DUMMYFUNCTION("IF(E839=""USD"",B839,B839 * GOOGLEFINANCE(""CURRENCY:"" &amp; E839 &amp; ""USD""))
"),40000000)</f>
        <v>40000000</v>
      </c>
      <c r="G839" s="16">
        <f ca="1">IFERROR(__xludf.DUMMYFUNCTION("IF(E839=""USD"",C839,C839 * GOOGLEFINANCE(""CURRENCY:"" &amp; E839 &amp; ""USD""))
"),163947053)</f>
        <v>163947053</v>
      </c>
    </row>
    <row r="840" spans="1:7" ht="15.75" customHeight="1" x14ac:dyDescent="0.25">
      <c r="A840" s="11" t="s">
        <v>24</v>
      </c>
      <c r="B840" s="12">
        <v>50000000</v>
      </c>
      <c r="C840" s="12">
        <v>147637474</v>
      </c>
      <c r="D840" s="12">
        <v>1997</v>
      </c>
      <c r="E840" s="12" t="str">
        <f>VLOOKUP(A840, Currency!$A$2:$B$100, 2, FALSE)</f>
        <v>USD</v>
      </c>
      <c r="F840" s="12">
        <f ca="1">IFERROR(__xludf.DUMMYFUNCTION("IF(E840=""USD"",B840,B840 * GOOGLEFINANCE(""CURRENCY:"" &amp; E840 &amp; ""USD""))
"),50000000)</f>
        <v>50000000</v>
      </c>
      <c r="G840" s="13">
        <f ca="1">IFERROR(__xludf.DUMMYFUNCTION("IF(E840=""USD"",C840,C840 * GOOGLEFINANCE(""CURRENCY:"" &amp; E840 &amp; ""USD""))
"),147637474)</f>
        <v>147637474</v>
      </c>
    </row>
    <row r="841" spans="1:7" ht="15.75" customHeight="1" x14ac:dyDescent="0.25">
      <c r="A841" s="14" t="s">
        <v>24</v>
      </c>
      <c r="B841" s="15">
        <v>7000000</v>
      </c>
      <c r="C841" s="15">
        <v>16901126</v>
      </c>
      <c r="D841" s="15">
        <v>2005</v>
      </c>
      <c r="E841" s="15" t="str">
        <f>VLOOKUP(A841, Currency!$A$2:$B$100, 2, FALSE)</f>
        <v>USD</v>
      </c>
      <c r="F841" s="15">
        <f ca="1">IFERROR(__xludf.DUMMYFUNCTION("IF(E841=""USD"",B841,B841 * GOOGLEFINANCE(""CURRENCY:"" &amp; E841 &amp; ""USD""))
"),7000000)</f>
        <v>7000000</v>
      </c>
      <c r="G841" s="16">
        <f ca="1">IFERROR(__xludf.DUMMYFUNCTION("IF(E841=""USD"",C841,C841 * GOOGLEFINANCE(""CURRENCY:"" &amp; E841 &amp; ""USD""))
"),16901126)</f>
        <v>16901126</v>
      </c>
    </row>
    <row r="842" spans="1:7" ht="15.75" customHeight="1" x14ac:dyDescent="0.25">
      <c r="A842" s="11" t="s">
        <v>627</v>
      </c>
      <c r="B842" s="12">
        <v>7000000</v>
      </c>
      <c r="C842" s="12">
        <v>28747570</v>
      </c>
      <c r="D842" s="12">
        <v>2005</v>
      </c>
      <c r="E842" s="12" t="str">
        <f>VLOOKUP(A842, Currency!$A$2:$B$100, 2, FALSE)</f>
        <v>CAD</v>
      </c>
      <c r="F842" s="12">
        <f ca="1">IFERROR(__xludf.DUMMYFUNCTION("IF(E842=""USD"",B842,B842 * GOOGLEFINANCE(""CURRENCY:"" &amp; E842 &amp; ""USD""))
"),5063835)</f>
        <v>5063835</v>
      </c>
      <c r="G842" s="13">
        <f ca="1">IFERROR(__xludf.DUMMYFUNCTION("IF(E842=""USD"",C842,C842 * GOOGLEFINANCE(""CURRENCY:"" &amp; E842 &amp; ""USD""))
"),20796135.87585)</f>
        <v>20796135.875849999</v>
      </c>
    </row>
    <row r="843" spans="1:7" ht="15.75" customHeight="1" x14ac:dyDescent="0.25">
      <c r="A843" s="14" t="s">
        <v>611</v>
      </c>
      <c r="B843" s="15">
        <v>13000000</v>
      </c>
      <c r="C843" s="15">
        <v>2035566</v>
      </c>
      <c r="D843" s="15">
        <v>2009</v>
      </c>
      <c r="E843" s="15" t="str">
        <f>VLOOKUP(A843, Currency!$A$2:$B$100, 2, FALSE)</f>
        <v>EUR</v>
      </c>
      <c r="F843" s="15">
        <f ca="1">IFERROR(__xludf.DUMMYFUNCTION("IF(E843=""USD"",B843,B843 * GOOGLEFINANCE(""CURRENCY:"" &amp; E843 &amp; ""USD""))
"),14101620)</f>
        <v>14101620</v>
      </c>
      <c r="G843" s="16">
        <f ca="1">IFERROR(__xludf.DUMMYFUNCTION("IF(E843=""USD"",C843,C843 * GOOGLEFINANCE(""CURRENCY:"" &amp; E843 &amp; ""USD""))
"),2208059.86284)</f>
        <v>2208059.8628400001</v>
      </c>
    </row>
    <row r="844" spans="1:7" ht="15.75" customHeight="1" x14ac:dyDescent="0.25">
      <c r="A844" s="11" t="s">
        <v>24</v>
      </c>
      <c r="B844" s="12">
        <v>44000000</v>
      </c>
      <c r="C844" s="12">
        <v>1500000</v>
      </c>
      <c r="D844" s="12">
        <v>1980</v>
      </c>
      <c r="E844" s="12" t="str">
        <f>VLOOKUP(A844, Currency!$A$2:$B$100, 2, FALSE)</f>
        <v>USD</v>
      </c>
      <c r="F844" s="12">
        <f ca="1">IFERROR(__xludf.DUMMYFUNCTION("IF(E844=""USD"",B844,B844 * GOOGLEFINANCE(""CURRENCY:"" &amp; E844 &amp; ""USD""))
"),44000000)</f>
        <v>44000000</v>
      </c>
      <c r="G844" s="13">
        <f ca="1">IFERROR(__xludf.DUMMYFUNCTION("IF(E844=""USD"",C844,C844 * GOOGLEFINANCE(""CURRENCY:"" &amp; E844 &amp; ""USD""))
"),1500000)</f>
        <v>1500000</v>
      </c>
    </row>
    <row r="845" spans="1:7" ht="15.75" customHeight="1" x14ac:dyDescent="0.25">
      <c r="A845" s="14" t="s">
        <v>24</v>
      </c>
      <c r="B845" s="15">
        <v>35000000</v>
      </c>
      <c r="C845" s="15">
        <v>42168445</v>
      </c>
      <c r="D845" s="15">
        <v>2008</v>
      </c>
      <c r="E845" s="15" t="str">
        <f>VLOOKUP(A845, Currency!$A$2:$B$100, 2, FALSE)</f>
        <v>USD</v>
      </c>
      <c r="F845" s="15">
        <f ca="1">IFERROR(__xludf.DUMMYFUNCTION("IF(E845=""USD"",B845,B845 * GOOGLEFINANCE(""CURRENCY:"" &amp; E845 &amp; ""USD""))
"),35000000)</f>
        <v>35000000</v>
      </c>
      <c r="G845" s="16">
        <f ca="1">IFERROR(__xludf.DUMMYFUNCTION("IF(E845=""USD"",C845,C845 * GOOGLEFINANCE(""CURRENCY:"" &amp; E845 &amp; ""USD""))
"),42168445)</f>
        <v>42168445</v>
      </c>
    </row>
    <row r="846" spans="1:7" ht="15.75" customHeight="1" x14ac:dyDescent="0.25">
      <c r="A846" s="11" t="s">
        <v>24</v>
      </c>
      <c r="B846" s="12">
        <v>43000000</v>
      </c>
      <c r="C846" s="12">
        <v>24430272</v>
      </c>
      <c r="D846" s="12">
        <v>2002</v>
      </c>
      <c r="E846" s="12" t="str">
        <f>VLOOKUP(A846, Currency!$A$2:$B$100, 2, FALSE)</f>
        <v>USD</v>
      </c>
      <c r="F846" s="12">
        <f ca="1">IFERROR(__xludf.DUMMYFUNCTION("IF(E846=""USD"",B846,B846 * GOOGLEFINANCE(""CURRENCY:"" &amp; E846 &amp; ""USD""))
"),43000000)</f>
        <v>43000000</v>
      </c>
      <c r="G846" s="13">
        <f ca="1">IFERROR(__xludf.DUMMYFUNCTION("IF(E846=""USD"",C846,C846 * GOOGLEFINANCE(""CURRENCY:"" &amp; E846 &amp; ""USD""))
"),24430272)</f>
        <v>24430272</v>
      </c>
    </row>
    <row r="847" spans="1:7" ht="15.75" customHeight="1" x14ac:dyDescent="0.25">
      <c r="A847" s="14" t="s">
        <v>24</v>
      </c>
      <c r="B847" s="15">
        <v>90000000</v>
      </c>
      <c r="C847" s="15">
        <v>60874615</v>
      </c>
      <c r="D847" s="15">
        <v>2000</v>
      </c>
      <c r="E847" s="15" t="str">
        <f>VLOOKUP(A847, Currency!$A$2:$B$100, 2, FALSE)</f>
        <v>USD</v>
      </c>
      <c r="F847" s="15">
        <f ca="1">IFERROR(__xludf.DUMMYFUNCTION("IF(E847=""USD"",B847,B847 * GOOGLEFINANCE(""CURRENCY:"" &amp; E847 &amp; ""USD""))
"),90000000)</f>
        <v>90000000</v>
      </c>
      <c r="G847" s="16">
        <f ca="1">IFERROR(__xludf.DUMMYFUNCTION("IF(E847=""USD"",C847,C847 * GOOGLEFINANCE(""CURRENCY:"" &amp; E847 &amp; ""USD""))
"),60874615)</f>
        <v>60874615</v>
      </c>
    </row>
    <row r="848" spans="1:7" ht="15.75" customHeight="1" x14ac:dyDescent="0.25">
      <c r="A848" s="11" t="s">
        <v>24</v>
      </c>
      <c r="B848" s="12">
        <v>9500000</v>
      </c>
      <c r="C848" s="12">
        <v>57176582</v>
      </c>
      <c r="D848" s="12">
        <v>2000</v>
      </c>
      <c r="E848" s="12" t="str">
        <f>VLOOKUP(A848, Currency!$A$2:$B$100, 2, FALSE)</f>
        <v>USD</v>
      </c>
      <c r="F848" s="12">
        <f ca="1">IFERROR(__xludf.DUMMYFUNCTION("IF(E848=""USD"",B848,B848 * GOOGLEFINANCE(""CURRENCY:"" &amp; E848 &amp; ""USD""))
"),9500000)</f>
        <v>9500000</v>
      </c>
      <c r="G848" s="13">
        <f ca="1">IFERROR(__xludf.DUMMYFUNCTION("IF(E848=""USD"",C848,C848 * GOOGLEFINANCE(""CURRENCY:"" &amp; E848 &amp; ""USD""))
"),57176582)</f>
        <v>57176582</v>
      </c>
    </row>
    <row r="849" spans="1:7" ht="15.75" customHeight="1" x14ac:dyDescent="0.25">
      <c r="A849" s="14" t="s">
        <v>24</v>
      </c>
      <c r="B849" s="15">
        <v>38000000</v>
      </c>
      <c r="C849" s="15">
        <v>58700247</v>
      </c>
      <c r="D849" s="15">
        <v>2011</v>
      </c>
      <c r="E849" s="15" t="str">
        <f>VLOOKUP(A849, Currency!$A$2:$B$100, 2, FALSE)</f>
        <v>USD</v>
      </c>
      <c r="F849" s="15">
        <f ca="1">IFERROR(__xludf.DUMMYFUNCTION("IF(E849=""USD"",B849,B849 * GOOGLEFINANCE(""CURRENCY:"" &amp; E849 &amp; ""USD""))
"),38000000)</f>
        <v>38000000</v>
      </c>
      <c r="G849" s="16">
        <f ca="1">IFERROR(__xludf.DUMMYFUNCTION("IF(E849=""USD"",C849,C849 * GOOGLEFINANCE(""CURRENCY:"" &amp; E849 &amp; ""USD""))
"),58700247)</f>
        <v>58700247</v>
      </c>
    </row>
    <row r="850" spans="1:7" ht="15.75" customHeight="1" x14ac:dyDescent="0.25">
      <c r="A850" s="11" t="s">
        <v>176</v>
      </c>
      <c r="B850" s="12">
        <v>33000000</v>
      </c>
      <c r="C850" s="12">
        <v>8326035</v>
      </c>
      <c r="D850" s="12">
        <v>2005</v>
      </c>
      <c r="E850" s="12" t="str">
        <f>VLOOKUP(A850, Currency!$A$2:$B$100, 2, FALSE)</f>
        <v>EUR</v>
      </c>
      <c r="F850" s="12">
        <f ca="1">IFERROR(__xludf.DUMMYFUNCTION("IF(E850=""USD"",B850,B850 * GOOGLEFINANCE(""CURRENCY:"" &amp; E850 &amp; ""USD""))
"),35796420)</f>
        <v>35796420</v>
      </c>
      <c r="G850" s="13">
        <f ca="1">IFERROR(__xludf.DUMMYFUNCTION("IF(E850=""USD"",C850,C850 * GOOGLEFINANCE(""CURRENCY:"" &amp; E850 &amp; ""USD""))
"),9031583.2059)</f>
        <v>9031583.2059000004</v>
      </c>
    </row>
    <row r="851" spans="1:7" ht="15.75" customHeight="1" x14ac:dyDescent="0.25">
      <c r="A851" s="14" t="s">
        <v>24</v>
      </c>
      <c r="B851" s="15">
        <v>50000000</v>
      </c>
      <c r="C851" s="15">
        <v>126203320</v>
      </c>
      <c r="D851" s="15">
        <v>2002</v>
      </c>
      <c r="E851" s="15" t="str">
        <f>VLOOKUP(A851, Currency!$A$2:$B$100, 2, FALSE)</f>
        <v>USD</v>
      </c>
      <c r="F851" s="15">
        <f ca="1">IFERROR(__xludf.DUMMYFUNCTION("IF(E851=""USD"",B851,B851 * GOOGLEFINANCE(""CURRENCY:"" &amp; E851 &amp; ""USD""))
"),50000000)</f>
        <v>50000000</v>
      </c>
      <c r="G851" s="16">
        <f ca="1">IFERROR(__xludf.DUMMYFUNCTION("IF(E851=""USD"",C851,C851 * GOOGLEFINANCE(""CURRENCY:"" &amp; E851 &amp; ""USD""))
"),126203320)</f>
        <v>126203320</v>
      </c>
    </row>
    <row r="852" spans="1:7" ht="15.75" customHeight="1" x14ac:dyDescent="0.25">
      <c r="A852" s="11" t="s">
        <v>24</v>
      </c>
      <c r="B852" s="12">
        <v>6000000</v>
      </c>
      <c r="C852" s="12">
        <v>43650000</v>
      </c>
      <c r="D852" s="12">
        <v>1961</v>
      </c>
      <c r="E852" s="12" t="str">
        <f>VLOOKUP(A852, Currency!$A$2:$B$100, 2, FALSE)</f>
        <v>USD</v>
      </c>
      <c r="F852" s="12">
        <f ca="1">IFERROR(__xludf.DUMMYFUNCTION("IF(E852=""USD"",B852,B852 * GOOGLEFINANCE(""CURRENCY:"" &amp; E852 &amp; ""USD""))
"),6000000)</f>
        <v>6000000</v>
      </c>
      <c r="G852" s="13">
        <f ca="1">IFERROR(__xludf.DUMMYFUNCTION("IF(E852=""USD"",C852,C852 * GOOGLEFINANCE(""CURRENCY:"" &amp; E852 &amp; ""USD""))
"),43650000)</f>
        <v>43650000</v>
      </c>
    </row>
    <row r="853" spans="1:7" ht="15.75" customHeight="1" x14ac:dyDescent="0.25">
      <c r="A853" s="14" t="s">
        <v>24</v>
      </c>
      <c r="B853" s="15">
        <v>50000000</v>
      </c>
      <c r="C853" s="15">
        <v>47553512</v>
      </c>
      <c r="D853" s="15">
        <v>2014</v>
      </c>
      <c r="E853" s="15" t="str">
        <f>VLOOKUP(A853, Currency!$A$2:$B$100, 2, FALSE)</f>
        <v>USD</v>
      </c>
      <c r="F853" s="15">
        <f ca="1">IFERROR(__xludf.DUMMYFUNCTION("IF(E853=""USD"",B853,B853 * GOOGLEFINANCE(""CURRENCY:"" &amp; E853 &amp; ""USD""))
"),50000000)</f>
        <v>50000000</v>
      </c>
      <c r="G853" s="16">
        <f ca="1">IFERROR(__xludf.DUMMYFUNCTION("IF(E853=""USD"",C853,C853 * GOOGLEFINANCE(""CURRENCY:"" &amp; E853 &amp; ""USD""))
"),47553512)</f>
        <v>47553512</v>
      </c>
    </row>
    <row r="854" spans="1:7" ht="15.75" customHeight="1" x14ac:dyDescent="0.25">
      <c r="A854" s="11" t="s">
        <v>24</v>
      </c>
      <c r="B854" s="12">
        <v>41000000</v>
      </c>
      <c r="C854" s="12">
        <v>116724075</v>
      </c>
      <c r="D854" s="12">
        <v>2002</v>
      </c>
      <c r="E854" s="12" t="str">
        <f>VLOOKUP(A854, Currency!$A$2:$B$100, 2, FALSE)</f>
        <v>USD</v>
      </c>
      <c r="F854" s="12">
        <f ca="1">IFERROR(__xludf.DUMMYFUNCTION("IF(E854=""USD"",B854,B854 * GOOGLEFINANCE(""CURRENCY:"" &amp; E854 &amp; ""USD""))
"),41000000)</f>
        <v>41000000</v>
      </c>
      <c r="G854" s="13">
        <f ca="1">IFERROR(__xludf.DUMMYFUNCTION("IF(E854=""USD"",C854,C854 * GOOGLEFINANCE(""CURRENCY:"" &amp; E854 &amp; ""USD""))
"),116724075)</f>
        <v>116724075</v>
      </c>
    </row>
    <row r="855" spans="1:7" ht="15.75" customHeight="1" x14ac:dyDescent="0.25">
      <c r="A855" s="14" t="s">
        <v>24</v>
      </c>
      <c r="B855" s="15">
        <v>90000000</v>
      </c>
      <c r="C855" s="15">
        <v>102515793</v>
      </c>
      <c r="D855" s="15">
        <v>2011</v>
      </c>
      <c r="E855" s="15" t="str">
        <f>VLOOKUP(A855, Currency!$A$2:$B$100, 2, FALSE)</f>
        <v>USD</v>
      </c>
      <c r="F855" s="15">
        <f ca="1">IFERROR(__xludf.DUMMYFUNCTION("IF(E855=""USD"",B855,B855 * GOOGLEFINANCE(""CURRENCY:"" &amp; E855 &amp; ""USD""))
"),90000000)</f>
        <v>90000000</v>
      </c>
      <c r="G855" s="16">
        <f ca="1">IFERROR(__xludf.DUMMYFUNCTION("IF(E855=""USD"",C855,C855 * GOOGLEFINANCE(""CURRENCY:"" &amp; E855 &amp; ""USD""))
"),102515793)</f>
        <v>102515793</v>
      </c>
    </row>
    <row r="856" spans="1:7" ht="15.75" customHeight="1" x14ac:dyDescent="0.25">
      <c r="A856" s="11" t="s">
        <v>24</v>
      </c>
      <c r="B856" s="12">
        <v>90000000</v>
      </c>
      <c r="C856" s="12">
        <v>209019489</v>
      </c>
      <c r="D856" s="12">
        <v>2009</v>
      </c>
      <c r="E856" s="12" t="str">
        <f>VLOOKUP(A856, Currency!$A$2:$B$100, 2, FALSE)</f>
        <v>USD</v>
      </c>
      <c r="F856" s="12">
        <f ca="1">IFERROR(__xludf.DUMMYFUNCTION("IF(E856=""USD"",B856,B856 * GOOGLEFINANCE(""CURRENCY:"" &amp; E856 &amp; ""USD""))
"),90000000)</f>
        <v>90000000</v>
      </c>
      <c r="G856" s="13">
        <f ca="1">IFERROR(__xludf.DUMMYFUNCTION("IF(E856=""USD"",C856,C856 * GOOGLEFINANCE(""CURRENCY:"" &amp; E856 &amp; ""USD""))
"),209019489)</f>
        <v>209019489</v>
      </c>
    </row>
    <row r="857" spans="1:7" ht="15.75" customHeight="1" x14ac:dyDescent="0.25">
      <c r="A857" s="14" t="s">
        <v>24</v>
      </c>
      <c r="B857" s="15">
        <v>12000000</v>
      </c>
      <c r="C857" s="15">
        <v>16300302</v>
      </c>
      <c r="D857" s="15">
        <v>2011</v>
      </c>
      <c r="E857" s="15" t="str">
        <f>VLOOKUP(A857, Currency!$A$2:$B$100, 2, FALSE)</f>
        <v>USD</v>
      </c>
      <c r="F857" s="15">
        <f ca="1">IFERROR(__xludf.DUMMYFUNCTION("IF(E857=""USD"",B857,B857 * GOOGLEFINANCE(""CURRENCY:"" &amp; E857 &amp; ""USD""))
"),12000000)</f>
        <v>12000000</v>
      </c>
      <c r="G857" s="16">
        <f ca="1">IFERROR(__xludf.DUMMYFUNCTION("IF(E857=""USD"",C857,C857 * GOOGLEFINANCE(""CURRENCY:"" &amp; E857 &amp; ""USD""))
"),16300302)</f>
        <v>16300302</v>
      </c>
    </row>
    <row r="858" spans="1:7" ht="15.75" customHeight="1" x14ac:dyDescent="0.25">
      <c r="A858" s="11" t="s">
        <v>24</v>
      </c>
      <c r="B858" s="12">
        <v>10000000</v>
      </c>
      <c r="C858" s="12">
        <v>16153600</v>
      </c>
      <c r="D858" s="12">
        <v>1990</v>
      </c>
      <c r="E858" s="12" t="str">
        <f>VLOOKUP(A858, Currency!$A$2:$B$100, 2, FALSE)</f>
        <v>USD</v>
      </c>
      <c r="F858" s="12">
        <f ca="1">IFERROR(__xludf.DUMMYFUNCTION("IF(E858=""USD"",B858,B858 * GOOGLEFINANCE(""CURRENCY:"" &amp; E858 &amp; ""USD""))
"),10000000)</f>
        <v>10000000</v>
      </c>
      <c r="G858" s="13">
        <f ca="1">IFERROR(__xludf.DUMMYFUNCTION("IF(E858=""USD"",C858,C858 * GOOGLEFINANCE(""CURRENCY:"" &amp; E858 &amp; ""USD""))
"),16153600)</f>
        <v>16153600</v>
      </c>
    </row>
    <row r="859" spans="1:7" ht="15.75" customHeight="1" x14ac:dyDescent="0.25">
      <c r="A859" s="14" t="s">
        <v>24</v>
      </c>
      <c r="B859" s="15">
        <v>65000000</v>
      </c>
      <c r="C859" s="15">
        <v>82226474</v>
      </c>
      <c r="D859" s="15">
        <v>2006</v>
      </c>
      <c r="E859" s="15" t="str">
        <f>VLOOKUP(A859, Currency!$A$2:$B$100, 2, FALSE)</f>
        <v>USD</v>
      </c>
      <c r="F859" s="15">
        <f ca="1">IFERROR(__xludf.DUMMYFUNCTION("IF(E859=""USD"",B859,B859 * GOOGLEFINANCE(""CURRENCY:"" &amp; E859 &amp; ""USD""))
"),65000000)</f>
        <v>65000000</v>
      </c>
      <c r="G859" s="16">
        <f ca="1">IFERROR(__xludf.DUMMYFUNCTION("IF(E859=""USD"",C859,C859 * GOOGLEFINANCE(""CURRENCY:"" &amp; E859 &amp; ""USD""))
"),82226474)</f>
        <v>82226474</v>
      </c>
    </row>
    <row r="860" spans="1:7" ht="15.75" customHeight="1" x14ac:dyDescent="0.25">
      <c r="A860" s="11" t="s">
        <v>24</v>
      </c>
      <c r="B860" s="12">
        <v>3000000</v>
      </c>
      <c r="C860" s="12">
        <v>64423650</v>
      </c>
      <c r="D860" s="12">
        <v>2013</v>
      </c>
      <c r="E860" s="12" t="str">
        <f>VLOOKUP(A860, Currency!$A$2:$B$100, 2, FALSE)</f>
        <v>USD</v>
      </c>
      <c r="F860" s="12">
        <f ca="1">IFERROR(__xludf.DUMMYFUNCTION("IF(E860=""USD"",B860,B860 * GOOGLEFINANCE(""CURRENCY:"" &amp; E860 &amp; ""USD""))
"),3000000)</f>
        <v>3000000</v>
      </c>
      <c r="G860" s="13">
        <f ca="1">IFERROR(__xludf.DUMMYFUNCTION("IF(E860=""USD"",C860,C860 * GOOGLEFINANCE(""CURRENCY:"" &amp; E860 &amp; ""USD""))
"),64423650)</f>
        <v>64423650</v>
      </c>
    </row>
    <row r="861" spans="1:7" ht="15.75" customHeight="1" x14ac:dyDescent="0.25">
      <c r="A861" s="14" t="s">
        <v>133</v>
      </c>
      <c r="B861" s="15">
        <v>8000000</v>
      </c>
      <c r="C861" s="15">
        <v>22551000</v>
      </c>
      <c r="D861" s="15">
        <v>1993</v>
      </c>
      <c r="E861" s="15" t="str">
        <f>VLOOKUP(A861, Currency!$A$2:$B$100, 2, FALSE)</f>
        <v>GBP</v>
      </c>
      <c r="F861" s="15">
        <f ca="1">IFERROR(__xludf.DUMMYFUNCTION("IF(E861=""USD"",B861,B861 * GOOGLEFINANCE(""CURRENCY:"" &amp; E861 &amp; ""USD""))
"),10283199.9999999)</f>
        <v>10283199.999999899</v>
      </c>
      <c r="G861" s="16">
        <f ca="1">IFERROR(__xludf.DUMMYFUNCTION("IF(E861=""USD"",C861,C861 * GOOGLEFINANCE(""CURRENCY:"" &amp; E861 &amp; ""USD""))
"),28987055.4)</f>
        <v>28987055.399999999</v>
      </c>
    </row>
    <row r="862" spans="1:7" ht="15.75" customHeight="1" x14ac:dyDescent="0.25">
      <c r="A862" s="11" t="s">
        <v>24</v>
      </c>
      <c r="B862" s="12">
        <v>10500000</v>
      </c>
      <c r="C862" s="12">
        <v>14114488</v>
      </c>
      <c r="D862" s="12">
        <v>1988</v>
      </c>
      <c r="E862" s="12" t="str">
        <f>VLOOKUP(A862, Currency!$A$2:$B$100, 2, FALSE)</f>
        <v>USD</v>
      </c>
      <c r="F862" s="12">
        <f ca="1">IFERROR(__xludf.DUMMYFUNCTION("IF(E862=""USD"",B862,B862 * GOOGLEFINANCE(""CURRENCY:"" &amp; E862 &amp; ""USD""))
"),10500000)</f>
        <v>10500000</v>
      </c>
      <c r="G862" s="13">
        <f ca="1">IFERROR(__xludf.DUMMYFUNCTION("IF(E862=""USD"",C862,C862 * GOOGLEFINANCE(""CURRENCY:"" &amp; E862 &amp; ""USD""))
"),14114488)</f>
        <v>14114488</v>
      </c>
    </row>
    <row r="863" spans="1:7" ht="15.75" customHeight="1" x14ac:dyDescent="0.25">
      <c r="A863" s="14" t="s">
        <v>24</v>
      </c>
      <c r="B863" s="15">
        <v>2200000</v>
      </c>
      <c r="C863" s="15">
        <v>379643</v>
      </c>
      <c r="D863" s="15">
        <v>2007</v>
      </c>
      <c r="E863" s="15" t="str">
        <f>VLOOKUP(A863, Currency!$A$2:$B$100, 2, FALSE)</f>
        <v>USD</v>
      </c>
      <c r="F863" s="15">
        <f ca="1">IFERROR(__xludf.DUMMYFUNCTION("IF(E863=""USD"",B863,B863 * GOOGLEFINANCE(""CURRENCY:"" &amp; E863 &amp; ""USD""))
"),2200000)</f>
        <v>2200000</v>
      </c>
      <c r="G863" s="16">
        <f ca="1">IFERROR(__xludf.DUMMYFUNCTION("IF(E863=""USD"",C863,C863 * GOOGLEFINANCE(""CURRENCY:"" &amp; E863 &amp; ""USD""))
"),379643)</f>
        <v>379643</v>
      </c>
    </row>
    <row r="864" spans="1:7" ht="15.75" customHeight="1" x14ac:dyDescent="0.25">
      <c r="A864" s="11" t="s">
        <v>24</v>
      </c>
      <c r="B864" s="12">
        <v>13000000</v>
      </c>
      <c r="C864" s="12">
        <v>49121934</v>
      </c>
      <c r="D864" s="12">
        <v>2007</v>
      </c>
      <c r="E864" s="12" t="str">
        <f>VLOOKUP(A864, Currency!$A$2:$B$100, 2, FALSE)</f>
        <v>USD</v>
      </c>
      <c r="F864" s="12">
        <f ca="1">IFERROR(__xludf.DUMMYFUNCTION("IF(E864=""USD"",B864,B864 * GOOGLEFINANCE(""CURRENCY:"" &amp; E864 &amp; ""USD""))
"),13000000)</f>
        <v>13000000</v>
      </c>
      <c r="G864" s="13">
        <f ca="1">IFERROR(__xludf.DUMMYFUNCTION("IF(E864=""USD"",C864,C864 * GOOGLEFINANCE(""CURRENCY:"" &amp; E864 &amp; ""USD""))
"),49121934)</f>
        <v>49121934</v>
      </c>
    </row>
    <row r="865" spans="1:7" ht="15.75" customHeight="1" x14ac:dyDescent="0.25">
      <c r="A865" s="14" t="s">
        <v>24</v>
      </c>
      <c r="B865" s="15">
        <v>40000000</v>
      </c>
      <c r="C865" s="15">
        <v>83906114</v>
      </c>
      <c r="D865" s="15">
        <v>2014</v>
      </c>
      <c r="E865" s="15" t="str">
        <f>VLOOKUP(A865, Currency!$A$2:$B$100, 2, FALSE)</f>
        <v>USD</v>
      </c>
      <c r="F865" s="15">
        <f ca="1">IFERROR(__xludf.DUMMYFUNCTION("IF(E865=""USD"",B865,B865 * GOOGLEFINANCE(""CURRENCY:"" &amp; E865 &amp; ""USD""))
"),40000000)</f>
        <v>40000000</v>
      </c>
      <c r="G865" s="16">
        <f ca="1">IFERROR(__xludf.DUMMYFUNCTION("IF(E865=""USD"",C865,C865 * GOOGLEFINANCE(""CURRENCY:"" &amp; E865 &amp; ""USD""))
"),83906114)</f>
        <v>83906114</v>
      </c>
    </row>
    <row r="866" spans="1:7" ht="15.75" customHeight="1" x14ac:dyDescent="0.25">
      <c r="A866" s="11" t="s">
        <v>133</v>
      </c>
      <c r="B866" s="12">
        <v>55000000</v>
      </c>
      <c r="C866" s="12">
        <v>8355815</v>
      </c>
      <c r="D866" s="12">
        <v>2002</v>
      </c>
      <c r="E866" s="12" t="str">
        <f>VLOOKUP(A866, Currency!$A$2:$B$100, 2, FALSE)</f>
        <v>GBP</v>
      </c>
      <c r="F866" s="12">
        <f ca="1">IFERROR(__xludf.DUMMYFUNCTION("IF(E866=""USD"",B866,B866 * GOOGLEFINANCE(""CURRENCY:"" &amp; E866 &amp; ""USD""))
"),70697000)</f>
        <v>70697000</v>
      </c>
      <c r="G866" s="13">
        <f ca="1">IFERROR(__xludf.DUMMYFUNCTION("IF(E866=""USD"",C866,C866 * GOOGLEFINANCE(""CURRENCY:"" &amp; E866 &amp; ""USD""))
"),10740564.601)</f>
        <v>10740564.601</v>
      </c>
    </row>
    <row r="867" spans="1:7" ht="15.75" customHeight="1" x14ac:dyDescent="0.25">
      <c r="A867" s="14" t="s">
        <v>24</v>
      </c>
      <c r="B867" s="15">
        <v>40000000</v>
      </c>
      <c r="C867" s="15">
        <v>27663982</v>
      </c>
      <c r="D867" s="15">
        <v>1996</v>
      </c>
      <c r="E867" s="15" t="str">
        <f>VLOOKUP(A867, Currency!$A$2:$B$100, 2, FALSE)</f>
        <v>USD</v>
      </c>
      <c r="F867" s="15">
        <f ca="1">IFERROR(__xludf.DUMMYFUNCTION("IF(E867=""USD"",B867,B867 * GOOGLEFINANCE(""CURRENCY:"" &amp; E867 &amp; ""USD""))
"),40000000)</f>
        <v>40000000</v>
      </c>
      <c r="G867" s="16">
        <f ca="1">IFERROR(__xludf.DUMMYFUNCTION("IF(E867=""USD"",C867,C867 * GOOGLEFINANCE(""CURRENCY:"" &amp; E867 &amp; ""USD""))
"),27663982)</f>
        <v>27663982</v>
      </c>
    </row>
    <row r="868" spans="1:7" ht="15.75" customHeight="1" x14ac:dyDescent="0.25">
      <c r="A868" s="11" t="s">
        <v>24</v>
      </c>
      <c r="B868" s="12">
        <v>65000000</v>
      </c>
      <c r="C868" s="12">
        <v>32598931</v>
      </c>
      <c r="D868" s="12">
        <v>2000</v>
      </c>
      <c r="E868" s="12" t="str">
        <f>VLOOKUP(A868, Currency!$A$2:$B$100, 2, FALSE)</f>
        <v>USD</v>
      </c>
      <c r="F868" s="12">
        <f ca="1">IFERROR(__xludf.DUMMYFUNCTION("IF(E868=""USD"",B868,B868 * GOOGLEFINANCE(""CURRENCY:"" &amp; E868 &amp; ""USD""))
"),65000000)</f>
        <v>65000000</v>
      </c>
      <c r="G868" s="13">
        <f ca="1">IFERROR(__xludf.DUMMYFUNCTION("IF(E868=""USD"",C868,C868 * GOOGLEFINANCE(""CURRENCY:"" &amp; E868 &amp; ""USD""))
"),32598931)</f>
        <v>32598931</v>
      </c>
    </row>
    <row r="869" spans="1:7" ht="15.75" customHeight="1" x14ac:dyDescent="0.25">
      <c r="A869" s="14" t="s">
        <v>24</v>
      </c>
      <c r="B869" s="15">
        <v>23000000</v>
      </c>
      <c r="C869" s="15">
        <v>36696761</v>
      </c>
      <c r="D869" s="15">
        <v>2001</v>
      </c>
      <c r="E869" s="15" t="str">
        <f>VLOOKUP(A869, Currency!$A$2:$B$100, 2, FALSE)</f>
        <v>USD</v>
      </c>
      <c r="F869" s="15">
        <f ca="1">IFERROR(__xludf.DUMMYFUNCTION("IF(E869=""USD"",B869,B869 * GOOGLEFINANCE(""CURRENCY:"" &amp; E869 &amp; ""USD""))
"),23000000)</f>
        <v>23000000</v>
      </c>
      <c r="G869" s="16">
        <f ca="1">IFERROR(__xludf.DUMMYFUNCTION("IF(E869=""USD"",C869,C869 * GOOGLEFINANCE(""CURRENCY:"" &amp; E869 &amp; ""USD""))
"),36696761)</f>
        <v>36696761</v>
      </c>
    </row>
    <row r="870" spans="1:7" ht="15.75" customHeight="1" x14ac:dyDescent="0.25">
      <c r="A870" s="11" t="s">
        <v>3252</v>
      </c>
      <c r="B870" s="12">
        <v>3800000</v>
      </c>
      <c r="C870" s="12">
        <v>19959</v>
      </c>
      <c r="D870" s="12">
        <v>2009</v>
      </c>
      <c r="E870" s="12" t="str">
        <f>VLOOKUP(A870, Currency!$A$2:$B$100, 2, FALSE)</f>
        <v>ISK</v>
      </c>
      <c r="F870" s="12">
        <f ca="1">IFERROR(__xludf.DUMMYFUNCTION("IF(E870=""USD"",B870,B870 * GOOGLEFINANCE(""CURRENCY:"" &amp; E870 &amp; ""USD""))
"),27572.19542)</f>
        <v>27572.19542</v>
      </c>
      <c r="G870" s="13">
        <f ca="1">IFERROR(__xludf.DUMMYFUNCTION("IF(E870=""USD"",C870,C870 * GOOGLEFINANCE(""CURRENCY:"" &amp; E870 &amp; ""USD""))
"),144.8193285231)</f>
        <v>144.81932852310001</v>
      </c>
    </row>
    <row r="871" spans="1:7" ht="15.75" customHeight="1" x14ac:dyDescent="0.25">
      <c r="A871" s="14" t="s">
        <v>24</v>
      </c>
      <c r="B871" s="15">
        <v>35000000</v>
      </c>
      <c r="C871" s="15">
        <v>10137502</v>
      </c>
      <c r="D871" s="15">
        <v>2015</v>
      </c>
      <c r="E871" s="15" t="str">
        <f>VLOOKUP(A871, Currency!$A$2:$B$100, 2, FALSE)</f>
        <v>USD</v>
      </c>
      <c r="F871" s="15">
        <f ca="1">IFERROR(__xludf.DUMMYFUNCTION("IF(E871=""USD"",B871,B871 * GOOGLEFINANCE(""CURRENCY:"" &amp; E871 &amp; ""USD""))
"),35000000)</f>
        <v>35000000</v>
      </c>
      <c r="G871" s="16">
        <f ca="1">IFERROR(__xludf.DUMMYFUNCTION("IF(E871=""USD"",C871,C871 * GOOGLEFINANCE(""CURRENCY:"" &amp; E871 &amp; ""USD""))
"),10137502)</f>
        <v>10137502</v>
      </c>
    </row>
    <row r="872" spans="1:7" ht="15.75" customHeight="1" x14ac:dyDescent="0.25">
      <c r="A872" s="11" t="s">
        <v>133</v>
      </c>
      <c r="B872" s="12">
        <v>2000000</v>
      </c>
      <c r="C872" s="12">
        <v>24800000</v>
      </c>
      <c r="D872" s="12">
        <v>1963</v>
      </c>
      <c r="E872" s="12" t="str">
        <f>VLOOKUP(A872, Currency!$A$2:$B$100, 2, FALSE)</f>
        <v>GBP</v>
      </c>
      <c r="F872" s="12">
        <f ca="1">IFERROR(__xludf.DUMMYFUNCTION("IF(E872=""USD"",B872,B872 * GOOGLEFINANCE(""CURRENCY:"" &amp; E872 &amp; ""USD""))
"),2570799.99999999)</f>
        <v>2570799.9999999902</v>
      </c>
      <c r="G872" s="13">
        <f ca="1">IFERROR(__xludf.DUMMYFUNCTION("IF(E872=""USD"",C872,C872 * GOOGLEFINANCE(""CURRENCY:"" &amp; E872 &amp; ""USD""))
"),31877919.9999999)</f>
        <v>31877919.999999899</v>
      </c>
    </row>
    <row r="873" spans="1:7" ht="15.75" customHeight="1" x14ac:dyDescent="0.25">
      <c r="A873" s="14" t="s">
        <v>24</v>
      </c>
      <c r="B873" s="15">
        <v>8000000</v>
      </c>
      <c r="C873" s="15">
        <v>5018450</v>
      </c>
      <c r="D873" s="15">
        <v>2000</v>
      </c>
      <c r="E873" s="15" t="str">
        <f>VLOOKUP(A873, Currency!$A$2:$B$100, 2, FALSE)</f>
        <v>USD</v>
      </c>
      <c r="F873" s="15">
        <f ca="1">IFERROR(__xludf.DUMMYFUNCTION("IF(E873=""USD"",B873,B873 * GOOGLEFINANCE(""CURRENCY:"" &amp; E873 &amp; ""USD""))
"),8000000)</f>
        <v>8000000</v>
      </c>
      <c r="G873" s="16">
        <f ca="1">IFERROR(__xludf.DUMMYFUNCTION("IF(E873=""USD"",C873,C873 * GOOGLEFINANCE(""CURRENCY:"" &amp; E873 &amp; ""USD""))
"),5018450)</f>
        <v>5018450</v>
      </c>
    </row>
    <row r="874" spans="1:7" ht="15.75" customHeight="1" x14ac:dyDescent="0.25">
      <c r="A874" s="11" t="s">
        <v>24</v>
      </c>
      <c r="B874" s="12">
        <v>45000000</v>
      </c>
      <c r="C874" s="12">
        <v>106807667</v>
      </c>
      <c r="D874" s="12">
        <v>2000</v>
      </c>
      <c r="E874" s="12" t="str">
        <f>VLOOKUP(A874, Currency!$A$2:$B$100, 2, FALSE)</f>
        <v>USD</v>
      </c>
      <c r="F874" s="12">
        <f ca="1">IFERROR(__xludf.DUMMYFUNCTION("IF(E874=""USD"",B874,B874 * GOOGLEFINANCE(""CURRENCY:"" &amp; E874 &amp; ""USD""))
"),45000000)</f>
        <v>45000000</v>
      </c>
      <c r="G874" s="13">
        <f ca="1">IFERROR(__xludf.DUMMYFUNCTION("IF(E874=""USD"",C874,C874 * GOOGLEFINANCE(""CURRENCY:"" &amp; E874 &amp; ""USD""))
"),106807667)</f>
        <v>106807667</v>
      </c>
    </row>
    <row r="875" spans="1:7" ht="15.75" customHeight="1" x14ac:dyDescent="0.25">
      <c r="A875" s="14" t="s">
        <v>24</v>
      </c>
      <c r="B875" s="15">
        <v>58000000</v>
      </c>
      <c r="C875" s="15">
        <v>49875589</v>
      </c>
      <c r="D875" s="15">
        <v>2012</v>
      </c>
      <c r="E875" s="15" t="str">
        <f>VLOOKUP(A875, Currency!$A$2:$B$100, 2, FALSE)</f>
        <v>USD</v>
      </c>
      <c r="F875" s="15">
        <f ca="1">IFERROR(__xludf.DUMMYFUNCTION("IF(E875=""USD"",B875,B875 * GOOGLEFINANCE(""CURRENCY:"" &amp; E875 &amp; ""USD""))
"),58000000)</f>
        <v>58000000</v>
      </c>
      <c r="G875" s="16">
        <f ca="1">IFERROR(__xludf.DUMMYFUNCTION("IF(E875=""USD"",C875,C875 * GOOGLEFINANCE(""CURRENCY:"" &amp; E875 &amp; ""USD""))
"),49875589)</f>
        <v>49875589</v>
      </c>
    </row>
    <row r="876" spans="1:7" ht="15.75" customHeight="1" x14ac:dyDescent="0.25">
      <c r="A876" s="11" t="s">
        <v>176</v>
      </c>
      <c r="B876" s="12">
        <v>55000000</v>
      </c>
      <c r="C876" s="12">
        <v>78745923</v>
      </c>
      <c r="D876" s="12">
        <v>1998</v>
      </c>
      <c r="E876" s="12" t="str">
        <f>VLOOKUP(A876, Currency!$A$2:$B$100, 2, FALSE)</f>
        <v>EUR</v>
      </c>
      <c r="F876" s="12">
        <f ca="1">IFERROR(__xludf.DUMMYFUNCTION("IF(E876=""USD"",B876,B876 * GOOGLEFINANCE(""CURRENCY:"" &amp; E876 &amp; ""USD""))
"),59660700)</f>
        <v>59660700</v>
      </c>
      <c r="G876" s="13">
        <f ca="1">IFERROR(__xludf.DUMMYFUNCTION("IF(E876=""USD"",C876,C876 * GOOGLEFINANCE(""CURRENCY:"" &amp; E876 &amp; ""USD""))
"),85418852.51502)</f>
        <v>85418852.515019998</v>
      </c>
    </row>
    <row r="877" spans="1:7" ht="15.75" customHeight="1" x14ac:dyDescent="0.25">
      <c r="A877" s="14" t="s">
        <v>3280</v>
      </c>
      <c r="B877" s="15">
        <v>15000000</v>
      </c>
      <c r="C877" s="15">
        <v>128067808</v>
      </c>
      <c r="D877" s="15">
        <v>2000</v>
      </c>
      <c r="E877" s="15" t="str">
        <f>VLOOKUP(A877, Currency!$A$2:$B$100, 2, FALSE)</f>
        <v>TWD</v>
      </c>
      <c r="F877" s="15">
        <f ca="1">IFERROR(__xludf.DUMMYFUNCTION("IF(E877=""USD"",B877,B877 * GOOGLEFINANCE(""CURRENCY:"" &amp; E877 &amp; ""USD""))
"),458184.6)</f>
        <v>458184.6</v>
      </c>
      <c r="G877" s="16">
        <f ca="1">IFERROR(__xludf.DUMMYFUNCTION("IF(E877=""USD"",C877,C877 * GOOGLEFINANCE(""CURRENCY:"" &amp; E877 &amp; ""USD""))
"),3911913.15875712)</f>
        <v>3911913.1587571199</v>
      </c>
    </row>
    <row r="878" spans="1:7" ht="15.75" customHeight="1" x14ac:dyDescent="0.25">
      <c r="A878" s="11" t="s">
        <v>24</v>
      </c>
      <c r="B878" s="12">
        <v>26000000</v>
      </c>
      <c r="C878" s="12">
        <v>109243478</v>
      </c>
      <c r="D878" s="12">
        <v>2005</v>
      </c>
      <c r="E878" s="12" t="str">
        <f>VLOOKUP(A878, Currency!$A$2:$B$100, 2, FALSE)</f>
        <v>USD</v>
      </c>
      <c r="F878" s="12">
        <f ca="1">IFERROR(__xludf.DUMMYFUNCTION("IF(E878=""USD"",B878,B878 * GOOGLEFINANCE(""CURRENCY:"" &amp; E878 &amp; ""USD""))
"),26000000)</f>
        <v>26000000</v>
      </c>
      <c r="G878" s="13">
        <f ca="1">IFERROR(__xludf.DUMMYFUNCTION("IF(E878=""USD"",C878,C878 * GOOGLEFINANCE(""CURRENCY:"" &amp; E878 &amp; ""USD""))
"),109243478)</f>
        <v>109243478</v>
      </c>
    </row>
    <row r="879" spans="1:7" ht="15.75" customHeight="1" x14ac:dyDescent="0.25">
      <c r="A879" s="14" t="s">
        <v>24</v>
      </c>
      <c r="B879" s="15">
        <v>500000</v>
      </c>
      <c r="C879" s="15">
        <v>133778</v>
      </c>
      <c r="D879" s="15">
        <v>2012</v>
      </c>
      <c r="E879" s="15" t="str">
        <f>VLOOKUP(A879, Currency!$A$2:$B$100, 2, FALSE)</f>
        <v>USD</v>
      </c>
      <c r="F879" s="15">
        <f ca="1">IFERROR(__xludf.DUMMYFUNCTION("IF(E879=""USD"",B879,B879 * GOOGLEFINANCE(""CURRENCY:"" &amp; E879 &amp; ""USD""))
"),500000)</f>
        <v>500000</v>
      </c>
      <c r="G879" s="16">
        <f ca="1">IFERROR(__xludf.DUMMYFUNCTION("IF(E879=""USD"",C879,C879 * GOOGLEFINANCE(""CURRENCY:"" &amp; E879 &amp; ""USD""))
"),133778)</f>
        <v>133778</v>
      </c>
    </row>
    <row r="880" spans="1:7" ht="15.75" customHeight="1" x14ac:dyDescent="0.25">
      <c r="A880" s="11" t="s">
        <v>24</v>
      </c>
      <c r="B880" s="12">
        <v>45000000</v>
      </c>
      <c r="C880" s="12">
        <v>8129455</v>
      </c>
      <c r="D880" s="12">
        <v>2011</v>
      </c>
      <c r="E880" s="12" t="str">
        <f>VLOOKUP(A880, Currency!$A$2:$B$100, 2, FALSE)</f>
        <v>USD</v>
      </c>
      <c r="F880" s="12">
        <f ca="1">IFERROR(__xludf.DUMMYFUNCTION("IF(E880=""USD"",B880,B880 * GOOGLEFINANCE(""CURRENCY:"" &amp; E880 &amp; ""USD""))
"),45000000)</f>
        <v>45000000</v>
      </c>
      <c r="G880" s="13">
        <f ca="1">IFERROR(__xludf.DUMMYFUNCTION("IF(E880=""USD"",C880,C880 * GOOGLEFINANCE(""CURRENCY:"" &amp; E880 &amp; ""USD""))
"),8129455)</f>
        <v>8129455</v>
      </c>
    </row>
    <row r="881" spans="1:7" ht="15.75" customHeight="1" x14ac:dyDescent="0.25">
      <c r="A881" s="14" t="s">
        <v>24</v>
      </c>
      <c r="B881" s="15">
        <v>26000000</v>
      </c>
      <c r="C881" s="15">
        <v>28501651</v>
      </c>
      <c r="D881" s="15">
        <v>2009</v>
      </c>
      <c r="E881" s="15" t="str">
        <f>VLOOKUP(A881, Currency!$A$2:$B$100, 2, FALSE)</f>
        <v>USD</v>
      </c>
      <c r="F881" s="15">
        <f ca="1">IFERROR(__xludf.DUMMYFUNCTION("IF(E881=""USD"",B881,B881 * GOOGLEFINANCE(""CURRENCY:"" &amp; E881 &amp; ""USD""))
"),26000000)</f>
        <v>26000000</v>
      </c>
      <c r="G881" s="16">
        <f ca="1">IFERROR(__xludf.DUMMYFUNCTION("IF(E881=""USD"",C881,C881 * GOOGLEFINANCE(""CURRENCY:"" &amp; E881 &amp; ""USD""))
"),28501651)</f>
        <v>28501651</v>
      </c>
    </row>
    <row r="882" spans="1:7" ht="15.75" customHeight="1" x14ac:dyDescent="0.25">
      <c r="A882" s="11" t="s">
        <v>24</v>
      </c>
      <c r="B882" s="12">
        <v>85000000</v>
      </c>
      <c r="C882" s="12">
        <v>32694788</v>
      </c>
      <c r="D882" s="12">
        <v>1999</v>
      </c>
      <c r="E882" s="12" t="str">
        <f>VLOOKUP(A882, Currency!$A$2:$B$100, 2, FALSE)</f>
        <v>USD</v>
      </c>
      <c r="F882" s="12">
        <f ca="1">IFERROR(__xludf.DUMMYFUNCTION("IF(E882=""USD"",B882,B882 * GOOGLEFINANCE(""CURRENCY:"" &amp; E882 &amp; ""USD""))
"),85000000)</f>
        <v>85000000</v>
      </c>
      <c r="G882" s="13">
        <f ca="1">IFERROR(__xludf.DUMMYFUNCTION("IF(E882=""USD"",C882,C882 * GOOGLEFINANCE(""CURRENCY:"" &amp; E882 &amp; ""USD""))
"),32694788)</f>
        <v>32694788</v>
      </c>
    </row>
    <row r="883" spans="1:7" ht="15.75" customHeight="1" x14ac:dyDescent="0.25">
      <c r="A883" s="14" t="s">
        <v>24</v>
      </c>
      <c r="B883" s="15">
        <v>13000000</v>
      </c>
      <c r="C883" s="15">
        <v>44134898</v>
      </c>
      <c r="D883" s="15">
        <v>2014</v>
      </c>
      <c r="E883" s="15" t="str">
        <f>VLOOKUP(A883, Currency!$A$2:$B$100, 2, FALSE)</f>
        <v>USD</v>
      </c>
      <c r="F883" s="15">
        <f ca="1">IFERROR(__xludf.DUMMYFUNCTION("IF(E883=""USD"",B883,B883 * GOOGLEFINANCE(""CURRENCY:"" &amp; E883 &amp; ""USD""))
"),13000000)</f>
        <v>13000000</v>
      </c>
      <c r="G883" s="16">
        <f ca="1">IFERROR(__xludf.DUMMYFUNCTION("IF(E883=""USD"",C883,C883 * GOOGLEFINANCE(""CURRENCY:"" &amp; E883 &amp; ""USD""))
"),44134898)</f>
        <v>44134898</v>
      </c>
    </row>
    <row r="884" spans="1:7" ht="15.75" customHeight="1" x14ac:dyDescent="0.25">
      <c r="A884" s="11" t="s">
        <v>24</v>
      </c>
      <c r="B884" s="12">
        <v>38000000</v>
      </c>
      <c r="C884" s="12">
        <v>623374</v>
      </c>
      <c r="D884" s="12">
        <v>2001</v>
      </c>
      <c r="E884" s="12" t="str">
        <f>VLOOKUP(A884, Currency!$A$2:$B$100, 2, FALSE)</f>
        <v>USD</v>
      </c>
      <c r="F884" s="12">
        <f ca="1">IFERROR(__xludf.DUMMYFUNCTION("IF(E884=""USD"",B884,B884 * GOOGLEFINANCE(""CURRENCY:"" &amp; E884 &amp; ""USD""))
"),38000000)</f>
        <v>38000000</v>
      </c>
      <c r="G884" s="13">
        <f ca="1">IFERROR(__xludf.DUMMYFUNCTION("IF(E884=""USD"",C884,C884 * GOOGLEFINANCE(""CURRENCY:"" &amp; E884 &amp; ""USD""))
"),623374)</f>
        <v>623374</v>
      </c>
    </row>
    <row r="885" spans="1:7" ht="15.75" customHeight="1" x14ac:dyDescent="0.25">
      <c r="A885" s="14" t="s">
        <v>24</v>
      </c>
      <c r="B885" s="15">
        <v>15000000</v>
      </c>
      <c r="C885" s="15">
        <v>103001286</v>
      </c>
      <c r="D885" s="15">
        <v>1996</v>
      </c>
      <c r="E885" s="15" t="str">
        <f>VLOOKUP(A885, Currency!$A$2:$B$100, 2, FALSE)</f>
        <v>USD</v>
      </c>
      <c r="F885" s="15">
        <f ca="1">IFERROR(__xludf.DUMMYFUNCTION("IF(E885=""USD"",B885,B885 * GOOGLEFINANCE(""CURRENCY:"" &amp; E885 &amp; ""USD""))
"),15000000)</f>
        <v>15000000</v>
      </c>
      <c r="G885" s="16">
        <f ca="1">IFERROR(__xludf.DUMMYFUNCTION("IF(E885=""USD"",C885,C885 * GOOGLEFINANCE(""CURRENCY:"" &amp; E885 &amp; ""USD""))
"),103001286)</f>
        <v>103001286</v>
      </c>
    </row>
    <row r="886" spans="1:7" ht="15.75" customHeight="1" x14ac:dyDescent="0.25">
      <c r="A886" s="11" t="s">
        <v>133</v>
      </c>
      <c r="B886" s="12">
        <v>45000000</v>
      </c>
      <c r="C886" s="12">
        <v>106793915</v>
      </c>
      <c r="D886" s="12">
        <v>2000</v>
      </c>
      <c r="E886" s="12" t="str">
        <f>VLOOKUP(A886, Currency!$A$2:$B$100, 2, FALSE)</f>
        <v>GBP</v>
      </c>
      <c r="F886" s="12">
        <f ca="1">IFERROR(__xludf.DUMMYFUNCTION("IF(E886=""USD"",B886,B886 * GOOGLEFINANCE(""CURRENCY:"" &amp; E886 &amp; ""USD""))
"),57842999.9999999)</f>
        <v>57842999.999999903</v>
      </c>
      <c r="G886" s="13">
        <f ca="1">IFERROR(__xludf.DUMMYFUNCTION("IF(E886=""USD"",C886,C886 * GOOGLEFINANCE(""CURRENCY:"" &amp; E886 &amp; ""USD""))
"),137272898.341)</f>
        <v>137272898.34099999</v>
      </c>
    </row>
    <row r="887" spans="1:7" ht="15.75" customHeight="1" x14ac:dyDescent="0.25">
      <c r="A887" s="14" t="s">
        <v>24</v>
      </c>
      <c r="B887" s="15">
        <v>58000000</v>
      </c>
      <c r="C887" s="15">
        <v>80021740</v>
      </c>
      <c r="D887" s="15">
        <v>2015</v>
      </c>
      <c r="E887" s="15" t="str">
        <f>VLOOKUP(A887, Currency!$A$2:$B$100, 2, FALSE)</f>
        <v>USD</v>
      </c>
      <c r="F887" s="15">
        <f ca="1">IFERROR(__xludf.DUMMYFUNCTION("IF(E887=""USD"",B887,B887 * GOOGLEFINANCE(""CURRENCY:"" &amp; E887 &amp; ""USD""))
"),58000000)</f>
        <v>58000000</v>
      </c>
      <c r="G887" s="16">
        <f ca="1">IFERROR(__xludf.DUMMYFUNCTION("IF(E887=""USD"",C887,C887 * GOOGLEFINANCE(""CURRENCY:"" &amp; E887 &amp; ""USD""))
"),80021740)</f>
        <v>80021740</v>
      </c>
    </row>
    <row r="888" spans="1:7" ht="15.75" customHeight="1" x14ac:dyDescent="0.25">
      <c r="A888" s="11" t="s">
        <v>24</v>
      </c>
      <c r="B888" s="12">
        <v>30000000</v>
      </c>
      <c r="C888" s="12">
        <v>30513940</v>
      </c>
      <c r="D888" s="12">
        <v>2014</v>
      </c>
      <c r="E888" s="12" t="str">
        <f>VLOOKUP(A888, Currency!$A$2:$B$100, 2, FALSE)</f>
        <v>USD</v>
      </c>
      <c r="F888" s="12">
        <f ca="1">IFERROR(__xludf.DUMMYFUNCTION("IF(E888=""USD"",B888,B888 * GOOGLEFINANCE(""CURRENCY:"" &amp; E888 &amp; ""USD""))
"),30000000)</f>
        <v>30000000</v>
      </c>
      <c r="G888" s="13">
        <f ca="1">IFERROR(__xludf.DUMMYFUNCTION("IF(E888=""USD"",C888,C888 * GOOGLEFINANCE(""CURRENCY:"" &amp; E888 &amp; ""USD""))
"),30513940)</f>
        <v>30513940</v>
      </c>
    </row>
    <row r="889" spans="1:7" ht="15.75" customHeight="1" x14ac:dyDescent="0.25">
      <c r="A889" s="14" t="s">
        <v>674</v>
      </c>
      <c r="B889" s="15">
        <v>1000000</v>
      </c>
      <c r="C889" s="15">
        <v>610991</v>
      </c>
      <c r="D889" s="15">
        <v>2000</v>
      </c>
      <c r="E889" s="15" t="str">
        <f>VLOOKUP(A889, Currency!$A$2:$B$100, 2, FALSE)</f>
        <v>INR</v>
      </c>
      <c r="F889" s="15">
        <f ca="1">IFERROR(__xludf.DUMMYFUNCTION("IF(E889=""USD"",B889,B889 * GOOGLEFINANCE(""CURRENCY:"" &amp; E889 &amp; ""USD""))
"),11941.46)</f>
        <v>11941.46</v>
      </c>
      <c r="G889" s="16">
        <f ca="1">IFERROR(__xludf.DUMMYFUNCTION("IF(E889=""USD"",C889,C889 * GOOGLEFINANCE(""CURRENCY:"" &amp; E889 &amp; ""USD""))
"),7296.12458686)</f>
        <v>7296.1245868599999</v>
      </c>
    </row>
    <row r="890" spans="1:7" ht="15.75" customHeight="1" x14ac:dyDescent="0.25">
      <c r="A890" s="11" t="s">
        <v>24</v>
      </c>
      <c r="B890" s="12">
        <v>5000000</v>
      </c>
      <c r="C890" s="12">
        <v>104007828</v>
      </c>
      <c r="D890" s="12">
        <v>2011</v>
      </c>
      <c r="E890" s="12" t="str">
        <f>VLOOKUP(A890, Currency!$A$2:$B$100, 2, FALSE)</f>
        <v>USD</v>
      </c>
      <c r="F890" s="12">
        <f ca="1">IFERROR(__xludf.DUMMYFUNCTION("IF(E890=""USD"",B890,B890 * GOOGLEFINANCE(""CURRENCY:"" &amp; E890 &amp; ""USD""))
"),5000000)</f>
        <v>5000000</v>
      </c>
      <c r="G890" s="13">
        <f ca="1">IFERROR(__xludf.DUMMYFUNCTION("IF(E890=""USD"",C890,C890 * GOOGLEFINANCE(""CURRENCY:"" &amp; E890 &amp; ""USD""))
"),104007828)</f>
        <v>104007828</v>
      </c>
    </row>
    <row r="891" spans="1:7" ht="15.75" customHeight="1" x14ac:dyDescent="0.25">
      <c r="A891" s="14" t="s">
        <v>24</v>
      </c>
      <c r="B891" s="15">
        <v>75000000</v>
      </c>
      <c r="C891" s="15">
        <v>97360069</v>
      </c>
      <c r="D891" s="15">
        <v>1999</v>
      </c>
      <c r="E891" s="15" t="str">
        <f>VLOOKUP(A891, Currency!$A$2:$B$100, 2, FALSE)</f>
        <v>USD</v>
      </c>
      <c r="F891" s="15">
        <f ca="1">IFERROR(__xludf.DUMMYFUNCTION("IF(E891=""USD"",B891,B891 * GOOGLEFINANCE(""CURRENCY:"" &amp; E891 &amp; ""USD""))
"),75000000)</f>
        <v>75000000</v>
      </c>
      <c r="G891" s="16">
        <f ca="1">IFERROR(__xludf.DUMMYFUNCTION("IF(E891=""USD"",C891,C891 * GOOGLEFINANCE(""CURRENCY:"" &amp; E891 &amp; ""USD""))
"),97360069)</f>
        <v>97360069</v>
      </c>
    </row>
    <row r="892" spans="1:7" ht="15.75" customHeight="1" x14ac:dyDescent="0.25">
      <c r="A892" s="11" t="s">
        <v>24</v>
      </c>
      <c r="B892" s="12">
        <v>8000000</v>
      </c>
      <c r="C892" s="12">
        <v>17278980</v>
      </c>
      <c r="D892" s="12">
        <v>1998</v>
      </c>
      <c r="E892" s="12" t="str">
        <f>VLOOKUP(A892, Currency!$A$2:$B$100, 2, FALSE)</f>
        <v>USD</v>
      </c>
      <c r="F892" s="12">
        <f ca="1">IFERROR(__xludf.DUMMYFUNCTION("IF(E892=""USD"",B892,B892 * GOOGLEFINANCE(""CURRENCY:"" &amp; E892 &amp; ""USD""))
"),8000000)</f>
        <v>8000000</v>
      </c>
      <c r="G892" s="13">
        <f ca="1">IFERROR(__xludf.DUMMYFUNCTION("IF(E892=""USD"",C892,C892 * GOOGLEFINANCE(""CURRENCY:"" &amp; E892 &amp; ""USD""))
"),17278980)</f>
        <v>17278980</v>
      </c>
    </row>
    <row r="893" spans="1:7" ht="15.75" customHeight="1" x14ac:dyDescent="0.25">
      <c r="A893" s="14" t="s">
        <v>24</v>
      </c>
      <c r="B893" s="15">
        <v>55000000</v>
      </c>
      <c r="C893" s="15">
        <v>55747724</v>
      </c>
      <c r="D893" s="15">
        <v>2013</v>
      </c>
      <c r="E893" s="15" t="str">
        <f>VLOOKUP(A893, Currency!$A$2:$B$100, 2, FALSE)</f>
        <v>USD</v>
      </c>
      <c r="F893" s="15">
        <f ca="1">IFERROR(__xludf.DUMMYFUNCTION("IF(E893=""USD"",B893,B893 * GOOGLEFINANCE(""CURRENCY:"" &amp; E893 &amp; ""USD""))
"),55000000)</f>
        <v>55000000</v>
      </c>
      <c r="G893" s="16">
        <f ca="1">IFERROR(__xludf.DUMMYFUNCTION("IF(E893=""USD"",C893,C893 * GOOGLEFINANCE(""CURRENCY:"" &amp; E893 &amp; ""USD""))
"),55747724)</f>
        <v>55747724</v>
      </c>
    </row>
    <row r="894" spans="1:7" ht="15.75" customHeight="1" x14ac:dyDescent="0.25">
      <c r="A894" s="11" t="s">
        <v>24</v>
      </c>
      <c r="B894" s="12">
        <v>2000000</v>
      </c>
      <c r="C894" s="12">
        <v>3885134</v>
      </c>
      <c r="D894" s="12">
        <v>2005</v>
      </c>
      <c r="E894" s="12" t="str">
        <f>VLOOKUP(A894, Currency!$A$2:$B$100, 2, FALSE)</f>
        <v>USD</v>
      </c>
      <c r="F894" s="12">
        <f ca="1">IFERROR(__xludf.DUMMYFUNCTION("IF(E894=""USD"",B894,B894 * GOOGLEFINANCE(""CURRENCY:"" &amp; E894 &amp; ""USD""))
"),2000000)</f>
        <v>2000000</v>
      </c>
      <c r="G894" s="13">
        <f ca="1">IFERROR(__xludf.DUMMYFUNCTION("IF(E894=""USD"",C894,C894 * GOOGLEFINANCE(""CURRENCY:"" &amp; E894 &amp; ""USD""))
"),3885134)</f>
        <v>3885134</v>
      </c>
    </row>
    <row r="895" spans="1:7" ht="15.75" customHeight="1" x14ac:dyDescent="0.25">
      <c r="A895" s="14" t="s">
        <v>24</v>
      </c>
      <c r="B895" s="15">
        <v>40000000</v>
      </c>
      <c r="C895" s="15">
        <v>20113965</v>
      </c>
      <c r="D895" s="15">
        <v>2012</v>
      </c>
      <c r="E895" s="15" t="str">
        <f>VLOOKUP(A895, Currency!$A$2:$B$100, 2, FALSE)</f>
        <v>USD</v>
      </c>
      <c r="F895" s="15">
        <f ca="1">IFERROR(__xludf.DUMMYFUNCTION("IF(E895=""USD"",B895,B895 * GOOGLEFINANCE(""CURRENCY:"" &amp; E895 &amp; ""USD""))
"),40000000)</f>
        <v>40000000</v>
      </c>
      <c r="G895" s="16">
        <f ca="1">IFERROR(__xludf.DUMMYFUNCTION("IF(E895=""USD"",C895,C895 * GOOGLEFINANCE(""CURRENCY:"" &amp; E895 &amp; ""USD""))
"),20113965)</f>
        <v>20113965</v>
      </c>
    </row>
    <row r="896" spans="1:7" ht="15.75" customHeight="1" x14ac:dyDescent="0.25">
      <c r="A896" s="11" t="s">
        <v>24</v>
      </c>
      <c r="B896" s="12">
        <v>10000000</v>
      </c>
      <c r="C896" s="12">
        <v>33000000</v>
      </c>
      <c r="D896" s="12">
        <v>1985</v>
      </c>
      <c r="E896" s="12" t="str">
        <f>VLOOKUP(A896, Currency!$A$2:$B$100, 2, FALSE)</f>
        <v>USD</v>
      </c>
      <c r="F896" s="12">
        <f ca="1">IFERROR(__xludf.DUMMYFUNCTION("IF(E896=""USD"",B896,B896 * GOOGLEFINANCE(""CURRENCY:"" &amp; E896 &amp; ""USD""))
"),10000000)</f>
        <v>10000000</v>
      </c>
      <c r="G896" s="13">
        <f ca="1">IFERROR(__xludf.DUMMYFUNCTION("IF(E896=""USD"",C896,C896 * GOOGLEFINANCE(""CURRENCY:"" &amp; E896 &amp; ""USD""))
"),33000000)</f>
        <v>33000000</v>
      </c>
    </row>
    <row r="897" spans="1:7" ht="15.75" customHeight="1" x14ac:dyDescent="0.25">
      <c r="A897" s="14" t="s">
        <v>24</v>
      </c>
      <c r="B897" s="15">
        <v>63000000</v>
      </c>
      <c r="C897" s="15">
        <v>25052000</v>
      </c>
      <c r="D897" s="15">
        <v>1994</v>
      </c>
      <c r="E897" s="15" t="str">
        <f>VLOOKUP(A897, Currency!$A$2:$B$100, 2, FALSE)</f>
        <v>USD</v>
      </c>
      <c r="F897" s="15">
        <f ca="1">IFERROR(__xludf.DUMMYFUNCTION("IF(E897=""USD"",B897,B897 * GOOGLEFINANCE(""CURRENCY:"" &amp; E897 &amp; ""USD""))
"),63000000)</f>
        <v>63000000</v>
      </c>
      <c r="G897" s="16">
        <f ca="1">IFERROR(__xludf.DUMMYFUNCTION("IF(E897=""USD"",C897,C897 * GOOGLEFINANCE(""CURRENCY:"" &amp; E897 &amp; ""USD""))
"),25052000)</f>
        <v>25052000</v>
      </c>
    </row>
    <row r="898" spans="1:7" ht="15.75" customHeight="1" x14ac:dyDescent="0.25">
      <c r="A898" s="11" t="s">
        <v>24</v>
      </c>
      <c r="B898" s="12">
        <v>5000000</v>
      </c>
      <c r="C898" s="12">
        <v>24138847</v>
      </c>
      <c r="D898" s="12">
        <v>2006</v>
      </c>
      <c r="E898" s="12" t="str">
        <f>VLOOKUP(A898, Currency!$A$2:$B$100, 2, FALSE)</f>
        <v>USD</v>
      </c>
      <c r="F898" s="12">
        <f ca="1">IFERROR(__xludf.DUMMYFUNCTION("IF(E898=""USD"",B898,B898 * GOOGLEFINANCE(""CURRENCY:"" &amp; E898 &amp; ""USD""))
"),5000000)</f>
        <v>5000000</v>
      </c>
      <c r="G898" s="13">
        <f ca="1">IFERROR(__xludf.DUMMYFUNCTION("IF(E898=""USD"",C898,C898 * GOOGLEFINANCE(""CURRENCY:"" &amp; E898 &amp; ""USD""))
"),24138847)</f>
        <v>24138847</v>
      </c>
    </row>
    <row r="899" spans="1:7" ht="15.75" customHeight="1" x14ac:dyDescent="0.25">
      <c r="A899" s="14" t="s">
        <v>24</v>
      </c>
      <c r="B899" s="15">
        <v>40000</v>
      </c>
      <c r="C899" s="15">
        <v>277233</v>
      </c>
      <c r="D899" s="15">
        <v>1999</v>
      </c>
      <c r="E899" s="15" t="str">
        <f>VLOOKUP(A899, Currency!$A$2:$B$100, 2, FALSE)</f>
        <v>USD</v>
      </c>
      <c r="F899" s="15">
        <f ca="1">IFERROR(__xludf.DUMMYFUNCTION("IF(E899=""USD"",B899,B899 * GOOGLEFINANCE(""CURRENCY:"" &amp; E899 &amp; ""USD""))
"),40000)</f>
        <v>40000</v>
      </c>
      <c r="G899" s="16">
        <f ca="1">IFERROR(__xludf.DUMMYFUNCTION("IF(E899=""USD"",C899,C899 * GOOGLEFINANCE(""CURRENCY:"" &amp; E899 &amp; ""USD""))
"),277233)</f>
        <v>277233</v>
      </c>
    </row>
    <row r="900" spans="1:7" ht="15.75" customHeight="1" x14ac:dyDescent="0.25">
      <c r="A900" s="11" t="s">
        <v>24</v>
      </c>
      <c r="B900" s="12">
        <v>750000</v>
      </c>
      <c r="C900" s="12">
        <v>47329</v>
      </c>
      <c r="D900" s="12">
        <v>2002</v>
      </c>
      <c r="E900" s="12" t="str">
        <f>VLOOKUP(A900, Currency!$A$2:$B$100, 2, FALSE)</f>
        <v>USD</v>
      </c>
      <c r="F900" s="12">
        <f ca="1">IFERROR(__xludf.DUMMYFUNCTION("IF(E900=""USD"",B900,B900 * GOOGLEFINANCE(""CURRENCY:"" &amp; E900 &amp; ""USD""))
"),750000)</f>
        <v>750000</v>
      </c>
      <c r="G900" s="13">
        <f ca="1">IFERROR(__xludf.DUMMYFUNCTION("IF(E900=""USD"",C900,C900 * GOOGLEFINANCE(""CURRENCY:"" &amp; E900 &amp; ""USD""))
"),47329)</f>
        <v>47329</v>
      </c>
    </row>
    <row r="901" spans="1:7" ht="15.75" customHeight="1" x14ac:dyDescent="0.25">
      <c r="A901" s="14" t="s">
        <v>24</v>
      </c>
      <c r="B901" s="15">
        <v>44000000</v>
      </c>
      <c r="C901" s="15">
        <v>54116191</v>
      </c>
      <c r="D901" s="15">
        <v>2015</v>
      </c>
      <c r="E901" s="15" t="str">
        <f>VLOOKUP(A901, Currency!$A$2:$B$100, 2, FALSE)</f>
        <v>USD</v>
      </c>
      <c r="F901" s="15">
        <f ca="1">IFERROR(__xludf.DUMMYFUNCTION("IF(E901=""USD"",B901,B901 * GOOGLEFINANCE(""CURRENCY:"" &amp; E901 &amp; ""USD""))
"),44000000)</f>
        <v>44000000</v>
      </c>
      <c r="G901" s="16">
        <f ca="1">IFERROR(__xludf.DUMMYFUNCTION("IF(E901=""USD"",C901,C901 * GOOGLEFINANCE(""CURRENCY:"" &amp; E901 &amp; ""USD""))
"),54116191)</f>
        <v>54116191</v>
      </c>
    </row>
    <row r="902" spans="1:7" ht="15.75" customHeight="1" x14ac:dyDescent="0.25">
      <c r="A902" s="11" t="s">
        <v>24</v>
      </c>
      <c r="B902" s="12">
        <v>25000000</v>
      </c>
      <c r="C902" s="12">
        <v>11538204</v>
      </c>
      <c r="D902" s="12">
        <v>2010</v>
      </c>
      <c r="E902" s="12" t="str">
        <f>VLOOKUP(A902, Currency!$A$2:$B$100, 2, FALSE)</f>
        <v>USD</v>
      </c>
      <c r="F902" s="12">
        <f ca="1">IFERROR(__xludf.DUMMYFUNCTION("IF(E902=""USD"",B902,B902 * GOOGLEFINANCE(""CURRENCY:"" &amp; E902 &amp; ""USD""))
"),25000000)</f>
        <v>25000000</v>
      </c>
      <c r="G902" s="13">
        <f ca="1">IFERROR(__xludf.DUMMYFUNCTION("IF(E902=""USD"",C902,C902 * GOOGLEFINANCE(""CURRENCY:"" &amp; E902 &amp; ""USD""))
"),11538204)</f>
        <v>11538204</v>
      </c>
    </row>
    <row r="903" spans="1:7" ht="15.75" customHeight="1" x14ac:dyDescent="0.25">
      <c r="A903" s="14" t="s">
        <v>24</v>
      </c>
      <c r="B903" s="15">
        <v>50000000</v>
      </c>
      <c r="C903" s="15">
        <v>67823573</v>
      </c>
      <c r="D903" s="15">
        <v>1995</v>
      </c>
      <c r="E903" s="15" t="str">
        <f>VLOOKUP(A903, Currency!$A$2:$B$100, 2, FALSE)</f>
        <v>USD</v>
      </c>
      <c r="F903" s="15">
        <f ca="1">IFERROR(__xludf.DUMMYFUNCTION("IF(E903=""USD"",B903,B903 * GOOGLEFINANCE(""CURRENCY:"" &amp; E903 &amp; ""USD""))
"),50000000)</f>
        <v>50000000</v>
      </c>
      <c r="G903" s="16">
        <f ca="1">IFERROR(__xludf.DUMMYFUNCTION("IF(E903=""USD"",C903,C903 * GOOGLEFINANCE(""CURRENCY:"" &amp; E903 &amp; ""USD""))
"),67823573)</f>
        <v>67823573</v>
      </c>
    </row>
    <row r="904" spans="1:7" ht="15.75" customHeight="1" x14ac:dyDescent="0.25">
      <c r="A904" s="11" t="s">
        <v>24</v>
      </c>
      <c r="B904" s="12">
        <v>17000000</v>
      </c>
      <c r="C904" s="12">
        <v>9286314</v>
      </c>
      <c r="D904" s="12">
        <v>1991</v>
      </c>
      <c r="E904" s="12" t="str">
        <f>VLOOKUP(A904, Currency!$A$2:$B$100, 2, FALSE)</f>
        <v>USD</v>
      </c>
      <c r="F904" s="12">
        <f ca="1">IFERROR(__xludf.DUMMYFUNCTION("IF(E904=""USD"",B904,B904 * GOOGLEFINANCE(""CURRENCY:"" &amp; E904 &amp; ""USD""))
"),17000000)</f>
        <v>17000000</v>
      </c>
      <c r="G904" s="13">
        <f ca="1">IFERROR(__xludf.DUMMYFUNCTION("IF(E904=""USD"",C904,C904 * GOOGLEFINANCE(""CURRENCY:"" &amp; E904 &amp; ""USD""))
"),9286314)</f>
        <v>9286314</v>
      </c>
    </row>
    <row r="905" spans="1:7" ht="15.75" customHeight="1" x14ac:dyDescent="0.25">
      <c r="A905" s="14" t="s">
        <v>24</v>
      </c>
      <c r="B905" s="15">
        <v>70000000</v>
      </c>
      <c r="C905" s="15">
        <v>13596911</v>
      </c>
      <c r="D905" s="15">
        <v>2001</v>
      </c>
      <c r="E905" s="15" t="str">
        <f>VLOOKUP(A905, Currency!$A$2:$B$100, 2, FALSE)</f>
        <v>USD</v>
      </c>
      <c r="F905" s="15">
        <f ca="1">IFERROR(__xludf.DUMMYFUNCTION("IF(E905=""USD"",B905,B905 * GOOGLEFINANCE(""CURRENCY:"" &amp; E905 &amp; ""USD""))
"),70000000)</f>
        <v>70000000</v>
      </c>
      <c r="G905" s="16">
        <f ca="1">IFERROR(__xludf.DUMMYFUNCTION("IF(E905=""USD"",C905,C905 * GOOGLEFINANCE(""CURRENCY:"" &amp; E905 &amp; ""USD""))
"),13596911)</f>
        <v>13596911</v>
      </c>
    </row>
    <row r="906" spans="1:7" ht="15.75" customHeight="1" x14ac:dyDescent="0.25">
      <c r="A906" s="11" t="s">
        <v>24</v>
      </c>
      <c r="B906" s="12">
        <v>16000000</v>
      </c>
      <c r="C906" s="12">
        <v>13998282</v>
      </c>
      <c r="D906" s="12">
        <v>2014</v>
      </c>
      <c r="E906" s="12" t="str">
        <f>VLOOKUP(A906, Currency!$A$2:$B$100, 2, FALSE)</f>
        <v>USD</v>
      </c>
      <c r="F906" s="12">
        <f ca="1">IFERROR(__xludf.DUMMYFUNCTION("IF(E906=""USD"",B906,B906 * GOOGLEFINANCE(""CURRENCY:"" &amp; E906 &amp; ""USD""))
"),16000000)</f>
        <v>16000000</v>
      </c>
      <c r="G906" s="13">
        <f ca="1">IFERROR(__xludf.DUMMYFUNCTION("IF(E906=""USD"",C906,C906 * GOOGLEFINANCE(""CURRENCY:"" &amp; E906 &amp; ""USD""))
"),13998282)</f>
        <v>13998282</v>
      </c>
    </row>
    <row r="907" spans="1:7" ht="15.75" customHeight="1" x14ac:dyDescent="0.25">
      <c r="A907" s="14" t="s">
        <v>24</v>
      </c>
      <c r="B907" s="15">
        <v>40000000</v>
      </c>
      <c r="C907" s="15">
        <v>67061228</v>
      </c>
      <c r="D907" s="15">
        <v>2010</v>
      </c>
      <c r="E907" s="15" t="str">
        <f>VLOOKUP(A907, Currency!$A$2:$B$100, 2, FALSE)</f>
        <v>USD</v>
      </c>
      <c r="F907" s="15">
        <f ca="1">IFERROR(__xludf.DUMMYFUNCTION("IF(E907=""USD"",B907,B907 * GOOGLEFINANCE(""CURRENCY:"" &amp; E907 &amp; ""USD""))
"),40000000)</f>
        <v>40000000</v>
      </c>
      <c r="G907" s="16">
        <f ca="1">IFERROR(__xludf.DUMMYFUNCTION("IF(E907=""USD"",C907,C907 * GOOGLEFINANCE(""CURRENCY:"" &amp; E907 &amp; ""USD""))
"),67061228)</f>
        <v>67061228</v>
      </c>
    </row>
    <row r="908" spans="1:7" ht="15.75" customHeight="1" x14ac:dyDescent="0.25">
      <c r="A908" s="11" t="s">
        <v>24</v>
      </c>
      <c r="B908" s="12">
        <v>85000000</v>
      </c>
      <c r="C908" s="12">
        <v>75754670</v>
      </c>
      <c r="D908" s="12">
        <v>2008</v>
      </c>
      <c r="E908" s="12" t="str">
        <f>VLOOKUP(A908, Currency!$A$2:$B$100, 2, FALSE)</f>
        <v>USD</v>
      </c>
      <c r="F908" s="12">
        <f ca="1">IFERROR(__xludf.DUMMYFUNCTION("IF(E908=""USD"",B908,B908 * GOOGLEFINANCE(""CURRENCY:"" &amp; E908 &amp; ""USD""))
"),85000000)</f>
        <v>85000000</v>
      </c>
      <c r="G908" s="13">
        <f ca="1">IFERROR(__xludf.DUMMYFUNCTION("IF(E908=""USD"",C908,C908 * GOOGLEFINANCE(""CURRENCY:"" &amp; E908 &amp; ""USD""))
"),75754670)</f>
        <v>75754670</v>
      </c>
    </row>
    <row r="909" spans="1:7" ht="15.75" customHeight="1" x14ac:dyDescent="0.25">
      <c r="A909" s="14" t="s">
        <v>24</v>
      </c>
      <c r="B909" s="15">
        <v>14000000</v>
      </c>
      <c r="C909" s="15">
        <v>13640000</v>
      </c>
      <c r="D909" s="15">
        <v>1994</v>
      </c>
      <c r="E909" s="15" t="str">
        <f>VLOOKUP(A909, Currency!$A$2:$B$100, 2, FALSE)</f>
        <v>USD</v>
      </c>
      <c r="F909" s="15">
        <f ca="1">IFERROR(__xludf.DUMMYFUNCTION("IF(E909=""USD"",B909,B909 * GOOGLEFINANCE(""CURRENCY:"" &amp; E909 &amp; ""USD""))
"),14000000)</f>
        <v>14000000</v>
      </c>
      <c r="G909" s="16">
        <f ca="1">IFERROR(__xludf.DUMMYFUNCTION("IF(E909=""USD"",C909,C909 * GOOGLEFINANCE(""CURRENCY:"" &amp; E909 &amp; ""USD""))
"),13640000)</f>
        <v>13640000</v>
      </c>
    </row>
    <row r="910" spans="1:7" ht="15.75" customHeight="1" x14ac:dyDescent="0.25">
      <c r="A910" s="11" t="s">
        <v>24</v>
      </c>
      <c r="B910" s="12">
        <v>30000000</v>
      </c>
      <c r="C910" s="12">
        <v>60269340</v>
      </c>
      <c r="D910" s="12">
        <v>2008</v>
      </c>
      <c r="E910" s="12" t="str">
        <f>VLOOKUP(A910, Currency!$A$2:$B$100, 2, FALSE)</f>
        <v>USD</v>
      </c>
      <c r="F910" s="12">
        <f ca="1">IFERROR(__xludf.DUMMYFUNCTION("IF(E910=""USD"",B910,B910 * GOOGLEFINANCE(""CURRENCY:"" &amp; E910 &amp; ""USD""))
"),30000000)</f>
        <v>30000000</v>
      </c>
      <c r="G910" s="13">
        <f ca="1">IFERROR(__xludf.DUMMYFUNCTION("IF(E910=""USD"",C910,C910 * GOOGLEFINANCE(""CURRENCY:"" &amp; E910 &amp; ""USD""))
"),60269340)</f>
        <v>60269340</v>
      </c>
    </row>
    <row r="911" spans="1:7" ht="15.75" customHeight="1" x14ac:dyDescent="0.25">
      <c r="A911" s="14" t="s">
        <v>24</v>
      </c>
      <c r="B911" s="15">
        <v>38000000</v>
      </c>
      <c r="C911" s="15">
        <v>50668906</v>
      </c>
      <c r="D911" s="15">
        <v>1999</v>
      </c>
      <c r="E911" s="15" t="str">
        <f>VLOOKUP(A911, Currency!$A$2:$B$100, 2, FALSE)</f>
        <v>USD</v>
      </c>
      <c r="F911" s="15">
        <f ca="1">IFERROR(__xludf.DUMMYFUNCTION("IF(E911=""USD"",B911,B911 * GOOGLEFINANCE(""CURRENCY:"" &amp; E911 &amp; ""USD""))
"),38000000)</f>
        <v>38000000</v>
      </c>
      <c r="G911" s="16">
        <f ca="1">IFERROR(__xludf.DUMMYFUNCTION("IF(E911=""USD"",C911,C911 * GOOGLEFINANCE(""CURRENCY:"" &amp; E911 &amp; ""USD""))
"),50668906)</f>
        <v>50668906</v>
      </c>
    </row>
    <row r="912" spans="1:7" ht="15.75" customHeight="1" x14ac:dyDescent="0.25">
      <c r="A912" s="11" t="s">
        <v>133</v>
      </c>
      <c r="B912" s="12">
        <v>17000000</v>
      </c>
      <c r="C912" s="12">
        <v>2315683</v>
      </c>
      <c r="D912" s="12">
        <v>1986</v>
      </c>
      <c r="E912" s="12" t="str">
        <f>VLOOKUP(A912, Currency!$A$2:$B$100, 2, FALSE)</f>
        <v>GBP</v>
      </c>
      <c r="F912" s="12">
        <f ca="1">IFERROR(__xludf.DUMMYFUNCTION("IF(E912=""USD"",B912,B912 * GOOGLEFINANCE(""CURRENCY:"" &amp; E912 &amp; ""USD""))
"),21851799.9999999)</f>
        <v>21851799.999999899</v>
      </c>
      <c r="G912" s="13">
        <f ca="1">IFERROR(__xludf.DUMMYFUNCTION("IF(E912=""USD"",C912,C912 * GOOGLEFINANCE(""CURRENCY:"" &amp; E912 &amp; ""USD""))
"),2976578.92819999)</f>
        <v>2976578.9281999902</v>
      </c>
    </row>
    <row r="913" spans="1:7" ht="15.75" customHeight="1" x14ac:dyDescent="0.25">
      <c r="A913" s="14" t="s">
        <v>24</v>
      </c>
      <c r="B913" s="15">
        <v>75000000</v>
      </c>
      <c r="C913" s="15">
        <v>306124059</v>
      </c>
      <c r="D913" s="15">
        <v>1996</v>
      </c>
      <c r="E913" s="15" t="str">
        <f>VLOOKUP(A913, Currency!$A$2:$B$100, 2, FALSE)</f>
        <v>USD</v>
      </c>
      <c r="F913" s="15">
        <f ca="1">IFERROR(__xludf.DUMMYFUNCTION("IF(E913=""USD"",B913,B913 * GOOGLEFINANCE(""CURRENCY:"" &amp; E913 &amp; ""USD""))
"),75000000)</f>
        <v>75000000</v>
      </c>
      <c r="G913" s="16">
        <f ca="1">IFERROR(__xludf.DUMMYFUNCTION("IF(E913=""USD"",C913,C913 * GOOGLEFINANCE(""CURRENCY:"" &amp; E913 &amp; ""USD""))
"),306124059)</f>
        <v>306124059</v>
      </c>
    </row>
    <row r="914" spans="1:7" ht="15.75" customHeight="1" x14ac:dyDescent="0.25">
      <c r="A914" s="11" t="s">
        <v>24</v>
      </c>
      <c r="B914" s="12">
        <v>15000000</v>
      </c>
      <c r="C914" s="12">
        <v>20998709</v>
      </c>
      <c r="D914" s="12">
        <v>2006</v>
      </c>
      <c r="E914" s="12" t="str">
        <f>VLOOKUP(A914, Currency!$A$2:$B$100, 2, FALSE)</f>
        <v>USD</v>
      </c>
      <c r="F914" s="12">
        <f ca="1">IFERROR(__xludf.DUMMYFUNCTION("IF(E914=""USD"",B914,B914 * GOOGLEFINANCE(""CURRENCY:"" &amp; E914 &amp; ""USD""))
"),15000000)</f>
        <v>15000000</v>
      </c>
      <c r="G914" s="13">
        <f ca="1">IFERROR(__xludf.DUMMYFUNCTION("IF(E914=""USD"",C914,C914 * GOOGLEFINANCE(""CURRENCY:"" &amp; E914 &amp; ""USD""))
"),20998709)</f>
        <v>20998709</v>
      </c>
    </row>
    <row r="915" spans="1:7" ht="15.75" customHeight="1" x14ac:dyDescent="0.25">
      <c r="A915" s="14" t="s">
        <v>24</v>
      </c>
      <c r="B915" s="15">
        <v>20000000</v>
      </c>
      <c r="C915" s="15">
        <v>18081626</v>
      </c>
      <c r="D915" s="15">
        <v>2005</v>
      </c>
      <c r="E915" s="15" t="str">
        <f>VLOOKUP(A915, Currency!$A$2:$B$100, 2, FALSE)</f>
        <v>USD</v>
      </c>
      <c r="F915" s="15">
        <f ca="1">IFERROR(__xludf.DUMMYFUNCTION("IF(E915=""USD"",B915,B915 * GOOGLEFINANCE(""CURRENCY:"" &amp; E915 &amp; ""USD""))
"),20000000)</f>
        <v>20000000</v>
      </c>
      <c r="G915" s="16">
        <f ca="1">IFERROR(__xludf.DUMMYFUNCTION("IF(E915=""USD"",C915,C915 * GOOGLEFINANCE(""CURRENCY:"" &amp; E915 &amp; ""USD""))
"),18081626)</f>
        <v>18081626</v>
      </c>
    </row>
    <row r="916" spans="1:7" ht="15.75" customHeight="1" x14ac:dyDescent="0.25">
      <c r="A916" s="11" t="s">
        <v>24</v>
      </c>
      <c r="B916" s="12">
        <v>50000000</v>
      </c>
      <c r="C916" s="12">
        <v>24127895</v>
      </c>
      <c r="D916" s="12">
        <v>2005</v>
      </c>
      <c r="E916" s="12" t="str">
        <f>VLOOKUP(A916, Currency!$A$2:$B$100, 2, FALSE)</f>
        <v>USD</v>
      </c>
      <c r="F916" s="12">
        <f ca="1">IFERROR(__xludf.DUMMYFUNCTION("IF(E916=""USD"",B916,B916 * GOOGLEFINANCE(""CURRENCY:"" &amp; E916 &amp; ""USD""))
"),50000000)</f>
        <v>50000000</v>
      </c>
      <c r="G916" s="13">
        <f ca="1">IFERROR(__xludf.DUMMYFUNCTION("IF(E916=""USD"",C916,C916 * GOOGLEFINANCE(""CURRENCY:"" &amp; E916 &amp; ""USD""))
"),24127895)</f>
        <v>24127895</v>
      </c>
    </row>
    <row r="917" spans="1:7" ht="15.75" customHeight="1" x14ac:dyDescent="0.25">
      <c r="A917" s="14" t="s">
        <v>24</v>
      </c>
      <c r="B917" s="15">
        <v>14000000</v>
      </c>
      <c r="C917" s="15">
        <v>25571351</v>
      </c>
      <c r="D917" s="15">
        <v>2002</v>
      </c>
      <c r="E917" s="15" t="str">
        <f>VLOOKUP(A917, Currency!$A$2:$B$100, 2, FALSE)</f>
        <v>USD</v>
      </c>
      <c r="F917" s="15">
        <f ca="1">IFERROR(__xludf.DUMMYFUNCTION("IF(E917=""USD"",B917,B917 * GOOGLEFINANCE(""CURRENCY:"" &amp; E917 &amp; ""USD""))
"),14000000)</f>
        <v>14000000</v>
      </c>
      <c r="G917" s="16">
        <f ca="1">IFERROR(__xludf.DUMMYFUNCTION("IF(E917=""USD"",C917,C917 * GOOGLEFINANCE(""CURRENCY:"" &amp; E917 &amp; ""USD""))
"),25571351)</f>
        <v>25571351</v>
      </c>
    </row>
    <row r="918" spans="1:7" ht="15.75" customHeight="1" x14ac:dyDescent="0.25">
      <c r="A918" s="11" t="s">
        <v>24</v>
      </c>
      <c r="B918" s="12">
        <v>15000000</v>
      </c>
      <c r="C918" s="12">
        <v>176781728</v>
      </c>
      <c r="D918" s="12">
        <v>1986</v>
      </c>
      <c r="E918" s="12" t="str">
        <f>VLOOKUP(A918, Currency!$A$2:$B$100, 2, FALSE)</f>
        <v>USD</v>
      </c>
      <c r="F918" s="12">
        <f ca="1">IFERROR(__xludf.DUMMYFUNCTION("IF(E918=""USD"",B918,B918 * GOOGLEFINANCE(""CURRENCY:"" &amp; E918 &amp; ""USD""))
"),15000000)</f>
        <v>15000000</v>
      </c>
      <c r="G918" s="13">
        <f ca="1">IFERROR(__xludf.DUMMYFUNCTION("IF(E918=""USD"",C918,C918 * GOOGLEFINANCE(""CURRENCY:"" &amp; E918 &amp; ""USD""))
"),176781728)</f>
        <v>176781728</v>
      </c>
    </row>
    <row r="919" spans="1:7" ht="15.75" customHeight="1" x14ac:dyDescent="0.25">
      <c r="A919" s="14" t="s">
        <v>133</v>
      </c>
      <c r="B919" s="15">
        <v>30000000</v>
      </c>
      <c r="C919" s="15">
        <v>61094903</v>
      </c>
      <c r="D919" s="15">
        <v>2011</v>
      </c>
      <c r="E919" s="15" t="str">
        <f>VLOOKUP(A919, Currency!$A$2:$B$100, 2, FALSE)</f>
        <v>GBP</v>
      </c>
      <c r="F919" s="15">
        <f ca="1">IFERROR(__xludf.DUMMYFUNCTION("IF(E919=""USD"",B919,B919 * GOOGLEFINANCE(""CURRENCY:"" &amp; E919 &amp; ""USD""))
"),38562000)</f>
        <v>38562000</v>
      </c>
      <c r="G919" s="16">
        <f ca="1">IFERROR(__xludf.DUMMYFUNCTION("IF(E919=""USD"",C919,C919 * GOOGLEFINANCE(""CURRENCY:"" &amp; E919 &amp; ""USD""))
"),78531388.3161999)</f>
        <v>78531388.316199899</v>
      </c>
    </row>
    <row r="920" spans="1:7" ht="15.75" customHeight="1" x14ac:dyDescent="0.25">
      <c r="A920" s="11" t="s">
        <v>24</v>
      </c>
      <c r="B920" s="12">
        <v>12000000</v>
      </c>
      <c r="C920" s="12">
        <v>38624000</v>
      </c>
      <c r="D920" s="12">
        <v>1996</v>
      </c>
      <c r="E920" s="12" t="str">
        <f>VLOOKUP(A920, Currency!$A$2:$B$100, 2, FALSE)</f>
        <v>USD</v>
      </c>
      <c r="F920" s="12">
        <f ca="1">IFERROR(__xludf.DUMMYFUNCTION("IF(E920=""USD"",B920,B920 * GOOGLEFINANCE(""CURRENCY:"" &amp; E920 &amp; ""USD""))
"),12000000)</f>
        <v>12000000</v>
      </c>
      <c r="G920" s="13">
        <f ca="1">IFERROR(__xludf.DUMMYFUNCTION("IF(E920=""USD"",C920,C920 * GOOGLEFINANCE(""CURRENCY:"" &amp; E920 &amp; ""USD""))
"),38624000)</f>
        <v>38624000</v>
      </c>
    </row>
    <row r="921" spans="1:7" ht="15.75" customHeight="1" x14ac:dyDescent="0.25">
      <c r="A921" s="14" t="s">
        <v>24</v>
      </c>
      <c r="B921" s="15">
        <v>27000000</v>
      </c>
      <c r="C921" s="15">
        <v>4476235</v>
      </c>
      <c r="D921" s="15">
        <v>2004</v>
      </c>
      <c r="E921" s="15" t="str">
        <f>VLOOKUP(A921, Currency!$A$2:$B$100, 2, FALSE)</f>
        <v>USD</v>
      </c>
      <c r="F921" s="15">
        <f ca="1">IFERROR(__xludf.DUMMYFUNCTION("IF(E921=""USD"",B921,B921 * GOOGLEFINANCE(""CURRENCY:"" &amp; E921 &amp; ""USD""))
"),27000000)</f>
        <v>27000000</v>
      </c>
      <c r="G921" s="16">
        <f ca="1">IFERROR(__xludf.DUMMYFUNCTION("IF(E921=""USD"",C921,C921 * GOOGLEFINANCE(""CURRENCY:"" &amp; E921 &amp; ""USD""))
"),4476235)</f>
        <v>4476235</v>
      </c>
    </row>
    <row r="922" spans="1:7" ht="15.75" customHeight="1" x14ac:dyDescent="0.25">
      <c r="A922" s="11" t="s">
        <v>133</v>
      </c>
      <c r="B922" s="12">
        <v>28000000</v>
      </c>
      <c r="C922" s="12">
        <v>11030963</v>
      </c>
      <c r="D922" s="12">
        <v>1996</v>
      </c>
      <c r="E922" s="12" t="str">
        <f>VLOOKUP(A922, Currency!$A$2:$B$100, 2, FALSE)</f>
        <v>GBP</v>
      </c>
      <c r="F922" s="12">
        <f ca="1">IFERROR(__xludf.DUMMYFUNCTION("IF(E922=""USD"",B922,B922 * GOOGLEFINANCE(""CURRENCY:"" &amp; E922 &amp; ""USD""))
"),35991200)</f>
        <v>35991200</v>
      </c>
      <c r="G922" s="13">
        <f ca="1">IFERROR(__xludf.DUMMYFUNCTION("IF(E922=""USD"",C922,C922 * GOOGLEFINANCE(""CURRENCY:"" &amp; E922 &amp; ""USD""))
"),14179199.8402)</f>
        <v>14179199.8402</v>
      </c>
    </row>
    <row r="923" spans="1:7" ht="15.75" customHeight="1" x14ac:dyDescent="0.25">
      <c r="A923" s="14" t="s">
        <v>133</v>
      </c>
      <c r="B923" s="15">
        <v>7900000</v>
      </c>
      <c r="C923" s="15">
        <v>671240</v>
      </c>
      <c r="D923" s="15">
        <v>2005</v>
      </c>
      <c r="E923" s="15" t="str">
        <f>VLOOKUP(A923, Currency!$A$2:$B$100, 2, FALSE)</f>
        <v>GBP</v>
      </c>
      <c r="F923" s="15">
        <f ca="1">IFERROR(__xludf.DUMMYFUNCTION("IF(E923=""USD"",B923,B923 * GOOGLEFINANCE(""CURRENCY:"" &amp; E923 &amp; ""USD""))
"),10154659.9999999)</f>
        <v>10154659.999999899</v>
      </c>
      <c r="G923" s="16">
        <f ca="1">IFERROR(__xludf.DUMMYFUNCTION("IF(E923=""USD"",C923,C923 * GOOGLEFINANCE(""CURRENCY:"" &amp; E923 &amp; ""USD""))
"),862811.896)</f>
        <v>862811.89599999995</v>
      </c>
    </row>
    <row r="924" spans="1:7" ht="15.75" customHeight="1" x14ac:dyDescent="0.25">
      <c r="A924" s="11" t="s">
        <v>24</v>
      </c>
      <c r="B924" s="12">
        <v>85000000</v>
      </c>
      <c r="C924" s="12">
        <v>66941559</v>
      </c>
      <c r="D924" s="12">
        <v>2000</v>
      </c>
      <c r="E924" s="12" t="str">
        <f>VLOOKUP(A924, Currency!$A$2:$B$100, 2, FALSE)</f>
        <v>USD</v>
      </c>
      <c r="F924" s="12">
        <f ca="1">IFERROR(__xludf.DUMMYFUNCTION("IF(E924=""USD"",B924,B924 * GOOGLEFINANCE(""CURRENCY:"" &amp; E924 &amp; ""USD""))
"),85000000)</f>
        <v>85000000</v>
      </c>
      <c r="G924" s="13">
        <f ca="1">IFERROR(__xludf.DUMMYFUNCTION("IF(E924=""USD"",C924,C924 * GOOGLEFINANCE(""CURRENCY:"" &amp; E924 &amp; ""USD""))
"),66941559)</f>
        <v>66941559</v>
      </c>
    </row>
    <row r="925" spans="1:7" ht="15.75" customHeight="1" x14ac:dyDescent="0.25">
      <c r="A925" s="14" t="s">
        <v>24</v>
      </c>
      <c r="B925" s="15">
        <v>150000000</v>
      </c>
      <c r="C925" s="15">
        <v>652177271</v>
      </c>
      <c r="D925" s="15">
        <v>2015</v>
      </c>
      <c r="E925" s="15" t="str">
        <f>VLOOKUP(A925, Currency!$A$2:$B$100, 2, FALSE)</f>
        <v>USD</v>
      </c>
      <c r="F925" s="15">
        <f ca="1">IFERROR(__xludf.DUMMYFUNCTION("IF(E925=""USD"",B925,B925 * GOOGLEFINANCE(""CURRENCY:"" &amp; E925 &amp; ""USD""))
"),150000000)</f>
        <v>150000000</v>
      </c>
      <c r="G925" s="16">
        <f ca="1">IFERROR(__xludf.DUMMYFUNCTION("IF(E925=""USD"",C925,C925 * GOOGLEFINANCE(""CURRENCY:"" &amp; E925 &amp; ""USD""))
"),652177271)</f>
        <v>652177271</v>
      </c>
    </row>
    <row r="926" spans="1:7" ht="15.75" customHeight="1" x14ac:dyDescent="0.25">
      <c r="A926" s="11" t="s">
        <v>24</v>
      </c>
      <c r="B926" s="12">
        <v>64000000</v>
      </c>
      <c r="C926" s="12">
        <v>31054924</v>
      </c>
      <c r="D926" s="12">
        <v>1999</v>
      </c>
      <c r="E926" s="12" t="str">
        <f>VLOOKUP(A926, Currency!$A$2:$B$100, 2, FALSE)</f>
        <v>USD</v>
      </c>
      <c r="F926" s="12">
        <f ca="1">IFERROR(__xludf.DUMMYFUNCTION("IF(E926=""USD"",B926,B926 * GOOGLEFINANCE(""CURRENCY:"" &amp; E926 &amp; ""USD""))
"),64000000)</f>
        <v>64000000</v>
      </c>
      <c r="G926" s="13">
        <f ca="1">IFERROR(__xludf.DUMMYFUNCTION("IF(E926=""USD"",C926,C926 * GOOGLEFINANCE(""CURRENCY:"" &amp; E926 &amp; ""USD""))
"),31054924)</f>
        <v>31054924</v>
      </c>
    </row>
    <row r="927" spans="1:7" ht="15.75" customHeight="1" x14ac:dyDescent="0.25">
      <c r="A927" s="14" t="s">
        <v>24</v>
      </c>
      <c r="B927" s="15">
        <v>30000000</v>
      </c>
      <c r="C927" s="15">
        <v>23209440</v>
      </c>
      <c r="D927" s="15">
        <v>1998</v>
      </c>
      <c r="E927" s="15" t="str">
        <f>VLOOKUP(A927, Currency!$A$2:$B$100, 2, FALSE)</f>
        <v>USD</v>
      </c>
      <c r="F927" s="15">
        <f ca="1">IFERROR(__xludf.DUMMYFUNCTION("IF(E927=""USD"",B927,B927 * GOOGLEFINANCE(""CURRENCY:"" &amp; E927 &amp; ""USD""))
"),30000000)</f>
        <v>30000000</v>
      </c>
      <c r="G927" s="16">
        <f ca="1">IFERROR(__xludf.DUMMYFUNCTION("IF(E927=""USD"",C927,C927 * GOOGLEFINANCE(""CURRENCY:"" &amp; E927 &amp; ""USD""))
"),23209440)</f>
        <v>23209440</v>
      </c>
    </row>
    <row r="928" spans="1:7" ht="15.75" customHeight="1" x14ac:dyDescent="0.25">
      <c r="A928" s="11" t="s">
        <v>24</v>
      </c>
      <c r="B928" s="12">
        <v>6000000</v>
      </c>
      <c r="C928" s="12">
        <v>63231524</v>
      </c>
      <c r="D928" s="12">
        <v>2006</v>
      </c>
      <c r="E928" s="12" t="str">
        <f>VLOOKUP(A928, Currency!$A$2:$B$100, 2, FALSE)</f>
        <v>USD</v>
      </c>
      <c r="F928" s="12">
        <f ca="1">IFERROR(__xludf.DUMMYFUNCTION("IF(E928=""USD"",B928,B928 * GOOGLEFINANCE(""CURRENCY:"" &amp; E928 &amp; ""USD""))
"),6000000)</f>
        <v>6000000</v>
      </c>
      <c r="G928" s="13">
        <f ca="1">IFERROR(__xludf.DUMMYFUNCTION("IF(E928=""USD"",C928,C928 * GOOGLEFINANCE(""CURRENCY:"" &amp; E928 &amp; ""USD""))
"),63231524)</f>
        <v>63231524</v>
      </c>
    </row>
    <row r="929" spans="1:7" ht="15.75" customHeight="1" x14ac:dyDescent="0.25">
      <c r="A929" s="14" t="s">
        <v>24</v>
      </c>
      <c r="B929" s="15">
        <v>2100000</v>
      </c>
      <c r="C929" s="15">
        <v>23650000</v>
      </c>
      <c r="D929" s="15">
        <v>1946</v>
      </c>
      <c r="E929" s="15" t="str">
        <f>VLOOKUP(A929, Currency!$A$2:$B$100, 2, FALSE)</f>
        <v>USD</v>
      </c>
      <c r="F929" s="15">
        <f ca="1">IFERROR(__xludf.DUMMYFUNCTION("IF(E929=""USD"",B929,B929 * GOOGLEFINANCE(""CURRENCY:"" &amp; E929 &amp; ""USD""))
"),2100000)</f>
        <v>2100000</v>
      </c>
      <c r="G929" s="16">
        <f ca="1">IFERROR(__xludf.DUMMYFUNCTION("IF(E929=""USD"",C929,C929 * GOOGLEFINANCE(""CURRENCY:"" &amp; E929 &amp; ""USD""))
"),23650000)</f>
        <v>23650000</v>
      </c>
    </row>
    <row r="930" spans="1:7" ht="15.75" customHeight="1" x14ac:dyDescent="0.25">
      <c r="A930" s="11" t="s">
        <v>24</v>
      </c>
      <c r="B930" s="12">
        <v>50000000</v>
      </c>
      <c r="C930" s="12">
        <v>73343413</v>
      </c>
      <c r="D930" s="12">
        <v>2009</v>
      </c>
      <c r="E930" s="12" t="str">
        <f>VLOOKUP(A930, Currency!$A$2:$B$100, 2, FALSE)</f>
        <v>USD</v>
      </c>
      <c r="F930" s="12">
        <f ca="1">IFERROR(__xludf.DUMMYFUNCTION("IF(E930=""USD"",B930,B930 * GOOGLEFINANCE(""CURRENCY:"" &amp; E930 &amp; ""USD""))
"),50000000)</f>
        <v>50000000</v>
      </c>
      <c r="G930" s="13">
        <f ca="1">IFERROR(__xludf.DUMMYFUNCTION("IF(E930=""USD"",C930,C930 * GOOGLEFINANCE(""CURRENCY:"" &amp; E930 &amp; ""USD""))
"),73343413)</f>
        <v>73343413</v>
      </c>
    </row>
    <row r="931" spans="1:7" ht="15.75" customHeight="1" x14ac:dyDescent="0.25">
      <c r="A931" s="14" t="s">
        <v>24</v>
      </c>
      <c r="B931" s="15">
        <v>22000000</v>
      </c>
      <c r="C931" s="15">
        <v>22264487</v>
      </c>
      <c r="D931" s="15">
        <v>2005</v>
      </c>
      <c r="E931" s="15" t="str">
        <f>VLOOKUP(A931, Currency!$A$2:$B$100, 2, FALSE)</f>
        <v>USD</v>
      </c>
      <c r="F931" s="15">
        <f ca="1">IFERROR(__xludf.DUMMYFUNCTION("IF(E931=""USD"",B931,B931 * GOOGLEFINANCE(""CURRENCY:"" &amp; E931 &amp; ""USD""))
"),22000000)</f>
        <v>22000000</v>
      </c>
      <c r="G931" s="16">
        <f ca="1">IFERROR(__xludf.DUMMYFUNCTION("IF(E931=""USD"",C931,C931 * GOOGLEFINANCE(""CURRENCY:"" &amp; E931 &amp; ""USD""))
"),22264487)</f>
        <v>22264487</v>
      </c>
    </row>
    <row r="932" spans="1:7" ht="15.75" customHeight="1" x14ac:dyDescent="0.25">
      <c r="A932" s="11" t="s">
        <v>24</v>
      </c>
      <c r="B932" s="12">
        <v>48000000</v>
      </c>
      <c r="C932" s="12">
        <v>93607673</v>
      </c>
      <c r="D932" s="12">
        <v>2001</v>
      </c>
      <c r="E932" s="12" t="str">
        <f>VLOOKUP(A932, Currency!$A$2:$B$100, 2, FALSE)</f>
        <v>USD</v>
      </c>
      <c r="F932" s="12">
        <f ca="1">IFERROR(__xludf.DUMMYFUNCTION("IF(E932=""USD"",B932,B932 * GOOGLEFINANCE(""CURRENCY:"" &amp; E932 &amp; ""USD""))
"),48000000)</f>
        <v>48000000</v>
      </c>
      <c r="G932" s="13">
        <f ca="1">IFERROR(__xludf.DUMMYFUNCTION("IF(E932=""USD"",C932,C932 * GOOGLEFINANCE(""CURRENCY:"" &amp; E932 &amp; ""USD""))
"),93607673)</f>
        <v>93607673</v>
      </c>
    </row>
    <row r="933" spans="1:7" ht="15.75" customHeight="1" x14ac:dyDescent="0.25">
      <c r="A933" s="14" t="s">
        <v>611</v>
      </c>
      <c r="B933" s="15">
        <v>40000000</v>
      </c>
      <c r="C933" s="15">
        <v>19406406</v>
      </c>
      <c r="D933" s="15">
        <v>2009</v>
      </c>
      <c r="E933" s="15" t="str">
        <f>VLOOKUP(A933, Currency!$A$2:$B$100, 2, FALSE)</f>
        <v>EUR</v>
      </c>
      <c r="F933" s="15">
        <f ca="1">IFERROR(__xludf.DUMMYFUNCTION("IF(E933=""USD"",B933,B933 * GOOGLEFINANCE(""CURRENCY:"" &amp; E933 &amp; ""USD""))
"),43389600)</f>
        <v>43389600</v>
      </c>
      <c r="G933" s="16">
        <f ca="1">IFERROR(__xludf.DUMMYFUNCTION("IF(E933=""USD"",C933,C933 * GOOGLEFINANCE(""CURRENCY:"" &amp; E933 &amp; ""USD""))
"),21050904.84444)</f>
        <v>21050904.844439998</v>
      </c>
    </row>
    <row r="934" spans="1:7" ht="15.75" customHeight="1" x14ac:dyDescent="0.25">
      <c r="A934" s="11" t="s">
        <v>24</v>
      </c>
      <c r="B934" s="12">
        <v>42000000</v>
      </c>
      <c r="C934" s="12">
        <v>24375436</v>
      </c>
      <c r="D934" s="12">
        <v>2001</v>
      </c>
      <c r="E934" s="12" t="str">
        <f>VLOOKUP(A934, Currency!$A$2:$B$100, 2, FALSE)</f>
        <v>USD</v>
      </c>
      <c r="F934" s="12">
        <f ca="1">IFERROR(__xludf.DUMMYFUNCTION("IF(E934=""USD"",B934,B934 * GOOGLEFINANCE(""CURRENCY:"" &amp; E934 &amp; ""USD""))
"),42000000)</f>
        <v>42000000</v>
      </c>
      <c r="G934" s="13">
        <f ca="1">IFERROR(__xludf.DUMMYFUNCTION("IF(E934=""USD"",C934,C934 * GOOGLEFINANCE(""CURRENCY:"" &amp; E934 &amp; ""USD""))
"),24375436)</f>
        <v>24375436</v>
      </c>
    </row>
    <row r="935" spans="1:7" ht="15.75" customHeight="1" x14ac:dyDescent="0.25">
      <c r="A935" s="14" t="s">
        <v>24</v>
      </c>
      <c r="B935" s="15">
        <v>35000000</v>
      </c>
      <c r="C935" s="15">
        <v>11631245</v>
      </c>
      <c r="D935" s="15">
        <v>2006</v>
      </c>
      <c r="E935" s="15" t="str">
        <f>VLOOKUP(A935, Currency!$A$2:$B$100, 2, FALSE)</f>
        <v>USD</v>
      </c>
      <c r="F935" s="15">
        <f ca="1">IFERROR(__xludf.DUMMYFUNCTION("IF(E935=""USD"",B935,B935 * GOOGLEFINANCE(""CURRENCY:"" &amp; E935 &amp; ""USD""))
"),35000000)</f>
        <v>35000000</v>
      </c>
      <c r="G935" s="16">
        <f ca="1">IFERROR(__xludf.DUMMYFUNCTION("IF(E935=""USD"",C935,C935 * GOOGLEFINANCE(""CURRENCY:"" &amp; E935 &amp; ""USD""))
"),11631245)</f>
        <v>11631245</v>
      </c>
    </row>
    <row r="936" spans="1:7" ht="15.75" customHeight="1" x14ac:dyDescent="0.25">
      <c r="A936" s="11" t="s">
        <v>24</v>
      </c>
      <c r="B936" s="12">
        <v>68000000</v>
      </c>
      <c r="C936" s="12">
        <v>81257500</v>
      </c>
      <c r="D936" s="12">
        <v>2015</v>
      </c>
      <c r="E936" s="12" t="str">
        <f>VLOOKUP(A936, Currency!$A$2:$B$100, 2, FALSE)</f>
        <v>USD</v>
      </c>
      <c r="F936" s="12">
        <f ca="1">IFERROR(__xludf.DUMMYFUNCTION("IF(E936=""USD"",B936,B936 * GOOGLEFINANCE(""CURRENCY:"" &amp; E936 &amp; ""USD""))
"),68000000)</f>
        <v>68000000</v>
      </c>
      <c r="G936" s="13">
        <f ca="1">IFERROR(__xludf.DUMMYFUNCTION("IF(E936=""USD"",C936,C936 * GOOGLEFINANCE(""CURRENCY:"" &amp; E936 &amp; ""USD""))
"),81257500)</f>
        <v>81257500</v>
      </c>
    </row>
    <row r="937" spans="1:7" ht="15.75" customHeight="1" x14ac:dyDescent="0.25">
      <c r="A937" s="14" t="s">
        <v>24</v>
      </c>
      <c r="B937" s="15">
        <v>55000000</v>
      </c>
      <c r="C937" s="15">
        <v>53574088</v>
      </c>
      <c r="D937" s="15">
        <v>2007</v>
      </c>
      <c r="E937" s="15" t="str">
        <f>VLOOKUP(A937, Currency!$A$2:$B$100, 2, FALSE)</f>
        <v>USD</v>
      </c>
      <c r="F937" s="15">
        <f ca="1">IFERROR(__xludf.DUMMYFUNCTION("IF(E937=""USD"",B937,B937 * GOOGLEFINANCE(""CURRENCY:"" &amp; E937 &amp; ""USD""))
"),55000000)</f>
        <v>55000000</v>
      </c>
      <c r="G937" s="16">
        <f ca="1">IFERROR(__xludf.DUMMYFUNCTION("IF(E937=""USD"",C937,C937 * GOOGLEFINANCE(""CURRENCY:"" &amp; E937 &amp; ""USD""))
"),53574088)</f>
        <v>53574088</v>
      </c>
    </row>
    <row r="938" spans="1:7" ht="15.75" customHeight="1" x14ac:dyDescent="0.25">
      <c r="A938" s="11" t="s">
        <v>24</v>
      </c>
      <c r="B938" s="12">
        <v>45000000</v>
      </c>
      <c r="C938" s="12">
        <v>19719930</v>
      </c>
      <c r="D938" s="12">
        <v>2001</v>
      </c>
      <c r="E938" s="12" t="str">
        <f>VLOOKUP(A938, Currency!$A$2:$B$100, 2, FALSE)</f>
        <v>USD</v>
      </c>
      <c r="F938" s="12">
        <f ca="1">IFERROR(__xludf.DUMMYFUNCTION("IF(E938=""USD"",B938,B938 * GOOGLEFINANCE(""CURRENCY:"" &amp; E938 &amp; ""USD""))
"),45000000)</f>
        <v>45000000</v>
      </c>
      <c r="G938" s="13">
        <f ca="1">IFERROR(__xludf.DUMMYFUNCTION("IF(E938=""USD"",C938,C938 * GOOGLEFINANCE(""CURRENCY:"" &amp; E938 &amp; ""USD""))
"),19719930)</f>
        <v>19719930</v>
      </c>
    </row>
    <row r="939" spans="1:7" ht="15.75" customHeight="1" x14ac:dyDescent="0.25">
      <c r="A939" s="14" t="s">
        <v>24</v>
      </c>
      <c r="B939" s="15">
        <v>30000000</v>
      </c>
      <c r="C939" s="15">
        <v>19316646</v>
      </c>
      <c r="D939" s="15">
        <v>2013</v>
      </c>
      <c r="E939" s="15" t="str">
        <f>VLOOKUP(A939, Currency!$A$2:$B$100, 2, FALSE)</f>
        <v>USD</v>
      </c>
      <c r="F939" s="15">
        <f ca="1">IFERROR(__xludf.DUMMYFUNCTION("IF(E939=""USD"",B939,B939 * GOOGLEFINANCE(""CURRENCY:"" &amp; E939 &amp; ""USD""))
"),30000000)</f>
        <v>30000000</v>
      </c>
      <c r="G939" s="16">
        <f ca="1">IFERROR(__xludf.DUMMYFUNCTION("IF(E939=""USD"",C939,C939 * GOOGLEFINANCE(""CURRENCY:"" &amp; E939 &amp; ""USD""))
"),19316646)</f>
        <v>19316646</v>
      </c>
    </row>
    <row r="940" spans="1:7" ht="15.75" customHeight="1" x14ac:dyDescent="0.25">
      <c r="A940" s="11" t="s">
        <v>24</v>
      </c>
      <c r="B940" s="12">
        <v>21000000</v>
      </c>
      <c r="C940" s="12">
        <v>16284360</v>
      </c>
      <c r="D940" s="12">
        <v>2008</v>
      </c>
      <c r="E940" s="12" t="str">
        <f>VLOOKUP(A940, Currency!$A$2:$B$100, 2, FALSE)</f>
        <v>USD</v>
      </c>
      <c r="F940" s="12">
        <f ca="1">IFERROR(__xludf.DUMMYFUNCTION("IF(E940=""USD"",B940,B940 * GOOGLEFINANCE(""CURRENCY:"" &amp; E940 &amp; ""USD""))
"),21000000)</f>
        <v>21000000</v>
      </c>
      <c r="G940" s="13">
        <f ca="1">IFERROR(__xludf.DUMMYFUNCTION("IF(E940=""USD"",C940,C940 * GOOGLEFINANCE(""CURRENCY:"" &amp; E940 &amp; ""USD""))
"),16284360)</f>
        <v>16284360</v>
      </c>
    </row>
    <row r="941" spans="1:7" ht="15.75" customHeight="1" x14ac:dyDescent="0.25">
      <c r="A941" s="14" t="s">
        <v>24</v>
      </c>
      <c r="B941" s="15">
        <v>25000000</v>
      </c>
      <c r="C941" s="15">
        <v>80014842</v>
      </c>
      <c r="D941" s="15">
        <v>2010</v>
      </c>
      <c r="E941" s="15" t="str">
        <f>VLOOKUP(A941, Currency!$A$2:$B$100, 2, FALSE)</f>
        <v>USD</v>
      </c>
      <c r="F941" s="15">
        <f ca="1">IFERROR(__xludf.DUMMYFUNCTION("IF(E941=""USD"",B941,B941 * GOOGLEFINANCE(""CURRENCY:"" &amp; E941 &amp; ""USD""))
"),25000000)</f>
        <v>25000000</v>
      </c>
      <c r="G941" s="16">
        <f ca="1">IFERROR(__xludf.DUMMYFUNCTION("IF(E941=""USD"",C941,C941 * GOOGLEFINANCE(""CURRENCY:"" &amp; E941 &amp; ""USD""))
"),80014842)</f>
        <v>80014842</v>
      </c>
    </row>
    <row r="942" spans="1:7" ht="15.75" customHeight="1" x14ac:dyDescent="0.25">
      <c r="A942" s="11" t="s">
        <v>24</v>
      </c>
      <c r="B942" s="12">
        <v>26000000</v>
      </c>
      <c r="C942" s="12">
        <v>33200000</v>
      </c>
      <c r="D942" s="12">
        <v>1985</v>
      </c>
      <c r="E942" s="12" t="str">
        <f>VLOOKUP(A942, Currency!$A$2:$B$100, 2, FALSE)</f>
        <v>USD</v>
      </c>
      <c r="F942" s="12">
        <f ca="1">IFERROR(__xludf.DUMMYFUNCTION("IF(E942=""USD"",B942,B942 * GOOGLEFINANCE(""CURRENCY:"" &amp; E942 &amp; ""USD""))
"),26000000)</f>
        <v>26000000</v>
      </c>
      <c r="G942" s="13">
        <f ca="1">IFERROR(__xludf.DUMMYFUNCTION("IF(E942=""USD"",C942,C942 * GOOGLEFINANCE(""CURRENCY:"" &amp; E942 &amp; ""USD""))
"),33200000)</f>
        <v>33200000</v>
      </c>
    </row>
    <row r="943" spans="1:7" ht="15.75" customHeight="1" x14ac:dyDescent="0.25">
      <c r="A943" s="14" t="s">
        <v>24</v>
      </c>
      <c r="B943" s="15">
        <v>18000000</v>
      </c>
      <c r="C943" s="15">
        <v>70360285</v>
      </c>
      <c r="D943" s="15">
        <v>1995</v>
      </c>
      <c r="E943" s="15" t="str">
        <f>VLOOKUP(A943, Currency!$A$2:$B$100, 2, FALSE)</f>
        <v>USD</v>
      </c>
      <c r="F943" s="15">
        <f ca="1">IFERROR(__xludf.DUMMYFUNCTION("IF(E943=""USD"",B943,B943 * GOOGLEFINANCE(""CURRENCY:"" &amp; E943 &amp; ""USD""))
"),18000000)</f>
        <v>18000000</v>
      </c>
      <c r="G943" s="16">
        <f ca="1">IFERROR(__xludf.DUMMYFUNCTION("IF(E943=""USD"",C943,C943 * GOOGLEFINANCE(""CURRENCY:"" &amp; E943 &amp; ""USD""))
"),70360285)</f>
        <v>70360285</v>
      </c>
    </row>
    <row r="944" spans="1:7" ht="15.75" customHeight="1" x14ac:dyDescent="0.25">
      <c r="A944" s="11" t="s">
        <v>24</v>
      </c>
      <c r="B944" s="12">
        <v>15000000</v>
      </c>
      <c r="C944" s="12">
        <v>32721635</v>
      </c>
      <c r="D944" s="12">
        <v>2009</v>
      </c>
      <c r="E944" s="12" t="str">
        <f>VLOOKUP(A944, Currency!$A$2:$B$100, 2, FALSE)</f>
        <v>USD</v>
      </c>
      <c r="F944" s="12">
        <f ca="1">IFERROR(__xludf.DUMMYFUNCTION("IF(E944=""USD"",B944,B944 * GOOGLEFINANCE(""CURRENCY:"" &amp; E944 &amp; ""USD""))
"),15000000)</f>
        <v>15000000</v>
      </c>
      <c r="G944" s="13">
        <f ca="1">IFERROR(__xludf.DUMMYFUNCTION("IF(E944=""USD"",C944,C944 * GOOGLEFINANCE(""CURRENCY:"" &amp; E944 &amp; ""USD""))
"),32721635)</f>
        <v>32721635</v>
      </c>
    </row>
    <row r="945" spans="1:7" ht="15.75" customHeight="1" x14ac:dyDescent="0.25">
      <c r="A945" s="14" t="s">
        <v>24</v>
      </c>
      <c r="B945" s="15">
        <v>16000000</v>
      </c>
      <c r="C945" s="15">
        <v>11956207</v>
      </c>
      <c r="D945" s="15">
        <v>2009</v>
      </c>
      <c r="E945" s="15" t="str">
        <f>VLOOKUP(A945, Currency!$A$2:$B$100, 2, FALSE)</f>
        <v>USD</v>
      </c>
      <c r="F945" s="15">
        <f ca="1">IFERROR(__xludf.DUMMYFUNCTION("IF(E945=""USD"",B945,B945 * GOOGLEFINANCE(""CURRENCY:"" &amp; E945 &amp; ""USD""))
"),16000000)</f>
        <v>16000000</v>
      </c>
      <c r="G945" s="16">
        <f ca="1">IFERROR(__xludf.DUMMYFUNCTION("IF(E945=""USD"",C945,C945 * GOOGLEFINANCE(""CURRENCY:"" &amp; E945 &amp; ""USD""))
"),11956207)</f>
        <v>11956207</v>
      </c>
    </row>
    <row r="946" spans="1:7" ht="15.75" customHeight="1" x14ac:dyDescent="0.25">
      <c r="A946" s="11" t="s">
        <v>24</v>
      </c>
      <c r="B946" s="12">
        <v>7000000</v>
      </c>
      <c r="C946" s="12">
        <v>453079</v>
      </c>
      <c r="D946" s="12">
        <v>2010</v>
      </c>
      <c r="E946" s="12" t="str">
        <f>VLOOKUP(A946, Currency!$A$2:$B$100, 2, FALSE)</f>
        <v>USD</v>
      </c>
      <c r="F946" s="12">
        <f ca="1">IFERROR(__xludf.DUMMYFUNCTION("IF(E946=""USD"",B946,B946 * GOOGLEFINANCE(""CURRENCY:"" &amp; E946 &amp; ""USD""))
"),7000000)</f>
        <v>7000000</v>
      </c>
      <c r="G946" s="13">
        <f ca="1">IFERROR(__xludf.DUMMYFUNCTION("IF(E946=""USD"",C946,C946 * GOOGLEFINANCE(""CURRENCY:"" &amp; E946 &amp; ""USD""))
"),453079)</f>
        <v>453079</v>
      </c>
    </row>
    <row r="947" spans="1:7" ht="15.75" customHeight="1" x14ac:dyDescent="0.25">
      <c r="A947" s="14" t="s">
        <v>24</v>
      </c>
      <c r="B947" s="15">
        <v>10000000</v>
      </c>
      <c r="C947" s="15">
        <v>110175871</v>
      </c>
      <c r="D947" s="15">
        <v>2004</v>
      </c>
      <c r="E947" s="15" t="str">
        <f>VLOOKUP(A947, Currency!$A$2:$B$100, 2, FALSE)</f>
        <v>USD</v>
      </c>
      <c r="F947" s="15">
        <f ca="1">IFERROR(__xludf.DUMMYFUNCTION("IF(E947=""USD"",B947,B947 * GOOGLEFINANCE(""CURRENCY:"" &amp; E947 &amp; ""USD""))
"),10000000)</f>
        <v>10000000</v>
      </c>
      <c r="G947" s="16">
        <f ca="1">IFERROR(__xludf.DUMMYFUNCTION("IF(E947=""USD"",C947,C947 * GOOGLEFINANCE(""CURRENCY:"" &amp; E947 &amp; ""USD""))
"),110175871)</f>
        <v>110175871</v>
      </c>
    </row>
    <row r="948" spans="1:7" ht="15.75" customHeight="1" x14ac:dyDescent="0.25">
      <c r="A948" s="11" t="s">
        <v>24</v>
      </c>
      <c r="B948" s="12">
        <v>15000000</v>
      </c>
      <c r="C948" s="12">
        <v>33386128</v>
      </c>
      <c r="D948" s="12">
        <v>2009</v>
      </c>
      <c r="E948" s="12" t="str">
        <f>VLOOKUP(A948, Currency!$A$2:$B$100, 2, FALSE)</f>
        <v>USD</v>
      </c>
      <c r="F948" s="12">
        <f ca="1">IFERROR(__xludf.DUMMYFUNCTION("IF(E948=""USD"",B948,B948 * GOOGLEFINANCE(""CURRENCY:"" &amp; E948 &amp; ""USD""))
"),15000000)</f>
        <v>15000000</v>
      </c>
      <c r="G948" s="13">
        <f ca="1">IFERROR(__xludf.DUMMYFUNCTION("IF(E948=""USD"",C948,C948 * GOOGLEFINANCE(""CURRENCY:"" &amp; E948 &amp; ""USD""))
"),33386128)</f>
        <v>33386128</v>
      </c>
    </row>
    <row r="949" spans="1:7" ht="15.75" customHeight="1" x14ac:dyDescent="0.25">
      <c r="A949" s="14" t="s">
        <v>24</v>
      </c>
      <c r="B949" s="15">
        <v>30000000</v>
      </c>
      <c r="C949" s="15">
        <v>16930884</v>
      </c>
      <c r="D949" s="15">
        <v>2007</v>
      </c>
      <c r="E949" s="15" t="str">
        <f>VLOOKUP(A949, Currency!$A$2:$B$100, 2, FALSE)</f>
        <v>USD</v>
      </c>
      <c r="F949" s="15">
        <f ca="1">IFERROR(__xludf.DUMMYFUNCTION("IF(E949=""USD"",B949,B949 * GOOGLEFINANCE(""CURRENCY:"" &amp; E949 &amp; ""USD""))
"),30000000)</f>
        <v>30000000</v>
      </c>
      <c r="G949" s="16">
        <f ca="1">IFERROR(__xludf.DUMMYFUNCTION("IF(E949=""USD"",C949,C949 * GOOGLEFINANCE(""CURRENCY:"" &amp; E949 &amp; ""USD""))
"),16930884)</f>
        <v>16930884</v>
      </c>
    </row>
    <row r="950" spans="1:7" ht="15.75" customHeight="1" x14ac:dyDescent="0.25">
      <c r="A950" s="11" t="s">
        <v>24</v>
      </c>
      <c r="B950" s="12">
        <v>10000000</v>
      </c>
      <c r="C950" s="12">
        <v>447750</v>
      </c>
      <c r="D950" s="12">
        <v>2000</v>
      </c>
      <c r="E950" s="12" t="str">
        <f>VLOOKUP(A950, Currency!$A$2:$B$100, 2, FALSE)</f>
        <v>USD</v>
      </c>
      <c r="F950" s="12">
        <f ca="1">IFERROR(__xludf.DUMMYFUNCTION("IF(E950=""USD"",B950,B950 * GOOGLEFINANCE(""CURRENCY:"" &amp; E950 &amp; ""USD""))
"),10000000)</f>
        <v>10000000</v>
      </c>
      <c r="G950" s="13">
        <f ca="1">IFERROR(__xludf.DUMMYFUNCTION("IF(E950=""USD"",C950,C950 * GOOGLEFINANCE(""CURRENCY:"" &amp; E950 &amp; ""USD""))
"),447750)</f>
        <v>447750</v>
      </c>
    </row>
    <row r="951" spans="1:7" ht="15.75" customHeight="1" x14ac:dyDescent="0.25">
      <c r="A951" s="14" t="s">
        <v>24</v>
      </c>
      <c r="B951" s="15">
        <v>5000000</v>
      </c>
      <c r="C951" s="15">
        <v>19421271</v>
      </c>
      <c r="D951" s="15">
        <v>1999</v>
      </c>
      <c r="E951" s="15" t="str">
        <f>VLOOKUP(A951, Currency!$A$2:$B$100, 2, FALSE)</f>
        <v>USD</v>
      </c>
      <c r="F951" s="15">
        <f ca="1">IFERROR(__xludf.DUMMYFUNCTION("IF(E951=""USD"",B951,B951 * GOOGLEFINANCE(""CURRENCY:"" &amp; E951 &amp; ""USD""))
"),5000000)</f>
        <v>5000000</v>
      </c>
      <c r="G951" s="16">
        <f ca="1">IFERROR(__xludf.DUMMYFUNCTION("IF(E951=""USD"",C951,C951 * GOOGLEFINANCE(""CURRENCY:"" &amp; E951 &amp; ""USD""))
"),19421271)</f>
        <v>19421271</v>
      </c>
    </row>
    <row r="952" spans="1:7" ht="15.75" customHeight="1" x14ac:dyDescent="0.25">
      <c r="A952" s="11" t="s">
        <v>24</v>
      </c>
      <c r="B952" s="12">
        <v>40000000</v>
      </c>
      <c r="C952" s="12">
        <v>12181484</v>
      </c>
      <c r="D952" s="12">
        <v>2004</v>
      </c>
      <c r="E952" s="12" t="str">
        <f>VLOOKUP(A952, Currency!$A$2:$B$100, 2, FALSE)</f>
        <v>USD</v>
      </c>
      <c r="F952" s="12">
        <f ca="1">IFERROR(__xludf.DUMMYFUNCTION("IF(E952=""USD"",B952,B952 * GOOGLEFINANCE(""CURRENCY:"" &amp; E952 &amp; ""USD""))
"),40000000)</f>
        <v>40000000</v>
      </c>
      <c r="G952" s="13">
        <f ca="1">IFERROR(__xludf.DUMMYFUNCTION("IF(E952=""USD"",C952,C952 * GOOGLEFINANCE(""CURRENCY:"" &amp; E952 &amp; ""USD""))
"),12181484)</f>
        <v>12181484</v>
      </c>
    </row>
    <row r="953" spans="1:7" ht="15.75" customHeight="1" x14ac:dyDescent="0.25">
      <c r="A953" s="14" t="s">
        <v>611</v>
      </c>
      <c r="B953" s="15">
        <v>8000000</v>
      </c>
      <c r="C953" s="15">
        <v>3076425</v>
      </c>
      <c r="D953" s="15">
        <v>2002</v>
      </c>
      <c r="E953" s="15" t="str">
        <f>VLOOKUP(A953, Currency!$A$2:$B$100, 2, FALSE)</f>
        <v>EUR</v>
      </c>
      <c r="F953" s="15">
        <f ca="1">IFERROR(__xludf.DUMMYFUNCTION("IF(E953=""USD"",B953,B953 * GOOGLEFINANCE(""CURRENCY:"" &amp; E953 &amp; ""USD""))
"),8677920)</f>
        <v>8677920</v>
      </c>
      <c r="G953" s="16">
        <f ca="1">IFERROR(__xludf.DUMMYFUNCTION("IF(E953=""USD"",C953,C953 * GOOGLEFINANCE(""CURRENCY:"" &amp; E953 &amp; ""USD""))
"),3337121.2545)</f>
        <v>3337121.2544999998</v>
      </c>
    </row>
    <row r="954" spans="1:7" ht="15.75" customHeight="1" x14ac:dyDescent="0.25">
      <c r="A954" s="11" t="s">
        <v>133</v>
      </c>
      <c r="B954" s="12">
        <v>95000000</v>
      </c>
      <c r="C954" s="12">
        <v>88761720</v>
      </c>
      <c r="D954" s="12">
        <v>2010</v>
      </c>
      <c r="E954" s="12" t="str">
        <f>VLOOKUP(A954, Currency!$A$2:$B$100, 2, FALSE)</f>
        <v>GBP</v>
      </c>
      <c r="F954" s="12">
        <f ca="1">IFERROR(__xludf.DUMMYFUNCTION("IF(E954=""USD"",B954,B954 * GOOGLEFINANCE(""CURRENCY:"" &amp; E954 &amp; ""USD""))
"),122112999.999999)</f>
        <v>122112999.999999</v>
      </c>
      <c r="G954" s="13">
        <f ca="1">IFERROR(__xludf.DUMMYFUNCTION("IF(E954=""USD"",C954,C954 * GOOGLEFINANCE(""CURRENCY:"" &amp; E954 &amp; ""USD""))
"),114094314.887999)</f>
        <v>114094314.887999</v>
      </c>
    </row>
    <row r="955" spans="1:7" ht="15.75" customHeight="1" x14ac:dyDescent="0.25">
      <c r="A955" s="14" t="s">
        <v>24</v>
      </c>
      <c r="B955" s="15">
        <v>13000000</v>
      </c>
      <c r="C955" s="15">
        <v>60008303</v>
      </c>
      <c r="D955" s="15">
        <v>2000</v>
      </c>
      <c r="E955" s="15" t="str">
        <f>VLOOKUP(A955, Currency!$A$2:$B$100, 2, FALSE)</f>
        <v>USD</v>
      </c>
      <c r="F955" s="15">
        <f ca="1">IFERROR(__xludf.DUMMYFUNCTION("IF(E955=""USD"",B955,B955 * GOOGLEFINANCE(""CURRENCY:"" &amp; E955 &amp; ""USD""))
"),13000000)</f>
        <v>13000000</v>
      </c>
      <c r="G955" s="16">
        <f ca="1">IFERROR(__xludf.DUMMYFUNCTION("IF(E955=""USD"",C955,C955 * GOOGLEFINANCE(""CURRENCY:"" &amp; E955 &amp; ""USD""))
"),60008303)</f>
        <v>60008303</v>
      </c>
    </row>
    <row r="956" spans="1:7" ht="15.75" customHeight="1" x14ac:dyDescent="0.25">
      <c r="A956" s="11" t="s">
        <v>24</v>
      </c>
      <c r="B956" s="12">
        <v>103000000</v>
      </c>
      <c r="C956" s="12">
        <v>187670866</v>
      </c>
      <c r="D956" s="12">
        <v>2000</v>
      </c>
      <c r="E956" s="12" t="str">
        <f>VLOOKUP(A956, Currency!$A$2:$B$100, 2, FALSE)</f>
        <v>USD</v>
      </c>
      <c r="F956" s="12">
        <f ca="1">IFERROR(__xludf.DUMMYFUNCTION("IF(E956=""USD"",B956,B956 * GOOGLEFINANCE(""CURRENCY:"" &amp; E956 &amp; ""USD""))
"),103000000)</f>
        <v>103000000</v>
      </c>
      <c r="G956" s="13">
        <f ca="1">IFERROR(__xludf.DUMMYFUNCTION("IF(E956=""USD"",C956,C956 * GOOGLEFINANCE(""CURRENCY:"" &amp; E956 &amp; ""USD""))
"),187670866)</f>
        <v>187670866</v>
      </c>
    </row>
    <row r="957" spans="1:7" ht="15.75" customHeight="1" x14ac:dyDescent="0.25">
      <c r="A957" s="14" t="s">
        <v>24</v>
      </c>
      <c r="B957" s="15">
        <v>45000000</v>
      </c>
      <c r="C957" s="15">
        <v>21009180</v>
      </c>
      <c r="D957" s="15">
        <v>2004</v>
      </c>
      <c r="E957" s="15" t="str">
        <f>VLOOKUP(A957, Currency!$A$2:$B$100, 2, FALSE)</f>
        <v>USD</v>
      </c>
      <c r="F957" s="15">
        <f ca="1">IFERROR(__xludf.DUMMYFUNCTION("IF(E957=""USD"",B957,B957 * GOOGLEFINANCE(""CURRENCY:"" &amp; E957 &amp; ""USD""))
"),45000000)</f>
        <v>45000000</v>
      </c>
      <c r="G957" s="16">
        <f ca="1">IFERROR(__xludf.DUMMYFUNCTION("IF(E957=""USD"",C957,C957 * GOOGLEFINANCE(""CURRENCY:"" &amp; E957 &amp; ""USD""))
"),21009180)</f>
        <v>21009180</v>
      </c>
    </row>
    <row r="958" spans="1:7" ht="15.75" customHeight="1" x14ac:dyDescent="0.25">
      <c r="A958" s="11" t="s">
        <v>133</v>
      </c>
      <c r="B958" s="12">
        <v>52000000</v>
      </c>
      <c r="C958" s="12">
        <v>1891821</v>
      </c>
      <c r="D958" s="12">
        <v>2005</v>
      </c>
      <c r="E958" s="12" t="str">
        <f>VLOOKUP(A958, Currency!$A$2:$B$100, 2, FALSE)</f>
        <v>GBP</v>
      </c>
      <c r="F958" s="12">
        <f ca="1">IFERROR(__xludf.DUMMYFUNCTION("IF(E958=""USD"",B958,B958 * GOOGLEFINANCE(""CURRENCY:"" &amp; E958 &amp; ""USD""))
"),66840799.9999999)</f>
        <v>66840799.999999903</v>
      </c>
      <c r="G958" s="13">
        <f ca="1">IFERROR(__xludf.DUMMYFUNCTION("IF(E958=""USD"",C958,C958 * GOOGLEFINANCE(""CURRENCY:"" &amp; E958 &amp; ""USD""))
"),2431746.7134)</f>
        <v>2431746.7133999998</v>
      </c>
    </row>
    <row r="959" spans="1:7" ht="15.75" customHeight="1" x14ac:dyDescent="0.25">
      <c r="A959" s="14" t="s">
        <v>133</v>
      </c>
      <c r="B959" s="15">
        <v>60000000</v>
      </c>
      <c r="C959" s="15">
        <v>26616590</v>
      </c>
      <c r="D959" s="15">
        <v>1997</v>
      </c>
      <c r="E959" s="15" t="str">
        <f>VLOOKUP(A959, Currency!$A$2:$B$100, 2, FALSE)</f>
        <v>GBP</v>
      </c>
      <c r="F959" s="15">
        <f ca="1">IFERROR(__xludf.DUMMYFUNCTION("IF(E959=""USD"",B959,B959 * GOOGLEFINANCE(""CURRENCY:"" &amp; E959 &amp; ""USD""))
"),77124000)</f>
        <v>77124000</v>
      </c>
      <c r="G959" s="16">
        <f ca="1">IFERROR(__xludf.DUMMYFUNCTION("IF(E959=""USD"",C959,C959 * GOOGLEFINANCE(""CURRENCY:"" &amp; E959 &amp; ""USD""))
"),34212964.786)</f>
        <v>34212964.785999998</v>
      </c>
    </row>
    <row r="960" spans="1:7" ht="15.75" customHeight="1" x14ac:dyDescent="0.25">
      <c r="A960" s="11" t="s">
        <v>24</v>
      </c>
      <c r="B960" s="12">
        <v>25000000</v>
      </c>
      <c r="C960" s="12">
        <v>16247775</v>
      </c>
      <c r="D960" s="12">
        <v>2005</v>
      </c>
      <c r="E960" s="12" t="str">
        <f>VLOOKUP(A960, Currency!$A$2:$B$100, 2, FALSE)</f>
        <v>USD</v>
      </c>
      <c r="F960" s="12">
        <f ca="1">IFERROR(__xludf.DUMMYFUNCTION("IF(E960=""USD"",B960,B960 * GOOGLEFINANCE(""CURRENCY:"" &amp; E960 &amp; ""USD""))
"),25000000)</f>
        <v>25000000</v>
      </c>
      <c r="G960" s="13">
        <f ca="1">IFERROR(__xludf.DUMMYFUNCTION("IF(E960=""USD"",C960,C960 * GOOGLEFINANCE(""CURRENCY:"" &amp; E960 &amp; ""USD""))
"),16247775)</f>
        <v>16247775</v>
      </c>
    </row>
    <row r="961" spans="1:7" ht="15.75" customHeight="1" x14ac:dyDescent="0.25">
      <c r="A961" s="14" t="s">
        <v>24</v>
      </c>
      <c r="B961" s="15">
        <v>53000000</v>
      </c>
      <c r="C961" s="15">
        <v>91400000</v>
      </c>
      <c r="D961" s="15">
        <v>1995</v>
      </c>
      <c r="E961" s="15" t="str">
        <f>VLOOKUP(A961, Currency!$A$2:$B$100, 2, FALSE)</f>
        <v>USD</v>
      </c>
      <c r="F961" s="15">
        <f ca="1">IFERROR(__xludf.DUMMYFUNCTION("IF(E961=""USD"",B961,B961 * GOOGLEFINANCE(""CURRENCY:"" &amp; E961 &amp; ""USD""))
"),53000000)</f>
        <v>53000000</v>
      </c>
      <c r="G961" s="16">
        <f ca="1">IFERROR(__xludf.DUMMYFUNCTION("IF(E961=""USD"",C961,C961 * GOOGLEFINANCE(""CURRENCY:"" &amp; E961 &amp; ""USD""))
"),91400000)</f>
        <v>91400000</v>
      </c>
    </row>
    <row r="962" spans="1:7" ht="15.75" customHeight="1" x14ac:dyDescent="0.25">
      <c r="A962" s="11" t="s">
        <v>24</v>
      </c>
      <c r="B962" s="12">
        <v>95000000</v>
      </c>
      <c r="C962" s="12">
        <v>17176900</v>
      </c>
      <c r="D962" s="12">
        <v>2014</v>
      </c>
      <c r="E962" s="12" t="str">
        <f>VLOOKUP(A962, Currency!$A$2:$B$100, 2, FALSE)</f>
        <v>USD</v>
      </c>
      <c r="F962" s="12">
        <f ca="1">IFERROR(__xludf.DUMMYFUNCTION("IF(E962=""USD"",B962,B962 * GOOGLEFINANCE(""CURRENCY:"" &amp; E962 &amp; ""USD""))
"),95000000)</f>
        <v>95000000</v>
      </c>
      <c r="G962" s="13">
        <f ca="1">IFERROR(__xludf.DUMMYFUNCTION("IF(E962=""USD"",C962,C962 * GOOGLEFINANCE(""CURRENCY:"" &amp; E962 &amp; ""USD""))
"),17176900)</f>
        <v>17176900</v>
      </c>
    </row>
    <row r="963" spans="1:7" ht="15.75" customHeight="1" x14ac:dyDescent="0.25">
      <c r="A963" s="14" t="s">
        <v>133</v>
      </c>
      <c r="B963" s="15">
        <v>8000000</v>
      </c>
      <c r="C963" s="15">
        <v>1071240</v>
      </c>
      <c r="D963" s="15">
        <v>2007</v>
      </c>
      <c r="E963" s="15" t="str">
        <f>VLOOKUP(A963, Currency!$A$2:$B$100, 2, FALSE)</f>
        <v>GBP</v>
      </c>
      <c r="F963" s="15">
        <f ca="1">IFERROR(__xludf.DUMMYFUNCTION("IF(E963=""USD"",B963,B963 * GOOGLEFINANCE(""CURRENCY:"" &amp; E963 &amp; ""USD""))
"),10283199.9999999)</f>
        <v>10283199.999999899</v>
      </c>
      <c r="G963" s="16">
        <f ca="1">IFERROR(__xludf.DUMMYFUNCTION("IF(E963=""USD"",C963,C963 * GOOGLEFINANCE(""CURRENCY:"" &amp; E963 &amp; ""USD""))
"),1376971.896)</f>
        <v>1376971.8959999999</v>
      </c>
    </row>
    <row r="964" spans="1:7" ht="15.75" customHeight="1" x14ac:dyDescent="0.25">
      <c r="A964" s="11" t="s">
        <v>24</v>
      </c>
      <c r="B964" s="12">
        <v>14000000</v>
      </c>
      <c r="C964" s="12">
        <v>12282677</v>
      </c>
      <c r="D964" s="12">
        <v>2015</v>
      </c>
      <c r="E964" s="12" t="str">
        <f>VLOOKUP(A964, Currency!$A$2:$B$100, 2, FALSE)</f>
        <v>USD</v>
      </c>
      <c r="F964" s="12">
        <f ca="1">IFERROR(__xludf.DUMMYFUNCTION("IF(E964=""USD"",B964,B964 * GOOGLEFINANCE(""CURRENCY:"" &amp; E964 &amp; ""USD""))
"),14000000)</f>
        <v>14000000</v>
      </c>
      <c r="G964" s="13">
        <f ca="1">IFERROR(__xludf.DUMMYFUNCTION("IF(E964=""USD"",C964,C964 * GOOGLEFINANCE(""CURRENCY:"" &amp; E964 &amp; ""USD""))
"),12282677)</f>
        <v>12282677</v>
      </c>
    </row>
    <row r="965" spans="1:7" ht="15.75" customHeight="1" x14ac:dyDescent="0.25">
      <c r="A965" s="14" t="s">
        <v>24</v>
      </c>
      <c r="B965" s="15">
        <v>139000000</v>
      </c>
      <c r="C965" s="15">
        <v>403706375</v>
      </c>
      <c r="D965" s="15">
        <v>2002</v>
      </c>
      <c r="E965" s="15" t="str">
        <f>VLOOKUP(A965, Currency!$A$2:$B$100, 2, FALSE)</f>
        <v>USD</v>
      </c>
      <c r="F965" s="15">
        <f ca="1">IFERROR(__xludf.DUMMYFUNCTION("IF(E965=""USD"",B965,B965 * GOOGLEFINANCE(""CURRENCY:"" &amp; E965 &amp; ""USD""))
"),139000000)</f>
        <v>139000000</v>
      </c>
      <c r="G965" s="16">
        <f ca="1">IFERROR(__xludf.DUMMYFUNCTION("IF(E965=""USD"",C965,C965 * GOOGLEFINANCE(""CURRENCY:"" &amp; E965 &amp; ""USD""))
"),403706375)</f>
        <v>403706375</v>
      </c>
    </row>
    <row r="966" spans="1:7" ht="15.75" customHeight="1" x14ac:dyDescent="0.25">
      <c r="A966" s="11" t="s">
        <v>24</v>
      </c>
      <c r="B966" s="12">
        <v>22000000</v>
      </c>
      <c r="C966" s="12">
        <v>4273372</v>
      </c>
      <c r="D966" s="12">
        <v>2001</v>
      </c>
      <c r="E966" s="12" t="str">
        <f>VLOOKUP(A966, Currency!$A$2:$B$100, 2, FALSE)</f>
        <v>USD</v>
      </c>
      <c r="F966" s="12">
        <f ca="1">IFERROR(__xludf.DUMMYFUNCTION("IF(E966=""USD"",B966,B966 * GOOGLEFINANCE(""CURRENCY:"" &amp; E966 &amp; ""USD""))
"),22000000)</f>
        <v>22000000</v>
      </c>
      <c r="G966" s="13">
        <f ca="1">IFERROR(__xludf.DUMMYFUNCTION("IF(E966=""USD"",C966,C966 * GOOGLEFINANCE(""CURRENCY:"" &amp; E966 &amp; ""USD""))
"),4273372)</f>
        <v>4273372</v>
      </c>
    </row>
    <row r="967" spans="1:7" ht="15.75" customHeight="1" x14ac:dyDescent="0.25">
      <c r="A967" s="14" t="s">
        <v>24</v>
      </c>
      <c r="B967" s="15">
        <v>4500000</v>
      </c>
      <c r="C967" s="15">
        <v>44793200</v>
      </c>
      <c r="D967" s="15">
        <v>1987</v>
      </c>
      <c r="E967" s="15" t="str">
        <f>VLOOKUP(A967, Currency!$A$2:$B$100, 2, FALSE)</f>
        <v>USD</v>
      </c>
      <c r="F967" s="15">
        <f ca="1">IFERROR(__xludf.DUMMYFUNCTION("IF(E967=""USD"",B967,B967 * GOOGLEFINANCE(""CURRENCY:"" &amp; E967 &amp; ""USD""))
"),4500000)</f>
        <v>4500000</v>
      </c>
      <c r="G967" s="16">
        <f ca="1">IFERROR(__xludf.DUMMYFUNCTION("IF(E967=""USD"",C967,C967 * GOOGLEFINANCE(""CURRENCY:"" &amp; E967 &amp; ""USD""))
"),44793200)</f>
        <v>44793200</v>
      </c>
    </row>
    <row r="968" spans="1:7" ht="15.75" customHeight="1" x14ac:dyDescent="0.25">
      <c r="A968" s="11" t="s">
        <v>133</v>
      </c>
      <c r="B968" s="12">
        <v>10000000</v>
      </c>
      <c r="C968" s="12">
        <v>598645</v>
      </c>
      <c r="D968" s="12">
        <v>2002</v>
      </c>
      <c r="E968" s="12" t="str">
        <f>VLOOKUP(A968, Currency!$A$2:$B$100, 2, FALSE)</f>
        <v>GBP</v>
      </c>
      <c r="F968" s="12">
        <f ca="1">IFERROR(__xludf.DUMMYFUNCTION("IF(E968=""USD"",B968,B968 * GOOGLEFINANCE(""CURRENCY:"" &amp; E968 &amp; ""USD""))
"),12853999.9999999)</f>
        <v>12853999.999999899</v>
      </c>
      <c r="G968" s="13">
        <f ca="1">IFERROR(__xludf.DUMMYFUNCTION("IF(E968=""USD"",C968,C968 * GOOGLEFINANCE(""CURRENCY:"" &amp; E968 &amp; ""USD""))
"),769498.282999999)</f>
        <v>769498.28299999901</v>
      </c>
    </row>
    <row r="969" spans="1:7" ht="15.75" customHeight="1" x14ac:dyDescent="0.25">
      <c r="A969" s="14" t="s">
        <v>24</v>
      </c>
      <c r="B969" s="15">
        <v>50000000</v>
      </c>
      <c r="C969" s="15">
        <v>33643461</v>
      </c>
      <c r="D969" s="15">
        <v>2010</v>
      </c>
      <c r="E969" s="15" t="str">
        <f>VLOOKUP(A969, Currency!$A$2:$B$100, 2, FALSE)</f>
        <v>USD</v>
      </c>
      <c r="F969" s="15">
        <f ca="1">IFERROR(__xludf.DUMMYFUNCTION("IF(E969=""USD"",B969,B969 * GOOGLEFINANCE(""CURRENCY:"" &amp; E969 &amp; ""USD""))
"),50000000)</f>
        <v>50000000</v>
      </c>
      <c r="G969" s="16">
        <f ca="1">IFERROR(__xludf.DUMMYFUNCTION("IF(E969=""USD"",C969,C969 * GOOGLEFINANCE(""CURRENCY:"" &amp; E969 &amp; ""USD""))
"),33643461)</f>
        <v>33643461</v>
      </c>
    </row>
    <row r="970" spans="1:7" ht="15.75" customHeight="1" x14ac:dyDescent="0.25">
      <c r="A970" s="11" t="s">
        <v>24</v>
      </c>
      <c r="B970" s="12">
        <v>17000000</v>
      </c>
      <c r="C970" s="12">
        <v>22734486</v>
      </c>
      <c r="D970" s="12">
        <v>2003</v>
      </c>
      <c r="E970" s="12" t="str">
        <f>VLOOKUP(A970, Currency!$A$2:$B$100, 2, FALSE)</f>
        <v>USD</v>
      </c>
      <c r="F970" s="12">
        <f ca="1">IFERROR(__xludf.DUMMYFUNCTION("IF(E970=""USD"",B970,B970 * GOOGLEFINANCE(""CURRENCY:"" &amp; E970 &amp; ""USD""))
"),17000000)</f>
        <v>17000000</v>
      </c>
      <c r="G970" s="13">
        <f ca="1">IFERROR(__xludf.DUMMYFUNCTION("IF(E970=""USD"",C970,C970 * GOOGLEFINANCE(""CURRENCY:"" &amp; E970 &amp; ""USD""))
"),22734486)</f>
        <v>22734486</v>
      </c>
    </row>
    <row r="971" spans="1:7" ht="15.75" customHeight="1" x14ac:dyDescent="0.25">
      <c r="A971" s="14" t="s">
        <v>24</v>
      </c>
      <c r="B971" s="15">
        <v>14000000</v>
      </c>
      <c r="C971" s="15">
        <v>15483540</v>
      </c>
      <c r="D971" s="15">
        <v>2009</v>
      </c>
      <c r="E971" s="15" t="str">
        <f>VLOOKUP(A971, Currency!$A$2:$B$100, 2, FALSE)</f>
        <v>USD</v>
      </c>
      <c r="F971" s="15">
        <f ca="1">IFERROR(__xludf.DUMMYFUNCTION("IF(E971=""USD"",B971,B971 * GOOGLEFINANCE(""CURRENCY:"" &amp; E971 &amp; ""USD""))
"),14000000)</f>
        <v>14000000</v>
      </c>
      <c r="G971" s="16">
        <f ca="1">IFERROR(__xludf.DUMMYFUNCTION("IF(E971=""USD"",C971,C971 * GOOGLEFINANCE(""CURRENCY:"" &amp; E971 &amp; ""USD""))
"),15483540)</f>
        <v>15483540</v>
      </c>
    </row>
    <row r="972" spans="1:7" ht="15.75" customHeight="1" x14ac:dyDescent="0.25">
      <c r="A972" s="11" t="s">
        <v>24</v>
      </c>
      <c r="B972" s="12">
        <v>4000000</v>
      </c>
      <c r="C972" s="12">
        <v>1325073</v>
      </c>
      <c r="D972" s="12">
        <v>2005</v>
      </c>
      <c r="E972" s="12" t="str">
        <f>VLOOKUP(A972, Currency!$A$2:$B$100, 2, FALSE)</f>
        <v>USD</v>
      </c>
      <c r="F972" s="12">
        <f ca="1">IFERROR(__xludf.DUMMYFUNCTION("IF(E972=""USD"",B972,B972 * GOOGLEFINANCE(""CURRENCY:"" &amp; E972 &amp; ""USD""))
"),4000000)</f>
        <v>4000000</v>
      </c>
      <c r="G972" s="13">
        <f ca="1">IFERROR(__xludf.DUMMYFUNCTION("IF(E972=""USD"",C972,C972 * GOOGLEFINANCE(""CURRENCY:"" &amp; E972 &amp; ""USD""))
"),1325073)</f>
        <v>1325073</v>
      </c>
    </row>
    <row r="973" spans="1:7" ht="15.75" customHeight="1" x14ac:dyDescent="0.25">
      <c r="A973" s="14" t="s">
        <v>24</v>
      </c>
      <c r="B973" s="15">
        <v>1500000</v>
      </c>
      <c r="C973" s="15">
        <v>7417210</v>
      </c>
      <c r="D973" s="15">
        <v>1995</v>
      </c>
      <c r="E973" s="15" t="str">
        <f>VLOOKUP(A973, Currency!$A$2:$B$100, 2, FALSE)</f>
        <v>USD</v>
      </c>
      <c r="F973" s="15">
        <f ca="1">IFERROR(__xludf.DUMMYFUNCTION("IF(E973=""USD"",B973,B973 * GOOGLEFINANCE(""CURRENCY:"" &amp; E973 &amp; ""USD""))
"),1500000)</f>
        <v>1500000</v>
      </c>
      <c r="G973" s="16">
        <f ca="1">IFERROR(__xludf.DUMMYFUNCTION("IF(E973=""USD"",C973,C973 * GOOGLEFINANCE(""CURRENCY:"" &amp; E973 &amp; ""USD""))
"),7417210)</f>
        <v>7417210</v>
      </c>
    </row>
    <row r="974" spans="1:7" ht="15.75" customHeight="1" x14ac:dyDescent="0.25">
      <c r="A974" s="11" t="s">
        <v>24</v>
      </c>
      <c r="B974" s="12">
        <v>40000000</v>
      </c>
      <c r="C974" s="12">
        <v>87666629</v>
      </c>
      <c r="D974" s="12">
        <v>1990</v>
      </c>
      <c r="E974" s="12" t="str">
        <f>VLOOKUP(A974, Currency!$A$2:$B$100, 2, FALSE)</f>
        <v>USD</v>
      </c>
      <c r="F974" s="12">
        <f ca="1">IFERROR(__xludf.DUMMYFUNCTION("IF(E974=""USD"",B974,B974 * GOOGLEFINANCE(""CURRENCY:"" &amp; E974 &amp; ""USD""))
"),40000000)</f>
        <v>40000000</v>
      </c>
      <c r="G974" s="13">
        <f ca="1">IFERROR(__xludf.DUMMYFUNCTION("IF(E974=""USD"",C974,C974 * GOOGLEFINANCE(""CURRENCY:"" &amp; E974 &amp; ""USD""))
"),87666629)</f>
        <v>87666629</v>
      </c>
    </row>
    <row r="975" spans="1:7" ht="15.75" customHeight="1" x14ac:dyDescent="0.25">
      <c r="A975" s="14" t="s">
        <v>24</v>
      </c>
      <c r="B975" s="15">
        <v>185000000</v>
      </c>
      <c r="C975" s="15">
        <v>317011114</v>
      </c>
      <c r="D975" s="15">
        <v>2008</v>
      </c>
      <c r="E975" s="15" t="str">
        <f>VLOOKUP(A975, Currency!$A$2:$B$100, 2, FALSE)</f>
        <v>USD</v>
      </c>
      <c r="F975" s="15">
        <f ca="1">IFERROR(__xludf.DUMMYFUNCTION("IF(E975=""USD"",B975,B975 * GOOGLEFINANCE(""CURRENCY:"" &amp; E975 &amp; ""USD""))
"),185000000)</f>
        <v>185000000</v>
      </c>
      <c r="G975" s="16">
        <f ca="1">IFERROR(__xludf.DUMMYFUNCTION("IF(E975=""USD"",C975,C975 * GOOGLEFINANCE(""CURRENCY:"" &amp; E975 &amp; ""USD""))
"),317011114)</f>
        <v>317011114</v>
      </c>
    </row>
    <row r="976" spans="1:7" ht="15.75" customHeight="1" x14ac:dyDescent="0.25">
      <c r="A976" s="11" t="s">
        <v>24</v>
      </c>
      <c r="B976" s="12">
        <v>80000000</v>
      </c>
      <c r="C976" s="12">
        <v>65948711</v>
      </c>
      <c r="D976" s="12">
        <v>2004</v>
      </c>
      <c r="E976" s="12" t="str">
        <f>VLOOKUP(A976, Currency!$A$2:$B$100, 2, FALSE)</f>
        <v>USD</v>
      </c>
      <c r="F976" s="12">
        <f ca="1">IFERROR(__xludf.DUMMYFUNCTION("IF(E976=""USD"",B976,B976 * GOOGLEFINANCE(""CURRENCY:"" &amp; E976 &amp; ""USD""))
"),80000000)</f>
        <v>80000000</v>
      </c>
      <c r="G976" s="13">
        <f ca="1">IFERROR(__xludf.DUMMYFUNCTION("IF(E976=""USD"",C976,C976 * GOOGLEFINANCE(""CURRENCY:"" &amp; E976 &amp; ""USD""))
"),65948711)</f>
        <v>65948711</v>
      </c>
    </row>
    <row r="977" spans="1:7" ht="15.75" customHeight="1" x14ac:dyDescent="0.25">
      <c r="A977" s="14" t="s">
        <v>24</v>
      </c>
      <c r="B977" s="15">
        <v>2500000</v>
      </c>
      <c r="C977" s="15">
        <v>3325638</v>
      </c>
      <c r="D977" s="15">
        <v>2012</v>
      </c>
      <c r="E977" s="15" t="str">
        <f>VLOOKUP(A977, Currency!$A$2:$B$100, 2, FALSE)</f>
        <v>USD</v>
      </c>
      <c r="F977" s="15">
        <f ca="1">IFERROR(__xludf.DUMMYFUNCTION("IF(E977=""USD"",B977,B977 * GOOGLEFINANCE(""CURRENCY:"" &amp; E977 &amp; ""USD""))
"),2500000)</f>
        <v>2500000</v>
      </c>
      <c r="G977" s="16">
        <f ca="1">IFERROR(__xludf.DUMMYFUNCTION("IF(E977=""USD"",C977,C977 * GOOGLEFINANCE(""CURRENCY:"" &amp; E977 &amp; ""USD""))
"),3325638)</f>
        <v>3325638</v>
      </c>
    </row>
    <row r="978" spans="1:7" ht="15.75" customHeight="1" x14ac:dyDescent="0.25">
      <c r="A978" s="11" t="s">
        <v>149</v>
      </c>
      <c r="B978" s="12">
        <v>30000000</v>
      </c>
      <c r="C978" s="12">
        <v>66600000</v>
      </c>
      <c r="D978" s="12">
        <v>1995</v>
      </c>
      <c r="E978" s="12" t="str">
        <f>VLOOKUP(A978, Currency!$A$2:$B$100, 2, FALSE)</f>
        <v>AUD</v>
      </c>
      <c r="F978" s="12">
        <f ca="1">IFERROR(__xludf.DUMMYFUNCTION("IF(E978=""USD"",B978,B978 * GOOGLEFINANCE(""CURRENCY:"" &amp; E978 &amp; ""USD""))
"),19616400)</f>
        <v>19616400</v>
      </c>
      <c r="G978" s="13">
        <f ca="1">IFERROR(__xludf.DUMMYFUNCTION("IF(E978=""USD"",C978,C978 * GOOGLEFINANCE(""CURRENCY:"" &amp; E978 &amp; ""USD""))
"),43548408)</f>
        <v>43548408</v>
      </c>
    </row>
    <row r="979" spans="1:7" ht="15.75" customHeight="1" x14ac:dyDescent="0.25">
      <c r="A979" s="14" t="s">
        <v>24</v>
      </c>
      <c r="B979" s="15">
        <v>6000000</v>
      </c>
      <c r="C979" s="15">
        <v>27457409</v>
      </c>
      <c r="D979" s="15">
        <v>2001</v>
      </c>
      <c r="E979" s="15" t="str">
        <f>VLOOKUP(A979, Currency!$A$2:$B$100, 2, FALSE)</f>
        <v>USD</v>
      </c>
      <c r="F979" s="15">
        <f ca="1">IFERROR(__xludf.DUMMYFUNCTION("IF(E979=""USD"",B979,B979 * GOOGLEFINANCE(""CURRENCY:"" &amp; E979 &amp; ""USD""))
"),6000000)</f>
        <v>6000000</v>
      </c>
      <c r="G979" s="16">
        <f ca="1">IFERROR(__xludf.DUMMYFUNCTION("IF(E979=""USD"",C979,C979 * GOOGLEFINANCE(""CURRENCY:"" &amp; E979 &amp; ""USD""))
"),27457409)</f>
        <v>27457409</v>
      </c>
    </row>
    <row r="980" spans="1:7" ht="15.75" customHeight="1" x14ac:dyDescent="0.25">
      <c r="A980" s="11" t="s">
        <v>24</v>
      </c>
      <c r="B980" s="12">
        <v>28000000</v>
      </c>
      <c r="C980" s="12">
        <v>63910583</v>
      </c>
      <c r="D980" s="12">
        <v>2013</v>
      </c>
      <c r="E980" s="12" t="str">
        <f>VLOOKUP(A980, Currency!$A$2:$B$100, 2, FALSE)</f>
        <v>USD</v>
      </c>
      <c r="F980" s="12">
        <f ca="1">IFERROR(__xludf.DUMMYFUNCTION("IF(E980=""USD"",B980,B980 * GOOGLEFINANCE(""CURRENCY:"" &amp; E980 &amp; ""USD""))
"),28000000)</f>
        <v>28000000</v>
      </c>
      <c r="G980" s="13">
        <f ca="1">IFERROR(__xludf.DUMMYFUNCTION("IF(E980=""USD"",C980,C980 * GOOGLEFINANCE(""CURRENCY:"" &amp; E980 &amp; ""USD""))
"),63910583)</f>
        <v>63910583</v>
      </c>
    </row>
    <row r="981" spans="1:7" ht="15.75" customHeight="1" x14ac:dyDescent="0.25">
      <c r="A981" s="14" t="s">
        <v>133</v>
      </c>
      <c r="B981" s="15">
        <v>35000000</v>
      </c>
      <c r="C981" s="15">
        <v>28995450</v>
      </c>
      <c r="D981" s="15">
        <v>2010</v>
      </c>
      <c r="E981" s="15" t="str">
        <f>VLOOKUP(A981, Currency!$A$2:$B$100, 2, FALSE)</f>
        <v>GBP</v>
      </c>
      <c r="F981" s="15">
        <f ca="1">IFERROR(__xludf.DUMMYFUNCTION("IF(E981=""USD"",B981,B981 * GOOGLEFINANCE(""CURRENCY:"" &amp; E981 &amp; ""USD""))
"),44988999.9999999)</f>
        <v>44988999.999999903</v>
      </c>
      <c r="G981" s="16">
        <f ca="1">IFERROR(__xludf.DUMMYFUNCTION("IF(E981=""USD"",C981,C981 * GOOGLEFINANCE(""CURRENCY:"" &amp; E981 &amp; ""USD""))
"),37270751.43)</f>
        <v>37270751.43</v>
      </c>
    </row>
    <row r="982" spans="1:7" ht="15.75" customHeight="1" x14ac:dyDescent="0.25">
      <c r="A982" s="11" t="s">
        <v>2083</v>
      </c>
      <c r="B982" s="12">
        <v>34000000</v>
      </c>
      <c r="C982" s="12">
        <v>4091</v>
      </c>
      <c r="D982" s="12">
        <v>2013</v>
      </c>
      <c r="E982" s="12" t="str">
        <f>VLOOKUP(A982, Currency!$A$2:$B$100, 2, FALSE)</f>
        <v>EUR</v>
      </c>
      <c r="F982" s="12">
        <f ca="1">IFERROR(__xludf.DUMMYFUNCTION("IF(E982=""USD"",B982,B982 * GOOGLEFINANCE(""CURRENCY:"" &amp; E982 &amp; ""USD""))
"),36881160)</f>
        <v>36881160</v>
      </c>
      <c r="G982" s="13">
        <f ca="1">IFERROR(__xludf.DUMMYFUNCTION("IF(E982=""USD"",C982,C982 * GOOGLEFINANCE(""CURRENCY:"" &amp; E982 &amp; ""USD""))
"),4437.67134)</f>
        <v>4437.6713399999999</v>
      </c>
    </row>
    <row r="983" spans="1:7" ht="15.75" customHeight="1" x14ac:dyDescent="0.25">
      <c r="A983" s="14" t="s">
        <v>24</v>
      </c>
      <c r="B983" s="15">
        <v>12000000</v>
      </c>
      <c r="C983" s="15">
        <v>175370</v>
      </c>
      <c r="D983" s="15">
        <v>1999</v>
      </c>
      <c r="E983" s="15" t="str">
        <f>VLOOKUP(A983, Currency!$A$2:$B$100, 2, FALSE)</f>
        <v>USD</v>
      </c>
      <c r="F983" s="15">
        <f ca="1">IFERROR(__xludf.DUMMYFUNCTION("IF(E983=""USD"",B983,B983 * GOOGLEFINANCE(""CURRENCY:"" &amp; E983 &amp; ""USD""))
"),12000000)</f>
        <v>12000000</v>
      </c>
      <c r="G983" s="16">
        <f ca="1">IFERROR(__xludf.DUMMYFUNCTION("IF(E983=""USD"",C983,C983 * GOOGLEFINANCE(""CURRENCY:"" &amp; E983 &amp; ""USD""))
"),175370)</f>
        <v>175370</v>
      </c>
    </row>
    <row r="984" spans="1:7" ht="15.75" customHeight="1" x14ac:dyDescent="0.25">
      <c r="A984" s="11" t="s">
        <v>133</v>
      </c>
      <c r="B984" s="12">
        <v>55000000</v>
      </c>
      <c r="C984" s="12">
        <v>16264475</v>
      </c>
      <c r="D984" s="12">
        <v>2007</v>
      </c>
      <c r="E984" s="12" t="str">
        <f>VLOOKUP(A984, Currency!$A$2:$B$100, 2, FALSE)</f>
        <v>GBP</v>
      </c>
      <c r="F984" s="12">
        <f ca="1">IFERROR(__xludf.DUMMYFUNCTION("IF(E984=""USD"",B984,B984 * GOOGLEFINANCE(""CURRENCY:"" &amp; E984 &amp; ""USD""))
"),70697000)</f>
        <v>70697000</v>
      </c>
      <c r="G984" s="13">
        <f ca="1">IFERROR(__xludf.DUMMYFUNCTION("IF(E984=""USD"",C984,C984 * GOOGLEFINANCE(""CURRENCY:"" &amp; E984 &amp; ""USD""))
"),20906356.165)</f>
        <v>20906356.164999999</v>
      </c>
    </row>
    <row r="985" spans="1:7" ht="15.75" customHeight="1" x14ac:dyDescent="0.25">
      <c r="A985" s="14" t="s">
        <v>3634</v>
      </c>
      <c r="B985" s="15">
        <v>2500000000</v>
      </c>
      <c r="C985" s="15">
        <v>195888</v>
      </c>
      <c r="D985" s="15">
        <v>2005</v>
      </c>
      <c r="E985" s="15" t="str">
        <f>VLOOKUP(A985, Currency!$A$2:$B$100, 2, FALSE)</f>
        <v>HUF</v>
      </c>
      <c r="F985" s="15">
        <f ca="1">IFERROR(__xludf.DUMMYFUNCTION("IF(E985=""USD"",B985,B985 * GOOGLEFINANCE(""CURRENCY:"" &amp; E985 &amp; ""USD""))
"),6908935)</f>
        <v>6908935</v>
      </c>
      <c r="G985" s="16">
        <f ca="1">IFERROR(__xludf.DUMMYFUNCTION("IF(E985=""USD"",C985,C985 * GOOGLEFINANCE(""CURRENCY:"" &amp; E985 &amp; ""USD""))
"),541.350983712)</f>
        <v>541.35098371200002</v>
      </c>
    </row>
    <row r="986" spans="1:7" ht="15.75" customHeight="1" x14ac:dyDescent="0.25">
      <c r="A986" s="11" t="s">
        <v>24</v>
      </c>
      <c r="B986" s="12">
        <v>90000000</v>
      </c>
      <c r="C986" s="12">
        <v>233630478</v>
      </c>
      <c r="D986" s="12">
        <v>2000</v>
      </c>
      <c r="E986" s="12" t="str">
        <f>VLOOKUP(A986, Currency!$A$2:$B$100, 2, FALSE)</f>
        <v>USD</v>
      </c>
      <c r="F986" s="12">
        <f ca="1">IFERROR(__xludf.DUMMYFUNCTION("IF(E986=""USD"",B986,B986 * GOOGLEFINANCE(""CURRENCY:"" &amp; E986 &amp; ""USD""))
"),90000000)</f>
        <v>90000000</v>
      </c>
      <c r="G986" s="13">
        <f ca="1">IFERROR(__xludf.DUMMYFUNCTION("IF(E986=""USD"",C986,C986 * GOOGLEFINANCE(""CURRENCY:"" &amp; E986 &amp; ""USD""))
"),233630478)</f>
        <v>233630478</v>
      </c>
    </row>
    <row r="987" spans="1:7" ht="15.75" customHeight="1" x14ac:dyDescent="0.25">
      <c r="A987" s="14" t="s">
        <v>24</v>
      </c>
      <c r="B987" s="15">
        <v>40000000</v>
      </c>
      <c r="C987" s="15">
        <v>72266306</v>
      </c>
      <c r="D987" s="15">
        <v>2008</v>
      </c>
      <c r="E987" s="15" t="str">
        <f>VLOOKUP(A987, Currency!$A$2:$B$100, 2, FALSE)</f>
        <v>USD</v>
      </c>
      <c r="F987" s="15">
        <f ca="1">IFERROR(__xludf.DUMMYFUNCTION("IF(E987=""USD"",B987,B987 * GOOGLEFINANCE(""CURRENCY:"" &amp; E987 &amp; ""USD""))
"),40000000)</f>
        <v>40000000</v>
      </c>
      <c r="G987" s="16">
        <f ca="1">IFERROR(__xludf.DUMMYFUNCTION("IF(E987=""USD"",C987,C987 * GOOGLEFINANCE(""CURRENCY:"" &amp; E987 &amp; ""USD""))
"),72266306)</f>
        <v>72266306</v>
      </c>
    </row>
    <row r="988" spans="1:7" ht="15.75" customHeight="1" x14ac:dyDescent="0.25">
      <c r="A988" s="11" t="s">
        <v>24</v>
      </c>
      <c r="B988" s="12">
        <v>100000000</v>
      </c>
      <c r="C988" s="12">
        <v>180011740</v>
      </c>
      <c r="D988" s="12">
        <v>2001</v>
      </c>
      <c r="E988" s="12" t="str">
        <f>VLOOKUP(A988, Currency!$A$2:$B$100, 2, FALSE)</f>
        <v>USD</v>
      </c>
      <c r="F988" s="12">
        <f ca="1">IFERROR(__xludf.DUMMYFUNCTION("IF(E988=""USD"",B988,B988 * GOOGLEFINANCE(""CURRENCY:"" &amp; E988 &amp; ""USD""))
"),100000000)</f>
        <v>100000000</v>
      </c>
      <c r="G988" s="13">
        <f ca="1">IFERROR(__xludf.DUMMYFUNCTION("IF(E988=""USD"",C988,C988 * GOOGLEFINANCE(""CURRENCY:"" &amp; E988 &amp; ""USD""))
"),180011740)</f>
        <v>180011740</v>
      </c>
    </row>
    <row r="989" spans="1:7" ht="15.75" customHeight="1" x14ac:dyDescent="0.25">
      <c r="A989" s="14" t="s">
        <v>41</v>
      </c>
      <c r="B989" s="15">
        <v>9000000</v>
      </c>
      <c r="C989" s="15">
        <v>349618</v>
      </c>
      <c r="D989" s="15">
        <v>1990</v>
      </c>
      <c r="E989" s="15" t="str">
        <f>VLOOKUP(A989, Currency!$A$2:$B$100, 2, FALSE)</f>
        <v>EUR</v>
      </c>
      <c r="F989" s="15">
        <f ca="1">IFERROR(__xludf.DUMMYFUNCTION("IF(E989=""USD"",B989,B989 * GOOGLEFINANCE(""CURRENCY:"" &amp; E989 &amp; ""USD""))
"),9762660)</f>
        <v>9762660</v>
      </c>
      <c r="G989" s="16">
        <f ca="1">IFERROR(__xludf.DUMMYFUNCTION("IF(E989=""USD"",C989,C989 * GOOGLEFINANCE(""CURRENCY:"" &amp; E989 &amp; ""USD""))
"),379244.62932)</f>
        <v>379244.62932000001</v>
      </c>
    </row>
    <row r="990" spans="1:7" ht="15.75" customHeight="1" x14ac:dyDescent="0.25">
      <c r="A990" s="11" t="s">
        <v>24</v>
      </c>
      <c r="B990" s="12">
        <v>90000000</v>
      </c>
      <c r="C990" s="12">
        <v>71148699</v>
      </c>
      <c r="D990" s="12">
        <v>2008</v>
      </c>
      <c r="E990" s="12" t="str">
        <f>VLOOKUP(A990, Currency!$A$2:$B$100, 2, FALSE)</f>
        <v>USD</v>
      </c>
      <c r="F990" s="12">
        <f ca="1">IFERROR(__xludf.DUMMYFUNCTION("IF(E990=""USD"",B990,B990 * GOOGLEFINANCE(""CURRENCY:"" &amp; E990 &amp; ""USD""))
"),90000000)</f>
        <v>90000000</v>
      </c>
      <c r="G990" s="13">
        <f ca="1">IFERROR(__xludf.DUMMYFUNCTION("IF(E990=""USD"",C990,C990 * GOOGLEFINANCE(""CURRENCY:"" &amp; E990 &amp; ""USD""))
"),71148699)</f>
        <v>71148699</v>
      </c>
    </row>
    <row r="991" spans="1:7" ht="15.75" customHeight="1" x14ac:dyDescent="0.25">
      <c r="A991" s="14" t="s">
        <v>24</v>
      </c>
      <c r="B991" s="15">
        <v>72000000</v>
      </c>
      <c r="C991" s="15">
        <v>27796042</v>
      </c>
      <c r="D991" s="15">
        <v>2001</v>
      </c>
      <c r="E991" s="15" t="str">
        <f>VLOOKUP(A991, Currency!$A$2:$B$100, 2, FALSE)</f>
        <v>USD</v>
      </c>
      <c r="F991" s="15">
        <f ca="1">IFERROR(__xludf.DUMMYFUNCTION("IF(E991=""USD"",B991,B991 * GOOGLEFINANCE(""CURRENCY:"" &amp; E991 &amp; ""USD""))
"),72000000)</f>
        <v>72000000</v>
      </c>
      <c r="G991" s="16">
        <f ca="1">IFERROR(__xludf.DUMMYFUNCTION("IF(E991=""USD"",C991,C991 * GOOGLEFINANCE(""CURRENCY:"" &amp; E991 &amp; ""USD""))
"),27796042)</f>
        <v>27796042</v>
      </c>
    </row>
    <row r="992" spans="1:7" ht="15.75" customHeight="1" x14ac:dyDescent="0.25">
      <c r="A992" s="11" t="s">
        <v>24</v>
      </c>
      <c r="B992" s="12">
        <v>68000000</v>
      </c>
      <c r="C992" s="12">
        <v>51396781</v>
      </c>
      <c r="D992" s="12">
        <v>2001</v>
      </c>
      <c r="E992" s="12" t="str">
        <f>VLOOKUP(A992, Currency!$A$2:$B$100, 2, FALSE)</f>
        <v>USD</v>
      </c>
      <c r="F992" s="12">
        <f ca="1">IFERROR(__xludf.DUMMYFUNCTION("IF(E992=""USD"",B992,B992 * GOOGLEFINANCE(""CURRENCY:"" &amp; E992 &amp; ""USD""))
"),68000000)</f>
        <v>68000000</v>
      </c>
      <c r="G992" s="13">
        <f ca="1">IFERROR(__xludf.DUMMYFUNCTION("IF(E992=""USD"",C992,C992 * GOOGLEFINANCE(""CURRENCY:"" &amp; E992 &amp; ""USD""))
"),51396781)</f>
        <v>51396781</v>
      </c>
    </row>
    <row r="993" spans="1:7" ht="15.75" customHeight="1" x14ac:dyDescent="0.25">
      <c r="A993" s="14" t="s">
        <v>24</v>
      </c>
      <c r="B993" s="15">
        <v>8000000</v>
      </c>
      <c r="C993" s="15">
        <v>16699684</v>
      </c>
      <c r="D993" s="15">
        <v>2009</v>
      </c>
      <c r="E993" s="15" t="str">
        <f>VLOOKUP(A993, Currency!$A$2:$B$100, 2, FALSE)</f>
        <v>USD</v>
      </c>
      <c r="F993" s="15">
        <f ca="1">IFERROR(__xludf.DUMMYFUNCTION("IF(E993=""USD"",B993,B993 * GOOGLEFINANCE(""CURRENCY:"" &amp; E993 &amp; ""USD""))
"),8000000)</f>
        <v>8000000</v>
      </c>
      <c r="G993" s="16">
        <f ca="1">IFERROR(__xludf.DUMMYFUNCTION("IF(E993=""USD"",C993,C993 * GOOGLEFINANCE(""CURRENCY:"" &amp; E993 &amp; ""USD""))
"),16699684)</f>
        <v>16699684</v>
      </c>
    </row>
    <row r="994" spans="1:7" ht="15.75" customHeight="1" x14ac:dyDescent="0.25">
      <c r="A994" s="11" t="s">
        <v>24</v>
      </c>
      <c r="B994" s="12">
        <v>30000000</v>
      </c>
      <c r="C994" s="12">
        <v>10134754</v>
      </c>
      <c r="D994" s="12">
        <v>2011</v>
      </c>
      <c r="E994" s="12" t="str">
        <f>VLOOKUP(A994, Currency!$A$2:$B$100, 2, FALSE)</f>
        <v>USD</v>
      </c>
      <c r="F994" s="12">
        <f ca="1">IFERROR(__xludf.DUMMYFUNCTION("IF(E994=""USD"",B994,B994 * GOOGLEFINANCE(""CURRENCY:"" &amp; E994 &amp; ""USD""))
"),30000000)</f>
        <v>30000000</v>
      </c>
      <c r="G994" s="13">
        <f ca="1">IFERROR(__xludf.DUMMYFUNCTION("IF(E994=""USD"",C994,C994 * GOOGLEFINANCE(""CURRENCY:"" &amp; E994 &amp; ""USD""))
"),10134754)</f>
        <v>10134754</v>
      </c>
    </row>
    <row r="995" spans="1:7" ht="15.75" customHeight="1" x14ac:dyDescent="0.25">
      <c r="A995" s="14" t="s">
        <v>24</v>
      </c>
      <c r="B995" s="15">
        <v>100000000</v>
      </c>
      <c r="C995" s="15">
        <v>130127620</v>
      </c>
      <c r="D995" s="15">
        <v>2007</v>
      </c>
      <c r="E995" s="15" t="str">
        <f>VLOOKUP(A995, Currency!$A$2:$B$100, 2, FALSE)</f>
        <v>USD</v>
      </c>
      <c r="F995" s="15">
        <f ca="1">IFERROR(__xludf.DUMMYFUNCTION("IF(E995=""USD"",B995,B995 * GOOGLEFINANCE(""CURRENCY:"" &amp; E995 &amp; ""USD""))
"),100000000)</f>
        <v>100000000</v>
      </c>
      <c r="G995" s="16">
        <f ca="1">IFERROR(__xludf.DUMMYFUNCTION("IF(E995=""USD"",C995,C995 * GOOGLEFINANCE(""CURRENCY:"" &amp; E995 &amp; ""USD""))
"),130127620)</f>
        <v>130127620</v>
      </c>
    </row>
    <row r="996" spans="1:7" ht="15.75" customHeight="1" x14ac:dyDescent="0.25">
      <c r="A996" s="11" t="s">
        <v>24</v>
      </c>
      <c r="B996" s="12">
        <v>47000000</v>
      </c>
      <c r="C996" s="12">
        <v>10539414</v>
      </c>
      <c r="D996" s="12">
        <v>2010</v>
      </c>
      <c r="E996" s="12" t="str">
        <f>VLOOKUP(A996, Currency!$A$2:$B$100, 2, FALSE)</f>
        <v>USD</v>
      </c>
      <c r="F996" s="12">
        <f ca="1">IFERROR(__xludf.DUMMYFUNCTION("IF(E996=""USD"",B996,B996 * GOOGLEFINANCE(""CURRENCY:"" &amp; E996 &amp; ""USD""))
"),47000000)</f>
        <v>47000000</v>
      </c>
      <c r="G996" s="13">
        <f ca="1">IFERROR(__xludf.DUMMYFUNCTION("IF(E996=""USD"",C996,C996 * GOOGLEFINANCE(""CURRENCY:"" &amp; E996 &amp; ""USD""))
"),10539414)</f>
        <v>10539414</v>
      </c>
    </row>
    <row r="997" spans="1:7" ht="15.75" customHeight="1" x14ac:dyDescent="0.25">
      <c r="A997" s="14" t="s">
        <v>24</v>
      </c>
      <c r="B997" s="15">
        <v>10700000</v>
      </c>
      <c r="C997" s="15">
        <v>76600000</v>
      </c>
      <c r="D997" s="15">
        <v>1982</v>
      </c>
      <c r="E997" s="15" t="str">
        <f>VLOOKUP(A997, Currency!$A$2:$B$100, 2, FALSE)</f>
        <v>USD</v>
      </c>
      <c r="F997" s="15">
        <f ca="1">IFERROR(__xludf.DUMMYFUNCTION("IF(E997=""USD"",B997,B997 * GOOGLEFINANCE(""CURRENCY:"" &amp; E997 &amp; ""USD""))
"),10700000)</f>
        <v>10700000</v>
      </c>
      <c r="G997" s="16">
        <f ca="1">IFERROR(__xludf.DUMMYFUNCTION("IF(E997=""USD"",C997,C997 * GOOGLEFINANCE(""CURRENCY:"" &amp; E997 &amp; ""USD""))
"),76600000)</f>
        <v>76600000</v>
      </c>
    </row>
    <row r="998" spans="1:7" ht="15.75" customHeight="1" x14ac:dyDescent="0.25">
      <c r="A998" s="11" t="s">
        <v>176</v>
      </c>
      <c r="B998" s="12">
        <v>6500000</v>
      </c>
      <c r="C998" s="12">
        <v>54557348</v>
      </c>
      <c r="D998" s="12">
        <v>2004</v>
      </c>
      <c r="E998" s="12" t="str">
        <f>VLOOKUP(A998, Currency!$A$2:$B$100, 2, FALSE)</f>
        <v>EUR</v>
      </c>
      <c r="F998" s="12">
        <f ca="1">IFERROR(__xludf.DUMMYFUNCTION("IF(E998=""USD"",B998,B998 * GOOGLEFINANCE(""CURRENCY:"" &amp; E998 &amp; ""USD""))
"),7050810)</f>
        <v>7050810</v>
      </c>
      <c r="G998" s="13">
        <f ca="1">IFERROR(__xludf.DUMMYFUNCTION("IF(E998=""USD"",C998,C998 * GOOGLEFINANCE(""CURRENCY:"" &amp; E998 &amp; ""USD""))
"),59180537.66952)</f>
        <v>59180537.669519998</v>
      </c>
    </row>
    <row r="999" spans="1:7" ht="15.75" customHeight="1" x14ac:dyDescent="0.25">
      <c r="A999" s="14" t="s">
        <v>24</v>
      </c>
      <c r="B999" s="15">
        <v>3000000</v>
      </c>
      <c r="C999" s="15">
        <v>1821983</v>
      </c>
      <c r="D999" s="15">
        <v>2014</v>
      </c>
      <c r="E999" s="15" t="str">
        <f>VLOOKUP(A999, Currency!$A$2:$B$100, 2, FALSE)</f>
        <v>USD</v>
      </c>
      <c r="F999" s="15">
        <f ca="1">IFERROR(__xludf.DUMMYFUNCTION("IF(E999=""USD"",B999,B999 * GOOGLEFINANCE(""CURRENCY:"" &amp; E999 &amp; ""USD""))
"),3000000)</f>
        <v>3000000</v>
      </c>
      <c r="G999" s="16">
        <f ca="1">IFERROR(__xludf.DUMMYFUNCTION("IF(E999=""USD"",C999,C999 * GOOGLEFINANCE(""CURRENCY:"" &amp; E999 &amp; ""USD""))
"),1821983)</f>
        <v>1821983</v>
      </c>
    </row>
    <row r="1000" spans="1:7" ht="15.75" customHeight="1" x14ac:dyDescent="0.25">
      <c r="A1000" s="11" t="s">
        <v>176</v>
      </c>
      <c r="B1000" s="12">
        <v>60000000</v>
      </c>
      <c r="C1000" s="12">
        <v>4535117</v>
      </c>
      <c r="D1000" s="12">
        <v>2007</v>
      </c>
      <c r="E1000" s="12" t="str">
        <f>VLOOKUP(A1000, Currency!$A$2:$B$100, 2, FALSE)</f>
        <v>EUR</v>
      </c>
      <c r="F1000" s="12">
        <f ca="1">IFERROR(__xludf.DUMMYFUNCTION("IF(E1000=""USD"",B1000,B1000 * GOOGLEFINANCE(""CURRENCY:"" &amp; E1000 &amp; ""USD""))
"),65084400)</f>
        <v>65084400</v>
      </c>
      <c r="G1000" s="13">
        <f ca="1">IFERROR(__xludf.DUMMYFUNCTION("IF(E1000=""USD"",C1000,C1000 * GOOGLEFINANCE(""CURRENCY:"" &amp; E1000 &amp; ""USD""))
"),4919422.81458)</f>
        <v>4919422.81458</v>
      </c>
    </row>
    <row r="1001" spans="1:7" ht="15.75" customHeight="1" x14ac:dyDescent="0.25">
      <c r="A1001" s="14" t="s">
        <v>24</v>
      </c>
      <c r="B1001" s="15">
        <v>24000000</v>
      </c>
      <c r="C1001" s="15">
        <v>101334374</v>
      </c>
      <c r="D1001" s="15">
        <v>1997</v>
      </c>
      <c r="E1001" s="15" t="str">
        <f>VLOOKUP(A1001, Currency!$A$2:$B$100, 2, FALSE)</f>
        <v>USD</v>
      </c>
      <c r="F1001" s="15">
        <f ca="1">IFERROR(__xludf.DUMMYFUNCTION("IF(E1001=""USD"",B1001,B1001 * GOOGLEFINANCE(""CURRENCY:"" &amp; E1001 &amp; ""USD""))
"),24000000)</f>
        <v>24000000</v>
      </c>
      <c r="G1001" s="16">
        <f ca="1">IFERROR(__xludf.DUMMYFUNCTION("IF(E1001=""USD"",C1001,C1001 * GOOGLEFINANCE(""CURRENCY:"" &amp; E1001 &amp; ""USD""))
"),101334374)</f>
        <v>101334374</v>
      </c>
    </row>
    <row r="1002" spans="1:7" ht="15.75" customHeight="1" x14ac:dyDescent="0.25">
      <c r="A1002" s="11" t="s">
        <v>24</v>
      </c>
      <c r="B1002" s="12">
        <v>40000000</v>
      </c>
      <c r="C1002" s="12">
        <v>53955614</v>
      </c>
      <c r="D1002" s="12">
        <v>1998</v>
      </c>
      <c r="E1002" s="12" t="str">
        <f>VLOOKUP(A1002, Currency!$A$2:$B$100, 2, FALSE)</f>
        <v>USD</v>
      </c>
      <c r="F1002" s="12">
        <f ca="1">IFERROR(__xludf.DUMMYFUNCTION("IF(E1002=""USD"",B1002,B1002 * GOOGLEFINANCE(""CURRENCY:"" &amp; E1002 &amp; ""USD""))
"),40000000)</f>
        <v>40000000</v>
      </c>
      <c r="G1002" s="13">
        <f ca="1">IFERROR(__xludf.DUMMYFUNCTION("IF(E1002=""USD"",C1002,C1002 * GOOGLEFINANCE(""CURRENCY:"" &amp; E1002 &amp; ""USD""))
"),53955614)</f>
        <v>53955614</v>
      </c>
    </row>
    <row r="1003" spans="1:7" ht="15.75" customHeight="1" x14ac:dyDescent="0.25">
      <c r="A1003" s="14" t="s">
        <v>24</v>
      </c>
      <c r="B1003" s="15">
        <v>70000000</v>
      </c>
      <c r="C1003" s="15">
        <v>78031620</v>
      </c>
      <c r="D1003" s="15">
        <v>2014</v>
      </c>
      <c r="E1003" s="15" t="str">
        <f>VLOOKUP(A1003, Currency!$A$2:$B$100, 2, FALSE)</f>
        <v>USD</v>
      </c>
      <c r="F1003" s="15">
        <f ca="1">IFERROR(__xludf.DUMMYFUNCTION("IF(E1003=""USD"",B1003,B1003 * GOOGLEFINANCE(""CURRENCY:"" &amp; E1003 &amp; ""USD""))
"),70000000)</f>
        <v>70000000</v>
      </c>
      <c r="G1003" s="16">
        <f ca="1">IFERROR(__xludf.DUMMYFUNCTION("IF(E1003=""USD"",C1003,C1003 * GOOGLEFINANCE(""CURRENCY:"" &amp; E1003 &amp; ""USD""))
"),78031620)</f>
        <v>78031620</v>
      </c>
    </row>
    <row r="1004" spans="1:7" ht="15.75" customHeight="1" x14ac:dyDescent="0.25">
      <c r="A1004" s="11" t="s">
        <v>133</v>
      </c>
      <c r="B1004" s="12">
        <v>6000000</v>
      </c>
      <c r="C1004" s="12">
        <v>2600000</v>
      </c>
      <c r="D1004" s="12">
        <v>1995</v>
      </c>
      <c r="E1004" s="12" t="str">
        <f>VLOOKUP(A1004, Currency!$A$2:$B$100, 2, FALSE)</f>
        <v>GBP</v>
      </c>
      <c r="F1004" s="12">
        <f ca="1">IFERROR(__xludf.DUMMYFUNCTION("IF(E1004=""USD"",B1004,B1004 * GOOGLEFINANCE(""CURRENCY:"" &amp; E1004 &amp; ""USD""))
"),7712399.99999999)</f>
        <v>7712399.9999999898</v>
      </c>
      <c r="G1004" s="13">
        <f ca="1">IFERROR(__xludf.DUMMYFUNCTION("IF(E1004=""USD"",C1004,C1004 * GOOGLEFINANCE(""CURRENCY:"" &amp; E1004 &amp; ""USD""))
"),3342039.99999999)</f>
        <v>3342039.9999999902</v>
      </c>
    </row>
    <row r="1005" spans="1:7" ht="15.75" customHeight="1" x14ac:dyDescent="0.25">
      <c r="A1005" s="14" t="s">
        <v>24</v>
      </c>
      <c r="B1005" s="15">
        <v>58000000</v>
      </c>
      <c r="C1005" s="15">
        <v>80021740</v>
      </c>
      <c r="D1005" s="15">
        <v>2015</v>
      </c>
      <c r="E1005" s="15" t="str">
        <f>VLOOKUP(A1005, Currency!$A$2:$B$100, 2, FALSE)</f>
        <v>USD</v>
      </c>
      <c r="F1005" s="15">
        <f ca="1">IFERROR(__xludf.DUMMYFUNCTION("IF(E1005=""USD"",B1005,B1005 * GOOGLEFINANCE(""CURRENCY:"" &amp; E1005 &amp; ""USD""))
"),58000000)</f>
        <v>58000000</v>
      </c>
      <c r="G1005" s="16">
        <f ca="1">IFERROR(__xludf.DUMMYFUNCTION("IF(E1005=""USD"",C1005,C1005 * GOOGLEFINANCE(""CURRENCY:"" &amp; E1005 &amp; ""USD""))
"),80021740)</f>
        <v>80021740</v>
      </c>
    </row>
    <row r="1006" spans="1:7" ht="15.75" customHeight="1" x14ac:dyDescent="0.25">
      <c r="A1006" s="11" t="s">
        <v>24</v>
      </c>
      <c r="B1006" s="12">
        <v>17000000</v>
      </c>
      <c r="C1006" s="12">
        <v>44469602</v>
      </c>
      <c r="D1006" s="12">
        <v>2015</v>
      </c>
      <c r="E1006" s="12" t="str">
        <f>VLOOKUP(A1006, Currency!$A$2:$B$100, 2, FALSE)</f>
        <v>USD</v>
      </c>
      <c r="F1006" s="12">
        <f ca="1">IFERROR(__xludf.DUMMYFUNCTION("IF(E1006=""USD"",B1006,B1006 * GOOGLEFINANCE(""CURRENCY:"" &amp; E1006 &amp; ""USD""))
"),17000000)</f>
        <v>17000000</v>
      </c>
      <c r="G1006" s="13">
        <f ca="1">IFERROR(__xludf.DUMMYFUNCTION("IF(E1006=""USD"",C1006,C1006 * GOOGLEFINANCE(""CURRENCY:"" &amp; E1006 &amp; ""USD""))
"),44469602)</f>
        <v>44469602</v>
      </c>
    </row>
    <row r="1007" spans="1:7" ht="15.75" customHeight="1" x14ac:dyDescent="0.25">
      <c r="A1007" s="14" t="s">
        <v>627</v>
      </c>
      <c r="B1007" s="15">
        <v>25000000</v>
      </c>
      <c r="C1007" s="15">
        <v>3073392</v>
      </c>
      <c r="D1007" s="15">
        <v>2008</v>
      </c>
      <c r="E1007" s="15" t="str">
        <f>VLOOKUP(A1007, Currency!$A$2:$B$100, 2, FALSE)</f>
        <v>CAD</v>
      </c>
      <c r="F1007" s="15">
        <f ca="1">IFERROR(__xludf.DUMMYFUNCTION("IF(E1007=""USD"",B1007,B1007 * GOOGLEFINANCE(""CURRENCY:"" &amp; E1007 &amp; ""USD""))
"),18085125)</f>
        <v>18085125</v>
      </c>
      <c r="G1007" s="16">
        <f ca="1">IFERROR(__xludf.DUMMYFUNCTION("IF(E1007=""USD"",C1007,C1007 * GOOGLEFINANCE(""CURRENCY:"" &amp; E1007 &amp; ""USD""))
"),2223307.13975999)</f>
        <v>2223307.1397599899</v>
      </c>
    </row>
    <row r="1008" spans="1:7" ht="15.75" customHeight="1" x14ac:dyDescent="0.25">
      <c r="A1008" s="11" t="s">
        <v>24</v>
      </c>
      <c r="B1008" s="12">
        <v>13000000</v>
      </c>
      <c r="C1008" s="12">
        <v>7881335</v>
      </c>
      <c r="D1008" s="12">
        <v>1994</v>
      </c>
      <c r="E1008" s="12" t="str">
        <f>VLOOKUP(A1008, Currency!$A$2:$B$100, 2, FALSE)</f>
        <v>USD</v>
      </c>
      <c r="F1008" s="12">
        <f ca="1">IFERROR(__xludf.DUMMYFUNCTION("IF(E1008=""USD"",B1008,B1008 * GOOGLEFINANCE(""CURRENCY:"" &amp; E1008 &amp; ""USD""))
"),13000000)</f>
        <v>13000000</v>
      </c>
      <c r="G1008" s="13">
        <f ca="1">IFERROR(__xludf.DUMMYFUNCTION("IF(E1008=""USD"",C1008,C1008 * GOOGLEFINANCE(""CURRENCY:"" &amp; E1008 &amp; ""USD""))
"),7881335)</f>
        <v>7881335</v>
      </c>
    </row>
    <row r="1009" spans="1:7" ht="15.75" customHeight="1" x14ac:dyDescent="0.25">
      <c r="A1009" s="14" t="s">
        <v>24</v>
      </c>
      <c r="B1009" s="15">
        <v>2500000</v>
      </c>
      <c r="C1009" s="15">
        <v>40041683</v>
      </c>
      <c r="D1009" s="15">
        <v>2013</v>
      </c>
      <c r="E1009" s="15" t="str">
        <f>VLOOKUP(A1009, Currency!$A$2:$B$100, 2, FALSE)</f>
        <v>USD</v>
      </c>
      <c r="F1009" s="15">
        <f ca="1">IFERROR(__xludf.DUMMYFUNCTION("IF(E1009=""USD"",B1009,B1009 * GOOGLEFINANCE(""CURRENCY:"" &amp; E1009 &amp; ""USD""))
"),2500000)</f>
        <v>2500000</v>
      </c>
      <c r="G1009" s="16">
        <f ca="1">IFERROR(__xludf.DUMMYFUNCTION("IF(E1009=""USD"",C1009,C1009 * GOOGLEFINANCE(""CURRENCY:"" &amp; E1009 &amp; ""USD""))
"),40041683)</f>
        <v>40041683</v>
      </c>
    </row>
    <row r="1010" spans="1:7" ht="15.75" customHeight="1" x14ac:dyDescent="0.25">
      <c r="A1010" s="11" t="s">
        <v>24</v>
      </c>
      <c r="B1010" s="12">
        <v>54000000</v>
      </c>
      <c r="C1010" s="12">
        <v>108200000</v>
      </c>
      <c r="D1010" s="12">
        <v>1980</v>
      </c>
      <c r="E1010" s="12" t="str">
        <f>VLOOKUP(A1010, Currency!$A$2:$B$100, 2, FALSE)</f>
        <v>USD</v>
      </c>
      <c r="F1010" s="12">
        <f ca="1">IFERROR(__xludf.DUMMYFUNCTION("IF(E1010=""USD"",B1010,B1010 * GOOGLEFINANCE(""CURRENCY:"" &amp; E1010 &amp; ""USD""))
"),54000000)</f>
        <v>54000000</v>
      </c>
      <c r="G1010" s="13">
        <f ca="1">IFERROR(__xludf.DUMMYFUNCTION("IF(E1010=""USD"",C1010,C1010 * GOOGLEFINANCE(""CURRENCY:"" &amp; E1010 &amp; ""USD""))
"),108200000)</f>
        <v>108200000</v>
      </c>
    </row>
    <row r="1011" spans="1:7" ht="15.75" customHeight="1" x14ac:dyDescent="0.25">
      <c r="A1011" s="14" t="s">
        <v>3252</v>
      </c>
      <c r="B1011" s="15">
        <v>10000000</v>
      </c>
      <c r="C1011" s="15">
        <v>11835</v>
      </c>
      <c r="D1011" s="15">
        <v>2013</v>
      </c>
      <c r="E1011" s="15" t="str">
        <f>VLOOKUP(A1011, Currency!$A$2:$B$100, 2, FALSE)</f>
        <v>ISK</v>
      </c>
      <c r="F1011" s="15">
        <f ca="1">IFERROR(__xludf.DUMMYFUNCTION("IF(E1011=""USD"",B1011,B1011 * GOOGLEFINANCE(""CURRENCY:"" &amp; E1011 &amp; ""USD""))
"),72558.409)</f>
        <v>72558.409</v>
      </c>
      <c r="G1011" s="16">
        <f ca="1">IFERROR(__xludf.DUMMYFUNCTION("IF(E1011=""USD"",C1011,C1011 * GOOGLEFINANCE(""CURRENCY:"" &amp; E1011 &amp; ""USD""))
"),85.8728770515)</f>
        <v>85.872877051499998</v>
      </c>
    </row>
    <row r="1012" spans="1:7" ht="15.75" customHeight="1" x14ac:dyDescent="0.25">
      <c r="A1012" s="11" t="s">
        <v>24</v>
      </c>
      <c r="B1012" s="12">
        <v>20000000</v>
      </c>
      <c r="C1012" s="12">
        <v>84518155</v>
      </c>
      <c r="D1012" s="12">
        <v>2014</v>
      </c>
      <c r="E1012" s="12" t="str">
        <f>VLOOKUP(A1012, Currency!$A$2:$B$100, 2, FALSE)</f>
        <v>USD</v>
      </c>
      <c r="F1012" s="12">
        <f ca="1">IFERROR(__xludf.DUMMYFUNCTION("IF(E1012=""USD"",B1012,B1012 * GOOGLEFINANCE(""CURRENCY:"" &amp; E1012 &amp; ""USD""))
"),20000000)</f>
        <v>20000000</v>
      </c>
      <c r="G1012" s="13">
        <f ca="1">IFERROR(__xludf.DUMMYFUNCTION("IF(E1012=""USD"",C1012,C1012 * GOOGLEFINANCE(""CURRENCY:"" &amp; E1012 &amp; ""USD""))
"),84518155)</f>
        <v>84518155</v>
      </c>
    </row>
    <row r="1013" spans="1:7" ht="15.75" customHeight="1" x14ac:dyDescent="0.25">
      <c r="A1013" s="14" t="s">
        <v>24</v>
      </c>
      <c r="B1013" s="15">
        <v>100000000</v>
      </c>
      <c r="C1013" s="15">
        <v>89296573</v>
      </c>
      <c r="D1013" s="15">
        <v>2000</v>
      </c>
      <c r="E1013" s="15" t="str">
        <f>VLOOKUP(A1013, Currency!$A$2:$B$100, 2, FALSE)</f>
        <v>USD</v>
      </c>
      <c r="F1013" s="15">
        <f ca="1">IFERROR(__xludf.DUMMYFUNCTION("IF(E1013=""USD"",B1013,B1013 * GOOGLEFINANCE(""CURRENCY:"" &amp; E1013 &amp; ""USD""))
"),100000000)</f>
        <v>100000000</v>
      </c>
      <c r="G1013" s="16">
        <f ca="1">IFERROR(__xludf.DUMMYFUNCTION("IF(E1013=""USD"",C1013,C1013 * GOOGLEFINANCE(""CURRENCY:"" &amp; E1013 &amp; ""USD""))
"),89296573)</f>
        <v>89296573</v>
      </c>
    </row>
    <row r="1014" spans="1:7" ht="15.75" customHeight="1" x14ac:dyDescent="0.25">
      <c r="A1014" s="11" t="s">
        <v>24</v>
      </c>
      <c r="B1014" s="12">
        <v>50000000</v>
      </c>
      <c r="C1014" s="12">
        <v>79948113</v>
      </c>
      <c r="D1014" s="12">
        <v>2009</v>
      </c>
      <c r="E1014" s="12" t="str">
        <f>VLOOKUP(A1014, Currency!$A$2:$B$100, 2, FALSE)</f>
        <v>USD</v>
      </c>
      <c r="F1014" s="12">
        <f ca="1">IFERROR(__xludf.DUMMYFUNCTION("IF(E1014=""USD"",B1014,B1014 * GOOGLEFINANCE(""CURRENCY:"" &amp; E1014 &amp; ""USD""))
"),50000000)</f>
        <v>50000000</v>
      </c>
      <c r="G1014" s="13">
        <f ca="1">IFERROR(__xludf.DUMMYFUNCTION("IF(E1014=""USD"",C1014,C1014 * GOOGLEFINANCE(""CURRENCY:"" &amp; E1014 &amp; ""USD""))
"),79948113)</f>
        <v>79948113</v>
      </c>
    </row>
    <row r="1015" spans="1:7" ht="15.75" customHeight="1" x14ac:dyDescent="0.25">
      <c r="A1015" s="14" t="s">
        <v>24</v>
      </c>
      <c r="B1015" s="15">
        <v>50000000</v>
      </c>
      <c r="C1015" s="15">
        <v>153620822</v>
      </c>
      <c r="D1015" s="15">
        <v>1996</v>
      </c>
      <c r="E1015" s="15" t="str">
        <f>VLOOKUP(A1015, Currency!$A$2:$B$100, 2, FALSE)</f>
        <v>USD</v>
      </c>
      <c r="F1015" s="15">
        <f ca="1">IFERROR(__xludf.DUMMYFUNCTION("IF(E1015=""USD"",B1015,B1015 * GOOGLEFINANCE(""CURRENCY:"" &amp; E1015 &amp; ""USD""))
"),50000000)</f>
        <v>50000000</v>
      </c>
      <c r="G1015" s="16">
        <f ca="1">IFERROR(__xludf.DUMMYFUNCTION("IF(E1015=""USD"",C1015,C1015 * GOOGLEFINANCE(""CURRENCY:"" &amp; E1015 &amp; ""USD""))
"),153620822)</f>
        <v>153620822</v>
      </c>
    </row>
    <row r="1016" spans="1:7" ht="15.75" customHeight="1" x14ac:dyDescent="0.25">
      <c r="A1016" s="11" t="s">
        <v>24</v>
      </c>
      <c r="B1016" s="12">
        <v>15000000</v>
      </c>
      <c r="C1016" s="12">
        <v>20380</v>
      </c>
      <c r="D1016" s="12">
        <v>2007</v>
      </c>
      <c r="E1016" s="12" t="str">
        <f>VLOOKUP(A1016, Currency!$A$2:$B$100, 2, FALSE)</f>
        <v>USD</v>
      </c>
      <c r="F1016" s="12">
        <f ca="1">IFERROR(__xludf.DUMMYFUNCTION("IF(E1016=""USD"",B1016,B1016 * GOOGLEFINANCE(""CURRENCY:"" &amp; E1016 &amp; ""USD""))
"),15000000)</f>
        <v>15000000</v>
      </c>
      <c r="G1016" s="13">
        <f ca="1">IFERROR(__xludf.DUMMYFUNCTION("IF(E1016=""USD"",C1016,C1016 * GOOGLEFINANCE(""CURRENCY:"" &amp; E1016 &amp; ""USD""))
"),20380)</f>
        <v>20380</v>
      </c>
    </row>
    <row r="1017" spans="1:7" ht="15.75" customHeight="1" x14ac:dyDescent="0.25">
      <c r="A1017" s="14" t="s">
        <v>24</v>
      </c>
      <c r="B1017" s="15">
        <v>3300000</v>
      </c>
      <c r="C1017" s="15">
        <v>13092000</v>
      </c>
      <c r="D1017" s="15">
        <v>2014</v>
      </c>
      <c r="E1017" s="15" t="str">
        <f>VLOOKUP(A1017, Currency!$A$2:$B$100, 2, FALSE)</f>
        <v>USD</v>
      </c>
      <c r="F1017" s="15">
        <f ca="1">IFERROR(__xludf.DUMMYFUNCTION("IF(E1017=""USD"",B1017,B1017 * GOOGLEFINANCE(""CURRENCY:"" &amp; E1017 &amp; ""USD""))
"),3300000)</f>
        <v>3300000</v>
      </c>
      <c r="G1017" s="16">
        <f ca="1">IFERROR(__xludf.DUMMYFUNCTION("IF(E1017=""USD"",C1017,C1017 * GOOGLEFINANCE(""CURRENCY:"" &amp; E1017 &amp; ""USD""))
"),13092000)</f>
        <v>13092000</v>
      </c>
    </row>
    <row r="1018" spans="1:7" ht="15.75" customHeight="1" x14ac:dyDescent="0.25">
      <c r="A1018" s="11" t="s">
        <v>24</v>
      </c>
      <c r="B1018" s="12">
        <v>10000000</v>
      </c>
      <c r="C1018" s="12">
        <v>17544812</v>
      </c>
      <c r="D1018" s="12">
        <v>2007</v>
      </c>
      <c r="E1018" s="12" t="str">
        <f>VLOOKUP(A1018, Currency!$A$2:$B$100, 2, FALSE)</f>
        <v>USD</v>
      </c>
      <c r="F1018" s="12">
        <f ca="1">IFERROR(__xludf.DUMMYFUNCTION("IF(E1018=""USD"",B1018,B1018 * GOOGLEFINANCE(""CURRENCY:"" &amp; E1018 &amp; ""USD""))
"),10000000)</f>
        <v>10000000</v>
      </c>
      <c r="G1018" s="13">
        <f ca="1">IFERROR(__xludf.DUMMYFUNCTION("IF(E1018=""USD"",C1018,C1018 * GOOGLEFINANCE(""CURRENCY:"" &amp; E1018 &amp; ""USD""))
"),17544812)</f>
        <v>17544812</v>
      </c>
    </row>
    <row r="1019" spans="1:7" ht="15.75" customHeight="1" x14ac:dyDescent="0.25">
      <c r="A1019" s="14" t="s">
        <v>24</v>
      </c>
      <c r="B1019" s="15">
        <v>90000000</v>
      </c>
      <c r="C1019" s="15">
        <v>44606335</v>
      </c>
      <c r="D1019" s="15">
        <v>1998</v>
      </c>
      <c r="E1019" s="15" t="str">
        <f>VLOOKUP(A1019, Currency!$A$2:$B$100, 2, FALSE)</f>
        <v>USD</v>
      </c>
      <c r="F1019" s="15">
        <f ca="1">IFERROR(__xludf.DUMMYFUNCTION("IF(E1019=""USD"",B1019,B1019 * GOOGLEFINANCE(""CURRENCY:"" &amp; E1019 &amp; ""USD""))
"),90000000)</f>
        <v>90000000</v>
      </c>
      <c r="G1019" s="16">
        <f ca="1">IFERROR(__xludf.DUMMYFUNCTION("IF(E1019=""USD"",C1019,C1019 * GOOGLEFINANCE(""CURRENCY:"" &amp; E1019 &amp; ""USD""))
"),44606335)</f>
        <v>44606335</v>
      </c>
    </row>
    <row r="1020" spans="1:7" ht="15.75" customHeight="1" x14ac:dyDescent="0.25">
      <c r="A1020" s="11" t="s">
        <v>24</v>
      </c>
      <c r="B1020" s="12">
        <v>110000000</v>
      </c>
      <c r="C1020" s="12">
        <v>129995817</v>
      </c>
      <c r="D1020" s="12">
        <v>2015</v>
      </c>
      <c r="E1020" s="12" t="str">
        <f>VLOOKUP(A1020, Currency!$A$2:$B$100, 2, FALSE)</f>
        <v>USD</v>
      </c>
      <c r="F1020" s="12">
        <f ca="1">IFERROR(__xludf.DUMMYFUNCTION("IF(E1020=""USD"",B1020,B1020 * GOOGLEFINANCE(""CURRENCY:"" &amp; E1020 &amp; ""USD""))
"),110000000)</f>
        <v>110000000</v>
      </c>
      <c r="G1020" s="13">
        <f ca="1">IFERROR(__xludf.DUMMYFUNCTION("IF(E1020=""USD"",C1020,C1020 * GOOGLEFINANCE(""CURRENCY:"" &amp; E1020 &amp; ""USD""))
"),129995817)</f>
        <v>129995817</v>
      </c>
    </row>
    <row r="1021" spans="1:7" ht="15.75" customHeight="1" x14ac:dyDescent="0.25">
      <c r="A1021" s="14" t="s">
        <v>24</v>
      </c>
      <c r="B1021" s="15">
        <v>28000000</v>
      </c>
      <c r="C1021" s="15">
        <v>66950483</v>
      </c>
      <c r="D1021" s="15">
        <v>2014</v>
      </c>
      <c r="E1021" s="15" t="str">
        <f>VLOOKUP(A1021, Currency!$A$2:$B$100, 2, FALSE)</f>
        <v>USD</v>
      </c>
      <c r="F1021" s="15">
        <f ca="1">IFERROR(__xludf.DUMMYFUNCTION("IF(E1021=""USD"",B1021,B1021 * GOOGLEFINANCE(""CURRENCY:"" &amp; E1021 &amp; ""USD""))
"),28000000)</f>
        <v>28000000</v>
      </c>
      <c r="G1021" s="16">
        <f ca="1">IFERROR(__xludf.DUMMYFUNCTION("IF(E1021=""USD"",C1021,C1021 * GOOGLEFINANCE(""CURRENCY:"" &amp; E1021 &amp; ""USD""))
"),66950483)</f>
        <v>66950483</v>
      </c>
    </row>
    <row r="1022" spans="1:7" ht="15.75" customHeight="1" x14ac:dyDescent="0.25">
      <c r="A1022" s="11" t="s">
        <v>24</v>
      </c>
      <c r="B1022" s="12">
        <v>3000000</v>
      </c>
      <c r="C1022" s="12">
        <v>5005</v>
      </c>
      <c r="D1022" s="12">
        <v>2009</v>
      </c>
      <c r="E1022" s="12" t="str">
        <f>VLOOKUP(A1022, Currency!$A$2:$B$100, 2, FALSE)</f>
        <v>USD</v>
      </c>
      <c r="F1022" s="12">
        <f ca="1">IFERROR(__xludf.DUMMYFUNCTION("IF(E1022=""USD"",B1022,B1022 * GOOGLEFINANCE(""CURRENCY:"" &amp; E1022 &amp; ""USD""))
"),3000000)</f>
        <v>3000000</v>
      </c>
      <c r="G1022" s="13">
        <f ca="1">IFERROR(__xludf.DUMMYFUNCTION("IF(E1022=""USD"",C1022,C1022 * GOOGLEFINANCE(""CURRENCY:"" &amp; E1022 &amp; ""USD""))
"),5005)</f>
        <v>5005</v>
      </c>
    </row>
    <row r="1023" spans="1:7" ht="15.75" customHeight="1" x14ac:dyDescent="0.25">
      <c r="A1023" s="14" t="s">
        <v>24</v>
      </c>
      <c r="B1023" s="15">
        <v>12000000</v>
      </c>
      <c r="C1023" s="15">
        <v>860002</v>
      </c>
      <c r="D1023" s="15">
        <v>2005</v>
      </c>
      <c r="E1023" s="15" t="str">
        <f>VLOOKUP(A1023, Currency!$A$2:$B$100, 2, FALSE)</f>
        <v>USD</v>
      </c>
      <c r="F1023" s="15">
        <f ca="1">IFERROR(__xludf.DUMMYFUNCTION("IF(E1023=""USD"",B1023,B1023 * GOOGLEFINANCE(""CURRENCY:"" &amp; E1023 &amp; ""USD""))
"),12000000)</f>
        <v>12000000</v>
      </c>
      <c r="G1023" s="16">
        <f ca="1">IFERROR(__xludf.DUMMYFUNCTION("IF(E1023=""USD"",C1023,C1023 * GOOGLEFINANCE(""CURRENCY:"" &amp; E1023 &amp; ""USD""))
"),860002)</f>
        <v>860002</v>
      </c>
    </row>
    <row r="1024" spans="1:7" ht="15.75" customHeight="1" x14ac:dyDescent="0.25">
      <c r="A1024" s="11" t="s">
        <v>24</v>
      </c>
      <c r="B1024" s="12">
        <v>19000000</v>
      </c>
      <c r="C1024" s="12">
        <v>64255243</v>
      </c>
      <c r="D1024" s="12">
        <v>2005</v>
      </c>
      <c r="E1024" s="12" t="str">
        <f>VLOOKUP(A1024, Currency!$A$2:$B$100, 2, FALSE)</f>
        <v>USD</v>
      </c>
      <c r="F1024" s="12">
        <f ca="1">IFERROR(__xludf.DUMMYFUNCTION("IF(E1024=""USD"",B1024,B1024 * GOOGLEFINANCE(""CURRENCY:"" &amp; E1024 &amp; ""USD""))
"),19000000)</f>
        <v>19000000</v>
      </c>
      <c r="G1024" s="13">
        <f ca="1">IFERROR(__xludf.DUMMYFUNCTION("IF(E1024=""USD"",C1024,C1024 * GOOGLEFINANCE(""CURRENCY:"" &amp; E1024 &amp; ""USD""))
"),64255243)</f>
        <v>64255243</v>
      </c>
    </row>
    <row r="1025" spans="1:7" ht="15.75" customHeight="1" x14ac:dyDescent="0.25">
      <c r="A1025" s="14" t="s">
        <v>24</v>
      </c>
      <c r="B1025" s="15">
        <v>60000000</v>
      </c>
      <c r="C1025" s="15">
        <v>50189179</v>
      </c>
      <c r="D1025" s="15">
        <v>2002</v>
      </c>
      <c r="E1025" s="15" t="str">
        <f>VLOOKUP(A1025, Currency!$A$2:$B$100, 2, FALSE)</f>
        <v>USD</v>
      </c>
      <c r="F1025" s="15">
        <f ca="1">IFERROR(__xludf.DUMMYFUNCTION("IF(E1025=""USD"",B1025,B1025 * GOOGLEFINANCE(""CURRENCY:"" &amp; E1025 &amp; ""USD""))
"),60000000)</f>
        <v>60000000</v>
      </c>
      <c r="G1025" s="16">
        <f ca="1">IFERROR(__xludf.DUMMYFUNCTION("IF(E1025=""USD"",C1025,C1025 * GOOGLEFINANCE(""CURRENCY:"" &amp; E1025 &amp; ""USD""))
"),50189179)</f>
        <v>50189179</v>
      </c>
    </row>
    <row r="1026" spans="1:7" ht="15.75" customHeight="1" x14ac:dyDescent="0.25">
      <c r="A1026" s="11" t="s">
        <v>24</v>
      </c>
      <c r="B1026" s="12">
        <v>30000000</v>
      </c>
      <c r="C1026" s="12">
        <v>191796233</v>
      </c>
      <c r="D1026" s="12">
        <v>1995</v>
      </c>
      <c r="E1026" s="12" t="str">
        <f>VLOOKUP(A1026, Currency!$A$2:$B$100, 2, FALSE)</f>
        <v>USD</v>
      </c>
      <c r="F1026" s="12">
        <f ca="1">IFERROR(__xludf.DUMMYFUNCTION("IF(E1026=""USD"",B1026,B1026 * GOOGLEFINANCE(""CURRENCY:"" &amp; E1026 &amp; ""USD""))
"),30000000)</f>
        <v>30000000</v>
      </c>
      <c r="G1026" s="13">
        <f ca="1">IFERROR(__xludf.DUMMYFUNCTION("IF(E1026=""USD"",C1026,C1026 * GOOGLEFINANCE(""CURRENCY:"" &amp; E1026 &amp; ""USD""))
"),191796233)</f>
        <v>191796233</v>
      </c>
    </row>
    <row r="1027" spans="1:7" ht="15.75" customHeight="1" x14ac:dyDescent="0.25">
      <c r="A1027" s="14" t="s">
        <v>24</v>
      </c>
      <c r="B1027" s="15">
        <v>6800000</v>
      </c>
      <c r="C1027" s="15">
        <v>10696</v>
      </c>
      <c r="D1027" s="15">
        <v>2003</v>
      </c>
      <c r="E1027" s="15" t="str">
        <f>VLOOKUP(A1027, Currency!$A$2:$B$100, 2, FALSE)</f>
        <v>USD</v>
      </c>
      <c r="F1027" s="15">
        <f ca="1">IFERROR(__xludf.DUMMYFUNCTION("IF(E1027=""USD"",B1027,B1027 * GOOGLEFINANCE(""CURRENCY:"" &amp; E1027 &amp; ""USD""))
"),6800000)</f>
        <v>6800000</v>
      </c>
      <c r="G1027" s="16">
        <f ca="1">IFERROR(__xludf.DUMMYFUNCTION("IF(E1027=""USD"",C1027,C1027 * GOOGLEFINANCE(""CURRENCY:"" &amp; E1027 &amp; ""USD""))
"),10696)</f>
        <v>10696</v>
      </c>
    </row>
    <row r="1028" spans="1:7" ht="15.75" customHeight="1" x14ac:dyDescent="0.25">
      <c r="A1028" s="11" t="s">
        <v>133</v>
      </c>
      <c r="B1028" s="12">
        <v>200000000</v>
      </c>
      <c r="C1028" s="12">
        <v>304360277</v>
      </c>
      <c r="D1028" s="12">
        <v>2012</v>
      </c>
      <c r="E1028" s="12" t="str">
        <f>VLOOKUP(A1028, Currency!$A$2:$B$100, 2, FALSE)</f>
        <v>GBP</v>
      </c>
      <c r="F1028" s="12">
        <f ca="1">IFERROR(__xludf.DUMMYFUNCTION("IF(E1028=""USD"",B1028,B1028 * GOOGLEFINANCE(""CURRENCY:"" &amp; E1028 &amp; ""USD""))
"),257079999.999999)</f>
        <v>257079999.99999899</v>
      </c>
      <c r="G1028" s="13">
        <f ca="1">IFERROR(__xludf.DUMMYFUNCTION("IF(E1028=""USD"",C1028,C1028 * GOOGLEFINANCE(""CURRENCY:"" &amp; E1028 &amp; ""USD""))
"),391224700.055799)</f>
        <v>391224700.05579901</v>
      </c>
    </row>
    <row r="1029" spans="1:7" ht="15.75" customHeight="1" x14ac:dyDescent="0.25">
      <c r="A1029" s="14" t="s">
        <v>24</v>
      </c>
      <c r="B1029" s="15">
        <v>30000000</v>
      </c>
      <c r="C1029" s="15">
        <v>66207920</v>
      </c>
      <c r="D1029" s="15">
        <v>2004</v>
      </c>
      <c r="E1029" s="15" t="str">
        <f>VLOOKUP(A1029, Currency!$A$2:$B$100, 2, FALSE)</f>
        <v>USD</v>
      </c>
      <c r="F1029" s="15">
        <f ca="1">IFERROR(__xludf.DUMMYFUNCTION("IF(E1029=""USD"",B1029,B1029 * GOOGLEFINANCE(""CURRENCY:"" &amp; E1029 &amp; ""USD""))
"),30000000)</f>
        <v>30000000</v>
      </c>
      <c r="G1029" s="16">
        <f ca="1">IFERROR(__xludf.DUMMYFUNCTION("IF(E1029=""USD"",C1029,C1029 * GOOGLEFINANCE(""CURRENCY:"" &amp; E1029 &amp; ""USD""))
"),66207920)</f>
        <v>66207920</v>
      </c>
    </row>
    <row r="1030" spans="1:7" ht="15.75" customHeight="1" x14ac:dyDescent="0.25">
      <c r="A1030" s="11" t="s">
        <v>674</v>
      </c>
      <c r="B1030" s="12">
        <v>600000000</v>
      </c>
      <c r="C1030" s="12">
        <v>1602466</v>
      </c>
      <c r="D1030" s="12">
        <v>2010</v>
      </c>
      <c r="E1030" s="12" t="str">
        <f>VLOOKUP(A1030, Currency!$A$2:$B$100, 2, FALSE)</f>
        <v>INR</v>
      </c>
      <c r="F1030" s="12">
        <f ca="1">IFERROR(__xludf.DUMMYFUNCTION("IF(E1030=""USD"",B1030,B1030 * GOOGLEFINANCE(""CURRENCY:"" &amp; E1030 &amp; ""USD""))
"),7164876)</f>
        <v>7164876</v>
      </c>
      <c r="G1030" s="13">
        <f ca="1">IFERROR(__xludf.DUMMYFUNCTION("IF(E1030=""USD"",C1030,C1030 * GOOGLEFINANCE(""CURRENCY:"" &amp; E1030 &amp; ""USD""))
"),19135.78364036)</f>
        <v>19135.783640360001</v>
      </c>
    </row>
    <row r="1031" spans="1:7" ht="15.75" customHeight="1" x14ac:dyDescent="0.25">
      <c r="A1031" s="14" t="s">
        <v>24</v>
      </c>
      <c r="B1031" s="15">
        <v>2883848</v>
      </c>
      <c r="C1031" s="15">
        <v>25000000</v>
      </c>
      <c r="D1031" s="15">
        <v>1959</v>
      </c>
      <c r="E1031" s="15" t="str">
        <f>VLOOKUP(A1031, Currency!$A$2:$B$100, 2, FALSE)</f>
        <v>USD</v>
      </c>
      <c r="F1031" s="15">
        <f ca="1">IFERROR(__xludf.DUMMYFUNCTION("IF(E1031=""USD"",B1031,B1031 * GOOGLEFINANCE(""CURRENCY:"" &amp; E1031 &amp; ""USD""))
"),2883848)</f>
        <v>2883848</v>
      </c>
      <c r="G1031" s="16">
        <f ca="1">IFERROR(__xludf.DUMMYFUNCTION("IF(E1031=""USD"",C1031,C1031 * GOOGLEFINANCE(""CURRENCY:"" &amp; E1031 &amp; ""USD""))
"),25000000)</f>
        <v>25000000</v>
      </c>
    </row>
    <row r="1032" spans="1:7" ht="15.75" customHeight="1" x14ac:dyDescent="0.25">
      <c r="A1032" s="11" t="s">
        <v>24</v>
      </c>
      <c r="B1032" s="12">
        <v>5000000</v>
      </c>
      <c r="C1032" s="12">
        <v>18656400</v>
      </c>
      <c r="D1032" s="12">
        <v>2014</v>
      </c>
      <c r="E1032" s="12" t="str">
        <f>VLOOKUP(A1032, Currency!$A$2:$B$100, 2, FALSE)</f>
        <v>USD</v>
      </c>
      <c r="F1032" s="12">
        <f ca="1">IFERROR(__xludf.DUMMYFUNCTION("IF(E1032=""USD"",B1032,B1032 * GOOGLEFINANCE(""CURRENCY:"" &amp; E1032 &amp; ""USD""))
"),5000000)</f>
        <v>5000000</v>
      </c>
      <c r="G1032" s="13">
        <f ca="1">IFERROR(__xludf.DUMMYFUNCTION("IF(E1032=""USD"",C1032,C1032 * GOOGLEFINANCE(""CURRENCY:"" &amp; E1032 &amp; ""USD""))
"),18656400)</f>
        <v>18656400</v>
      </c>
    </row>
    <row r="1033" spans="1:7" ht="15.75" customHeight="1" x14ac:dyDescent="0.25">
      <c r="A1033" s="14" t="s">
        <v>24</v>
      </c>
      <c r="B1033" s="15">
        <v>17000000</v>
      </c>
      <c r="C1033" s="15">
        <v>86049418</v>
      </c>
      <c r="D1033" s="15">
        <v>2004</v>
      </c>
      <c r="E1033" s="15" t="str">
        <f>VLOOKUP(A1033, Currency!$A$2:$B$100, 2, FALSE)</f>
        <v>USD</v>
      </c>
      <c r="F1033" s="15">
        <f ca="1">IFERROR(__xludf.DUMMYFUNCTION("IF(E1033=""USD"",B1033,B1033 * GOOGLEFINANCE(""CURRENCY:"" &amp; E1033 &amp; ""USD""))
"),17000000)</f>
        <v>17000000</v>
      </c>
      <c r="G1033" s="16">
        <f ca="1">IFERROR(__xludf.DUMMYFUNCTION("IF(E1033=""USD"",C1033,C1033 * GOOGLEFINANCE(""CURRENCY:"" &amp; E1033 &amp; ""USD""))
"),86049418)</f>
        <v>86049418</v>
      </c>
    </row>
    <row r="1034" spans="1:7" ht="15.75" customHeight="1" x14ac:dyDescent="0.25">
      <c r="A1034" s="11" t="s">
        <v>24</v>
      </c>
      <c r="B1034" s="12">
        <v>71000000</v>
      </c>
      <c r="C1034" s="12">
        <v>11466088</v>
      </c>
      <c r="D1034" s="12">
        <v>1997</v>
      </c>
      <c r="E1034" s="12" t="str">
        <f>VLOOKUP(A1034, Currency!$A$2:$B$100, 2, FALSE)</f>
        <v>USD</v>
      </c>
      <c r="F1034" s="12">
        <f ca="1">IFERROR(__xludf.DUMMYFUNCTION("IF(E1034=""USD"",B1034,B1034 * GOOGLEFINANCE(""CURRENCY:"" &amp; E1034 &amp; ""USD""))
"),71000000)</f>
        <v>71000000</v>
      </c>
      <c r="G1034" s="13">
        <f ca="1">IFERROR(__xludf.DUMMYFUNCTION("IF(E1034=""USD"",C1034,C1034 * GOOGLEFINANCE(""CURRENCY:"" &amp; E1034 &amp; ""USD""))
"),11466088)</f>
        <v>11466088</v>
      </c>
    </row>
    <row r="1035" spans="1:7" ht="15.75" customHeight="1" x14ac:dyDescent="0.25">
      <c r="A1035" s="14" t="s">
        <v>24</v>
      </c>
      <c r="B1035" s="15">
        <v>14000000</v>
      </c>
      <c r="C1035" s="15">
        <v>16929123</v>
      </c>
      <c r="D1035" s="15">
        <v>2001</v>
      </c>
      <c r="E1035" s="15" t="str">
        <f>VLOOKUP(A1035, Currency!$A$2:$B$100, 2, FALSE)</f>
        <v>USD</v>
      </c>
      <c r="F1035" s="15">
        <f ca="1">IFERROR(__xludf.DUMMYFUNCTION("IF(E1035=""USD"",B1035,B1035 * GOOGLEFINANCE(""CURRENCY:"" &amp; E1035 &amp; ""USD""))
"),14000000)</f>
        <v>14000000</v>
      </c>
      <c r="G1035" s="16">
        <f ca="1">IFERROR(__xludf.DUMMYFUNCTION("IF(E1035=""USD"",C1035,C1035 * GOOGLEFINANCE(""CURRENCY:"" &amp; E1035 &amp; ""USD""))
"),16929123)</f>
        <v>16929123</v>
      </c>
    </row>
    <row r="1036" spans="1:7" ht="15.75" customHeight="1" x14ac:dyDescent="0.25">
      <c r="A1036" s="11" t="s">
        <v>24</v>
      </c>
      <c r="B1036" s="12">
        <v>100000000</v>
      </c>
      <c r="C1036" s="12">
        <v>162804648</v>
      </c>
      <c r="D1036" s="12">
        <v>2012</v>
      </c>
      <c r="E1036" s="12" t="str">
        <f>VLOOKUP(A1036, Currency!$A$2:$B$100, 2, FALSE)</f>
        <v>USD</v>
      </c>
      <c r="F1036" s="12">
        <f ca="1">IFERROR(__xludf.DUMMYFUNCTION("IF(E1036=""USD"",B1036,B1036 * GOOGLEFINANCE(""CURRENCY:"" &amp; E1036 &amp; ""USD""))
"),100000000)</f>
        <v>100000000</v>
      </c>
      <c r="G1036" s="13">
        <f ca="1">IFERROR(__xludf.DUMMYFUNCTION("IF(E1036=""USD"",C1036,C1036 * GOOGLEFINANCE(""CURRENCY:"" &amp; E1036 &amp; ""USD""))
"),162804648)</f>
        <v>162804648</v>
      </c>
    </row>
    <row r="1037" spans="1:7" ht="15.75" customHeight="1" x14ac:dyDescent="0.25">
      <c r="A1037" s="14" t="s">
        <v>24</v>
      </c>
      <c r="B1037" s="15">
        <v>300000</v>
      </c>
      <c r="C1037" s="15">
        <v>2360184</v>
      </c>
      <c r="D1037" s="15">
        <v>2003</v>
      </c>
      <c r="E1037" s="15" t="str">
        <f>VLOOKUP(A1037, Currency!$A$2:$B$100, 2, FALSE)</f>
        <v>USD</v>
      </c>
      <c r="F1037" s="15">
        <f ca="1">IFERROR(__xludf.DUMMYFUNCTION("IF(E1037=""USD"",B1037,B1037 * GOOGLEFINANCE(""CURRENCY:"" &amp; E1037 &amp; ""USD""))
"),300000)</f>
        <v>300000</v>
      </c>
      <c r="G1037" s="16">
        <f ca="1">IFERROR(__xludf.DUMMYFUNCTION("IF(E1037=""USD"",C1037,C1037 * GOOGLEFINANCE(""CURRENCY:"" &amp; E1037 &amp; ""USD""))
"),2360184)</f>
        <v>2360184</v>
      </c>
    </row>
    <row r="1038" spans="1:7" ht="15.75" customHeight="1" x14ac:dyDescent="0.25">
      <c r="A1038" s="11" t="s">
        <v>24</v>
      </c>
      <c r="B1038" s="12">
        <v>11000000</v>
      </c>
      <c r="C1038" s="12">
        <v>13903262</v>
      </c>
      <c r="D1038" s="12">
        <v>2001</v>
      </c>
      <c r="E1038" s="12" t="str">
        <f>VLOOKUP(A1038, Currency!$A$2:$B$100, 2, FALSE)</f>
        <v>USD</v>
      </c>
      <c r="F1038" s="12">
        <f ca="1">IFERROR(__xludf.DUMMYFUNCTION("IF(E1038=""USD"",B1038,B1038 * GOOGLEFINANCE(""CURRENCY:"" &amp; E1038 &amp; ""USD""))
"),11000000)</f>
        <v>11000000</v>
      </c>
      <c r="G1038" s="13">
        <f ca="1">IFERROR(__xludf.DUMMYFUNCTION("IF(E1038=""USD"",C1038,C1038 * GOOGLEFINANCE(""CURRENCY:"" &amp; E1038 &amp; ""USD""))
"),13903262)</f>
        <v>13903262</v>
      </c>
    </row>
    <row r="1039" spans="1:7" ht="15.75" customHeight="1" x14ac:dyDescent="0.25">
      <c r="A1039" s="14" t="s">
        <v>133</v>
      </c>
      <c r="B1039" s="15">
        <v>25000000</v>
      </c>
      <c r="C1039" s="15">
        <v>71309760</v>
      </c>
      <c r="D1039" s="15">
        <v>2000</v>
      </c>
      <c r="E1039" s="15" t="str">
        <f>VLOOKUP(A1039, Currency!$A$2:$B$100, 2, FALSE)</f>
        <v>GBP</v>
      </c>
      <c r="F1039" s="15">
        <f ca="1">IFERROR(__xludf.DUMMYFUNCTION("IF(E1039=""USD"",B1039,B1039 * GOOGLEFINANCE(""CURRENCY:"" &amp; E1039 &amp; ""USD""))
"),32134999.9999999)</f>
        <v>32134999.999999899</v>
      </c>
      <c r="G1039" s="16">
        <f ca="1">IFERROR(__xludf.DUMMYFUNCTION("IF(E1039=""USD"",C1039,C1039 * GOOGLEFINANCE(""CURRENCY:"" &amp; E1039 &amp; ""USD""))
"),91661565.504)</f>
        <v>91661565.503999993</v>
      </c>
    </row>
    <row r="1040" spans="1:7" ht="15.75" customHeight="1" x14ac:dyDescent="0.25">
      <c r="A1040" s="11" t="s">
        <v>24</v>
      </c>
      <c r="B1040" s="12">
        <v>60000000</v>
      </c>
      <c r="C1040" s="12">
        <v>30063805</v>
      </c>
      <c r="D1040" s="12">
        <v>2002</v>
      </c>
      <c r="E1040" s="12" t="str">
        <f>VLOOKUP(A1040, Currency!$A$2:$B$100, 2, FALSE)</f>
        <v>USD</v>
      </c>
      <c r="F1040" s="12">
        <f ca="1">IFERROR(__xludf.DUMMYFUNCTION("IF(E1040=""USD"",B1040,B1040 * GOOGLEFINANCE(""CURRENCY:"" &amp; E1040 &amp; ""USD""))
"),60000000)</f>
        <v>60000000</v>
      </c>
      <c r="G1040" s="13">
        <f ca="1">IFERROR(__xludf.DUMMYFUNCTION("IF(E1040=""USD"",C1040,C1040 * GOOGLEFINANCE(""CURRENCY:"" &amp; E1040 &amp; ""USD""))
"),30063805)</f>
        <v>30063805</v>
      </c>
    </row>
    <row r="1041" spans="1:7" ht="15.75" customHeight="1" x14ac:dyDescent="0.25">
      <c r="A1041" s="14" t="s">
        <v>24</v>
      </c>
      <c r="B1041" s="15">
        <v>3000000</v>
      </c>
      <c r="C1041" s="15">
        <v>2223990</v>
      </c>
      <c r="D1041" s="15">
        <v>2003</v>
      </c>
      <c r="E1041" s="15" t="str">
        <f>VLOOKUP(A1041, Currency!$A$2:$B$100, 2, FALSE)</f>
        <v>USD</v>
      </c>
      <c r="F1041" s="15">
        <f ca="1">IFERROR(__xludf.DUMMYFUNCTION("IF(E1041=""USD"",B1041,B1041 * GOOGLEFINANCE(""CURRENCY:"" &amp; E1041 &amp; ""USD""))
"),3000000)</f>
        <v>3000000</v>
      </c>
      <c r="G1041" s="16">
        <f ca="1">IFERROR(__xludf.DUMMYFUNCTION("IF(E1041=""USD"",C1041,C1041 * GOOGLEFINANCE(""CURRENCY:"" &amp; E1041 &amp; ""USD""))
"),2223990)</f>
        <v>2223990</v>
      </c>
    </row>
    <row r="1042" spans="1:7" ht="15.75" customHeight="1" x14ac:dyDescent="0.25">
      <c r="A1042" s="11" t="s">
        <v>24</v>
      </c>
      <c r="B1042" s="12">
        <v>20000000</v>
      </c>
      <c r="C1042" s="12">
        <v>75072454</v>
      </c>
      <c r="D1042" s="12">
        <v>2005</v>
      </c>
      <c r="E1042" s="12" t="str">
        <f>VLOOKUP(A1042, Currency!$A$2:$B$100, 2, FALSE)</f>
        <v>USD</v>
      </c>
      <c r="F1042" s="12">
        <f ca="1">IFERROR(__xludf.DUMMYFUNCTION("IF(E1042=""USD"",B1042,B1042 * GOOGLEFINANCE(""CURRENCY:"" &amp; E1042 &amp; ""USD""))
"),20000000)</f>
        <v>20000000</v>
      </c>
      <c r="G1042" s="13">
        <f ca="1">IFERROR(__xludf.DUMMYFUNCTION("IF(E1042=""USD"",C1042,C1042 * GOOGLEFINANCE(""CURRENCY:"" &amp; E1042 &amp; ""USD""))
"),75072454)</f>
        <v>75072454</v>
      </c>
    </row>
    <row r="1043" spans="1:7" ht="15.75" customHeight="1" x14ac:dyDescent="0.25">
      <c r="A1043" s="14" t="s">
        <v>24</v>
      </c>
      <c r="B1043" s="15">
        <v>22000000</v>
      </c>
      <c r="C1043" s="15">
        <v>12469811</v>
      </c>
      <c r="D1043" s="15">
        <v>2005</v>
      </c>
      <c r="E1043" s="15" t="str">
        <f>VLOOKUP(A1043, Currency!$A$2:$B$100, 2, FALSE)</f>
        <v>USD</v>
      </c>
      <c r="F1043" s="15">
        <f ca="1">IFERROR(__xludf.DUMMYFUNCTION("IF(E1043=""USD"",B1043,B1043 * GOOGLEFINANCE(""CURRENCY:"" &amp; E1043 &amp; ""USD""))
"),22000000)</f>
        <v>22000000</v>
      </c>
      <c r="G1043" s="16">
        <f ca="1">IFERROR(__xludf.DUMMYFUNCTION("IF(E1043=""USD"",C1043,C1043 * GOOGLEFINANCE(""CURRENCY:"" &amp; E1043 &amp; ""USD""))
"),12469811)</f>
        <v>12469811</v>
      </c>
    </row>
    <row r="1044" spans="1:7" ht="15.75" customHeight="1" x14ac:dyDescent="0.25">
      <c r="A1044" s="11" t="s">
        <v>24</v>
      </c>
      <c r="B1044" s="12">
        <v>35000000</v>
      </c>
      <c r="C1044" s="12">
        <v>117528646</v>
      </c>
      <c r="D1044" s="12">
        <v>2011</v>
      </c>
      <c r="E1044" s="12" t="str">
        <f>VLOOKUP(A1044, Currency!$A$2:$B$100, 2, FALSE)</f>
        <v>USD</v>
      </c>
      <c r="F1044" s="12">
        <f ca="1">IFERROR(__xludf.DUMMYFUNCTION("IF(E1044=""USD"",B1044,B1044 * GOOGLEFINANCE(""CURRENCY:"" &amp; E1044 &amp; ""USD""))
"),35000000)</f>
        <v>35000000</v>
      </c>
      <c r="G1044" s="13">
        <f ca="1">IFERROR(__xludf.DUMMYFUNCTION("IF(E1044=""USD"",C1044,C1044 * GOOGLEFINANCE(""CURRENCY:"" &amp; E1044 &amp; ""USD""))
"),117528646)</f>
        <v>117528646</v>
      </c>
    </row>
    <row r="1045" spans="1:7" ht="15.75" customHeight="1" x14ac:dyDescent="0.25">
      <c r="A1045" s="14" t="s">
        <v>24</v>
      </c>
      <c r="B1045" s="15">
        <v>3000000</v>
      </c>
      <c r="C1045" s="15">
        <v>7059537</v>
      </c>
      <c r="D1045" s="15">
        <v>2006</v>
      </c>
      <c r="E1045" s="15" t="str">
        <f>VLOOKUP(A1045, Currency!$A$2:$B$100, 2, FALSE)</f>
        <v>USD</v>
      </c>
      <c r="F1045" s="15">
        <f ca="1">IFERROR(__xludf.DUMMYFUNCTION("IF(E1045=""USD"",B1045,B1045 * GOOGLEFINANCE(""CURRENCY:"" &amp; E1045 &amp; ""USD""))
"),3000000)</f>
        <v>3000000</v>
      </c>
      <c r="G1045" s="16">
        <f ca="1">IFERROR(__xludf.DUMMYFUNCTION("IF(E1045=""USD"",C1045,C1045 * GOOGLEFINANCE(""CURRENCY:"" &amp; E1045 &amp; ""USD""))
"),7059537)</f>
        <v>7059537</v>
      </c>
    </row>
    <row r="1046" spans="1:7" ht="15.75" customHeight="1" x14ac:dyDescent="0.25">
      <c r="A1046" s="11" t="s">
        <v>24</v>
      </c>
      <c r="B1046" s="12">
        <v>4000000</v>
      </c>
      <c r="C1046" s="12">
        <v>800000</v>
      </c>
      <c r="D1046" s="12">
        <v>1987</v>
      </c>
      <c r="E1046" s="12" t="str">
        <f>VLOOKUP(A1046, Currency!$A$2:$B$100, 2, FALSE)</f>
        <v>USD</v>
      </c>
      <c r="F1046" s="12">
        <f ca="1">IFERROR(__xludf.DUMMYFUNCTION("IF(E1046=""USD"",B1046,B1046 * GOOGLEFINANCE(""CURRENCY:"" &amp; E1046 &amp; ""USD""))
"),4000000)</f>
        <v>4000000</v>
      </c>
      <c r="G1046" s="13">
        <f ca="1">IFERROR(__xludf.DUMMYFUNCTION("IF(E1046=""USD"",C1046,C1046 * GOOGLEFINANCE(""CURRENCY:"" &amp; E1046 &amp; ""USD""))
"),800000)</f>
        <v>800000</v>
      </c>
    </row>
    <row r="1047" spans="1:7" ht="15.75" customHeight="1" x14ac:dyDescent="0.25">
      <c r="A1047" s="14" t="s">
        <v>24</v>
      </c>
      <c r="B1047" s="15">
        <v>10000000</v>
      </c>
      <c r="C1047" s="15">
        <v>14479776</v>
      </c>
      <c r="D1047" s="15">
        <v>2014</v>
      </c>
      <c r="E1047" s="15" t="str">
        <f>VLOOKUP(A1047, Currency!$A$2:$B$100, 2, FALSE)</f>
        <v>USD</v>
      </c>
      <c r="F1047" s="15">
        <f ca="1">IFERROR(__xludf.DUMMYFUNCTION("IF(E1047=""USD"",B1047,B1047 * GOOGLEFINANCE(""CURRENCY:"" &amp; E1047 &amp; ""USD""))
"),10000000)</f>
        <v>10000000</v>
      </c>
      <c r="G1047" s="16">
        <f ca="1">IFERROR(__xludf.DUMMYFUNCTION("IF(E1047=""USD"",C1047,C1047 * GOOGLEFINANCE(""CURRENCY:"" &amp; E1047 &amp; ""USD""))
"),14479776)</f>
        <v>14479776</v>
      </c>
    </row>
    <row r="1048" spans="1:7" ht="15.75" customHeight="1" x14ac:dyDescent="0.25">
      <c r="A1048" s="11" t="s">
        <v>133</v>
      </c>
      <c r="B1048" s="12">
        <v>8000000</v>
      </c>
      <c r="C1048" s="12">
        <v>45063889</v>
      </c>
      <c r="D1048" s="12">
        <v>2002</v>
      </c>
      <c r="E1048" s="12" t="str">
        <f>VLOOKUP(A1048, Currency!$A$2:$B$100, 2, FALSE)</f>
        <v>GBP</v>
      </c>
      <c r="F1048" s="12">
        <f ca="1">IFERROR(__xludf.DUMMYFUNCTION("IF(E1048=""USD"",B1048,B1048 * GOOGLEFINANCE(""CURRENCY:"" &amp; E1048 &amp; ""USD""))
"),10283199.9999999)</f>
        <v>10283199.999999899</v>
      </c>
      <c r="G1048" s="13">
        <f ca="1">IFERROR(__xludf.DUMMYFUNCTION("IF(E1048=""USD"",C1048,C1048 * GOOGLEFINANCE(""CURRENCY:"" &amp; E1048 &amp; ""USD""))
"),57925122.9206)</f>
        <v>57925122.920599997</v>
      </c>
    </row>
    <row r="1049" spans="1:7" ht="15.75" customHeight="1" x14ac:dyDescent="0.25">
      <c r="A1049" s="14" t="s">
        <v>24</v>
      </c>
      <c r="B1049" s="15">
        <v>35000000</v>
      </c>
      <c r="C1049" s="15">
        <v>6448817</v>
      </c>
      <c r="D1049" s="15">
        <v>1997</v>
      </c>
      <c r="E1049" s="15" t="str">
        <f>VLOOKUP(A1049, Currency!$A$2:$B$100, 2, FALSE)</f>
        <v>USD</v>
      </c>
      <c r="F1049" s="15">
        <f ca="1">IFERROR(__xludf.DUMMYFUNCTION("IF(E1049=""USD"",B1049,B1049 * GOOGLEFINANCE(""CURRENCY:"" &amp; E1049 &amp; ""USD""))
"),35000000)</f>
        <v>35000000</v>
      </c>
      <c r="G1049" s="16">
        <f ca="1">IFERROR(__xludf.DUMMYFUNCTION("IF(E1049=""USD"",C1049,C1049 * GOOGLEFINANCE(""CURRENCY:"" &amp; E1049 &amp; ""USD""))
"),6448817)</f>
        <v>6448817</v>
      </c>
    </row>
    <row r="1050" spans="1:7" ht="15.75" customHeight="1" x14ac:dyDescent="0.25">
      <c r="A1050" s="11" t="s">
        <v>24</v>
      </c>
      <c r="B1050" s="12">
        <v>40000000</v>
      </c>
      <c r="C1050" s="12">
        <v>16323969</v>
      </c>
      <c r="D1050" s="12">
        <v>2004</v>
      </c>
      <c r="E1050" s="12" t="str">
        <f>VLOOKUP(A1050, Currency!$A$2:$B$100, 2, FALSE)</f>
        <v>USD</v>
      </c>
      <c r="F1050" s="12">
        <f ca="1">IFERROR(__xludf.DUMMYFUNCTION("IF(E1050=""USD"",B1050,B1050 * GOOGLEFINANCE(""CURRENCY:"" &amp; E1050 &amp; ""USD""))
"),40000000)</f>
        <v>40000000</v>
      </c>
      <c r="G1050" s="13">
        <f ca="1">IFERROR(__xludf.DUMMYFUNCTION("IF(E1050=""USD"",C1050,C1050 * GOOGLEFINANCE(""CURRENCY:"" &amp; E1050 &amp; ""USD""))
"),16323969)</f>
        <v>16323969</v>
      </c>
    </row>
    <row r="1051" spans="1:7" ht="15.75" customHeight="1" x14ac:dyDescent="0.25">
      <c r="A1051" s="14" t="s">
        <v>24</v>
      </c>
      <c r="B1051" s="15">
        <v>40000000</v>
      </c>
      <c r="C1051" s="15">
        <v>70836296</v>
      </c>
      <c r="D1051" s="15">
        <v>2001</v>
      </c>
      <c r="E1051" s="15" t="str">
        <f>VLOOKUP(A1051, Currency!$A$2:$B$100, 2, FALSE)</f>
        <v>USD</v>
      </c>
      <c r="F1051" s="15">
        <f ca="1">IFERROR(__xludf.DUMMYFUNCTION("IF(E1051=""USD"",B1051,B1051 * GOOGLEFINANCE(""CURRENCY:"" &amp; E1051 &amp; ""USD""))
"),40000000)</f>
        <v>40000000</v>
      </c>
      <c r="G1051" s="16">
        <f ca="1">IFERROR(__xludf.DUMMYFUNCTION("IF(E1051=""USD"",C1051,C1051 * GOOGLEFINANCE(""CURRENCY:"" &amp; E1051 &amp; ""USD""))
"),70836296)</f>
        <v>70836296</v>
      </c>
    </row>
    <row r="1052" spans="1:7" ht="15.75" customHeight="1" x14ac:dyDescent="0.25">
      <c r="A1052" s="11" t="s">
        <v>24</v>
      </c>
      <c r="B1052" s="12">
        <v>5000000</v>
      </c>
      <c r="C1052" s="12">
        <v>1729969</v>
      </c>
      <c r="D1052" s="12">
        <v>2011</v>
      </c>
      <c r="E1052" s="12" t="str">
        <f>VLOOKUP(A1052, Currency!$A$2:$B$100, 2, FALSE)</f>
        <v>USD</v>
      </c>
      <c r="F1052" s="12">
        <f ca="1">IFERROR(__xludf.DUMMYFUNCTION("IF(E1052=""USD"",B1052,B1052 * GOOGLEFINANCE(""CURRENCY:"" &amp; E1052 &amp; ""USD""))
"),5000000)</f>
        <v>5000000</v>
      </c>
      <c r="G1052" s="13">
        <f ca="1">IFERROR(__xludf.DUMMYFUNCTION("IF(E1052=""USD"",C1052,C1052 * GOOGLEFINANCE(""CURRENCY:"" &amp; E1052 &amp; ""USD""))
"),1729969)</f>
        <v>1729969</v>
      </c>
    </row>
    <row r="1053" spans="1:7" ht="15.75" customHeight="1" x14ac:dyDescent="0.25">
      <c r="A1053" s="14" t="s">
        <v>24</v>
      </c>
      <c r="B1053" s="15">
        <v>52500000</v>
      </c>
      <c r="C1053" s="15">
        <v>57386369</v>
      </c>
      <c r="D1053" s="15">
        <v>2001</v>
      </c>
      <c r="E1053" s="15" t="str">
        <f>VLOOKUP(A1053, Currency!$A$2:$B$100, 2, FALSE)</f>
        <v>USD</v>
      </c>
      <c r="F1053" s="15">
        <f ca="1">IFERROR(__xludf.DUMMYFUNCTION("IF(E1053=""USD"",B1053,B1053 * GOOGLEFINANCE(""CURRENCY:"" &amp; E1053 &amp; ""USD""))
"),52500000)</f>
        <v>52500000</v>
      </c>
      <c r="G1053" s="16">
        <f ca="1">IFERROR(__xludf.DUMMYFUNCTION("IF(E1053=""USD"",C1053,C1053 * GOOGLEFINANCE(""CURRENCY:"" &amp; E1053 &amp; ""USD""))
"),57386369)</f>
        <v>57386369</v>
      </c>
    </row>
    <row r="1054" spans="1:7" ht="15.75" customHeight="1" x14ac:dyDescent="0.25">
      <c r="A1054" s="11" t="s">
        <v>24</v>
      </c>
      <c r="B1054" s="12">
        <v>15000000</v>
      </c>
      <c r="C1054" s="12">
        <v>5217498</v>
      </c>
      <c r="D1054" s="12">
        <v>2000</v>
      </c>
      <c r="E1054" s="12" t="str">
        <f>VLOOKUP(A1054, Currency!$A$2:$B$100, 2, FALSE)</f>
        <v>USD</v>
      </c>
      <c r="F1054" s="12">
        <f ca="1">IFERROR(__xludf.DUMMYFUNCTION("IF(E1054=""USD"",B1054,B1054 * GOOGLEFINANCE(""CURRENCY:"" &amp; E1054 &amp; ""USD""))
"),15000000)</f>
        <v>15000000</v>
      </c>
      <c r="G1054" s="13">
        <f ca="1">IFERROR(__xludf.DUMMYFUNCTION("IF(E1054=""USD"",C1054,C1054 * GOOGLEFINANCE(""CURRENCY:"" &amp; E1054 &amp; ""USD""))
"),5217498)</f>
        <v>5217498</v>
      </c>
    </row>
    <row r="1055" spans="1:7" ht="15.75" customHeight="1" x14ac:dyDescent="0.25">
      <c r="A1055" s="14" t="s">
        <v>24</v>
      </c>
      <c r="B1055" s="15">
        <v>45000000</v>
      </c>
      <c r="C1055" s="15">
        <v>100768056</v>
      </c>
      <c r="D1055" s="15">
        <v>1993</v>
      </c>
      <c r="E1055" s="15" t="str">
        <f>VLOOKUP(A1055, Currency!$A$2:$B$100, 2, FALSE)</f>
        <v>USD</v>
      </c>
      <c r="F1055" s="15">
        <f ca="1">IFERROR(__xludf.DUMMYFUNCTION("IF(E1055=""USD"",B1055,B1055 * GOOGLEFINANCE(""CURRENCY:"" &amp; E1055 &amp; ""USD""))
"),45000000)</f>
        <v>45000000</v>
      </c>
      <c r="G1055" s="16">
        <f ca="1">IFERROR(__xludf.DUMMYFUNCTION("IF(E1055=""USD"",C1055,C1055 * GOOGLEFINANCE(""CURRENCY:"" &amp; E1055 &amp; ""USD""))
"),100768056)</f>
        <v>100768056</v>
      </c>
    </row>
    <row r="1056" spans="1:7" ht="15.75" customHeight="1" x14ac:dyDescent="0.25">
      <c r="A1056" s="11" t="s">
        <v>24</v>
      </c>
      <c r="B1056" s="12">
        <v>38000000</v>
      </c>
      <c r="C1056" s="12">
        <v>35183792</v>
      </c>
      <c r="D1056" s="12">
        <v>1991</v>
      </c>
      <c r="E1056" s="12" t="str">
        <f>VLOOKUP(A1056, Currency!$A$2:$B$100, 2, FALSE)</f>
        <v>USD</v>
      </c>
      <c r="F1056" s="12">
        <f ca="1">IFERROR(__xludf.DUMMYFUNCTION("IF(E1056=""USD"",B1056,B1056 * GOOGLEFINANCE(""CURRENCY:"" &amp; E1056 &amp; ""USD""))
"),38000000)</f>
        <v>38000000</v>
      </c>
      <c r="G1056" s="13">
        <f ca="1">IFERROR(__xludf.DUMMYFUNCTION("IF(E1056=""USD"",C1056,C1056 * GOOGLEFINANCE(""CURRENCY:"" &amp; E1056 &amp; ""USD""))
"),35183792)</f>
        <v>35183792</v>
      </c>
    </row>
    <row r="1057" spans="1:7" ht="15.75" customHeight="1" x14ac:dyDescent="0.25">
      <c r="A1057" s="14" t="s">
        <v>24</v>
      </c>
      <c r="B1057" s="15">
        <v>22000000</v>
      </c>
      <c r="C1057" s="15">
        <v>9528092</v>
      </c>
      <c r="D1057" s="15">
        <v>2010</v>
      </c>
      <c r="E1057" s="15" t="str">
        <f>VLOOKUP(A1057, Currency!$A$2:$B$100, 2, FALSE)</f>
        <v>USD</v>
      </c>
      <c r="F1057" s="15">
        <f ca="1">IFERROR(__xludf.DUMMYFUNCTION("IF(E1057=""USD"",B1057,B1057 * GOOGLEFINANCE(""CURRENCY:"" &amp; E1057 &amp; ""USD""))
"),22000000)</f>
        <v>22000000</v>
      </c>
      <c r="G1057" s="16">
        <f ca="1">IFERROR(__xludf.DUMMYFUNCTION("IF(E1057=""USD"",C1057,C1057 * GOOGLEFINANCE(""CURRENCY:"" &amp; E1057 &amp; ""USD""))
"),9528092)</f>
        <v>9528092</v>
      </c>
    </row>
    <row r="1058" spans="1:7" ht="15.75" customHeight="1" x14ac:dyDescent="0.25">
      <c r="A1058" s="11" t="s">
        <v>24</v>
      </c>
      <c r="B1058" s="12">
        <v>8500000</v>
      </c>
      <c r="C1058" s="12">
        <v>34872293</v>
      </c>
      <c r="D1058" s="12">
        <v>1991</v>
      </c>
      <c r="E1058" s="12" t="str">
        <f>VLOOKUP(A1058, Currency!$A$2:$B$100, 2, FALSE)</f>
        <v>USD</v>
      </c>
      <c r="F1058" s="12">
        <f ca="1">IFERROR(__xludf.DUMMYFUNCTION("IF(E1058=""USD"",B1058,B1058 * GOOGLEFINANCE(""CURRENCY:"" &amp; E1058 &amp; ""USD""))
"),8500000)</f>
        <v>8500000</v>
      </c>
      <c r="G1058" s="13">
        <f ca="1">IFERROR(__xludf.DUMMYFUNCTION("IF(E1058=""USD"",C1058,C1058 * GOOGLEFINANCE(""CURRENCY:"" &amp; E1058 &amp; ""USD""))
"),34872293)</f>
        <v>34872293</v>
      </c>
    </row>
    <row r="1059" spans="1:7" ht="15.75" customHeight="1" x14ac:dyDescent="0.25">
      <c r="A1059" s="14" t="s">
        <v>24</v>
      </c>
      <c r="B1059" s="15">
        <v>17000000</v>
      </c>
      <c r="C1059" s="15">
        <v>54257433</v>
      </c>
      <c r="D1059" s="15">
        <v>2016</v>
      </c>
      <c r="E1059" s="15" t="str">
        <f>VLOOKUP(A1059, Currency!$A$2:$B$100, 2, FALSE)</f>
        <v>USD</v>
      </c>
      <c r="F1059" s="15">
        <f ca="1">IFERROR(__xludf.DUMMYFUNCTION("IF(E1059=""USD"",B1059,B1059 * GOOGLEFINANCE(""CURRENCY:"" &amp; E1059 &amp; ""USD""))
"),17000000)</f>
        <v>17000000</v>
      </c>
      <c r="G1059" s="16">
        <f ca="1">IFERROR(__xludf.DUMMYFUNCTION("IF(E1059=""USD"",C1059,C1059 * GOOGLEFINANCE(""CURRENCY:"" &amp; E1059 &amp; ""USD""))
"),54257433)</f>
        <v>54257433</v>
      </c>
    </row>
    <row r="1060" spans="1:7" ht="15.75" customHeight="1" x14ac:dyDescent="0.25">
      <c r="A1060" s="11" t="s">
        <v>24</v>
      </c>
      <c r="B1060" s="12">
        <v>6000000</v>
      </c>
      <c r="C1060" s="12">
        <v>9821335</v>
      </c>
      <c r="D1060" s="12">
        <v>2000</v>
      </c>
      <c r="E1060" s="12" t="str">
        <f>VLOOKUP(A1060, Currency!$A$2:$B$100, 2, FALSE)</f>
        <v>USD</v>
      </c>
      <c r="F1060" s="12">
        <f ca="1">IFERROR(__xludf.DUMMYFUNCTION("IF(E1060=""USD"",B1060,B1060 * GOOGLEFINANCE(""CURRENCY:"" &amp; E1060 &amp; ""USD""))
"),6000000)</f>
        <v>6000000</v>
      </c>
      <c r="G1060" s="13">
        <f ca="1">IFERROR(__xludf.DUMMYFUNCTION("IF(E1060=""USD"",C1060,C1060 * GOOGLEFINANCE(""CURRENCY:"" &amp; E1060 &amp; ""USD""))
"),9821335)</f>
        <v>9821335</v>
      </c>
    </row>
    <row r="1061" spans="1:7" ht="15.75" customHeight="1" x14ac:dyDescent="0.25">
      <c r="A1061" s="14" t="s">
        <v>24</v>
      </c>
      <c r="B1061" s="15">
        <v>35000000</v>
      </c>
      <c r="C1061" s="15">
        <v>55291815</v>
      </c>
      <c r="D1061" s="15">
        <v>2016</v>
      </c>
      <c r="E1061" s="15" t="str">
        <f>VLOOKUP(A1061, Currency!$A$2:$B$100, 2, FALSE)</f>
        <v>USD</v>
      </c>
      <c r="F1061" s="15">
        <f ca="1">IFERROR(__xludf.DUMMYFUNCTION("IF(E1061=""USD"",B1061,B1061 * GOOGLEFINANCE(""CURRENCY:"" &amp; E1061 &amp; ""USD""))
"),35000000)</f>
        <v>35000000</v>
      </c>
      <c r="G1061" s="16">
        <f ca="1">IFERROR(__xludf.DUMMYFUNCTION("IF(E1061=""USD"",C1061,C1061 * GOOGLEFINANCE(""CURRENCY:"" &amp; E1061 &amp; ""USD""))
"),55291815)</f>
        <v>55291815</v>
      </c>
    </row>
    <row r="1062" spans="1:7" ht="15.75" customHeight="1" x14ac:dyDescent="0.25">
      <c r="A1062" s="11" t="s">
        <v>24</v>
      </c>
      <c r="B1062" s="12">
        <v>125000000</v>
      </c>
      <c r="C1062" s="12">
        <v>215397307</v>
      </c>
      <c r="D1062" s="12">
        <v>2000</v>
      </c>
      <c r="E1062" s="12" t="str">
        <f>VLOOKUP(A1062, Currency!$A$2:$B$100, 2, FALSE)</f>
        <v>USD</v>
      </c>
      <c r="F1062" s="12">
        <f ca="1">IFERROR(__xludf.DUMMYFUNCTION("IF(E1062=""USD"",B1062,B1062 * GOOGLEFINANCE(""CURRENCY:"" &amp; E1062 &amp; ""USD""))
"),125000000)</f>
        <v>125000000</v>
      </c>
      <c r="G1062" s="13">
        <f ca="1">IFERROR(__xludf.DUMMYFUNCTION("IF(E1062=""USD"",C1062,C1062 * GOOGLEFINANCE(""CURRENCY:"" &amp; E1062 &amp; ""USD""))
"),215397307)</f>
        <v>215397307</v>
      </c>
    </row>
    <row r="1063" spans="1:7" ht="15.75" customHeight="1" x14ac:dyDescent="0.25">
      <c r="A1063" s="14" t="s">
        <v>24</v>
      </c>
      <c r="B1063" s="15">
        <v>1200000</v>
      </c>
      <c r="C1063" s="15">
        <v>7826</v>
      </c>
      <c r="D1063" s="15">
        <v>2007</v>
      </c>
      <c r="E1063" s="15" t="str">
        <f>VLOOKUP(A1063, Currency!$A$2:$B$100, 2, FALSE)</f>
        <v>USD</v>
      </c>
      <c r="F1063" s="15">
        <f ca="1">IFERROR(__xludf.DUMMYFUNCTION("IF(E1063=""USD"",B1063,B1063 * GOOGLEFINANCE(""CURRENCY:"" &amp; E1063 &amp; ""USD""))
"),1200000)</f>
        <v>1200000</v>
      </c>
      <c r="G1063" s="16">
        <f ca="1">IFERROR(__xludf.DUMMYFUNCTION("IF(E1063=""USD"",C1063,C1063 * GOOGLEFINANCE(""CURRENCY:"" &amp; E1063 &amp; ""USD""))
"),7826)</f>
        <v>7826</v>
      </c>
    </row>
    <row r="1064" spans="1:7" ht="15.75" customHeight="1" x14ac:dyDescent="0.25">
      <c r="A1064" s="11" t="s">
        <v>24</v>
      </c>
      <c r="B1064" s="12">
        <v>15600000</v>
      </c>
      <c r="C1064" s="12">
        <v>68525609</v>
      </c>
      <c r="D1064" s="12">
        <v>2000</v>
      </c>
      <c r="E1064" s="12" t="str">
        <f>VLOOKUP(A1064, Currency!$A$2:$B$100, 2, FALSE)</f>
        <v>USD</v>
      </c>
      <c r="F1064" s="12">
        <f ca="1">IFERROR(__xludf.DUMMYFUNCTION("IF(E1064=""USD"",B1064,B1064 * GOOGLEFINANCE(""CURRENCY:"" &amp; E1064 &amp; ""USD""))
"),15600000)</f>
        <v>15600000</v>
      </c>
      <c r="G1064" s="13">
        <f ca="1">IFERROR(__xludf.DUMMYFUNCTION("IF(E1064=""USD"",C1064,C1064 * GOOGLEFINANCE(""CURRENCY:"" &amp; E1064 &amp; ""USD""))
"),68525609)</f>
        <v>68525609</v>
      </c>
    </row>
    <row r="1065" spans="1:7" ht="15.75" customHeight="1" x14ac:dyDescent="0.25">
      <c r="A1065" s="14" t="s">
        <v>24</v>
      </c>
      <c r="B1065" s="15">
        <v>30000000</v>
      </c>
      <c r="C1065" s="15">
        <v>40247512</v>
      </c>
      <c r="D1065" s="15">
        <v>2011</v>
      </c>
      <c r="E1065" s="15" t="str">
        <f>VLOOKUP(A1065, Currency!$A$2:$B$100, 2, FALSE)</f>
        <v>USD</v>
      </c>
      <c r="F1065" s="15">
        <f ca="1">IFERROR(__xludf.DUMMYFUNCTION("IF(E1065=""USD"",B1065,B1065 * GOOGLEFINANCE(""CURRENCY:"" &amp; E1065 &amp; ""USD""))
"),30000000)</f>
        <v>30000000</v>
      </c>
      <c r="G1065" s="16">
        <f ca="1">IFERROR(__xludf.DUMMYFUNCTION("IF(E1065=""USD"",C1065,C1065 * GOOGLEFINANCE(""CURRENCY:"" &amp; E1065 &amp; ""USD""))
"),40247512)</f>
        <v>40247512</v>
      </c>
    </row>
    <row r="1066" spans="1:7" ht="15.75" customHeight="1" x14ac:dyDescent="0.25">
      <c r="A1066" s="11" t="s">
        <v>24</v>
      </c>
      <c r="B1066" s="12">
        <v>34000</v>
      </c>
      <c r="C1066" s="12">
        <v>333658</v>
      </c>
      <c r="D1066" s="12">
        <v>1990</v>
      </c>
      <c r="E1066" s="12" t="str">
        <f>VLOOKUP(A1066, Currency!$A$2:$B$100, 2, FALSE)</f>
        <v>USD</v>
      </c>
      <c r="F1066" s="12">
        <f ca="1">IFERROR(__xludf.DUMMYFUNCTION("IF(E1066=""USD"",B1066,B1066 * GOOGLEFINANCE(""CURRENCY:"" &amp; E1066 &amp; ""USD""))
"),34000)</f>
        <v>34000</v>
      </c>
      <c r="G1066" s="13">
        <f ca="1">IFERROR(__xludf.DUMMYFUNCTION("IF(E1066=""USD"",C1066,C1066 * GOOGLEFINANCE(""CURRENCY:"" &amp; E1066 &amp; ""USD""))
"),333658)</f>
        <v>333658</v>
      </c>
    </row>
    <row r="1067" spans="1:7" ht="15.75" customHeight="1" x14ac:dyDescent="0.25">
      <c r="A1067" s="14" t="s">
        <v>133</v>
      </c>
      <c r="B1067" s="15">
        <v>140000000</v>
      </c>
      <c r="C1067" s="15">
        <v>65007045</v>
      </c>
      <c r="D1067" s="15">
        <v>2014</v>
      </c>
      <c r="E1067" s="15" t="str">
        <f>VLOOKUP(A1067, Currency!$A$2:$B$100, 2, FALSE)</f>
        <v>GBP</v>
      </c>
      <c r="F1067" s="15">
        <f ca="1">IFERROR(__xludf.DUMMYFUNCTION("IF(E1067=""USD"",B1067,B1067 * GOOGLEFINANCE(""CURRENCY:"" &amp; E1067 &amp; ""USD""))
"),179955999.999999)</f>
        <v>179955999.99999899</v>
      </c>
      <c r="G1067" s="16">
        <f ca="1">IFERROR(__xludf.DUMMYFUNCTION("IF(E1067=""USD"",C1067,C1067 * GOOGLEFINANCE(""CURRENCY:"" &amp; E1067 &amp; ""USD""))
"),83560055.6429999)</f>
        <v>83560055.642999902</v>
      </c>
    </row>
    <row r="1068" spans="1:7" ht="15.75" customHeight="1" x14ac:dyDescent="0.25">
      <c r="A1068" s="11" t="s">
        <v>24</v>
      </c>
      <c r="B1068" s="12">
        <v>35000000</v>
      </c>
      <c r="C1068" s="12">
        <v>13264986</v>
      </c>
      <c r="D1068" s="12">
        <v>2001</v>
      </c>
      <c r="E1068" s="12" t="str">
        <f>VLOOKUP(A1068, Currency!$A$2:$B$100, 2, FALSE)</f>
        <v>USD</v>
      </c>
      <c r="F1068" s="12">
        <f ca="1">IFERROR(__xludf.DUMMYFUNCTION("IF(E1068=""USD"",B1068,B1068 * GOOGLEFINANCE(""CURRENCY:"" &amp; E1068 &amp; ""USD""))
"),35000000)</f>
        <v>35000000</v>
      </c>
      <c r="G1068" s="13">
        <f ca="1">IFERROR(__xludf.DUMMYFUNCTION("IF(E1068=""USD"",C1068,C1068 * GOOGLEFINANCE(""CURRENCY:"" &amp; E1068 &amp; ""USD""))
"),13264986)</f>
        <v>13264986</v>
      </c>
    </row>
    <row r="1069" spans="1:7" ht="15.75" customHeight="1" x14ac:dyDescent="0.25">
      <c r="A1069" s="14" t="s">
        <v>24</v>
      </c>
      <c r="B1069" s="15">
        <v>70000000</v>
      </c>
      <c r="C1069" s="15">
        <v>42272747</v>
      </c>
      <c r="D1069" s="15">
        <v>2006</v>
      </c>
      <c r="E1069" s="15" t="str">
        <f>VLOOKUP(A1069, Currency!$A$2:$B$100, 2, FALSE)</f>
        <v>USD</v>
      </c>
      <c r="F1069" s="15">
        <f ca="1">IFERROR(__xludf.DUMMYFUNCTION("IF(E1069=""USD"",B1069,B1069 * GOOGLEFINANCE(""CURRENCY:"" &amp; E1069 &amp; ""USD""))
"),70000000)</f>
        <v>70000000</v>
      </c>
      <c r="G1069" s="16">
        <f ca="1">IFERROR(__xludf.DUMMYFUNCTION("IF(E1069=""USD"",C1069,C1069 * GOOGLEFINANCE(""CURRENCY:"" &amp; E1069 &amp; ""USD""))
"),42272747)</f>
        <v>42272747</v>
      </c>
    </row>
    <row r="1070" spans="1:7" ht="15.75" customHeight="1" x14ac:dyDescent="0.25">
      <c r="A1070" s="11" t="s">
        <v>24</v>
      </c>
      <c r="B1070" s="12">
        <v>14000000</v>
      </c>
      <c r="C1070" s="12">
        <v>15062898</v>
      </c>
      <c r="D1070" s="12">
        <v>1998</v>
      </c>
      <c r="E1070" s="12" t="str">
        <f>VLOOKUP(A1070, Currency!$A$2:$B$100, 2, FALSE)</f>
        <v>USD</v>
      </c>
      <c r="F1070" s="12">
        <f ca="1">IFERROR(__xludf.DUMMYFUNCTION("IF(E1070=""USD"",B1070,B1070 * GOOGLEFINANCE(""CURRENCY:"" &amp; E1070 &amp; ""USD""))
"),14000000)</f>
        <v>14000000</v>
      </c>
      <c r="G1070" s="13">
        <f ca="1">IFERROR(__xludf.DUMMYFUNCTION("IF(E1070=""USD"",C1070,C1070 * GOOGLEFINANCE(""CURRENCY:"" &amp; E1070 &amp; ""USD""))
"),15062898)</f>
        <v>15062898</v>
      </c>
    </row>
    <row r="1071" spans="1:7" ht="15.75" customHeight="1" x14ac:dyDescent="0.25">
      <c r="A1071" s="14" t="s">
        <v>24</v>
      </c>
      <c r="B1071" s="15">
        <v>2000000</v>
      </c>
      <c r="C1071" s="15">
        <v>198407</v>
      </c>
      <c r="D1071" s="15">
        <v>2006</v>
      </c>
      <c r="E1071" s="15" t="str">
        <f>VLOOKUP(A1071, Currency!$A$2:$B$100, 2, FALSE)</f>
        <v>USD</v>
      </c>
      <c r="F1071" s="15">
        <f ca="1">IFERROR(__xludf.DUMMYFUNCTION("IF(E1071=""USD"",B1071,B1071 * GOOGLEFINANCE(""CURRENCY:"" &amp; E1071 &amp; ""USD""))
"),2000000)</f>
        <v>2000000</v>
      </c>
      <c r="G1071" s="16">
        <f ca="1">IFERROR(__xludf.DUMMYFUNCTION("IF(E1071=""USD"",C1071,C1071 * GOOGLEFINANCE(""CURRENCY:"" &amp; E1071 &amp; ""USD""))
"),198407)</f>
        <v>198407</v>
      </c>
    </row>
    <row r="1072" spans="1:7" ht="15.75" customHeight="1" x14ac:dyDescent="0.25">
      <c r="A1072" s="11" t="s">
        <v>24</v>
      </c>
      <c r="B1072" s="12">
        <v>5000000</v>
      </c>
      <c r="C1072" s="12">
        <v>21197315</v>
      </c>
      <c r="D1072" s="12">
        <v>2014</v>
      </c>
      <c r="E1072" s="12" t="str">
        <f>VLOOKUP(A1072, Currency!$A$2:$B$100, 2, FALSE)</f>
        <v>USD</v>
      </c>
      <c r="F1072" s="12">
        <f ca="1">IFERROR(__xludf.DUMMYFUNCTION("IF(E1072=""USD"",B1072,B1072 * GOOGLEFINANCE(""CURRENCY:"" &amp; E1072 &amp; ""USD""))
"),5000000)</f>
        <v>5000000</v>
      </c>
      <c r="G1072" s="13">
        <f ca="1">IFERROR(__xludf.DUMMYFUNCTION("IF(E1072=""USD"",C1072,C1072 * GOOGLEFINANCE(""CURRENCY:"" &amp; E1072 &amp; ""USD""))
"),21197315)</f>
        <v>21197315</v>
      </c>
    </row>
    <row r="1073" spans="1:7" ht="15.75" customHeight="1" x14ac:dyDescent="0.25">
      <c r="A1073" s="14" t="s">
        <v>24</v>
      </c>
      <c r="B1073" s="15">
        <v>17000000</v>
      </c>
      <c r="C1073" s="15">
        <v>16684352</v>
      </c>
      <c r="D1073" s="15">
        <v>2012</v>
      </c>
      <c r="E1073" s="15" t="str">
        <f>VLOOKUP(A1073, Currency!$A$2:$B$100, 2, FALSE)</f>
        <v>USD</v>
      </c>
      <c r="F1073" s="15">
        <f ca="1">IFERROR(__xludf.DUMMYFUNCTION("IF(E1073=""USD"",B1073,B1073 * GOOGLEFINANCE(""CURRENCY:"" &amp; E1073 &amp; ""USD""))
"),17000000)</f>
        <v>17000000</v>
      </c>
      <c r="G1073" s="16">
        <f ca="1">IFERROR(__xludf.DUMMYFUNCTION("IF(E1073=""USD"",C1073,C1073 * GOOGLEFINANCE(""CURRENCY:"" &amp; E1073 &amp; ""USD""))
"),16684352)</f>
        <v>16684352</v>
      </c>
    </row>
    <row r="1074" spans="1:7" ht="15.75" customHeight="1" x14ac:dyDescent="0.25">
      <c r="A1074" s="11" t="s">
        <v>24</v>
      </c>
      <c r="B1074" s="12">
        <v>10000000</v>
      </c>
      <c r="C1074" s="12">
        <v>26583369</v>
      </c>
      <c r="D1074" s="12">
        <v>2016</v>
      </c>
      <c r="E1074" s="12" t="str">
        <f>VLOOKUP(A1074, Currency!$A$2:$B$100, 2, FALSE)</f>
        <v>USD</v>
      </c>
      <c r="F1074" s="12">
        <f ca="1">IFERROR(__xludf.DUMMYFUNCTION("IF(E1074=""USD"",B1074,B1074 * GOOGLEFINANCE(""CURRENCY:"" &amp; E1074 &amp; ""USD""))
"),10000000)</f>
        <v>10000000</v>
      </c>
      <c r="G1074" s="13">
        <f ca="1">IFERROR(__xludf.DUMMYFUNCTION("IF(E1074=""USD"",C1074,C1074 * GOOGLEFINANCE(""CURRENCY:"" &amp; E1074 &amp; ""USD""))
"),26583369)</f>
        <v>26583369</v>
      </c>
    </row>
    <row r="1075" spans="1:7" ht="15.75" customHeight="1" x14ac:dyDescent="0.25">
      <c r="A1075" s="14" t="s">
        <v>24</v>
      </c>
      <c r="B1075" s="15">
        <v>2000000</v>
      </c>
      <c r="C1075" s="15">
        <v>92401</v>
      </c>
      <c r="D1075" s="15">
        <v>2010</v>
      </c>
      <c r="E1075" s="15" t="str">
        <f>VLOOKUP(A1075, Currency!$A$2:$B$100, 2, FALSE)</f>
        <v>USD</v>
      </c>
      <c r="F1075" s="15">
        <f ca="1">IFERROR(__xludf.DUMMYFUNCTION("IF(E1075=""USD"",B1075,B1075 * GOOGLEFINANCE(""CURRENCY:"" &amp; E1075 &amp; ""USD""))
"),2000000)</f>
        <v>2000000</v>
      </c>
      <c r="G1075" s="16">
        <f ca="1">IFERROR(__xludf.DUMMYFUNCTION("IF(E1075=""USD"",C1075,C1075 * GOOGLEFINANCE(""CURRENCY:"" &amp; E1075 &amp; ""USD""))
"),92401)</f>
        <v>92401</v>
      </c>
    </row>
    <row r="1076" spans="1:7" ht="15.75" customHeight="1" x14ac:dyDescent="0.25">
      <c r="A1076" s="11" t="s">
        <v>24</v>
      </c>
      <c r="B1076" s="12">
        <v>45000000</v>
      </c>
      <c r="C1076" s="12">
        <v>74484168</v>
      </c>
      <c r="D1076" s="12">
        <v>2005</v>
      </c>
      <c r="E1076" s="12" t="str">
        <f>VLOOKUP(A1076, Currency!$A$2:$B$100, 2, FALSE)</f>
        <v>USD</v>
      </c>
      <c r="F1076" s="12">
        <f ca="1">IFERROR(__xludf.DUMMYFUNCTION("IF(E1076=""USD"",B1076,B1076 * GOOGLEFINANCE(""CURRENCY:"" &amp; E1076 &amp; ""USD""))
"),45000000)</f>
        <v>45000000</v>
      </c>
      <c r="G1076" s="13">
        <f ca="1">IFERROR(__xludf.DUMMYFUNCTION("IF(E1076=""USD"",C1076,C1076 * GOOGLEFINANCE(""CURRENCY:"" &amp; E1076 &amp; ""USD""))
"),74484168)</f>
        <v>74484168</v>
      </c>
    </row>
    <row r="1077" spans="1:7" ht="15.75" customHeight="1" x14ac:dyDescent="0.25">
      <c r="A1077" s="14" t="s">
        <v>133</v>
      </c>
      <c r="B1077" s="15">
        <v>5500000</v>
      </c>
      <c r="C1077" s="15">
        <v>58800000</v>
      </c>
      <c r="D1077" s="15">
        <v>1981</v>
      </c>
      <c r="E1077" s="15" t="str">
        <f>VLOOKUP(A1077, Currency!$A$2:$B$100, 2, FALSE)</f>
        <v>GBP</v>
      </c>
      <c r="F1077" s="15">
        <f ca="1">IFERROR(__xludf.DUMMYFUNCTION("IF(E1077=""USD"",B1077,B1077 * GOOGLEFINANCE(""CURRENCY:"" &amp; E1077 &amp; ""USD""))
"),7069699.99999999)</f>
        <v>7069699.9999999898</v>
      </c>
      <c r="G1077" s="16">
        <f ca="1">IFERROR(__xludf.DUMMYFUNCTION("IF(E1077=""USD"",C1077,C1077 * GOOGLEFINANCE(""CURRENCY:"" &amp; E1077 &amp; ""USD""))
"),75581520)</f>
        <v>75581520</v>
      </c>
    </row>
    <row r="1078" spans="1:7" ht="15.75" customHeight="1" x14ac:dyDescent="0.25">
      <c r="A1078" s="11" t="s">
        <v>24</v>
      </c>
      <c r="B1078" s="12">
        <v>9000000</v>
      </c>
      <c r="C1078" s="12">
        <v>4681503</v>
      </c>
      <c r="D1078" s="12">
        <v>2002</v>
      </c>
      <c r="E1078" s="12" t="str">
        <f>VLOOKUP(A1078, Currency!$A$2:$B$100, 2, FALSE)</f>
        <v>USD</v>
      </c>
      <c r="F1078" s="12">
        <f ca="1">IFERROR(__xludf.DUMMYFUNCTION("IF(E1078=""USD"",B1078,B1078 * GOOGLEFINANCE(""CURRENCY:"" &amp; E1078 &amp; ""USD""))
"),9000000)</f>
        <v>9000000</v>
      </c>
      <c r="G1078" s="13">
        <f ca="1">IFERROR(__xludf.DUMMYFUNCTION("IF(E1078=""USD"",C1078,C1078 * GOOGLEFINANCE(""CURRENCY:"" &amp; E1078 &amp; ""USD""))
"),4681503)</f>
        <v>4681503</v>
      </c>
    </row>
    <row r="1079" spans="1:7" ht="15.75" customHeight="1" x14ac:dyDescent="0.25">
      <c r="A1079" s="14" t="s">
        <v>24</v>
      </c>
      <c r="B1079" s="15">
        <v>20000000</v>
      </c>
      <c r="C1079" s="15">
        <v>16248701</v>
      </c>
      <c r="D1079" s="15">
        <v>2003</v>
      </c>
      <c r="E1079" s="15" t="str">
        <f>VLOOKUP(A1079, Currency!$A$2:$B$100, 2, FALSE)</f>
        <v>USD</v>
      </c>
      <c r="F1079" s="15">
        <f ca="1">IFERROR(__xludf.DUMMYFUNCTION("IF(E1079=""USD"",B1079,B1079 * GOOGLEFINANCE(""CURRENCY:"" &amp; E1079 &amp; ""USD""))
"),20000000)</f>
        <v>20000000</v>
      </c>
      <c r="G1079" s="16">
        <f ca="1">IFERROR(__xludf.DUMMYFUNCTION("IF(E1079=""USD"",C1079,C1079 * GOOGLEFINANCE(""CURRENCY:"" &amp; E1079 &amp; ""USD""))
"),16248701)</f>
        <v>16248701</v>
      </c>
    </row>
    <row r="1080" spans="1:7" ht="15.75" customHeight="1" x14ac:dyDescent="0.25">
      <c r="A1080" s="11" t="s">
        <v>24</v>
      </c>
      <c r="B1080" s="12">
        <v>60000000</v>
      </c>
      <c r="C1080" s="12">
        <v>50549107</v>
      </c>
      <c r="D1080" s="12">
        <v>2014</v>
      </c>
      <c r="E1080" s="12" t="str">
        <f>VLOOKUP(A1080, Currency!$A$2:$B$100, 2, FALSE)</f>
        <v>USD</v>
      </c>
      <c r="F1080" s="12">
        <f ca="1">IFERROR(__xludf.DUMMYFUNCTION("IF(E1080=""USD"",B1080,B1080 * GOOGLEFINANCE(""CURRENCY:"" &amp; E1080 &amp; ""USD""))
"),60000000)</f>
        <v>60000000</v>
      </c>
      <c r="G1080" s="13">
        <f ca="1">IFERROR(__xludf.DUMMYFUNCTION("IF(E1080=""USD"",C1080,C1080 * GOOGLEFINANCE(""CURRENCY:"" &amp; E1080 &amp; ""USD""))
"),50549107)</f>
        <v>50549107</v>
      </c>
    </row>
    <row r="1081" spans="1:7" ht="15.75" customHeight="1" x14ac:dyDescent="0.25">
      <c r="A1081" s="14" t="s">
        <v>24</v>
      </c>
      <c r="B1081" s="15">
        <v>3000000</v>
      </c>
      <c r="C1081" s="15">
        <v>84749884</v>
      </c>
      <c r="D1081" s="15">
        <v>2010</v>
      </c>
      <c r="E1081" s="15" t="str">
        <f>VLOOKUP(A1081, Currency!$A$2:$B$100, 2, FALSE)</f>
        <v>USD</v>
      </c>
      <c r="F1081" s="15">
        <f ca="1">IFERROR(__xludf.DUMMYFUNCTION("IF(E1081=""USD"",B1081,B1081 * GOOGLEFINANCE(""CURRENCY:"" &amp; E1081 &amp; ""USD""))
"),3000000)</f>
        <v>3000000</v>
      </c>
      <c r="G1081" s="16">
        <f ca="1">IFERROR(__xludf.DUMMYFUNCTION("IF(E1081=""USD"",C1081,C1081 * GOOGLEFINANCE(""CURRENCY:"" &amp; E1081 &amp; ""USD""))
"),84749884)</f>
        <v>84749884</v>
      </c>
    </row>
    <row r="1082" spans="1:7" ht="15.75" customHeight="1" x14ac:dyDescent="0.25">
      <c r="A1082" s="11" t="s">
        <v>176</v>
      </c>
      <c r="B1082" s="12">
        <v>21000000</v>
      </c>
      <c r="C1082" s="12">
        <v>36581633</v>
      </c>
      <c r="D1082" s="12">
        <v>2007</v>
      </c>
      <c r="E1082" s="12" t="str">
        <f>VLOOKUP(A1082, Currency!$A$2:$B$100, 2, FALSE)</f>
        <v>EUR</v>
      </c>
      <c r="F1082" s="12">
        <f ca="1">IFERROR(__xludf.DUMMYFUNCTION("IF(E1082=""USD"",B1082,B1082 * GOOGLEFINANCE(""CURRENCY:"" &amp; E1082 &amp; ""USD""))
"),22779540)</f>
        <v>22779540</v>
      </c>
      <c r="G1082" s="13">
        <f ca="1">IFERROR(__xludf.DUMMYFUNCTION("IF(E1082=""USD"",C1082,C1082 * GOOGLEFINANCE(""CURRENCY:"" &amp; E1082 &amp; ""USD""))
"),39681560.58042)</f>
        <v>39681560.580420002</v>
      </c>
    </row>
    <row r="1083" spans="1:7" ht="15.75" customHeight="1" x14ac:dyDescent="0.25">
      <c r="A1083" s="14" t="s">
        <v>24</v>
      </c>
      <c r="B1083" s="15">
        <v>20000000</v>
      </c>
      <c r="C1083" s="15">
        <v>10555348</v>
      </c>
      <c r="D1083" s="15">
        <v>1989</v>
      </c>
      <c r="E1083" s="15" t="str">
        <f>VLOOKUP(A1083, Currency!$A$2:$B$100, 2, FALSE)</f>
        <v>USD</v>
      </c>
      <c r="F1083" s="15">
        <f ca="1">IFERROR(__xludf.DUMMYFUNCTION("IF(E1083=""USD"",B1083,B1083 * GOOGLEFINANCE(""CURRENCY:"" &amp; E1083 &amp; ""USD""))
"),20000000)</f>
        <v>20000000</v>
      </c>
      <c r="G1083" s="16">
        <f ca="1">IFERROR(__xludf.DUMMYFUNCTION("IF(E1083=""USD"",C1083,C1083 * GOOGLEFINANCE(""CURRENCY:"" &amp; E1083 &amp; ""USD""))
"),10555348)</f>
        <v>10555348</v>
      </c>
    </row>
    <row r="1084" spans="1:7" ht="15.75" customHeight="1" x14ac:dyDescent="0.25">
      <c r="A1084" s="11" t="s">
        <v>24</v>
      </c>
      <c r="B1084" s="12">
        <v>61000000</v>
      </c>
      <c r="C1084" s="12">
        <v>118153533</v>
      </c>
      <c r="D1084" s="12">
        <v>2007</v>
      </c>
      <c r="E1084" s="12" t="str">
        <f>VLOOKUP(A1084, Currency!$A$2:$B$100, 2, FALSE)</f>
        <v>USD</v>
      </c>
      <c r="F1084" s="12">
        <f ca="1">IFERROR(__xludf.DUMMYFUNCTION("IF(E1084=""USD"",B1084,B1084 * GOOGLEFINANCE(""CURRENCY:"" &amp; E1084 &amp; ""USD""))
"),61000000)</f>
        <v>61000000</v>
      </c>
      <c r="G1084" s="13">
        <f ca="1">IFERROR(__xludf.DUMMYFUNCTION("IF(E1084=""USD"",C1084,C1084 * GOOGLEFINANCE(""CURRENCY:"" &amp; E1084 &amp; ""USD""))
"),118153533)</f>
        <v>118153533</v>
      </c>
    </row>
    <row r="1085" spans="1:7" ht="15.75" customHeight="1" x14ac:dyDescent="0.25">
      <c r="A1085" s="14" t="s">
        <v>24</v>
      </c>
      <c r="B1085" s="15">
        <v>45000000</v>
      </c>
      <c r="C1085" s="15">
        <v>24343673</v>
      </c>
      <c r="D1085" s="15">
        <v>2007</v>
      </c>
      <c r="E1085" s="15" t="str">
        <f>VLOOKUP(A1085, Currency!$A$2:$B$100, 2, FALSE)</f>
        <v>USD</v>
      </c>
      <c r="F1085" s="15">
        <f ca="1">IFERROR(__xludf.DUMMYFUNCTION("IF(E1085=""USD"",B1085,B1085 * GOOGLEFINANCE(""CURRENCY:"" &amp; E1085 &amp; ""USD""))
"),45000000)</f>
        <v>45000000</v>
      </c>
      <c r="G1085" s="16">
        <f ca="1">IFERROR(__xludf.DUMMYFUNCTION("IF(E1085=""USD"",C1085,C1085 * GOOGLEFINANCE(""CURRENCY:"" &amp; E1085 &amp; ""USD""))
"),24343673)</f>
        <v>24343673</v>
      </c>
    </row>
    <row r="1086" spans="1:7" ht="15.75" customHeight="1" x14ac:dyDescent="0.25">
      <c r="A1086" s="11" t="s">
        <v>24</v>
      </c>
      <c r="B1086" s="12">
        <v>145000000</v>
      </c>
      <c r="C1086" s="12">
        <v>209364921</v>
      </c>
      <c r="D1086" s="12">
        <v>2011</v>
      </c>
      <c r="E1086" s="12" t="str">
        <f>VLOOKUP(A1086, Currency!$A$2:$B$100, 2, FALSE)</f>
        <v>USD</v>
      </c>
      <c r="F1086" s="12">
        <f ca="1">IFERROR(__xludf.DUMMYFUNCTION("IF(E1086=""USD"",B1086,B1086 * GOOGLEFINANCE(""CURRENCY:"" &amp; E1086 &amp; ""USD""))
"),145000000)</f>
        <v>145000000</v>
      </c>
      <c r="G1086" s="13">
        <f ca="1">IFERROR(__xludf.DUMMYFUNCTION("IF(E1086=""USD"",C1086,C1086 * GOOGLEFINANCE(""CURRENCY:"" &amp; E1086 &amp; ""USD""))
"),209364921)</f>
        <v>209364921</v>
      </c>
    </row>
    <row r="1087" spans="1:7" ht="15.75" customHeight="1" x14ac:dyDescent="0.25">
      <c r="A1087" s="14" t="s">
        <v>24</v>
      </c>
      <c r="B1087" s="15">
        <v>16000000</v>
      </c>
      <c r="C1087" s="15">
        <v>1508689</v>
      </c>
      <c r="D1087" s="15">
        <v>1997</v>
      </c>
      <c r="E1087" s="15" t="str">
        <f>VLOOKUP(A1087, Currency!$A$2:$B$100, 2, FALSE)</f>
        <v>USD</v>
      </c>
      <c r="F1087" s="15">
        <f ca="1">IFERROR(__xludf.DUMMYFUNCTION("IF(E1087=""USD"",B1087,B1087 * GOOGLEFINANCE(""CURRENCY:"" &amp; E1087 &amp; ""USD""))
"),16000000)</f>
        <v>16000000</v>
      </c>
      <c r="G1087" s="16">
        <f ca="1">IFERROR(__xludf.DUMMYFUNCTION("IF(E1087=""USD"",C1087,C1087 * GOOGLEFINANCE(""CURRENCY:"" &amp; E1087 &amp; ""USD""))
"),1508689)</f>
        <v>1508689</v>
      </c>
    </row>
    <row r="1088" spans="1:7" ht="15.75" customHeight="1" x14ac:dyDescent="0.25">
      <c r="A1088" s="11" t="s">
        <v>24</v>
      </c>
      <c r="B1088" s="12">
        <v>42000000</v>
      </c>
      <c r="C1088" s="12">
        <v>15738632</v>
      </c>
      <c r="D1088" s="12">
        <v>2001</v>
      </c>
      <c r="E1088" s="12" t="str">
        <f>VLOOKUP(A1088, Currency!$A$2:$B$100, 2, FALSE)</f>
        <v>USD</v>
      </c>
      <c r="F1088" s="12">
        <f ca="1">IFERROR(__xludf.DUMMYFUNCTION("IF(E1088=""USD"",B1088,B1088 * GOOGLEFINANCE(""CURRENCY:"" &amp; E1088 &amp; ""USD""))
"),42000000)</f>
        <v>42000000</v>
      </c>
      <c r="G1088" s="13">
        <f ca="1">IFERROR(__xludf.DUMMYFUNCTION("IF(E1088=""USD"",C1088,C1088 * GOOGLEFINANCE(""CURRENCY:"" &amp; E1088 &amp; ""USD""))
"),15738632)</f>
        <v>15738632</v>
      </c>
    </row>
    <row r="1089" spans="1:7" ht="15.75" customHeight="1" x14ac:dyDescent="0.25">
      <c r="A1089" s="14" t="s">
        <v>24</v>
      </c>
      <c r="B1089" s="15">
        <v>59000000</v>
      </c>
      <c r="C1089" s="15">
        <v>176387405</v>
      </c>
      <c r="D1089" s="15">
        <v>2002</v>
      </c>
      <c r="E1089" s="15" t="str">
        <f>VLOOKUP(A1089, Currency!$A$2:$B$100, 2, FALSE)</f>
        <v>USD</v>
      </c>
      <c r="F1089" s="15">
        <f ca="1">IFERROR(__xludf.DUMMYFUNCTION("IF(E1089=""USD"",B1089,B1089 * GOOGLEFINANCE(""CURRENCY:"" &amp; E1089 &amp; ""USD""))
"),59000000)</f>
        <v>59000000</v>
      </c>
      <c r="G1089" s="16">
        <f ca="1">IFERROR(__xludf.DUMMYFUNCTION("IF(E1089=""USD"",C1089,C1089 * GOOGLEFINANCE(""CURRENCY:"" &amp; E1089 &amp; ""USD""))
"),176387405)</f>
        <v>176387405</v>
      </c>
    </row>
    <row r="1090" spans="1:7" ht="15.75" customHeight="1" x14ac:dyDescent="0.25">
      <c r="A1090" s="11" t="s">
        <v>24</v>
      </c>
      <c r="B1090" s="12">
        <v>27000000</v>
      </c>
      <c r="C1090" s="12">
        <v>78651430</v>
      </c>
      <c r="D1090" s="12">
        <v>1996</v>
      </c>
      <c r="E1090" s="12" t="str">
        <f>VLOOKUP(A1090, Currency!$A$2:$B$100, 2, FALSE)</f>
        <v>USD</v>
      </c>
      <c r="F1090" s="12">
        <f ca="1">IFERROR(__xludf.DUMMYFUNCTION("IF(E1090=""USD"",B1090,B1090 * GOOGLEFINANCE(""CURRENCY:"" &amp; E1090 &amp; ""USD""))
"),27000000)</f>
        <v>27000000</v>
      </c>
      <c r="G1090" s="13">
        <f ca="1">IFERROR(__xludf.DUMMYFUNCTION("IF(E1090=""USD"",C1090,C1090 * GOOGLEFINANCE(""CURRENCY:"" &amp; E1090 &amp; ""USD""))
"),78651430)</f>
        <v>78651430</v>
      </c>
    </row>
    <row r="1091" spans="1:7" ht="15.75" customHeight="1" x14ac:dyDescent="0.25">
      <c r="A1091" s="14" t="s">
        <v>2236</v>
      </c>
      <c r="B1091" s="15">
        <v>1400000</v>
      </c>
      <c r="C1091" s="15">
        <v>304124</v>
      </c>
      <c r="D1091" s="15">
        <v>2004</v>
      </c>
      <c r="E1091" s="15" t="str">
        <f>VLOOKUP(A1091, Currency!$A$2:$B$100, 2, FALSE)</f>
        <v>ARS</v>
      </c>
      <c r="F1091" s="15">
        <f ca="1">IFERROR(__xludf.DUMMYFUNCTION("IF(E1091=""USD"",B1091,B1091 * GOOGLEFINANCE(""CURRENCY:"" &amp; E1091 &amp; ""USD""))
"),1506.1998)</f>
        <v>1506.1998000000001</v>
      </c>
      <c r="G1091" s="16">
        <f ca="1">IFERROR(__xludf.DUMMYFUNCTION("IF(E1091=""USD"",C1091,C1091 * GOOGLEFINANCE(""CURRENCY:"" &amp; E1091 &amp; ""USD""))
"),327.193934268)</f>
        <v>327.19393426800002</v>
      </c>
    </row>
    <row r="1092" spans="1:7" ht="15.75" customHeight="1" x14ac:dyDescent="0.25">
      <c r="A1092" s="11" t="s">
        <v>24</v>
      </c>
      <c r="B1092" s="12">
        <v>170000000</v>
      </c>
      <c r="C1092" s="12">
        <v>206360018</v>
      </c>
      <c r="D1092" s="12">
        <v>2013</v>
      </c>
      <c r="E1092" s="12" t="str">
        <f>VLOOKUP(A1092, Currency!$A$2:$B$100, 2, FALSE)</f>
        <v>USD</v>
      </c>
      <c r="F1092" s="12">
        <f ca="1">IFERROR(__xludf.DUMMYFUNCTION("IF(E1092=""USD"",B1092,B1092 * GOOGLEFINANCE(""CURRENCY:"" &amp; E1092 &amp; ""USD""))
"),170000000)</f>
        <v>170000000</v>
      </c>
      <c r="G1092" s="13">
        <f ca="1">IFERROR(__xludf.DUMMYFUNCTION("IF(E1092=""USD"",C1092,C1092 * GOOGLEFINANCE(""CURRENCY:"" &amp; E1092 &amp; ""USD""))
"),206360018)</f>
        <v>206360018</v>
      </c>
    </row>
    <row r="1093" spans="1:7" ht="15.75" customHeight="1" x14ac:dyDescent="0.25">
      <c r="A1093" s="14" t="s">
        <v>24</v>
      </c>
      <c r="B1093" s="15">
        <v>45000000</v>
      </c>
      <c r="C1093" s="15">
        <v>52580895</v>
      </c>
      <c r="D1093" s="15">
        <v>2005</v>
      </c>
      <c r="E1093" s="15" t="str">
        <f>VLOOKUP(A1093, Currency!$A$2:$B$100, 2, FALSE)</f>
        <v>USD</v>
      </c>
      <c r="F1093" s="15">
        <f ca="1">IFERROR(__xludf.DUMMYFUNCTION("IF(E1093=""USD"",B1093,B1093 * GOOGLEFINANCE(""CURRENCY:"" &amp; E1093 &amp; ""USD""))
"),45000000)</f>
        <v>45000000</v>
      </c>
      <c r="G1093" s="16">
        <f ca="1">IFERROR(__xludf.DUMMYFUNCTION("IF(E1093=""USD"",C1093,C1093 * GOOGLEFINANCE(""CURRENCY:"" &amp; E1093 &amp; ""USD""))
"),52580895)</f>
        <v>52580895</v>
      </c>
    </row>
    <row r="1094" spans="1:7" ht="15.75" customHeight="1" x14ac:dyDescent="0.25">
      <c r="A1094" s="11" t="s">
        <v>24</v>
      </c>
      <c r="B1094" s="12">
        <v>27000000</v>
      </c>
      <c r="C1094" s="12">
        <v>60491560</v>
      </c>
      <c r="D1094" s="12">
        <v>1997</v>
      </c>
      <c r="E1094" s="12" t="str">
        <f>VLOOKUP(A1094, Currency!$A$2:$B$100, 2, FALSE)</f>
        <v>USD</v>
      </c>
      <c r="F1094" s="12">
        <f ca="1">IFERROR(__xludf.DUMMYFUNCTION("IF(E1094=""USD"",B1094,B1094 * GOOGLEFINANCE(""CURRENCY:"" &amp; E1094 &amp; ""USD""))
"),27000000)</f>
        <v>27000000</v>
      </c>
      <c r="G1094" s="13">
        <f ca="1">IFERROR(__xludf.DUMMYFUNCTION("IF(E1094=""USD"",C1094,C1094 * GOOGLEFINANCE(""CURRENCY:"" &amp; E1094 &amp; ""USD""))
"),60491560)</f>
        <v>60491560</v>
      </c>
    </row>
    <row r="1095" spans="1:7" ht="15.75" customHeight="1" x14ac:dyDescent="0.25">
      <c r="A1095" s="14" t="s">
        <v>24</v>
      </c>
      <c r="B1095" s="15">
        <v>150000000</v>
      </c>
      <c r="C1095" s="15">
        <v>400736600</v>
      </c>
      <c r="D1095" s="15">
        <v>2013</v>
      </c>
      <c r="E1095" s="15" t="str">
        <f>VLOOKUP(A1095, Currency!$A$2:$B$100, 2, FALSE)</f>
        <v>USD</v>
      </c>
      <c r="F1095" s="15">
        <f ca="1">IFERROR(__xludf.DUMMYFUNCTION("IF(E1095=""USD"",B1095,B1095 * GOOGLEFINANCE(""CURRENCY:"" &amp; E1095 &amp; ""USD""))
"),150000000)</f>
        <v>150000000</v>
      </c>
      <c r="G1095" s="16">
        <f ca="1">IFERROR(__xludf.DUMMYFUNCTION("IF(E1095=""USD"",C1095,C1095 * GOOGLEFINANCE(""CURRENCY:"" &amp; E1095 &amp; ""USD""))
"),400736600)</f>
        <v>400736600</v>
      </c>
    </row>
    <row r="1096" spans="1:7" ht="15.75" customHeight="1" x14ac:dyDescent="0.25">
      <c r="A1096" s="11" t="s">
        <v>24</v>
      </c>
      <c r="B1096" s="12">
        <v>3000000</v>
      </c>
      <c r="C1096" s="12">
        <v>19472057</v>
      </c>
      <c r="D1096" s="12">
        <v>1986</v>
      </c>
      <c r="E1096" s="12" t="str">
        <f>VLOOKUP(A1096, Currency!$A$2:$B$100, 2, FALSE)</f>
        <v>USD</v>
      </c>
      <c r="F1096" s="12">
        <f ca="1">IFERROR(__xludf.DUMMYFUNCTION("IF(E1096=""USD"",B1096,B1096 * GOOGLEFINANCE(""CURRENCY:"" &amp; E1096 &amp; ""USD""))
"),3000000)</f>
        <v>3000000</v>
      </c>
      <c r="G1096" s="13">
        <f ca="1">IFERROR(__xludf.DUMMYFUNCTION("IF(E1096=""USD"",C1096,C1096 * GOOGLEFINANCE(""CURRENCY:"" &amp; E1096 &amp; ""USD""))
"),19472057)</f>
        <v>19472057</v>
      </c>
    </row>
    <row r="1097" spans="1:7" ht="15.75" customHeight="1" x14ac:dyDescent="0.25">
      <c r="A1097" s="14" t="s">
        <v>24</v>
      </c>
      <c r="B1097" s="15">
        <v>22000000</v>
      </c>
      <c r="C1097" s="15">
        <v>59696176</v>
      </c>
      <c r="D1097" s="15">
        <v>2014</v>
      </c>
      <c r="E1097" s="15" t="str">
        <f>VLOOKUP(A1097, Currency!$A$2:$B$100, 2, FALSE)</f>
        <v>USD</v>
      </c>
      <c r="F1097" s="15">
        <f ca="1">IFERROR(__xludf.DUMMYFUNCTION("IF(E1097=""USD"",B1097,B1097 * GOOGLEFINANCE(""CURRENCY:"" &amp; E1097 &amp; ""USD""))
"),22000000)</f>
        <v>22000000</v>
      </c>
      <c r="G1097" s="16">
        <f ca="1">IFERROR(__xludf.DUMMYFUNCTION("IF(E1097=""USD"",C1097,C1097 * GOOGLEFINANCE(""CURRENCY:"" &amp; E1097 &amp; ""USD""))
"),59696176)</f>
        <v>59696176</v>
      </c>
    </row>
    <row r="1098" spans="1:7" ht="15.75" customHeight="1" x14ac:dyDescent="0.25">
      <c r="A1098" s="11" t="s">
        <v>611</v>
      </c>
      <c r="B1098" s="12">
        <v>25000000</v>
      </c>
      <c r="C1098" s="12">
        <v>77231</v>
      </c>
      <c r="D1098" s="12">
        <v>2005</v>
      </c>
      <c r="E1098" s="12" t="str">
        <f>VLOOKUP(A1098, Currency!$A$2:$B$100, 2, FALSE)</f>
        <v>EUR</v>
      </c>
      <c r="F1098" s="12">
        <f ca="1">IFERROR(__xludf.DUMMYFUNCTION("IF(E1098=""USD"",B1098,B1098 * GOOGLEFINANCE(""CURRENCY:"" &amp; E1098 &amp; ""USD""))
"),27118500)</f>
        <v>27118500</v>
      </c>
      <c r="G1098" s="13">
        <f ca="1">IFERROR(__xludf.DUMMYFUNCTION("IF(E1098=""USD"",C1098,C1098 * GOOGLEFINANCE(""CURRENCY:"" &amp; E1098 &amp; ""USD""))
"),83775.55494)</f>
        <v>83775.554940000002</v>
      </c>
    </row>
    <row r="1099" spans="1:7" ht="15.75" customHeight="1" x14ac:dyDescent="0.25">
      <c r="A1099" s="14" t="s">
        <v>24</v>
      </c>
      <c r="B1099" s="15">
        <v>12000000</v>
      </c>
      <c r="C1099" s="15">
        <v>65269010</v>
      </c>
      <c r="D1099" s="15">
        <v>2006</v>
      </c>
      <c r="E1099" s="15" t="str">
        <f>VLOOKUP(A1099, Currency!$A$2:$B$100, 2, FALSE)</f>
        <v>USD</v>
      </c>
      <c r="F1099" s="15">
        <f ca="1">IFERROR(__xludf.DUMMYFUNCTION("IF(E1099=""USD"",B1099,B1099 * GOOGLEFINANCE(""CURRENCY:"" &amp; E1099 &amp; ""USD""))
"),12000000)</f>
        <v>12000000</v>
      </c>
      <c r="G1099" s="16">
        <f ca="1">IFERROR(__xludf.DUMMYFUNCTION("IF(E1099=""USD"",C1099,C1099 * GOOGLEFINANCE(""CURRENCY:"" &amp; E1099 &amp; ""USD""))
"),65269010)</f>
        <v>65269010</v>
      </c>
    </row>
    <row r="1100" spans="1:7" ht="15.75" customHeight="1" x14ac:dyDescent="0.25">
      <c r="A1100" s="11" t="s">
        <v>160</v>
      </c>
      <c r="B1100" s="12">
        <v>12000000</v>
      </c>
      <c r="C1100" s="12">
        <v>261481</v>
      </c>
      <c r="D1100" s="12">
        <v>2004</v>
      </c>
      <c r="E1100" s="12" t="str">
        <f>VLOOKUP(A1100, Currency!$A$2:$B$100, 2, FALSE)</f>
        <v>HKD</v>
      </c>
      <c r="F1100" s="12">
        <f ca="1">IFERROR(__xludf.DUMMYFUNCTION("IF(E1100=""USD"",B1100,B1100 * GOOGLEFINANCE(""CURRENCY:"" &amp; E1100 &amp; ""USD""))
"),1537131.59999999)</f>
        <v>1537131.5999999901</v>
      </c>
      <c r="G1100" s="13">
        <f ca="1">IFERROR(__xludf.DUMMYFUNCTION("IF(E1100=""USD"",C1100,C1100 * GOOGLEFINANCE(""CURRENCY:"" &amp; E1100 &amp; ""USD""))
"),33494.2256583)</f>
        <v>33494.225658299998</v>
      </c>
    </row>
    <row r="1101" spans="1:7" ht="15.75" customHeight="1" x14ac:dyDescent="0.25">
      <c r="A1101" s="14" t="s">
        <v>611</v>
      </c>
      <c r="B1101" s="15">
        <v>50000000</v>
      </c>
      <c r="C1101" s="15">
        <v>206400</v>
      </c>
      <c r="D1101" s="15">
        <v>2001</v>
      </c>
      <c r="E1101" s="15" t="str">
        <f>VLOOKUP(A1101, Currency!$A$2:$B$100, 2, FALSE)</f>
        <v>EUR</v>
      </c>
      <c r="F1101" s="15">
        <f ca="1">IFERROR(__xludf.DUMMYFUNCTION("IF(E1101=""USD"",B1101,B1101 * GOOGLEFINANCE(""CURRENCY:"" &amp; E1101 &amp; ""USD""))
"),54237000)</f>
        <v>54237000</v>
      </c>
      <c r="G1101" s="16">
        <f ca="1">IFERROR(__xludf.DUMMYFUNCTION("IF(E1101=""USD"",C1101,C1101 * GOOGLEFINANCE(""CURRENCY:"" &amp; E1101 &amp; ""USD""))
"),223890.336)</f>
        <v>223890.33600000001</v>
      </c>
    </row>
    <row r="1102" spans="1:7" ht="15.75" customHeight="1" x14ac:dyDescent="0.25">
      <c r="A1102" s="11" t="s">
        <v>176</v>
      </c>
      <c r="B1102" s="12">
        <v>22000000</v>
      </c>
      <c r="C1102" s="12">
        <v>13555988</v>
      </c>
      <c r="D1102" s="12">
        <v>2000</v>
      </c>
      <c r="E1102" s="12" t="str">
        <f>VLOOKUP(A1102, Currency!$A$2:$B$100, 2, FALSE)</f>
        <v>EUR</v>
      </c>
      <c r="F1102" s="12">
        <f ca="1">IFERROR(__xludf.DUMMYFUNCTION("IF(E1102=""USD"",B1102,B1102 * GOOGLEFINANCE(""CURRENCY:"" &amp; E1102 &amp; ""USD""))
"),23864280)</f>
        <v>23864280</v>
      </c>
      <c r="G1102" s="13">
        <f ca="1">IFERROR(__xludf.DUMMYFUNCTION("IF(E1102=""USD"",C1102,C1102 * GOOGLEFINANCE(""CURRENCY:"" &amp; E1102 &amp; ""USD""))
"),14704722.42312)</f>
        <v>14704722.423119999</v>
      </c>
    </row>
    <row r="1103" spans="1:7" ht="15.75" customHeight="1" x14ac:dyDescent="0.25">
      <c r="A1103" s="14" t="s">
        <v>24</v>
      </c>
      <c r="B1103" s="15">
        <v>80000000</v>
      </c>
      <c r="C1103" s="15">
        <v>79363785</v>
      </c>
      <c r="D1103" s="15">
        <v>2008</v>
      </c>
      <c r="E1103" s="15" t="str">
        <f>VLOOKUP(A1103, Currency!$A$2:$B$100, 2, FALSE)</f>
        <v>USD</v>
      </c>
      <c r="F1103" s="15">
        <f ca="1">IFERROR(__xludf.DUMMYFUNCTION("IF(E1103=""USD"",B1103,B1103 * GOOGLEFINANCE(""CURRENCY:"" &amp; E1103 &amp; ""USD""))
"),80000000)</f>
        <v>80000000</v>
      </c>
      <c r="G1103" s="16">
        <f ca="1">IFERROR(__xludf.DUMMYFUNCTION("IF(E1103=""USD"",C1103,C1103 * GOOGLEFINANCE(""CURRENCY:"" &amp; E1103 &amp; ""USD""))
"),79363785)</f>
        <v>79363785</v>
      </c>
    </row>
    <row r="1104" spans="1:7" ht="15.75" customHeight="1" x14ac:dyDescent="0.25">
      <c r="A1104" s="11" t="s">
        <v>24</v>
      </c>
      <c r="B1104" s="12">
        <v>1700000</v>
      </c>
      <c r="C1104" s="12">
        <v>1943649</v>
      </c>
      <c r="D1104" s="12">
        <v>1999</v>
      </c>
      <c r="E1104" s="12" t="str">
        <f>VLOOKUP(A1104, Currency!$A$2:$B$100, 2, FALSE)</f>
        <v>USD</v>
      </c>
      <c r="F1104" s="12">
        <f ca="1">IFERROR(__xludf.DUMMYFUNCTION("IF(E1104=""USD"",B1104,B1104 * GOOGLEFINANCE(""CURRENCY:"" &amp; E1104 &amp; ""USD""))
"),1700000)</f>
        <v>1700000</v>
      </c>
      <c r="G1104" s="13">
        <f ca="1">IFERROR(__xludf.DUMMYFUNCTION("IF(E1104=""USD"",C1104,C1104 * GOOGLEFINANCE(""CURRENCY:"" &amp; E1104 &amp; ""USD""))
"),1943649)</f>
        <v>1943649</v>
      </c>
    </row>
    <row r="1105" spans="1:7" ht="15.75" customHeight="1" x14ac:dyDescent="0.25">
      <c r="A1105" s="14" t="s">
        <v>133</v>
      </c>
      <c r="B1105" s="15">
        <v>15000000</v>
      </c>
      <c r="C1105" s="15">
        <v>6000000</v>
      </c>
      <c r="D1105" s="15">
        <v>1962</v>
      </c>
      <c r="E1105" s="15" t="str">
        <f>VLOOKUP(A1105, Currency!$A$2:$B$100, 2, FALSE)</f>
        <v>GBP</v>
      </c>
      <c r="F1105" s="15">
        <f ca="1">IFERROR(__xludf.DUMMYFUNCTION("IF(E1105=""USD"",B1105,B1105 * GOOGLEFINANCE(""CURRENCY:"" &amp; E1105 &amp; ""USD""))
"),19281000)</f>
        <v>19281000</v>
      </c>
      <c r="G1105" s="16">
        <f ca="1">IFERROR(__xludf.DUMMYFUNCTION("IF(E1105=""USD"",C1105,C1105 * GOOGLEFINANCE(""CURRENCY:"" &amp; E1105 &amp; ""USD""))
"),7712399.99999999)</f>
        <v>7712399.9999999898</v>
      </c>
    </row>
    <row r="1106" spans="1:7" ht="15.75" customHeight="1" x14ac:dyDescent="0.25">
      <c r="A1106" s="11" t="s">
        <v>24</v>
      </c>
      <c r="B1106" s="12">
        <v>4000000</v>
      </c>
      <c r="C1106" s="12">
        <v>2800000</v>
      </c>
      <c r="D1106" s="12">
        <v>1999</v>
      </c>
      <c r="E1106" s="12" t="str">
        <f>VLOOKUP(A1106, Currency!$A$2:$B$100, 2, FALSE)</f>
        <v>USD</v>
      </c>
      <c r="F1106" s="12">
        <f ca="1">IFERROR(__xludf.DUMMYFUNCTION("IF(E1106=""USD"",B1106,B1106 * GOOGLEFINANCE(""CURRENCY:"" &amp; E1106 &amp; ""USD""))
"),4000000)</f>
        <v>4000000</v>
      </c>
      <c r="G1106" s="13">
        <f ca="1">IFERROR(__xludf.DUMMYFUNCTION("IF(E1106=""USD"",C1106,C1106 * GOOGLEFINANCE(""CURRENCY:"" &amp; E1106 &amp; ""USD""))
"),2800000)</f>
        <v>2800000</v>
      </c>
    </row>
    <row r="1107" spans="1:7" ht="15.75" customHeight="1" x14ac:dyDescent="0.25">
      <c r="A1107" s="14" t="s">
        <v>611</v>
      </c>
      <c r="B1107" s="15">
        <v>19430000</v>
      </c>
      <c r="C1107" s="15">
        <v>6109075</v>
      </c>
      <c r="D1107" s="15">
        <v>2009</v>
      </c>
      <c r="E1107" s="15" t="str">
        <f>VLOOKUP(A1107, Currency!$A$2:$B$100, 2, FALSE)</f>
        <v>EUR</v>
      </c>
      <c r="F1107" s="15">
        <f ca="1">IFERROR(__xludf.DUMMYFUNCTION("IF(E1107=""USD"",B1107,B1107 * GOOGLEFINANCE(""CURRENCY:"" &amp; E1107 &amp; ""USD""))
"),21076498.2)</f>
        <v>21076498.199999999</v>
      </c>
      <c r="G1107" s="16">
        <f ca="1">IFERROR(__xludf.DUMMYFUNCTION("IF(E1107=""USD"",C1107,C1107 * GOOGLEFINANCE(""CURRENCY:"" &amp; E1107 &amp; ""USD""))
"),6626758.0155)</f>
        <v>6626758.0154999997</v>
      </c>
    </row>
    <row r="1108" spans="1:7" ht="15.75" customHeight="1" x14ac:dyDescent="0.25">
      <c r="A1108" s="11" t="s">
        <v>24</v>
      </c>
      <c r="B1108" s="12">
        <v>16000000</v>
      </c>
      <c r="C1108" s="12">
        <v>30857814</v>
      </c>
      <c r="D1108" s="12">
        <v>1987</v>
      </c>
      <c r="E1108" s="12" t="str">
        <f>VLOOKUP(A1108, Currency!$A$2:$B$100, 2, FALSE)</f>
        <v>USD</v>
      </c>
      <c r="F1108" s="12">
        <f ca="1">IFERROR(__xludf.DUMMYFUNCTION("IF(E1108=""USD"",B1108,B1108 * GOOGLEFINANCE(""CURRENCY:"" &amp; E1108 &amp; ""USD""))
"),16000000)</f>
        <v>16000000</v>
      </c>
      <c r="G1108" s="13">
        <f ca="1">IFERROR(__xludf.DUMMYFUNCTION("IF(E1108=""USD"",C1108,C1108 * GOOGLEFINANCE(""CURRENCY:"" &amp; E1108 &amp; ""USD""))
"),30857814)</f>
        <v>30857814</v>
      </c>
    </row>
    <row r="1109" spans="1:7" ht="15.75" customHeight="1" x14ac:dyDescent="0.25">
      <c r="A1109" s="14" t="s">
        <v>24</v>
      </c>
      <c r="B1109" s="15">
        <v>1066167</v>
      </c>
      <c r="C1109" s="15">
        <v>258113</v>
      </c>
      <c r="D1109" s="15">
        <v>2013</v>
      </c>
      <c r="E1109" s="15" t="str">
        <f>VLOOKUP(A1109, Currency!$A$2:$B$100, 2, FALSE)</f>
        <v>USD</v>
      </c>
      <c r="F1109" s="15">
        <f ca="1">IFERROR(__xludf.DUMMYFUNCTION("IF(E1109=""USD"",B1109,B1109 * GOOGLEFINANCE(""CURRENCY:"" &amp; E1109 &amp; ""USD""))
"),1066167)</f>
        <v>1066167</v>
      </c>
      <c r="G1109" s="16">
        <f ca="1">IFERROR(__xludf.DUMMYFUNCTION("IF(E1109=""USD"",C1109,C1109 * GOOGLEFINANCE(""CURRENCY:"" &amp; E1109 &amp; ""USD""))
"),258113)</f>
        <v>258113</v>
      </c>
    </row>
    <row r="1110" spans="1:7" ht="15.75" customHeight="1" x14ac:dyDescent="0.25">
      <c r="A1110" s="11" t="s">
        <v>24</v>
      </c>
      <c r="B1110" s="12">
        <v>300000</v>
      </c>
      <c r="C1110" s="12">
        <v>47000000</v>
      </c>
      <c r="D1110" s="12">
        <v>1978</v>
      </c>
      <c r="E1110" s="12" t="str">
        <f>VLOOKUP(A1110, Currency!$A$2:$B$100, 2, FALSE)</f>
        <v>USD</v>
      </c>
      <c r="F1110" s="12">
        <f ca="1">IFERROR(__xludf.DUMMYFUNCTION("IF(E1110=""USD"",B1110,B1110 * GOOGLEFINANCE(""CURRENCY:"" &amp; E1110 &amp; ""USD""))
"),300000)</f>
        <v>300000</v>
      </c>
      <c r="G1110" s="13">
        <f ca="1">IFERROR(__xludf.DUMMYFUNCTION("IF(E1110=""USD"",C1110,C1110 * GOOGLEFINANCE(""CURRENCY:"" &amp; E1110 &amp; ""USD""))
"),47000000)</f>
        <v>47000000</v>
      </c>
    </row>
    <row r="1111" spans="1:7" ht="15.75" customHeight="1" x14ac:dyDescent="0.25">
      <c r="A1111" s="14" t="s">
        <v>24</v>
      </c>
      <c r="B1111" s="15">
        <v>150000000</v>
      </c>
      <c r="C1111" s="15">
        <v>318759914</v>
      </c>
      <c r="D1111" s="15">
        <v>2007</v>
      </c>
      <c r="E1111" s="15" t="str">
        <f>VLOOKUP(A1111, Currency!$A$2:$B$100, 2, FALSE)</f>
        <v>USD</v>
      </c>
      <c r="F1111" s="15">
        <f ca="1">IFERROR(__xludf.DUMMYFUNCTION("IF(E1111=""USD"",B1111,B1111 * GOOGLEFINANCE(""CURRENCY:"" &amp; E1111 &amp; ""USD""))
"),150000000)</f>
        <v>150000000</v>
      </c>
      <c r="G1111" s="16">
        <f ca="1">IFERROR(__xludf.DUMMYFUNCTION("IF(E1111=""USD"",C1111,C1111 * GOOGLEFINANCE(""CURRENCY:"" &amp; E1111 &amp; ""USD""))
"),318759914)</f>
        <v>318759914</v>
      </c>
    </row>
    <row r="1112" spans="1:7" ht="15.75" customHeight="1" x14ac:dyDescent="0.25">
      <c r="A1112" s="11" t="s">
        <v>627</v>
      </c>
      <c r="B1112" s="12">
        <v>4000000</v>
      </c>
      <c r="C1112" s="12">
        <v>4063</v>
      </c>
      <c r="D1112" s="12">
        <v>2012</v>
      </c>
      <c r="E1112" s="12" t="str">
        <f>VLOOKUP(A1112, Currency!$A$2:$B$100, 2, FALSE)</f>
        <v>CAD</v>
      </c>
      <c r="F1112" s="12">
        <f ca="1">IFERROR(__xludf.DUMMYFUNCTION("IF(E1112=""USD"",B1112,B1112 * GOOGLEFINANCE(""CURRENCY:"" &amp; E1112 &amp; ""USD""))
"),2893620)</f>
        <v>2893620</v>
      </c>
      <c r="G1112" s="13">
        <f ca="1">IFERROR(__xludf.DUMMYFUNCTION("IF(E1112=""USD"",C1112,C1112 * GOOGLEFINANCE(""CURRENCY:"" &amp; E1112 &amp; ""USD""))
"),2939.19451499999)</f>
        <v>2939.1945149999901</v>
      </c>
    </row>
    <row r="1113" spans="1:7" ht="15.75" customHeight="1" x14ac:dyDescent="0.25">
      <c r="A1113" s="14" t="s">
        <v>24</v>
      </c>
      <c r="B1113" s="15">
        <v>37000000</v>
      </c>
      <c r="C1113" s="15">
        <v>108244774</v>
      </c>
      <c r="D1113" s="15">
        <v>2001</v>
      </c>
      <c r="E1113" s="15" t="str">
        <f>VLOOKUP(A1113, Currency!$A$2:$B$100, 2, FALSE)</f>
        <v>USD</v>
      </c>
      <c r="F1113" s="15">
        <f ca="1">IFERROR(__xludf.DUMMYFUNCTION("IF(E1113=""USD"",B1113,B1113 * GOOGLEFINANCE(""CURRENCY:"" &amp; E1113 &amp; ""USD""))
"),37000000)</f>
        <v>37000000</v>
      </c>
      <c r="G1113" s="16">
        <f ca="1">IFERROR(__xludf.DUMMYFUNCTION("IF(E1113=""USD"",C1113,C1113 * GOOGLEFINANCE(""CURRENCY:"" &amp; E1113 &amp; ""USD""))
"),108244774)</f>
        <v>108244774</v>
      </c>
    </row>
    <row r="1114" spans="1:7" ht="15.75" customHeight="1" x14ac:dyDescent="0.25">
      <c r="A1114" s="11" t="s">
        <v>24</v>
      </c>
      <c r="B1114" s="12">
        <v>40000000</v>
      </c>
      <c r="C1114" s="12">
        <v>37101011</v>
      </c>
      <c r="D1114" s="12">
        <v>2012</v>
      </c>
      <c r="E1114" s="12" t="str">
        <f>VLOOKUP(A1114, Currency!$A$2:$B$100, 2, FALSE)</f>
        <v>USD</v>
      </c>
      <c r="F1114" s="12">
        <f ca="1">IFERROR(__xludf.DUMMYFUNCTION("IF(E1114=""USD"",B1114,B1114 * GOOGLEFINANCE(""CURRENCY:"" &amp; E1114 &amp; ""USD""))
"),40000000)</f>
        <v>40000000</v>
      </c>
      <c r="G1114" s="13">
        <f ca="1">IFERROR(__xludf.DUMMYFUNCTION("IF(E1114=""USD"",C1114,C1114 * GOOGLEFINANCE(""CURRENCY:"" &amp; E1114 &amp; ""USD""))
"),37101011)</f>
        <v>37101011</v>
      </c>
    </row>
    <row r="1115" spans="1:7" ht="15.75" customHeight="1" x14ac:dyDescent="0.25">
      <c r="A1115" s="14" t="s">
        <v>24</v>
      </c>
      <c r="B1115" s="15">
        <v>3000000</v>
      </c>
      <c r="C1115" s="15">
        <v>2926565</v>
      </c>
      <c r="D1115" s="15">
        <v>2008</v>
      </c>
      <c r="E1115" s="15" t="str">
        <f>VLOOKUP(A1115, Currency!$A$2:$B$100, 2, FALSE)</f>
        <v>USD</v>
      </c>
      <c r="F1115" s="15">
        <f ca="1">IFERROR(__xludf.DUMMYFUNCTION("IF(E1115=""USD"",B1115,B1115 * GOOGLEFINANCE(""CURRENCY:"" &amp; E1115 &amp; ""USD""))
"),3000000)</f>
        <v>3000000</v>
      </c>
      <c r="G1115" s="16">
        <f ca="1">IFERROR(__xludf.DUMMYFUNCTION("IF(E1115=""USD"",C1115,C1115 * GOOGLEFINANCE(""CURRENCY:"" &amp; E1115 &amp; ""USD""))
"),2926565)</f>
        <v>2926565</v>
      </c>
    </row>
    <row r="1116" spans="1:7" ht="15.75" customHeight="1" x14ac:dyDescent="0.25">
      <c r="A1116" s="11" t="s">
        <v>24</v>
      </c>
      <c r="B1116" s="12">
        <v>17000000</v>
      </c>
      <c r="C1116" s="12">
        <v>12693621</v>
      </c>
      <c r="D1116" s="12">
        <v>2002</v>
      </c>
      <c r="E1116" s="12" t="str">
        <f>VLOOKUP(A1116, Currency!$A$2:$B$100, 2, FALSE)</f>
        <v>USD</v>
      </c>
      <c r="F1116" s="12">
        <f ca="1">IFERROR(__xludf.DUMMYFUNCTION("IF(E1116=""USD"",B1116,B1116 * GOOGLEFINANCE(""CURRENCY:"" &amp; E1116 &amp; ""USD""))
"),17000000)</f>
        <v>17000000</v>
      </c>
      <c r="G1116" s="13">
        <f ca="1">IFERROR(__xludf.DUMMYFUNCTION("IF(E1116=""USD"",C1116,C1116 * GOOGLEFINANCE(""CURRENCY:"" &amp; E1116 &amp; ""USD""))
"),12693621)</f>
        <v>12693621</v>
      </c>
    </row>
    <row r="1117" spans="1:7" ht="15.75" customHeight="1" x14ac:dyDescent="0.25">
      <c r="A1117" s="14" t="s">
        <v>4041</v>
      </c>
      <c r="B1117" s="15">
        <v>35000000</v>
      </c>
      <c r="C1117" s="15">
        <v>2221994</v>
      </c>
      <c r="D1117" s="15">
        <v>1997</v>
      </c>
      <c r="E1117" s="15" t="str">
        <f>VLOOKUP(A1117, Currency!$A$2:$B$100, 2, FALSE)</f>
        <v>DKK</v>
      </c>
      <c r="F1117" s="15">
        <f ca="1">IFERROR(__xludf.DUMMYFUNCTION("IF(E1117=""USD"",B1117,B1117 * GOOGLEFINANCE(""CURRENCY:"" &amp; E1117 &amp; ""USD""))
"),5086987.49999999)</f>
        <v>5086987.4999999898</v>
      </c>
      <c r="G1117" s="16">
        <f ca="1">IFERROR(__xludf.DUMMYFUNCTION("IF(E1117=""USD"",C1117,C1117 * GOOGLEFINANCE(""CURRENCY:"" &amp; E1117 &amp; ""USD""))
"),322950.162945)</f>
        <v>322950.16294499999</v>
      </c>
    </row>
    <row r="1118" spans="1:7" ht="15.75" customHeight="1" x14ac:dyDescent="0.25">
      <c r="A1118" s="11" t="s">
        <v>24</v>
      </c>
      <c r="B1118" s="12">
        <v>40000000</v>
      </c>
      <c r="C1118" s="12">
        <v>49851591</v>
      </c>
      <c r="D1118" s="12">
        <v>1986</v>
      </c>
      <c r="E1118" s="12" t="str">
        <f>VLOOKUP(A1118, Currency!$A$2:$B$100, 2, FALSE)</f>
        <v>USD</v>
      </c>
      <c r="F1118" s="12">
        <f ca="1">IFERROR(__xludf.DUMMYFUNCTION("IF(E1118=""USD"",B1118,B1118 * GOOGLEFINANCE(""CURRENCY:"" &amp; E1118 &amp; ""USD""))
"),40000000)</f>
        <v>40000000</v>
      </c>
      <c r="G1118" s="13">
        <f ca="1">IFERROR(__xludf.DUMMYFUNCTION("IF(E1118=""USD"",C1118,C1118 * GOOGLEFINANCE(""CURRENCY:"" &amp; E1118 &amp; ""USD""))
"),49851591)</f>
        <v>49851591</v>
      </c>
    </row>
    <row r="1119" spans="1:7" ht="15.75" customHeight="1" x14ac:dyDescent="0.25">
      <c r="A1119" s="14" t="s">
        <v>24</v>
      </c>
      <c r="B1119" s="15">
        <v>30000000</v>
      </c>
      <c r="C1119" s="15">
        <v>116631310</v>
      </c>
      <c r="D1119" s="15">
        <v>2013</v>
      </c>
      <c r="E1119" s="15" t="str">
        <f>VLOOKUP(A1119, Currency!$A$2:$B$100, 2, FALSE)</f>
        <v>USD</v>
      </c>
      <c r="F1119" s="15">
        <f ca="1">IFERROR(__xludf.DUMMYFUNCTION("IF(E1119=""USD"",B1119,B1119 * GOOGLEFINANCE(""CURRENCY:"" &amp; E1119 &amp; ""USD""))
"),30000000)</f>
        <v>30000000</v>
      </c>
      <c r="G1119" s="16">
        <f ca="1">IFERROR(__xludf.DUMMYFUNCTION("IF(E1119=""USD"",C1119,C1119 * GOOGLEFINANCE(""CURRENCY:"" &amp; E1119 &amp; ""USD""))
"),116631310)</f>
        <v>116631310</v>
      </c>
    </row>
    <row r="1120" spans="1:7" ht="15.75" customHeight="1" x14ac:dyDescent="0.25">
      <c r="A1120" s="11" t="s">
        <v>24</v>
      </c>
      <c r="B1120" s="12">
        <v>12000000</v>
      </c>
      <c r="C1120" s="12">
        <v>17292381</v>
      </c>
      <c r="D1120" s="12">
        <v>2001</v>
      </c>
      <c r="E1120" s="12" t="str">
        <f>VLOOKUP(A1120, Currency!$A$2:$B$100, 2, FALSE)</f>
        <v>USD</v>
      </c>
      <c r="F1120" s="12">
        <f ca="1">IFERROR(__xludf.DUMMYFUNCTION("IF(E1120=""USD"",B1120,B1120 * GOOGLEFINANCE(""CURRENCY:"" &amp; E1120 &amp; ""USD""))
"),12000000)</f>
        <v>12000000</v>
      </c>
      <c r="G1120" s="13">
        <f ca="1">IFERROR(__xludf.DUMMYFUNCTION("IF(E1120=""USD"",C1120,C1120 * GOOGLEFINANCE(""CURRENCY:"" &amp; E1120 &amp; ""USD""))
"),17292381)</f>
        <v>17292381</v>
      </c>
    </row>
    <row r="1121" spans="1:7" ht="15.75" customHeight="1" x14ac:dyDescent="0.25">
      <c r="A1121" s="14" t="s">
        <v>24</v>
      </c>
      <c r="B1121" s="15">
        <v>17000000</v>
      </c>
      <c r="C1121" s="15">
        <v>27854896</v>
      </c>
      <c r="D1121" s="15">
        <v>2011</v>
      </c>
      <c r="E1121" s="15" t="str">
        <f>VLOOKUP(A1121, Currency!$A$2:$B$100, 2, FALSE)</f>
        <v>USD</v>
      </c>
      <c r="F1121" s="15">
        <f ca="1">IFERROR(__xludf.DUMMYFUNCTION("IF(E1121=""USD"",B1121,B1121 * GOOGLEFINANCE(""CURRENCY:"" &amp; E1121 &amp; ""USD""))
"),17000000)</f>
        <v>17000000</v>
      </c>
      <c r="G1121" s="16">
        <f ca="1">IFERROR(__xludf.DUMMYFUNCTION("IF(E1121=""USD"",C1121,C1121 * GOOGLEFINANCE(""CURRENCY:"" &amp; E1121 &amp; ""USD""))
"),27854896)</f>
        <v>27854896</v>
      </c>
    </row>
    <row r="1122" spans="1:7" ht="15.75" customHeight="1" x14ac:dyDescent="0.25">
      <c r="A1122" s="11" t="s">
        <v>24</v>
      </c>
      <c r="B1122" s="12">
        <v>2500000</v>
      </c>
      <c r="C1122" s="12">
        <v>71904</v>
      </c>
      <c r="D1122" s="12">
        <v>2006</v>
      </c>
      <c r="E1122" s="12" t="str">
        <f>VLOOKUP(A1122, Currency!$A$2:$B$100, 2, FALSE)</f>
        <v>USD</v>
      </c>
      <c r="F1122" s="12">
        <f ca="1">IFERROR(__xludf.DUMMYFUNCTION("IF(E1122=""USD"",B1122,B1122 * GOOGLEFINANCE(""CURRENCY:"" &amp; E1122 &amp; ""USD""))
"),2500000)</f>
        <v>2500000</v>
      </c>
      <c r="G1122" s="13">
        <f ca="1">IFERROR(__xludf.DUMMYFUNCTION("IF(E1122=""USD"",C1122,C1122 * GOOGLEFINANCE(""CURRENCY:"" &amp; E1122 &amp; ""USD""))
"),71904)</f>
        <v>71904</v>
      </c>
    </row>
    <row r="1123" spans="1:7" ht="15.75" customHeight="1" x14ac:dyDescent="0.25">
      <c r="A1123" s="14" t="s">
        <v>24</v>
      </c>
      <c r="B1123" s="15">
        <v>10000000</v>
      </c>
      <c r="C1123" s="15">
        <v>30306281</v>
      </c>
      <c r="D1123" s="15">
        <v>2002</v>
      </c>
      <c r="E1123" s="15" t="str">
        <f>VLOOKUP(A1123, Currency!$A$2:$B$100, 2, FALSE)</f>
        <v>USD</v>
      </c>
      <c r="F1123" s="15">
        <f ca="1">IFERROR(__xludf.DUMMYFUNCTION("IF(E1123=""USD"",B1123,B1123 * GOOGLEFINANCE(""CURRENCY:"" &amp; E1123 &amp; ""USD""))
"),10000000)</f>
        <v>10000000</v>
      </c>
      <c r="G1123" s="16">
        <f ca="1">IFERROR(__xludf.DUMMYFUNCTION("IF(E1123=""USD"",C1123,C1123 * GOOGLEFINANCE(""CURRENCY:"" &amp; E1123 &amp; ""USD""))
"),30306281)</f>
        <v>30306281</v>
      </c>
    </row>
    <row r="1124" spans="1:7" ht="15.75" customHeight="1" x14ac:dyDescent="0.25">
      <c r="A1124" s="11" t="s">
        <v>24</v>
      </c>
      <c r="B1124" s="12">
        <v>825000</v>
      </c>
      <c r="C1124" s="12">
        <v>15278</v>
      </c>
      <c r="D1124" s="12">
        <v>2002</v>
      </c>
      <c r="E1124" s="12" t="str">
        <f>VLOOKUP(A1124, Currency!$A$2:$B$100, 2, FALSE)</f>
        <v>USD</v>
      </c>
      <c r="F1124" s="12">
        <f ca="1">IFERROR(__xludf.DUMMYFUNCTION("IF(E1124=""USD"",B1124,B1124 * GOOGLEFINANCE(""CURRENCY:"" &amp; E1124 &amp; ""USD""))
"),825000)</f>
        <v>825000</v>
      </c>
      <c r="G1124" s="13">
        <f ca="1">IFERROR(__xludf.DUMMYFUNCTION("IF(E1124=""USD"",C1124,C1124 * GOOGLEFINANCE(""CURRENCY:"" &amp; E1124 &amp; ""USD""))
"),15278)</f>
        <v>15278</v>
      </c>
    </row>
    <row r="1125" spans="1:7" ht="15.75" customHeight="1" x14ac:dyDescent="0.25">
      <c r="A1125" s="14" t="s">
        <v>24</v>
      </c>
      <c r="B1125" s="15">
        <v>37000000</v>
      </c>
      <c r="C1125" s="15">
        <v>191449475</v>
      </c>
      <c r="D1125" s="15">
        <v>2008</v>
      </c>
      <c r="E1125" s="15" t="str">
        <f>VLOOKUP(A1125, Currency!$A$2:$B$100, 2, FALSE)</f>
        <v>USD</v>
      </c>
      <c r="F1125" s="15">
        <f ca="1">IFERROR(__xludf.DUMMYFUNCTION("IF(E1125=""USD"",B1125,B1125 * GOOGLEFINANCE(""CURRENCY:"" &amp; E1125 &amp; ""USD""))
"),37000000)</f>
        <v>37000000</v>
      </c>
      <c r="G1125" s="16">
        <f ca="1">IFERROR(__xludf.DUMMYFUNCTION("IF(E1125=""USD"",C1125,C1125 * GOOGLEFINANCE(""CURRENCY:"" &amp; E1125 &amp; ""USD""))
"),191449475)</f>
        <v>191449475</v>
      </c>
    </row>
    <row r="1126" spans="1:7" ht="15.75" customHeight="1" x14ac:dyDescent="0.25">
      <c r="A1126" s="11" t="s">
        <v>24</v>
      </c>
      <c r="B1126" s="12">
        <v>5600000</v>
      </c>
      <c r="C1126" s="12">
        <v>3064356</v>
      </c>
      <c r="D1126" s="12">
        <v>2002</v>
      </c>
      <c r="E1126" s="12" t="str">
        <f>VLOOKUP(A1126, Currency!$A$2:$B$100, 2, FALSE)</f>
        <v>USD</v>
      </c>
      <c r="F1126" s="12">
        <f ca="1">IFERROR(__xludf.DUMMYFUNCTION("IF(E1126=""USD"",B1126,B1126 * GOOGLEFINANCE(""CURRENCY:"" &amp; E1126 &amp; ""USD""))
"),5600000)</f>
        <v>5600000</v>
      </c>
      <c r="G1126" s="13">
        <f ca="1">IFERROR(__xludf.DUMMYFUNCTION("IF(E1126=""USD"",C1126,C1126 * GOOGLEFINANCE(""CURRENCY:"" &amp; E1126 &amp; ""USD""))
"),3064356)</f>
        <v>3064356</v>
      </c>
    </row>
    <row r="1127" spans="1:7" ht="15.75" customHeight="1" x14ac:dyDescent="0.25">
      <c r="A1127" s="14" t="s">
        <v>24</v>
      </c>
      <c r="B1127" s="15">
        <v>30000000</v>
      </c>
      <c r="C1127" s="15">
        <v>108360000</v>
      </c>
      <c r="D1127" s="15">
        <v>1995</v>
      </c>
      <c r="E1127" s="15" t="str">
        <f>VLOOKUP(A1127, Currency!$A$2:$B$100, 2, FALSE)</f>
        <v>USD</v>
      </c>
      <c r="F1127" s="15">
        <f ca="1">IFERROR(__xludf.DUMMYFUNCTION("IF(E1127=""USD"",B1127,B1127 * GOOGLEFINANCE(""CURRENCY:"" &amp; E1127 &amp; ""USD""))
"),30000000)</f>
        <v>30000000</v>
      </c>
      <c r="G1127" s="16">
        <f ca="1">IFERROR(__xludf.DUMMYFUNCTION("IF(E1127=""USD"",C1127,C1127 * GOOGLEFINANCE(""CURRENCY:"" &amp; E1127 &amp; ""USD""))
"),108360000)</f>
        <v>108360000</v>
      </c>
    </row>
    <row r="1128" spans="1:7" ht="15.75" customHeight="1" x14ac:dyDescent="0.25">
      <c r="A1128" s="11" t="s">
        <v>24</v>
      </c>
      <c r="B1128" s="12">
        <v>76000000</v>
      </c>
      <c r="C1128" s="12">
        <v>35286428</v>
      </c>
      <c r="D1128" s="12">
        <v>2006</v>
      </c>
      <c r="E1128" s="12" t="str">
        <f>VLOOKUP(A1128, Currency!$A$2:$B$100, 2, FALSE)</f>
        <v>USD</v>
      </c>
      <c r="F1128" s="12">
        <f ca="1">IFERROR(__xludf.DUMMYFUNCTION("IF(E1128=""USD"",B1128,B1128 * GOOGLEFINANCE(""CURRENCY:"" &amp; E1128 &amp; ""USD""))
"),76000000)</f>
        <v>76000000</v>
      </c>
      <c r="G1128" s="13">
        <f ca="1">IFERROR(__xludf.DUMMYFUNCTION("IF(E1128=""USD"",C1128,C1128 * GOOGLEFINANCE(""CURRENCY:"" &amp; E1128 &amp; ""USD""))
"),35286428)</f>
        <v>35286428</v>
      </c>
    </row>
    <row r="1129" spans="1:7" ht="15.75" customHeight="1" x14ac:dyDescent="0.25">
      <c r="A1129" s="14" t="s">
        <v>24</v>
      </c>
      <c r="B1129" s="15">
        <v>12000000</v>
      </c>
      <c r="C1129" s="15">
        <v>21370057</v>
      </c>
      <c r="D1129" s="15">
        <v>1992</v>
      </c>
      <c r="E1129" s="15" t="str">
        <f>VLOOKUP(A1129, Currency!$A$2:$B$100, 2, FALSE)</f>
        <v>USD</v>
      </c>
      <c r="F1129" s="15">
        <f ca="1">IFERROR(__xludf.DUMMYFUNCTION("IF(E1129=""USD"",B1129,B1129 * GOOGLEFINANCE(""CURRENCY:"" &amp; E1129 &amp; ""USD""))
"),12000000)</f>
        <v>12000000</v>
      </c>
      <c r="G1129" s="16">
        <f ca="1">IFERROR(__xludf.DUMMYFUNCTION("IF(E1129=""USD"",C1129,C1129 * GOOGLEFINANCE(""CURRENCY:"" &amp; E1129 &amp; ""USD""))
"),21370057)</f>
        <v>21370057</v>
      </c>
    </row>
    <row r="1130" spans="1:7" ht="15.75" customHeight="1" x14ac:dyDescent="0.25">
      <c r="A1130" s="11" t="s">
        <v>24</v>
      </c>
      <c r="B1130" s="12">
        <v>26000000</v>
      </c>
      <c r="C1130" s="12">
        <v>14469428</v>
      </c>
      <c r="D1130" s="12">
        <v>2004</v>
      </c>
      <c r="E1130" s="12" t="str">
        <f>VLOOKUP(A1130, Currency!$A$2:$B$100, 2, FALSE)</f>
        <v>USD</v>
      </c>
      <c r="F1130" s="12">
        <f ca="1">IFERROR(__xludf.DUMMYFUNCTION("IF(E1130=""USD"",B1130,B1130 * GOOGLEFINANCE(""CURRENCY:"" &amp; E1130 &amp; ""USD""))
"),26000000)</f>
        <v>26000000</v>
      </c>
      <c r="G1130" s="13">
        <f ca="1">IFERROR(__xludf.DUMMYFUNCTION("IF(E1130=""USD"",C1130,C1130 * GOOGLEFINANCE(""CURRENCY:"" &amp; E1130 &amp; ""USD""))
"),14469428)</f>
        <v>14469428</v>
      </c>
    </row>
    <row r="1131" spans="1:7" ht="15.75" customHeight="1" x14ac:dyDescent="0.25">
      <c r="A1131" s="14" t="s">
        <v>24</v>
      </c>
      <c r="B1131" s="15">
        <v>3800000</v>
      </c>
      <c r="C1131" s="15">
        <v>14873</v>
      </c>
      <c r="D1131" s="15">
        <v>1965</v>
      </c>
      <c r="E1131" s="15" t="str">
        <f>VLOOKUP(A1131, Currency!$A$2:$B$100, 2, FALSE)</f>
        <v>USD</v>
      </c>
      <c r="F1131" s="15">
        <f ca="1">IFERROR(__xludf.DUMMYFUNCTION("IF(E1131=""USD"",B1131,B1131 * GOOGLEFINANCE(""CURRENCY:"" &amp; E1131 &amp; ""USD""))
"),3800000)</f>
        <v>3800000</v>
      </c>
      <c r="G1131" s="16">
        <f ca="1">IFERROR(__xludf.DUMMYFUNCTION("IF(E1131=""USD"",C1131,C1131 * GOOGLEFINANCE(""CURRENCY:"" &amp; E1131 &amp; ""USD""))
"),14873)</f>
        <v>14873</v>
      </c>
    </row>
    <row r="1132" spans="1:7" ht="15.75" customHeight="1" x14ac:dyDescent="0.25">
      <c r="A1132" s="11" t="s">
        <v>24</v>
      </c>
      <c r="B1132" s="12">
        <v>9000</v>
      </c>
      <c r="C1132" s="12">
        <v>4584</v>
      </c>
      <c r="D1132" s="12">
        <v>2011</v>
      </c>
      <c r="E1132" s="12" t="str">
        <f>VLOOKUP(A1132, Currency!$A$2:$B$100, 2, FALSE)</f>
        <v>USD</v>
      </c>
      <c r="F1132" s="12">
        <f ca="1">IFERROR(__xludf.DUMMYFUNCTION("IF(E1132=""USD"",B1132,B1132 * GOOGLEFINANCE(""CURRENCY:"" &amp; E1132 &amp; ""USD""))
"),9000)</f>
        <v>9000</v>
      </c>
      <c r="G1132" s="13">
        <f ca="1">IFERROR(__xludf.DUMMYFUNCTION("IF(E1132=""USD"",C1132,C1132 * GOOGLEFINANCE(""CURRENCY:"" &amp; E1132 &amp; ""USD""))
"),4584)</f>
        <v>4584</v>
      </c>
    </row>
    <row r="1133" spans="1:7" ht="15.75" customHeight="1" x14ac:dyDescent="0.25">
      <c r="A1133" s="14" t="s">
        <v>24</v>
      </c>
      <c r="B1133" s="15">
        <v>72000000</v>
      </c>
      <c r="C1133" s="15">
        <v>75600000</v>
      </c>
      <c r="D1133" s="15">
        <v>1995</v>
      </c>
      <c r="E1133" s="15" t="str">
        <f>VLOOKUP(A1133, Currency!$A$2:$B$100, 2, FALSE)</f>
        <v>USD</v>
      </c>
      <c r="F1133" s="15">
        <f ca="1">IFERROR(__xludf.DUMMYFUNCTION("IF(E1133=""USD"",B1133,B1133 * GOOGLEFINANCE(""CURRENCY:"" &amp; E1133 &amp; ""USD""))
"),72000000)</f>
        <v>72000000</v>
      </c>
      <c r="G1133" s="16">
        <f ca="1">IFERROR(__xludf.DUMMYFUNCTION("IF(E1133=""USD"",C1133,C1133 * GOOGLEFINANCE(""CURRENCY:"" &amp; E1133 &amp; ""USD""))
"),75600000)</f>
        <v>75600000</v>
      </c>
    </row>
    <row r="1134" spans="1:7" ht="15.75" customHeight="1" x14ac:dyDescent="0.25">
      <c r="A1134" s="11" t="s">
        <v>24</v>
      </c>
      <c r="B1134" s="12">
        <v>54000000</v>
      </c>
      <c r="C1134" s="12">
        <v>66676062</v>
      </c>
      <c r="D1134" s="12">
        <v>1990</v>
      </c>
      <c r="E1134" s="12" t="str">
        <f>VLOOKUP(A1134, Currency!$A$2:$B$100, 2, FALSE)</f>
        <v>USD</v>
      </c>
      <c r="F1134" s="12">
        <f ca="1">IFERROR(__xludf.DUMMYFUNCTION("IF(E1134=""USD"",B1134,B1134 * GOOGLEFINANCE(""CURRENCY:"" &amp; E1134 &amp; ""USD""))
"),54000000)</f>
        <v>54000000</v>
      </c>
      <c r="G1134" s="13">
        <f ca="1">IFERROR(__xludf.DUMMYFUNCTION("IF(E1134=""USD"",C1134,C1134 * GOOGLEFINANCE(""CURRENCY:"" &amp; E1134 &amp; ""USD""))
"),66676062)</f>
        <v>66676062</v>
      </c>
    </row>
    <row r="1135" spans="1:7" ht="15.75" customHeight="1" x14ac:dyDescent="0.25">
      <c r="A1135" s="14" t="s">
        <v>24</v>
      </c>
      <c r="B1135" s="15">
        <v>40000000</v>
      </c>
      <c r="C1135" s="15">
        <v>66466372</v>
      </c>
      <c r="D1135" s="15">
        <v>2009</v>
      </c>
      <c r="E1135" s="15" t="str">
        <f>VLOOKUP(A1135, Currency!$A$2:$B$100, 2, FALSE)</f>
        <v>USD</v>
      </c>
      <c r="F1135" s="15">
        <f ca="1">IFERROR(__xludf.DUMMYFUNCTION("IF(E1135=""USD"",B1135,B1135 * GOOGLEFINANCE(""CURRENCY:"" &amp; E1135 &amp; ""USD""))
"),40000000)</f>
        <v>40000000</v>
      </c>
      <c r="G1135" s="16">
        <f ca="1">IFERROR(__xludf.DUMMYFUNCTION("IF(E1135=""USD"",C1135,C1135 * GOOGLEFINANCE(""CURRENCY:"" &amp; E1135 &amp; ""USD""))
"),66466372)</f>
        <v>66466372</v>
      </c>
    </row>
    <row r="1136" spans="1:7" ht="15.75" customHeight="1" x14ac:dyDescent="0.25">
      <c r="A1136" s="11" t="s">
        <v>611</v>
      </c>
      <c r="B1136" s="12">
        <v>7300000</v>
      </c>
      <c r="C1136" s="12">
        <v>4443403</v>
      </c>
      <c r="D1136" s="12">
        <v>2007</v>
      </c>
      <c r="E1136" s="12" t="str">
        <f>VLOOKUP(A1136, Currency!$A$2:$B$100, 2, FALSE)</f>
        <v>EUR</v>
      </c>
      <c r="F1136" s="12">
        <f ca="1">IFERROR(__xludf.DUMMYFUNCTION("IF(E1136=""USD"",B1136,B1136 * GOOGLEFINANCE(""CURRENCY:"" &amp; E1136 &amp; ""USD""))
"),7918602)</f>
        <v>7918602</v>
      </c>
      <c r="G1136" s="13">
        <f ca="1">IFERROR(__xludf.DUMMYFUNCTION("IF(E1136=""USD"",C1136,C1136 * GOOGLEFINANCE(""CURRENCY:"" &amp; E1136 &amp; ""USD""))
"),4819936.97022)</f>
        <v>4819936.9702199996</v>
      </c>
    </row>
    <row r="1137" spans="1:7" ht="15.75" customHeight="1" x14ac:dyDescent="0.25">
      <c r="A1137" s="14" t="s">
        <v>24</v>
      </c>
      <c r="B1137" s="15">
        <v>8000000</v>
      </c>
      <c r="C1137" s="15">
        <v>4692814</v>
      </c>
      <c r="D1137" s="15">
        <v>1999</v>
      </c>
      <c r="E1137" s="15" t="str">
        <f>VLOOKUP(A1137, Currency!$A$2:$B$100, 2, FALSE)</f>
        <v>USD</v>
      </c>
      <c r="F1137" s="15">
        <f ca="1">IFERROR(__xludf.DUMMYFUNCTION("IF(E1137=""USD"",B1137,B1137 * GOOGLEFINANCE(""CURRENCY:"" &amp; E1137 &amp; ""USD""))
"),8000000)</f>
        <v>8000000</v>
      </c>
      <c r="G1137" s="16">
        <f ca="1">IFERROR(__xludf.DUMMYFUNCTION("IF(E1137=""USD"",C1137,C1137 * GOOGLEFINANCE(""CURRENCY:"" &amp; E1137 &amp; ""USD""))
"),4692814)</f>
        <v>4692814</v>
      </c>
    </row>
    <row r="1138" spans="1:7" ht="15.75" customHeight="1" x14ac:dyDescent="0.25">
      <c r="A1138" s="11" t="s">
        <v>24</v>
      </c>
      <c r="B1138" s="12">
        <v>15000000</v>
      </c>
      <c r="C1138" s="12">
        <v>12801190</v>
      </c>
      <c r="D1138" s="12">
        <v>2000</v>
      </c>
      <c r="E1138" s="12" t="str">
        <f>VLOOKUP(A1138, Currency!$A$2:$B$100, 2, FALSE)</f>
        <v>USD</v>
      </c>
      <c r="F1138" s="12">
        <f ca="1">IFERROR(__xludf.DUMMYFUNCTION("IF(E1138=""USD"",B1138,B1138 * GOOGLEFINANCE(""CURRENCY:"" &amp; E1138 &amp; ""USD""))
"),15000000)</f>
        <v>15000000</v>
      </c>
      <c r="G1138" s="13">
        <f ca="1">IFERROR(__xludf.DUMMYFUNCTION("IF(E1138=""USD"",C1138,C1138 * GOOGLEFINANCE(""CURRENCY:"" &amp; E1138 &amp; ""USD""))
"),12801190)</f>
        <v>12801190</v>
      </c>
    </row>
    <row r="1139" spans="1:7" ht="15.75" customHeight="1" x14ac:dyDescent="0.25">
      <c r="A1139" s="14" t="s">
        <v>24</v>
      </c>
      <c r="B1139" s="15">
        <v>65000000</v>
      </c>
      <c r="C1139" s="15">
        <v>33328051</v>
      </c>
      <c r="D1139" s="15">
        <v>1996</v>
      </c>
      <c r="E1139" s="15" t="str">
        <f>VLOOKUP(A1139, Currency!$A$2:$B$100, 2, FALSE)</f>
        <v>USD</v>
      </c>
      <c r="F1139" s="15">
        <f ca="1">IFERROR(__xludf.DUMMYFUNCTION("IF(E1139=""USD"",B1139,B1139 * GOOGLEFINANCE(""CURRENCY:"" &amp; E1139 &amp; ""USD""))
"),65000000)</f>
        <v>65000000</v>
      </c>
      <c r="G1139" s="16">
        <f ca="1">IFERROR(__xludf.DUMMYFUNCTION("IF(E1139=""USD"",C1139,C1139 * GOOGLEFINANCE(""CURRENCY:"" &amp; E1139 &amp; ""USD""))
"),33328051)</f>
        <v>33328051</v>
      </c>
    </row>
    <row r="1140" spans="1:7" ht="15.75" customHeight="1" x14ac:dyDescent="0.25">
      <c r="A1140" s="11" t="s">
        <v>24</v>
      </c>
      <c r="B1140" s="12">
        <v>25000000</v>
      </c>
      <c r="C1140" s="12">
        <v>46836394</v>
      </c>
      <c r="D1140" s="12">
        <v>1990</v>
      </c>
      <c r="E1140" s="12" t="str">
        <f>VLOOKUP(A1140, Currency!$A$2:$B$100, 2, FALSE)</f>
        <v>USD</v>
      </c>
      <c r="F1140" s="12">
        <f ca="1">IFERROR(__xludf.DUMMYFUNCTION("IF(E1140=""USD"",B1140,B1140 * GOOGLEFINANCE(""CURRENCY:"" &amp; E1140 &amp; ""USD""))
"),25000000)</f>
        <v>25000000</v>
      </c>
      <c r="G1140" s="13">
        <f ca="1">IFERROR(__xludf.DUMMYFUNCTION("IF(E1140=""USD"",C1140,C1140 * GOOGLEFINANCE(""CURRENCY:"" &amp; E1140 &amp; ""USD""))
"),46836394)</f>
        <v>46836394</v>
      </c>
    </row>
    <row r="1141" spans="1:7" ht="15.75" customHeight="1" x14ac:dyDescent="0.25">
      <c r="A1141" s="14" t="s">
        <v>24</v>
      </c>
      <c r="B1141" s="15">
        <v>25000000</v>
      </c>
      <c r="C1141" s="15">
        <v>5654777</v>
      </c>
      <c r="D1141" s="15">
        <v>2005</v>
      </c>
      <c r="E1141" s="15" t="str">
        <f>VLOOKUP(A1141, Currency!$A$2:$B$100, 2, FALSE)</f>
        <v>USD</v>
      </c>
      <c r="F1141" s="15">
        <f ca="1">IFERROR(__xludf.DUMMYFUNCTION("IF(E1141=""USD"",B1141,B1141 * GOOGLEFINANCE(""CURRENCY:"" &amp; E1141 &amp; ""USD""))
"),25000000)</f>
        <v>25000000</v>
      </c>
      <c r="G1141" s="16">
        <f ca="1">IFERROR(__xludf.DUMMYFUNCTION("IF(E1141=""USD"",C1141,C1141 * GOOGLEFINANCE(""CURRENCY:"" &amp; E1141 &amp; ""USD""))
"),5654777)</f>
        <v>5654777</v>
      </c>
    </row>
    <row r="1142" spans="1:7" ht="15.75" customHeight="1" x14ac:dyDescent="0.25">
      <c r="A1142" s="11" t="s">
        <v>149</v>
      </c>
      <c r="B1142" s="12">
        <v>250000</v>
      </c>
      <c r="C1142" s="12">
        <v>212285</v>
      </c>
      <c r="D1142" s="12">
        <v>1996</v>
      </c>
      <c r="E1142" s="12" t="str">
        <f>VLOOKUP(A1142, Currency!$A$2:$B$100, 2, FALSE)</f>
        <v>AUD</v>
      </c>
      <c r="F1142" s="12">
        <f ca="1">IFERROR(__xludf.DUMMYFUNCTION("IF(E1142=""USD"",B1142,B1142 * GOOGLEFINANCE(""CURRENCY:"" &amp; E1142 &amp; ""USD""))
"),163470)</f>
        <v>163470</v>
      </c>
      <c r="G1142" s="13">
        <f ca="1">IFERROR(__xludf.DUMMYFUNCTION("IF(E1142=""USD"",C1142,C1142 * GOOGLEFINANCE(""CURRENCY:"" &amp; E1142 &amp; ""USD""))
"),138808.9158)</f>
        <v>138808.91579999999</v>
      </c>
    </row>
    <row r="1143" spans="1:7" ht="15.75" customHeight="1" x14ac:dyDescent="0.25">
      <c r="A1143" s="14" t="s">
        <v>24</v>
      </c>
      <c r="B1143" s="15">
        <v>30000000</v>
      </c>
      <c r="C1143" s="15">
        <v>51097664</v>
      </c>
      <c r="D1143" s="15">
        <v>2005</v>
      </c>
      <c r="E1143" s="15" t="str">
        <f>VLOOKUP(A1143, Currency!$A$2:$B$100, 2, FALSE)</f>
        <v>USD</v>
      </c>
      <c r="F1143" s="15">
        <f ca="1">IFERROR(__xludf.DUMMYFUNCTION("IF(E1143=""USD"",B1143,B1143 * GOOGLEFINANCE(""CURRENCY:"" &amp; E1143 &amp; ""USD""))
"),30000000)</f>
        <v>30000000</v>
      </c>
      <c r="G1143" s="16">
        <f ca="1">IFERROR(__xludf.DUMMYFUNCTION("IF(E1143=""USD"",C1143,C1143 * GOOGLEFINANCE(""CURRENCY:"" &amp; E1143 &amp; ""USD""))
"),51097664)</f>
        <v>51097664</v>
      </c>
    </row>
    <row r="1144" spans="1:7" ht="15.75" customHeight="1" x14ac:dyDescent="0.25">
      <c r="A1144" s="11" t="s">
        <v>24</v>
      </c>
      <c r="B1144" s="12">
        <v>20000000</v>
      </c>
      <c r="C1144" s="12">
        <v>65623128</v>
      </c>
      <c r="D1144" s="12">
        <v>2012</v>
      </c>
      <c r="E1144" s="12" t="str">
        <f>VLOOKUP(A1144, Currency!$A$2:$B$100, 2, FALSE)</f>
        <v>USD</v>
      </c>
      <c r="F1144" s="12">
        <f ca="1">IFERROR(__xludf.DUMMYFUNCTION("IF(E1144=""USD"",B1144,B1144 * GOOGLEFINANCE(""CURRENCY:"" &amp; E1144 &amp; ""USD""))
"),20000000)</f>
        <v>20000000</v>
      </c>
      <c r="G1144" s="13">
        <f ca="1">IFERROR(__xludf.DUMMYFUNCTION("IF(E1144=""USD"",C1144,C1144 * GOOGLEFINANCE(""CURRENCY:"" &amp; E1144 &amp; ""USD""))
"),65623128)</f>
        <v>65623128</v>
      </c>
    </row>
    <row r="1145" spans="1:7" ht="15.75" customHeight="1" x14ac:dyDescent="0.25">
      <c r="A1145" s="14" t="s">
        <v>24</v>
      </c>
      <c r="B1145" s="15">
        <v>80000000</v>
      </c>
      <c r="C1145" s="15">
        <v>69772969</v>
      </c>
      <c r="D1145" s="15">
        <v>2001</v>
      </c>
      <c r="E1145" s="15" t="str">
        <f>VLOOKUP(A1145, Currency!$A$2:$B$100, 2, FALSE)</f>
        <v>USD</v>
      </c>
      <c r="F1145" s="15">
        <f ca="1">IFERROR(__xludf.DUMMYFUNCTION("IF(E1145=""USD"",B1145,B1145 * GOOGLEFINANCE(""CURRENCY:"" &amp; E1145 &amp; ""USD""))
"),80000000)</f>
        <v>80000000</v>
      </c>
      <c r="G1145" s="16">
        <f ca="1">IFERROR(__xludf.DUMMYFUNCTION("IF(E1145=""USD"",C1145,C1145 * GOOGLEFINANCE(""CURRENCY:"" &amp; E1145 &amp; ""USD""))
"),69772969)</f>
        <v>69772969</v>
      </c>
    </row>
    <row r="1146" spans="1:7" ht="15.75" customHeight="1" x14ac:dyDescent="0.25">
      <c r="A1146" s="11" t="s">
        <v>24</v>
      </c>
      <c r="B1146" s="12">
        <v>5000000</v>
      </c>
      <c r="C1146" s="12">
        <v>4700361</v>
      </c>
      <c r="D1146" s="12">
        <v>2015</v>
      </c>
      <c r="E1146" s="12" t="str">
        <f>VLOOKUP(A1146, Currency!$A$2:$B$100, 2, FALSE)</f>
        <v>USD</v>
      </c>
      <c r="F1146" s="12">
        <f ca="1">IFERROR(__xludf.DUMMYFUNCTION("IF(E1146=""USD"",B1146,B1146 * GOOGLEFINANCE(""CURRENCY:"" &amp; E1146 &amp; ""USD""))
"),5000000)</f>
        <v>5000000</v>
      </c>
      <c r="G1146" s="13">
        <f ca="1">IFERROR(__xludf.DUMMYFUNCTION("IF(E1146=""USD"",C1146,C1146 * GOOGLEFINANCE(""CURRENCY:"" &amp; E1146 &amp; ""USD""))
"),4700361)</f>
        <v>4700361</v>
      </c>
    </row>
    <row r="1147" spans="1:7" ht="15.75" customHeight="1" x14ac:dyDescent="0.25">
      <c r="A1147" s="14" t="s">
        <v>24</v>
      </c>
      <c r="B1147" s="15">
        <v>100000000</v>
      </c>
      <c r="C1147" s="15">
        <v>79711678</v>
      </c>
      <c r="D1147" s="15">
        <v>2012</v>
      </c>
      <c r="E1147" s="15" t="str">
        <f>VLOOKUP(A1147, Currency!$A$2:$B$100, 2, FALSE)</f>
        <v>USD</v>
      </c>
      <c r="F1147" s="15">
        <f ca="1">IFERROR(__xludf.DUMMYFUNCTION("IF(E1147=""USD"",B1147,B1147 * GOOGLEFINANCE(""CURRENCY:"" &amp; E1147 &amp; ""USD""))
"),100000000)</f>
        <v>100000000</v>
      </c>
      <c r="G1147" s="16">
        <f ca="1">IFERROR(__xludf.DUMMYFUNCTION("IF(E1147=""USD"",C1147,C1147 * GOOGLEFINANCE(""CURRENCY:"" &amp; E1147 &amp; ""USD""))
"),79711678)</f>
        <v>79711678</v>
      </c>
    </row>
    <row r="1148" spans="1:7" ht="15.75" customHeight="1" x14ac:dyDescent="0.25">
      <c r="A1148" s="11" t="s">
        <v>24</v>
      </c>
      <c r="B1148" s="12">
        <v>70000000</v>
      </c>
      <c r="C1148" s="12">
        <v>55942830</v>
      </c>
      <c r="D1148" s="12">
        <v>2014</v>
      </c>
      <c r="E1148" s="12" t="str">
        <f>VLOOKUP(A1148, Currency!$A$2:$B$100, 2, FALSE)</f>
        <v>USD</v>
      </c>
      <c r="F1148" s="12">
        <f ca="1">IFERROR(__xludf.DUMMYFUNCTION("IF(E1148=""USD"",B1148,B1148 * GOOGLEFINANCE(""CURRENCY:"" &amp; E1148 &amp; ""USD""))
"),70000000)</f>
        <v>70000000</v>
      </c>
      <c r="G1148" s="13">
        <f ca="1">IFERROR(__xludf.DUMMYFUNCTION("IF(E1148=""USD"",C1148,C1148 * GOOGLEFINANCE(""CURRENCY:"" &amp; E1148 &amp; ""USD""))
"),55942830)</f>
        <v>55942830</v>
      </c>
    </row>
    <row r="1149" spans="1:7" ht="15.75" customHeight="1" x14ac:dyDescent="0.25">
      <c r="A1149" s="14" t="s">
        <v>24</v>
      </c>
      <c r="B1149" s="15">
        <v>30000000</v>
      </c>
      <c r="C1149" s="15">
        <v>3904982</v>
      </c>
      <c r="D1149" s="15">
        <v>2007</v>
      </c>
      <c r="E1149" s="15" t="str">
        <f>VLOOKUP(A1149, Currency!$A$2:$B$100, 2, FALSE)</f>
        <v>USD</v>
      </c>
      <c r="F1149" s="15">
        <f ca="1">IFERROR(__xludf.DUMMYFUNCTION("IF(E1149=""USD"",B1149,B1149 * GOOGLEFINANCE(""CURRENCY:"" &amp; E1149 &amp; ""USD""))
"),30000000)</f>
        <v>30000000</v>
      </c>
      <c r="G1149" s="16">
        <f ca="1">IFERROR(__xludf.DUMMYFUNCTION("IF(E1149=""USD"",C1149,C1149 * GOOGLEFINANCE(""CURRENCY:"" &amp; E1149 &amp; ""USD""))
"),3904982)</f>
        <v>3904982</v>
      </c>
    </row>
    <row r="1150" spans="1:7" ht="15.75" customHeight="1" x14ac:dyDescent="0.25">
      <c r="A1150" s="11" t="s">
        <v>4041</v>
      </c>
      <c r="B1150" s="12">
        <v>12800000</v>
      </c>
      <c r="C1150" s="12">
        <v>4157491</v>
      </c>
      <c r="D1150" s="12">
        <v>2000</v>
      </c>
      <c r="E1150" s="12" t="str">
        <f>VLOOKUP(A1150, Currency!$A$2:$B$100, 2, FALSE)</f>
        <v>DKK</v>
      </c>
      <c r="F1150" s="12">
        <f ca="1">IFERROR(__xludf.DUMMYFUNCTION("IF(E1150=""USD"",B1150,B1150 * GOOGLEFINANCE(""CURRENCY:"" &amp; E1150 &amp; ""USD""))
"),1860383.99999999)</f>
        <v>1860383.99999999</v>
      </c>
      <c r="G1150" s="13">
        <f ca="1">IFERROR(__xludf.DUMMYFUNCTION("IF(E1150=""USD"",C1150,C1150 * GOOGLEFINANCE(""CURRENCY:"" &amp; E1150 &amp; ""USD""))
"),604260.1356675)</f>
        <v>604260.13566749997</v>
      </c>
    </row>
    <row r="1151" spans="1:7" ht="15.75" customHeight="1" x14ac:dyDescent="0.25">
      <c r="A1151" s="14" t="s">
        <v>24</v>
      </c>
      <c r="B1151" s="15">
        <v>100000000</v>
      </c>
      <c r="C1151" s="15">
        <v>67631157</v>
      </c>
      <c r="D1151" s="15">
        <v>2010</v>
      </c>
      <c r="E1151" s="15" t="str">
        <f>VLOOKUP(A1151, Currency!$A$2:$B$100, 2, FALSE)</f>
        <v>USD</v>
      </c>
      <c r="F1151" s="15">
        <f ca="1">IFERROR(__xludf.DUMMYFUNCTION("IF(E1151=""USD"",B1151,B1151 * GOOGLEFINANCE(""CURRENCY:"" &amp; E1151 &amp; ""USD""))
"),100000000)</f>
        <v>100000000</v>
      </c>
      <c r="G1151" s="16">
        <f ca="1">IFERROR(__xludf.DUMMYFUNCTION("IF(E1151=""USD"",C1151,C1151 * GOOGLEFINANCE(""CURRENCY:"" &amp; E1151 &amp; ""USD""))
"),67631157)</f>
        <v>67631157</v>
      </c>
    </row>
    <row r="1152" spans="1:7" ht="15.75" customHeight="1" x14ac:dyDescent="0.25">
      <c r="A1152" s="11" t="s">
        <v>24</v>
      </c>
      <c r="B1152" s="12">
        <v>20000000</v>
      </c>
      <c r="C1152" s="12">
        <v>48423368</v>
      </c>
      <c r="D1152" s="12">
        <v>2002</v>
      </c>
      <c r="E1152" s="12" t="str">
        <f>VLOOKUP(A1152, Currency!$A$2:$B$100, 2, FALSE)</f>
        <v>USD</v>
      </c>
      <c r="F1152" s="12">
        <f ca="1">IFERROR(__xludf.DUMMYFUNCTION("IF(E1152=""USD"",B1152,B1152 * GOOGLEFINANCE(""CURRENCY:"" &amp; E1152 &amp; ""USD""))
"),20000000)</f>
        <v>20000000</v>
      </c>
      <c r="G1152" s="13">
        <f ca="1">IFERROR(__xludf.DUMMYFUNCTION("IF(E1152=""USD"",C1152,C1152 * GOOGLEFINANCE(""CURRENCY:"" &amp; E1152 &amp; ""USD""))
"),48423368)</f>
        <v>48423368</v>
      </c>
    </row>
    <row r="1153" spans="1:7" ht="15.75" customHeight="1" x14ac:dyDescent="0.25">
      <c r="A1153" s="14" t="s">
        <v>24</v>
      </c>
      <c r="B1153" s="15">
        <v>85000000</v>
      </c>
      <c r="C1153" s="15">
        <v>126149655</v>
      </c>
      <c r="D1153" s="15">
        <v>2012</v>
      </c>
      <c r="E1153" s="15" t="str">
        <f>VLOOKUP(A1153, Currency!$A$2:$B$100, 2, FALSE)</f>
        <v>USD</v>
      </c>
      <c r="F1153" s="15">
        <f ca="1">IFERROR(__xludf.DUMMYFUNCTION("IF(E1153=""USD"",B1153,B1153 * GOOGLEFINANCE(""CURRENCY:"" &amp; E1153 &amp; ""USD""))
"),85000000)</f>
        <v>85000000</v>
      </c>
      <c r="G1153" s="16">
        <f ca="1">IFERROR(__xludf.DUMMYFUNCTION("IF(E1153=""USD"",C1153,C1153 * GOOGLEFINANCE(""CURRENCY:"" &amp; E1153 &amp; ""USD""))
"),126149655)</f>
        <v>126149655</v>
      </c>
    </row>
    <row r="1154" spans="1:7" ht="15.75" customHeight="1" x14ac:dyDescent="0.25">
      <c r="A1154" s="11" t="s">
        <v>133</v>
      </c>
      <c r="B1154" s="12">
        <v>55000000</v>
      </c>
      <c r="C1154" s="12">
        <v>41609593</v>
      </c>
      <c r="D1154" s="12">
        <v>1998</v>
      </c>
      <c r="E1154" s="12" t="str">
        <f>VLOOKUP(A1154, Currency!$A$2:$B$100, 2, FALSE)</f>
        <v>GBP</v>
      </c>
      <c r="F1154" s="12">
        <f ca="1">IFERROR(__xludf.DUMMYFUNCTION("IF(E1154=""USD"",B1154,B1154 * GOOGLEFINANCE(""CURRENCY:"" &amp; E1154 &amp; ""USD""))
"),70697000)</f>
        <v>70697000</v>
      </c>
      <c r="G1154" s="13">
        <f ca="1">IFERROR(__xludf.DUMMYFUNCTION("IF(E1154=""USD"",C1154,C1154 * GOOGLEFINANCE(""CURRENCY:"" &amp; E1154 &amp; ""USD""))
"),53484970.8421999)</f>
        <v>53484970.842199899</v>
      </c>
    </row>
    <row r="1155" spans="1:7" ht="15.75" customHeight="1" x14ac:dyDescent="0.25">
      <c r="A1155" s="14" t="s">
        <v>24</v>
      </c>
      <c r="B1155" s="15">
        <v>14500000</v>
      </c>
      <c r="C1155" s="15">
        <v>46338728</v>
      </c>
      <c r="D1155" s="15">
        <v>1996</v>
      </c>
      <c r="E1155" s="15" t="str">
        <f>VLOOKUP(A1155, Currency!$A$2:$B$100, 2, FALSE)</f>
        <v>USD</v>
      </c>
      <c r="F1155" s="15">
        <f ca="1">IFERROR(__xludf.DUMMYFUNCTION("IF(E1155=""USD"",B1155,B1155 * GOOGLEFINANCE(""CURRENCY:"" &amp; E1155 &amp; ""USD""))
"),14500000)</f>
        <v>14500000</v>
      </c>
      <c r="G1155" s="16">
        <f ca="1">IFERROR(__xludf.DUMMYFUNCTION("IF(E1155=""USD"",C1155,C1155 * GOOGLEFINANCE(""CURRENCY:"" &amp; E1155 &amp; ""USD""))
"),46338728)</f>
        <v>46338728</v>
      </c>
    </row>
    <row r="1156" spans="1:7" ht="15.75" customHeight="1" x14ac:dyDescent="0.25">
      <c r="A1156" s="11" t="s">
        <v>176</v>
      </c>
      <c r="B1156" s="12">
        <v>15000000</v>
      </c>
      <c r="C1156" s="12">
        <v>29302097</v>
      </c>
      <c r="D1156" s="12">
        <v>2004</v>
      </c>
      <c r="E1156" s="12" t="str">
        <f>VLOOKUP(A1156, Currency!$A$2:$B$100, 2, FALSE)</f>
        <v>EUR</v>
      </c>
      <c r="F1156" s="12">
        <f ca="1">IFERROR(__xludf.DUMMYFUNCTION("IF(E1156=""USD"",B1156,B1156 * GOOGLEFINANCE(""CURRENCY:"" &amp; E1156 &amp; ""USD""))
"),16271100)</f>
        <v>16271100</v>
      </c>
      <c r="G1156" s="13">
        <f ca="1">IFERROR(__xludf.DUMMYFUNCTION("IF(E1156=""USD"",C1156,C1156 * GOOGLEFINANCE(""CURRENCY:"" &amp; E1156 &amp; ""USD""))
"),31785156.69978)</f>
        <v>31785156.699779999</v>
      </c>
    </row>
    <row r="1157" spans="1:7" ht="15.75" customHeight="1" x14ac:dyDescent="0.25">
      <c r="A1157" s="14" t="s">
        <v>24</v>
      </c>
      <c r="B1157" s="15">
        <v>10000000</v>
      </c>
      <c r="C1157" s="15">
        <v>19348</v>
      </c>
      <c r="D1157" s="15">
        <v>2009</v>
      </c>
      <c r="E1157" s="15" t="str">
        <f>VLOOKUP(A1157, Currency!$A$2:$B$100, 2, FALSE)</f>
        <v>USD</v>
      </c>
      <c r="F1157" s="15">
        <f ca="1">IFERROR(__xludf.DUMMYFUNCTION("IF(E1157=""USD"",B1157,B1157 * GOOGLEFINANCE(""CURRENCY:"" &amp; E1157 &amp; ""USD""))
"),10000000)</f>
        <v>10000000</v>
      </c>
      <c r="G1157" s="16">
        <f ca="1">IFERROR(__xludf.DUMMYFUNCTION("IF(E1157=""USD"",C1157,C1157 * GOOGLEFINANCE(""CURRENCY:"" &amp; E1157 &amp; ""USD""))
"),19348)</f>
        <v>19348</v>
      </c>
    </row>
    <row r="1158" spans="1:7" ht="15.75" customHeight="1" x14ac:dyDescent="0.25">
      <c r="A1158" s="11" t="s">
        <v>24</v>
      </c>
      <c r="B1158" s="12">
        <v>3500000</v>
      </c>
      <c r="C1158" s="12">
        <v>3071947</v>
      </c>
      <c r="D1158" s="12">
        <v>1999</v>
      </c>
      <c r="E1158" s="12" t="str">
        <f>VLOOKUP(A1158, Currency!$A$2:$B$100, 2, FALSE)</f>
        <v>USD</v>
      </c>
      <c r="F1158" s="12">
        <f ca="1">IFERROR(__xludf.DUMMYFUNCTION("IF(E1158=""USD"",B1158,B1158 * GOOGLEFINANCE(""CURRENCY:"" &amp; E1158 &amp; ""USD""))
"),3500000)</f>
        <v>3500000</v>
      </c>
      <c r="G1158" s="13">
        <f ca="1">IFERROR(__xludf.DUMMYFUNCTION("IF(E1158=""USD"",C1158,C1158 * GOOGLEFINANCE(""CURRENCY:"" &amp; E1158 &amp; ""USD""))
"),3071947)</f>
        <v>3071947</v>
      </c>
    </row>
    <row r="1159" spans="1:7" ht="15.75" customHeight="1" x14ac:dyDescent="0.25">
      <c r="A1159" s="14" t="s">
        <v>24</v>
      </c>
      <c r="B1159" s="15">
        <v>40000000</v>
      </c>
      <c r="C1159" s="15">
        <v>95149435</v>
      </c>
      <c r="D1159" s="15">
        <v>2004</v>
      </c>
      <c r="E1159" s="15" t="str">
        <f>VLOOKUP(A1159, Currency!$A$2:$B$100, 2, FALSE)</f>
        <v>USD</v>
      </c>
      <c r="F1159" s="15">
        <f ca="1">IFERROR(__xludf.DUMMYFUNCTION("IF(E1159=""USD"",B1159,B1159 * GOOGLEFINANCE(""CURRENCY:"" &amp; E1159 &amp; ""USD""))
"),40000000)</f>
        <v>40000000</v>
      </c>
      <c r="G1159" s="16">
        <f ca="1">IFERROR(__xludf.DUMMYFUNCTION("IF(E1159=""USD"",C1159,C1159 * GOOGLEFINANCE(""CURRENCY:"" &amp; E1159 &amp; ""USD""))
"),95149435)</f>
        <v>95149435</v>
      </c>
    </row>
    <row r="1160" spans="1:7" ht="15.75" customHeight="1" x14ac:dyDescent="0.25">
      <c r="A1160" s="11" t="s">
        <v>4175</v>
      </c>
      <c r="B1160" s="12">
        <v>3850000</v>
      </c>
      <c r="C1160" s="12">
        <v>611709</v>
      </c>
      <c r="D1160" s="12">
        <v>2011</v>
      </c>
      <c r="E1160" s="12" t="str">
        <f>VLOOKUP(A1160, Currency!$A$2:$B$100, 2, FALSE)</f>
        <v>EUR</v>
      </c>
      <c r="F1160" s="12">
        <f ca="1">IFERROR(__xludf.DUMMYFUNCTION("IF(E1160=""USD"",B1160,B1160 * GOOGLEFINANCE(""CURRENCY:"" &amp; E1160 &amp; ""USD""))
"),4176249)</f>
        <v>4176249</v>
      </c>
      <c r="G1160" s="13">
        <f ca="1">IFERROR(__xludf.DUMMYFUNCTION("IF(E1160=""USD"",C1160,C1160 * GOOGLEFINANCE(""CURRENCY:"" &amp; E1160 &amp; ""USD""))
"),663545.22066)</f>
        <v>663545.22065999999</v>
      </c>
    </row>
    <row r="1161" spans="1:7" ht="15.75" customHeight="1" x14ac:dyDescent="0.25">
      <c r="A1161" s="14" t="s">
        <v>24</v>
      </c>
      <c r="B1161" s="15">
        <v>70000000</v>
      </c>
      <c r="C1161" s="15">
        <v>137340146</v>
      </c>
      <c r="D1161" s="15">
        <v>2006</v>
      </c>
      <c r="E1161" s="15" t="str">
        <f>VLOOKUP(A1161, Currency!$A$2:$B$100, 2, FALSE)</f>
        <v>USD</v>
      </c>
      <c r="F1161" s="15">
        <f ca="1">IFERROR(__xludf.DUMMYFUNCTION("IF(E1161=""USD"",B1161,B1161 * GOOGLEFINANCE(""CURRENCY:"" &amp; E1161 &amp; ""USD""))
"),70000000)</f>
        <v>70000000</v>
      </c>
      <c r="G1161" s="16">
        <f ca="1">IFERROR(__xludf.DUMMYFUNCTION("IF(E1161=""USD"",C1161,C1161 * GOOGLEFINANCE(""CURRENCY:"" &amp; E1161 &amp; ""USD""))
"),137340146)</f>
        <v>137340146</v>
      </c>
    </row>
    <row r="1162" spans="1:7" ht="15.75" customHeight="1" x14ac:dyDescent="0.25">
      <c r="A1162" s="11" t="s">
        <v>24</v>
      </c>
      <c r="B1162" s="12">
        <v>100000000</v>
      </c>
      <c r="C1162" s="12">
        <v>67286731</v>
      </c>
      <c r="D1162" s="12">
        <v>2004</v>
      </c>
      <c r="E1162" s="12" t="str">
        <f>VLOOKUP(A1162, Currency!$A$2:$B$100, 2, FALSE)</f>
        <v>USD</v>
      </c>
      <c r="F1162" s="12">
        <f ca="1">IFERROR(__xludf.DUMMYFUNCTION("IF(E1162=""USD"",B1162,B1162 * GOOGLEFINANCE(""CURRENCY:"" &amp; E1162 &amp; ""USD""))
"),100000000)</f>
        <v>100000000</v>
      </c>
      <c r="G1162" s="13">
        <f ca="1">IFERROR(__xludf.DUMMYFUNCTION("IF(E1162=""USD"",C1162,C1162 * GOOGLEFINANCE(""CURRENCY:"" &amp; E1162 &amp; ""USD""))
"),67286731)</f>
        <v>67286731</v>
      </c>
    </row>
    <row r="1163" spans="1:7" ht="15.75" customHeight="1" x14ac:dyDescent="0.25">
      <c r="A1163" s="14" t="s">
        <v>24</v>
      </c>
      <c r="B1163" s="15">
        <v>2500000</v>
      </c>
      <c r="C1163" s="15">
        <v>75727</v>
      </c>
      <c r="D1163" s="15">
        <v>2008</v>
      </c>
      <c r="E1163" s="15" t="str">
        <f>VLOOKUP(A1163, Currency!$A$2:$B$100, 2, FALSE)</f>
        <v>USD</v>
      </c>
      <c r="F1163" s="15">
        <f ca="1">IFERROR(__xludf.DUMMYFUNCTION("IF(E1163=""USD"",B1163,B1163 * GOOGLEFINANCE(""CURRENCY:"" &amp; E1163 &amp; ""USD""))
"),2500000)</f>
        <v>2500000</v>
      </c>
      <c r="G1163" s="16">
        <f ca="1">IFERROR(__xludf.DUMMYFUNCTION("IF(E1163=""USD"",C1163,C1163 * GOOGLEFINANCE(""CURRENCY:"" &amp; E1163 &amp; ""USD""))
"),75727)</f>
        <v>75727</v>
      </c>
    </row>
    <row r="1164" spans="1:7" ht="15.75" customHeight="1" x14ac:dyDescent="0.25">
      <c r="A1164" s="11" t="s">
        <v>24</v>
      </c>
      <c r="B1164" s="12">
        <v>75000000</v>
      </c>
      <c r="C1164" s="12">
        <v>36976367</v>
      </c>
      <c r="D1164" s="12">
        <v>1998</v>
      </c>
      <c r="E1164" s="12" t="str">
        <f>VLOOKUP(A1164, Currency!$A$2:$B$100, 2, FALSE)</f>
        <v>USD</v>
      </c>
      <c r="F1164" s="12">
        <f ca="1">IFERROR(__xludf.DUMMYFUNCTION("IF(E1164=""USD"",B1164,B1164 * GOOGLEFINANCE(""CURRENCY:"" &amp; E1164 &amp; ""USD""))
"),75000000)</f>
        <v>75000000</v>
      </c>
      <c r="G1164" s="13">
        <f ca="1">IFERROR(__xludf.DUMMYFUNCTION("IF(E1164=""USD"",C1164,C1164 * GOOGLEFINANCE(""CURRENCY:"" &amp; E1164 &amp; ""USD""))
"),36976367)</f>
        <v>36976367</v>
      </c>
    </row>
    <row r="1165" spans="1:7" ht="15.75" customHeight="1" x14ac:dyDescent="0.25">
      <c r="A1165" s="14" t="s">
        <v>24</v>
      </c>
      <c r="B1165" s="15">
        <v>1000000</v>
      </c>
      <c r="C1165" s="15">
        <v>12996</v>
      </c>
      <c r="D1165" s="15">
        <v>2000</v>
      </c>
      <c r="E1165" s="15" t="str">
        <f>VLOOKUP(A1165, Currency!$A$2:$B$100, 2, FALSE)</f>
        <v>USD</v>
      </c>
      <c r="F1165" s="15">
        <f ca="1">IFERROR(__xludf.DUMMYFUNCTION("IF(E1165=""USD"",B1165,B1165 * GOOGLEFINANCE(""CURRENCY:"" &amp; E1165 &amp; ""USD""))
"),1000000)</f>
        <v>1000000</v>
      </c>
      <c r="G1165" s="16">
        <f ca="1">IFERROR(__xludf.DUMMYFUNCTION("IF(E1165=""USD"",C1165,C1165 * GOOGLEFINANCE(""CURRENCY:"" &amp; E1165 &amp; ""USD""))
"),12996)</f>
        <v>12996</v>
      </c>
    </row>
    <row r="1166" spans="1:7" ht="15.75" customHeight="1" x14ac:dyDescent="0.25">
      <c r="A1166" s="11" t="s">
        <v>24</v>
      </c>
      <c r="B1166" s="12">
        <v>12000000</v>
      </c>
      <c r="C1166" s="12">
        <v>31397498</v>
      </c>
      <c r="D1166" s="12">
        <v>2008</v>
      </c>
      <c r="E1166" s="12" t="str">
        <f>VLOOKUP(A1166, Currency!$A$2:$B$100, 2, FALSE)</f>
        <v>USD</v>
      </c>
      <c r="F1166" s="12">
        <f ca="1">IFERROR(__xludf.DUMMYFUNCTION("IF(E1166=""USD"",B1166,B1166 * GOOGLEFINANCE(""CURRENCY:"" &amp; E1166 &amp; ""USD""))
"),12000000)</f>
        <v>12000000</v>
      </c>
      <c r="G1166" s="13">
        <f ca="1">IFERROR(__xludf.DUMMYFUNCTION("IF(E1166=""USD"",C1166,C1166 * GOOGLEFINANCE(""CURRENCY:"" &amp; E1166 &amp; ""USD""))
"),31397498)</f>
        <v>31397498</v>
      </c>
    </row>
    <row r="1167" spans="1:7" ht="15.75" customHeight="1" x14ac:dyDescent="0.25">
      <c r="A1167" s="14" t="s">
        <v>611</v>
      </c>
      <c r="B1167" s="15">
        <v>81200000</v>
      </c>
      <c r="C1167" s="15">
        <v>1339152</v>
      </c>
      <c r="D1167" s="15">
        <v>2015</v>
      </c>
      <c r="E1167" s="15" t="str">
        <f>VLOOKUP(A1167, Currency!$A$2:$B$100, 2, FALSE)</f>
        <v>EUR</v>
      </c>
      <c r="F1167" s="15">
        <f ca="1">IFERROR(__xludf.DUMMYFUNCTION("IF(E1167=""USD"",B1167,B1167 * GOOGLEFINANCE(""CURRENCY:"" &amp; E1167 &amp; ""USD""))
"),88080888)</f>
        <v>88080888</v>
      </c>
      <c r="G1167" s="16">
        <f ca="1">IFERROR(__xludf.DUMMYFUNCTION("IF(E1167=""USD"",C1167,C1167 * GOOGLEFINANCE(""CURRENCY:"" &amp; E1167 &amp; ""USD""))
"),1452631.74048)</f>
        <v>1452631.7404799999</v>
      </c>
    </row>
    <row r="1168" spans="1:7" ht="15.75" customHeight="1" x14ac:dyDescent="0.25">
      <c r="A1168" s="11" t="s">
        <v>24</v>
      </c>
      <c r="B1168" s="12">
        <v>30000000</v>
      </c>
      <c r="C1168" s="12">
        <v>52937130</v>
      </c>
      <c r="D1168" s="12">
        <v>2001</v>
      </c>
      <c r="E1168" s="12" t="str">
        <f>VLOOKUP(A1168, Currency!$A$2:$B$100, 2, FALSE)</f>
        <v>USD</v>
      </c>
      <c r="F1168" s="12">
        <f ca="1">IFERROR(__xludf.DUMMYFUNCTION("IF(E1168=""USD"",B1168,B1168 * GOOGLEFINANCE(""CURRENCY:"" &amp; E1168 &amp; ""USD""))
"),30000000)</f>
        <v>30000000</v>
      </c>
      <c r="G1168" s="13">
        <f ca="1">IFERROR(__xludf.DUMMYFUNCTION("IF(E1168=""USD"",C1168,C1168 * GOOGLEFINANCE(""CURRENCY:"" &amp; E1168 &amp; ""USD""))
"),52937130)</f>
        <v>52937130</v>
      </c>
    </row>
    <row r="1169" spans="1:7" ht="15.75" customHeight="1" x14ac:dyDescent="0.25">
      <c r="A1169" s="14" t="s">
        <v>611</v>
      </c>
      <c r="B1169" s="15">
        <v>40000000</v>
      </c>
      <c r="C1169" s="15">
        <v>126546825</v>
      </c>
      <c r="D1169" s="15">
        <v>2014</v>
      </c>
      <c r="E1169" s="15" t="str">
        <f>VLOOKUP(A1169, Currency!$A$2:$B$100, 2, FALSE)</f>
        <v>EUR</v>
      </c>
      <c r="F1169" s="15">
        <f ca="1">IFERROR(__xludf.DUMMYFUNCTION("IF(E1169=""USD"",B1169,B1169 * GOOGLEFINANCE(""CURRENCY:"" &amp; E1169 &amp; ""USD""))
"),43389600)</f>
        <v>43389600</v>
      </c>
      <c r="G1169" s="16">
        <f ca="1">IFERROR(__xludf.DUMMYFUNCTION("IF(E1169=""USD"",C1169,C1169 * GOOGLEFINANCE(""CURRENCY:"" &amp; E1169 &amp; ""USD""))
"),137270402.9505)</f>
        <v>137270402.95050001</v>
      </c>
    </row>
    <row r="1170" spans="1:7" ht="15.75" customHeight="1" x14ac:dyDescent="0.25">
      <c r="A1170" s="11" t="s">
        <v>24</v>
      </c>
      <c r="B1170" s="12">
        <v>5000000</v>
      </c>
      <c r="C1170" s="12">
        <v>34099640</v>
      </c>
      <c r="D1170" s="12">
        <v>2000</v>
      </c>
      <c r="E1170" s="12" t="str">
        <f>VLOOKUP(A1170, Currency!$A$2:$B$100, 2, FALSE)</f>
        <v>USD</v>
      </c>
      <c r="F1170" s="12">
        <f ca="1">IFERROR(__xludf.DUMMYFUNCTION("IF(E1170=""USD"",B1170,B1170 * GOOGLEFINANCE(""CURRENCY:"" &amp; E1170 &amp; ""USD""))
"),5000000)</f>
        <v>5000000</v>
      </c>
      <c r="G1170" s="13">
        <f ca="1">IFERROR(__xludf.DUMMYFUNCTION("IF(E1170=""USD"",C1170,C1170 * GOOGLEFINANCE(""CURRENCY:"" &amp; E1170 &amp; ""USD""))
"),34099640)</f>
        <v>34099640</v>
      </c>
    </row>
    <row r="1171" spans="1:7" ht="15.75" customHeight="1" x14ac:dyDescent="0.25">
      <c r="A1171" s="14" t="s">
        <v>24</v>
      </c>
      <c r="B1171" s="15">
        <v>130000000</v>
      </c>
      <c r="C1171" s="15">
        <v>215395021</v>
      </c>
      <c r="D1171" s="15">
        <v>2008</v>
      </c>
      <c r="E1171" s="15" t="str">
        <f>VLOOKUP(A1171, Currency!$A$2:$B$100, 2, FALSE)</f>
        <v>USD</v>
      </c>
      <c r="F1171" s="15">
        <f ca="1">IFERROR(__xludf.DUMMYFUNCTION("IF(E1171=""USD"",B1171,B1171 * GOOGLEFINANCE(""CURRENCY:"" &amp; E1171 &amp; ""USD""))
"),130000000)</f>
        <v>130000000</v>
      </c>
      <c r="G1171" s="16">
        <f ca="1">IFERROR(__xludf.DUMMYFUNCTION("IF(E1171=""USD"",C1171,C1171 * GOOGLEFINANCE(""CURRENCY:"" &amp; E1171 &amp; ""USD""))
"),215395021)</f>
        <v>215395021</v>
      </c>
    </row>
    <row r="1172" spans="1:7" ht="15.75" customHeight="1" x14ac:dyDescent="0.25">
      <c r="A1172" s="11" t="s">
        <v>24</v>
      </c>
      <c r="B1172" s="12">
        <v>25000000</v>
      </c>
      <c r="C1172" s="12">
        <v>51533608</v>
      </c>
      <c r="D1172" s="12">
        <v>2011</v>
      </c>
      <c r="E1172" s="12" t="str">
        <f>VLOOKUP(A1172, Currency!$A$2:$B$100, 2, FALSE)</f>
        <v>USD</v>
      </c>
      <c r="F1172" s="12">
        <f ca="1">IFERROR(__xludf.DUMMYFUNCTION("IF(E1172=""USD"",B1172,B1172 * GOOGLEFINANCE(""CURRENCY:"" &amp; E1172 &amp; ""USD""))
"),25000000)</f>
        <v>25000000</v>
      </c>
      <c r="G1172" s="13">
        <f ca="1">IFERROR(__xludf.DUMMYFUNCTION("IF(E1172=""USD"",C1172,C1172 * GOOGLEFINANCE(""CURRENCY:"" &amp; E1172 &amp; ""USD""))
"),51533608)</f>
        <v>51533608</v>
      </c>
    </row>
    <row r="1173" spans="1:7" ht="15.75" customHeight="1" x14ac:dyDescent="0.25">
      <c r="A1173" s="14" t="s">
        <v>24</v>
      </c>
      <c r="B1173" s="15">
        <v>40000000</v>
      </c>
      <c r="C1173" s="15">
        <v>25117498</v>
      </c>
      <c r="D1173" s="15">
        <v>2007</v>
      </c>
      <c r="E1173" s="15" t="str">
        <f>VLOOKUP(A1173, Currency!$A$2:$B$100, 2, FALSE)</f>
        <v>USD</v>
      </c>
      <c r="F1173" s="15">
        <f ca="1">IFERROR(__xludf.DUMMYFUNCTION("IF(E1173=""USD"",B1173,B1173 * GOOGLEFINANCE(""CURRENCY:"" &amp; E1173 &amp; ""USD""))
"),40000000)</f>
        <v>40000000</v>
      </c>
      <c r="G1173" s="16">
        <f ca="1">IFERROR(__xludf.DUMMYFUNCTION("IF(E1173=""USD"",C1173,C1173 * GOOGLEFINANCE(""CURRENCY:"" &amp; E1173 &amp; ""USD""))
"),25117498)</f>
        <v>25117498</v>
      </c>
    </row>
    <row r="1174" spans="1:7" ht="15.75" customHeight="1" x14ac:dyDescent="0.25">
      <c r="A1174" s="11" t="s">
        <v>133</v>
      </c>
      <c r="B1174" s="12">
        <v>10000000</v>
      </c>
      <c r="C1174" s="12">
        <v>226792</v>
      </c>
      <c r="D1174" s="12">
        <v>2001</v>
      </c>
      <c r="E1174" s="12" t="str">
        <f>VLOOKUP(A1174, Currency!$A$2:$B$100, 2, FALSE)</f>
        <v>GBP</v>
      </c>
      <c r="F1174" s="12">
        <f ca="1">IFERROR(__xludf.DUMMYFUNCTION("IF(E1174=""USD"",B1174,B1174 * GOOGLEFINANCE(""CURRENCY:"" &amp; E1174 &amp; ""USD""))
"),12853999.9999999)</f>
        <v>12853999.999999899</v>
      </c>
      <c r="G1174" s="13">
        <f ca="1">IFERROR(__xludf.DUMMYFUNCTION("IF(E1174=""USD"",C1174,C1174 * GOOGLEFINANCE(""CURRENCY:"" &amp; E1174 &amp; ""USD""))
"),291518.436799999)</f>
        <v>291518.43679999898</v>
      </c>
    </row>
    <row r="1175" spans="1:7" ht="15.75" customHeight="1" x14ac:dyDescent="0.25">
      <c r="A1175" s="14" t="s">
        <v>24</v>
      </c>
      <c r="B1175" s="15">
        <v>44000000</v>
      </c>
      <c r="C1175" s="15">
        <v>183875760</v>
      </c>
      <c r="D1175" s="15">
        <v>1993</v>
      </c>
      <c r="E1175" s="15" t="str">
        <f>VLOOKUP(A1175, Currency!$A$2:$B$100, 2, FALSE)</f>
        <v>USD</v>
      </c>
      <c r="F1175" s="15">
        <f ca="1">IFERROR(__xludf.DUMMYFUNCTION("IF(E1175=""USD"",B1175,B1175 * GOOGLEFINANCE(""CURRENCY:"" &amp; E1175 &amp; ""USD""))
"),44000000)</f>
        <v>44000000</v>
      </c>
      <c r="G1175" s="16">
        <f ca="1">IFERROR(__xludf.DUMMYFUNCTION("IF(E1175=""USD"",C1175,C1175 * GOOGLEFINANCE(""CURRENCY:"" &amp; E1175 &amp; ""USD""))
"),183875760)</f>
        <v>183875760</v>
      </c>
    </row>
    <row r="1176" spans="1:7" ht="15.75" customHeight="1" x14ac:dyDescent="0.25">
      <c r="A1176" s="11" t="s">
        <v>24</v>
      </c>
      <c r="B1176" s="12">
        <v>2800000</v>
      </c>
      <c r="C1176" s="12">
        <v>86300000</v>
      </c>
      <c r="D1176" s="12">
        <v>1974</v>
      </c>
      <c r="E1176" s="12" t="str">
        <f>VLOOKUP(A1176, Currency!$A$2:$B$100, 2, FALSE)</f>
        <v>USD</v>
      </c>
      <c r="F1176" s="12">
        <f ca="1">IFERROR(__xludf.DUMMYFUNCTION("IF(E1176=""USD"",B1176,B1176 * GOOGLEFINANCE(""CURRENCY:"" &amp; E1176 &amp; ""USD""))
"),2800000)</f>
        <v>2800000</v>
      </c>
      <c r="G1176" s="13">
        <f ca="1">IFERROR(__xludf.DUMMYFUNCTION("IF(E1176=""USD"",C1176,C1176 * GOOGLEFINANCE(""CURRENCY:"" &amp; E1176 &amp; ""USD""))
"),86300000)</f>
        <v>86300000</v>
      </c>
    </row>
    <row r="1177" spans="1:7" ht="15.75" customHeight="1" x14ac:dyDescent="0.25">
      <c r="A1177" s="14" t="s">
        <v>24</v>
      </c>
      <c r="B1177" s="15">
        <v>35000000</v>
      </c>
      <c r="C1177" s="15">
        <v>20275446</v>
      </c>
      <c r="D1177" s="15">
        <v>2012</v>
      </c>
      <c r="E1177" s="15" t="str">
        <f>VLOOKUP(A1177, Currency!$A$2:$B$100, 2, FALSE)</f>
        <v>USD</v>
      </c>
      <c r="F1177" s="15">
        <f ca="1">IFERROR(__xludf.DUMMYFUNCTION("IF(E1177=""USD"",B1177,B1177 * GOOGLEFINANCE(""CURRENCY:"" &amp; E1177 &amp; ""USD""))
"),35000000)</f>
        <v>35000000</v>
      </c>
      <c r="G1177" s="16">
        <f ca="1">IFERROR(__xludf.DUMMYFUNCTION("IF(E1177=""USD"",C1177,C1177 * GOOGLEFINANCE(""CURRENCY:"" &amp; E1177 &amp; ""USD""))
"),20275446)</f>
        <v>20275446</v>
      </c>
    </row>
    <row r="1178" spans="1:7" ht="15.75" customHeight="1" x14ac:dyDescent="0.25">
      <c r="A1178" s="11" t="s">
        <v>24</v>
      </c>
      <c r="B1178" s="12">
        <v>200000000</v>
      </c>
      <c r="C1178" s="12">
        <v>402076689</v>
      </c>
      <c r="D1178" s="12">
        <v>2009</v>
      </c>
      <c r="E1178" s="12" t="str">
        <f>VLOOKUP(A1178, Currency!$A$2:$B$100, 2, FALSE)</f>
        <v>USD</v>
      </c>
      <c r="F1178" s="12">
        <f ca="1">IFERROR(__xludf.DUMMYFUNCTION("IF(E1178=""USD"",B1178,B1178 * GOOGLEFINANCE(""CURRENCY:"" &amp; E1178 &amp; ""USD""))
"),200000000)</f>
        <v>200000000</v>
      </c>
      <c r="G1178" s="13">
        <f ca="1">IFERROR(__xludf.DUMMYFUNCTION("IF(E1178=""USD"",C1178,C1178 * GOOGLEFINANCE(""CURRENCY:"" &amp; E1178 &amp; ""USD""))
"),402076689)</f>
        <v>402076689</v>
      </c>
    </row>
    <row r="1179" spans="1:7" ht="15.75" customHeight="1" x14ac:dyDescent="0.25">
      <c r="A1179" s="14" t="s">
        <v>627</v>
      </c>
      <c r="B1179" s="15">
        <v>20000000</v>
      </c>
      <c r="C1179" s="15">
        <v>45670855</v>
      </c>
      <c r="D1179" s="15">
        <v>2010</v>
      </c>
      <c r="E1179" s="15" t="str">
        <f>VLOOKUP(A1179, Currency!$A$2:$B$100, 2, FALSE)</f>
        <v>CAD</v>
      </c>
      <c r="F1179" s="15">
        <f ca="1">IFERROR(__xludf.DUMMYFUNCTION("IF(E1179=""USD"",B1179,B1179 * GOOGLEFINANCE(""CURRENCY:"" &amp; E1179 &amp; ""USD""))
"),14468100)</f>
        <v>14468100</v>
      </c>
      <c r="G1179" s="16">
        <f ca="1">IFERROR(__xludf.DUMMYFUNCTION("IF(E1179=""USD"",C1179,C1179 * GOOGLEFINANCE(""CURRENCY:"" &amp; E1179 &amp; ""USD""))
"),33038524.861275)</f>
        <v>33038524.861274999</v>
      </c>
    </row>
    <row r="1180" spans="1:7" ht="15.75" customHeight="1" x14ac:dyDescent="0.25">
      <c r="A1180" s="11" t="s">
        <v>24</v>
      </c>
      <c r="B1180" s="12">
        <v>47000000</v>
      </c>
      <c r="C1180" s="12">
        <v>5600000</v>
      </c>
      <c r="D1180" s="12">
        <v>1996</v>
      </c>
      <c r="E1180" s="12" t="str">
        <f>VLOOKUP(A1180, Currency!$A$2:$B$100, 2, FALSE)</f>
        <v>USD</v>
      </c>
      <c r="F1180" s="12">
        <f ca="1">IFERROR(__xludf.DUMMYFUNCTION("IF(E1180=""USD"",B1180,B1180 * GOOGLEFINANCE(""CURRENCY:"" &amp; E1180 &amp; ""USD""))
"),47000000)</f>
        <v>47000000</v>
      </c>
      <c r="G1180" s="13">
        <f ca="1">IFERROR(__xludf.DUMMYFUNCTION("IF(E1180=""USD"",C1180,C1180 * GOOGLEFINANCE(""CURRENCY:"" &amp; E1180 &amp; ""USD""))
"),5600000)</f>
        <v>5600000</v>
      </c>
    </row>
    <row r="1181" spans="1:7" ht="15.75" customHeight="1" x14ac:dyDescent="0.25">
      <c r="A1181" s="14" t="s">
        <v>24</v>
      </c>
      <c r="B1181" s="15">
        <v>34000000</v>
      </c>
      <c r="C1181" s="15">
        <v>11227940</v>
      </c>
      <c r="D1181" s="15">
        <v>1999</v>
      </c>
      <c r="E1181" s="15" t="str">
        <f>VLOOKUP(A1181, Currency!$A$2:$B$100, 2, FALSE)</f>
        <v>USD</v>
      </c>
      <c r="F1181" s="15">
        <f ca="1">IFERROR(__xludf.DUMMYFUNCTION("IF(E1181=""USD"",B1181,B1181 * GOOGLEFINANCE(""CURRENCY:"" &amp; E1181 &amp; ""USD""))
"),34000000)</f>
        <v>34000000</v>
      </c>
      <c r="G1181" s="16">
        <f ca="1">IFERROR(__xludf.DUMMYFUNCTION("IF(E1181=""USD"",C1181,C1181 * GOOGLEFINANCE(""CURRENCY:"" &amp; E1181 &amp; ""USD""))
"),11227940)</f>
        <v>11227940</v>
      </c>
    </row>
    <row r="1182" spans="1:7" ht="15.75" customHeight="1" x14ac:dyDescent="0.25">
      <c r="A1182" s="11" t="s">
        <v>24</v>
      </c>
      <c r="B1182" s="12">
        <v>30000000</v>
      </c>
      <c r="C1182" s="12">
        <v>8535575</v>
      </c>
      <c r="D1182" s="12">
        <v>2005</v>
      </c>
      <c r="E1182" s="12" t="str">
        <f>VLOOKUP(A1182, Currency!$A$2:$B$100, 2, FALSE)</f>
        <v>USD</v>
      </c>
      <c r="F1182" s="12">
        <f ca="1">IFERROR(__xludf.DUMMYFUNCTION("IF(E1182=""USD"",B1182,B1182 * GOOGLEFINANCE(""CURRENCY:"" &amp; E1182 &amp; ""USD""))
"),30000000)</f>
        <v>30000000</v>
      </c>
      <c r="G1182" s="13">
        <f ca="1">IFERROR(__xludf.DUMMYFUNCTION("IF(E1182=""USD"",C1182,C1182 * GOOGLEFINANCE(""CURRENCY:"" &amp; E1182 &amp; ""USD""))
"),8535575)</f>
        <v>8535575</v>
      </c>
    </row>
    <row r="1183" spans="1:7" ht="15.75" customHeight="1" x14ac:dyDescent="0.25">
      <c r="A1183" s="14" t="s">
        <v>24</v>
      </c>
      <c r="B1183" s="15">
        <v>15000000</v>
      </c>
      <c r="C1183" s="15">
        <v>4734235</v>
      </c>
      <c r="D1183" s="15">
        <v>2000</v>
      </c>
      <c r="E1183" s="15" t="str">
        <f>VLOOKUP(A1183, Currency!$A$2:$B$100, 2, FALSE)</f>
        <v>USD</v>
      </c>
      <c r="F1183" s="15">
        <f ca="1">IFERROR(__xludf.DUMMYFUNCTION("IF(E1183=""USD"",B1183,B1183 * GOOGLEFINANCE(""CURRENCY:"" &amp; E1183 &amp; ""USD""))
"),15000000)</f>
        <v>15000000</v>
      </c>
      <c r="G1183" s="16">
        <f ca="1">IFERROR(__xludf.DUMMYFUNCTION("IF(E1183=""USD"",C1183,C1183 * GOOGLEFINANCE(""CURRENCY:"" &amp; E1183 &amp; ""USD""))
"),4734235)</f>
        <v>4734235</v>
      </c>
    </row>
    <row r="1184" spans="1:7" ht="15.75" customHeight="1" x14ac:dyDescent="0.25">
      <c r="A1184" s="11" t="s">
        <v>133</v>
      </c>
      <c r="B1184" s="12">
        <v>7000000</v>
      </c>
      <c r="C1184" s="12">
        <v>6601079</v>
      </c>
      <c r="D1184" s="12">
        <v>2004</v>
      </c>
      <c r="E1184" s="12" t="str">
        <f>VLOOKUP(A1184, Currency!$A$2:$B$100, 2, FALSE)</f>
        <v>GBP</v>
      </c>
      <c r="F1184" s="12">
        <f ca="1">IFERROR(__xludf.DUMMYFUNCTION("IF(E1184=""USD"",B1184,B1184 * GOOGLEFINANCE(""CURRENCY:"" &amp; E1184 &amp; ""USD""))
"),8997800)</f>
        <v>8997800</v>
      </c>
      <c r="G1184" s="13">
        <f ca="1">IFERROR(__xludf.DUMMYFUNCTION("IF(E1184=""USD"",C1184,C1184 * GOOGLEFINANCE(""CURRENCY:"" &amp; E1184 &amp; ""USD""))
"),8485026.9466)</f>
        <v>8485026.9465999994</v>
      </c>
    </row>
    <row r="1185" spans="1:7" ht="15.75" customHeight="1" x14ac:dyDescent="0.25">
      <c r="A1185" s="14" t="s">
        <v>133</v>
      </c>
      <c r="B1185" s="15">
        <v>15000000</v>
      </c>
      <c r="C1185" s="15">
        <v>23091</v>
      </c>
      <c r="D1185" s="15">
        <v>2008</v>
      </c>
      <c r="E1185" s="15" t="str">
        <f>VLOOKUP(A1185, Currency!$A$2:$B$100, 2, FALSE)</f>
        <v>GBP</v>
      </c>
      <c r="F1185" s="15">
        <f ca="1">IFERROR(__xludf.DUMMYFUNCTION("IF(E1185=""USD"",B1185,B1185 * GOOGLEFINANCE(""CURRENCY:"" &amp; E1185 &amp; ""USD""))
"),19281000)</f>
        <v>19281000</v>
      </c>
      <c r="G1185" s="16">
        <f ca="1">IFERROR(__xludf.DUMMYFUNCTION("IF(E1185=""USD"",C1185,C1185 * GOOGLEFINANCE(""CURRENCY:"" &amp; E1185 &amp; ""USD""))
"),29681.1713999999)</f>
        <v>29681.171399999901</v>
      </c>
    </row>
    <row r="1186" spans="1:7" ht="15.75" customHeight="1" x14ac:dyDescent="0.25">
      <c r="A1186" s="11" t="s">
        <v>133</v>
      </c>
      <c r="B1186" s="12">
        <v>15000000</v>
      </c>
      <c r="C1186" s="12">
        <v>23089926</v>
      </c>
      <c r="D1186" s="12">
        <v>2005</v>
      </c>
      <c r="E1186" s="12" t="str">
        <f>VLOOKUP(A1186, Currency!$A$2:$B$100, 2, FALSE)</f>
        <v>GBP</v>
      </c>
      <c r="F1186" s="12">
        <f ca="1">IFERROR(__xludf.DUMMYFUNCTION("IF(E1186=""USD"",B1186,B1186 * GOOGLEFINANCE(""CURRENCY:"" &amp; E1186 &amp; ""USD""))
"),19281000)</f>
        <v>19281000</v>
      </c>
      <c r="G1186" s="13">
        <f ca="1">IFERROR(__xludf.DUMMYFUNCTION("IF(E1186=""USD"",C1186,C1186 * GOOGLEFINANCE(""CURRENCY:"" &amp; E1186 &amp; ""USD""))
"),29679790.8804)</f>
        <v>29679790.880399998</v>
      </c>
    </row>
    <row r="1187" spans="1:7" ht="15.75" customHeight="1" x14ac:dyDescent="0.25">
      <c r="A1187" s="14" t="s">
        <v>24</v>
      </c>
      <c r="B1187" s="15">
        <v>80000000</v>
      </c>
      <c r="C1187" s="15">
        <v>60507228</v>
      </c>
      <c r="D1187" s="15">
        <v>1999</v>
      </c>
      <c r="E1187" s="15" t="str">
        <f>VLOOKUP(A1187, Currency!$A$2:$B$100, 2, FALSE)</f>
        <v>USD</v>
      </c>
      <c r="F1187" s="15">
        <f ca="1">IFERROR(__xludf.DUMMYFUNCTION("IF(E1187=""USD"",B1187,B1187 * GOOGLEFINANCE(""CURRENCY:"" &amp; E1187 &amp; ""USD""))
"),80000000)</f>
        <v>80000000</v>
      </c>
      <c r="G1187" s="16">
        <f ca="1">IFERROR(__xludf.DUMMYFUNCTION("IF(E1187=""USD"",C1187,C1187 * GOOGLEFINANCE(""CURRENCY:"" &amp; E1187 &amp; ""USD""))
"),60507228)</f>
        <v>60507228</v>
      </c>
    </row>
    <row r="1188" spans="1:7" ht="15.75" customHeight="1" x14ac:dyDescent="0.25">
      <c r="A1188" s="11" t="s">
        <v>24</v>
      </c>
      <c r="B1188" s="12">
        <v>140000000</v>
      </c>
      <c r="C1188" s="12">
        <v>318298180</v>
      </c>
      <c r="D1188" s="12">
        <v>2008</v>
      </c>
      <c r="E1188" s="12" t="str">
        <f>VLOOKUP(A1188, Currency!$A$2:$B$100, 2, FALSE)</f>
        <v>USD</v>
      </c>
      <c r="F1188" s="12">
        <f ca="1">IFERROR(__xludf.DUMMYFUNCTION("IF(E1188=""USD"",B1188,B1188 * GOOGLEFINANCE(""CURRENCY:"" &amp; E1188 &amp; ""USD""))
"),140000000)</f>
        <v>140000000</v>
      </c>
      <c r="G1188" s="13">
        <f ca="1">IFERROR(__xludf.DUMMYFUNCTION("IF(E1188=""USD"",C1188,C1188 * GOOGLEFINANCE(""CURRENCY:"" &amp; E1188 &amp; ""USD""))
"),318298180)</f>
        <v>318298180</v>
      </c>
    </row>
    <row r="1189" spans="1:7" ht="15.75" customHeight="1" x14ac:dyDescent="0.25">
      <c r="A1189" s="14" t="s">
        <v>24</v>
      </c>
      <c r="B1189" s="15">
        <v>150000000</v>
      </c>
      <c r="C1189" s="15">
        <v>131564731</v>
      </c>
      <c r="D1189" s="15">
        <v>2010</v>
      </c>
      <c r="E1189" s="15" t="str">
        <f>VLOOKUP(A1189, Currency!$A$2:$B$100, 2, FALSE)</f>
        <v>USD</v>
      </c>
      <c r="F1189" s="15">
        <f ca="1">IFERROR(__xludf.DUMMYFUNCTION("IF(E1189=""USD"",B1189,B1189 * GOOGLEFINANCE(""CURRENCY:"" &amp; E1189 &amp; ""USD""))
"),150000000)</f>
        <v>150000000</v>
      </c>
      <c r="G1189" s="16">
        <f ca="1">IFERROR(__xludf.DUMMYFUNCTION("IF(E1189=""USD"",C1189,C1189 * GOOGLEFINANCE(""CURRENCY:"" &amp; E1189 &amp; ""USD""))
"),131564731)</f>
        <v>131564731</v>
      </c>
    </row>
    <row r="1190" spans="1:7" ht="15.75" customHeight="1" x14ac:dyDescent="0.25">
      <c r="A1190" s="11" t="s">
        <v>133</v>
      </c>
      <c r="B1190" s="12">
        <v>7000000</v>
      </c>
      <c r="C1190" s="12">
        <v>1738692</v>
      </c>
      <c r="D1190" s="12">
        <v>2011</v>
      </c>
      <c r="E1190" s="12" t="str">
        <f>VLOOKUP(A1190, Currency!$A$2:$B$100, 2, FALSE)</f>
        <v>GBP</v>
      </c>
      <c r="F1190" s="12">
        <f ca="1">IFERROR(__xludf.DUMMYFUNCTION("IF(E1190=""USD"",B1190,B1190 * GOOGLEFINANCE(""CURRENCY:"" &amp; E1190 &amp; ""USD""))
"),8997800)</f>
        <v>8997800</v>
      </c>
      <c r="G1190" s="13">
        <f ca="1">IFERROR(__xludf.DUMMYFUNCTION("IF(E1190=""USD"",C1190,C1190 * GOOGLEFINANCE(""CURRENCY:"" &amp; E1190 &amp; ""USD""))
"),2234914.69679999)</f>
        <v>2234914.6967999898</v>
      </c>
    </row>
    <row r="1191" spans="1:7" ht="15.75" customHeight="1" x14ac:dyDescent="0.25">
      <c r="A1191" s="14" t="s">
        <v>4041</v>
      </c>
      <c r="B1191" s="15">
        <v>1300000</v>
      </c>
      <c r="C1191" s="15">
        <v>1647780</v>
      </c>
      <c r="D1191" s="15">
        <v>1998</v>
      </c>
      <c r="E1191" s="15" t="str">
        <f>VLOOKUP(A1191, Currency!$A$2:$B$100, 2, FALSE)</f>
        <v>DKK</v>
      </c>
      <c r="F1191" s="15">
        <f ca="1">IFERROR(__xludf.DUMMYFUNCTION("IF(E1191=""USD"",B1191,B1191 * GOOGLEFINANCE(""CURRENCY:"" &amp; E1191 &amp; ""USD""))
"),188945.249999999)</f>
        <v>188945.24999999901</v>
      </c>
      <c r="G1191" s="16">
        <f ca="1">IFERROR(__xludf.DUMMYFUNCTION("IF(E1191=""USD"",C1191,C1191 * GOOGLEFINANCE(""CURRENCY:"" &amp; E1191 &amp; ""USD""))
"),239492.464649999)</f>
        <v>239492.46464999899</v>
      </c>
    </row>
    <row r="1192" spans="1:7" ht="15.75" customHeight="1" x14ac:dyDescent="0.25">
      <c r="A1192" s="11" t="s">
        <v>24</v>
      </c>
      <c r="B1192" s="12">
        <v>70000000</v>
      </c>
      <c r="C1192" s="12">
        <v>47456450</v>
      </c>
      <c r="D1192" s="12">
        <v>2007</v>
      </c>
      <c r="E1192" s="12" t="str">
        <f>VLOOKUP(A1192, Currency!$A$2:$B$100, 2, FALSE)</f>
        <v>USD</v>
      </c>
      <c r="F1192" s="12">
        <f ca="1">IFERROR(__xludf.DUMMYFUNCTION("IF(E1192=""USD"",B1192,B1192 * GOOGLEFINANCE(""CURRENCY:"" &amp; E1192 &amp; ""USD""))
"),70000000)</f>
        <v>70000000</v>
      </c>
      <c r="G1192" s="13">
        <f ca="1">IFERROR(__xludf.DUMMYFUNCTION("IF(E1192=""USD"",C1192,C1192 * GOOGLEFINANCE(""CURRENCY:"" &amp; E1192 &amp; ""USD""))
"),47456450)</f>
        <v>47456450</v>
      </c>
    </row>
    <row r="1193" spans="1:7" ht="15.75" customHeight="1" x14ac:dyDescent="0.25">
      <c r="A1193" s="14" t="s">
        <v>24</v>
      </c>
      <c r="B1193" s="15">
        <v>20000000</v>
      </c>
      <c r="C1193" s="15">
        <v>6002756</v>
      </c>
      <c r="D1193" s="15">
        <v>2012</v>
      </c>
      <c r="E1193" s="15" t="str">
        <f>VLOOKUP(A1193, Currency!$A$2:$B$100, 2, FALSE)</f>
        <v>USD</v>
      </c>
      <c r="F1193" s="15">
        <f ca="1">IFERROR(__xludf.DUMMYFUNCTION("IF(E1193=""USD"",B1193,B1193 * GOOGLEFINANCE(""CURRENCY:"" &amp; E1193 &amp; ""USD""))
"),20000000)</f>
        <v>20000000</v>
      </c>
      <c r="G1193" s="16">
        <f ca="1">IFERROR(__xludf.DUMMYFUNCTION("IF(E1193=""USD"",C1193,C1193 * GOOGLEFINANCE(""CURRENCY:"" &amp; E1193 &amp; ""USD""))
"),6002756)</f>
        <v>6002756</v>
      </c>
    </row>
    <row r="1194" spans="1:7" ht="15.75" customHeight="1" x14ac:dyDescent="0.25">
      <c r="A1194" s="11" t="s">
        <v>176</v>
      </c>
      <c r="B1194" s="12">
        <v>12000000</v>
      </c>
      <c r="C1194" s="12">
        <v>2222647</v>
      </c>
      <c r="D1194" s="12">
        <v>2009</v>
      </c>
      <c r="E1194" s="12" t="str">
        <f>VLOOKUP(A1194, Currency!$A$2:$B$100, 2, FALSE)</f>
        <v>EUR</v>
      </c>
      <c r="F1194" s="12">
        <f ca="1">IFERROR(__xludf.DUMMYFUNCTION("IF(E1194=""USD"",B1194,B1194 * GOOGLEFINANCE(""CURRENCY:"" &amp; E1194 &amp; ""USD""))
"),13016880)</f>
        <v>13016880</v>
      </c>
      <c r="G1194" s="13">
        <f ca="1">IFERROR(__xludf.DUMMYFUNCTION("IF(E1194=""USD"",C1194,C1194 * GOOGLEFINANCE(""CURRENCY:"" &amp; E1194 &amp; ""USD""))
"),2410994.10678)</f>
        <v>2410994.10678</v>
      </c>
    </row>
    <row r="1195" spans="1:7" ht="15.75" customHeight="1" x14ac:dyDescent="0.25">
      <c r="A1195" s="14" t="s">
        <v>627</v>
      </c>
      <c r="B1195" s="15">
        <v>3000000</v>
      </c>
      <c r="C1195" s="15">
        <v>703002</v>
      </c>
      <c r="D1195" s="15">
        <v>2011</v>
      </c>
      <c r="E1195" s="15" t="str">
        <f>VLOOKUP(A1195, Currency!$A$2:$B$100, 2, FALSE)</f>
        <v>CAD</v>
      </c>
      <c r="F1195" s="15">
        <f ca="1">IFERROR(__xludf.DUMMYFUNCTION("IF(E1195=""USD"",B1195,B1195 * GOOGLEFINANCE(""CURRENCY:"" &amp; E1195 &amp; ""USD""))
"),2170215)</f>
        <v>2170215</v>
      </c>
      <c r="G1195" s="16">
        <f ca="1">IFERROR(__xludf.DUMMYFUNCTION("IF(E1195=""USD"",C1195,C1195 * GOOGLEFINANCE(""CURRENCY:"" &amp; E1195 &amp; ""USD""))
"),508555.161809999)</f>
        <v>508555.16180999897</v>
      </c>
    </row>
    <row r="1196" spans="1:7" ht="15.75" customHeight="1" x14ac:dyDescent="0.25">
      <c r="A1196" s="11" t="s">
        <v>24</v>
      </c>
      <c r="B1196" s="12">
        <v>20000000</v>
      </c>
      <c r="C1196" s="12">
        <v>36874745</v>
      </c>
      <c r="D1196" s="12">
        <v>2016</v>
      </c>
      <c r="E1196" s="12" t="str">
        <f>VLOOKUP(A1196, Currency!$A$2:$B$100, 2, FALSE)</f>
        <v>USD</v>
      </c>
      <c r="F1196" s="12">
        <f ca="1">IFERROR(__xludf.DUMMYFUNCTION("IF(E1196=""USD"",B1196,B1196 * GOOGLEFINANCE(""CURRENCY:"" &amp; E1196 &amp; ""USD""))
"),20000000)</f>
        <v>20000000</v>
      </c>
      <c r="G1196" s="13">
        <f ca="1">IFERROR(__xludf.DUMMYFUNCTION("IF(E1196=""USD"",C1196,C1196 * GOOGLEFINANCE(""CURRENCY:"" &amp; E1196 &amp; ""USD""))
"),36874745)</f>
        <v>36874745</v>
      </c>
    </row>
    <row r="1197" spans="1:7" ht="15.75" customHeight="1" x14ac:dyDescent="0.25">
      <c r="A1197" s="14" t="s">
        <v>133</v>
      </c>
      <c r="B1197" s="15">
        <v>9800000</v>
      </c>
      <c r="C1197" s="15">
        <v>56437947</v>
      </c>
      <c r="D1197" s="15">
        <v>2006</v>
      </c>
      <c r="E1197" s="15" t="str">
        <f>VLOOKUP(A1197, Currency!$A$2:$B$100, 2, FALSE)</f>
        <v>GBP</v>
      </c>
      <c r="F1197" s="15">
        <f ca="1">IFERROR(__xludf.DUMMYFUNCTION("IF(E1197=""USD"",B1197,B1197 * GOOGLEFINANCE(""CURRENCY:"" &amp; E1197 &amp; ""USD""))
"),12596919.9999999)</f>
        <v>12596919.999999899</v>
      </c>
      <c r="G1197" s="16">
        <f ca="1">IFERROR(__xludf.DUMMYFUNCTION("IF(E1197=""USD"",C1197,C1197 * GOOGLEFINANCE(""CURRENCY:"" &amp; E1197 &amp; ""USD""))
"),72545337.0738)</f>
        <v>72545337.073799998</v>
      </c>
    </row>
    <row r="1198" spans="1:7" ht="15.75" customHeight="1" x14ac:dyDescent="0.25">
      <c r="A1198" s="11" t="s">
        <v>24</v>
      </c>
      <c r="B1198" s="12">
        <v>130000000</v>
      </c>
      <c r="C1198" s="12">
        <v>180191634</v>
      </c>
      <c r="D1198" s="12">
        <v>2015</v>
      </c>
      <c r="E1198" s="12" t="str">
        <f>VLOOKUP(A1198, Currency!$A$2:$B$100, 2, FALSE)</f>
        <v>USD</v>
      </c>
      <c r="F1198" s="12">
        <f ca="1">IFERROR(__xludf.DUMMYFUNCTION("IF(E1198=""USD"",B1198,B1198 * GOOGLEFINANCE(""CURRENCY:"" &amp; E1198 &amp; ""USD""))
"),130000000)</f>
        <v>130000000</v>
      </c>
      <c r="G1198" s="13">
        <f ca="1">IFERROR(__xludf.DUMMYFUNCTION("IF(E1198=""USD"",C1198,C1198 * GOOGLEFINANCE(""CURRENCY:"" &amp; E1198 &amp; ""USD""))
"),180191634)</f>
        <v>180191634</v>
      </c>
    </row>
    <row r="1199" spans="1:7" ht="15.75" customHeight="1" x14ac:dyDescent="0.25">
      <c r="A1199" s="14" t="s">
        <v>24</v>
      </c>
      <c r="B1199" s="15">
        <v>20000000</v>
      </c>
      <c r="C1199" s="15">
        <v>51431160</v>
      </c>
      <c r="D1199" s="15">
        <v>2004</v>
      </c>
      <c r="E1199" s="15" t="str">
        <f>VLOOKUP(A1199, Currency!$A$2:$B$100, 2, FALSE)</f>
        <v>USD</v>
      </c>
      <c r="F1199" s="15">
        <f ca="1">IFERROR(__xludf.DUMMYFUNCTION("IF(E1199=""USD"",B1199,B1199 * GOOGLEFINANCE(""CURRENCY:"" &amp; E1199 &amp; ""USD""))
"),20000000)</f>
        <v>20000000</v>
      </c>
      <c r="G1199" s="16">
        <f ca="1">IFERROR(__xludf.DUMMYFUNCTION("IF(E1199=""USD"",C1199,C1199 * GOOGLEFINANCE(""CURRENCY:"" &amp; E1199 &amp; ""USD""))
"),51431160)</f>
        <v>51431160</v>
      </c>
    </row>
    <row r="1200" spans="1:7" ht="15.75" customHeight="1" x14ac:dyDescent="0.25">
      <c r="A1200" s="11" t="s">
        <v>596</v>
      </c>
      <c r="B1200" s="12">
        <v>23000000</v>
      </c>
      <c r="C1200" s="12">
        <v>18934858</v>
      </c>
      <c r="D1200" s="12">
        <v>2011</v>
      </c>
      <c r="E1200" s="12" t="str">
        <f>VLOOKUP(A1200, Currency!$A$2:$B$100, 2, FALSE)</f>
        <v>EUR</v>
      </c>
      <c r="F1200" s="12">
        <f ca="1">IFERROR(__xludf.DUMMYFUNCTION("IF(E1200=""USD"",B1200,B1200 * GOOGLEFINANCE(""CURRENCY:"" &amp; E1200 &amp; ""USD""))
"),24949020)</f>
        <v>24949020</v>
      </c>
      <c r="G1200" s="13">
        <f ca="1">IFERROR(__xludf.DUMMYFUNCTION("IF(E1200=""USD"",C1200,C1200 * GOOGLEFINANCE(""CURRENCY:"" &amp; E1200 &amp; ""USD""))
"),20539397.86692)</f>
        <v>20539397.866920002</v>
      </c>
    </row>
    <row r="1201" spans="1:7" ht="15.75" customHeight="1" x14ac:dyDescent="0.25">
      <c r="A1201" s="14" t="s">
        <v>24</v>
      </c>
      <c r="B1201" s="15">
        <v>100000000</v>
      </c>
      <c r="C1201" s="15">
        <v>58220776</v>
      </c>
      <c r="D1201" s="15">
        <v>1999</v>
      </c>
      <c r="E1201" s="15" t="str">
        <f>VLOOKUP(A1201, Currency!$A$2:$B$100, 2, FALSE)</f>
        <v>USD</v>
      </c>
      <c r="F1201" s="15">
        <f ca="1">IFERROR(__xludf.DUMMYFUNCTION("IF(E1201=""USD"",B1201,B1201 * GOOGLEFINANCE(""CURRENCY:"" &amp; E1201 &amp; ""USD""))
"),100000000)</f>
        <v>100000000</v>
      </c>
      <c r="G1201" s="16">
        <f ca="1">IFERROR(__xludf.DUMMYFUNCTION("IF(E1201=""USD"",C1201,C1201 * GOOGLEFINANCE(""CURRENCY:"" &amp; E1201 &amp; ""USD""))
"),58220776)</f>
        <v>58220776</v>
      </c>
    </row>
    <row r="1202" spans="1:7" ht="15.75" customHeight="1" x14ac:dyDescent="0.25">
      <c r="A1202" s="11" t="s">
        <v>24</v>
      </c>
      <c r="B1202" s="12">
        <v>28000000</v>
      </c>
      <c r="C1202" s="12">
        <v>4554569</v>
      </c>
      <c r="D1202" s="12">
        <v>1999</v>
      </c>
      <c r="E1202" s="12" t="str">
        <f>VLOOKUP(A1202, Currency!$A$2:$B$100, 2, FALSE)</f>
        <v>USD</v>
      </c>
      <c r="F1202" s="12">
        <f ca="1">IFERROR(__xludf.DUMMYFUNCTION("IF(E1202=""USD"",B1202,B1202 * GOOGLEFINANCE(""CURRENCY:"" &amp; E1202 &amp; ""USD""))
"),28000000)</f>
        <v>28000000</v>
      </c>
      <c r="G1202" s="13">
        <f ca="1">IFERROR(__xludf.DUMMYFUNCTION("IF(E1202=""USD"",C1202,C1202 * GOOGLEFINANCE(""CURRENCY:"" &amp; E1202 &amp; ""USD""))
"),4554569)</f>
        <v>4554569</v>
      </c>
    </row>
    <row r="1203" spans="1:7" ht="15.75" customHeight="1" x14ac:dyDescent="0.25">
      <c r="A1203" s="14" t="s">
        <v>24</v>
      </c>
      <c r="B1203" s="15">
        <v>7000000</v>
      </c>
      <c r="C1203" s="15">
        <v>7455447</v>
      </c>
      <c r="D1203" s="15">
        <v>2010</v>
      </c>
      <c r="E1203" s="15" t="str">
        <f>VLOOKUP(A1203, Currency!$A$2:$B$100, 2, FALSE)</f>
        <v>USD</v>
      </c>
      <c r="F1203" s="15">
        <f ca="1">IFERROR(__xludf.DUMMYFUNCTION("IF(E1203=""USD"",B1203,B1203 * GOOGLEFINANCE(""CURRENCY:"" &amp; E1203 &amp; ""USD""))
"),7000000)</f>
        <v>7000000</v>
      </c>
      <c r="G1203" s="16">
        <f ca="1">IFERROR(__xludf.DUMMYFUNCTION("IF(E1203=""USD"",C1203,C1203 * GOOGLEFINANCE(""CURRENCY:"" &amp; E1203 &amp; ""USD""))
"),7455447)</f>
        <v>7455447</v>
      </c>
    </row>
    <row r="1204" spans="1:7" ht="15.75" customHeight="1" x14ac:dyDescent="0.25">
      <c r="A1204" s="11" t="s">
        <v>24</v>
      </c>
      <c r="B1204" s="12">
        <v>40000000</v>
      </c>
      <c r="C1204" s="12">
        <v>45856732</v>
      </c>
      <c r="D1204" s="12">
        <v>1997</v>
      </c>
      <c r="E1204" s="12" t="str">
        <f>VLOOKUP(A1204, Currency!$A$2:$B$100, 2, FALSE)</f>
        <v>USD</v>
      </c>
      <c r="F1204" s="12">
        <f ca="1">IFERROR(__xludf.DUMMYFUNCTION("IF(E1204=""USD"",B1204,B1204 * GOOGLEFINANCE(""CURRENCY:"" &amp; E1204 &amp; ""USD""))
"),40000000)</f>
        <v>40000000</v>
      </c>
      <c r="G1204" s="13">
        <f ca="1">IFERROR(__xludf.DUMMYFUNCTION("IF(E1204=""USD"",C1204,C1204 * GOOGLEFINANCE(""CURRENCY:"" &amp; E1204 &amp; ""USD""))
"),45856732)</f>
        <v>45856732</v>
      </c>
    </row>
    <row r="1205" spans="1:7" ht="15.75" customHeight="1" x14ac:dyDescent="0.25">
      <c r="A1205" s="14" t="s">
        <v>24</v>
      </c>
      <c r="B1205" s="15">
        <v>4500000</v>
      </c>
      <c r="C1205" s="15">
        <v>3287435</v>
      </c>
      <c r="D1205" s="15">
        <v>2001</v>
      </c>
      <c r="E1205" s="15" t="str">
        <f>VLOOKUP(A1205, Currency!$A$2:$B$100, 2, FALSE)</f>
        <v>USD</v>
      </c>
      <c r="F1205" s="15">
        <f ca="1">IFERROR(__xludf.DUMMYFUNCTION("IF(E1205=""USD"",B1205,B1205 * GOOGLEFINANCE(""CURRENCY:"" &amp; E1205 &amp; ""USD""))
"),4500000)</f>
        <v>4500000</v>
      </c>
      <c r="G1205" s="16">
        <f ca="1">IFERROR(__xludf.DUMMYFUNCTION("IF(E1205=""USD"",C1205,C1205 * GOOGLEFINANCE(""CURRENCY:"" &amp; E1205 &amp; ""USD""))
"),3287435)</f>
        <v>3287435</v>
      </c>
    </row>
    <row r="1206" spans="1:7" ht="15.75" customHeight="1" x14ac:dyDescent="0.25">
      <c r="A1206" s="11" t="s">
        <v>24</v>
      </c>
      <c r="B1206" s="12">
        <v>30000000</v>
      </c>
      <c r="C1206" s="12">
        <v>17951431</v>
      </c>
      <c r="D1206" s="12">
        <v>2001</v>
      </c>
      <c r="E1206" s="12" t="str">
        <f>VLOOKUP(A1206, Currency!$A$2:$B$100, 2, FALSE)</f>
        <v>USD</v>
      </c>
      <c r="F1206" s="12">
        <f ca="1">IFERROR(__xludf.DUMMYFUNCTION("IF(E1206=""USD"",B1206,B1206 * GOOGLEFINANCE(""CURRENCY:"" &amp; E1206 &amp; ""USD""))
"),30000000)</f>
        <v>30000000</v>
      </c>
      <c r="G1206" s="13">
        <f ca="1">IFERROR(__xludf.DUMMYFUNCTION("IF(E1206=""USD"",C1206,C1206 * GOOGLEFINANCE(""CURRENCY:"" &amp; E1206 &amp; ""USD""))
"),17951431)</f>
        <v>17951431</v>
      </c>
    </row>
    <row r="1207" spans="1:7" ht="15.75" customHeight="1" x14ac:dyDescent="0.25">
      <c r="A1207" s="14" t="s">
        <v>24</v>
      </c>
      <c r="B1207" s="15">
        <v>9000000</v>
      </c>
      <c r="C1207" s="15">
        <v>21569041</v>
      </c>
      <c r="D1207" s="15">
        <v>2014</v>
      </c>
      <c r="E1207" s="15" t="str">
        <f>VLOOKUP(A1207, Currency!$A$2:$B$100, 2, FALSE)</f>
        <v>USD</v>
      </c>
      <c r="F1207" s="15">
        <f ca="1">IFERROR(__xludf.DUMMYFUNCTION("IF(E1207=""USD"",B1207,B1207 * GOOGLEFINANCE(""CURRENCY:"" &amp; E1207 &amp; ""USD""))
"),9000000)</f>
        <v>9000000</v>
      </c>
      <c r="G1207" s="16">
        <f ca="1">IFERROR(__xludf.DUMMYFUNCTION("IF(E1207=""USD"",C1207,C1207 * GOOGLEFINANCE(""CURRENCY:"" &amp; E1207 &amp; ""USD""))
"),21569041)</f>
        <v>21569041</v>
      </c>
    </row>
    <row r="1208" spans="1:7" ht="15.75" customHeight="1" x14ac:dyDescent="0.25">
      <c r="A1208" s="11" t="s">
        <v>24</v>
      </c>
      <c r="B1208" s="12">
        <v>10000000</v>
      </c>
      <c r="C1208" s="12">
        <v>63319509</v>
      </c>
      <c r="D1208" s="12">
        <v>1999</v>
      </c>
      <c r="E1208" s="12" t="str">
        <f>VLOOKUP(A1208, Currency!$A$2:$B$100, 2, FALSE)</f>
        <v>USD</v>
      </c>
      <c r="F1208" s="12">
        <f ca="1">IFERROR(__xludf.DUMMYFUNCTION("IF(E1208=""USD"",B1208,B1208 * GOOGLEFINANCE(""CURRENCY:"" &amp; E1208 &amp; ""USD""))
"),10000000)</f>
        <v>10000000</v>
      </c>
      <c r="G1208" s="13">
        <f ca="1">IFERROR(__xludf.DUMMYFUNCTION("IF(E1208=""USD"",C1208,C1208 * GOOGLEFINANCE(""CURRENCY:"" &amp; E1208 &amp; ""USD""))
"),63319509)</f>
        <v>63319509</v>
      </c>
    </row>
    <row r="1209" spans="1:7" ht="15.75" customHeight="1" x14ac:dyDescent="0.25">
      <c r="A1209" s="14" t="s">
        <v>24</v>
      </c>
      <c r="B1209" s="15">
        <v>8000000</v>
      </c>
      <c r="C1209" s="15">
        <v>34746109</v>
      </c>
      <c r="D1209" s="15">
        <v>1996</v>
      </c>
      <c r="E1209" s="15" t="str">
        <f>VLOOKUP(A1209, Currency!$A$2:$B$100, 2, FALSE)</f>
        <v>USD</v>
      </c>
      <c r="F1209" s="15">
        <f ca="1">IFERROR(__xludf.DUMMYFUNCTION("IF(E1209=""USD"",B1209,B1209 * GOOGLEFINANCE(""CURRENCY:"" &amp; E1209 &amp; ""USD""))
"),8000000)</f>
        <v>8000000</v>
      </c>
      <c r="G1209" s="16">
        <f ca="1">IFERROR(__xludf.DUMMYFUNCTION("IF(E1209=""USD"",C1209,C1209 * GOOGLEFINANCE(""CURRENCY:"" &amp; E1209 &amp; ""USD""))
"),34746109)</f>
        <v>34746109</v>
      </c>
    </row>
    <row r="1210" spans="1:7" ht="15.75" customHeight="1" x14ac:dyDescent="0.25">
      <c r="A1210" s="11" t="s">
        <v>24</v>
      </c>
      <c r="B1210" s="12">
        <v>7000000</v>
      </c>
      <c r="C1210" s="12">
        <v>39462438</v>
      </c>
      <c r="D1210" s="12">
        <v>2009</v>
      </c>
      <c r="E1210" s="12" t="str">
        <f>VLOOKUP(A1210, Currency!$A$2:$B$100, 2, FALSE)</f>
        <v>USD</v>
      </c>
      <c r="F1210" s="12">
        <f ca="1">IFERROR(__xludf.DUMMYFUNCTION("IF(E1210=""USD"",B1210,B1210 * GOOGLEFINANCE(""CURRENCY:"" &amp; E1210 &amp; ""USD""))
"),7000000)</f>
        <v>7000000</v>
      </c>
      <c r="G1210" s="13">
        <f ca="1">IFERROR(__xludf.DUMMYFUNCTION("IF(E1210=""USD"",C1210,C1210 * GOOGLEFINANCE(""CURRENCY:"" &amp; E1210 &amp; ""USD""))
"),39462438)</f>
        <v>39462438</v>
      </c>
    </row>
    <row r="1211" spans="1:7" ht="15.75" customHeight="1" x14ac:dyDescent="0.25">
      <c r="A1211" s="14" t="s">
        <v>24</v>
      </c>
      <c r="B1211" s="15">
        <v>42000000</v>
      </c>
      <c r="C1211" s="15">
        <v>37652565</v>
      </c>
      <c r="D1211" s="15">
        <v>2011</v>
      </c>
      <c r="E1211" s="15" t="str">
        <f>VLOOKUP(A1211, Currency!$A$2:$B$100, 2, FALSE)</f>
        <v>USD</v>
      </c>
      <c r="F1211" s="15">
        <f ca="1">IFERROR(__xludf.DUMMYFUNCTION("IF(E1211=""USD"",B1211,B1211 * GOOGLEFINANCE(""CURRENCY:"" &amp; E1211 &amp; ""USD""))
"),42000000)</f>
        <v>42000000</v>
      </c>
      <c r="G1211" s="16">
        <f ca="1">IFERROR(__xludf.DUMMYFUNCTION("IF(E1211=""USD"",C1211,C1211 * GOOGLEFINANCE(""CURRENCY:"" &amp; E1211 &amp; ""USD""))
"),37652565)</f>
        <v>37652565</v>
      </c>
    </row>
    <row r="1212" spans="1:7" ht="15.75" customHeight="1" x14ac:dyDescent="0.25">
      <c r="A1212" s="11" t="s">
        <v>24</v>
      </c>
      <c r="B1212" s="12">
        <v>400000</v>
      </c>
      <c r="C1212" s="12">
        <v>425899</v>
      </c>
      <c r="D1212" s="12">
        <v>2010</v>
      </c>
      <c r="E1212" s="12" t="str">
        <f>VLOOKUP(A1212, Currency!$A$2:$B$100, 2, FALSE)</f>
        <v>USD</v>
      </c>
      <c r="F1212" s="12">
        <f ca="1">IFERROR(__xludf.DUMMYFUNCTION("IF(E1212=""USD"",B1212,B1212 * GOOGLEFINANCE(""CURRENCY:"" &amp; E1212 &amp; ""USD""))
"),400000)</f>
        <v>400000</v>
      </c>
      <c r="G1212" s="13">
        <f ca="1">IFERROR(__xludf.DUMMYFUNCTION("IF(E1212=""USD"",C1212,C1212 * GOOGLEFINANCE(""CURRENCY:"" &amp; E1212 &amp; ""USD""))
"),425899)</f>
        <v>425899</v>
      </c>
    </row>
    <row r="1213" spans="1:7" ht="15.75" customHeight="1" x14ac:dyDescent="0.25">
      <c r="A1213" s="14" t="s">
        <v>24</v>
      </c>
      <c r="B1213" s="15">
        <v>63000000</v>
      </c>
      <c r="C1213" s="15">
        <v>213079163</v>
      </c>
      <c r="D1213" s="15">
        <v>2002</v>
      </c>
      <c r="E1213" s="15" t="str">
        <f>VLOOKUP(A1213, Currency!$A$2:$B$100, 2, FALSE)</f>
        <v>USD</v>
      </c>
      <c r="F1213" s="15">
        <f ca="1">IFERROR(__xludf.DUMMYFUNCTION("IF(E1213=""USD"",B1213,B1213 * GOOGLEFINANCE(""CURRENCY:"" &amp; E1213 &amp; ""USD""))
"),63000000)</f>
        <v>63000000</v>
      </c>
      <c r="G1213" s="16">
        <f ca="1">IFERROR(__xludf.DUMMYFUNCTION("IF(E1213=""USD"",C1213,C1213 * GOOGLEFINANCE(""CURRENCY:"" &amp; E1213 &amp; ""USD""))
"),213079163)</f>
        <v>213079163</v>
      </c>
    </row>
    <row r="1214" spans="1:7" ht="15.75" customHeight="1" x14ac:dyDescent="0.25">
      <c r="A1214" s="11" t="s">
        <v>4347</v>
      </c>
      <c r="B1214" s="12">
        <v>2000000</v>
      </c>
      <c r="C1214" s="12">
        <v>4958</v>
      </c>
      <c r="D1214" s="12">
        <v>2008</v>
      </c>
      <c r="E1214" s="12" t="str">
        <f>VLOOKUP(A1214, Currency!$A$2:$B$100, 2, FALSE)</f>
        <v>ZAR</v>
      </c>
      <c r="F1214" s="12">
        <f ca="1">IFERROR(__xludf.DUMMYFUNCTION("IF(E1214=""USD"",B1214,B1214 * GOOGLEFINANCE(""CURRENCY:"" &amp; E1214 &amp; ""USD""))
"),108869)</f>
        <v>108869</v>
      </c>
      <c r="G1214" s="13">
        <f ca="1">IFERROR(__xludf.DUMMYFUNCTION("IF(E1214=""USD"",C1214,C1214 * GOOGLEFINANCE(""CURRENCY:"" &amp; E1214 &amp; ""USD""))
"),269.886251)</f>
        <v>269.88625100000002</v>
      </c>
    </row>
    <row r="1215" spans="1:7" ht="15.75" customHeight="1" x14ac:dyDescent="0.25">
      <c r="A1215" s="14" t="s">
        <v>133</v>
      </c>
      <c r="B1215" s="15">
        <v>7300000</v>
      </c>
      <c r="C1215" s="15">
        <v>1818681</v>
      </c>
      <c r="D1215" s="15">
        <v>2009</v>
      </c>
      <c r="E1215" s="15" t="str">
        <f>VLOOKUP(A1215, Currency!$A$2:$B$100, 2, FALSE)</f>
        <v>GBP</v>
      </c>
      <c r="F1215" s="15">
        <f ca="1">IFERROR(__xludf.DUMMYFUNCTION("IF(E1215=""USD"",B1215,B1215 * GOOGLEFINANCE(""CURRENCY:"" &amp; E1215 &amp; ""USD""))
"),9383420)</f>
        <v>9383420</v>
      </c>
      <c r="G1215" s="16">
        <f ca="1">IFERROR(__xludf.DUMMYFUNCTION("IF(E1215=""USD"",C1215,C1215 * GOOGLEFINANCE(""CURRENCY:"" &amp; E1215 &amp; ""USD""))
"),2337732.5574)</f>
        <v>2337732.5573999998</v>
      </c>
    </row>
    <row r="1216" spans="1:7" ht="15.75" customHeight="1" x14ac:dyDescent="0.25">
      <c r="A1216" s="11" t="s">
        <v>24</v>
      </c>
      <c r="B1216" s="12">
        <v>50000000</v>
      </c>
      <c r="C1216" s="12">
        <v>105807520</v>
      </c>
      <c r="D1216" s="12">
        <v>2003</v>
      </c>
      <c r="E1216" s="12" t="str">
        <f>VLOOKUP(A1216, Currency!$A$2:$B$100, 2, FALSE)</f>
        <v>USD</v>
      </c>
      <c r="F1216" s="12">
        <f ca="1">IFERROR(__xludf.DUMMYFUNCTION("IF(E1216=""USD"",B1216,B1216 * GOOGLEFINANCE(""CURRENCY:"" &amp; E1216 &amp; ""USD""))
"),50000000)</f>
        <v>50000000</v>
      </c>
      <c r="G1216" s="13">
        <f ca="1">IFERROR(__xludf.DUMMYFUNCTION("IF(E1216=""USD"",C1216,C1216 * GOOGLEFINANCE(""CURRENCY:"" &amp; E1216 &amp; ""USD""))
"),105807520)</f>
        <v>105807520</v>
      </c>
    </row>
    <row r="1217" spans="1:7" ht="15.75" customHeight="1" x14ac:dyDescent="0.25">
      <c r="A1217" s="14" t="s">
        <v>24</v>
      </c>
      <c r="B1217" s="15">
        <v>35000000</v>
      </c>
      <c r="C1217" s="15">
        <v>83299761</v>
      </c>
      <c r="D1217" s="15">
        <v>2013</v>
      </c>
      <c r="E1217" s="15" t="str">
        <f>VLOOKUP(A1217, Currency!$A$2:$B$100, 2, FALSE)</f>
        <v>USD</v>
      </c>
      <c r="F1217" s="15">
        <f ca="1">IFERROR(__xludf.DUMMYFUNCTION("IF(E1217=""USD"",B1217,B1217 * GOOGLEFINANCE(""CURRENCY:"" &amp; E1217 &amp; ""USD""))
"),35000000)</f>
        <v>35000000</v>
      </c>
      <c r="G1217" s="16">
        <f ca="1">IFERROR(__xludf.DUMMYFUNCTION("IF(E1217=""USD"",C1217,C1217 * GOOGLEFINANCE(""CURRENCY:"" &amp; E1217 &amp; ""USD""))
"),83299761)</f>
        <v>83299761</v>
      </c>
    </row>
    <row r="1218" spans="1:7" ht="15.75" customHeight="1" x14ac:dyDescent="0.25">
      <c r="A1218" s="11" t="s">
        <v>24</v>
      </c>
      <c r="B1218" s="12">
        <v>20000000</v>
      </c>
      <c r="C1218" s="12">
        <v>39737645</v>
      </c>
      <c r="D1218" s="12">
        <v>2007</v>
      </c>
      <c r="E1218" s="12" t="str">
        <f>VLOOKUP(A1218, Currency!$A$2:$B$100, 2, FALSE)</f>
        <v>USD</v>
      </c>
      <c r="F1218" s="12">
        <f ca="1">IFERROR(__xludf.DUMMYFUNCTION("IF(E1218=""USD"",B1218,B1218 * GOOGLEFINANCE(""CURRENCY:"" &amp; E1218 &amp; ""USD""))
"),20000000)</f>
        <v>20000000</v>
      </c>
      <c r="G1218" s="13">
        <f ca="1">IFERROR(__xludf.DUMMYFUNCTION("IF(E1218=""USD"",C1218,C1218 * GOOGLEFINANCE(""CURRENCY:"" &amp; E1218 &amp; ""USD""))
"),39737645)</f>
        <v>39737645</v>
      </c>
    </row>
    <row r="1219" spans="1:7" ht="15.75" customHeight="1" x14ac:dyDescent="0.25">
      <c r="A1219" s="14" t="s">
        <v>611</v>
      </c>
      <c r="B1219" s="15">
        <v>32000000</v>
      </c>
      <c r="C1219" s="15">
        <v>43095600</v>
      </c>
      <c r="D1219" s="15">
        <v>2005</v>
      </c>
      <c r="E1219" s="15" t="str">
        <f>VLOOKUP(A1219, Currency!$A$2:$B$100, 2, FALSE)</f>
        <v>EUR</v>
      </c>
      <c r="F1219" s="15">
        <f ca="1">IFERROR(__xludf.DUMMYFUNCTION("IF(E1219=""USD"",B1219,B1219 * GOOGLEFINANCE(""CURRENCY:"" &amp; E1219 &amp; ""USD""))
"),34711680)</f>
        <v>34711680</v>
      </c>
      <c r="G1219" s="16">
        <f ca="1">IFERROR(__xludf.DUMMYFUNCTION("IF(E1219=""USD"",C1219,C1219 * GOOGLEFINANCE(""CURRENCY:"" &amp; E1219 &amp; ""USD""))
"),46747521.144)</f>
        <v>46747521.144000001</v>
      </c>
    </row>
    <row r="1220" spans="1:7" ht="15.75" customHeight="1" x14ac:dyDescent="0.25">
      <c r="A1220" s="11" t="s">
        <v>176</v>
      </c>
      <c r="B1220" s="12">
        <v>40000000</v>
      </c>
      <c r="C1220" s="12">
        <v>652526</v>
      </c>
      <c r="D1220" s="12">
        <v>2006</v>
      </c>
      <c r="E1220" s="12" t="str">
        <f>VLOOKUP(A1220, Currency!$A$2:$B$100, 2, FALSE)</f>
        <v>EUR</v>
      </c>
      <c r="F1220" s="12">
        <f ca="1">IFERROR(__xludf.DUMMYFUNCTION("IF(E1220=""USD"",B1220,B1220 * GOOGLEFINANCE(""CURRENCY:"" &amp; E1220 &amp; ""USD""))
"),43389600)</f>
        <v>43389600</v>
      </c>
      <c r="G1220" s="13">
        <f ca="1">IFERROR(__xludf.DUMMYFUNCTION("IF(E1220=""USD"",C1220,C1220 * GOOGLEFINANCE(""CURRENCY:"" &amp; E1220 &amp; ""USD""))
"),707821.05324)</f>
        <v>707821.05324000004</v>
      </c>
    </row>
    <row r="1221" spans="1:7" ht="15.75" customHeight="1" x14ac:dyDescent="0.25">
      <c r="A1221" s="14" t="s">
        <v>24</v>
      </c>
      <c r="B1221" s="15">
        <v>100000000</v>
      </c>
      <c r="C1221" s="15">
        <v>107515297</v>
      </c>
      <c r="D1221" s="15">
        <v>2013</v>
      </c>
      <c r="E1221" s="15" t="str">
        <f>VLOOKUP(A1221, Currency!$A$2:$B$100, 2, FALSE)</f>
        <v>USD</v>
      </c>
      <c r="F1221" s="15">
        <f ca="1">IFERROR(__xludf.DUMMYFUNCTION("IF(E1221=""USD"",B1221,B1221 * GOOGLEFINANCE(""CURRENCY:"" &amp; E1221 &amp; ""USD""))
"),100000000)</f>
        <v>100000000</v>
      </c>
      <c r="G1221" s="16">
        <f ca="1">IFERROR(__xludf.DUMMYFUNCTION("IF(E1221=""USD"",C1221,C1221 * GOOGLEFINANCE(""CURRENCY:"" &amp; E1221 &amp; ""USD""))
"),107515297)</f>
        <v>107515297</v>
      </c>
    </row>
    <row r="1222" spans="1:7" ht="15.75" customHeight="1" x14ac:dyDescent="0.25">
      <c r="A1222" s="11" t="s">
        <v>596</v>
      </c>
      <c r="B1222" s="12">
        <v>12000000</v>
      </c>
      <c r="C1222" s="12">
        <v>548934</v>
      </c>
      <c r="D1222" s="12">
        <v>2009</v>
      </c>
      <c r="E1222" s="12" t="str">
        <f>VLOOKUP(A1222, Currency!$A$2:$B$100, 2, FALSE)</f>
        <v>EUR</v>
      </c>
      <c r="F1222" s="12">
        <f ca="1">IFERROR(__xludf.DUMMYFUNCTION("IF(E1222=""USD"",B1222,B1222 * GOOGLEFINANCE(""CURRENCY:"" &amp; E1222 &amp; ""USD""))
"),13016880)</f>
        <v>13016880</v>
      </c>
      <c r="G1222" s="13">
        <f ca="1">IFERROR(__xludf.DUMMYFUNCTION("IF(E1222=""USD"",C1222,C1222 * GOOGLEFINANCE(""CURRENCY:"" &amp; E1222 &amp; ""USD""))
"),595450.66716)</f>
        <v>595450.66715999995</v>
      </c>
    </row>
    <row r="1223" spans="1:7" ht="15.75" customHeight="1" x14ac:dyDescent="0.25">
      <c r="A1223" s="14" t="s">
        <v>149</v>
      </c>
      <c r="B1223" s="15">
        <v>130000000</v>
      </c>
      <c r="C1223" s="15">
        <v>49551662</v>
      </c>
      <c r="D1223" s="15">
        <v>2008</v>
      </c>
      <c r="E1223" s="15" t="str">
        <f>VLOOKUP(A1223, Currency!$A$2:$B$100, 2, FALSE)</f>
        <v>AUD</v>
      </c>
      <c r="F1223" s="15">
        <f ca="1">IFERROR(__xludf.DUMMYFUNCTION("IF(E1223=""USD"",B1223,B1223 * GOOGLEFINANCE(""CURRENCY:"" &amp; E1223 &amp; ""USD""))
"),85004400)</f>
        <v>85004400</v>
      </c>
      <c r="G1223" s="16">
        <f ca="1">IFERROR(__xludf.DUMMYFUNCTION("IF(E1223=""USD"",C1223,C1223 * GOOGLEFINANCE(""CURRENCY:"" &amp; E1223 &amp; ""USD""))
"),32400840.74856)</f>
        <v>32400840.74856</v>
      </c>
    </row>
    <row r="1224" spans="1:7" ht="15.75" customHeight="1" x14ac:dyDescent="0.25">
      <c r="A1224" s="11" t="s">
        <v>24</v>
      </c>
      <c r="B1224" s="12">
        <v>90000000</v>
      </c>
      <c r="C1224" s="12">
        <v>111544445</v>
      </c>
      <c r="D1224" s="12">
        <v>1998</v>
      </c>
      <c r="E1224" s="12" t="str">
        <f>VLOOKUP(A1224, Currency!$A$2:$B$100, 2, FALSE)</f>
        <v>USD</v>
      </c>
      <c r="F1224" s="12">
        <f ca="1">IFERROR(__xludf.DUMMYFUNCTION("IF(E1224=""USD"",B1224,B1224 * GOOGLEFINANCE(""CURRENCY:"" &amp; E1224 &amp; ""USD""))
"),90000000)</f>
        <v>90000000</v>
      </c>
      <c r="G1224" s="13">
        <f ca="1">IFERROR(__xludf.DUMMYFUNCTION("IF(E1224=""USD"",C1224,C1224 * GOOGLEFINANCE(""CURRENCY:"" &amp; E1224 &amp; ""USD""))
"),111544445)</f>
        <v>111544445</v>
      </c>
    </row>
    <row r="1225" spans="1:7" ht="15.75" customHeight="1" x14ac:dyDescent="0.25">
      <c r="A1225" s="14" t="s">
        <v>611</v>
      </c>
      <c r="B1225" s="15">
        <v>13000000</v>
      </c>
      <c r="C1225" s="15">
        <v>4857376</v>
      </c>
      <c r="D1225" s="15">
        <v>2006</v>
      </c>
      <c r="E1225" s="15" t="str">
        <f>VLOOKUP(A1225, Currency!$A$2:$B$100, 2, FALSE)</f>
        <v>EUR</v>
      </c>
      <c r="F1225" s="15">
        <f ca="1">IFERROR(__xludf.DUMMYFUNCTION("IF(E1225=""USD"",B1225,B1225 * GOOGLEFINANCE(""CURRENCY:"" &amp; E1225 &amp; ""USD""))
"),14101620)</f>
        <v>14101620</v>
      </c>
      <c r="G1225" s="16">
        <f ca="1">IFERROR(__xludf.DUMMYFUNCTION("IF(E1225=""USD"",C1225,C1225 * GOOGLEFINANCE(""CURRENCY:"" &amp; E1225 &amp; ""USD""))
"),5268990.04224)</f>
        <v>5268990.0422400003</v>
      </c>
    </row>
    <row r="1226" spans="1:7" ht="15.75" customHeight="1" x14ac:dyDescent="0.25">
      <c r="A1226" s="11" t="s">
        <v>133</v>
      </c>
      <c r="B1226" s="12">
        <v>2000000</v>
      </c>
      <c r="C1226" s="12">
        <v>768045</v>
      </c>
      <c r="D1226" s="12">
        <v>2002</v>
      </c>
      <c r="E1226" s="12" t="str">
        <f>VLOOKUP(A1226, Currency!$A$2:$B$100, 2, FALSE)</f>
        <v>GBP</v>
      </c>
      <c r="F1226" s="12">
        <f ca="1">IFERROR(__xludf.DUMMYFUNCTION("IF(E1226=""USD"",B1226,B1226 * GOOGLEFINANCE(""CURRENCY:"" &amp; E1226 &amp; ""USD""))
"),2570799.99999999)</f>
        <v>2570799.9999999902</v>
      </c>
      <c r="G1226" s="13">
        <f ca="1">IFERROR(__xludf.DUMMYFUNCTION("IF(E1226=""USD"",C1226,C1226 * GOOGLEFINANCE(""CURRENCY:"" &amp; E1226 &amp; ""USD""))
"),987245.043)</f>
        <v>987245.04299999995</v>
      </c>
    </row>
    <row r="1227" spans="1:7" ht="15.75" customHeight="1" x14ac:dyDescent="0.25">
      <c r="A1227" s="14" t="s">
        <v>24</v>
      </c>
      <c r="B1227" s="15">
        <v>30000000</v>
      </c>
      <c r="C1227" s="15">
        <v>31655091</v>
      </c>
      <c r="D1227" s="15">
        <v>2007</v>
      </c>
      <c r="E1227" s="15" t="str">
        <f>VLOOKUP(A1227, Currency!$A$2:$B$100, 2, FALSE)</f>
        <v>USD</v>
      </c>
      <c r="F1227" s="15">
        <f ca="1">IFERROR(__xludf.DUMMYFUNCTION("IF(E1227=""USD"",B1227,B1227 * GOOGLEFINANCE(""CURRENCY:"" &amp; E1227 &amp; ""USD""))
"),30000000)</f>
        <v>30000000</v>
      </c>
      <c r="G1227" s="16">
        <f ca="1">IFERROR(__xludf.DUMMYFUNCTION("IF(E1227=""USD"",C1227,C1227 * GOOGLEFINANCE(""CURRENCY:"" &amp; E1227 &amp; ""USD""))
"),31655091)</f>
        <v>31655091</v>
      </c>
    </row>
    <row r="1228" spans="1:7" ht="15.75" customHeight="1" x14ac:dyDescent="0.25">
      <c r="A1228" s="11" t="s">
        <v>24</v>
      </c>
      <c r="B1228" s="12">
        <v>135000000</v>
      </c>
      <c r="C1228" s="12">
        <v>177343675</v>
      </c>
      <c r="D1228" s="12">
        <v>2015</v>
      </c>
      <c r="E1228" s="12" t="str">
        <f>VLOOKUP(A1228, Currency!$A$2:$B$100, 2, FALSE)</f>
        <v>USD</v>
      </c>
      <c r="F1228" s="12">
        <f ca="1">IFERROR(__xludf.DUMMYFUNCTION("IF(E1228=""USD"",B1228,B1228 * GOOGLEFINANCE(""CURRENCY:"" &amp; E1228 &amp; ""USD""))
"),135000000)</f>
        <v>135000000</v>
      </c>
      <c r="G1228" s="13">
        <f ca="1">IFERROR(__xludf.DUMMYFUNCTION("IF(E1228=""USD"",C1228,C1228 * GOOGLEFINANCE(""CURRENCY:"" &amp; E1228 &amp; ""USD""))
"),177343675)</f>
        <v>177343675</v>
      </c>
    </row>
    <row r="1229" spans="1:7" ht="15.75" customHeight="1" x14ac:dyDescent="0.25">
      <c r="A1229" s="14" t="s">
        <v>24</v>
      </c>
      <c r="B1229" s="15">
        <v>2500000</v>
      </c>
      <c r="C1229" s="15">
        <v>12995673</v>
      </c>
      <c r="D1229" s="15">
        <v>2008</v>
      </c>
      <c r="E1229" s="15" t="str">
        <f>VLOOKUP(A1229, Currency!$A$2:$B$100, 2, FALSE)</f>
        <v>USD</v>
      </c>
      <c r="F1229" s="15">
        <f ca="1">IFERROR(__xludf.DUMMYFUNCTION("IF(E1229=""USD"",B1229,B1229 * GOOGLEFINANCE(""CURRENCY:"" &amp; E1229 &amp; ""USD""))
"),2500000)</f>
        <v>2500000</v>
      </c>
      <c r="G1229" s="16">
        <f ca="1">IFERROR(__xludf.DUMMYFUNCTION("IF(E1229=""USD"",C1229,C1229 * GOOGLEFINANCE(""CURRENCY:"" &amp; E1229 &amp; ""USD""))
"),12995673)</f>
        <v>12995673</v>
      </c>
    </row>
    <row r="1230" spans="1:7" ht="15.75" customHeight="1" x14ac:dyDescent="0.25">
      <c r="A1230" s="11" t="s">
        <v>24</v>
      </c>
      <c r="B1230" s="12">
        <v>68000000</v>
      </c>
      <c r="C1230" s="12">
        <v>71069884</v>
      </c>
      <c r="D1230" s="12">
        <v>2001</v>
      </c>
      <c r="E1230" s="12" t="str">
        <f>VLOOKUP(A1230, Currency!$A$2:$B$100, 2, FALSE)</f>
        <v>USD</v>
      </c>
      <c r="F1230" s="12">
        <f ca="1">IFERROR(__xludf.DUMMYFUNCTION("IF(E1230=""USD"",B1230,B1230 * GOOGLEFINANCE(""CURRENCY:"" &amp; E1230 &amp; ""USD""))
"),68000000)</f>
        <v>68000000</v>
      </c>
      <c r="G1230" s="13">
        <f ca="1">IFERROR(__xludf.DUMMYFUNCTION("IF(E1230=""USD"",C1230,C1230 * GOOGLEFINANCE(""CURRENCY:"" &amp; E1230 &amp; ""USD""))
"),71069884)</f>
        <v>71069884</v>
      </c>
    </row>
    <row r="1231" spans="1:7" ht="15.75" customHeight="1" x14ac:dyDescent="0.25">
      <c r="A1231" s="14" t="s">
        <v>24</v>
      </c>
      <c r="B1231" s="15">
        <v>3000000</v>
      </c>
      <c r="C1231" s="15">
        <v>100675</v>
      </c>
      <c r="D1231" s="15">
        <v>2010</v>
      </c>
      <c r="E1231" s="15" t="str">
        <f>VLOOKUP(A1231, Currency!$A$2:$B$100, 2, FALSE)</f>
        <v>USD</v>
      </c>
      <c r="F1231" s="15">
        <f ca="1">IFERROR(__xludf.DUMMYFUNCTION("IF(E1231=""USD"",B1231,B1231 * GOOGLEFINANCE(""CURRENCY:"" &amp; E1231 &amp; ""USD""))
"),3000000)</f>
        <v>3000000</v>
      </c>
      <c r="G1231" s="16">
        <f ca="1">IFERROR(__xludf.DUMMYFUNCTION("IF(E1231=""USD"",C1231,C1231 * GOOGLEFINANCE(""CURRENCY:"" &amp; E1231 &amp; ""USD""))
"),100675)</f>
        <v>100675</v>
      </c>
    </row>
    <row r="1232" spans="1:7" ht="15.75" customHeight="1" x14ac:dyDescent="0.25">
      <c r="A1232" s="11" t="s">
        <v>133</v>
      </c>
      <c r="B1232" s="12">
        <v>9000000</v>
      </c>
      <c r="C1232" s="12">
        <v>112935</v>
      </c>
      <c r="D1232" s="12">
        <v>2002</v>
      </c>
      <c r="E1232" s="12" t="str">
        <f>VLOOKUP(A1232, Currency!$A$2:$B$100, 2, FALSE)</f>
        <v>GBP</v>
      </c>
      <c r="F1232" s="12">
        <f ca="1">IFERROR(__xludf.DUMMYFUNCTION("IF(E1232=""USD"",B1232,B1232 * GOOGLEFINANCE(""CURRENCY:"" &amp; E1232 &amp; ""USD""))
"),11568599.9999999)</f>
        <v>11568599.999999899</v>
      </c>
      <c r="G1232" s="13">
        <f ca="1">IFERROR(__xludf.DUMMYFUNCTION("IF(E1232=""USD"",C1232,C1232 * GOOGLEFINANCE(""CURRENCY:"" &amp; E1232 &amp; ""USD""))
"),145166.648999999)</f>
        <v>145166.64899999899</v>
      </c>
    </row>
    <row r="1233" spans="1:7" ht="15.75" customHeight="1" x14ac:dyDescent="0.25">
      <c r="A1233" s="14" t="s">
        <v>133</v>
      </c>
      <c r="B1233" s="15">
        <v>8000000</v>
      </c>
      <c r="C1233" s="15">
        <v>117190</v>
      </c>
      <c r="D1233" s="15">
        <v>2010</v>
      </c>
      <c r="E1233" s="15" t="str">
        <f>VLOOKUP(A1233, Currency!$A$2:$B$100, 2, FALSE)</f>
        <v>GBP</v>
      </c>
      <c r="F1233" s="15">
        <f ca="1">IFERROR(__xludf.DUMMYFUNCTION("IF(E1233=""USD"",B1233,B1233 * GOOGLEFINANCE(""CURRENCY:"" &amp; E1233 &amp; ""USD""))
"),10283199.9999999)</f>
        <v>10283199.999999899</v>
      </c>
      <c r="G1233" s="16">
        <f ca="1">IFERROR(__xludf.DUMMYFUNCTION("IF(E1233=""USD"",C1233,C1233 * GOOGLEFINANCE(""CURRENCY:"" &amp; E1233 &amp; ""USD""))
"),150636.025999999)</f>
        <v>150636.02599999899</v>
      </c>
    </row>
    <row r="1234" spans="1:7" ht="15.75" customHeight="1" x14ac:dyDescent="0.25">
      <c r="A1234" s="11" t="s">
        <v>24</v>
      </c>
      <c r="B1234" s="12">
        <v>42000000</v>
      </c>
      <c r="C1234" s="12">
        <v>59992760</v>
      </c>
      <c r="D1234" s="12">
        <v>2009</v>
      </c>
      <c r="E1234" s="12" t="str">
        <f>VLOOKUP(A1234, Currency!$A$2:$B$100, 2, FALSE)</f>
        <v>USD</v>
      </c>
      <c r="F1234" s="12">
        <f ca="1">IFERROR(__xludf.DUMMYFUNCTION("IF(E1234=""USD"",B1234,B1234 * GOOGLEFINANCE(""CURRENCY:"" &amp; E1234 &amp; ""USD""))
"),42000000)</f>
        <v>42000000</v>
      </c>
      <c r="G1234" s="13">
        <f ca="1">IFERROR(__xludf.DUMMYFUNCTION("IF(E1234=""USD"",C1234,C1234 * GOOGLEFINANCE(""CURRENCY:"" &amp; E1234 &amp; ""USD""))
"),59992760)</f>
        <v>59992760</v>
      </c>
    </row>
    <row r="1235" spans="1:7" ht="15.75" customHeight="1" x14ac:dyDescent="0.25">
      <c r="A1235" s="14" t="s">
        <v>24</v>
      </c>
      <c r="B1235" s="15">
        <v>8000000</v>
      </c>
      <c r="C1235" s="15">
        <v>12055108</v>
      </c>
      <c r="D1235" s="15">
        <v>2008</v>
      </c>
      <c r="E1235" s="15" t="str">
        <f>VLOOKUP(A1235, Currency!$A$2:$B$100, 2, FALSE)</f>
        <v>USD</v>
      </c>
      <c r="F1235" s="15">
        <f ca="1">IFERROR(__xludf.DUMMYFUNCTION("IF(E1235=""USD"",B1235,B1235 * GOOGLEFINANCE(""CURRENCY:"" &amp; E1235 &amp; ""USD""))
"),8000000)</f>
        <v>8000000</v>
      </c>
      <c r="G1235" s="16">
        <f ca="1">IFERROR(__xludf.DUMMYFUNCTION("IF(E1235=""USD"",C1235,C1235 * GOOGLEFINANCE(""CURRENCY:"" &amp; E1235 &amp; ""USD""))
"),12055108)</f>
        <v>12055108</v>
      </c>
    </row>
    <row r="1236" spans="1:7" ht="15.75" customHeight="1" x14ac:dyDescent="0.25">
      <c r="A1236" s="11" t="s">
        <v>24</v>
      </c>
      <c r="B1236" s="12">
        <v>14000000</v>
      </c>
      <c r="C1236" s="12">
        <v>49122319</v>
      </c>
      <c r="D1236" s="12">
        <v>2012</v>
      </c>
      <c r="E1236" s="12" t="str">
        <f>VLOOKUP(A1236, Currency!$A$2:$B$100, 2, FALSE)</f>
        <v>USD</v>
      </c>
      <c r="F1236" s="12">
        <f ca="1">IFERROR(__xludf.DUMMYFUNCTION("IF(E1236=""USD"",B1236,B1236 * GOOGLEFINANCE(""CURRENCY:"" &amp; E1236 &amp; ""USD""))
"),14000000)</f>
        <v>14000000</v>
      </c>
      <c r="G1236" s="13">
        <f ca="1">IFERROR(__xludf.DUMMYFUNCTION("IF(E1236=""USD"",C1236,C1236 * GOOGLEFINANCE(""CURRENCY:"" &amp; E1236 &amp; ""USD""))
"),49122319)</f>
        <v>49122319</v>
      </c>
    </row>
    <row r="1237" spans="1:7" ht="15.75" customHeight="1" x14ac:dyDescent="0.25">
      <c r="A1237" s="14" t="s">
        <v>24</v>
      </c>
      <c r="B1237" s="15">
        <v>2000000</v>
      </c>
      <c r="C1237" s="15">
        <v>2557668</v>
      </c>
      <c r="D1237" s="15">
        <v>2015</v>
      </c>
      <c r="E1237" s="15" t="str">
        <f>VLOOKUP(A1237, Currency!$A$2:$B$100, 2, FALSE)</f>
        <v>USD</v>
      </c>
      <c r="F1237" s="15">
        <f ca="1">IFERROR(__xludf.DUMMYFUNCTION("IF(E1237=""USD"",B1237,B1237 * GOOGLEFINANCE(""CURRENCY:"" &amp; E1237 &amp; ""USD""))
"),2000000)</f>
        <v>2000000</v>
      </c>
      <c r="G1237" s="16">
        <f ca="1">IFERROR(__xludf.DUMMYFUNCTION("IF(E1237=""USD"",C1237,C1237 * GOOGLEFINANCE(""CURRENCY:"" &amp; E1237 &amp; ""USD""))
"),2557668)</f>
        <v>2557668</v>
      </c>
    </row>
    <row r="1238" spans="1:7" ht="15.75" customHeight="1" x14ac:dyDescent="0.25">
      <c r="A1238" s="11" t="s">
        <v>24</v>
      </c>
      <c r="B1238" s="12">
        <v>145000000</v>
      </c>
      <c r="C1238" s="12">
        <v>216366733</v>
      </c>
      <c r="D1238" s="12">
        <v>2012</v>
      </c>
      <c r="E1238" s="12" t="str">
        <f>VLOOKUP(A1238, Currency!$A$2:$B$100, 2, FALSE)</f>
        <v>USD</v>
      </c>
      <c r="F1238" s="12">
        <f ca="1">IFERROR(__xludf.DUMMYFUNCTION("IF(E1238=""USD"",B1238,B1238 * GOOGLEFINANCE(""CURRENCY:"" &amp; E1238 &amp; ""USD""))
"),145000000)</f>
        <v>145000000</v>
      </c>
      <c r="G1238" s="13">
        <f ca="1">IFERROR(__xludf.DUMMYFUNCTION("IF(E1238=""USD"",C1238,C1238 * GOOGLEFINANCE(""CURRENCY:"" &amp; E1238 &amp; ""USD""))
"),216366733)</f>
        <v>216366733</v>
      </c>
    </row>
    <row r="1239" spans="1:7" ht="15.75" customHeight="1" x14ac:dyDescent="0.25">
      <c r="A1239" s="14" t="s">
        <v>24</v>
      </c>
      <c r="B1239" s="15">
        <v>2500000</v>
      </c>
      <c r="C1239" s="15">
        <v>32230907</v>
      </c>
      <c r="D1239" s="15">
        <v>2013</v>
      </c>
      <c r="E1239" s="15" t="str">
        <f>VLOOKUP(A1239, Currency!$A$2:$B$100, 2, FALSE)</f>
        <v>USD</v>
      </c>
      <c r="F1239" s="15">
        <f ca="1">IFERROR(__xludf.DUMMYFUNCTION("IF(E1239=""USD"",B1239,B1239 * GOOGLEFINANCE(""CURRENCY:"" &amp; E1239 &amp; ""USD""))
"),2500000)</f>
        <v>2500000</v>
      </c>
      <c r="G1239" s="16">
        <f ca="1">IFERROR(__xludf.DUMMYFUNCTION("IF(E1239=""USD"",C1239,C1239 * GOOGLEFINANCE(""CURRENCY:"" &amp; E1239 &amp; ""USD""))
"),32230907)</f>
        <v>32230907</v>
      </c>
    </row>
    <row r="1240" spans="1:7" ht="15.75" customHeight="1" x14ac:dyDescent="0.25">
      <c r="A1240" s="11" t="s">
        <v>24</v>
      </c>
      <c r="B1240" s="12">
        <v>40000000</v>
      </c>
      <c r="C1240" s="12">
        <v>10640645</v>
      </c>
      <c r="D1240" s="12">
        <v>2015</v>
      </c>
      <c r="E1240" s="12" t="str">
        <f>VLOOKUP(A1240, Currency!$A$2:$B$100, 2, FALSE)</f>
        <v>USD</v>
      </c>
      <c r="F1240" s="12">
        <f ca="1">IFERROR(__xludf.DUMMYFUNCTION("IF(E1240=""USD"",B1240,B1240 * GOOGLEFINANCE(""CURRENCY:"" &amp; E1240 &amp; ""USD""))
"),40000000)</f>
        <v>40000000</v>
      </c>
      <c r="G1240" s="13">
        <f ca="1">IFERROR(__xludf.DUMMYFUNCTION("IF(E1240=""USD"",C1240,C1240 * GOOGLEFINANCE(""CURRENCY:"" &amp; E1240 &amp; ""USD""))
"),10640645)</f>
        <v>10640645</v>
      </c>
    </row>
    <row r="1241" spans="1:7" ht="15.75" customHeight="1" x14ac:dyDescent="0.25">
      <c r="A1241" s="14" t="s">
        <v>24</v>
      </c>
      <c r="B1241" s="15">
        <v>25000000</v>
      </c>
      <c r="C1241" s="15">
        <v>41067398</v>
      </c>
      <c r="D1241" s="15">
        <v>1997</v>
      </c>
      <c r="E1241" s="15" t="str">
        <f>VLOOKUP(A1241, Currency!$A$2:$B$100, 2, FALSE)</f>
        <v>USD</v>
      </c>
      <c r="F1241" s="15">
        <f ca="1">IFERROR(__xludf.DUMMYFUNCTION("IF(E1241=""USD"",B1241,B1241 * GOOGLEFINANCE(""CURRENCY:"" &amp; E1241 &amp; ""USD""))
"),25000000)</f>
        <v>25000000</v>
      </c>
      <c r="G1241" s="16">
        <f ca="1">IFERROR(__xludf.DUMMYFUNCTION("IF(E1241=""USD"",C1241,C1241 * GOOGLEFINANCE(""CURRENCY:"" &amp; E1241 &amp; ""USD""))
"),41067398)</f>
        <v>41067398</v>
      </c>
    </row>
    <row r="1242" spans="1:7" ht="15.75" customHeight="1" x14ac:dyDescent="0.25">
      <c r="A1242" s="11" t="s">
        <v>24</v>
      </c>
      <c r="B1242" s="12">
        <v>80000000</v>
      </c>
      <c r="C1242" s="12">
        <v>101111837</v>
      </c>
      <c r="D1242" s="12">
        <v>2008</v>
      </c>
      <c r="E1242" s="12" t="str">
        <f>VLOOKUP(A1242, Currency!$A$2:$B$100, 2, FALSE)</f>
        <v>USD</v>
      </c>
      <c r="F1242" s="12">
        <f ca="1">IFERROR(__xludf.DUMMYFUNCTION("IF(E1242=""USD"",B1242,B1242 * GOOGLEFINANCE(""CURRENCY:"" &amp; E1242 &amp; ""USD""))
"),80000000)</f>
        <v>80000000</v>
      </c>
      <c r="G1242" s="13">
        <f ca="1">IFERROR(__xludf.DUMMYFUNCTION("IF(E1242=""USD"",C1242,C1242 * GOOGLEFINANCE(""CURRENCY:"" &amp; E1242 &amp; ""USD""))
"),101111837)</f>
        <v>101111837</v>
      </c>
    </row>
    <row r="1243" spans="1:7" ht="15.75" customHeight="1" x14ac:dyDescent="0.25">
      <c r="A1243" s="14" t="s">
        <v>220</v>
      </c>
      <c r="B1243" s="15">
        <v>65000000</v>
      </c>
      <c r="C1243" s="15">
        <v>72413</v>
      </c>
      <c r="D1243" s="15">
        <v>2015</v>
      </c>
      <c r="E1243" s="15" t="str">
        <f>VLOOKUP(A1243, Currency!$A$2:$B$100, 2, FALSE)</f>
        <v>CNY</v>
      </c>
      <c r="F1243" s="15">
        <f ca="1">IFERROR(__xludf.DUMMYFUNCTION("IF(E1243=""USD"",B1243,B1243 * GOOGLEFINANCE(""CURRENCY:"" &amp; E1243 &amp; ""USD""))
"),8988453.5)</f>
        <v>8988453.5</v>
      </c>
      <c r="G1243" s="16">
        <f ca="1">IFERROR(__xludf.DUMMYFUNCTION("IF(E1243=""USD"",C1243,C1243 * GOOGLEFINANCE(""CURRENCY:"" &amp; E1243 &amp; ""USD""))
"),10013.5520506999)</f>
        <v>10013.5520506999</v>
      </c>
    </row>
    <row r="1244" spans="1:7" ht="15.75" customHeight="1" x14ac:dyDescent="0.25">
      <c r="A1244" s="11" t="s">
        <v>24</v>
      </c>
      <c r="B1244" s="12">
        <v>54000000</v>
      </c>
      <c r="C1244" s="12">
        <v>70496802</v>
      </c>
      <c r="D1244" s="12">
        <v>2005</v>
      </c>
      <c r="E1244" s="12" t="str">
        <f>VLOOKUP(A1244, Currency!$A$2:$B$100, 2, FALSE)</f>
        <v>USD</v>
      </c>
      <c r="F1244" s="12">
        <f ca="1">IFERROR(__xludf.DUMMYFUNCTION("IF(E1244=""USD"",B1244,B1244 * GOOGLEFINANCE(""CURRENCY:"" &amp; E1244 &amp; ""USD""))
"),54000000)</f>
        <v>54000000</v>
      </c>
      <c r="G1244" s="13">
        <f ca="1">IFERROR(__xludf.DUMMYFUNCTION("IF(E1244=""USD"",C1244,C1244 * GOOGLEFINANCE(""CURRENCY:"" &amp; E1244 &amp; ""USD""))
"),70496802)</f>
        <v>70496802</v>
      </c>
    </row>
    <row r="1245" spans="1:7" ht="15.75" customHeight="1" x14ac:dyDescent="0.25">
      <c r="A1245" s="14" t="s">
        <v>24</v>
      </c>
      <c r="B1245" s="15">
        <v>75000000</v>
      </c>
      <c r="C1245" s="15">
        <v>183132370</v>
      </c>
      <c r="D1245" s="15">
        <v>2007</v>
      </c>
      <c r="E1245" s="15" t="str">
        <f>VLOOKUP(A1245, Currency!$A$2:$B$100, 2, FALSE)</f>
        <v>USD</v>
      </c>
      <c r="F1245" s="15">
        <f ca="1">IFERROR(__xludf.DUMMYFUNCTION("IF(E1245=""USD"",B1245,B1245 * GOOGLEFINANCE(""CURRENCY:"" &amp; E1245 &amp; ""USD""))
"),75000000)</f>
        <v>75000000</v>
      </c>
      <c r="G1245" s="16">
        <f ca="1">IFERROR(__xludf.DUMMYFUNCTION("IF(E1245=""USD"",C1245,C1245 * GOOGLEFINANCE(""CURRENCY:"" &amp; E1245 &amp; ""USD""))
"),183132370)</f>
        <v>183132370</v>
      </c>
    </row>
    <row r="1246" spans="1:7" ht="15.75" customHeight="1" x14ac:dyDescent="0.25">
      <c r="A1246" s="11" t="s">
        <v>1551</v>
      </c>
      <c r="B1246" s="12">
        <v>2000000</v>
      </c>
      <c r="C1246" s="12">
        <v>269061</v>
      </c>
      <c r="D1246" s="12">
        <v>1954</v>
      </c>
      <c r="E1246" s="12" t="str">
        <f>VLOOKUP(A1246, Currency!$A$2:$B$100, 2, FALSE)</f>
        <v>JPY</v>
      </c>
      <c r="F1246" s="12">
        <f ca="1">IFERROR(__xludf.DUMMYFUNCTION("IF(E1246=""USD"",B1246,B1246 * GOOGLEFINANCE(""CURRENCY:"" &amp; E1246 &amp; ""USD""))
"),12993.2)</f>
        <v>12993.2</v>
      </c>
      <c r="G1246" s="13">
        <f ca="1">IFERROR(__xludf.DUMMYFUNCTION("IF(E1246=""USD"",C1246,C1246 * GOOGLEFINANCE(""CURRENCY:"" &amp; E1246 &amp; ""USD""))
"),1747.9816926)</f>
        <v>1747.9816926000001</v>
      </c>
    </row>
    <row r="1247" spans="1:7" ht="15.75" customHeight="1" x14ac:dyDescent="0.25">
      <c r="A1247" s="14" t="s">
        <v>627</v>
      </c>
      <c r="B1247" s="15">
        <v>18000000</v>
      </c>
      <c r="C1247" s="15">
        <v>8742261</v>
      </c>
      <c r="D1247" s="15">
        <v>2009</v>
      </c>
      <c r="E1247" s="15" t="str">
        <f>VLOOKUP(A1247, Currency!$A$2:$B$100, 2, FALSE)</f>
        <v>CAD</v>
      </c>
      <c r="F1247" s="15">
        <f ca="1">IFERROR(__xludf.DUMMYFUNCTION("IF(E1247=""USD"",B1247,B1247 * GOOGLEFINANCE(""CURRENCY:"" &amp; E1247 &amp; ""USD""))
"),13021290)</f>
        <v>13021290</v>
      </c>
      <c r="G1247" s="16">
        <f ca="1">IFERROR(__xludf.DUMMYFUNCTION("IF(E1247=""USD"",C1247,C1247 * GOOGLEFINANCE(""CURRENCY:"" &amp; E1247 &amp; ""USD""))
"),6324195.318705)</f>
        <v>6324195.318705</v>
      </c>
    </row>
    <row r="1248" spans="1:7" ht="15.75" customHeight="1" x14ac:dyDescent="0.25">
      <c r="A1248" s="11" t="s">
        <v>149</v>
      </c>
      <c r="B1248" s="12">
        <v>150000000</v>
      </c>
      <c r="C1248" s="12">
        <v>139259759</v>
      </c>
      <c r="D1248" s="12">
        <v>2003</v>
      </c>
      <c r="E1248" s="12" t="str">
        <f>VLOOKUP(A1248, Currency!$A$2:$B$100, 2, FALSE)</f>
        <v>AUD</v>
      </c>
      <c r="F1248" s="12">
        <f ca="1">IFERROR(__xludf.DUMMYFUNCTION("IF(E1248=""USD"",B1248,B1248 * GOOGLEFINANCE(""CURRENCY:"" &amp; E1248 &amp; ""USD""))
"),98082000)</f>
        <v>98082000</v>
      </c>
      <c r="G1248" s="13">
        <f ca="1">IFERROR(__xludf.DUMMYFUNCTION("IF(E1248=""USD"",C1248,C1248 * GOOGLEFINANCE(""CURRENCY:"" &amp; E1248 &amp; ""USD""))
"),91059171.21492)</f>
        <v>91059171.214919999</v>
      </c>
    </row>
    <row r="1249" spans="1:7" ht="15.75" customHeight="1" x14ac:dyDescent="0.25">
      <c r="A1249" s="14" t="s">
        <v>133</v>
      </c>
      <c r="B1249" s="15">
        <v>25000000</v>
      </c>
      <c r="C1249" s="15">
        <v>1186957</v>
      </c>
      <c r="D1249" s="15">
        <v>2008</v>
      </c>
      <c r="E1249" s="15" t="str">
        <f>VLOOKUP(A1249, Currency!$A$2:$B$100, 2, FALSE)</f>
        <v>GBP</v>
      </c>
      <c r="F1249" s="15">
        <f ca="1">IFERROR(__xludf.DUMMYFUNCTION("IF(E1249=""USD"",B1249,B1249 * GOOGLEFINANCE(""CURRENCY:"" &amp; E1249 &amp; ""USD""))
"),32134999.9999999)</f>
        <v>32134999.999999899</v>
      </c>
      <c r="G1249" s="16">
        <f ca="1">IFERROR(__xludf.DUMMYFUNCTION("IF(E1249=""USD"",C1249,C1249 * GOOGLEFINANCE(""CURRENCY:"" &amp; E1249 &amp; ""USD""))
"),1525714.52779999)</f>
        <v>1525714.52779999</v>
      </c>
    </row>
    <row r="1250" spans="1:7" ht="15.75" customHeight="1" x14ac:dyDescent="0.25">
      <c r="A1250" s="11" t="s">
        <v>24</v>
      </c>
      <c r="B1250" s="12">
        <v>113000000</v>
      </c>
      <c r="C1250" s="12">
        <v>380262555</v>
      </c>
      <c r="D1250" s="12">
        <v>2005</v>
      </c>
      <c r="E1250" s="12" t="str">
        <f>VLOOKUP(A1250, Currency!$A$2:$B$100, 2, FALSE)</f>
        <v>USD</v>
      </c>
      <c r="F1250" s="12">
        <f ca="1">IFERROR(__xludf.DUMMYFUNCTION("IF(E1250=""USD"",B1250,B1250 * GOOGLEFINANCE(""CURRENCY:"" &amp; E1250 &amp; ""USD""))
"),113000000)</f>
        <v>113000000</v>
      </c>
      <c r="G1250" s="13">
        <f ca="1">IFERROR(__xludf.DUMMYFUNCTION("IF(E1250=""USD"",C1250,C1250 * GOOGLEFINANCE(""CURRENCY:"" &amp; E1250 &amp; ""USD""))
"),380262555)</f>
        <v>380262555</v>
      </c>
    </row>
    <row r="1251" spans="1:7" ht="15.75" customHeight="1" x14ac:dyDescent="0.25">
      <c r="A1251" s="14" t="s">
        <v>176</v>
      </c>
      <c r="B1251" s="15">
        <v>92000000</v>
      </c>
      <c r="C1251" s="15">
        <v>26871</v>
      </c>
      <c r="D1251" s="15">
        <v>2001</v>
      </c>
      <c r="E1251" s="15" t="str">
        <f>VLOOKUP(A1251, Currency!$A$2:$B$100, 2, FALSE)</f>
        <v>EUR</v>
      </c>
      <c r="F1251" s="15">
        <f ca="1">IFERROR(__xludf.DUMMYFUNCTION("IF(E1251=""USD"",B1251,B1251 * GOOGLEFINANCE(""CURRENCY:"" &amp; E1251 &amp; ""USD""))
"),99796080)</f>
        <v>99796080</v>
      </c>
      <c r="G1251" s="16">
        <f ca="1">IFERROR(__xludf.DUMMYFUNCTION("IF(E1251=""USD"",C1251,C1251 * GOOGLEFINANCE(""CURRENCY:"" &amp; E1251 &amp; ""USD""))
"),29148.04854)</f>
        <v>29148.04854</v>
      </c>
    </row>
    <row r="1252" spans="1:7" ht="15.75" customHeight="1" x14ac:dyDescent="0.25">
      <c r="A1252" s="11" t="s">
        <v>24</v>
      </c>
      <c r="B1252" s="12">
        <v>36000000</v>
      </c>
      <c r="C1252" s="12">
        <v>42019483</v>
      </c>
      <c r="D1252" s="12">
        <v>2014</v>
      </c>
      <c r="E1252" s="12" t="str">
        <f>VLOOKUP(A1252, Currency!$A$2:$B$100, 2, FALSE)</f>
        <v>USD</v>
      </c>
      <c r="F1252" s="12">
        <f ca="1">IFERROR(__xludf.DUMMYFUNCTION("IF(E1252=""USD"",B1252,B1252 * GOOGLEFINANCE(""CURRENCY:"" &amp; E1252 &amp; ""USD""))
"),36000000)</f>
        <v>36000000</v>
      </c>
      <c r="G1252" s="13">
        <f ca="1">IFERROR(__xludf.DUMMYFUNCTION("IF(E1252=""USD"",C1252,C1252 * GOOGLEFINANCE(""CURRENCY:"" &amp; E1252 &amp; ""USD""))
"),42019483)</f>
        <v>42019483</v>
      </c>
    </row>
    <row r="1253" spans="1:7" ht="15.75" customHeight="1" x14ac:dyDescent="0.25">
      <c r="A1253" s="14" t="s">
        <v>24</v>
      </c>
      <c r="B1253" s="15">
        <v>8000000</v>
      </c>
      <c r="C1253" s="15">
        <v>398420</v>
      </c>
      <c r="D1253" s="15">
        <v>2007</v>
      </c>
      <c r="E1253" s="15" t="str">
        <f>VLOOKUP(A1253, Currency!$A$2:$B$100, 2, FALSE)</f>
        <v>USD</v>
      </c>
      <c r="F1253" s="15">
        <f ca="1">IFERROR(__xludf.DUMMYFUNCTION("IF(E1253=""USD"",B1253,B1253 * GOOGLEFINANCE(""CURRENCY:"" &amp; E1253 &amp; ""USD""))
"),8000000)</f>
        <v>8000000</v>
      </c>
      <c r="G1253" s="16">
        <f ca="1">IFERROR(__xludf.DUMMYFUNCTION("IF(E1253=""USD"",C1253,C1253 * GOOGLEFINANCE(""CURRENCY:"" &amp; E1253 &amp; ""USD""))
"),398420)</f>
        <v>398420</v>
      </c>
    </row>
    <row r="1254" spans="1:7" ht="15.75" customHeight="1" x14ac:dyDescent="0.25">
      <c r="A1254" s="11" t="s">
        <v>24</v>
      </c>
      <c r="B1254" s="12">
        <v>70000000</v>
      </c>
      <c r="C1254" s="12">
        <v>52474616</v>
      </c>
      <c r="D1254" s="12">
        <v>2010</v>
      </c>
      <c r="E1254" s="12" t="str">
        <f>VLOOKUP(A1254, Currency!$A$2:$B$100, 2, FALSE)</f>
        <v>USD</v>
      </c>
      <c r="F1254" s="12">
        <f ca="1">IFERROR(__xludf.DUMMYFUNCTION("IF(E1254=""USD"",B1254,B1254 * GOOGLEFINANCE(""CURRENCY:"" &amp; E1254 &amp; ""USD""))
"),70000000)</f>
        <v>70000000</v>
      </c>
      <c r="G1254" s="13">
        <f ca="1">IFERROR(__xludf.DUMMYFUNCTION("IF(E1254=""USD"",C1254,C1254 * GOOGLEFINANCE(""CURRENCY:"" &amp; E1254 &amp; ""USD""))
"),52474616)</f>
        <v>52474616</v>
      </c>
    </row>
    <row r="1255" spans="1:7" ht="15.75" customHeight="1" x14ac:dyDescent="0.25">
      <c r="A1255" s="14" t="s">
        <v>24</v>
      </c>
      <c r="B1255" s="15">
        <v>15000000</v>
      </c>
      <c r="C1255" s="15">
        <v>6373693</v>
      </c>
      <c r="D1255" s="15">
        <v>2009</v>
      </c>
      <c r="E1255" s="15" t="str">
        <f>VLOOKUP(A1255, Currency!$A$2:$B$100, 2, FALSE)</f>
        <v>USD</v>
      </c>
      <c r="F1255" s="15">
        <f ca="1">IFERROR(__xludf.DUMMYFUNCTION("IF(E1255=""USD"",B1255,B1255 * GOOGLEFINANCE(""CURRENCY:"" &amp; E1255 &amp; ""USD""))
"),15000000)</f>
        <v>15000000</v>
      </c>
      <c r="G1255" s="16">
        <f ca="1">IFERROR(__xludf.DUMMYFUNCTION("IF(E1255=""USD"",C1255,C1255 * GOOGLEFINANCE(""CURRENCY:"" &amp; E1255 &amp; ""USD""))
"),6373693)</f>
        <v>6373693</v>
      </c>
    </row>
    <row r="1256" spans="1:7" ht="15.75" customHeight="1" x14ac:dyDescent="0.25">
      <c r="A1256" s="11" t="s">
        <v>24</v>
      </c>
      <c r="B1256" s="12">
        <v>39000000</v>
      </c>
      <c r="C1256" s="12">
        <v>30400000</v>
      </c>
      <c r="D1256" s="12">
        <v>1996</v>
      </c>
      <c r="E1256" s="12" t="str">
        <f>VLOOKUP(A1256, Currency!$A$2:$B$100, 2, FALSE)</f>
        <v>USD</v>
      </c>
      <c r="F1256" s="12">
        <f ca="1">IFERROR(__xludf.DUMMYFUNCTION("IF(E1256=""USD"",B1256,B1256 * GOOGLEFINANCE(""CURRENCY:"" &amp; E1256 &amp; ""USD""))
"),39000000)</f>
        <v>39000000</v>
      </c>
      <c r="G1256" s="13">
        <f ca="1">IFERROR(__xludf.DUMMYFUNCTION("IF(E1256=""USD"",C1256,C1256 * GOOGLEFINANCE(""CURRENCY:"" &amp; E1256 &amp; ""USD""))
"),30400000)</f>
        <v>30400000</v>
      </c>
    </row>
    <row r="1257" spans="1:7" ht="15.75" customHeight="1" x14ac:dyDescent="0.25">
      <c r="A1257" s="14" t="s">
        <v>24</v>
      </c>
      <c r="B1257" s="15">
        <v>47000000</v>
      </c>
      <c r="C1257" s="15">
        <v>15519841</v>
      </c>
      <c r="D1257" s="15">
        <v>2006</v>
      </c>
      <c r="E1257" s="15" t="str">
        <f>VLOOKUP(A1257, Currency!$A$2:$B$100, 2, FALSE)</f>
        <v>USD</v>
      </c>
      <c r="F1257" s="15">
        <f ca="1">IFERROR(__xludf.DUMMYFUNCTION("IF(E1257=""USD"",B1257,B1257 * GOOGLEFINANCE(""CURRENCY:"" &amp; E1257 &amp; ""USD""))
"),47000000)</f>
        <v>47000000</v>
      </c>
      <c r="G1257" s="16">
        <f ca="1">IFERROR(__xludf.DUMMYFUNCTION("IF(E1257=""USD"",C1257,C1257 * GOOGLEFINANCE(""CURRENCY:"" &amp; E1257 &amp; ""USD""))
"),15519841)</f>
        <v>15519841</v>
      </c>
    </row>
    <row r="1258" spans="1:7" ht="15.75" customHeight="1" x14ac:dyDescent="0.25">
      <c r="A1258" s="11" t="s">
        <v>24</v>
      </c>
      <c r="B1258" s="12">
        <v>58000000</v>
      </c>
      <c r="C1258" s="12">
        <v>363024263</v>
      </c>
      <c r="D1258" s="12">
        <v>2016</v>
      </c>
      <c r="E1258" s="12" t="str">
        <f>VLOOKUP(A1258, Currency!$A$2:$B$100, 2, FALSE)</f>
        <v>USD</v>
      </c>
      <c r="F1258" s="12">
        <f ca="1">IFERROR(__xludf.DUMMYFUNCTION("IF(E1258=""USD"",B1258,B1258 * GOOGLEFINANCE(""CURRENCY:"" &amp; E1258 &amp; ""USD""))
"),58000000)</f>
        <v>58000000</v>
      </c>
      <c r="G1258" s="13">
        <f ca="1">IFERROR(__xludf.DUMMYFUNCTION("IF(E1258=""USD"",C1258,C1258 * GOOGLEFINANCE(""CURRENCY:"" &amp; E1258 &amp; ""USD""))
"),363024263)</f>
        <v>363024263</v>
      </c>
    </row>
    <row r="1259" spans="1:7" ht="15.75" customHeight="1" x14ac:dyDescent="0.25">
      <c r="A1259" s="14" t="s">
        <v>24</v>
      </c>
      <c r="B1259" s="15">
        <v>80000000</v>
      </c>
      <c r="C1259" s="15">
        <v>124590960</v>
      </c>
      <c r="D1259" s="15">
        <v>2003</v>
      </c>
      <c r="E1259" s="15" t="str">
        <f>VLOOKUP(A1259, Currency!$A$2:$B$100, 2, FALSE)</f>
        <v>USD</v>
      </c>
      <c r="F1259" s="15">
        <f ca="1">IFERROR(__xludf.DUMMYFUNCTION("IF(E1259=""USD"",B1259,B1259 * GOOGLEFINANCE(""CURRENCY:"" &amp; E1259 &amp; ""USD""))
"),80000000)</f>
        <v>80000000</v>
      </c>
      <c r="G1259" s="16">
        <f ca="1">IFERROR(__xludf.DUMMYFUNCTION("IF(E1259=""USD"",C1259,C1259 * GOOGLEFINANCE(""CURRENCY:"" &amp; E1259 &amp; ""USD""))
"),124590960)</f>
        <v>124590960</v>
      </c>
    </row>
    <row r="1260" spans="1:7" ht="15.75" customHeight="1" x14ac:dyDescent="0.25">
      <c r="A1260" s="11" t="s">
        <v>24</v>
      </c>
      <c r="B1260" s="12">
        <v>960000</v>
      </c>
      <c r="C1260" s="12">
        <v>117235247</v>
      </c>
      <c r="D1260" s="12">
        <v>1976</v>
      </c>
      <c r="E1260" s="12" t="str">
        <f>VLOOKUP(A1260, Currency!$A$2:$B$100, 2, FALSE)</f>
        <v>USD</v>
      </c>
      <c r="F1260" s="12">
        <f ca="1">IFERROR(__xludf.DUMMYFUNCTION("IF(E1260=""USD"",B1260,B1260 * GOOGLEFINANCE(""CURRENCY:"" &amp; E1260 &amp; ""USD""))
"),960000)</f>
        <v>960000</v>
      </c>
      <c r="G1260" s="13">
        <f ca="1">IFERROR(__xludf.DUMMYFUNCTION("IF(E1260=""USD"",C1260,C1260 * GOOGLEFINANCE(""CURRENCY:"" &amp; E1260 &amp; ""USD""))
"),117235247)</f>
        <v>117235247</v>
      </c>
    </row>
    <row r="1261" spans="1:7" ht="15.75" customHeight="1" x14ac:dyDescent="0.25">
      <c r="A1261" s="14" t="s">
        <v>133</v>
      </c>
      <c r="B1261" s="15">
        <v>12000000</v>
      </c>
      <c r="C1261" s="15">
        <v>37707719</v>
      </c>
      <c r="D1261" s="15">
        <v>2013</v>
      </c>
      <c r="E1261" s="15" t="str">
        <f>VLOOKUP(A1261, Currency!$A$2:$B$100, 2, FALSE)</f>
        <v>GBP</v>
      </c>
      <c r="F1261" s="15">
        <f ca="1">IFERROR(__xludf.DUMMYFUNCTION("IF(E1261=""USD"",B1261,B1261 * GOOGLEFINANCE(""CURRENCY:"" &amp; E1261 &amp; ""USD""))
"),15424799.9999999)</f>
        <v>15424799.999999899</v>
      </c>
      <c r="G1261" s="16">
        <f ca="1">IFERROR(__xludf.DUMMYFUNCTION("IF(E1261=""USD"",C1261,C1261 * GOOGLEFINANCE(""CURRENCY:"" &amp; E1261 &amp; ""USD""))
"),48469502.0025999)</f>
        <v>48469502.002599902</v>
      </c>
    </row>
    <row r="1262" spans="1:7" ht="15.75" customHeight="1" x14ac:dyDescent="0.25">
      <c r="A1262" s="11" t="s">
        <v>24</v>
      </c>
      <c r="B1262" s="12">
        <v>1000000</v>
      </c>
      <c r="C1262" s="12">
        <v>96734</v>
      </c>
      <c r="D1262" s="12">
        <v>2012</v>
      </c>
      <c r="E1262" s="12" t="str">
        <f>VLOOKUP(A1262, Currency!$A$2:$B$100, 2, FALSE)</f>
        <v>USD</v>
      </c>
      <c r="F1262" s="12">
        <f ca="1">IFERROR(__xludf.DUMMYFUNCTION("IF(E1262=""USD"",B1262,B1262 * GOOGLEFINANCE(""CURRENCY:"" &amp; E1262 &amp; ""USD""))
"),1000000)</f>
        <v>1000000</v>
      </c>
      <c r="G1262" s="13">
        <f ca="1">IFERROR(__xludf.DUMMYFUNCTION("IF(E1262=""USD"",C1262,C1262 * GOOGLEFINANCE(""CURRENCY:"" &amp; E1262 &amp; ""USD""))
"),96734)</f>
        <v>96734</v>
      </c>
    </row>
    <row r="1263" spans="1:7" ht="15.75" customHeight="1" x14ac:dyDescent="0.25">
      <c r="A1263" s="14" t="s">
        <v>24</v>
      </c>
      <c r="B1263" s="15">
        <v>15000000</v>
      </c>
      <c r="C1263" s="15">
        <v>41777564</v>
      </c>
      <c r="D1263" s="15">
        <v>2006</v>
      </c>
      <c r="E1263" s="15" t="str">
        <f>VLOOKUP(A1263, Currency!$A$2:$B$100, 2, FALSE)</f>
        <v>USD</v>
      </c>
      <c r="F1263" s="15">
        <f ca="1">IFERROR(__xludf.DUMMYFUNCTION("IF(E1263=""USD"",B1263,B1263 * GOOGLEFINANCE(""CURRENCY:"" &amp; E1263 &amp; ""USD""))
"),15000000)</f>
        <v>15000000</v>
      </c>
      <c r="G1263" s="16">
        <f ca="1">IFERROR(__xludf.DUMMYFUNCTION("IF(E1263=""USD"",C1263,C1263 * GOOGLEFINANCE(""CURRENCY:"" &amp; E1263 &amp; ""USD""))
"),41777564)</f>
        <v>41777564</v>
      </c>
    </row>
    <row r="1264" spans="1:7" ht="15.75" customHeight="1" x14ac:dyDescent="0.25">
      <c r="A1264" s="11" t="s">
        <v>133</v>
      </c>
      <c r="B1264" s="12">
        <v>15000000</v>
      </c>
      <c r="C1264" s="12">
        <v>7757130</v>
      </c>
      <c r="D1264" s="12">
        <v>2008</v>
      </c>
      <c r="E1264" s="12" t="str">
        <f>VLOOKUP(A1264, Currency!$A$2:$B$100, 2, FALSE)</f>
        <v>GBP</v>
      </c>
      <c r="F1264" s="12">
        <f ca="1">IFERROR(__xludf.DUMMYFUNCTION("IF(E1264=""USD"",B1264,B1264 * GOOGLEFINANCE(""CURRENCY:"" &amp; E1264 &amp; ""USD""))
"),19281000)</f>
        <v>19281000</v>
      </c>
      <c r="G1264" s="13">
        <f ca="1">IFERROR(__xludf.DUMMYFUNCTION("IF(E1264=""USD"",C1264,C1264 * GOOGLEFINANCE(""CURRENCY:"" &amp; E1264 &amp; ""USD""))
"),9971014.90199999)</f>
        <v>9971014.9019999895</v>
      </c>
    </row>
    <row r="1265" spans="1:7" ht="15.75" customHeight="1" x14ac:dyDescent="0.25">
      <c r="A1265" s="14" t="s">
        <v>24</v>
      </c>
      <c r="B1265" s="15">
        <v>60000000</v>
      </c>
      <c r="C1265" s="15">
        <v>143151473</v>
      </c>
      <c r="D1265" s="15">
        <v>2008</v>
      </c>
      <c r="E1265" s="15" t="str">
        <f>VLOOKUP(A1265, Currency!$A$2:$B$100, 2, FALSE)</f>
        <v>USD</v>
      </c>
      <c r="F1265" s="15">
        <f ca="1">IFERROR(__xludf.DUMMYFUNCTION("IF(E1265=""USD"",B1265,B1265 * GOOGLEFINANCE(""CURRENCY:"" &amp; E1265 &amp; ""USD""))
"),60000000)</f>
        <v>60000000</v>
      </c>
      <c r="G1265" s="16">
        <f ca="1">IFERROR(__xludf.DUMMYFUNCTION("IF(E1265=""USD"",C1265,C1265 * GOOGLEFINANCE(""CURRENCY:"" &amp; E1265 &amp; ""USD""))
"),143151473)</f>
        <v>143151473</v>
      </c>
    </row>
    <row r="1266" spans="1:7" ht="15.75" customHeight="1" x14ac:dyDescent="0.25">
      <c r="A1266" s="11" t="s">
        <v>24</v>
      </c>
      <c r="B1266" s="12">
        <v>17000000</v>
      </c>
      <c r="C1266" s="12">
        <v>2000000</v>
      </c>
      <c r="D1266" s="12">
        <v>1981</v>
      </c>
      <c r="E1266" s="12" t="str">
        <f>VLOOKUP(A1266, Currency!$A$2:$B$100, 2, FALSE)</f>
        <v>USD</v>
      </c>
      <c r="F1266" s="12">
        <f ca="1">IFERROR(__xludf.DUMMYFUNCTION("IF(E1266=""USD"",B1266,B1266 * GOOGLEFINANCE(""CURRENCY:"" &amp; E1266 &amp; ""USD""))
"),17000000)</f>
        <v>17000000</v>
      </c>
      <c r="G1266" s="13">
        <f ca="1">IFERROR(__xludf.DUMMYFUNCTION("IF(E1266=""USD"",C1266,C1266 * GOOGLEFINANCE(""CURRENCY:"" &amp; E1266 &amp; ""USD""))
"),2000000)</f>
        <v>2000000</v>
      </c>
    </row>
    <row r="1267" spans="1:7" ht="15.75" customHeight="1" x14ac:dyDescent="0.25">
      <c r="A1267" s="14" t="s">
        <v>611</v>
      </c>
      <c r="B1267" s="15">
        <v>60000000</v>
      </c>
      <c r="C1267" s="15">
        <v>231417</v>
      </c>
      <c r="D1267" s="15">
        <v>1997</v>
      </c>
      <c r="E1267" s="15" t="str">
        <f>VLOOKUP(A1267, Currency!$A$2:$B$100, 2, FALSE)</f>
        <v>EUR</v>
      </c>
      <c r="F1267" s="15">
        <f ca="1">IFERROR(__xludf.DUMMYFUNCTION("IF(E1267=""USD"",B1267,B1267 * GOOGLEFINANCE(""CURRENCY:"" &amp; E1267 &amp; ""USD""))
"),65084400)</f>
        <v>65084400</v>
      </c>
      <c r="G1267" s="16">
        <f ca="1">IFERROR(__xludf.DUMMYFUNCTION("IF(E1267=""USD"",C1267,C1267 * GOOGLEFINANCE(""CURRENCY:"" &amp; E1267 &amp; ""USD""))
"),251027.27658)</f>
        <v>251027.27658000001</v>
      </c>
    </row>
    <row r="1268" spans="1:7" ht="15.75" customHeight="1" x14ac:dyDescent="0.25">
      <c r="A1268" s="11" t="s">
        <v>24</v>
      </c>
      <c r="B1268" s="12">
        <v>37000000</v>
      </c>
      <c r="C1268" s="12">
        <v>56044241</v>
      </c>
      <c r="D1268" s="12">
        <v>2004</v>
      </c>
      <c r="E1268" s="12" t="str">
        <f>VLOOKUP(A1268, Currency!$A$2:$B$100, 2, FALSE)</f>
        <v>USD</v>
      </c>
      <c r="F1268" s="12">
        <f ca="1">IFERROR(__xludf.DUMMYFUNCTION("IF(E1268=""USD"",B1268,B1268 * GOOGLEFINANCE(""CURRENCY:"" &amp; E1268 &amp; ""USD""))
"),37000000)</f>
        <v>37000000</v>
      </c>
      <c r="G1268" s="13">
        <f ca="1">IFERROR(__xludf.DUMMYFUNCTION("IF(E1268=""USD"",C1268,C1268 * GOOGLEFINANCE(""CURRENCY:"" &amp; E1268 &amp; ""USD""))
"),56044241)</f>
        <v>56044241</v>
      </c>
    </row>
    <row r="1269" spans="1:7" ht="15.75" customHeight="1" x14ac:dyDescent="0.25">
      <c r="A1269" s="14" t="s">
        <v>41</v>
      </c>
      <c r="B1269" s="15">
        <v>13500000</v>
      </c>
      <c r="C1269" s="15">
        <v>85433</v>
      </c>
      <c r="D1269" s="15">
        <v>2013</v>
      </c>
      <c r="E1269" s="15" t="str">
        <f>VLOOKUP(A1269, Currency!$A$2:$B$100, 2, FALSE)</f>
        <v>EUR</v>
      </c>
      <c r="F1269" s="15">
        <f ca="1">IFERROR(__xludf.DUMMYFUNCTION("IF(E1269=""USD"",B1269,B1269 * GOOGLEFINANCE(""CURRENCY:"" &amp; E1269 &amp; ""USD""))
"),14643990)</f>
        <v>14643990</v>
      </c>
      <c r="G1269" s="16">
        <f ca="1">IFERROR(__xludf.DUMMYFUNCTION("IF(E1269=""USD"",C1269,C1269 * GOOGLEFINANCE(""CURRENCY:"" &amp; E1269 &amp; ""USD""))
"),92672.59242)</f>
        <v>92672.592420000001</v>
      </c>
    </row>
    <row r="1270" spans="1:7" ht="15.75" customHeight="1" x14ac:dyDescent="0.25">
      <c r="A1270" s="11" t="s">
        <v>24</v>
      </c>
      <c r="B1270" s="12">
        <v>18000000</v>
      </c>
      <c r="C1270" s="12">
        <v>22452209</v>
      </c>
      <c r="D1270" s="12">
        <v>2009</v>
      </c>
      <c r="E1270" s="12" t="str">
        <f>VLOOKUP(A1270, Currency!$A$2:$B$100, 2, FALSE)</f>
        <v>USD</v>
      </c>
      <c r="F1270" s="12">
        <f ca="1">IFERROR(__xludf.DUMMYFUNCTION("IF(E1270=""USD"",B1270,B1270 * GOOGLEFINANCE(""CURRENCY:"" &amp; E1270 &amp; ""USD""))
"),18000000)</f>
        <v>18000000</v>
      </c>
      <c r="G1270" s="13">
        <f ca="1">IFERROR(__xludf.DUMMYFUNCTION("IF(E1270=""USD"",C1270,C1270 * GOOGLEFINANCE(""CURRENCY:"" &amp; E1270 &amp; ""USD""))
"),22452209)</f>
        <v>22452209</v>
      </c>
    </row>
    <row r="1271" spans="1:7" ht="15.75" customHeight="1" x14ac:dyDescent="0.25">
      <c r="A1271" s="14" t="s">
        <v>24</v>
      </c>
      <c r="B1271" s="15">
        <v>10000000</v>
      </c>
      <c r="C1271" s="15">
        <v>21589307</v>
      </c>
      <c r="D1271" s="15">
        <v>2012</v>
      </c>
      <c r="E1271" s="15" t="str">
        <f>VLOOKUP(A1271, Currency!$A$2:$B$100, 2, FALSE)</f>
        <v>USD</v>
      </c>
      <c r="F1271" s="15">
        <f ca="1">IFERROR(__xludf.DUMMYFUNCTION("IF(E1271=""USD"",B1271,B1271 * GOOGLEFINANCE(""CURRENCY:"" &amp; E1271 &amp; ""USD""))
"),10000000)</f>
        <v>10000000</v>
      </c>
      <c r="G1271" s="16">
        <f ca="1">IFERROR(__xludf.DUMMYFUNCTION("IF(E1271=""USD"",C1271,C1271 * GOOGLEFINANCE(""CURRENCY:"" &amp; E1271 &amp; ""USD""))
"),21589307)</f>
        <v>21589307</v>
      </c>
    </row>
    <row r="1272" spans="1:7" ht="15.75" customHeight="1" x14ac:dyDescent="0.25">
      <c r="A1272" s="11" t="s">
        <v>24</v>
      </c>
      <c r="B1272" s="12">
        <v>10000000</v>
      </c>
      <c r="C1272" s="12">
        <v>138339411</v>
      </c>
      <c r="D1272" s="12">
        <v>1997</v>
      </c>
      <c r="E1272" s="12" t="str">
        <f>VLOOKUP(A1272, Currency!$A$2:$B$100, 2, FALSE)</f>
        <v>USD</v>
      </c>
      <c r="F1272" s="12">
        <f ca="1">IFERROR(__xludf.DUMMYFUNCTION("IF(E1272=""USD"",B1272,B1272 * GOOGLEFINANCE(""CURRENCY:"" &amp; E1272 &amp; ""USD""))
"),10000000)</f>
        <v>10000000</v>
      </c>
      <c r="G1272" s="13">
        <f ca="1">IFERROR(__xludf.DUMMYFUNCTION("IF(E1272=""USD"",C1272,C1272 * GOOGLEFINANCE(""CURRENCY:"" &amp; E1272 &amp; ""USD""))
"),138339411)</f>
        <v>138339411</v>
      </c>
    </row>
    <row r="1273" spans="1:7" ht="15.75" customHeight="1" x14ac:dyDescent="0.25">
      <c r="A1273" s="14" t="s">
        <v>133</v>
      </c>
      <c r="B1273" s="15">
        <v>2000000</v>
      </c>
      <c r="C1273" s="15">
        <v>1134049</v>
      </c>
      <c r="D1273" s="15">
        <v>2007</v>
      </c>
      <c r="E1273" s="15" t="str">
        <f>VLOOKUP(A1273, Currency!$A$2:$B$100, 2, FALSE)</f>
        <v>GBP</v>
      </c>
      <c r="F1273" s="15">
        <f ca="1">IFERROR(__xludf.DUMMYFUNCTION("IF(E1273=""USD"",B1273,B1273 * GOOGLEFINANCE(""CURRENCY:"" &amp; E1273 &amp; ""USD""))
"),2570799.99999999)</f>
        <v>2570799.9999999902</v>
      </c>
      <c r="G1273" s="16">
        <f ca="1">IFERROR(__xludf.DUMMYFUNCTION("IF(E1273=""USD"",C1273,C1273 * GOOGLEFINANCE(""CURRENCY:"" &amp; E1273 &amp; ""USD""))
"),1457706.5846)</f>
        <v>1457706.5845999999</v>
      </c>
    </row>
    <row r="1274" spans="1:7" ht="15.75" customHeight="1" x14ac:dyDescent="0.25">
      <c r="A1274" s="11" t="s">
        <v>24</v>
      </c>
      <c r="B1274" s="12">
        <v>32000000</v>
      </c>
      <c r="C1274" s="12">
        <v>48814909</v>
      </c>
      <c r="D1274" s="12">
        <v>2000</v>
      </c>
      <c r="E1274" s="12" t="str">
        <f>VLOOKUP(A1274, Currency!$A$2:$B$100, 2, FALSE)</f>
        <v>USD</v>
      </c>
      <c r="F1274" s="12">
        <f ca="1">IFERROR(__xludf.DUMMYFUNCTION("IF(E1274=""USD"",B1274,B1274 * GOOGLEFINANCE(""CURRENCY:"" &amp; E1274 &amp; ""USD""))
"),32000000)</f>
        <v>32000000</v>
      </c>
      <c r="G1274" s="13">
        <f ca="1">IFERROR(__xludf.DUMMYFUNCTION("IF(E1274=""USD"",C1274,C1274 * GOOGLEFINANCE(""CURRENCY:"" &amp; E1274 &amp; ""USD""))
"),48814909)</f>
        <v>48814909</v>
      </c>
    </row>
    <row r="1275" spans="1:7" ht="15.75" customHeight="1" x14ac:dyDescent="0.25">
      <c r="A1275" s="14" t="s">
        <v>24</v>
      </c>
      <c r="B1275" s="15">
        <v>54000000</v>
      </c>
      <c r="C1275" s="15">
        <v>5660084</v>
      </c>
      <c r="D1275" s="15">
        <v>2003</v>
      </c>
      <c r="E1275" s="15" t="str">
        <f>VLOOKUP(A1275, Currency!$A$2:$B$100, 2, FALSE)</f>
        <v>USD</v>
      </c>
      <c r="F1275" s="15">
        <f ca="1">IFERROR(__xludf.DUMMYFUNCTION("IF(E1275=""USD"",B1275,B1275 * GOOGLEFINANCE(""CURRENCY:"" &amp; E1275 &amp; ""USD""))
"),54000000)</f>
        <v>54000000</v>
      </c>
      <c r="G1275" s="16">
        <f ca="1">IFERROR(__xludf.DUMMYFUNCTION("IF(E1275=""USD"",C1275,C1275 * GOOGLEFINANCE(""CURRENCY:"" &amp; E1275 &amp; ""USD""))
"),5660084)</f>
        <v>5660084</v>
      </c>
    </row>
    <row r="1276" spans="1:7" ht="15.75" customHeight="1" x14ac:dyDescent="0.25">
      <c r="A1276" s="11" t="s">
        <v>24</v>
      </c>
      <c r="B1276" s="12">
        <v>60000000</v>
      </c>
      <c r="C1276" s="12">
        <v>71844424</v>
      </c>
      <c r="D1276" s="12">
        <v>2009</v>
      </c>
      <c r="E1276" s="12" t="str">
        <f>VLOOKUP(A1276, Currency!$A$2:$B$100, 2, FALSE)</f>
        <v>USD</v>
      </c>
      <c r="F1276" s="12">
        <f ca="1">IFERROR(__xludf.DUMMYFUNCTION("IF(E1276=""USD"",B1276,B1276 * GOOGLEFINANCE(""CURRENCY:"" &amp; E1276 &amp; ""USD""))
"),60000000)</f>
        <v>60000000</v>
      </c>
      <c r="G1276" s="13">
        <f ca="1">IFERROR(__xludf.DUMMYFUNCTION("IF(E1276=""USD"",C1276,C1276 * GOOGLEFINANCE(""CURRENCY:"" &amp; E1276 &amp; ""USD""))
"),71844424)</f>
        <v>71844424</v>
      </c>
    </row>
    <row r="1277" spans="1:7" ht="15.75" customHeight="1" x14ac:dyDescent="0.25">
      <c r="A1277" s="14" t="s">
        <v>133</v>
      </c>
      <c r="B1277" s="15">
        <v>2000000</v>
      </c>
      <c r="C1277" s="15">
        <v>2706659</v>
      </c>
      <c r="D1277" s="15">
        <v>2006</v>
      </c>
      <c r="E1277" s="15" t="str">
        <f>VLOOKUP(A1277, Currency!$A$2:$B$100, 2, FALSE)</f>
        <v>GBP</v>
      </c>
      <c r="F1277" s="15">
        <f ca="1">IFERROR(__xludf.DUMMYFUNCTION("IF(E1277=""USD"",B1277,B1277 * GOOGLEFINANCE(""CURRENCY:"" &amp; E1277 &amp; ""USD""))
"),2570799.99999999)</f>
        <v>2570799.9999999902</v>
      </c>
      <c r="G1277" s="16">
        <f ca="1">IFERROR(__xludf.DUMMYFUNCTION("IF(E1277=""USD"",C1277,C1277 * GOOGLEFINANCE(""CURRENCY:"" &amp; E1277 &amp; ""USD""))
"),3479139.47859999)</f>
        <v>3479139.4785999898</v>
      </c>
    </row>
    <row r="1278" spans="1:7" ht="15.75" customHeight="1" x14ac:dyDescent="0.25">
      <c r="A1278" s="11" t="s">
        <v>24</v>
      </c>
      <c r="B1278" s="12">
        <v>18000000</v>
      </c>
      <c r="C1278" s="12">
        <v>51600000</v>
      </c>
      <c r="D1278" s="12">
        <v>1984</v>
      </c>
      <c r="E1278" s="12" t="str">
        <f>VLOOKUP(A1278, Currency!$A$2:$B$100, 2, FALSE)</f>
        <v>USD</v>
      </c>
      <c r="F1278" s="12">
        <f ca="1">IFERROR(__xludf.DUMMYFUNCTION("IF(E1278=""USD"",B1278,B1278 * GOOGLEFINANCE(""CURRENCY:"" &amp; E1278 &amp; ""USD""))
"),18000000)</f>
        <v>18000000</v>
      </c>
      <c r="G1278" s="13">
        <f ca="1">IFERROR(__xludf.DUMMYFUNCTION("IF(E1278=""USD"",C1278,C1278 * GOOGLEFINANCE(""CURRENCY:"" &amp; E1278 &amp; ""USD""))
"),51600000)</f>
        <v>51600000</v>
      </c>
    </row>
    <row r="1279" spans="1:7" ht="15.75" customHeight="1" x14ac:dyDescent="0.25">
      <c r="A1279" s="14" t="s">
        <v>24</v>
      </c>
      <c r="B1279" s="15">
        <v>700000</v>
      </c>
      <c r="C1279" s="15">
        <v>2694973</v>
      </c>
      <c r="D1279" s="15">
        <v>2006</v>
      </c>
      <c r="E1279" s="15" t="str">
        <f>VLOOKUP(A1279, Currency!$A$2:$B$100, 2, FALSE)</f>
        <v>USD</v>
      </c>
      <c r="F1279" s="15">
        <f ca="1">IFERROR(__xludf.DUMMYFUNCTION("IF(E1279=""USD"",B1279,B1279 * GOOGLEFINANCE(""CURRENCY:"" &amp; E1279 &amp; ""USD""))
"),700000)</f>
        <v>700000</v>
      </c>
      <c r="G1279" s="16">
        <f ca="1">IFERROR(__xludf.DUMMYFUNCTION("IF(E1279=""USD"",C1279,C1279 * GOOGLEFINANCE(""CURRENCY:"" &amp; E1279 &amp; ""USD""))
"),2694973)</f>
        <v>2694973</v>
      </c>
    </row>
    <row r="1280" spans="1:7" ht="15.75" customHeight="1" x14ac:dyDescent="0.25">
      <c r="A1280" s="11" t="s">
        <v>149</v>
      </c>
      <c r="B1280" s="12">
        <v>12305523</v>
      </c>
      <c r="C1280" s="12">
        <v>36200000</v>
      </c>
      <c r="D1280" s="12">
        <v>1985</v>
      </c>
      <c r="E1280" s="12" t="str">
        <f>VLOOKUP(A1280, Currency!$A$2:$B$100, 2, FALSE)</f>
        <v>AUD</v>
      </c>
      <c r="F1280" s="12">
        <f ca="1">IFERROR(__xludf.DUMMYFUNCTION("IF(E1280=""USD"",B1280,B1280 * GOOGLEFINANCE(""CURRENCY:"" &amp; E1280 &amp; ""USD""))
"),8046335.37924)</f>
        <v>8046335.3792399997</v>
      </c>
      <c r="G1280" s="13">
        <f ca="1">IFERROR(__xludf.DUMMYFUNCTION("IF(E1280=""USD"",C1280,C1280 * GOOGLEFINANCE(""CURRENCY:"" &amp; E1280 &amp; ""USD""))
"),23670456)</f>
        <v>23670456</v>
      </c>
    </row>
    <row r="1281" spans="1:7" ht="15.75" customHeight="1" x14ac:dyDescent="0.25">
      <c r="A1281" s="14" t="s">
        <v>24</v>
      </c>
      <c r="B1281" s="15">
        <v>30000000</v>
      </c>
      <c r="C1281" s="15">
        <v>22526144</v>
      </c>
      <c r="D1281" s="15">
        <v>2006</v>
      </c>
      <c r="E1281" s="15" t="str">
        <f>VLOOKUP(A1281, Currency!$A$2:$B$100, 2, FALSE)</f>
        <v>USD</v>
      </c>
      <c r="F1281" s="15">
        <f ca="1">IFERROR(__xludf.DUMMYFUNCTION("IF(E1281=""USD"",B1281,B1281 * GOOGLEFINANCE(""CURRENCY:"" &amp; E1281 &amp; ""USD""))
"),30000000)</f>
        <v>30000000</v>
      </c>
      <c r="G1281" s="16">
        <f ca="1">IFERROR(__xludf.DUMMYFUNCTION("IF(E1281=""USD"",C1281,C1281 * GOOGLEFINANCE(""CURRENCY:"" &amp; E1281 &amp; ""USD""))
"),22526144)</f>
        <v>22526144</v>
      </c>
    </row>
    <row r="1282" spans="1:7" ht="15.75" customHeight="1" x14ac:dyDescent="0.25">
      <c r="A1282" s="11" t="s">
        <v>24</v>
      </c>
      <c r="B1282" s="12">
        <v>15000000</v>
      </c>
      <c r="C1282" s="12">
        <v>13060843</v>
      </c>
      <c r="D1282" s="12">
        <v>2002</v>
      </c>
      <c r="E1282" s="12" t="str">
        <f>VLOOKUP(A1282, Currency!$A$2:$B$100, 2, FALSE)</f>
        <v>USD</v>
      </c>
      <c r="F1282" s="12">
        <f ca="1">IFERROR(__xludf.DUMMYFUNCTION("IF(E1282=""USD"",B1282,B1282 * GOOGLEFINANCE(""CURRENCY:"" &amp; E1282 &amp; ""USD""))
"),15000000)</f>
        <v>15000000</v>
      </c>
      <c r="G1282" s="13">
        <f ca="1">IFERROR(__xludf.DUMMYFUNCTION("IF(E1282=""USD"",C1282,C1282 * GOOGLEFINANCE(""CURRENCY:"" &amp; E1282 &amp; ""USD""))
"),13060843)</f>
        <v>13060843</v>
      </c>
    </row>
    <row r="1283" spans="1:7" ht="15.75" customHeight="1" x14ac:dyDescent="0.25">
      <c r="A1283" s="14" t="s">
        <v>24</v>
      </c>
      <c r="B1283" s="15">
        <v>439000</v>
      </c>
      <c r="C1283" s="15">
        <v>2300000</v>
      </c>
      <c r="D1283" s="15">
        <v>1933</v>
      </c>
      <c r="E1283" s="15" t="str">
        <f>VLOOKUP(A1283, Currency!$A$2:$B$100, 2, FALSE)</f>
        <v>USD</v>
      </c>
      <c r="F1283" s="15">
        <f ca="1">IFERROR(__xludf.DUMMYFUNCTION("IF(E1283=""USD"",B1283,B1283 * GOOGLEFINANCE(""CURRENCY:"" &amp; E1283 &amp; ""USD""))
"),439000)</f>
        <v>439000</v>
      </c>
      <c r="G1283" s="16">
        <f ca="1">IFERROR(__xludf.DUMMYFUNCTION("IF(E1283=""USD"",C1283,C1283 * GOOGLEFINANCE(""CURRENCY:"" &amp; E1283 &amp; ""USD""))
"),2300000)</f>
        <v>2300000</v>
      </c>
    </row>
    <row r="1284" spans="1:7" ht="15.75" customHeight="1" x14ac:dyDescent="0.25">
      <c r="A1284" s="11" t="s">
        <v>133</v>
      </c>
      <c r="B1284" s="12">
        <v>60000000</v>
      </c>
      <c r="C1284" s="12">
        <v>28031250</v>
      </c>
      <c r="D1284" s="12">
        <v>2005</v>
      </c>
      <c r="E1284" s="12" t="str">
        <f>VLOOKUP(A1284, Currency!$A$2:$B$100, 2, FALSE)</f>
        <v>GBP</v>
      </c>
      <c r="F1284" s="12">
        <f ca="1">IFERROR(__xludf.DUMMYFUNCTION("IF(E1284=""USD"",B1284,B1284 * GOOGLEFINANCE(""CURRENCY:"" &amp; E1284 &amp; ""USD""))
"),77124000)</f>
        <v>77124000</v>
      </c>
      <c r="G1284" s="13">
        <f ca="1">IFERROR(__xludf.DUMMYFUNCTION("IF(E1284=""USD"",C1284,C1284 * GOOGLEFINANCE(""CURRENCY:"" &amp; E1284 &amp; ""USD""))
"),36031368.75)</f>
        <v>36031368.75</v>
      </c>
    </row>
    <row r="1285" spans="1:7" ht="15.75" customHeight="1" x14ac:dyDescent="0.25">
      <c r="A1285" s="14" t="s">
        <v>133</v>
      </c>
      <c r="B1285" s="15">
        <v>135000000</v>
      </c>
      <c r="C1285" s="15">
        <v>126930660</v>
      </c>
      <c r="D1285" s="15">
        <v>1999</v>
      </c>
      <c r="E1285" s="15" t="str">
        <f>VLOOKUP(A1285, Currency!$A$2:$B$100, 2, FALSE)</f>
        <v>GBP</v>
      </c>
      <c r="F1285" s="15">
        <f ca="1">IFERROR(__xludf.DUMMYFUNCTION("IF(E1285=""USD"",B1285,B1285 * GOOGLEFINANCE(""CURRENCY:"" &amp; E1285 &amp; ""USD""))
"),173528999.999999)</f>
        <v>173528999.99999899</v>
      </c>
      <c r="G1285" s="16">
        <f ca="1">IFERROR(__xludf.DUMMYFUNCTION("IF(E1285=""USD"",C1285,C1285 * GOOGLEFINANCE(""CURRENCY:"" &amp; E1285 &amp; ""USD""))
"),163156670.364)</f>
        <v>163156670.36399999</v>
      </c>
    </row>
    <row r="1286" spans="1:7" ht="15.75" customHeight="1" x14ac:dyDescent="0.25">
      <c r="A1286" s="11" t="s">
        <v>24</v>
      </c>
      <c r="B1286" s="12">
        <v>70000000</v>
      </c>
      <c r="C1286" s="12">
        <v>43426961</v>
      </c>
      <c r="D1286" s="12">
        <v>2003</v>
      </c>
      <c r="E1286" s="12" t="str">
        <f>VLOOKUP(A1286, Currency!$A$2:$B$100, 2, FALSE)</f>
        <v>USD</v>
      </c>
      <c r="F1286" s="12">
        <f ca="1">IFERROR(__xludf.DUMMYFUNCTION("IF(E1286=""USD"",B1286,B1286 * GOOGLEFINANCE(""CURRENCY:"" &amp; E1286 &amp; ""USD""))
"),70000000)</f>
        <v>70000000</v>
      </c>
      <c r="G1286" s="13">
        <f ca="1">IFERROR(__xludf.DUMMYFUNCTION("IF(E1286=""USD"",C1286,C1286 * GOOGLEFINANCE(""CURRENCY:"" &amp; E1286 &amp; ""USD""))
"),43426961)</f>
        <v>43426961</v>
      </c>
    </row>
    <row r="1287" spans="1:7" ht="15.75" customHeight="1" x14ac:dyDescent="0.25">
      <c r="A1287" s="14" t="s">
        <v>611</v>
      </c>
      <c r="B1287" s="15">
        <v>50000000</v>
      </c>
      <c r="C1287" s="15">
        <v>30306268</v>
      </c>
      <c r="D1287" s="15">
        <v>1995</v>
      </c>
      <c r="E1287" s="15" t="str">
        <f>VLOOKUP(A1287, Currency!$A$2:$B$100, 2, FALSE)</f>
        <v>EUR</v>
      </c>
      <c r="F1287" s="15">
        <f ca="1">IFERROR(__xludf.DUMMYFUNCTION("IF(E1287=""USD"",B1287,B1287 * GOOGLEFINANCE(""CURRENCY:"" &amp; E1287 &amp; ""USD""))
"),54237000)</f>
        <v>54237000</v>
      </c>
      <c r="G1287" s="16">
        <f ca="1">IFERROR(__xludf.DUMMYFUNCTION("IF(E1287=""USD"",C1287,C1287 * GOOGLEFINANCE(""CURRENCY:"" &amp; E1287 &amp; ""USD""))
"),32874421.15032)</f>
        <v>32874421.150320001</v>
      </c>
    </row>
    <row r="1288" spans="1:7" ht="15.75" customHeight="1" x14ac:dyDescent="0.25">
      <c r="A1288" s="11" t="s">
        <v>24</v>
      </c>
      <c r="B1288" s="12">
        <v>110000000</v>
      </c>
      <c r="C1288" s="12">
        <v>134520804</v>
      </c>
      <c r="D1288" s="12">
        <v>2007</v>
      </c>
      <c r="E1288" s="12" t="str">
        <f>VLOOKUP(A1288, Currency!$A$2:$B$100, 2, FALSE)</f>
        <v>USD</v>
      </c>
      <c r="F1288" s="12">
        <f ca="1">IFERROR(__xludf.DUMMYFUNCTION("IF(E1288=""USD"",B1288,B1288 * GOOGLEFINANCE(""CURRENCY:"" &amp; E1288 &amp; ""USD""))
"),110000000)</f>
        <v>110000000</v>
      </c>
      <c r="G1288" s="13">
        <f ca="1">IFERROR(__xludf.DUMMYFUNCTION("IF(E1288=""USD"",C1288,C1288 * GOOGLEFINANCE(""CURRENCY:"" &amp; E1288 &amp; ""USD""))
"),134520804)</f>
        <v>134520804</v>
      </c>
    </row>
    <row r="1289" spans="1:7" ht="15.75" customHeight="1" x14ac:dyDescent="0.25">
      <c r="A1289" s="14" t="s">
        <v>24</v>
      </c>
      <c r="B1289" s="15">
        <v>40000000</v>
      </c>
      <c r="C1289" s="15">
        <v>125069696</v>
      </c>
      <c r="D1289" s="15">
        <v>2013</v>
      </c>
      <c r="E1289" s="15" t="str">
        <f>VLOOKUP(A1289, Currency!$A$2:$B$100, 2, FALSE)</f>
        <v>USD</v>
      </c>
      <c r="F1289" s="15">
        <f ca="1">IFERROR(__xludf.DUMMYFUNCTION("IF(E1289=""USD"",B1289,B1289 * GOOGLEFINANCE(""CURRENCY:"" &amp; E1289 &amp; ""USD""))
"),40000000)</f>
        <v>40000000</v>
      </c>
      <c r="G1289" s="16">
        <f ca="1">IFERROR(__xludf.DUMMYFUNCTION("IF(E1289=""USD"",C1289,C1289 * GOOGLEFINANCE(""CURRENCY:"" &amp; E1289 &amp; ""USD""))
"),125069696)</f>
        <v>125069696</v>
      </c>
    </row>
    <row r="1290" spans="1:7" ht="15.75" customHeight="1" x14ac:dyDescent="0.25">
      <c r="A1290" s="11" t="s">
        <v>24</v>
      </c>
      <c r="B1290" s="12">
        <v>30000000</v>
      </c>
      <c r="C1290" s="12">
        <v>115648585</v>
      </c>
      <c r="D1290" s="12">
        <v>2000</v>
      </c>
      <c r="E1290" s="12" t="str">
        <f>VLOOKUP(A1290, Currency!$A$2:$B$100, 2, FALSE)</f>
        <v>USD</v>
      </c>
      <c r="F1290" s="12">
        <f ca="1">IFERROR(__xludf.DUMMYFUNCTION("IF(E1290=""USD"",B1290,B1290 * GOOGLEFINANCE(""CURRENCY:"" &amp; E1290 &amp; ""USD""))
"),30000000)</f>
        <v>30000000</v>
      </c>
      <c r="G1290" s="13">
        <f ca="1">IFERROR(__xludf.DUMMYFUNCTION("IF(E1290=""USD"",C1290,C1290 * GOOGLEFINANCE(""CURRENCY:"" &amp; E1290 &amp; ""USD""))
"),115648585)</f>
        <v>115648585</v>
      </c>
    </row>
    <row r="1291" spans="1:7" ht="15.75" customHeight="1" x14ac:dyDescent="0.25">
      <c r="A1291" s="14" t="s">
        <v>611</v>
      </c>
      <c r="B1291" s="15">
        <v>25000000</v>
      </c>
      <c r="C1291" s="15">
        <v>36833473</v>
      </c>
      <c r="D1291" s="15">
        <v>2001</v>
      </c>
      <c r="E1291" s="15" t="str">
        <f>VLOOKUP(A1291, Currency!$A$2:$B$100, 2, FALSE)</f>
        <v>EUR</v>
      </c>
      <c r="F1291" s="15">
        <f ca="1">IFERROR(__xludf.DUMMYFUNCTION("IF(E1291=""USD"",B1291,B1291 * GOOGLEFINANCE(""CURRENCY:"" &amp; E1291 &amp; ""USD""))
"),27118500)</f>
        <v>27118500</v>
      </c>
      <c r="G1291" s="16">
        <f ca="1">IFERROR(__xludf.DUMMYFUNCTION("IF(E1291=""USD"",C1291,C1291 * GOOGLEFINANCE(""CURRENCY:"" &amp; E1291 &amp; ""USD""))
"),39954741.50202)</f>
        <v>39954741.502020001</v>
      </c>
    </row>
    <row r="1292" spans="1:7" ht="15.75" customHeight="1" x14ac:dyDescent="0.25">
      <c r="A1292" s="11" t="s">
        <v>611</v>
      </c>
      <c r="B1292" s="12">
        <v>22000000</v>
      </c>
      <c r="C1292" s="12">
        <v>1050445</v>
      </c>
      <c r="D1292" s="12">
        <v>2005</v>
      </c>
      <c r="E1292" s="12" t="str">
        <f>VLOOKUP(A1292, Currency!$A$2:$B$100, 2, FALSE)</f>
        <v>EUR</v>
      </c>
      <c r="F1292" s="12">
        <f ca="1">IFERROR(__xludf.DUMMYFUNCTION("IF(E1292=""USD"",B1292,B1292 * GOOGLEFINANCE(""CURRENCY:"" &amp; E1292 &amp; ""USD""))
"),23864280)</f>
        <v>23864280</v>
      </c>
      <c r="G1292" s="13">
        <f ca="1">IFERROR(__xludf.DUMMYFUNCTION("IF(E1292=""USD"",C1292,C1292 * GOOGLEFINANCE(""CURRENCY:"" &amp; E1292 &amp; ""USD""))
"),1139459.7093)</f>
        <v>1139459.7093</v>
      </c>
    </row>
    <row r="1293" spans="1:7" ht="15.75" customHeight="1" x14ac:dyDescent="0.25">
      <c r="A1293" s="14" t="s">
        <v>24</v>
      </c>
      <c r="B1293" s="15">
        <v>70000000</v>
      </c>
      <c r="C1293" s="15">
        <v>74329966</v>
      </c>
      <c r="D1293" s="15">
        <v>1998</v>
      </c>
      <c r="E1293" s="15" t="str">
        <f>VLOOKUP(A1293, Currency!$A$2:$B$100, 2, FALSE)</f>
        <v>USD</v>
      </c>
      <c r="F1293" s="15">
        <f ca="1">IFERROR(__xludf.DUMMYFUNCTION("IF(E1293=""USD"",B1293,B1293 * GOOGLEFINANCE(""CURRENCY:"" &amp; E1293 &amp; ""USD""))
"),70000000)</f>
        <v>70000000</v>
      </c>
      <c r="G1293" s="16">
        <f ca="1">IFERROR(__xludf.DUMMYFUNCTION("IF(E1293=""USD"",C1293,C1293 * GOOGLEFINANCE(""CURRENCY:"" &amp; E1293 &amp; ""USD""))
"),74329966)</f>
        <v>74329966</v>
      </c>
    </row>
    <row r="1294" spans="1:7" ht="15.75" customHeight="1" x14ac:dyDescent="0.25">
      <c r="A1294" s="11" t="s">
        <v>24</v>
      </c>
      <c r="B1294" s="12">
        <v>100000000</v>
      </c>
      <c r="C1294" s="12">
        <v>72660029</v>
      </c>
      <c r="D1294" s="12">
        <v>2014</v>
      </c>
      <c r="E1294" s="12" t="str">
        <f>VLOOKUP(A1294, Currency!$A$2:$B$100, 2, FALSE)</f>
        <v>USD</v>
      </c>
      <c r="F1294" s="12">
        <f ca="1">IFERROR(__xludf.DUMMYFUNCTION("IF(E1294=""USD"",B1294,B1294 * GOOGLEFINANCE(""CURRENCY:"" &amp; E1294 &amp; ""USD""))
"),100000000)</f>
        <v>100000000</v>
      </c>
      <c r="G1294" s="13">
        <f ca="1">IFERROR(__xludf.DUMMYFUNCTION("IF(E1294=""USD"",C1294,C1294 * GOOGLEFINANCE(""CURRENCY:"" &amp; E1294 &amp; ""USD""))
"),72660029)</f>
        <v>72660029</v>
      </c>
    </row>
    <row r="1295" spans="1:7" ht="15.75" customHeight="1" x14ac:dyDescent="0.25">
      <c r="A1295" s="14" t="s">
        <v>24</v>
      </c>
      <c r="B1295" s="15">
        <v>20000000</v>
      </c>
      <c r="C1295" s="15">
        <v>34126138</v>
      </c>
      <c r="D1295" s="15">
        <v>2004</v>
      </c>
      <c r="E1295" s="15" t="str">
        <f>VLOOKUP(A1295, Currency!$A$2:$B$100, 2, FALSE)</f>
        <v>USD</v>
      </c>
      <c r="F1295" s="15">
        <f ca="1">IFERROR(__xludf.DUMMYFUNCTION("IF(E1295=""USD"",B1295,B1295 * GOOGLEFINANCE(""CURRENCY:"" &amp; E1295 &amp; ""USD""))
"),20000000)</f>
        <v>20000000</v>
      </c>
      <c r="G1295" s="16">
        <f ca="1">IFERROR(__xludf.DUMMYFUNCTION("IF(E1295=""USD"",C1295,C1295 * GOOGLEFINANCE(""CURRENCY:"" &amp; E1295 &amp; ""USD""))
"),34126138)</f>
        <v>34126138</v>
      </c>
    </row>
    <row r="1296" spans="1:7" ht="15.75" customHeight="1" x14ac:dyDescent="0.25">
      <c r="A1296" s="11" t="s">
        <v>24</v>
      </c>
      <c r="B1296" s="12">
        <v>14000000</v>
      </c>
      <c r="C1296" s="12">
        <v>25482931</v>
      </c>
      <c r="D1296" s="12">
        <v>2002</v>
      </c>
      <c r="E1296" s="12" t="str">
        <f>VLOOKUP(A1296, Currency!$A$2:$B$100, 2, FALSE)</f>
        <v>USD</v>
      </c>
      <c r="F1296" s="12">
        <f ca="1">IFERROR(__xludf.DUMMYFUNCTION("IF(E1296=""USD"",B1296,B1296 * GOOGLEFINANCE(""CURRENCY:"" &amp; E1296 &amp; ""USD""))
"),14000000)</f>
        <v>14000000</v>
      </c>
      <c r="G1296" s="13">
        <f ca="1">IFERROR(__xludf.DUMMYFUNCTION("IF(E1296=""USD"",C1296,C1296 * GOOGLEFINANCE(""CURRENCY:"" &amp; E1296 &amp; ""USD""))
"),25482931)</f>
        <v>25482931</v>
      </c>
    </row>
    <row r="1297" spans="1:7" ht="15.75" customHeight="1" x14ac:dyDescent="0.25">
      <c r="A1297" s="14" t="s">
        <v>24</v>
      </c>
      <c r="B1297" s="15">
        <v>17000000</v>
      </c>
      <c r="C1297" s="15">
        <v>4930798</v>
      </c>
      <c r="D1297" s="15">
        <v>2012</v>
      </c>
      <c r="E1297" s="15" t="str">
        <f>VLOOKUP(A1297, Currency!$A$2:$B$100, 2, FALSE)</f>
        <v>USD</v>
      </c>
      <c r="F1297" s="15">
        <f ca="1">IFERROR(__xludf.DUMMYFUNCTION("IF(E1297=""USD"",B1297,B1297 * GOOGLEFINANCE(""CURRENCY:"" &amp; E1297 &amp; ""USD""))
"),17000000)</f>
        <v>17000000</v>
      </c>
      <c r="G1297" s="16">
        <f ca="1">IFERROR(__xludf.DUMMYFUNCTION("IF(E1297=""USD"",C1297,C1297 * GOOGLEFINANCE(""CURRENCY:"" &amp; E1297 &amp; ""USD""))
"),4930798)</f>
        <v>4930798</v>
      </c>
    </row>
    <row r="1298" spans="1:7" ht="15.75" customHeight="1" x14ac:dyDescent="0.25">
      <c r="A1298" s="11" t="s">
        <v>24</v>
      </c>
      <c r="B1298" s="12">
        <v>45000000</v>
      </c>
      <c r="C1298" s="12">
        <v>170684505</v>
      </c>
      <c r="D1298" s="12">
        <v>2002</v>
      </c>
      <c r="E1298" s="12" t="str">
        <f>VLOOKUP(A1298, Currency!$A$2:$B$100, 2, FALSE)</f>
        <v>USD</v>
      </c>
      <c r="F1298" s="12">
        <f ca="1">IFERROR(__xludf.DUMMYFUNCTION("IF(E1298=""USD"",B1298,B1298 * GOOGLEFINANCE(""CURRENCY:"" &amp; E1298 &amp; ""USD""))
"),45000000)</f>
        <v>45000000</v>
      </c>
      <c r="G1298" s="13">
        <f ca="1">IFERROR(__xludf.DUMMYFUNCTION("IF(E1298=""USD"",C1298,C1298 * GOOGLEFINANCE(""CURRENCY:"" &amp; E1298 &amp; ""USD""))
"),170684505)</f>
        <v>170684505</v>
      </c>
    </row>
    <row r="1299" spans="1:7" ht="15.75" customHeight="1" x14ac:dyDescent="0.25">
      <c r="A1299" s="14" t="s">
        <v>24</v>
      </c>
      <c r="B1299" s="15">
        <v>37000000</v>
      </c>
      <c r="C1299" s="15">
        <v>69148997</v>
      </c>
      <c r="D1299" s="15">
        <v>2004</v>
      </c>
      <c r="E1299" s="15" t="str">
        <f>VLOOKUP(A1299, Currency!$A$2:$B$100, 2, FALSE)</f>
        <v>USD</v>
      </c>
      <c r="F1299" s="15">
        <f ca="1">IFERROR(__xludf.DUMMYFUNCTION("IF(E1299=""USD"",B1299,B1299 * GOOGLEFINANCE(""CURRENCY:"" &amp; E1299 &amp; ""USD""))
"),37000000)</f>
        <v>37000000</v>
      </c>
      <c r="G1299" s="16">
        <f ca="1">IFERROR(__xludf.DUMMYFUNCTION("IF(E1299=""USD"",C1299,C1299 * GOOGLEFINANCE(""CURRENCY:"" &amp; E1299 &amp; ""USD""))
"),69148997)</f>
        <v>69148997</v>
      </c>
    </row>
    <row r="1300" spans="1:7" ht="15.75" customHeight="1" x14ac:dyDescent="0.25">
      <c r="A1300" s="11" t="s">
        <v>24</v>
      </c>
      <c r="B1300" s="12">
        <v>4000000</v>
      </c>
      <c r="C1300" s="12">
        <v>371897</v>
      </c>
      <c r="D1300" s="12">
        <v>2013</v>
      </c>
      <c r="E1300" s="12" t="str">
        <f>VLOOKUP(A1300, Currency!$A$2:$B$100, 2, FALSE)</f>
        <v>USD</v>
      </c>
      <c r="F1300" s="12">
        <f ca="1">IFERROR(__xludf.DUMMYFUNCTION("IF(E1300=""USD"",B1300,B1300 * GOOGLEFINANCE(""CURRENCY:"" &amp; E1300 &amp; ""USD""))
"),4000000)</f>
        <v>4000000</v>
      </c>
      <c r="G1300" s="13">
        <f ca="1">IFERROR(__xludf.DUMMYFUNCTION("IF(E1300=""USD"",C1300,C1300 * GOOGLEFINANCE(""CURRENCY:"" &amp; E1300 &amp; ""USD""))
"),371897)</f>
        <v>371897</v>
      </c>
    </row>
    <row r="1301" spans="1:7" ht="15.75" customHeight="1" x14ac:dyDescent="0.25">
      <c r="A1301" s="14" t="s">
        <v>24</v>
      </c>
      <c r="B1301" s="15">
        <v>427000</v>
      </c>
      <c r="C1301" s="15">
        <v>2833383</v>
      </c>
      <c r="D1301" s="15">
        <v>2012</v>
      </c>
      <c r="E1301" s="15" t="str">
        <f>VLOOKUP(A1301, Currency!$A$2:$B$100, 2, FALSE)</f>
        <v>USD</v>
      </c>
      <c r="F1301" s="15">
        <f ca="1">IFERROR(__xludf.DUMMYFUNCTION("IF(E1301=""USD"",B1301,B1301 * GOOGLEFINANCE(""CURRENCY:"" &amp; E1301 &amp; ""USD""))
"),427000)</f>
        <v>427000</v>
      </c>
      <c r="G1301" s="16">
        <f ca="1">IFERROR(__xludf.DUMMYFUNCTION("IF(E1301=""USD"",C1301,C1301 * GOOGLEFINANCE(""CURRENCY:"" &amp; E1301 &amp; ""USD""))
"),2833383)</f>
        <v>2833383</v>
      </c>
    </row>
    <row r="1302" spans="1:7" ht="15.75" customHeight="1" x14ac:dyDescent="0.25">
      <c r="A1302" s="11" t="s">
        <v>24</v>
      </c>
      <c r="B1302" s="12">
        <v>25000000</v>
      </c>
      <c r="C1302" s="12">
        <v>16118077</v>
      </c>
      <c r="D1302" s="12">
        <v>1988</v>
      </c>
      <c r="E1302" s="12" t="str">
        <f>VLOOKUP(A1302, Currency!$A$2:$B$100, 2, FALSE)</f>
        <v>USD</v>
      </c>
      <c r="F1302" s="12">
        <f ca="1">IFERROR(__xludf.DUMMYFUNCTION("IF(E1302=""USD"",B1302,B1302 * GOOGLEFINANCE(""CURRENCY:"" &amp; E1302 &amp; ""USD""))
"),25000000)</f>
        <v>25000000</v>
      </c>
      <c r="G1302" s="13">
        <f ca="1">IFERROR(__xludf.DUMMYFUNCTION("IF(E1302=""USD"",C1302,C1302 * GOOGLEFINANCE(""CURRENCY:"" &amp; E1302 &amp; ""USD""))
"),16118077)</f>
        <v>16118077</v>
      </c>
    </row>
    <row r="1303" spans="1:7" ht="15.75" customHeight="1" x14ac:dyDescent="0.25">
      <c r="A1303" s="14" t="s">
        <v>24</v>
      </c>
      <c r="B1303" s="15">
        <v>150000000</v>
      </c>
      <c r="C1303" s="15">
        <v>206456431</v>
      </c>
      <c r="D1303" s="15">
        <v>2005</v>
      </c>
      <c r="E1303" s="15" t="str">
        <f>VLOOKUP(A1303, Currency!$A$2:$B$100, 2, FALSE)</f>
        <v>USD</v>
      </c>
      <c r="F1303" s="15">
        <f ca="1">IFERROR(__xludf.DUMMYFUNCTION("IF(E1303=""USD"",B1303,B1303 * GOOGLEFINANCE(""CURRENCY:"" &amp; E1303 &amp; ""USD""))
"),150000000)</f>
        <v>150000000</v>
      </c>
      <c r="G1303" s="16">
        <f ca="1">IFERROR(__xludf.DUMMYFUNCTION("IF(E1303=""USD"",C1303,C1303 * GOOGLEFINANCE(""CURRENCY:"" &amp; E1303 &amp; ""USD""))
"),206456431)</f>
        <v>206456431</v>
      </c>
    </row>
    <row r="1304" spans="1:7" ht="15.75" customHeight="1" x14ac:dyDescent="0.25">
      <c r="A1304" s="11" t="s">
        <v>24</v>
      </c>
      <c r="B1304" s="12">
        <v>30000000</v>
      </c>
      <c r="C1304" s="12">
        <v>17120019</v>
      </c>
      <c r="D1304" s="12">
        <v>2012</v>
      </c>
      <c r="E1304" s="12" t="str">
        <f>VLOOKUP(A1304, Currency!$A$2:$B$100, 2, FALSE)</f>
        <v>USD</v>
      </c>
      <c r="F1304" s="12">
        <f ca="1">IFERROR(__xludf.DUMMYFUNCTION("IF(E1304=""USD"",B1304,B1304 * GOOGLEFINANCE(""CURRENCY:"" &amp; E1304 &amp; ""USD""))
"),30000000)</f>
        <v>30000000</v>
      </c>
      <c r="G1304" s="13">
        <f ca="1">IFERROR(__xludf.DUMMYFUNCTION("IF(E1304=""USD"",C1304,C1304 * GOOGLEFINANCE(""CURRENCY:"" &amp; E1304 &amp; ""USD""))
"),17120019)</f>
        <v>17120019</v>
      </c>
    </row>
    <row r="1305" spans="1:7" ht="15.75" customHeight="1" x14ac:dyDescent="0.25">
      <c r="A1305" s="14" t="s">
        <v>24</v>
      </c>
      <c r="B1305" s="15">
        <v>220000000</v>
      </c>
      <c r="C1305" s="15">
        <v>623279547</v>
      </c>
      <c r="D1305" s="15">
        <v>2012</v>
      </c>
      <c r="E1305" s="15" t="str">
        <f>VLOOKUP(A1305, Currency!$A$2:$B$100, 2, FALSE)</f>
        <v>USD</v>
      </c>
      <c r="F1305" s="15">
        <f ca="1">IFERROR(__xludf.DUMMYFUNCTION("IF(E1305=""USD"",B1305,B1305 * GOOGLEFINANCE(""CURRENCY:"" &amp; E1305 &amp; ""USD""))
"),220000000)</f>
        <v>220000000</v>
      </c>
      <c r="G1305" s="16">
        <f ca="1">IFERROR(__xludf.DUMMYFUNCTION("IF(E1305=""USD"",C1305,C1305 * GOOGLEFINANCE(""CURRENCY:"" &amp; E1305 &amp; ""USD""))
"),623279547)</f>
        <v>623279547</v>
      </c>
    </row>
    <row r="1306" spans="1:7" ht="15.75" customHeight="1" x14ac:dyDescent="0.25">
      <c r="A1306" s="11" t="s">
        <v>24</v>
      </c>
      <c r="B1306" s="12">
        <v>49000000</v>
      </c>
      <c r="C1306" s="12">
        <v>43905746</v>
      </c>
      <c r="D1306" s="12">
        <v>2001</v>
      </c>
      <c r="E1306" s="12" t="str">
        <f>VLOOKUP(A1306, Currency!$A$2:$B$100, 2, FALSE)</f>
        <v>USD</v>
      </c>
      <c r="F1306" s="12">
        <f ca="1">IFERROR(__xludf.DUMMYFUNCTION("IF(E1306=""USD"",B1306,B1306 * GOOGLEFINANCE(""CURRENCY:"" &amp; E1306 &amp; ""USD""))
"),49000000)</f>
        <v>49000000</v>
      </c>
      <c r="G1306" s="13">
        <f ca="1">IFERROR(__xludf.DUMMYFUNCTION("IF(E1306=""USD"",C1306,C1306 * GOOGLEFINANCE(""CURRENCY:"" &amp; E1306 &amp; ""USD""))
"),43905746)</f>
        <v>43905746</v>
      </c>
    </row>
    <row r="1307" spans="1:7" ht="15.75" customHeight="1" x14ac:dyDescent="0.25">
      <c r="A1307" s="14" t="s">
        <v>24</v>
      </c>
      <c r="B1307" s="15">
        <v>25000000</v>
      </c>
      <c r="C1307" s="15">
        <v>24042490</v>
      </c>
      <c r="D1307" s="15">
        <v>2010</v>
      </c>
      <c r="E1307" s="15" t="str">
        <f>VLOOKUP(A1307, Currency!$A$2:$B$100, 2, FALSE)</f>
        <v>USD</v>
      </c>
      <c r="F1307" s="15">
        <f ca="1">IFERROR(__xludf.DUMMYFUNCTION("IF(E1307=""USD"",B1307,B1307 * GOOGLEFINANCE(""CURRENCY:"" &amp; E1307 &amp; ""USD""))
"),25000000)</f>
        <v>25000000</v>
      </c>
      <c r="G1307" s="16">
        <f ca="1">IFERROR(__xludf.DUMMYFUNCTION("IF(E1307=""USD"",C1307,C1307 * GOOGLEFINANCE(""CURRENCY:"" &amp; E1307 &amp; ""USD""))
"),24042490)</f>
        <v>24042490</v>
      </c>
    </row>
    <row r="1308" spans="1:7" ht="15.75" customHeight="1" x14ac:dyDescent="0.25">
      <c r="A1308" s="11" t="s">
        <v>24</v>
      </c>
      <c r="B1308" s="12">
        <v>50000000</v>
      </c>
      <c r="C1308" s="12">
        <v>51019112</v>
      </c>
      <c r="D1308" s="12">
        <v>2005</v>
      </c>
      <c r="E1308" s="12" t="str">
        <f>VLOOKUP(A1308, Currency!$A$2:$B$100, 2, FALSE)</f>
        <v>USD</v>
      </c>
      <c r="F1308" s="12">
        <f ca="1">IFERROR(__xludf.DUMMYFUNCTION("IF(E1308=""USD"",B1308,B1308 * GOOGLEFINANCE(""CURRENCY:"" &amp; E1308 &amp; ""USD""))
"),50000000)</f>
        <v>50000000</v>
      </c>
      <c r="G1308" s="13">
        <f ca="1">IFERROR(__xludf.DUMMYFUNCTION("IF(E1308=""USD"",C1308,C1308 * GOOGLEFINANCE(""CURRENCY:"" &amp; E1308 &amp; ""USD""))
"),51019112)</f>
        <v>51019112</v>
      </c>
    </row>
    <row r="1309" spans="1:7" ht="15.75" customHeight="1" x14ac:dyDescent="0.25">
      <c r="A1309" s="14" t="s">
        <v>24</v>
      </c>
      <c r="B1309" s="15">
        <v>30000000</v>
      </c>
      <c r="C1309" s="15">
        <v>20981633</v>
      </c>
      <c r="D1309" s="15">
        <v>2008</v>
      </c>
      <c r="E1309" s="15" t="str">
        <f>VLOOKUP(A1309, Currency!$A$2:$B$100, 2, FALSE)</f>
        <v>USD</v>
      </c>
      <c r="F1309" s="15">
        <f ca="1">IFERROR(__xludf.DUMMYFUNCTION("IF(E1309=""USD"",B1309,B1309 * GOOGLEFINANCE(""CURRENCY:"" &amp; E1309 &amp; ""USD""))
"),30000000)</f>
        <v>30000000</v>
      </c>
      <c r="G1309" s="16">
        <f ca="1">IFERROR(__xludf.DUMMYFUNCTION("IF(E1309=""USD"",C1309,C1309 * GOOGLEFINANCE(""CURRENCY:"" &amp; E1309 &amp; ""USD""))
"),20981633)</f>
        <v>20981633</v>
      </c>
    </row>
    <row r="1310" spans="1:7" ht="15.75" customHeight="1" x14ac:dyDescent="0.25">
      <c r="A1310" s="11" t="s">
        <v>24</v>
      </c>
      <c r="B1310" s="12">
        <v>18000000</v>
      </c>
      <c r="C1310" s="12">
        <v>26830000</v>
      </c>
      <c r="D1310" s="12">
        <v>1989</v>
      </c>
      <c r="E1310" s="12" t="str">
        <f>VLOOKUP(A1310, Currency!$A$2:$B$100, 2, FALSE)</f>
        <v>USD</v>
      </c>
      <c r="F1310" s="12">
        <f ca="1">IFERROR(__xludf.DUMMYFUNCTION("IF(E1310=""USD"",B1310,B1310 * GOOGLEFINANCE(""CURRENCY:"" &amp; E1310 &amp; ""USD""))
"),18000000)</f>
        <v>18000000</v>
      </c>
      <c r="G1310" s="13">
        <f ca="1">IFERROR(__xludf.DUMMYFUNCTION("IF(E1310=""USD"",C1310,C1310 * GOOGLEFINANCE(""CURRENCY:"" &amp; E1310 &amp; ""USD""))
"),26830000)</f>
        <v>26830000</v>
      </c>
    </row>
    <row r="1311" spans="1:7" ht="15.75" customHeight="1" x14ac:dyDescent="0.25">
      <c r="A1311" s="14" t="s">
        <v>24</v>
      </c>
      <c r="B1311" s="15">
        <v>11000000</v>
      </c>
      <c r="C1311" s="15">
        <v>13558739</v>
      </c>
      <c r="D1311" s="15">
        <v>2001</v>
      </c>
      <c r="E1311" s="15" t="str">
        <f>VLOOKUP(A1311, Currency!$A$2:$B$100, 2, FALSE)</f>
        <v>USD</v>
      </c>
      <c r="F1311" s="15">
        <f ca="1">IFERROR(__xludf.DUMMYFUNCTION("IF(E1311=""USD"",B1311,B1311 * GOOGLEFINANCE(""CURRENCY:"" &amp; E1311 &amp; ""USD""))
"),11000000)</f>
        <v>11000000</v>
      </c>
      <c r="G1311" s="16">
        <f ca="1">IFERROR(__xludf.DUMMYFUNCTION("IF(E1311=""USD"",C1311,C1311 * GOOGLEFINANCE(""CURRENCY:"" &amp; E1311 &amp; ""USD""))
"),13558739)</f>
        <v>13558739</v>
      </c>
    </row>
    <row r="1312" spans="1:7" ht="15.75" customHeight="1" x14ac:dyDescent="0.25">
      <c r="A1312" s="11" t="s">
        <v>24</v>
      </c>
      <c r="B1312" s="12">
        <v>50000000</v>
      </c>
      <c r="C1312" s="12">
        <v>296623634</v>
      </c>
      <c r="D1312" s="12">
        <v>2009</v>
      </c>
      <c r="E1312" s="12" t="str">
        <f>VLOOKUP(A1312, Currency!$A$2:$B$100, 2, FALSE)</f>
        <v>USD</v>
      </c>
      <c r="F1312" s="12">
        <f ca="1">IFERROR(__xludf.DUMMYFUNCTION("IF(E1312=""USD"",B1312,B1312 * GOOGLEFINANCE(""CURRENCY:"" &amp; E1312 &amp; ""USD""))
"),50000000)</f>
        <v>50000000</v>
      </c>
      <c r="G1312" s="13">
        <f ca="1">IFERROR(__xludf.DUMMYFUNCTION("IF(E1312=""USD"",C1312,C1312 * GOOGLEFINANCE(""CURRENCY:"" &amp; E1312 &amp; ""USD""))
"),296623634)</f>
        <v>296623634</v>
      </c>
    </row>
    <row r="1313" spans="1:7" ht="15.75" customHeight="1" x14ac:dyDescent="0.25">
      <c r="A1313" s="14" t="s">
        <v>24</v>
      </c>
      <c r="B1313" s="15">
        <v>225000000</v>
      </c>
      <c r="C1313" s="15">
        <v>291021565</v>
      </c>
      <c r="D1313" s="15">
        <v>2013</v>
      </c>
      <c r="E1313" s="15" t="str">
        <f>VLOOKUP(A1313, Currency!$A$2:$B$100, 2, FALSE)</f>
        <v>USD</v>
      </c>
      <c r="F1313" s="15">
        <f ca="1">IFERROR(__xludf.DUMMYFUNCTION("IF(E1313=""USD"",B1313,B1313 * GOOGLEFINANCE(""CURRENCY:"" &amp; E1313 &amp; ""USD""))
"),225000000)</f>
        <v>225000000</v>
      </c>
      <c r="G1313" s="16">
        <f ca="1">IFERROR(__xludf.DUMMYFUNCTION("IF(E1313=""USD"",C1313,C1313 * GOOGLEFINANCE(""CURRENCY:"" &amp; E1313 &amp; ""USD""))
"),291021565)</f>
        <v>291021565</v>
      </c>
    </row>
    <row r="1314" spans="1:7" ht="15.75" customHeight="1" x14ac:dyDescent="0.25">
      <c r="A1314" s="11" t="s">
        <v>24</v>
      </c>
      <c r="B1314" s="12">
        <v>22000000</v>
      </c>
      <c r="C1314" s="12">
        <v>19783777</v>
      </c>
      <c r="D1314" s="12">
        <v>2013</v>
      </c>
      <c r="E1314" s="12" t="str">
        <f>VLOOKUP(A1314, Currency!$A$2:$B$100, 2, FALSE)</f>
        <v>USD</v>
      </c>
      <c r="F1314" s="12">
        <f ca="1">IFERROR(__xludf.DUMMYFUNCTION("IF(E1314=""USD"",B1314,B1314 * GOOGLEFINANCE(""CURRENCY:"" &amp; E1314 &amp; ""USD""))
"),22000000)</f>
        <v>22000000</v>
      </c>
      <c r="G1314" s="13">
        <f ca="1">IFERROR(__xludf.DUMMYFUNCTION("IF(E1314=""USD"",C1314,C1314 * GOOGLEFINANCE(""CURRENCY:"" &amp; E1314 &amp; ""USD""))
"),19783777)</f>
        <v>19783777</v>
      </c>
    </row>
    <row r="1315" spans="1:7" ht="15.75" customHeight="1" x14ac:dyDescent="0.25">
      <c r="A1315" s="14" t="s">
        <v>24</v>
      </c>
      <c r="B1315" s="15">
        <v>28000000</v>
      </c>
      <c r="C1315" s="15">
        <v>70235322</v>
      </c>
      <c r="D1315" s="15">
        <v>2015</v>
      </c>
      <c r="E1315" s="15" t="str">
        <f>VLOOKUP(A1315, Currency!$A$2:$B$100, 2, FALSE)</f>
        <v>USD</v>
      </c>
      <c r="F1315" s="15">
        <f ca="1">IFERROR(__xludf.DUMMYFUNCTION("IF(E1315=""USD"",B1315,B1315 * GOOGLEFINANCE(""CURRENCY:"" &amp; E1315 &amp; ""USD""))
"),28000000)</f>
        <v>28000000</v>
      </c>
      <c r="G1315" s="16">
        <f ca="1">IFERROR(__xludf.DUMMYFUNCTION("IF(E1315=""USD"",C1315,C1315 * GOOGLEFINANCE(""CURRENCY:"" &amp; E1315 &amp; ""USD""))
"),70235322)</f>
        <v>70235322</v>
      </c>
    </row>
    <row r="1316" spans="1:7" ht="15.75" customHeight="1" x14ac:dyDescent="0.25">
      <c r="A1316" s="11" t="s">
        <v>24</v>
      </c>
      <c r="B1316" s="12">
        <v>127500000</v>
      </c>
      <c r="C1316" s="12">
        <v>137748063</v>
      </c>
      <c r="D1316" s="12">
        <v>2000</v>
      </c>
      <c r="E1316" s="12" t="str">
        <f>VLOOKUP(A1316, Currency!$A$2:$B$100, 2, FALSE)</f>
        <v>USD</v>
      </c>
      <c r="F1316" s="12">
        <f ca="1">IFERROR(__xludf.DUMMYFUNCTION("IF(E1316=""USD"",B1316,B1316 * GOOGLEFINANCE(""CURRENCY:"" &amp; E1316 &amp; ""USD""))
"),127500000)</f>
        <v>127500000</v>
      </c>
      <c r="G1316" s="13">
        <f ca="1">IFERROR(__xludf.DUMMYFUNCTION("IF(E1316=""USD"",C1316,C1316 * GOOGLEFINANCE(""CURRENCY:"" &amp; E1316 &amp; ""USD""))
"),137748063)</f>
        <v>137748063</v>
      </c>
    </row>
    <row r="1317" spans="1:7" ht="15.75" customHeight="1" x14ac:dyDescent="0.25">
      <c r="A1317" s="14" t="s">
        <v>24</v>
      </c>
      <c r="B1317" s="15">
        <v>20000000</v>
      </c>
      <c r="C1317" s="15">
        <v>23393765</v>
      </c>
      <c r="D1317" s="15">
        <v>2014</v>
      </c>
      <c r="E1317" s="15" t="str">
        <f>VLOOKUP(A1317, Currency!$A$2:$B$100, 2, FALSE)</f>
        <v>USD</v>
      </c>
      <c r="F1317" s="15">
        <f ca="1">IFERROR(__xludf.DUMMYFUNCTION("IF(E1317=""USD"",B1317,B1317 * GOOGLEFINANCE(""CURRENCY:"" &amp; E1317 &amp; ""USD""))
"),20000000)</f>
        <v>20000000</v>
      </c>
      <c r="G1317" s="16">
        <f ca="1">IFERROR(__xludf.DUMMYFUNCTION("IF(E1317=""USD"",C1317,C1317 * GOOGLEFINANCE(""CURRENCY:"" &amp; E1317 &amp; ""USD""))
"),23393765)</f>
        <v>23393765</v>
      </c>
    </row>
    <row r="1318" spans="1:7" ht="15.75" customHeight="1" x14ac:dyDescent="0.25">
      <c r="A1318" s="11" t="s">
        <v>133</v>
      </c>
      <c r="B1318" s="12">
        <v>110000000</v>
      </c>
      <c r="C1318" s="12">
        <v>125332007</v>
      </c>
      <c r="D1318" s="12">
        <v>1997</v>
      </c>
      <c r="E1318" s="12" t="str">
        <f>VLOOKUP(A1318, Currency!$A$2:$B$100, 2, FALSE)</f>
        <v>GBP</v>
      </c>
      <c r="F1318" s="12">
        <f ca="1">IFERROR(__xludf.DUMMYFUNCTION("IF(E1318=""USD"",B1318,B1318 * GOOGLEFINANCE(""CURRENCY:"" &amp; E1318 &amp; ""USD""))
"),141394000)</f>
        <v>141394000</v>
      </c>
      <c r="G1318" s="13">
        <f ca="1">IFERROR(__xludf.DUMMYFUNCTION("IF(E1318=""USD"",C1318,C1318 * GOOGLEFINANCE(""CURRENCY:"" &amp; E1318 &amp; ""USD""))
"),161101761.797799)</f>
        <v>161101761.79779899</v>
      </c>
    </row>
    <row r="1319" spans="1:7" ht="15.75" customHeight="1" x14ac:dyDescent="0.25">
      <c r="A1319" s="14" t="s">
        <v>24</v>
      </c>
      <c r="B1319" s="15">
        <v>80000000</v>
      </c>
      <c r="C1319" s="15">
        <v>56684819</v>
      </c>
      <c r="D1319" s="15">
        <v>2002</v>
      </c>
      <c r="E1319" s="15" t="str">
        <f>VLOOKUP(A1319, Currency!$A$2:$B$100, 2, FALSE)</f>
        <v>USD</v>
      </c>
      <c r="F1319" s="15">
        <f ca="1">IFERROR(__xludf.DUMMYFUNCTION("IF(E1319=""USD"",B1319,B1319 * GOOGLEFINANCE(""CURRENCY:"" &amp; E1319 &amp; ""USD""))
"),80000000)</f>
        <v>80000000</v>
      </c>
      <c r="G1319" s="16">
        <f ca="1">IFERROR(__xludf.DUMMYFUNCTION("IF(E1319=""USD"",C1319,C1319 * GOOGLEFINANCE(""CURRENCY:"" &amp; E1319 &amp; ""USD""))
"),56684819)</f>
        <v>56684819</v>
      </c>
    </row>
    <row r="1320" spans="1:7" ht="15.75" customHeight="1" x14ac:dyDescent="0.25">
      <c r="A1320" s="11" t="s">
        <v>133</v>
      </c>
      <c r="B1320" s="12">
        <v>34000000</v>
      </c>
      <c r="C1320" s="12">
        <v>62700000</v>
      </c>
      <c r="D1320" s="12">
        <v>1979</v>
      </c>
      <c r="E1320" s="12" t="str">
        <f>VLOOKUP(A1320, Currency!$A$2:$B$100, 2, FALSE)</f>
        <v>GBP</v>
      </c>
      <c r="F1320" s="12">
        <f ca="1">IFERROR(__xludf.DUMMYFUNCTION("IF(E1320=""USD"",B1320,B1320 * GOOGLEFINANCE(""CURRENCY:"" &amp; E1320 &amp; ""USD""))
"),43703599.9999999)</f>
        <v>43703599.999999903</v>
      </c>
      <c r="G1320" s="13">
        <f ca="1">IFERROR(__xludf.DUMMYFUNCTION("IF(E1320=""USD"",C1320,C1320 * GOOGLEFINANCE(""CURRENCY:"" &amp; E1320 &amp; ""USD""))
"),80594579.9999999)</f>
        <v>80594579.999999896</v>
      </c>
    </row>
    <row r="1321" spans="1:7" ht="15.75" customHeight="1" x14ac:dyDescent="0.25">
      <c r="A1321" s="14" t="s">
        <v>24</v>
      </c>
      <c r="B1321" s="15">
        <v>125000000</v>
      </c>
      <c r="C1321" s="15">
        <v>190871240</v>
      </c>
      <c r="D1321" s="15">
        <v>2014</v>
      </c>
      <c r="E1321" s="15" t="str">
        <f>VLOOKUP(A1321, Currency!$A$2:$B$100, 2, FALSE)</f>
        <v>USD</v>
      </c>
      <c r="F1321" s="15">
        <f ca="1">IFERROR(__xludf.DUMMYFUNCTION("IF(E1321=""USD"",B1321,B1321 * GOOGLEFINANCE(""CURRENCY:"" &amp; E1321 &amp; ""USD""))
"),125000000)</f>
        <v>125000000</v>
      </c>
      <c r="G1321" s="16">
        <f ca="1">IFERROR(__xludf.DUMMYFUNCTION("IF(E1321=""USD"",C1321,C1321 * GOOGLEFINANCE(""CURRENCY:"" &amp; E1321 &amp; ""USD""))
"),190871240)</f>
        <v>190871240</v>
      </c>
    </row>
    <row r="1322" spans="1:7" ht="15.75" customHeight="1" x14ac:dyDescent="0.25">
      <c r="A1322" s="11" t="s">
        <v>24</v>
      </c>
      <c r="B1322" s="12">
        <v>1200000</v>
      </c>
      <c r="C1322" s="12">
        <v>594904</v>
      </c>
      <c r="D1322" s="12">
        <v>2012</v>
      </c>
      <c r="E1322" s="12" t="str">
        <f>VLOOKUP(A1322, Currency!$A$2:$B$100, 2, FALSE)</f>
        <v>USD</v>
      </c>
      <c r="F1322" s="12">
        <f ca="1">IFERROR(__xludf.DUMMYFUNCTION("IF(E1322=""USD"",B1322,B1322 * GOOGLEFINANCE(""CURRENCY:"" &amp; E1322 &amp; ""USD""))
"),1200000)</f>
        <v>1200000</v>
      </c>
      <c r="G1322" s="13">
        <f ca="1">IFERROR(__xludf.DUMMYFUNCTION("IF(E1322=""USD"",C1322,C1322 * GOOGLEFINANCE(""CURRENCY:"" &amp; E1322 &amp; ""USD""))
"),594904)</f>
        <v>594904</v>
      </c>
    </row>
    <row r="1323" spans="1:7" ht="15.75" customHeight="1" x14ac:dyDescent="0.25">
      <c r="A1323" s="14" t="s">
        <v>24</v>
      </c>
      <c r="B1323" s="15">
        <v>76000000</v>
      </c>
      <c r="C1323" s="15">
        <v>127083765</v>
      </c>
      <c r="D1323" s="15">
        <v>2003</v>
      </c>
      <c r="E1323" s="15" t="str">
        <f>VLOOKUP(A1323, Currency!$A$2:$B$100, 2, FALSE)</f>
        <v>USD</v>
      </c>
      <c r="F1323" s="15">
        <f ca="1">IFERROR(__xludf.DUMMYFUNCTION("IF(E1323=""USD"",B1323,B1323 * GOOGLEFINANCE(""CURRENCY:"" &amp; E1323 &amp; ""USD""))
"),76000000)</f>
        <v>76000000</v>
      </c>
      <c r="G1323" s="16">
        <f ca="1">IFERROR(__xludf.DUMMYFUNCTION("IF(E1323=""USD"",C1323,C1323 * GOOGLEFINANCE(""CURRENCY:"" &amp; E1323 &amp; ""USD""))
"),127083765)</f>
        <v>127083765</v>
      </c>
    </row>
    <row r="1324" spans="1:7" ht="15.75" customHeight="1" x14ac:dyDescent="0.25">
      <c r="A1324" s="11" t="s">
        <v>24</v>
      </c>
      <c r="B1324" s="12">
        <v>115000000</v>
      </c>
      <c r="C1324" s="12">
        <v>40911830</v>
      </c>
      <c r="D1324" s="12">
        <v>2002</v>
      </c>
      <c r="E1324" s="12" t="str">
        <f>VLOOKUP(A1324, Currency!$A$2:$B$100, 2, FALSE)</f>
        <v>USD</v>
      </c>
      <c r="F1324" s="12">
        <f ca="1">IFERROR(__xludf.DUMMYFUNCTION("IF(E1324=""USD"",B1324,B1324 * GOOGLEFINANCE(""CURRENCY:"" &amp; E1324 &amp; ""USD""))
"),115000000)</f>
        <v>115000000</v>
      </c>
      <c r="G1324" s="13">
        <f ca="1">IFERROR(__xludf.DUMMYFUNCTION("IF(E1324=""USD"",C1324,C1324 * GOOGLEFINANCE(""CURRENCY:"" &amp; E1324 &amp; ""USD""))
"),40911830)</f>
        <v>40911830</v>
      </c>
    </row>
    <row r="1325" spans="1:7" ht="15.75" customHeight="1" x14ac:dyDescent="0.25">
      <c r="A1325" s="14" t="s">
        <v>149</v>
      </c>
      <c r="B1325" s="15">
        <v>65000000</v>
      </c>
      <c r="C1325" s="15">
        <v>19059018</v>
      </c>
      <c r="D1325" s="15">
        <v>2014</v>
      </c>
      <c r="E1325" s="15" t="str">
        <f>VLOOKUP(A1325, Currency!$A$2:$B$100, 2, FALSE)</f>
        <v>AUD</v>
      </c>
      <c r="F1325" s="15">
        <f ca="1">IFERROR(__xludf.DUMMYFUNCTION("IF(E1325=""USD"",B1325,B1325 * GOOGLEFINANCE(""CURRENCY:"" &amp; E1325 &amp; ""USD""))
"),42502200)</f>
        <v>42502200</v>
      </c>
      <c r="G1325" s="16">
        <f ca="1">IFERROR(__xludf.DUMMYFUNCTION("IF(E1325=""USD"",C1325,C1325 * GOOGLEFINANCE(""CURRENCY:"" &amp; E1325 &amp; ""USD""))
"),12462310.68984)</f>
        <v>12462310.68984</v>
      </c>
    </row>
    <row r="1326" spans="1:7" ht="15.75" customHeight="1" x14ac:dyDescent="0.25">
      <c r="A1326" s="11" t="s">
        <v>176</v>
      </c>
      <c r="B1326" s="12">
        <v>30000000</v>
      </c>
      <c r="C1326" s="12">
        <v>76501438</v>
      </c>
      <c r="D1326" s="12">
        <v>2000</v>
      </c>
      <c r="E1326" s="12" t="str">
        <f>VLOOKUP(A1326, Currency!$A$2:$B$100, 2, FALSE)</f>
        <v>EUR</v>
      </c>
      <c r="F1326" s="12">
        <f ca="1">IFERROR(__xludf.DUMMYFUNCTION("IF(E1326=""USD"",B1326,B1326 * GOOGLEFINANCE(""CURRENCY:"" &amp; E1326 &amp; ""USD""))
"),32542200)</f>
        <v>32542200</v>
      </c>
      <c r="G1326" s="13">
        <f ca="1">IFERROR(__xludf.DUMMYFUNCTION("IF(E1326=""USD"",C1326,C1326 * GOOGLEFINANCE(""CURRENCY:"" &amp; E1326 &amp; ""USD""))
"),82984169.85612)</f>
        <v>82984169.856120005</v>
      </c>
    </row>
    <row r="1327" spans="1:7" ht="15.75" customHeight="1" x14ac:dyDescent="0.25">
      <c r="A1327" s="14" t="s">
        <v>24</v>
      </c>
      <c r="B1327" s="15">
        <v>85000000</v>
      </c>
      <c r="C1327" s="15">
        <v>183405771</v>
      </c>
      <c r="D1327" s="15">
        <v>2001</v>
      </c>
      <c r="E1327" s="15" t="str">
        <f>VLOOKUP(A1327, Currency!$A$2:$B$100, 2, FALSE)</f>
        <v>USD</v>
      </c>
      <c r="F1327" s="15">
        <f ca="1">IFERROR(__xludf.DUMMYFUNCTION("IF(E1327=""USD"",B1327,B1327 * GOOGLEFINANCE(""CURRENCY:"" &amp; E1327 &amp; ""USD""))
"),85000000)</f>
        <v>85000000</v>
      </c>
      <c r="G1327" s="16">
        <f ca="1">IFERROR(__xludf.DUMMYFUNCTION("IF(E1327=""USD"",C1327,C1327 * GOOGLEFINANCE(""CURRENCY:"" &amp; E1327 &amp; ""USD""))
"),183405771)</f>
        <v>183405771</v>
      </c>
    </row>
    <row r="1328" spans="1:7" ht="15.75" customHeight="1" x14ac:dyDescent="0.25">
      <c r="A1328" s="11" t="s">
        <v>611</v>
      </c>
      <c r="B1328" s="12">
        <v>800000</v>
      </c>
      <c r="C1328" s="12">
        <v>2073984</v>
      </c>
      <c r="D1328" s="12">
        <v>2002</v>
      </c>
      <c r="E1328" s="12" t="str">
        <f>VLOOKUP(A1328, Currency!$A$2:$B$100, 2, FALSE)</f>
        <v>EUR</v>
      </c>
      <c r="F1328" s="12">
        <f ca="1">IFERROR(__xludf.DUMMYFUNCTION("IF(E1328=""USD"",B1328,B1328 * GOOGLEFINANCE(""CURRENCY:"" &amp; E1328 &amp; ""USD""))
"),867792)</f>
        <v>867792</v>
      </c>
      <c r="G1328" s="13">
        <f ca="1">IFERROR(__xludf.DUMMYFUNCTION("IF(E1328=""USD"",C1328,C1328 * GOOGLEFINANCE(""CURRENCY:"" &amp; E1328 &amp; ""USD""))
"),2249733.40416)</f>
        <v>2249733.4041599999</v>
      </c>
    </row>
    <row r="1329" spans="1:7" ht="15.75" customHeight="1" x14ac:dyDescent="0.25">
      <c r="A1329" s="14" t="s">
        <v>176</v>
      </c>
      <c r="B1329" s="15">
        <v>60000000</v>
      </c>
      <c r="C1329" s="15">
        <v>36037909</v>
      </c>
      <c r="D1329" s="15">
        <v>2000</v>
      </c>
      <c r="E1329" s="15" t="str">
        <f>VLOOKUP(A1329, Currency!$A$2:$B$100, 2, FALSE)</f>
        <v>EUR</v>
      </c>
      <c r="F1329" s="15">
        <f ca="1">IFERROR(__xludf.DUMMYFUNCTION("IF(E1329=""USD"",B1329,B1329 * GOOGLEFINANCE(""CURRENCY:"" &amp; E1329 &amp; ""USD""))
"),65084400)</f>
        <v>65084400</v>
      </c>
      <c r="G1329" s="16">
        <f ca="1">IFERROR(__xludf.DUMMYFUNCTION("IF(E1329=""USD"",C1329,C1329 * GOOGLEFINANCE(""CURRENCY:"" &amp; E1329 &amp; ""USD""))
"),39091761.40866)</f>
        <v>39091761.408660002</v>
      </c>
    </row>
    <row r="1330" spans="1:7" ht="15.75" customHeight="1" x14ac:dyDescent="0.25">
      <c r="A1330" s="11" t="s">
        <v>176</v>
      </c>
      <c r="B1330" s="12">
        <v>75000000</v>
      </c>
      <c r="C1330" s="12">
        <v>20315324</v>
      </c>
      <c r="D1330" s="12">
        <v>2011</v>
      </c>
      <c r="E1330" s="12" t="str">
        <f>VLOOKUP(A1330, Currency!$A$2:$B$100, 2, FALSE)</f>
        <v>EUR</v>
      </c>
      <c r="F1330" s="12">
        <f ca="1">IFERROR(__xludf.DUMMYFUNCTION("IF(E1330=""USD"",B1330,B1330 * GOOGLEFINANCE(""CURRENCY:"" &amp; E1330 &amp; ""USD""))
"),81355500)</f>
        <v>81355500</v>
      </c>
      <c r="G1330" s="13">
        <f ca="1">IFERROR(__xludf.DUMMYFUNCTION("IF(E1330=""USD"",C1330,C1330 * GOOGLEFINANCE(""CURRENCY:"" &amp; E1330 &amp; ""USD""))
"),22036844.55576)</f>
        <v>22036844.55576</v>
      </c>
    </row>
    <row r="1331" spans="1:7" ht="15.75" customHeight="1" x14ac:dyDescent="0.25">
      <c r="A1331" s="14" t="s">
        <v>24</v>
      </c>
      <c r="B1331" s="15">
        <v>30000000</v>
      </c>
      <c r="C1331" s="15">
        <v>53021560</v>
      </c>
      <c r="D1331" s="15">
        <v>2010</v>
      </c>
      <c r="E1331" s="15" t="str">
        <f>VLOOKUP(A1331, Currency!$A$2:$B$100, 2, FALSE)</f>
        <v>USD</v>
      </c>
      <c r="F1331" s="15">
        <f ca="1">IFERROR(__xludf.DUMMYFUNCTION("IF(E1331=""USD"",B1331,B1331 * GOOGLEFINANCE(""CURRENCY:"" &amp; E1331 &amp; ""USD""))
"),30000000)</f>
        <v>30000000</v>
      </c>
      <c r="G1331" s="16">
        <f ca="1">IFERROR(__xludf.DUMMYFUNCTION("IF(E1331=""USD"",C1331,C1331 * GOOGLEFINANCE(""CURRENCY:"" &amp; E1331 &amp; ""USD""))
"),53021560)</f>
        <v>53021560</v>
      </c>
    </row>
    <row r="1332" spans="1:7" ht="15.75" customHeight="1" x14ac:dyDescent="0.25">
      <c r="A1332" s="11" t="s">
        <v>24</v>
      </c>
      <c r="B1332" s="12">
        <v>35000000</v>
      </c>
      <c r="C1332" s="12">
        <v>22877808</v>
      </c>
      <c r="D1332" s="12">
        <v>2008</v>
      </c>
      <c r="E1332" s="12" t="str">
        <f>VLOOKUP(A1332, Currency!$A$2:$B$100, 2, FALSE)</f>
        <v>USD</v>
      </c>
      <c r="F1332" s="12">
        <f ca="1">IFERROR(__xludf.DUMMYFUNCTION("IF(E1332=""USD"",B1332,B1332 * GOOGLEFINANCE(""CURRENCY:"" &amp; E1332 &amp; ""USD""))
"),35000000)</f>
        <v>35000000</v>
      </c>
      <c r="G1332" s="13">
        <f ca="1">IFERROR(__xludf.DUMMYFUNCTION("IF(E1332=""USD"",C1332,C1332 * GOOGLEFINANCE(""CURRENCY:"" &amp; E1332 &amp; ""USD""))
"),22877808)</f>
        <v>22877808</v>
      </c>
    </row>
    <row r="1333" spans="1:7" ht="15.75" customHeight="1" x14ac:dyDescent="0.25">
      <c r="A1333" s="14" t="s">
        <v>24</v>
      </c>
      <c r="B1333" s="15">
        <v>12000000</v>
      </c>
      <c r="C1333" s="15">
        <v>91443253</v>
      </c>
      <c r="D1333" s="15">
        <v>2014</v>
      </c>
      <c r="E1333" s="15" t="str">
        <f>VLOOKUP(A1333, Currency!$A$2:$B$100, 2, FALSE)</f>
        <v>USD</v>
      </c>
      <c r="F1333" s="15">
        <f ca="1">IFERROR(__xludf.DUMMYFUNCTION("IF(E1333=""USD"",B1333,B1333 * GOOGLEFINANCE(""CURRENCY:"" &amp; E1333 &amp; ""USD""))
"),12000000)</f>
        <v>12000000</v>
      </c>
      <c r="G1333" s="16">
        <f ca="1">IFERROR(__xludf.DUMMYFUNCTION("IF(E1333=""USD"",C1333,C1333 * GOOGLEFINANCE(""CURRENCY:"" &amp; E1333 &amp; ""USD""))
"),91443253)</f>
        <v>91443253</v>
      </c>
    </row>
    <row r="1334" spans="1:7" ht="15.75" customHeight="1" x14ac:dyDescent="0.25">
      <c r="A1334" s="11" t="s">
        <v>24</v>
      </c>
      <c r="B1334" s="12">
        <v>32000000</v>
      </c>
      <c r="C1334" s="12">
        <v>16377274</v>
      </c>
      <c r="D1334" s="12">
        <v>2012</v>
      </c>
      <c r="E1334" s="12" t="str">
        <f>VLOOKUP(A1334, Currency!$A$2:$B$100, 2, FALSE)</f>
        <v>USD</v>
      </c>
      <c r="F1334" s="12">
        <f ca="1">IFERROR(__xludf.DUMMYFUNCTION("IF(E1334=""USD"",B1334,B1334 * GOOGLEFINANCE(""CURRENCY:"" &amp; E1334 &amp; ""USD""))
"),32000000)</f>
        <v>32000000</v>
      </c>
      <c r="G1334" s="13">
        <f ca="1">IFERROR(__xludf.DUMMYFUNCTION("IF(E1334=""USD"",C1334,C1334 * GOOGLEFINANCE(""CURRENCY:"" &amp; E1334 &amp; ""USD""))
"),16377274)</f>
        <v>16377274</v>
      </c>
    </row>
    <row r="1335" spans="1:7" ht="15.75" customHeight="1" x14ac:dyDescent="0.25">
      <c r="A1335" s="14" t="s">
        <v>24</v>
      </c>
      <c r="B1335" s="15">
        <v>24000000</v>
      </c>
      <c r="C1335" s="15">
        <v>41895491</v>
      </c>
      <c r="D1335" s="15">
        <v>1991</v>
      </c>
      <c r="E1335" s="15" t="str">
        <f>VLOOKUP(A1335, Currency!$A$2:$B$100, 2, FALSE)</f>
        <v>USD</v>
      </c>
      <c r="F1335" s="15">
        <f ca="1">IFERROR(__xludf.DUMMYFUNCTION("IF(E1335=""USD"",B1335,B1335 * GOOGLEFINANCE(""CURRENCY:"" &amp; E1335 &amp; ""USD""))
"),24000000)</f>
        <v>24000000</v>
      </c>
      <c r="G1335" s="16">
        <f ca="1">IFERROR(__xludf.DUMMYFUNCTION("IF(E1335=""USD"",C1335,C1335 * GOOGLEFINANCE(""CURRENCY:"" &amp; E1335 &amp; ""USD""))
"),41895491)</f>
        <v>41895491</v>
      </c>
    </row>
    <row r="1336" spans="1:7" ht="15.75" customHeight="1" x14ac:dyDescent="0.25">
      <c r="A1336" s="11" t="s">
        <v>133</v>
      </c>
      <c r="B1336" s="12">
        <v>6500000</v>
      </c>
      <c r="C1336" s="12">
        <v>38400000</v>
      </c>
      <c r="D1336" s="12">
        <v>1984</v>
      </c>
      <c r="E1336" s="12" t="str">
        <f>VLOOKUP(A1336, Currency!$A$2:$B$100, 2, FALSE)</f>
        <v>GBP</v>
      </c>
      <c r="F1336" s="12">
        <f ca="1">IFERROR(__xludf.DUMMYFUNCTION("IF(E1336=""USD"",B1336,B1336 * GOOGLEFINANCE(""CURRENCY:"" &amp; E1336 &amp; ""USD""))
"),8355099.99999999)</f>
        <v>8355099.9999999898</v>
      </c>
      <c r="G1336" s="13">
        <f ca="1">IFERROR(__xludf.DUMMYFUNCTION("IF(E1336=""USD"",C1336,C1336 * GOOGLEFINANCE(""CURRENCY:"" &amp; E1336 &amp; ""USD""))
"),49359359.9999999)</f>
        <v>49359359.999999903</v>
      </c>
    </row>
    <row r="1337" spans="1:7" ht="15.75" customHeight="1" x14ac:dyDescent="0.25">
      <c r="A1337" s="14" t="s">
        <v>24</v>
      </c>
      <c r="B1337" s="15">
        <v>9000000</v>
      </c>
      <c r="C1337" s="15">
        <v>50000000</v>
      </c>
      <c r="D1337" s="15">
        <v>1971</v>
      </c>
      <c r="E1337" s="15" t="str">
        <f>VLOOKUP(A1337, Currency!$A$2:$B$100, 2, FALSE)</f>
        <v>USD</v>
      </c>
      <c r="F1337" s="15">
        <f ca="1">IFERROR(__xludf.DUMMYFUNCTION("IF(E1337=""USD"",B1337,B1337 * GOOGLEFINANCE(""CURRENCY:"" &amp; E1337 &amp; ""USD""))
"),9000000)</f>
        <v>9000000</v>
      </c>
      <c r="G1337" s="16">
        <f ca="1">IFERROR(__xludf.DUMMYFUNCTION("IF(E1337=""USD"",C1337,C1337 * GOOGLEFINANCE(""CURRENCY:"" &amp; E1337 &amp; ""USD""))
"),50000000)</f>
        <v>50000000</v>
      </c>
    </row>
    <row r="1338" spans="1:7" ht="15.75" customHeight="1" x14ac:dyDescent="0.25">
      <c r="A1338" s="11" t="s">
        <v>24</v>
      </c>
      <c r="B1338" s="12">
        <v>8200000</v>
      </c>
      <c r="C1338" s="12">
        <v>27979400</v>
      </c>
      <c r="D1338" s="12">
        <v>1993</v>
      </c>
      <c r="E1338" s="12" t="str">
        <f>VLOOKUP(A1338, Currency!$A$2:$B$100, 2, FALSE)</f>
        <v>USD</v>
      </c>
      <c r="F1338" s="12">
        <f ca="1">IFERROR(__xludf.DUMMYFUNCTION("IF(E1338=""USD"",B1338,B1338 * GOOGLEFINANCE(""CURRENCY:"" &amp; E1338 &amp; ""USD""))
"),8200000)</f>
        <v>8200000</v>
      </c>
      <c r="G1338" s="13">
        <f ca="1">IFERROR(__xludf.DUMMYFUNCTION("IF(E1338=""USD"",C1338,C1338 * GOOGLEFINANCE(""CURRENCY:"" &amp; E1338 &amp; ""USD""))
"),27979400)</f>
        <v>27979400</v>
      </c>
    </row>
    <row r="1339" spans="1:7" ht="15.75" customHeight="1" x14ac:dyDescent="0.25">
      <c r="A1339" s="14" t="s">
        <v>627</v>
      </c>
      <c r="B1339" s="15">
        <v>6000000</v>
      </c>
      <c r="C1339" s="15">
        <v>3432342</v>
      </c>
      <c r="D1339" s="15">
        <v>2003</v>
      </c>
      <c r="E1339" s="15" t="str">
        <f>VLOOKUP(A1339, Currency!$A$2:$B$100, 2, FALSE)</f>
        <v>CAD</v>
      </c>
      <c r="F1339" s="15">
        <f ca="1">IFERROR(__xludf.DUMMYFUNCTION("IF(E1339=""USD"",B1339,B1339 * GOOGLEFINANCE(""CURRENCY:"" &amp; E1339 &amp; ""USD""))
"),4340430)</f>
        <v>4340430</v>
      </c>
      <c r="G1339" s="16">
        <f ca="1">IFERROR(__xludf.DUMMYFUNCTION("IF(E1339=""USD"",C1339,C1339 * GOOGLEFINANCE(""CURRENCY:"" &amp; E1339 &amp; ""USD""))
"),2482973.36450999)</f>
        <v>2482973.36450999</v>
      </c>
    </row>
    <row r="1340" spans="1:7" ht="15.75" customHeight="1" x14ac:dyDescent="0.25">
      <c r="A1340" s="11" t="s">
        <v>24</v>
      </c>
      <c r="B1340" s="12">
        <v>3000000</v>
      </c>
      <c r="C1340" s="12">
        <v>4109095</v>
      </c>
      <c r="D1340" s="12">
        <v>1996</v>
      </c>
      <c r="E1340" s="12" t="str">
        <f>VLOOKUP(A1340, Currency!$A$2:$B$100, 2, FALSE)</f>
        <v>USD</v>
      </c>
      <c r="F1340" s="12">
        <f ca="1">IFERROR(__xludf.DUMMYFUNCTION("IF(E1340=""USD"",B1340,B1340 * GOOGLEFINANCE(""CURRENCY:"" &amp; E1340 &amp; ""USD""))
"),3000000)</f>
        <v>3000000</v>
      </c>
      <c r="G1340" s="13">
        <f ca="1">IFERROR(__xludf.DUMMYFUNCTION("IF(E1340=""USD"",C1340,C1340 * GOOGLEFINANCE(""CURRENCY:"" &amp; E1340 &amp; ""USD""))
"),4109095)</f>
        <v>4109095</v>
      </c>
    </row>
    <row r="1341" spans="1:7" ht="15.75" customHeight="1" x14ac:dyDescent="0.25">
      <c r="A1341" s="14" t="s">
        <v>24</v>
      </c>
      <c r="B1341" s="15">
        <v>150000000</v>
      </c>
      <c r="C1341" s="15">
        <v>179883016</v>
      </c>
      <c r="D1341" s="15">
        <v>2009</v>
      </c>
      <c r="E1341" s="15" t="str">
        <f>VLOOKUP(A1341, Currency!$A$2:$B$100, 2, FALSE)</f>
        <v>USD</v>
      </c>
      <c r="F1341" s="15">
        <f ca="1">IFERROR(__xludf.DUMMYFUNCTION("IF(E1341=""USD"",B1341,B1341 * GOOGLEFINANCE(""CURRENCY:"" &amp; E1341 &amp; ""USD""))
"),150000000)</f>
        <v>150000000</v>
      </c>
      <c r="G1341" s="16">
        <f ca="1">IFERROR(__xludf.DUMMYFUNCTION("IF(E1341=""USD"",C1341,C1341 * GOOGLEFINANCE(""CURRENCY:"" &amp; E1341 &amp; ""USD""))
"),179883016)</f>
        <v>179883016</v>
      </c>
    </row>
    <row r="1342" spans="1:7" ht="15.75" customHeight="1" x14ac:dyDescent="0.25">
      <c r="A1342" s="11" t="s">
        <v>133</v>
      </c>
      <c r="B1342" s="12">
        <v>22000000</v>
      </c>
      <c r="C1342" s="12">
        <v>25842000</v>
      </c>
      <c r="D1342" s="12">
        <v>1993</v>
      </c>
      <c r="E1342" s="12" t="str">
        <f>VLOOKUP(A1342, Currency!$A$2:$B$100, 2, FALSE)</f>
        <v>GBP</v>
      </c>
      <c r="F1342" s="12">
        <f ca="1">IFERROR(__xludf.DUMMYFUNCTION("IF(E1342=""USD"",B1342,B1342 * GOOGLEFINANCE(""CURRENCY:"" &amp; E1342 &amp; ""USD""))
"),28278799.9999999)</f>
        <v>28278799.999999899</v>
      </c>
      <c r="G1342" s="13">
        <f ca="1">IFERROR(__xludf.DUMMYFUNCTION("IF(E1342=""USD"",C1342,C1342 * GOOGLEFINANCE(""CURRENCY:"" &amp; E1342 &amp; ""USD""))
"),33217306.7999999)</f>
        <v>33217306.7999999</v>
      </c>
    </row>
    <row r="1343" spans="1:7" ht="15.75" customHeight="1" x14ac:dyDescent="0.25">
      <c r="A1343" s="14" t="s">
        <v>24</v>
      </c>
      <c r="B1343" s="15">
        <v>20000000</v>
      </c>
      <c r="C1343" s="15">
        <v>13214030</v>
      </c>
      <c r="D1343" s="15">
        <v>2008</v>
      </c>
      <c r="E1343" s="15" t="str">
        <f>VLOOKUP(A1343, Currency!$A$2:$B$100, 2, FALSE)</f>
        <v>USD</v>
      </c>
      <c r="F1343" s="15">
        <f ca="1">IFERROR(__xludf.DUMMYFUNCTION("IF(E1343=""USD"",B1343,B1343 * GOOGLEFINANCE(""CURRENCY:"" &amp; E1343 &amp; ""USD""))
"),20000000)</f>
        <v>20000000</v>
      </c>
      <c r="G1343" s="16">
        <f ca="1">IFERROR(__xludf.DUMMYFUNCTION("IF(E1343=""USD"",C1343,C1343 * GOOGLEFINANCE(""CURRENCY:"" &amp; E1343 &amp; ""USD""))
"),13214030)</f>
        <v>13214030</v>
      </c>
    </row>
    <row r="1344" spans="1:7" ht="15.75" customHeight="1" x14ac:dyDescent="0.25">
      <c r="A1344" s="11" t="s">
        <v>160</v>
      </c>
      <c r="B1344" s="12">
        <v>40000000</v>
      </c>
      <c r="C1344" s="12">
        <v>128978</v>
      </c>
      <c r="D1344" s="12">
        <v>2007</v>
      </c>
      <c r="E1344" s="12" t="str">
        <f>VLOOKUP(A1344, Currency!$A$2:$B$100, 2, FALSE)</f>
        <v>HKD</v>
      </c>
      <c r="F1344" s="12">
        <f ca="1">IFERROR(__xludf.DUMMYFUNCTION("IF(E1344=""USD"",B1344,B1344 * GOOGLEFINANCE(""CURRENCY:"" &amp; E1344 &amp; ""USD""))
"),5123772)</f>
        <v>5123772</v>
      </c>
      <c r="G1344" s="13">
        <f ca="1">IFERROR(__xludf.DUMMYFUNCTION("IF(E1344=""USD"",C1344,C1344 * GOOGLEFINANCE(""CURRENCY:"" &amp; E1344 &amp; ""USD""))
"),16521.3466253999)</f>
        <v>16521.346625399899</v>
      </c>
    </row>
    <row r="1345" spans="1:7" ht="15.75" customHeight="1" x14ac:dyDescent="0.25">
      <c r="A1345" s="14" t="s">
        <v>24</v>
      </c>
      <c r="B1345" s="15">
        <v>25000000</v>
      </c>
      <c r="C1345" s="15">
        <v>80034302</v>
      </c>
      <c r="D1345" s="15">
        <v>2008</v>
      </c>
      <c r="E1345" s="15" t="str">
        <f>VLOOKUP(A1345, Currency!$A$2:$B$100, 2, FALSE)</f>
        <v>USD</v>
      </c>
      <c r="F1345" s="15">
        <f ca="1">IFERROR(__xludf.DUMMYFUNCTION("IF(E1345=""USD"",B1345,B1345 * GOOGLEFINANCE(""CURRENCY:"" &amp; E1345 &amp; ""USD""))
"),25000000)</f>
        <v>25000000</v>
      </c>
      <c r="G1345" s="16">
        <f ca="1">IFERROR(__xludf.DUMMYFUNCTION("IF(E1345=""USD"",C1345,C1345 * GOOGLEFINANCE(""CURRENCY:"" &amp; E1345 &amp; ""USD""))
"),80034302)</f>
        <v>80034302</v>
      </c>
    </row>
    <row r="1346" spans="1:7" ht="15.75" customHeight="1" x14ac:dyDescent="0.25">
      <c r="A1346" s="11" t="s">
        <v>24</v>
      </c>
      <c r="B1346" s="12">
        <v>7000000</v>
      </c>
      <c r="C1346" s="12">
        <v>40983001</v>
      </c>
      <c r="D1346" s="12">
        <v>2012</v>
      </c>
      <c r="E1346" s="12" t="str">
        <f>VLOOKUP(A1346, Currency!$A$2:$B$100, 2, FALSE)</f>
        <v>USD</v>
      </c>
      <c r="F1346" s="12">
        <f ca="1">IFERROR(__xludf.DUMMYFUNCTION("IF(E1346=""USD"",B1346,B1346 * GOOGLEFINANCE(""CURRENCY:"" &amp; E1346 &amp; ""USD""))
"),7000000)</f>
        <v>7000000</v>
      </c>
      <c r="G1346" s="13">
        <f ca="1">IFERROR(__xludf.DUMMYFUNCTION("IF(E1346=""USD"",C1346,C1346 * GOOGLEFINANCE(""CURRENCY:"" &amp; E1346 &amp; ""USD""))
"),40983001)</f>
        <v>40983001</v>
      </c>
    </row>
    <row r="1347" spans="1:7" ht="15.75" customHeight="1" x14ac:dyDescent="0.25">
      <c r="A1347" s="14" t="s">
        <v>24</v>
      </c>
      <c r="B1347" s="15">
        <v>10000000</v>
      </c>
      <c r="C1347" s="15">
        <v>27736779</v>
      </c>
      <c r="D1347" s="15">
        <v>2015</v>
      </c>
      <c r="E1347" s="15" t="str">
        <f>VLOOKUP(A1347, Currency!$A$2:$B$100, 2, FALSE)</f>
        <v>USD</v>
      </c>
      <c r="F1347" s="15">
        <f ca="1">IFERROR(__xludf.DUMMYFUNCTION("IF(E1347=""USD"",B1347,B1347 * GOOGLEFINANCE(""CURRENCY:"" &amp; E1347 &amp; ""USD""))
"),10000000)</f>
        <v>10000000</v>
      </c>
      <c r="G1347" s="16">
        <f ca="1">IFERROR(__xludf.DUMMYFUNCTION("IF(E1347=""USD"",C1347,C1347 * GOOGLEFINANCE(""CURRENCY:"" &amp; E1347 &amp; ""USD""))
"),27736779)</f>
        <v>27736779</v>
      </c>
    </row>
    <row r="1348" spans="1:7" ht="15.75" customHeight="1" x14ac:dyDescent="0.25">
      <c r="A1348" s="11" t="s">
        <v>24</v>
      </c>
      <c r="B1348" s="12">
        <v>55000000</v>
      </c>
      <c r="C1348" s="12">
        <v>16088610</v>
      </c>
      <c r="D1348" s="12">
        <v>2009</v>
      </c>
      <c r="E1348" s="12" t="str">
        <f>VLOOKUP(A1348, Currency!$A$2:$B$100, 2, FALSE)</f>
        <v>USD</v>
      </c>
      <c r="F1348" s="12">
        <f ca="1">IFERROR(__xludf.DUMMYFUNCTION("IF(E1348=""USD"",B1348,B1348 * GOOGLEFINANCE(""CURRENCY:"" &amp; E1348 &amp; ""USD""))
"),55000000)</f>
        <v>55000000</v>
      </c>
      <c r="G1348" s="13">
        <f ca="1">IFERROR(__xludf.DUMMYFUNCTION("IF(E1348=""USD"",C1348,C1348 * GOOGLEFINANCE(""CURRENCY:"" &amp; E1348 &amp; ""USD""))
"),16088610)</f>
        <v>16088610</v>
      </c>
    </row>
    <row r="1349" spans="1:7" ht="15.75" customHeight="1" x14ac:dyDescent="0.25">
      <c r="A1349" s="14" t="s">
        <v>24</v>
      </c>
      <c r="B1349" s="15">
        <v>9000000</v>
      </c>
      <c r="C1349" s="15">
        <v>6262942</v>
      </c>
      <c r="D1349" s="15">
        <v>2013</v>
      </c>
      <c r="E1349" s="15" t="str">
        <f>VLOOKUP(A1349, Currency!$A$2:$B$100, 2, FALSE)</f>
        <v>USD</v>
      </c>
      <c r="F1349" s="15">
        <f ca="1">IFERROR(__xludf.DUMMYFUNCTION("IF(E1349=""USD"",B1349,B1349 * GOOGLEFINANCE(""CURRENCY:"" &amp; E1349 &amp; ""USD""))
"),9000000)</f>
        <v>9000000</v>
      </c>
      <c r="G1349" s="16">
        <f ca="1">IFERROR(__xludf.DUMMYFUNCTION("IF(E1349=""USD"",C1349,C1349 * GOOGLEFINANCE(""CURRENCY:"" &amp; E1349 &amp; ""USD""))
"),6262942)</f>
        <v>6262942</v>
      </c>
    </row>
    <row r="1350" spans="1:7" ht="15.75" customHeight="1" x14ac:dyDescent="0.25">
      <c r="A1350" s="11" t="s">
        <v>24</v>
      </c>
      <c r="B1350" s="12">
        <v>1500000</v>
      </c>
      <c r="C1350" s="12">
        <v>105943</v>
      </c>
      <c r="D1350" s="12">
        <v>2015</v>
      </c>
      <c r="E1350" s="12" t="str">
        <f>VLOOKUP(A1350, Currency!$A$2:$B$100, 2, FALSE)</f>
        <v>USD</v>
      </c>
      <c r="F1350" s="12">
        <f ca="1">IFERROR(__xludf.DUMMYFUNCTION("IF(E1350=""USD"",B1350,B1350 * GOOGLEFINANCE(""CURRENCY:"" &amp; E1350 &amp; ""USD""))
"),1500000)</f>
        <v>1500000</v>
      </c>
      <c r="G1350" s="13">
        <f ca="1">IFERROR(__xludf.DUMMYFUNCTION("IF(E1350=""USD"",C1350,C1350 * GOOGLEFINANCE(""CURRENCY:"" &amp; E1350 &amp; ""USD""))
"),105943)</f>
        <v>105943</v>
      </c>
    </row>
    <row r="1351" spans="1:7" ht="15.75" customHeight="1" x14ac:dyDescent="0.25">
      <c r="A1351" s="14" t="s">
        <v>133</v>
      </c>
      <c r="B1351" s="15">
        <v>150000000</v>
      </c>
      <c r="C1351" s="15">
        <v>292000866</v>
      </c>
      <c r="D1351" s="15">
        <v>2007</v>
      </c>
      <c r="E1351" s="15" t="str">
        <f>VLOOKUP(A1351, Currency!$A$2:$B$100, 2, FALSE)</f>
        <v>GBP</v>
      </c>
      <c r="F1351" s="15">
        <f ca="1">IFERROR(__xludf.DUMMYFUNCTION("IF(E1351=""USD"",B1351,B1351 * GOOGLEFINANCE(""CURRENCY:"" &amp; E1351 &amp; ""USD""))
"),192809999.999999)</f>
        <v>192809999.99999899</v>
      </c>
      <c r="G1351" s="16">
        <f ca="1">IFERROR(__xludf.DUMMYFUNCTION("IF(E1351=""USD"",C1351,C1351 * GOOGLEFINANCE(""CURRENCY:"" &amp; E1351 &amp; ""USD""))
"),375337913.156399)</f>
        <v>375337913.15639901</v>
      </c>
    </row>
    <row r="1352" spans="1:7" ht="15.75" customHeight="1" x14ac:dyDescent="0.25">
      <c r="A1352" s="11" t="s">
        <v>24</v>
      </c>
      <c r="B1352" s="12">
        <v>45000000</v>
      </c>
      <c r="C1352" s="12">
        <v>89808372</v>
      </c>
      <c r="D1352" s="12">
        <v>2003</v>
      </c>
      <c r="E1352" s="12" t="str">
        <f>VLOOKUP(A1352, Currency!$A$2:$B$100, 2, FALSE)</f>
        <v>USD</v>
      </c>
      <c r="F1352" s="12">
        <f ca="1">IFERROR(__xludf.DUMMYFUNCTION("IF(E1352=""USD"",B1352,B1352 * GOOGLEFINANCE(""CURRENCY:"" &amp; E1352 &amp; ""USD""))
"),45000000)</f>
        <v>45000000</v>
      </c>
      <c r="G1352" s="13">
        <f ca="1">IFERROR(__xludf.DUMMYFUNCTION("IF(E1352=""USD"",C1352,C1352 * GOOGLEFINANCE(""CURRENCY:"" &amp; E1352 &amp; ""USD""))
"),89808372)</f>
        <v>89808372</v>
      </c>
    </row>
    <row r="1353" spans="1:7" ht="15.75" customHeight="1" x14ac:dyDescent="0.25">
      <c r="A1353" s="14" t="s">
        <v>24</v>
      </c>
      <c r="B1353" s="15">
        <v>35000000</v>
      </c>
      <c r="C1353" s="15">
        <v>22913677</v>
      </c>
      <c r="D1353" s="15">
        <v>2004</v>
      </c>
      <c r="E1353" s="15" t="str">
        <f>VLOOKUP(A1353, Currency!$A$2:$B$100, 2, FALSE)</f>
        <v>USD</v>
      </c>
      <c r="F1353" s="15">
        <f ca="1">IFERROR(__xludf.DUMMYFUNCTION("IF(E1353=""USD"",B1353,B1353 * GOOGLEFINANCE(""CURRENCY:"" &amp; E1353 &amp; ""USD""))
"),35000000)</f>
        <v>35000000</v>
      </c>
      <c r="G1353" s="16">
        <f ca="1">IFERROR(__xludf.DUMMYFUNCTION("IF(E1353=""USD"",C1353,C1353 * GOOGLEFINANCE(""CURRENCY:"" &amp; E1353 &amp; ""USD""))
"),22913677)</f>
        <v>22913677</v>
      </c>
    </row>
    <row r="1354" spans="1:7" ht="15.75" customHeight="1" x14ac:dyDescent="0.25">
      <c r="A1354" s="11" t="s">
        <v>24</v>
      </c>
      <c r="B1354" s="12">
        <v>30000000</v>
      </c>
      <c r="C1354" s="12">
        <v>52418902</v>
      </c>
      <c r="D1354" s="12">
        <v>2015</v>
      </c>
      <c r="E1354" s="12" t="str">
        <f>VLOOKUP(A1354, Currency!$A$2:$B$100, 2, FALSE)</f>
        <v>USD</v>
      </c>
      <c r="F1354" s="12">
        <f ca="1">IFERROR(__xludf.DUMMYFUNCTION("IF(E1354=""USD"",B1354,B1354 * GOOGLEFINANCE(""CURRENCY:"" &amp; E1354 &amp; ""USD""))
"),30000000)</f>
        <v>30000000</v>
      </c>
      <c r="G1354" s="13">
        <f ca="1">IFERROR(__xludf.DUMMYFUNCTION("IF(E1354=""USD"",C1354,C1354 * GOOGLEFINANCE(""CURRENCY:"" &amp; E1354 &amp; ""USD""))
"),52418902)</f>
        <v>52418902</v>
      </c>
    </row>
    <row r="1355" spans="1:7" ht="15.75" customHeight="1" x14ac:dyDescent="0.25">
      <c r="A1355" s="14" t="s">
        <v>24</v>
      </c>
      <c r="B1355" s="15">
        <v>12000000</v>
      </c>
      <c r="C1355" s="15">
        <v>27281507</v>
      </c>
      <c r="D1355" s="15">
        <v>1992</v>
      </c>
      <c r="E1355" s="15" t="str">
        <f>VLOOKUP(A1355, Currency!$A$2:$B$100, 2, FALSE)</f>
        <v>USD</v>
      </c>
      <c r="F1355" s="15">
        <f ca="1">IFERROR(__xludf.DUMMYFUNCTION("IF(E1355=""USD"",B1355,B1355 * GOOGLEFINANCE(""CURRENCY:"" &amp; E1355 &amp; ""USD""))
"),12000000)</f>
        <v>12000000</v>
      </c>
      <c r="G1355" s="16">
        <f ca="1">IFERROR(__xludf.DUMMYFUNCTION("IF(E1355=""USD"",C1355,C1355 * GOOGLEFINANCE(""CURRENCY:"" &amp; E1355 &amp; ""USD""))
"),27281507)</f>
        <v>27281507</v>
      </c>
    </row>
    <row r="1356" spans="1:7" ht="15.75" customHeight="1" x14ac:dyDescent="0.25">
      <c r="A1356" s="11" t="s">
        <v>24</v>
      </c>
      <c r="B1356" s="12">
        <v>35000000</v>
      </c>
      <c r="C1356" s="12">
        <v>63939454</v>
      </c>
      <c r="D1356" s="12">
        <v>2005</v>
      </c>
      <c r="E1356" s="12" t="str">
        <f>VLOOKUP(A1356, Currency!$A$2:$B$100, 2, FALSE)</f>
        <v>USD</v>
      </c>
      <c r="F1356" s="12">
        <f ca="1">IFERROR(__xludf.DUMMYFUNCTION("IF(E1356=""USD"",B1356,B1356 * GOOGLEFINANCE(""CURRENCY:"" &amp; E1356 &amp; ""USD""))
"),35000000)</f>
        <v>35000000</v>
      </c>
      <c r="G1356" s="13">
        <f ca="1">IFERROR(__xludf.DUMMYFUNCTION("IF(E1356=""USD"",C1356,C1356 * GOOGLEFINANCE(""CURRENCY:"" &amp; E1356 &amp; ""USD""))
"),63939454)</f>
        <v>63939454</v>
      </c>
    </row>
    <row r="1357" spans="1:7" ht="15.75" customHeight="1" x14ac:dyDescent="0.25">
      <c r="A1357" s="14" t="s">
        <v>611</v>
      </c>
      <c r="B1357" s="15">
        <v>10000000</v>
      </c>
      <c r="C1357" s="15">
        <v>78845130</v>
      </c>
      <c r="D1357" s="15">
        <v>2016</v>
      </c>
      <c r="E1357" s="15" t="str">
        <f>VLOOKUP(A1357, Currency!$A$2:$B$100, 2, FALSE)</f>
        <v>EUR</v>
      </c>
      <c r="F1357" s="15">
        <f ca="1">IFERROR(__xludf.DUMMYFUNCTION("IF(E1357=""USD"",B1357,B1357 * GOOGLEFINANCE(""CURRENCY:"" &amp; E1357 &amp; ""USD""))
"),10847400)</f>
        <v>10847400</v>
      </c>
      <c r="G1357" s="16">
        <f ca="1">IFERROR(__xludf.DUMMYFUNCTION("IF(E1357=""USD"",C1357,C1357 * GOOGLEFINANCE(""CURRENCY:"" &amp; E1357 &amp; ""USD""))
"),85526466.3162)</f>
        <v>85526466.316200003</v>
      </c>
    </row>
    <row r="1358" spans="1:7" ht="15.75" customHeight="1" x14ac:dyDescent="0.25">
      <c r="A1358" s="11" t="s">
        <v>24</v>
      </c>
      <c r="B1358" s="12">
        <v>70000000</v>
      </c>
      <c r="C1358" s="12">
        <v>77862546</v>
      </c>
      <c r="D1358" s="12">
        <v>2004</v>
      </c>
      <c r="E1358" s="12" t="str">
        <f>VLOOKUP(A1358, Currency!$A$2:$B$100, 2, FALSE)</f>
        <v>USD</v>
      </c>
      <c r="F1358" s="12">
        <f ca="1">IFERROR(__xludf.DUMMYFUNCTION("IF(E1358=""USD"",B1358,B1358 * GOOGLEFINANCE(""CURRENCY:"" &amp; E1358 &amp; ""USD""))
"),70000000)</f>
        <v>70000000</v>
      </c>
      <c r="G1358" s="13">
        <f ca="1">IFERROR(__xludf.DUMMYFUNCTION("IF(E1358=""USD"",C1358,C1358 * GOOGLEFINANCE(""CURRENCY:"" &amp; E1358 &amp; ""USD""))
"),77862546)</f>
        <v>77862546</v>
      </c>
    </row>
    <row r="1359" spans="1:7" ht="15.75" customHeight="1" x14ac:dyDescent="0.25">
      <c r="A1359" s="14" t="s">
        <v>24</v>
      </c>
      <c r="B1359" s="15">
        <v>62000000</v>
      </c>
      <c r="C1359" s="15">
        <v>65000000</v>
      </c>
      <c r="D1359" s="15">
        <v>1995</v>
      </c>
      <c r="E1359" s="15" t="str">
        <f>VLOOKUP(A1359, Currency!$A$2:$B$100, 2, FALSE)</f>
        <v>USD</v>
      </c>
      <c r="F1359" s="15">
        <f ca="1">IFERROR(__xludf.DUMMYFUNCTION("IF(E1359=""USD"",B1359,B1359 * GOOGLEFINANCE(""CURRENCY:"" &amp; E1359 &amp; ""USD""))
"),62000000)</f>
        <v>62000000</v>
      </c>
      <c r="G1359" s="16">
        <f ca="1">IFERROR(__xludf.DUMMYFUNCTION("IF(E1359=""USD"",C1359,C1359 * GOOGLEFINANCE(""CURRENCY:"" &amp; E1359 &amp; ""USD""))
"),65000000)</f>
        <v>65000000</v>
      </c>
    </row>
    <row r="1360" spans="1:7" ht="15.75" customHeight="1" x14ac:dyDescent="0.25">
      <c r="A1360" s="11" t="s">
        <v>24</v>
      </c>
      <c r="B1360" s="12">
        <v>22000000</v>
      </c>
      <c r="C1360" s="12">
        <v>11560259</v>
      </c>
      <c r="D1360" s="12">
        <v>2001</v>
      </c>
      <c r="E1360" s="12" t="str">
        <f>VLOOKUP(A1360, Currency!$A$2:$B$100, 2, FALSE)</f>
        <v>USD</v>
      </c>
      <c r="F1360" s="12">
        <f ca="1">IFERROR(__xludf.DUMMYFUNCTION("IF(E1360=""USD"",B1360,B1360 * GOOGLEFINANCE(""CURRENCY:"" &amp; E1360 &amp; ""USD""))
"),22000000)</f>
        <v>22000000</v>
      </c>
      <c r="G1360" s="13">
        <f ca="1">IFERROR(__xludf.DUMMYFUNCTION("IF(E1360=""USD"",C1360,C1360 * GOOGLEFINANCE(""CURRENCY:"" &amp; E1360 &amp; ""USD""))
"),11560259)</f>
        <v>11560259</v>
      </c>
    </row>
    <row r="1361" spans="1:7" ht="15.75" customHeight="1" x14ac:dyDescent="0.25">
      <c r="A1361" s="14" t="s">
        <v>24</v>
      </c>
      <c r="B1361" s="15">
        <v>68000000</v>
      </c>
      <c r="C1361" s="15">
        <v>34350553</v>
      </c>
      <c r="D1361" s="15">
        <v>2012</v>
      </c>
      <c r="E1361" s="15" t="str">
        <f>VLOOKUP(A1361, Currency!$A$2:$B$100, 2, FALSE)</f>
        <v>USD</v>
      </c>
      <c r="F1361" s="15">
        <f ca="1">IFERROR(__xludf.DUMMYFUNCTION("IF(E1361=""USD"",B1361,B1361 * GOOGLEFINANCE(""CURRENCY:"" &amp; E1361 &amp; ""USD""))
"),68000000)</f>
        <v>68000000</v>
      </c>
      <c r="G1361" s="16">
        <f ca="1">IFERROR(__xludf.DUMMYFUNCTION("IF(E1361=""USD"",C1361,C1361 * GOOGLEFINANCE(""CURRENCY:"" &amp; E1361 &amp; ""USD""))
"),34350553)</f>
        <v>34350553</v>
      </c>
    </row>
    <row r="1362" spans="1:7" ht="15.75" customHeight="1" x14ac:dyDescent="0.25">
      <c r="A1362" s="11" t="s">
        <v>24</v>
      </c>
      <c r="B1362" s="12">
        <v>20000000</v>
      </c>
      <c r="C1362" s="12">
        <v>3519627</v>
      </c>
      <c r="D1362" s="12">
        <v>2008</v>
      </c>
      <c r="E1362" s="12" t="str">
        <f>VLOOKUP(A1362, Currency!$A$2:$B$100, 2, FALSE)</f>
        <v>USD</v>
      </c>
      <c r="F1362" s="12">
        <f ca="1">IFERROR(__xludf.DUMMYFUNCTION("IF(E1362=""USD"",B1362,B1362 * GOOGLEFINANCE(""CURRENCY:"" &amp; E1362 &amp; ""USD""))
"),20000000)</f>
        <v>20000000</v>
      </c>
      <c r="G1362" s="13">
        <f ca="1">IFERROR(__xludf.DUMMYFUNCTION("IF(E1362=""USD"",C1362,C1362 * GOOGLEFINANCE(""CURRENCY:"" &amp; E1362 &amp; ""USD""))
"),3519627)</f>
        <v>3519627</v>
      </c>
    </row>
    <row r="1363" spans="1:7" ht="15.75" customHeight="1" x14ac:dyDescent="0.25">
      <c r="A1363" s="14" t="s">
        <v>24</v>
      </c>
      <c r="B1363" s="15">
        <v>12000000</v>
      </c>
      <c r="C1363" s="15">
        <v>5542025</v>
      </c>
      <c r="D1363" s="15">
        <v>2006</v>
      </c>
      <c r="E1363" s="15" t="str">
        <f>VLOOKUP(A1363, Currency!$A$2:$B$100, 2, FALSE)</f>
        <v>USD</v>
      </c>
      <c r="F1363" s="15">
        <f ca="1">IFERROR(__xludf.DUMMYFUNCTION("IF(E1363=""USD"",B1363,B1363 * GOOGLEFINANCE(""CURRENCY:"" &amp; E1363 &amp; ""USD""))
"),12000000)</f>
        <v>12000000</v>
      </c>
      <c r="G1363" s="16">
        <f ca="1">IFERROR(__xludf.DUMMYFUNCTION("IF(E1363=""USD"",C1363,C1363 * GOOGLEFINANCE(""CURRENCY:"" &amp; E1363 &amp; ""USD""))
"),5542025)</f>
        <v>5542025</v>
      </c>
    </row>
    <row r="1364" spans="1:7" ht="15.75" customHeight="1" x14ac:dyDescent="0.25">
      <c r="A1364" s="11" t="s">
        <v>1005</v>
      </c>
      <c r="B1364" s="12">
        <v>45000000</v>
      </c>
      <c r="C1364" s="12">
        <v>5664251</v>
      </c>
      <c r="D1364" s="12">
        <v>2010</v>
      </c>
      <c r="E1364" s="12" t="str">
        <f>VLOOKUP(A1364, Currency!$A$2:$B$100, 2, FALSE)</f>
        <v>NZD</v>
      </c>
      <c r="F1364" s="12">
        <f ca="1">IFERROR(__xludf.DUMMYFUNCTION("IF(E1364=""USD"",B1364,B1364 * GOOGLEFINANCE(""CURRENCY:"" &amp; E1364 &amp; ""USD""))
"),26493525)</f>
        <v>26493525</v>
      </c>
      <c r="G1364" s="13">
        <f ca="1">IFERROR(__xludf.DUMMYFUNCTION("IF(E1364=""USD"",C1364,C1364 * GOOGLEFINANCE(""CURRENCY:"" &amp; E1364 &amp; ""USD""))
"),3334799.454995)</f>
        <v>3334799.4549949998</v>
      </c>
    </row>
    <row r="1365" spans="1:7" ht="15.75" customHeight="1" x14ac:dyDescent="0.25">
      <c r="A1365" s="14" t="s">
        <v>24</v>
      </c>
      <c r="B1365" s="15">
        <v>20000000</v>
      </c>
      <c r="C1365" s="15">
        <v>48546578</v>
      </c>
      <c r="D1365" s="15">
        <v>2006</v>
      </c>
      <c r="E1365" s="15" t="str">
        <f>VLOOKUP(A1365, Currency!$A$2:$B$100, 2, FALSE)</f>
        <v>USD</v>
      </c>
      <c r="F1365" s="15">
        <f ca="1">IFERROR(__xludf.DUMMYFUNCTION("IF(E1365=""USD"",B1365,B1365 * GOOGLEFINANCE(""CURRENCY:"" &amp; E1365 &amp; ""USD""))
"),20000000)</f>
        <v>20000000</v>
      </c>
      <c r="G1365" s="16">
        <f ca="1">IFERROR(__xludf.DUMMYFUNCTION("IF(E1365=""USD"",C1365,C1365 * GOOGLEFINANCE(""CURRENCY:"" &amp; E1365 &amp; ""USD""))
"),48546578)</f>
        <v>48546578</v>
      </c>
    </row>
    <row r="1366" spans="1:7" ht="15.75" customHeight="1" x14ac:dyDescent="0.25">
      <c r="A1366" s="11" t="s">
        <v>24</v>
      </c>
      <c r="B1366" s="12">
        <v>25000000</v>
      </c>
      <c r="C1366" s="12">
        <v>11100000</v>
      </c>
      <c r="D1366" s="12">
        <v>1986</v>
      </c>
      <c r="E1366" s="12" t="str">
        <f>VLOOKUP(A1366, Currency!$A$2:$B$100, 2, FALSE)</f>
        <v>USD</v>
      </c>
      <c r="F1366" s="12">
        <f ca="1">IFERROR(__xludf.DUMMYFUNCTION("IF(E1366=""USD"",B1366,B1366 * GOOGLEFINANCE(""CURRENCY:"" &amp; E1366 &amp; ""USD""))
"),25000000)</f>
        <v>25000000</v>
      </c>
      <c r="G1366" s="13">
        <f ca="1">IFERROR(__xludf.DUMMYFUNCTION("IF(E1366=""USD"",C1366,C1366 * GOOGLEFINANCE(""CURRENCY:"" &amp; E1366 &amp; ""USD""))
"),11100000)</f>
        <v>11100000</v>
      </c>
    </row>
    <row r="1367" spans="1:7" ht="15.75" customHeight="1" x14ac:dyDescent="0.25">
      <c r="A1367" s="14" t="s">
        <v>133</v>
      </c>
      <c r="B1367" s="15">
        <v>15000000</v>
      </c>
      <c r="C1367" s="15">
        <v>141319195</v>
      </c>
      <c r="D1367" s="15">
        <v>2008</v>
      </c>
      <c r="E1367" s="15" t="str">
        <f>VLOOKUP(A1367, Currency!$A$2:$B$100, 2, FALSE)</f>
        <v>GBP</v>
      </c>
      <c r="F1367" s="15">
        <f ca="1">IFERROR(__xludf.DUMMYFUNCTION("IF(E1367=""USD"",B1367,B1367 * GOOGLEFINANCE(""CURRENCY:"" &amp; E1367 &amp; ""USD""))
"),19281000)</f>
        <v>19281000</v>
      </c>
      <c r="G1367" s="16">
        <f ca="1">IFERROR(__xludf.DUMMYFUNCTION("IF(E1367=""USD"",C1367,C1367 * GOOGLEFINANCE(""CURRENCY:"" &amp; E1367 &amp; ""USD""))
"),181651693.253)</f>
        <v>181651693.25299999</v>
      </c>
    </row>
    <row r="1368" spans="1:7" ht="15.75" customHeight="1" x14ac:dyDescent="0.25">
      <c r="A1368" s="11" t="s">
        <v>133</v>
      </c>
      <c r="B1368" s="12">
        <v>15000000</v>
      </c>
      <c r="C1368" s="12">
        <v>17508670</v>
      </c>
      <c r="D1368" s="12">
        <v>2006</v>
      </c>
      <c r="E1368" s="12" t="str">
        <f>VLOOKUP(A1368, Currency!$A$2:$B$100, 2, FALSE)</f>
        <v>GBP</v>
      </c>
      <c r="F1368" s="12">
        <f ca="1">IFERROR(__xludf.DUMMYFUNCTION("IF(E1368=""USD"",B1368,B1368 * GOOGLEFINANCE(""CURRENCY:"" &amp; E1368 &amp; ""USD""))
"),19281000)</f>
        <v>19281000</v>
      </c>
      <c r="G1368" s="13">
        <f ca="1">IFERROR(__xludf.DUMMYFUNCTION("IF(E1368=""USD"",C1368,C1368 * GOOGLEFINANCE(""CURRENCY:"" &amp; E1368 &amp; ""USD""))
"),22505644.4179999)</f>
        <v>22505644.417999901</v>
      </c>
    </row>
    <row r="1369" spans="1:7" ht="15.75" customHeight="1" x14ac:dyDescent="0.25">
      <c r="A1369" s="14" t="s">
        <v>24</v>
      </c>
      <c r="B1369" s="15">
        <v>200000000</v>
      </c>
      <c r="C1369" s="15">
        <v>408992272</v>
      </c>
      <c r="D1369" s="15">
        <v>2013</v>
      </c>
      <c r="E1369" s="15" t="str">
        <f>VLOOKUP(A1369, Currency!$A$2:$B$100, 2, FALSE)</f>
        <v>USD</v>
      </c>
      <c r="F1369" s="15">
        <f ca="1">IFERROR(__xludf.DUMMYFUNCTION("IF(E1369=""USD"",B1369,B1369 * GOOGLEFINANCE(""CURRENCY:"" &amp; E1369 &amp; ""USD""))
"),200000000)</f>
        <v>200000000</v>
      </c>
      <c r="G1369" s="16">
        <f ca="1">IFERROR(__xludf.DUMMYFUNCTION("IF(E1369=""USD"",C1369,C1369 * GOOGLEFINANCE(""CURRENCY:"" &amp; E1369 &amp; ""USD""))
"),408992272)</f>
        <v>408992272</v>
      </c>
    </row>
    <row r="1370" spans="1:7" ht="15.75" customHeight="1" x14ac:dyDescent="0.25">
      <c r="A1370" s="11" t="s">
        <v>24</v>
      </c>
      <c r="B1370" s="12">
        <v>35000000</v>
      </c>
      <c r="C1370" s="12">
        <v>59699513</v>
      </c>
      <c r="D1370" s="12">
        <v>2010</v>
      </c>
      <c r="E1370" s="12" t="str">
        <f>VLOOKUP(A1370, Currency!$A$2:$B$100, 2, FALSE)</f>
        <v>USD</v>
      </c>
      <c r="F1370" s="12">
        <f ca="1">IFERROR(__xludf.DUMMYFUNCTION("IF(E1370=""USD"",B1370,B1370 * GOOGLEFINANCE(""CURRENCY:"" &amp; E1370 &amp; ""USD""))
"),35000000)</f>
        <v>35000000</v>
      </c>
      <c r="G1370" s="13">
        <f ca="1">IFERROR(__xludf.DUMMYFUNCTION("IF(E1370=""USD"",C1370,C1370 * GOOGLEFINANCE(""CURRENCY:"" &amp; E1370 &amp; ""USD""))
"),59699513)</f>
        <v>59699513</v>
      </c>
    </row>
    <row r="1371" spans="1:7" ht="15.75" customHeight="1" x14ac:dyDescent="0.25">
      <c r="A1371" s="14" t="s">
        <v>24</v>
      </c>
      <c r="B1371" s="15">
        <v>900000</v>
      </c>
      <c r="C1371" s="15">
        <v>16097842</v>
      </c>
      <c r="D1371" s="15">
        <v>2013</v>
      </c>
      <c r="E1371" s="15" t="str">
        <f>VLOOKUP(A1371, Currency!$A$2:$B$100, 2, FALSE)</f>
        <v>USD</v>
      </c>
      <c r="F1371" s="15">
        <f ca="1">IFERROR(__xludf.DUMMYFUNCTION("IF(E1371=""USD"",B1371,B1371 * GOOGLEFINANCE(""CURRENCY:"" &amp; E1371 &amp; ""USD""))
"),900000)</f>
        <v>900000</v>
      </c>
      <c r="G1371" s="16">
        <f ca="1">IFERROR(__xludf.DUMMYFUNCTION("IF(E1371=""USD"",C1371,C1371 * GOOGLEFINANCE(""CURRENCY:"" &amp; E1371 &amp; ""USD""))
"),16097842)</f>
        <v>16097842</v>
      </c>
    </row>
    <row r="1372" spans="1:7" ht="15.75" customHeight="1" x14ac:dyDescent="0.25">
      <c r="A1372" s="11" t="s">
        <v>24</v>
      </c>
      <c r="B1372" s="12">
        <v>40000000</v>
      </c>
      <c r="C1372" s="12">
        <v>52320979</v>
      </c>
      <c r="D1372" s="12">
        <v>2006</v>
      </c>
      <c r="E1372" s="12" t="str">
        <f>VLOOKUP(A1372, Currency!$A$2:$B$100, 2, FALSE)</f>
        <v>USD</v>
      </c>
      <c r="F1372" s="12">
        <f ca="1">IFERROR(__xludf.DUMMYFUNCTION("IF(E1372=""USD"",B1372,B1372 * GOOGLEFINANCE(""CURRENCY:"" &amp; E1372 &amp; ""USD""))
"),40000000)</f>
        <v>40000000</v>
      </c>
      <c r="G1372" s="13">
        <f ca="1">IFERROR(__xludf.DUMMYFUNCTION("IF(E1372=""USD"",C1372,C1372 * GOOGLEFINANCE(""CURRENCY:"" &amp; E1372 &amp; ""USD""))
"),52320979)</f>
        <v>52320979</v>
      </c>
    </row>
    <row r="1373" spans="1:7" ht="15.75" customHeight="1" x14ac:dyDescent="0.25">
      <c r="A1373" s="14" t="s">
        <v>24</v>
      </c>
      <c r="B1373" s="15">
        <v>80000000</v>
      </c>
      <c r="C1373" s="15">
        <v>94822707</v>
      </c>
      <c r="D1373" s="15">
        <v>2010</v>
      </c>
      <c r="E1373" s="15" t="str">
        <f>VLOOKUP(A1373, Currency!$A$2:$B$100, 2, FALSE)</f>
        <v>USD</v>
      </c>
      <c r="F1373" s="15">
        <f ca="1">IFERROR(__xludf.DUMMYFUNCTION("IF(E1373=""USD"",B1373,B1373 * GOOGLEFINANCE(""CURRENCY:"" &amp; E1373 &amp; ""USD""))
"),80000000)</f>
        <v>80000000</v>
      </c>
      <c r="G1373" s="16">
        <f ca="1">IFERROR(__xludf.DUMMYFUNCTION("IF(E1373=""USD"",C1373,C1373 * GOOGLEFINANCE(""CURRENCY:"" &amp; E1373 &amp; ""USD""))
"),94822707)</f>
        <v>94822707</v>
      </c>
    </row>
    <row r="1374" spans="1:7" ht="15.75" customHeight="1" x14ac:dyDescent="0.25">
      <c r="A1374" s="11" t="s">
        <v>24</v>
      </c>
      <c r="B1374" s="12">
        <v>14000000</v>
      </c>
      <c r="C1374" s="12">
        <v>34700000</v>
      </c>
      <c r="D1374" s="12">
        <v>1988</v>
      </c>
      <c r="E1374" s="12" t="str">
        <f>VLOOKUP(A1374, Currency!$A$2:$B$100, 2, FALSE)</f>
        <v>USD</v>
      </c>
      <c r="F1374" s="12">
        <f ca="1">IFERROR(__xludf.DUMMYFUNCTION("IF(E1374=""USD"",B1374,B1374 * GOOGLEFINANCE(""CURRENCY:"" &amp; E1374 &amp; ""USD""))
"),14000000)</f>
        <v>14000000</v>
      </c>
      <c r="G1374" s="13">
        <f ca="1">IFERROR(__xludf.DUMMYFUNCTION("IF(E1374=""USD"",C1374,C1374 * GOOGLEFINANCE(""CURRENCY:"" &amp; E1374 &amp; ""USD""))
"),34700000)</f>
        <v>34700000</v>
      </c>
    </row>
    <row r="1375" spans="1:7" ht="15.75" customHeight="1" x14ac:dyDescent="0.25">
      <c r="A1375" s="14" t="s">
        <v>24</v>
      </c>
      <c r="B1375" s="15">
        <v>55000000</v>
      </c>
      <c r="C1375" s="15">
        <v>25040293</v>
      </c>
      <c r="D1375" s="15">
        <v>2008</v>
      </c>
      <c r="E1375" s="15" t="str">
        <f>VLOOKUP(A1375, Currency!$A$2:$B$100, 2, FALSE)</f>
        <v>USD</v>
      </c>
      <c r="F1375" s="15">
        <f ca="1">IFERROR(__xludf.DUMMYFUNCTION("IF(E1375=""USD"",B1375,B1375 * GOOGLEFINANCE(""CURRENCY:"" &amp; E1375 &amp; ""USD""))
"),55000000)</f>
        <v>55000000</v>
      </c>
      <c r="G1375" s="16">
        <f ca="1">IFERROR(__xludf.DUMMYFUNCTION("IF(E1375=""USD"",C1375,C1375 * GOOGLEFINANCE(""CURRENCY:"" &amp; E1375 &amp; ""USD""))
"),25040293)</f>
        <v>25040293</v>
      </c>
    </row>
    <row r="1376" spans="1:7" ht="15.75" customHeight="1" x14ac:dyDescent="0.25">
      <c r="A1376" s="11" t="s">
        <v>24</v>
      </c>
      <c r="B1376" s="12">
        <v>116000000</v>
      </c>
      <c r="C1376" s="12">
        <v>67155742</v>
      </c>
      <c r="D1376" s="12">
        <v>1997</v>
      </c>
      <c r="E1376" s="12" t="str">
        <f>VLOOKUP(A1376, Currency!$A$2:$B$100, 2, FALSE)</f>
        <v>USD</v>
      </c>
      <c r="F1376" s="12">
        <f ca="1">IFERROR(__xludf.DUMMYFUNCTION("IF(E1376=""USD"",B1376,B1376 * GOOGLEFINANCE(""CURRENCY:"" &amp; E1376 &amp; ""USD""))
"),116000000)</f>
        <v>116000000</v>
      </c>
      <c r="G1376" s="13">
        <f ca="1">IFERROR(__xludf.DUMMYFUNCTION("IF(E1376=""USD"",C1376,C1376 * GOOGLEFINANCE(""CURRENCY:"" &amp; E1376 &amp; ""USD""))
"),67155742)</f>
        <v>67155742</v>
      </c>
    </row>
    <row r="1377" spans="1:7" ht="15.75" customHeight="1" x14ac:dyDescent="0.25">
      <c r="A1377" s="14" t="s">
        <v>24</v>
      </c>
      <c r="B1377" s="15">
        <v>29000000</v>
      </c>
      <c r="C1377" s="15">
        <v>55845943</v>
      </c>
      <c r="D1377" s="15">
        <v>2003</v>
      </c>
      <c r="E1377" s="15" t="str">
        <f>VLOOKUP(A1377, Currency!$A$2:$B$100, 2, FALSE)</f>
        <v>USD</v>
      </c>
      <c r="F1377" s="15">
        <f ca="1">IFERROR(__xludf.DUMMYFUNCTION("IF(E1377=""USD"",B1377,B1377 * GOOGLEFINANCE(""CURRENCY:"" &amp; E1377 &amp; ""USD""))
"),29000000)</f>
        <v>29000000</v>
      </c>
      <c r="G1377" s="16">
        <f ca="1">IFERROR(__xludf.DUMMYFUNCTION("IF(E1377=""USD"",C1377,C1377 * GOOGLEFINANCE(""CURRENCY:"" &amp; E1377 &amp; ""USD""))
"),55845943)</f>
        <v>55845943</v>
      </c>
    </row>
    <row r="1378" spans="1:7" ht="15.75" customHeight="1" x14ac:dyDescent="0.25">
      <c r="A1378" s="11" t="s">
        <v>24</v>
      </c>
      <c r="B1378" s="12">
        <v>15000000</v>
      </c>
      <c r="C1378" s="12">
        <v>71897215</v>
      </c>
      <c r="D1378" s="12">
        <v>2016</v>
      </c>
      <c r="E1378" s="12" t="str">
        <f>VLOOKUP(A1378, Currency!$A$2:$B$100, 2, FALSE)</f>
        <v>USD</v>
      </c>
      <c r="F1378" s="12">
        <f ca="1">IFERROR(__xludf.DUMMYFUNCTION("IF(E1378=""USD"",B1378,B1378 * GOOGLEFINANCE(""CURRENCY:"" &amp; E1378 &amp; ""USD""))
"),15000000)</f>
        <v>15000000</v>
      </c>
      <c r="G1378" s="13">
        <f ca="1">IFERROR(__xludf.DUMMYFUNCTION("IF(E1378=""USD"",C1378,C1378 * GOOGLEFINANCE(""CURRENCY:"" &amp; E1378 &amp; ""USD""))
"),71897215)</f>
        <v>71897215</v>
      </c>
    </row>
    <row r="1379" spans="1:7" ht="15.75" customHeight="1" x14ac:dyDescent="0.25">
      <c r="A1379" s="14" t="s">
        <v>24</v>
      </c>
      <c r="B1379" s="15">
        <v>12000000</v>
      </c>
      <c r="C1379" s="15">
        <v>31990064</v>
      </c>
      <c r="D1379" s="15">
        <v>2015</v>
      </c>
      <c r="E1379" s="15" t="str">
        <f>VLOOKUP(A1379, Currency!$A$2:$B$100, 2, FALSE)</f>
        <v>USD</v>
      </c>
      <c r="F1379" s="15">
        <f ca="1">IFERROR(__xludf.DUMMYFUNCTION("IF(E1379=""USD"",B1379,B1379 * GOOGLEFINANCE(""CURRENCY:"" &amp; E1379 &amp; ""USD""))
"),12000000)</f>
        <v>12000000</v>
      </c>
      <c r="G1379" s="16">
        <f ca="1">IFERROR(__xludf.DUMMYFUNCTION("IF(E1379=""USD"",C1379,C1379 * GOOGLEFINANCE(""CURRENCY:"" &amp; E1379 &amp; ""USD""))
"),31990064)</f>
        <v>31990064</v>
      </c>
    </row>
    <row r="1380" spans="1:7" ht="15.75" customHeight="1" x14ac:dyDescent="0.25">
      <c r="A1380" s="11" t="s">
        <v>24</v>
      </c>
      <c r="B1380" s="12">
        <v>300000</v>
      </c>
      <c r="C1380" s="12">
        <v>47000000</v>
      </c>
      <c r="D1380" s="12">
        <v>1978</v>
      </c>
      <c r="E1380" s="12" t="str">
        <f>VLOOKUP(A1380, Currency!$A$2:$B$100, 2, FALSE)</f>
        <v>USD</v>
      </c>
      <c r="F1380" s="12">
        <f ca="1">IFERROR(__xludf.DUMMYFUNCTION("IF(E1380=""USD"",B1380,B1380 * GOOGLEFINANCE(""CURRENCY:"" &amp; E1380 &amp; ""USD""))
"),300000)</f>
        <v>300000</v>
      </c>
      <c r="G1380" s="13">
        <f ca="1">IFERROR(__xludf.DUMMYFUNCTION("IF(E1380=""USD"",C1380,C1380 * GOOGLEFINANCE(""CURRENCY:"" &amp; E1380 &amp; ""USD""))
"),47000000)</f>
        <v>47000000</v>
      </c>
    </row>
    <row r="1381" spans="1:7" ht="15.75" customHeight="1" x14ac:dyDescent="0.25">
      <c r="A1381" s="14" t="s">
        <v>24</v>
      </c>
      <c r="B1381" s="15">
        <v>90000000</v>
      </c>
      <c r="C1381" s="15">
        <v>59475623</v>
      </c>
      <c r="D1381" s="15">
        <v>2004</v>
      </c>
      <c r="E1381" s="15" t="str">
        <f>VLOOKUP(A1381, Currency!$A$2:$B$100, 2, FALSE)</f>
        <v>USD</v>
      </c>
      <c r="F1381" s="15">
        <f ca="1">IFERROR(__xludf.DUMMYFUNCTION("IF(E1381=""USD"",B1381,B1381 * GOOGLEFINANCE(""CURRENCY:"" &amp; E1381 &amp; ""USD""))
"),90000000)</f>
        <v>90000000</v>
      </c>
      <c r="G1381" s="16">
        <f ca="1">IFERROR(__xludf.DUMMYFUNCTION("IF(E1381=""USD"",C1381,C1381 * GOOGLEFINANCE(""CURRENCY:"" &amp; E1381 &amp; ""USD""))
"),59475623)</f>
        <v>59475623</v>
      </c>
    </row>
    <row r="1382" spans="1:7" ht="15.75" customHeight="1" x14ac:dyDescent="0.25">
      <c r="A1382" s="11" t="s">
        <v>611</v>
      </c>
      <c r="B1382" s="12">
        <v>20000000</v>
      </c>
      <c r="C1382" s="12">
        <v>2353728</v>
      </c>
      <c r="D1382" s="12">
        <v>2003</v>
      </c>
      <c r="E1382" s="12" t="str">
        <f>VLOOKUP(A1382, Currency!$A$2:$B$100, 2, FALSE)</f>
        <v>EUR</v>
      </c>
      <c r="F1382" s="12">
        <f ca="1">IFERROR(__xludf.DUMMYFUNCTION("IF(E1382=""USD"",B1382,B1382 * GOOGLEFINANCE(""CURRENCY:"" &amp; E1382 &amp; ""USD""))
"),21694800)</f>
        <v>21694800</v>
      </c>
      <c r="G1382" s="13">
        <f ca="1">IFERROR(__xludf.DUMMYFUNCTION("IF(E1382=""USD"",C1382,C1382 * GOOGLEFINANCE(""CURRENCY:"" &amp; E1382 &amp; ""USD""))
"),2553182.91072)</f>
        <v>2553182.91072</v>
      </c>
    </row>
    <row r="1383" spans="1:7" ht="15.75" customHeight="1" x14ac:dyDescent="0.25">
      <c r="A1383" s="14" t="s">
        <v>24</v>
      </c>
      <c r="B1383" s="15">
        <v>7500000</v>
      </c>
      <c r="C1383" s="15">
        <v>6712241</v>
      </c>
      <c r="D1383" s="15">
        <v>1998</v>
      </c>
      <c r="E1383" s="15" t="str">
        <f>VLOOKUP(A1383, Currency!$A$2:$B$100, 2, FALSE)</f>
        <v>USD</v>
      </c>
      <c r="F1383" s="15">
        <f ca="1">IFERROR(__xludf.DUMMYFUNCTION("IF(E1383=""USD"",B1383,B1383 * GOOGLEFINANCE(""CURRENCY:"" &amp; E1383 &amp; ""USD""))
"),7500000)</f>
        <v>7500000</v>
      </c>
      <c r="G1383" s="16">
        <f ca="1">IFERROR(__xludf.DUMMYFUNCTION("IF(E1383=""USD"",C1383,C1383 * GOOGLEFINANCE(""CURRENCY:"" &amp; E1383 &amp; ""USD""))
"),6712241)</f>
        <v>6712241</v>
      </c>
    </row>
    <row r="1384" spans="1:7" ht="15.75" customHeight="1" x14ac:dyDescent="0.25">
      <c r="A1384" s="11" t="s">
        <v>24</v>
      </c>
      <c r="B1384" s="12">
        <v>25000000</v>
      </c>
      <c r="C1384" s="12">
        <v>32003620</v>
      </c>
      <c r="D1384" s="12">
        <v>2004</v>
      </c>
      <c r="E1384" s="12" t="str">
        <f>VLOOKUP(A1384, Currency!$A$2:$B$100, 2, FALSE)</f>
        <v>USD</v>
      </c>
      <c r="F1384" s="12">
        <f ca="1">IFERROR(__xludf.DUMMYFUNCTION("IF(E1384=""USD"",B1384,B1384 * GOOGLEFINANCE(""CURRENCY:"" &amp; E1384 &amp; ""USD""))
"),25000000)</f>
        <v>25000000</v>
      </c>
      <c r="G1384" s="13">
        <f ca="1">IFERROR(__xludf.DUMMYFUNCTION("IF(E1384=""USD"",C1384,C1384 * GOOGLEFINANCE(""CURRENCY:"" &amp; E1384 &amp; ""USD""))
"),32003620)</f>
        <v>32003620</v>
      </c>
    </row>
    <row r="1385" spans="1:7" ht="15.75" customHeight="1" x14ac:dyDescent="0.25">
      <c r="A1385" s="14" t="s">
        <v>24</v>
      </c>
      <c r="B1385" s="15">
        <v>20000000</v>
      </c>
      <c r="C1385" s="15">
        <v>1183354</v>
      </c>
      <c r="D1385" s="15">
        <v>2010</v>
      </c>
      <c r="E1385" s="15" t="str">
        <f>VLOOKUP(A1385, Currency!$A$2:$B$100, 2, FALSE)</f>
        <v>USD</v>
      </c>
      <c r="F1385" s="15">
        <f ca="1">IFERROR(__xludf.DUMMYFUNCTION("IF(E1385=""USD"",B1385,B1385 * GOOGLEFINANCE(""CURRENCY:"" &amp; E1385 &amp; ""USD""))
"),20000000)</f>
        <v>20000000</v>
      </c>
      <c r="G1385" s="16">
        <f ca="1">IFERROR(__xludf.DUMMYFUNCTION("IF(E1385=""USD"",C1385,C1385 * GOOGLEFINANCE(""CURRENCY:"" &amp; E1385 &amp; ""USD""))
"),1183354)</f>
        <v>1183354</v>
      </c>
    </row>
    <row r="1386" spans="1:7" ht="15.75" customHeight="1" x14ac:dyDescent="0.25">
      <c r="A1386" s="11" t="s">
        <v>133</v>
      </c>
      <c r="B1386" s="12">
        <v>30000000</v>
      </c>
      <c r="C1386" s="12">
        <v>4463292</v>
      </c>
      <c r="D1386" s="12">
        <v>2011</v>
      </c>
      <c r="E1386" s="12" t="str">
        <f>VLOOKUP(A1386, Currency!$A$2:$B$100, 2, FALSE)</f>
        <v>GBP</v>
      </c>
      <c r="F1386" s="12">
        <f ca="1">IFERROR(__xludf.DUMMYFUNCTION("IF(E1386=""USD"",B1386,B1386 * GOOGLEFINANCE(""CURRENCY:"" &amp; E1386 &amp; ""USD""))
"),38562000)</f>
        <v>38562000</v>
      </c>
      <c r="G1386" s="13">
        <f ca="1">IFERROR(__xludf.DUMMYFUNCTION("IF(E1386=""USD"",C1386,C1386 * GOOGLEFINANCE(""CURRENCY:"" &amp; E1386 &amp; ""USD""))
"),5737115.5368)</f>
        <v>5737115.5367999999</v>
      </c>
    </row>
    <row r="1387" spans="1:7" ht="15.75" customHeight="1" x14ac:dyDescent="0.25">
      <c r="A1387" s="14" t="s">
        <v>24</v>
      </c>
      <c r="B1387" s="15">
        <v>4000000</v>
      </c>
      <c r="C1387" s="15">
        <v>3468572</v>
      </c>
      <c r="D1387" s="15">
        <v>1988</v>
      </c>
      <c r="E1387" s="15" t="str">
        <f>VLOOKUP(A1387, Currency!$A$2:$B$100, 2, FALSE)</f>
        <v>USD</v>
      </c>
      <c r="F1387" s="15">
        <f ca="1">IFERROR(__xludf.DUMMYFUNCTION("IF(E1387=""USD"",B1387,B1387 * GOOGLEFINANCE(""CURRENCY:"" &amp; E1387 &amp; ""USD""))
"),4000000)</f>
        <v>4000000</v>
      </c>
      <c r="G1387" s="16">
        <f ca="1">IFERROR(__xludf.DUMMYFUNCTION("IF(E1387=""USD"",C1387,C1387 * GOOGLEFINANCE(""CURRENCY:"" &amp; E1387 &amp; ""USD""))
"),3468572)</f>
        <v>3468572</v>
      </c>
    </row>
    <row r="1388" spans="1:7" ht="15.75" customHeight="1" x14ac:dyDescent="0.25">
      <c r="A1388" s="11" t="s">
        <v>24</v>
      </c>
      <c r="B1388" s="12">
        <v>17500000</v>
      </c>
      <c r="C1388" s="12">
        <v>7017178</v>
      </c>
      <c r="D1388" s="12">
        <v>2013</v>
      </c>
      <c r="E1388" s="12" t="str">
        <f>VLOOKUP(A1388, Currency!$A$2:$B$100, 2, FALSE)</f>
        <v>USD</v>
      </c>
      <c r="F1388" s="12">
        <f ca="1">IFERROR(__xludf.DUMMYFUNCTION("IF(E1388=""USD"",B1388,B1388 * GOOGLEFINANCE(""CURRENCY:"" &amp; E1388 &amp; ""USD""))
"),17500000)</f>
        <v>17500000</v>
      </c>
      <c r="G1388" s="13">
        <f ca="1">IFERROR(__xludf.DUMMYFUNCTION("IF(E1388=""USD"",C1388,C1388 * GOOGLEFINANCE(""CURRENCY:"" &amp; E1388 &amp; ""USD""))
"),7017178)</f>
        <v>7017178</v>
      </c>
    </row>
    <row r="1389" spans="1:7" ht="15.75" customHeight="1" x14ac:dyDescent="0.25">
      <c r="A1389" s="14" t="s">
        <v>24</v>
      </c>
      <c r="B1389" s="15">
        <v>22700000</v>
      </c>
      <c r="C1389" s="15">
        <v>38119483</v>
      </c>
      <c r="D1389" s="15">
        <v>1987</v>
      </c>
      <c r="E1389" s="15" t="str">
        <f>VLOOKUP(A1389, Currency!$A$2:$B$100, 2, FALSE)</f>
        <v>USD</v>
      </c>
      <c r="F1389" s="15">
        <f ca="1">IFERROR(__xludf.DUMMYFUNCTION("IF(E1389=""USD"",B1389,B1389 * GOOGLEFINANCE(""CURRENCY:"" &amp; E1389 &amp; ""USD""))
"),22700000)</f>
        <v>22700000</v>
      </c>
      <c r="G1389" s="16">
        <f ca="1">IFERROR(__xludf.DUMMYFUNCTION("IF(E1389=""USD"",C1389,C1389 * GOOGLEFINANCE(""CURRENCY:"" &amp; E1389 &amp; ""USD""))
"),38119483)</f>
        <v>38119483</v>
      </c>
    </row>
    <row r="1390" spans="1:7" ht="15.75" customHeight="1" x14ac:dyDescent="0.25">
      <c r="A1390" s="11" t="s">
        <v>24</v>
      </c>
      <c r="B1390" s="12">
        <v>650000</v>
      </c>
      <c r="C1390" s="12">
        <v>2301777</v>
      </c>
      <c r="D1390" s="12">
        <v>1997</v>
      </c>
      <c r="E1390" s="12" t="str">
        <f>VLOOKUP(A1390, Currency!$A$2:$B$100, 2, FALSE)</f>
        <v>USD</v>
      </c>
      <c r="F1390" s="12">
        <f ca="1">IFERROR(__xludf.DUMMYFUNCTION("IF(E1390=""USD"",B1390,B1390 * GOOGLEFINANCE(""CURRENCY:"" &amp; E1390 &amp; ""USD""))
"),650000)</f>
        <v>650000</v>
      </c>
      <c r="G1390" s="13">
        <f ca="1">IFERROR(__xludf.DUMMYFUNCTION("IF(E1390=""USD"",C1390,C1390 * GOOGLEFINANCE(""CURRENCY:"" &amp; E1390 &amp; ""USD""))
"),2301777)</f>
        <v>2301777</v>
      </c>
    </row>
    <row r="1391" spans="1:7" ht="15.75" customHeight="1" x14ac:dyDescent="0.25">
      <c r="A1391" s="14" t="s">
        <v>24</v>
      </c>
      <c r="B1391" s="15">
        <v>4000000</v>
      </c>
      <c r="C1391" s="15">
        <v>4301331</v>
      </c>
      <c r="D1391" s="15">
        <v>1995</v>
      </c>
      <c r="E1391" s="15" t="str">
        <f>VLOOKUP(A1391, Currency!$A$2:$B$100, 2, FALSE)</f>
        <v>USD</v>
      </c>
      <c r="F1391" s="15">
        <f ca="1">IFERROR(__xludf.DUMMYFUNCTION("IF(E1391=""USD"",B1391,B1391 * GOOGLEFINANCE(""CURRENCY:"" &amp; E1391 &amp; ""USD""))
"),4000000)</f>
        <v>4000000</v>
      </c>
      <c r="G1391" s="16">
        <f ca="1">IFERROR(__xludf.DUMMYFUNCTION("IF(E1391=""USD"",C1391,C1391 * GOOGLEFINANCE(""CURRENCY:"" &amp; E1391 &amp; ""USD""))
"),4301331)</f>
        <v>4301331</v>
      </c>
    </row>
    <row r="1392" spans="1:7" ht="15.75" customHeight="1" x14ac:dyDescent="0.25">
      <c r="A1392" s="11" t="s">
        <v>24</v>
      </c>
      <c r="B1392" s="12">
        <v>42000000</v>
      </c>
      <c r="C1392" s="12">
        <v>138447667</v>
      </c>
      <c r="D1392" s="12">
        <v>2012</v>
      </c>
      <c r="E1392" s="12" t="str">
        <f>VLOOKUP(A1392, Currency!$A$2:$B$100, 2, FALSE)</f>
        <v>USD</v>
      </c>
      <c r="F1392" s="12">
        <f ca="1">IFERROR(__xludf.DUMMYFUNCTION("IF(E1392=""USD"",B1392,B1392 * GOOGLEFINANCE(""CURRENCY:"" &amp; E1392 &amp; ""USD""))
"),42000000)</f>
        <v>42000000</v>
      </c>
      <c r="G1392" s="13">
        <f ca="1">IFERROR(__xludf.DUMMYFUNCTION("IF(E1392=""USD"",C1392,C1392 * GOOGLEFINANCE(""CURRENCY:"" &amp; E1392 &amp; ""USD""))
"),138447667)</f>
        <v>138447667</v>
      </c>
    </row>
    <row r="1393" spans="1:7" ht="15.75" customHeight="1" x14ac:dyDescent="0.25">
      <c r="A1393" s="14" t="s">
        <v>24</v>
      </c>
      <c r="B1393" s="15">
        <v>80000000</v>
      </c>
      <c r="C1393" s="15">
        <v>130313314</v>
      </c>
      <c r="D1393" s="15">
        <v>2008</v>
      </c>
      <c r="E1393" s="15" t="str">
        <f>VLOOKUP(A1393, Currency!$A$2:$B$100, 2, FALSE)</f>
        <v>USD</v>
      </c>
      <c r="F1393" s="15">
        <f ca="1">IFERROR(__xludf.DUMMYFUNCTION("IF(E1393=""USD"",B1393,B1393 * GOOGLEFINANCE(""CURRENCY:"" &amp; E1393 &amp; ""USD""))
"),80000000)</f>
        <v>80000000</v>
      </c>
      <c r="G1393" s="16">
        <f ca="1">IFERROR(__xludf.DUMMYFUNCTION("IF(E1393=""USD"",C1393,C1393 * GOOGLEFINANCE(""CURRENCY:"" &amp; E1393 &amp; ""USD""))
"),130313314)</f>
        <v>130313314</v>
      </c>
    </row>
    <row r="1394" spans="1:7" ht="15.75" customHeight="1" x14ac:dyDescent="0.25">
      <c r="A1394" s="11" t="s">
        <v>627</v>
      </c>
      <c r="B1394" s="12">
        <v>11000000</v>
      </c>
      <c r="C1394" s="12">
        <v>4814244</v>
      </c>
      <c r="D1394" s="12">
        <v>2002</v>
      </c>
      <c r="E1394" s="12" t="str">
        <f>VLOOKUP(A1394, Currency!$A$2:$B$100, 2, FALSE)</f>
        <v>CAD</v>
      </c>
      <c r="F1394" s="12">
        <f ca="1">IFERROR(__xludf.DUMMYFUNCTION("IF(E1394=""USD"",B1394,B1394 * GOOGLEFINANCE(""CURRENCY:"" &amp; E1394 &amp; ""USD""))
"),7957455)</f>
        <v>7957455</v>
      </c>
      <c r="G1394" s="13">
        <f ca="1">IFERROR(__xludf.DUMMYFUNCTION("IF(E1394=""USD"",C1394,C1394 * GOOGLEFINANCE(""CURRENCY:"" &amp; E1394 &amp; ""USD""))
"),3482648.18082)</f>
        <v>3482648.1808199999</v>
      </c>
    </row>
    <row r="1395" spans="1:7" ht="15.75" customHeight="1" x14ac:dyDescent="0.25">
      <c r="A1395" s="14" t="s">
        <v>4887</v>
      </c>
      <c r="B1395" s="15">
        <v>18000000</v>
      </c>
      <c r="C1395" s="15">
        <v>3707794</v>
      </c>
      <c r="D1395" s="15">
        <v>2016</v>
      </c>
      <c r="E1395" s="15" t="str">
        <f>VLOOKUP(A1395, Currency!$A$2:$B$100, 2, FALSE)</f>
        <v>EUR</v>
      </c>
      <c r="F1395" s="15">
        <f ca="1">IFERROR(__xludf.DUMMYFUNCTION("IF(E1395=""USD"",B1395,B1395 * GOOGLEFINANCE(""CURRENCY:"" &amp; E1395 &amp; ""USD""))
"),19525320)</f>
        <v>19525320</v>
      </c>
      <c r="G1395" s="16">
        <f ca="1">IFERROR(__xludf.DUMMYFUNCTION("IF(E1395=""USD"",C1395,C1395 * GOOGLEFINANCE(""CURRENCY:"" &amp; E1395 &amp; ""USD""))
"),4021992.46356)</f>
        <v>4021992.4635600001</v>
      </c>
    </row>
    <row r="1396" spans="1:7" ht="15.75" customHeight="1" x14ac:dyDescent="0.25">
      <c r="A1396" s="11" t="s">
        <v>24</v>
      </c>
      <c r="B1396" s="12">
        <v>23000000</v>
      </c>
      <c r="C1396" s="12">
        <v>18653615</v>
      </c>
      <c r="D1396" s="12">
        <v>1999</v>
      </c>
      <c r="E1396" s="12" t="str">
        <f>VLOOKUP(A1396, Currency!$A$2:$B$100, 2, FALSE)</f>
        <v>USD</v>
      </c>
      <c r="F1396" s="12">
        <f ca="1">IFERROR(__xludf.DUMMYFUNCTION("IF(E1396=""USD"",B1396,B1396 * GOOGLEFINANCE(""CURRENCY:"" &amp; E1396 &amp; ""USD""))
"),23000000)</f>
        <v>23000000</v>
      </c>
      <c r="G1396" s="13">
        <f ca="1">IFERROR(__xludf.DUMMYFUNCTION("IF(E1396=""USD"",C1396,C1396 * GOOGLEFINANCE(""CURRENCY:"" &amp; E1396 &amp; ""USD""))
"),18653615)</f>
        <v>18653615</v>
      </c>
    </row>
    <row r="1397" spans="1:7" ht="15.75" customHeight="1" x14ac:dyDescent="0.25">
      <c r="A1397" s="14" t="s">
        <v>24</v>
      </c>
      <c r="B1397" s="15">
        <v>45000000</v>
      </c>
      <c r="C1397" s="15">
        <v>20400913</v>
      </c>
      <c r="D1397" s="15">
        <v>1996</v>
      </c>
      <c r="E1397" s="15" t="str">
        <f>VLOOKUP(A1397, Currency!$A$2:$B$100, 2, FALSE)</f>
        <v>USD</v>
      </c>
      <c r="F1397" s="15">
        <f ca="1">IFERROR(__xludf.DUMMYFUNCTION("IF(E1397=""USD"",B1397,B1397 * GOOGLEFINANCE(""CURRENCY:"" &amp; E1397 &amp; ""USD""))
"),45000000)</f>
        <v>45000000</v>
      </c>
      <c r="G1397" s="16">
        <f ca="1">IFERROR(__xludf.DUMMYFUNCTION("IF(E1397=""USD"",C1397,C1397 * GOOGLEFINANCE(""CURRENCY:"" &amp; E1397 &amp; ""USD""))
"),20400913)</f>
        <v>20400913</v>
      </c>
    </row>
    <row r="1398" spans="1:7" ht="15.75" customHeight="1" x14ac:dyDescent="0.25">
      <c r="A1398" s="11" t="s">
        <v>24</v>
      </c>
      <c r="B1398" s="12">
        <v>8500000</v>
      </c>
      <c r="C1398" s="12">
        <v>21564616</v>
      </c>
      <c r="D1398" s="12">
        <v>2013</v>
      </c>
      <c r="E1398" s="12" t="str">
        <f>VLOOKUP(A1398, Currency!$A$2:$B$100, 2, FALSE)</f>
        <v>USD</v>
      </c>
      <c r="F1398" s="12">
        <f ca="1">IFERROR(__xludf.DUMMYFUNCTION("IF(E1398=""USD"",B1398,B1398 * GOOGLEFINANCE(""CURRENCY:"" &amp; E1398 &amp; ""USD""))
"),8500000)</f>
        <v>8500000</v>
      </c>
      <c r="G1398" s="13">
        <f ca="1">IFERROR(__xludf.DUMMYFUNCTION("IF(E1398=""USD"",C1398,C1398 * GOOGLEFINANCE(""CURRENCY:"" &amp; E1398 &amp; ""USD""))
"),21564616)</f>
        <v>21564616</v>
      </c>
    </row>
    <row r="1399" spans="1:7" ht="15.75" customHeight="1" x14ac:dyDescent="0.25">
      <c r="A1399" s="14" t="s">
        <v>24</v>
      </c>
      <c r="B1399" s="15">
        <v>28000000</v>
      </c>
      <c r="C1399" s="15">
        <v>24268828</v>
      </c>
      <c r="D1399" s="15">
        <v>2010</v>
      </c>
      <c r="E1399" s="15" t="str">
        <f>VLOOKUP(A1399, Currency!$A$2:$B$100, 2, FALSE)</f>
        <v>USD</v>
      </c>
      <c r="F1399" s="15">
        <f ca="1">IFERROR(__xludf.DUMMYFUNCTION("IF(E1399=""USD"",B1399,B1399 * GOOGLEFINANCE(""CURRENCY:"" &amp; E1399 &amp; ""USD""))
"),28000000)</f>
        <v>28000000</v>
      </c>
      <c r="G1399" s="16">
        <f ca="1">IFERROR(__xludf.DUMMYFUNCTION("IF(E1399=""USD"",C1399,C1399 * GOOGLEFINANCE(""CURRENCY:"" &amp; E1399 &amp; ""USD""))
"),24268828)</f>
        <v>24268828</v>
      </c>
    </row>
    <row r="1400" spans="1:7" ht="15.75" customHeight="1" x14ac:dyDescent="0.25">
      <c r="A1400" s="11" t="s">
        <v>24</v>
      </c>
      <c r="B1400" s="12">
        <v>12000000</v>
      </c>
      <c r="C1400" s="12">
        <v>27829874</v>
      </c>
      <c r="D1400" s="12">
        <v>2006</v>
      </c>
      <c r="E1400" s="12" t="str">
        <f>VLOOKUP(A1400, Currency!$A$2:$B$100, 2, FALSE)</f>
        <v>USD</v>
      </c>
      <c r="F1400" s="12">
        <f ca="1">IFERROR(__xludf.DUMMYFUNCTION("IF(E1400=""USD"",B1400,B1400 * GOOGLEFINANCE(""CURRENCY:"" &amp; E1400 &amp; ""USD""))
"),12000000)</f>
        <v>12000000</v>
      </c>
      <c r="G1400" s="13">
        <f ca="1">IFERROR(__xludf.DUMMYFUNCTION("IF(E1400=""USD"",C1400,C1400 * GOOGLEFINANCE(""CURRENCY:"" &amp; E1400 &amp; ""USD""))
"),27829874)</f>
        <v>27829874</v>
      </c>
    </row>
    <row r="1401" spans="1:7" ht="15.75" customHeight="1" x14ac:dyDescent="0.25">
      <c r="A1401" s="14" t="s">
        <v>24</v>
      </c>
      <c r="B1401" s="15">
        <v>6000000</v>
      </c>
      <c r="C1401" s="15">
        <v>3273588</v>
      </c>
      <c r="D1401" s="15">
        <v>1993</v>
      </c>
      <c r="E1401" s="15" t="str">
        <f>VLOOKUP(A1401, Currency!$A$2:$B$100, 2, FALSE)</f>
        <v>USD</v>
      </c>
      <c r="F1401" s="15">
        <f ca="1">IFERROR(__xludf.DUMMYFUNCTION("IF(E1401=""USD"",B1401,B1401 * GOOGLEFINANCE(""CURRENCY:"" &amp; E1401 &amp; ""USD""))
"),6000000)</f>
        <v>6000000</v>
      </c>
      <c r="G1401" s="16">
        <f ca="1">IFERROR(__xludf.DUMMYFUNCTION("IF(E1401=""USD"",C1401,C1401 * GOOGLEFINANCE(""CURRENCY:"" &amp; E1401 &amp; ""USD""))
"),3273588)</f>
        <v>3273588</v>
      </c>
    </row>
    <row r="1402" spans="1:7" ht="15.75" customHeight="1" x14ac:dyDescent="0.25">
      <c r="A1402" s="11" t="s">
        <v>24</v>
      </c>
      <c r="B1402" s="12">
        <v>150000000</v>
      </c>
      <c r="C1402" s="12">
        <v>256386216</v>
      </c>
      <c r="D1402" s="12">
        <v>2007</v>
      </c>
      <c r="E1402" s="12" t="str">
        <f>VLOOKUP(A1402, Currency!$A$2:$B$100, 2, FALSE)</f>
        <v>USD</v>
      </c>
      <c r="F1402" s="12">
        <f ca="1">IFERROR(__xludf.DUMMYFUNCTION("IF(E1402=""USD"",B1402,B1402 * GOOGLEFINANCE(""CURRENCY:"" &amp; E1402 &amp; ""USD""))
"),150000000)</f>
        <v>150000000</v>
      </c>
      <c r="G1402" s="13">
        <f ca="1">IFERROR(__xludf.DUMMYFUNCTION("IF(E1402=""USD"",C1402,C1402 * GOOGLEFINANCE(""CURRENCY:"" &amp; E1402 &amp; ""USD""))
"),256386216)</f>
        <v>256386216</v>
      </c>
    </row>
    <row r="1403" spans="1:7" ht="15.75" customHeight="1" x14ac:dyDescent="0.25">
      <c r="A1403" s="14" t="s">
        <v>1551</v>
      </c>
      <c r="B1403" s="15">
        <v>19000000</v>
      </c>
      <c r="C1403" s="15">
        <v>10049886</v>
      </c>
      <c r="D1403" s="15">
        <v>2001</v>
      </c>
      <c r="E1403" s="15" t="str">
        <f>VLOOKUP(A1403, Currency!$A$2:$B$100, 2, FALSE)</f>
        <v>JPY</v>
      </c>
      <c r="F1403" s="15">
        <f ca="1">IFERROR(__xludf.DUMMYFUNCTION("IF(E1403=""USD"",B1403,B1403 * GOOGLEFINANCE(""CURRENCY:"" &amp; E1403 &amp; ""USD""))
"),123435.4)</f>
        <v>123435.4</v>
      </c>
      <c r="G1403" s="16">
        <f ca="1">IFERROR(__xludf.DUMMYFUNCTION("IF(E1403=""USD"",C1403,C1403 * GOOGLEFINANCE(""CURRENCY:"" &amp; E1403 &amp; ""USD""))
"),65290.0893876)</f>
        <v>65290.089387599997</v>
      </c>
    </row>
    <row r="1404" spans="1:7" ht="15.75" customHeight="1" x14ac:dyDescent="0.25">
      <c r="A1404" s="11" t="s">
        <v>24</v>
      </c>
      <c r="B1404" s="12">
        <v>25000000</v>
      </c>
      <c r="C1404" s="12">
        <v>47124400</v>
      </c>
      <c r="D1404" s="12">
        <v>2005</v>
      </c>
      <c r="E1404" s="12" t="str">
        <f>VLOOKUP(A1404, Currency!$A$2:$B$100, 2, FALSE)</f>
        <v>USD</v>
      </c>
      <c r="F1404" s="12">
        <f ca="1">IFERROR(__xludf.DUMMYFUNCTION("IF(E1404=""USD"",B1404,B1404 * GOOGLEFINANCE(""CURRENCY:"" &amp; E1404 &amp; ""USD""))
"),25000000)</f>
        <v>25000000</v>
      </c>
      <c r="G1404" s="13">
        <f ca="1">IFERROR(__xludf.DUMMYFUNCTION("IF(E1404=""USD"",C1404,C1404 * GOOGLEFINANCE(""CURRENCY:"" &amp; E1404 &amp; ""USD""))
"),47124400)</f>
        <v>47124400</v>
      </c>
    </row>
    <row r="1405" spans="1:7" ht="15.75" customHeight="1" x14ac:dyDescent="0.25">
      <c r="A1405" s="14" t="s">
        <v>24</v>
      </c>
      <c r="B1405" s="15">
        <v>85000000</v>
      </c>
      <c r="C1405" s="15">
        <v>57010853</v>
      </c>
      <c r="D1405" s="15">
        <v>2005</v>
      </c>
      <c r="E1405" s="15" t="str">
        <f>VLOOKUP(A1405, Currency!$A$2:$B$100, 2, FALSE)</f>
        <v>USD</v>
      </c>
      <c r="F1405" s="15">
        <f ca="1">IFERROR(__xludf.DUMMYFUNCTION("IF(E1405=""USD"",B1405,B1405 * GOOGLEFINANCE(""CURRENCY:"" &amp; E1405 &amp; ""USD""))
"),85000000)</f>
        <v>85000000</v>
      </c>
      <c r="G1405" s="16">
        <f ca="1">IFERROR(__xludf.DUMMYFUNCTION("IF(E1405=""USD"",C1405,C1405 * GOOGLEFINANCE(""CURRENCY:"" &amp; E1405 &amp; ""USD""))
"),57010853)</f>
        <v>57010853</v>
      </c>
    </row>
    <row r="1406" spans="1:7" ht="15.75" customHeight="1" x14ac:dyDescent="0.25">
      <c r="A1406" s="11" t="s">
        <v>24</v>
      </c>
      <c r="B1406" s="12">
        <v>126000000</v>
      </c>
      <c r="C1406" s="12">
        <v>35799026</v>
      </c>
      <c r="D1406" s="12">
        <v>2005</v>
      </c>
      <c r="E1406" s="12" t="str">
        <f>VLOOKUP(A1406, Currency!$A$2:$B$100, 2, FALSE)</f>
        <v>USD</v>
      </c>
      <c r="F1406" s="12">
        <f ca="1">IFERROR(__xludf.DUMMYFUNCTION("IF(E1406=""USD"",B1406,B1406 * GOOGLEFINANCE(""CURRENCY:"" &amp; E1406 &amp; ""USD""))
"),126000000)</f>
        <v>126000000</v>
      </c>
      <c r="G1406" s="13">
        <f ca="1">IFERROR(__xludf.DUMMYFUNCTION("IF(E1406=""USD"",C1406,C1406 * GOOGLEFINANCE(""CURRENCY:"" &amp; E1406 &amp; ""USD""))
"),35799026)</f>
        <v>35799026</v>
      </c>
    </row>
    <row r="1407" spans="1:7" ht="15.75" customHeight="1" x14ac:dyDescent="0.25">
      <c r="A1407" s="14" t="s">
        <v>24</v>
      </c>
      <c r="B1407" s="15">
        <v>80000000</v>
      </c>
      <c r="C1407" s="15">
        <v>155019340</v>
      </c>
      <c r="D1407" s="15">
        <v>2006</v>
      </c>
      <c r="E1407" s="15" t="str">
        <f>VLOOKUP(A1407, Currency!$A$2:$B$100, 2, FALSE)</f>
        <v>USD</v>
      </c>
      <c r="F1407" s="15">
        <f ca="1">IFERROR(__xludf.DUMMYFUNCTION("IF(E1407=""USD"",B1407,B1407 * GOOGLEFINANCE(""CURRENCY:"" &amp; E1407 &amp; ""USD""))
"),80000000)</f>
        <v>80000000</v>
      </c>
      <c r="G1407" s="16">
        <f ca="1">IFERROR(__xludf.DUMMYFUNCTION("IF(E1407=""USD"",C1407,C1407 * GOOGLEFINANCE(""CURRENCY:"" &amp; E1407 &amp; ""USD""))
"),155019340)</f>
        <v>155019340</v>
      </c>
    </row>
    <row r="1408" spans="1:7" ht="15.75" customHeight="1" x14ac:dyDescent="0.25">
      <c r="A1408" s="11" t="s">
        <v>24</v>
      </c>
      <c r="B1408" s="12">
        <v>23000000</v>
      </c>
      <c r="C1408" s="12">
        <v>6144806</v>
      </c>
      <c r="D1408" s="12">
        <v>2004</v>
      </c>
      <c r="E1408" s="12" t="str">
        <f>VLOOKUP(A1408, Currency!$A$2:$B$100, 2, FALSE)</f>
        <v>USD</v>
      </c>
      <c r="F1408" s="12">
        <f ca="1">IFERROR(__xludf.DUMMYFUNCTION("IF(E1408=""USD"",B1408,B1408 * GOOGLEFINANCE(""CURRENCY:"" &amp; E1408 &amp; ""USD""))
"),23000000)</f>
        <v>23000000</v>
      </c>
      <c r="G1408" s="13">
        <f ca="1">IFERROR(__xludf.DUMMYFUNCTION("IF(E1408=""USD"",C1408,C1408 * GOOGLEFINANCE(""CURRENCY:"" &amp; E1408 &amp; ""USD""))
"),6144806)</f>
        <v>6144806</v>
      </c>
    </row>
    <row r="1409" spans="1:7" ht="15.75" customHeight="1" x14ac:dyDescent="0.25">
      <c r="A1409" s="14" t="s">
        <v>24</v>
      </c>
      <c r="B1409" s="15">
        <v>26000000</v>
      </c>
      <c r="C1409" s="15">
        <v>7496522</v>
      </c>
      <c r="D1409" s="15">
        <v>2001</v>
      </c>
      <c r="E1409" s="15" t="str">
        <f>VLOOKUP(A1409, Currency!$A$2:$B$100, 2, FALSE)</f>
        <v>USD</v>
      </c>
      <c r="F1409" s="15">
        <f ca="1">IFERROR(__xludf.DUMMYFUNCTION("IF(E1409=""USD"",B1409,B1409 * GOOGLEFINANCE(""CURRENCY:"" &amp; E1409 &amp; ""USD""))
"),26000000)</f>
        <v>26000000</v>
      </c>
      <c r="G1409" s="16">
        <f ca="1">IFERROR(__xludf.DUMMYFUNCTION("IF(E1409=""USD"",C1409,C1409 * GOOGLEFINANCE(""CURRENCY:"" &amp; E1409 &amp; ""USD""))
"),7496522)</f>
        <v>7496522</v>
      </c>
    </row>
    <row r="1410" spans="1:7" ht="15.75" customHeight="1" x14ac:dyDescent="0.25">
      <c r="A1410" s="11" t="s">
        <v>24</v>
      </c>
      <c r="B1410" s="12">
        <v>75000000</v>
      </c>
      <c r="C1410" s="12">
        <v>78009155</v>
      </c>
      <c r="D1410" s="12">
        <v>2011</v>
      </c>
      <c r="E1410" s="12" t="str">
        <f>VLOOKUP(A1410, Currency!$A$2:$B$100, 2, FALSE)</f>
        <v>USD</v>
      </c>
      <c r="F1410" s="12">
        <f ca="1">IFERROR(__xludf.DUMMYFUNCTION("IF(E1410=""USD"",B1410,B1410 * GOOGLEFINANCE(""CURRENCY:"" &amp; E1410 &amp; ""USD""))
"),75000000)</f>
        <v>75000000</v>
      </c>
      <c r="G1410" s="13">
        <f ca="1">IFERROR(__xludf.DUMMYFUNCTION("IF(E1410=""USD"",C1410,C1410 * GOOGLEFINANCE(""CURRENCY:"" &amp; E1410 &amp; ""USD""))
"),78009155)</f>
        <v>78009155</v>
      </c>
    </row>
    <row r="1411" spans="1:7" ht="15.75" customHeight="1" x14ac:dyDescent="0.25">
      <c r="A1411" s="14" t="s">
        <v>24</v>
      </c>
      <c r="B1411" s="15">
        <v>450000</v>
      </c>
      <c r="C1411" s="15">
        <v>2712293</v>
      </c>
      <c r="D1411" s="15">
        <v>1991</v>
      </c>
      <c r="E1411" s="15" t="str">
        <f>VLOOKUP(A1411, Currency!$A$2:$B$100, 2, FALSE)</f>
        <v>USD</v>
      </c>
      <c r="F1411" s="15">
        <f ca="1">IFERROR(__xludf.DUMMYFUNCTION("IF(E1411=""USD"",B1411,B1411 * GOOGLEFINANCE(""CURRENCY:"" &amp; E1411 &amp; ""USD""))
"),450000)</f>
        <v>450000</v>
      </c>
      <c r="G1411" s="16">
        <f ca="1">IFERROR(__xludf.DUMMYFUNCTION("IF(E1411=""USD"",C1411,C1411 * GOOGLEFINANCE(""CURRENCY:"" &amp; E1411 &amp; ""USD""))
"),2712293)</f>
        <v>2712293</v>
      </c>
    </row>
    <row r="1412" spans="1:7" ht="15.75" customHeight="1" x14ac:dyDescent="0.25">
      <c r="A1412" s="11" t="s">
        <v>24</v>
      </c>
      <c r="B1412" s="12">
        <v>10000000</v>
      </c>
      <c r="C1412" s="12">
        <v>33583175</v>
      </c>
      <c r="D1412" s="12">
        <v>2010</v>
      </c>
      <c r="E1412" s="12" t="str">
        <f>VLOOKUP(A1412, Currency!$A$2:$B$100, 2, FALSE)</f>
        <v>USD</v>
      </c>
      <c r="F1412" s="12">
        <f ca="1">IFERROR(__xludf.DUMMYFUNCTION("IF(E1412=""USD"",B1412,B1412 * GOOGLEFINANCE(""CURRENCY:"" &amp; E1412 &amp; ""USD""))
"),10000000)</f>
        <v>10000000</v>
      </c>
      <c r="G1412" s="13">
        <f ca="1">IFERROR(__xludf.DUMMYFUNCTION("IF(E1412=""USD"",C1412,C1412 * GOOGLEFINANCE(""CURRENCY:"" &amp; E1412 &amp; ""USD""))
"),33583175)</f>
        <v>33583175</v>
      </c>
    </row>
    <row r="1413" spans="1:7" ht="15.75" customHeight="1" x14ac:dyDescent="0.25">
      <c r="A1413" s="14" t="s">
        <v>24</v>
      </c>
      <c r="B1413" s="15">
        <v>65000</v>
      </c>
      <c r="C1413" s="15">
        <v>389804</v>
      </c>
      <c r="D1413" s="15">
        <v>2010</v>
      </c>
      <c r="E1413" s="15" t="str">
        <f>VLOOKUP(A1413, Currency!$A$2:$B$100, 2, FALSE)</f>
        <v>USD</v>
      </c>
      <c r="F1413" s="15">
        <f ca="1">IFERROR(__xludf.DUMMYFUNCTION("IF(E1413=""USD"",B1413,B1413 * GOOGLEFINANCE(""CURRENCY:"" &amp; E1413 &amp; ""USD""))
"),65000)</f>
        <v>65000</v>
      </c>
      <c r="G1413" s="16">
        <f ca="1">IFERROR(__xludf.DUMMYFUNCTION("IF(E1413=""USD"",C1413,C1413 * GOOGLEFINANCE(""CURRENCY:"" &amp; E1413 &amp; ""USD""))
"),389804)</f>
        <v>389804</v>
      </c>
    </row>
    <row r="1414" spans="1:7" ht="15.75" customHeight="1" x14ac:dyDescent="0.25">
      <c r="A1414" s="11" t="s">
        <v>24</v>
      </c>
      <c r="B1414" s="12">
        <v>1500000</v>
      </c>
      <c r="C1414" s="12">
        <v>406035</v>
      </c>
      <c r="D1414" s="12">
        <v>2001</v>
      </c>
      <c r="E1414" s="12" t="str">
        <f>VLOOKUP(A1414, Currency!$A$2:$B$100, 2, FALSE)</f>
        <v>USD</v>
      </c>
      <c r="F1414" s="12">
        <f ca="1">IFERROR(__xludf.DUMMYFUNCTION("IF(E1414=""USD"",B1414,B1414 * GOOGLEFINANCE(""CURRENCY:"" &amp; E1414 &amp; ""USD""))
"),1500000)</f>
        <v>1500000</v>
      </c>
      <c r="G1414" s="13">
        <f ca="1">IFERROR(__xludf.DUMMYFUNCTION("IF(E1414=""USD"",C1414,C1414 * GOOGLEFINANCE(""CURRENCY:"" &amp; E1414 &amp; ""USD""))
"),406035)</f>
        <v>406035</v>
      </c>
    </row>
    <row r="1415" spans="1:7" ht="15.75" customHeight="1" x14ac:dyDescent="0.25">
      <c r="A1415" s="14" t="s">
        <v>24</v>
      </c>
      <c r="B1415" s="15">
        <v>60000000</v>
      </c>
      <c r="C1415" s="15">
        <v>55092830</v>
      </c>
      <c r="D1415" s="15">
        <v>2011</v>
      </c>
      <c r="E1415" s="15" t="str">
        <f>VLOOKUP(A1415, Currency!$A$2:$B$100, 2, FALSE)</f>
        <v>USD</v>
      </c>
      <c r="F1415" s="15">
        <f ca="1">IFERROR(__xludf.DUMMYFUNCTION("IF(E1415=""USD"",B1415,B1415 * GOOGLEFINANCE(""CURRENCY:"" &amp; E1415 &amp; ""USD""))
"),60000000)</f>
        <v>60000000</v>
      </c>
      <c r="G1415" s="16">
        <f ca="1">IFERROR(__xludf.DUMMYFUNCTION("IF(E1415=""USD"",C1415,C1415 * GOOGLEFINANCE(""CURRENCY:"" &amp; E1415 &amp; ""USD""))
"),55092830)</f>
        <v>55092830</v>
      </c>
    </row>
    <row r="1416" spans="1:7" ht="15.75" customHeight="1" x14ac:dyDescent="0.25">
      <c r="A1416" s="11" t="s">
        <v>24</v>
      </c>
      <c r="B1416" s="12">
        <v>6000000</v>
      </c>
      <c r="C1416" s="12">
        <v>8596914</v>
      </c>
      <c r="D1416" s="12">
        <v>2000</v>
      </c>
      <c r="E1416" s="12" t="str">
        <f>VLOOKUP(A1416, Currency!$A$2:$B$100, 2, FALSE)</f>
        <v>USD</v>
      </c>
      <c r="F1416" s="12">
        <f ca="1">IFERROR(__xludf.DUMMYFUNCTION("IF(E1416=""USD"",B1416,B1416 * GOOGLEFINANCE(""CURRENCY:"" &amp; E1416 &amp; ""USD""))
"),6000000)</f>
        <v>6000000</v>
      </c>
      <c r="G1416" s="13">
        <f ca="1">IFERROR(__xludf.DUMMYFUNCTION("IF(E1416=""USD"",C1416,C1416 * GOOGLEFINANCE(""CURRENCY:"" &amp; E1416 &amp; ""USD""))
"),8596914)</f>
        <v>8596914</v>
      </c>
    </row>
    <row r="1417" spans="1:7" ht="15.75" customHeight="1" x14ac:dyDescent="0.25">
      <c r="A1417" s="14" t="s">
        <v>24</v>
      </c>
      <c r="B1417" s="15">
        <v>10000000</v>
      </c>
      <c r="C1417" s="15">
        <v>16033556</v>
      </c>
      <c r="D1417" s="15">
        <v>2002</v>
      </c>
      <c r="E1417" s="15" t="str">
        <f>VLOOKUP(A1417, Currency!$A$2:$B$100, 2, FALSE)</f>
        <v>USD</v>
      </c>
      <c r="F1417" s="15">
        <f ca="1">IFERROR(__xludf.DUMMYFUNCTION("IF(E1417=""USD"",B1417,B1417 * GOOGLEFINANCE(""CURRENCY:"" &amp; E1417 &amp; ""USD""))
"),10000000)</f>
        <v>10000000</v>
      </c>
      <c r="G1417" s="16">
        <f ca="1">IFERROR(__xludf.DUMMYFUNCTION("IF(E1417=""USD"",C1417,C1417 * GOOGLEFINANCE(""CURRENCY:"" &amp; E1417 &amp; ""USD""))
"),16033556)</f>
        <v>16033556</v>
      </c>
    </row>
    <row r="1418" spans="1:7" ht="15.75" customHeight="1" x14ac:dyDescent="0.25">
      <c r="A1418" s="11" t="s">
        <v>24</v>
      </c>
      <c r="B1418" s="12">
        <v>42000000</v>
      </c>
      <c r="C1418" s="12">
        <v>41543207</v>
      </c>
      <c r="D1418" s="12">
        <v>2002</v>
      </c>
      <c r="E1418" s="12" t="str">
        <f>VLOOKUP(A1418, Currency!$A$2:$B$100, 2, FALSE)</f>
        <v>USD</v>
      </c>
      <c r="F1418" s="12">
        <f ca="1">IFERROR(__xludf.DUMMYFUNCTION("IF(E1418=""USD"",B1418,B1418 * GOOGLEFINANCE(""CURRENCY:"" &amp; E1418 &amp; ""USD""))
"),42000000)</f>
        <v>42000000</v>
      </c>
      <c r="G1418" s="13">
        <f ca="1">IFERROR(__xludf.DUMMYFUNCTION("IF(E1418=""USD"",C1418,C1418 * GOOGLEFINANCE(""CURRENCY:"" &amp; E1418 &amp; ""USD""))
"),41543207)</f>
        <v>41543207</v>
      </c>
    </row>
    <row r="1419" spans="1:7" ht="15.75" customHeight="1" x14ac:dyDescent="0.25">
      <c r="A1419" s="14" t="s">
        <v>24</v>
      </c>
      <c r="B1419" s="15">
        <v>17000000</v>
      </c>
      <c r="C1419" s="15">
        <v>82389560</v>
      </c>
      <c r="D1419" s="15">
        <v>2014</v>
      </c>
      <c r="E1419" s="15" t="str">
        <f>VLOOKUP(A1419, Currency!$A$2:$B$100, 2, FALSE)</f>
        <v>USD</v>
      </c>
      <c r="F1419" s="15">
        <f ca="1">IFERROR(__xludf.DUMMYFUNCTION("IF(E1419=""USD"",B1419,B1419 * GOOGLEFINANCE(""CURRENCY:"" &amp; E1419 &amp; ""USD""))
"),17000000)</f>
        <v>17000000</v>
      </c>
      <c r="G1419" s="16">
        <f ca="1">IFERROR(__xludf.DUMMYFUNCTION("IF(E1419=""USD"",C1419,C1419 * GOOGLEFINANCE(""CURRENCY:"" &amp; E1419 &amp; ""USD""))
"),82389560)</f>
        <v>82389560</v>
      </c>
    </row>
    <row r="1420" spans="1:7" ht="15.75" customHeight="1" x14ac:dyDescent="0.25">
      <c r="A1420" s="11" t="s">
        <v>176</v>
      </c>
      <c r="B1420" s="12">
        <v>10000000</v>
      </c>
      <c r="C1420" s="12">
        <v>37470017</v>
      </c>
      <c r="D1420" s="12">
        <v>2001</v>
      </c>
      <c r="E1420" s="12" t="str">
        <f>VLOOKUP(A1420, Currency!$A$2:$B$100, 2, FALSE)</f>
        <v>EUR</v>
      </c>
      <c r="F1420" s="12">
        <f ca="1">IFERROR(__xludf.DUMMYFUNCTION("IF(E1420=""USD"",B1420,B1420 * GOOGLEFINANCE(""CURRENCY:"" &amp; E1420 &amp; ""USD""))
"),10847400)</f>
        <v>10847400</v>
      </c>
      <c r="G1420" s="13">
        <f ca="1">IFERROR(__xludf.DUMMYFUNCTION("IF(E1420=""USD"",C1420,C1420 * GOOGLEFINANCE(""CURRENCY:"" &amp; E1420 &amp; ""USD""))
"),40645226.24058)</f>
        <v>40645226.24058</v>
      </c>
    </row>
    <row r="1421" spans="1:7" ht="15.75" customHeight="1" x14ac:dyDescent="0.25">
      <c r="A1421" s="14" t="s">
        <v>24</v>
      </c>
      <c r="B1421" s="15">
        <v>25000000</v>
      </c>
      <c r="C1421" s="15">
        <v>169705587</v>
      </c>
      <c r="D1421" s="15">
        <v>2011</v>
      </c>
      <c r="E1421" s="15" t="str">
        <f>VLOOKUP(A1421, Currency!$A$2:$B$100, 2, FALSE)</f>
        <v>USD</v>
      </c>
      <c r="F1421" s="15">
        <f ca="1">IFERROR(__xludf.DUMMYFUNCTION("IF(E1421=""USD"",B1421,B1421 * GOOGLEFINANCE(""CURRENCY:"" &amp; E1421 &amp; ""USD""))
"),25000000)</f>
        <v>25000000</v>
      </c>
      <c r="G1421" s="16">
        <f ca="1">IFERROR(__xludf.DUMMYFUNCTION("IF(E1421=""USD"",C1421,C1421 * GOOGLEFINANCE(""CURRENCY:"" &amp; E1421 &amp; ""USD""))
"),169705587)</f>
        <v>169705587</v>
      </c>
    </row>
    <row r="1422" spans="1:7" ht="15.75" customHeight="1" x14ac:dyDescent="0.25">
      <c r="A1422" s="11" t="s">
        <v>133</v>
      </c>
      <c r="B1422" s="12">
        <v>11000000</v>
      </c>
      <c r="C1422" s="12">
        <v>18381787</v>
      </c>
      <c r="D1422" s="12">
        <v>2012</v>
      </c>
      <c r="E1422" s="12" t="str">
        <f>VLOOKUP(A1422, Currency!$A$2:$B$100, 2, FALSE)</f>
        <v>GBP</v>
      </c>
      <c r="F1422" s="12">
        <f ca="1">IFERROR(__xludf.DUMMYFUNCTION("IF(E1422=""USD"",B1422,B1422 * GOOGLEFINANCE(""CURRENCY:"" &amp; E1422 &amp; ""USD""))
"),14139399.9999999)</f>
        <v>14139399.999999899</v>
      </c>
      <c r="G1422" s="13">
        <f ca="1">IFERROR(__xludf.DUMMYFUNCTION("IF(E1422=""USD"",C1422,C1422 * GOOGLEFINANCE(""CURRENCY:"" &amp; E1422 &amp; ""USD""))
"),23627949.0098)</f>
        <v>23627949.009799998</v>
      </c>
    </row>
    <row r="1423" spans="1:7" ht="15.75" customHeight="1" x14ac:dyDescent="0.25">
      <c r="A1423" s="14" t="s">
        <v>24</v>
      </c>
      <c r="B1423" s="15">
        <v>7000000</v>
      </c>
      <c r="C1423" s="15">
        <v>4720371</v>
      </c>
      <c r="D1423" s="15">
        <v>2001</v>
      </c>
      <c r="E1423" s="15" t="str">
        <f>VLOOKUP(A1423, Currency!$A$2:$B$100, 2, FALSE)</f>
        <v>USD</v>
      </c>
      <c r="F1423" s="15">
        <f ca="1">IFERROR(__xludf.DUMMYFUNCTION("IF(E1423=""USD"",B1423,B1423 * GOOGLEFINANCE(""CURRENCY:"" &amp; E1423 &amp; ""USD""))
"),7000000)</f>
        <v>7000000</v>
      </c>
      <c r="G1423" s="16">
        <f ca="1">IFERROR(__xludf.DUMMYFUNCTION("IF(E1423=""USD"",C1423,C1423 * GOOGLEFINANCE(""CURRENCY:"" &amp; E1423 &amp; ""USD""))
"),4720371)</f>
        <v>4720371</v>
      </c>
    </row>
    <row r="1424" spans="1:7" ht="15.75" customHeight="1" x14ac:dyDescent="0.25">
      <c r="A1424" s="11" t="s">
        <v>24</v>
      </c>
      <c r="B1424" s="12">
        <v>45000000</v>
      </c>
      <c r="C1424" s="12">
        <v>130512915</v>
      </c>
      <c r="D1424" s="12">
        <v>1994</v>
      </c>
      <c r="E1424" s="12" t="str">
        <f>VLOOKUP(A1424, Currency!$A$2:$B$100, 2, FALSE)</f>
        <v>USD</v>
      </c>
      <c r="F1424" s="12">
        <f ca="1">IFERROR(__xludf.DUMMYFUNCTION("IF(E1424=""USD"",B1424,B1424 * GOOGLEFINANCE(""CURRENCY:"" &amp; E1424 &amp; ""USD""))
"),45000000)</f>
        <v>45000000</v>
      </c>
      <c r="G1424" s="13">
        <f ca="1">IFERROR(__xludf.DUMMYFUNCTION("IF(E1424=""USD"",C1424,C1424 * GOOGLEFINANCE(""CURRENCY:"" &amp; E1424 &amp; ""USD""))
"),130512915)</f>
        <v>130512915</v>
      </c>
    </row>
    <row r="1425" spans="1:7" ht="15.75" customHeight="1" x14ac:dyDescent="0.25">
      <c r="A1425" s="14" t="s">
        <v>24</v>
      </c>
      <c r="B1425" s="15">
        <v>16000000</v>
      </c>
      <c r="C1425" s="15">
        <v>45507053</v>
      </c>
      <c r="D1425" s="15">
        <v>2012</v>
      </c>
      <c r="E1425" s="15" t="str">
        <f>VLOOKUP(A1425, Currency!$A$2:$B$100, 2, FALSE)</f>
        <v>USD</v>
      </c>
      <c r="F1425" s="15">
        <f ca="1">IFERROR(__xludf.DUMMYFUNCTION("IF(E1425=""USD"",B1425,B1425 * GOOGLEFINANCE(""CURRENCY:"" &amp; E1425 &amp; ""USD""))
"),16000000)</f>
        <v>16000000</v>
      </c>
      <c r="G1425" s="16">
        <f ca="1">IFERROR(__xludf.DUMMYFUNCTION("IF(E1425=""USD"",C1425,C1425 * GOOGLEFINANCE(""CURRENCY:"" &amp; E1425 &amp; ""USD""))
"),45507053)</f>
        <v>45507053</v>
      </c>
    </row>
    <row r="1426" spans="1:7" ht="15.75" customHeight="1" x14ac:dyDescent="0.25">
      <c r="A1426" s="11" t="s">
        <v>24</v>
      </c>
      <c r="B1426" s="12">
        <v>40000000</v>
      </c>
      <c r="C1426" s="12">
        <v>20300000</v>
      </c>
      <c r="D1426" s="12">
        <v>1996</v>
      </c>
      <c r="E1426" s="12" t="str">
        <f>VLOOKUP(A1426, Currency!$A$2:$B$100, 2, FALSE)</f>
        <v>USD</v>
      </c>
      <c r="F1426" s="12">
        <f ca="1">IFERROR(__xludf.DUMMYFUNCTION("IF(E1426=""USD"",B1426,B1426 * GOOGLEFINANCE(""CURRENCY:"" &amp; E1426 &amp; ""USD""))
"),40000000)</f>
        <v>40000000</v>
      </c>
      <c r="G1426" s="13">
        <f ca="1">IFERROR(__xludf.DUMMYFUNCTION("IF(E1426=""USD"",C1426,C1426 * GOOGLEFINANCE(""CURRENCY:"" &amp; E1426 &amp; ""USD""))
"),20300000)</f>
        <v>20300000</v>
      </c>
    </row>
    <row r="1427" spans="1:7" ht="15.75" customHeight="1" x14ac:dyDescent="0.25">
      <c r="A1427" s="14" t="s">
        <v>133</v>
      </c>
      <c r="B1427" s="15">
        <v>1000000</v>
      </c>
      <c r="C1427" s="15">
        <v>2957978</v>
      </c>
      <c r="D1427" s="15">
        <v>2008</v>
      </c>
      <c r="E1427" s="15" t="str">
        <f>VLOOKUP(A1427, Currency!$A$2:$B$100, 2, FALSE)</f>
        <v>GBP</v>
      </c>
      <c r="F1427" s="15">
        <f ca="1">IFERROR(__xludf.DUMMYFUNCTION("IF(E1427=""USD"",B1427,B1427 * GOOGLEFINANCE(""CURRENCY:"" &amp; E1427 &amp; ""USD""))
"),1285399.99999999)</f>
        <v>1285399.99999999</v>
      </c>
      <c r="G1427" s="16">
        <f ca="1">IFERROR(__xludf.DUMMYFUNCTION("IF(E1427=""USD"",C1427,C1427 * GOOGLEFINANCE(""CURRENCY:"" &amp; E1427 &amp; ""USD""))
"),3802184.92119999)</f>
        <v>3802184.92119999</v>
      </c>
    </row>
    <row r="1428" spans="1:7" ht="15.75" customHeight="1" x14ac:dyDescent="0.25">
      <c r="A1428" s="11" t="s">
        <v>1551</v>
      </c>
      <c r="B1428" s="12">
        <v>1000000</v>
      </c>
      <c r="C1428" s="12">
        <v>94596</v>
      </c>
      <c r="D1428" s="12">
        <v>1997</v>
      </c>
      <c r="E1428" s="12" t="str">
        <f>VLOOKUP(A1428, Currency!$A$2:$B$100, 2, FALSE)</f>
        <v>JPY</v>
      </c>
      <c r="F1428" s="12">
        <f ca="1">IFERROR(__xludf.DUMMYFUNCTION("IF(E1428=""USD"",B1428,B1428 * GOOGLEFINANCE(""CURRENCY:"" &amp; E1428 &amp; ""USD""))
"),6496.6)</f>
        <v>6496.6</v>
      </c>
      <c r="G1428" s="13">
        <f ca="1">IFERROR(__xludf.DUMMYFUNCTION("IF(E1428=""USD"",C1428,C1428 * GOOGLEFINANCE(""CURRENCY:"" &amp; E1428 &amp; ""USD""))
"),614.5523736)</f>
        <v>614.55237360000001</v>
      </c>
    </row>
    <row r="1429" spans="1:7" ht="15.75" customHeight="1" x14ac:dyDescent="0.25">
      <c r="A1429" s="14" t="s">
        <v>24</v>
      </c>
      <c r="B1429" s="15">
        <v>26000000</v>
      </c>
      <c r="C1429" s="15">
        <v>26761283</v>
      </c>
      <c r="D1429" s="15">
        <v>2014</v>
      </c>
      <c r="E1429" s="15" t="str">
        <f>VLOOKUP(A1429, Currency!$A$2:$B$100, 2, FALSE)</f>
        <v>USD</v>
      </c>
      <c r="F1429" s="15">
        <f ca="1">IFERROR(__xludf.DUMMYFUNCTION("IF(E1429=""USD"",B1429,B1429 * GOOGLEFINANCE(""CURRENCY:"" &amp; E1429 &amp; ""USD""))
"),26000000)</f>
        <v>26000000</v>
      </c>
      <c r="G1429" s="16">
        <f ca="1">IFERROR(__xludf.DUMMYFUNCTION("IF(E1429=""USD"",C1429,C1429 * GOOGLEFINANCE(""CURRENCY:"" &amp; E1429 &amp; ""USD""))
"),26761283)</f>
        <v>26761283</v>
      </c>
    </row>
    <row r="1430" spans="1:7" ht="15.75" customHeight="1" x14ac:dyDescent="0.25">
      <c r="A1430" s="11" t="s">
        <v>24</v>
      </c>
      <c r="B1430" s="12">
        <v>99000000</v>
      </c>
      <c r="C1430" s="12">
        <v>130174897</v>
      </c>
      <c r="D1430" s="12">
        <v>2015</v>
      </c>
      <c r="E1430" s="12" t="str">
        <f>VLOOKUP(A1430, Currency!$A$2:$B$100, 2, FALSE)</f>
        <v>USD</v>
      </c>
      <c r="F1430" s="12">
        <f ca="1">IFERROR(__xludf.DUMMYFUNCTION("IF(E1430=""USD"",B1430,B1430 * GOOGLEFINANCE(""CURRENCY:"" &amp; E1430 &amp; ""USD""))
"),99000000)</f>
        <v>99000000</v>
      </c>
      <c r="G1430" s="13">
        <f ca="1">IFERROR(__xludf.DUMMYFUNCTION("IF(E1430=""USD"",C1430,C1430 * GOOGLEFINANCE(""CURRENCY:"" &amp; E1430 &amp; ""USD""))
"),130174897)</f>
        <v>130174897</v>
      </c>
    </row>
    <row r="1431" spans="1:7" ht="15.75" customHeight="1" x14ac:dyDescent="0.25">
      <c r="A1431" s="14" t="s">
        <v>24</v>
      </c>
      <c r="B1431" s="15">
        <v>1000000</v>
      </c>
      <c r="C1431" s="15">
        <v>21378000</v>
      </c>
      <c r="D1431" s="15">
        <v>1980</v>
      </c>
      <c r="E1431" s="15" t="str">
        <f>VLOOKUP(A1431, Currency!$A$2:$B$100, 2, FALSE)</f>
        <v>USD</v>
      </c>
      <c r="F1431" s="15">
        <f ca="1">IFERROR(__xludf.DUMMYFUNCTION("IF(E1431=""USD"",B1431,B1431 * GOOGLEFINANCE(""CURRENCY:"" &amp; E1431 &amp; ""USD""))
"),1000000)</f>
        <v>1000000</v>
      </c>
      <c r="G1431" s="16">
        <f ca="1">IFERROR(__xludf.DUMMYFUNCTION("IF(E1431=""USD"",C1431,C1431 * GOOGLEFINANCE(""CURRENCY:"" &amp; E1431 &amp; ""USD""))
"),21378000)</f>
        <v>21378000</v>
      </c>
    </row>
    <row r="1432" spans="1:7" ht="15.75" customHeight="1" x14ac:dyDescent="0.25">
      <c r="A1432" s="11" t="s">
        <v>24</v>
      </c>
      <c r="B1432" s="12">
        <v>20000000</v>
      </c>
      <c r="C1432" s="12">
        <v>33422556</v>
      </c>
      <c r="D1432" s="12">
        <v>2008</v>
      </c>
      <c r="E1432" s="12" t="str">
        <f>VLOOKUP(A1432, Currency!$A$2:$B$100, 2, FALSE)</f>
        <v>USD</v>
      </c>
      <c r="F1432" s="12">
        <f ca="1">IFERROR(__xludf.DUMMYFUNCTION("IF(E1432=""USD"",B1432,B1432 * GOOGLEFINANCE(""CURRENCY:"" &amp; E1432 &amp; ""USD""))
"),20000000)</f>
        <v>20000000</v>
      </c>
      <c r="G1432" s="13">
        <f ca="1">IFERROR(__xludf.DUMMYFUNCTION("IF(E1432=""USD"",C1432,C1432 * GOOGLEFINANCE(""CURRENCY:"" &amp; E1432 &amp; ""USD""))
"),33422556)</f>
        <v>33422556</v>
      </c>
    </row>
    <row r="1433" spans="1:7" ht="15.75" customHeight="1" x14ac:dyDescent="0.25">
      <c r="A1433" s="14" t="s">
        <v>24</v>
      </c>
      <c r="B1433" s="15">
        <v>500000</v>
      </c>
      <c r="C1433" s="15">
        <v>334041</v>
      </c>
      <c r="D1433" s="15">
        <v>1997</v>
      </c>
      <c r="E1433" s="15" t="str">
        <f>VLOOKUP(A1433, Currency!$A$2:$B$100, 2, FALSE)</f>
        <v>USD</v>
      </c>
      <c r="F1433" s="15">
        <f ca="1">IFERROR(__xludf.DUMMYFUNCTION("IF(E1433=""USD"",B1433,B1433 * GOOGLEFINANCE(""CURRENCY:"" &amp; E1433 &amp; ""USD""))
"),500000)</f>
        <v>500000</v>
      </c>
      <c r="G1433" s="16">
        <f ca="1">IFERROR(__xludf.DUMMYFUNCTION("IF(E1433=""USD"",C1433,C1433 * GOOGLEFINANCE(""CURRENCY:"" &amp; E1433 &amp; ""USD""))
"),334041)</f>
        <v>334041</v>
      </c>
    </row>
    <row r="1434" spans="1:7" ht="15.75" customHeight="1" x14ac:dyDescent="0.25">
      <c r="A1434" s="11" t="s">
        <v>24</v>
      </c>
      <c r="B1434" s="12">
        <v>35000000</v>
      </c>
      <c r="C1434" s="12">
        <v>26494611</v>
      </c>
      <c r="D1434" s="12">
        <v>1999</v>
      </c>
      <c r="E1434" s="12" t="str">
        <f>VLOOKUP(A1434, Currency!$A$2:$B$100, 2, FALSE)</f>
        <v>USD</v>
      </c>
      <c r="F1434" s="12">
        <f ca="1">IFERROR(__xludf.DUMMYFUNCTION("IF(E1434=""USD"",B1434,B1434 * GOOGLEFINANCE(""CURRENCY:"" &amp; E1434 &amp; ""USD""))
"),35000000)</f>
        <v>35000000</v>
      </c>
      <c r="G1434" s="13">
        <f ca="1">IFERROR(__xludf.DUMMYFUNCTION("IF(E1434=""USD"",C1434,C1434 * GOOGLEFINANCE(""CURRENCY:"" &amp; E1434 &amp; ""USD""))
"),26494611)</f>
        <v>26494611</v>
      </c>
    </row>
    <row r="1435" spans="1:7" ht="15.75" customHeight="1" x14ac:dyDescent="0.25">
      <c r="A1435" s="14" t="s">
        <v>24</v>
      </c>
      <c r="B1435" s="15">
        <v>125000000</v>
      </c>
      <c r="C1435" s="15">
        <v>209805005</v>
      </c>
      <c r="D1435" s="15">
        <v>2011</v>
      </c>
      <c r="E1435" s="15" t="str">
        <f>VLOOKUP(A1435, Currency!$A$2:$B$100, 2, FALSE)</f>
        <v>USD</v>
      </c>
      <c r="F1435" s="15">
        <f ca="1">IFERROR(__xludf.DUMMYFUNCTION("IF(E1435=""USD"",B1435,B1435 * GOOGLEFINANCE(""CURRENCY:"" &amp; E1435 &amp; ""USD""))
"),125000000)</f>
        <v>125000000</v>
      </c>
      <c r="G1435" s="16">
        <f ca="1">IFERROR(__xludf.DUMMYFUNCTION("IF(E1435=""USD"",C1435,C1435 * GOOGLEFINANCE(""CURRENCY:"" &amp; E1435 &amp; ""USD""))
"),209805005)</f>
        <v>209805005</v>
      </c>
    </row>
    <row r="1436" spans="1:7" ht="15.75" customHeight="1" x14ac:dyDescent="0.25">
      <c r="A1436" s="11" t="s">
        <v>24</v>
      </c>
      <c r="B1436" s="12">
        <v>40000000</v>
      </c>
      <c r="C1436" s="12">
        <v>24332324</v>
      </c>
      <c r="D1436" s="12">
        <v>1994</v>
      </c>
      <c r="E1436" s="12" t="str">
        <f>VLOOKUP(A1436, Currency!$A$2:$B$100, 2, FALSE)</f>
        <v>USD</v>
      </c>
      <c r="F1436" s="12">
        <f ca="1">IFERROR(__xludf.DUMMYFUNCTION("IF(E1436=""USD"",B1436,B1436 * GOOGLEFINANCE(""CURRENCY:"" &amp; E1436 &amp; ""USD""))
"),40000000)</f>
        <v>40000000</v>
      </c>
      <c r="G1436" s="13">
        <f ca="1">IFERROR(__xludf.DUMMYFUNCTION("IF(E1436=""USD"",C1436,C1436 * GOOGLEFINANCE(""CURRENCY:"" &amp; E1436 &amp; ""USD""))
"),24332324)</f>
        <v>24332324</v>
      </c>
    </row>
    <row r="1437" spans="1:7" ht="15.75" customHeight="1" x14ac:dyDescent="0.25">
      <c r="A1437" s="14" t="s">
        <v>1111</v>
      </c>
      <c r="B1437" s="15">
        <v>10000000</v>
      </c>
      <c r="C1437" s="15">
        <v>3607</v>
      </c>
      <c r="D1437" s="15">
        <v>2008</v>
      </c>
      <c r="E1437" s="15" t="str">
        <f>VLOOKUP(A1437, Currency!$A$2:$B$100, 2, FALSE)</f>
        <v>EUR</v>
      </c>
      <c r="F1437" s="15">
        <f ca="1">IFERROR(__xludf.DUMMYFUNCTION("IF(E1437=""USD"",B1437,B1437 * GOOGLEFINANCE(""CURRENCY:"" &amp; E1437 &amp; ""USD""))
"),10847400)</f>
        <v>10847400</v>
      </c>
      <c r="G1437" s="16">
        <f ca="1">IFERROR(__xludf.DUMMYFUNCTION("IF(E1437=""USD"",C1437,C1437 * GOOGLEFINANCE(""CURRENCY:"" &amp; E1437 &amp; ""USD""))
"),3912.65718)</f>
        <v>3912.6571800000002</v>
      </c>
    </row>
    <row r="1438" spans="1:7" ht="15.75" customHeight="1" x14ac:dyDescent="0.25">
      <c r="A1438" s="11" t="s">
        <v>627</v>
      </c>
      <c r="B1438" s="12">
        <v>18000000</v>
      </c>
      <c r="C1438" s="12">
        <v>14793904</v>
      </c>
      <c r="D1438" s="12">
        <v>2009</v>
      </c>
      <c r="E1438" s="12" t="str">
        <f>VLOOKUP(A1438, Currency!$A$2:$B$100, 2, FALSE)</f>
        <v>CAD</v>
      </c>
      <c r="F1438" s="12">
        <f ca="1">IFERROR(__xludf.DUMMYFUNCTION("IF(E1438=""USD"",B1438,B1438 * GOOGLEFINANCE(""CURRENCY:"" &amp; E1438 &amp; ""USD""))
"),13021290)</f>
        <v>13021290</v>
      </c>
      <c r="G1438" s="13">
        <f ca="1">IFERROR(__xludf.DUMMYFUNCTION("IF(E1438=""USD"",C1438,C1438 * GOOGLEFINANCE(""CURRENCY:"" &amp; E1438 &amp; ""USD""))
"),10701984.1231199)</f>
        <v>10701984.1231199</v>
      </c>
    </row>
    <row r="1439" spans="1:7" ht="15.75" customHeight="1" x14ac:dyDescent="0.25">
      <c r="A1439" s="14" t="s">
        <v>1005</v>
      </c>
      <c r="B1439" s="15">
        <v>25000000</v>
      </c>
      <c r="C1439" s="15">
        <v>5128124</v>
      </c>
      <c r="D1439" s="15">
        <v>2005</v>
      </c>
      <c r="E1439" s="15" t="str">
        <f>VLOOKUP(A1439, Currency!$A$2:$B$100, 2, FALSE)</f>
        <v>NZD</v>
      </c>
      <c r="F1439" s="15">
        <f ca="1">IFERROR(__xludf.DUMMYFUNCTION("IF(E1439=""USD"",B1439,B1439 * GOOGLEFINANCE(""CURRENCY:"" &amp; E1439 &amp; ""USD""))
"),14718625)</f>
        <v>14718625</v>
      </c>
      <c r="G1439" s="16">
        <f ca="1">IFERROR(__xludf.DUMMYFUNCTION("IF(E1439=""USD"",C1439,C1439 * GOOGLEFINANCE(""CURRENCY:"" &amp; E1439 &amp; ""USD""))
"),3019157.36437999)</f>
        <v>3019157.3643799899</v>
      </c>
    </row>
    <row r="1440" spans="1:7" ht="15.75" customHeight="1" x14ac:dyDescent="0.25">
      <c r="A1440" s="11" t="s">
        <v>24</v>
      </c>
      <c r="B1440" s="12">
        <v>20000000</v>
      </c>
      <c r="C1440" s="12">
        <v>15712072</v>
      </c>
      <c r="D1440" s="12">
        <v>2004</v>
      </c>
      <c r="E1440" s="12" t="str">
        <f>VLOOKUP(A1440, Currency!$A$2:$B$100, 2, FALSE)</f>
        <v>USD</v>
      </c>
      <c r="F1440" s="12">
        <f ca="1">IFERROR(__xludf.DUMMYFUNCTION("IF(E1440=""USD"",B1440,B1440 * GOOGLEFINANCE(""CURRENCY:"" &amp; E1440 &amp; ""USD""))
"),20000000)</f>
        <v>20000000</v>
      </c>
      <c r="G1440" s="13">
        <f ca="1">IFERROR(__xludf.DUMMYFUNCTION("IF(E1440=""USD"",C1440,C1440 * GOOGLEFINANCE(""CURRENCY:"" &amp; E1440 &amp; ""USD""))
"),15712072)</f>
        <v>15712072</v>
      </c>
    </row>
    <row r="1441" spans="1:7" ht="15.75" customHeight="1" x14ac:dyDescent="0.25">
      <c r="A1441" s="14" t="s">
        <v>24</v>
      </c>
      <c r="B1441" s="15">
        <v>60000000</v>
      </c>
      <c r="C1441" s="15">
        <v>121468960</v>
      </c>
      <c r="D1441" s="15">
        <v>2002</v>
      </c>
      <c r="E1441" s="15" t="str">
        <f>VLOOKUP(A1441, Currency!$A$2:$B$100, 2, FALSE)</f>
        <v>USD</v>
      </c>
      <c r="F1441" s="15">
        <f ca="1">IFERROR(__xludf.DUMMYFUNCTION("IF(E1441=""USD"",B1441,B1441 * GOOGLEFINANCE(""CURRENCY:"" &amp; E1441 &amp; ""USD""))
"),60000000)</f>
        <v>60000000</v>
      </c>
      <c r="G1441" s="16">
        <f ca="1">IFERROR(__xludf.DUMMYFUNCTION("IF(E1441=""USD"",C1441,C1441 * GOOGLEFINANCE(""CURRENCY:"" &amp; E1441 &amp; ""USD""))
"),121468960)</f>
        <v>121468960</v>
      </c>
    </row>
    <row r="1442" spans="1:7" ht="15.75" customHeight="1" x14ac:dyDescent="0.25">
      <c r="A1442" s="11" t="s">
        <v>24</v>
      </c>
      <c r="B1442" s="12">
        <v>3500000</v>
      </c>
      <c r="C1442" s="12">
        <v>27900000</v>
      </c>
      <c r="D1442" s="12">
        <v>1995</v>
      </c>
      <c r="E1442" s="12" t="str">
        <f>VLOOKUP(A1442, Currency!$A$2:$B$100, 2, FALSE)</f>
        <v>USD</v>
      </c>
      <c r="F1442" s="12">
        <f ca="1">IFERROR(__xludf.DUMMYFUNCTION("IF(E1442=""USD"",B1442,B1442 * GOOGLEFINANCE(""CURRENCY:"" &amp; E1442 &amp; ""USD""))
"),3500000)</f>
        <v>3500000</v>
      </c>
      <c r="G1442" s="13">
        <f ca="1">IFERROR(__xludf.DUMMYFUNCTION("IF(E1442=""USD"",C1442,C1442 * GOOGLEFINANCE(""CURRENCY:"" &amp; E1442 &amp; ""USD""))
"),27900000)</f>
        <v>27900000</v>
      </c>
    </row>
    <row r="1443" spans="1:7" ht="15.75" customHeight="1" x14ac:dyDescent="0.25">
      <c r="A1443" s="14" t="s">
        <v>24</v>
      </c>
      <c r="B1443" s="15">
        <v>210000000</v>
      </c>
      <c r="C1443" s="15">
        <v>245428137</v>
      </c>
      <c r="D1443" s="15">
        <v>2014</v>
      </c>
      <c r="E1443" s="15" t="str">
        <f>VLOOKUP(A1443, Currency!$A$2:$B$100, 2, FALSE)</f>
        <v>USD</v>
      </c>
      <c r="F1443" s="15">
        <f ca="1">IFERROR(__xludf.DUMMYFUNCTION("IF(E1443=""USD"",B1443,B1443 * GOOGLEFINANCE(""CURRENCY:"" &amp; E1443 &amp; ""USD""))
"),210000000)</f>
        <v>210000000</v>
      </c>
      <c r="G1443" s="16">
        <f ca="1">IFERROR(__xludf.DUMMYFUNCTION("IF(E1443=""USD"",C1443,C1443 * GOOGLEFINANCE(""CURRENCY:"" &amp; E1443 &amp; ""USD""))
"),245428137)</f>
        <v>245428137</v>
      </c>
    </row>
    <row r="1444" spans="1:7" ht="15.75" customHeight="1" x14ac:dyDescent="0.25">
      <c r="A1444" s="11" t="s">
        <v>24</v>
      </c>
      <c r="B1444" s="12">
        <v>15000000</v>
      </c>
      <c r="C1444" s="12">
        <v>73548</v>
      </c>
      <c r="D1444" s="12">
        <v>2008</v>
      </c>
      <c r="E1444" s="12" t="str">
        <f>VLOOKUP(A1444, Currency!$A$2:$B$100, 2, FALSE)</f>
        <v>USD</v>
      </c>
      <c r="F1444" s="12">
        <f ca="1">IFERROR(__xludf.DUMMYFUNCTION("IF(E1444=""USD"",B1444,B1444 * GOOGLEFINANCE(""CURRENCY:"" &amp; E1444 &amp; ""USD""))
"),15000000)</f>
        <v>15000000</v>
      </c>
      <c r="G1444" s="13">
        <f ca="1">IFERROR(__xludf.DUMMYFUNCTION("IF(E1444=""USD"",C1444,C1444 * GOOGLEFINANCE(""CURRENCY:"" &amp; E1444 &amp; ""USD""))
"),73548)</f>
        <v>73548</v>
      </c>
    </row>
    <row r="1445" spans="1:7" ht="15.75" customHeight="1" x14ac:dyDescent="0.25">
      <c r="A1445" s="14" t="s">
        <v>133</v>
      </c>
      <c r="B1445" s="15">
        <v>30000000</v>
      </c>
      <c r="C1445" s="15">
        <v>2869369</v>
      </c>
      <c r="D1445" s="15">
        <v>1994</v>
      </c>
      <c r="E1445" s="15" t="str">
        <f>VLOOKUP(A1445, Currency!$A$2:$B$100, 2, FALSE)</f>
        <v>GBP</v>
      </c>
      <c r="F1445" s="15">
        <f ca="1">IFERROR(__xludf.DUMMYFUNCTION("IF(E1445=""USD"",B1445,B1445 * GOOGLEFINANCE(""CURRENCY:"" &amp; E1445 &amp; ""USD""))
"),38562000)</f>
        <v>38562000</v>
      </c>
      <c r="G1445" s="16">
        <f ca="1">IFERROR(__xludf.DUMMYFUNCTION("IF(E1445=""USD"",C1445,C1445 * GOOGLEFINANCE(""CURRENCY:"" &amp; E1445 &amp; ""USD""))
"),3688286.91259999)</f>
        <v>3688286.9125999901</v>
      </c>
    </row>
    <row r="1446" spans="1:7" ht="15.75" customHeight="1" x14ac:dyDescent="0.25">
      <c r="A1446" s="11" t="s">
        <v>24</v>
      </c>
      <c r="B1446" s="12">
        <v>90000000</v>
      </c>
      <c r="C1446" s="12">
        <v>250147615</v>
      </c>
      <c r="D1446" s="12">
        <v>1997</v>
      </c>
      <c r="E1446" s="12" t="str">
        <f>VLOOKUP(A1446, Currency!$A$2:$B$100, 2, FALSE)</f>
        <v>USD</v>
      </c>
      <c r="F1446" s="12">
        <f ca="1">IFERROR(__xludf.DUMMYFUNCTION("IF(E1446=""USD"",B1446,B1446 * GOOGLEFINANCE(""CURRENCY:"" &amp; E1446 &amp; ""USD""))
"),90000000)</f>
        <v>90000000</v>
      </c>
      <c r="G1446" s="13">
        <f ca="1">IFERROR(__xludf.DUMMYFUNCTION("IF(E1446=""USD"",C1446,C1446 * GOOGLEFINANCE(""CURRENCY:"" &amp; E1446 &amp; ""USD""))
"),250147615)</f>
        <v>250147615</v>
      </c>
    </row>
    <row r="1447" spans="1:7" ht="15.75" customHeight="1" x14ac:dyDescent="0.25">
      <c r="A1447" s="14" t="s">
        <v>24</v>
      </c>
      <c r="B1447" s="15">
        <v>11500000</v>
      </c>
      <c r="C1447" s="15">
        <v>35537564</v>
      </c>
      <c r="D1447" s="15">
        <v>2016</v>
      </c>
      <c r="E1447" s="15" t="str">
        <f>VLOOKUP(A1447, Currency!$A$2:$B$100, 2, FALSE)</f>
        <v>USD</v>
      </c>
      <c r="F1447" s="15">
        <f ca="1">IFERROR(__xludf.DUMMYFUNCTION("IF(E1447=""USD"",B1447,B1447 * GOOGLEFINANCE(""CURRENCY:"" &amp; E1447 &amp; ""USD""))
"),11500000)</f>
        <v>11500000</v>
      </c>
      <c r="G1447" s="16">
        <f ca="1">IFERROR(__xludf.DUMMYFUNCTION("IF(E1447=""USD"",C1447,C1447 * GOOGLEFINANCE(""CURRENCY:"" &amp; E1447 &amp; ""USD""))
"),35537564)</f>
        <v>35537564</v>
      </c>
    </row>
    <row r="1448" spans="1:7" ht="15.75" customHeight="1" x14ac:dyDescent="0.25">
      <c r="A1448" s="11" t="s">
        <v>611</v>
      </c>
      <c r="B1448" s="12">
        <v>4500</v>
      </c>
      <c r="C1448" s="12">
        <v>136007</v>
      </c>
      <c r="D1448" s="12">
        <v>2004</v>
      </c>
      <c r="E1448" s="12" t="str">
        <f>VLOOKUP(A1448, Currency!$A$2:$B$100, 2, FALSE)</f>
        <v>EUR</v>
      </c>
      <c r="F1448" s="12">
        <f ca="1">IFERROR(__xludf.DUMMYFUNCTION("IF(E1448=""USD"",B1448,B1448 * GOOGLEFINANCE(""CURRENCY:"" &amp; E1448 &amp; ""USD""))
"),4881.33)</f>
        <v>4881.33</v>
      </c>
      <c r="G1448" s="13">
        <f ca="1">IFERROR(__xludf.DUMMYFUNCTION("IF(E1448=""USD"",C1448,C1448 * GOOGLEFINANCE(""CURRENCY:"" &amp; E1448 &amp; ""USD""))
"),147532.23318)</f>
        <v>147532.23318000001</v>
      </c>
    </row>
    <row r="1449" spans="1:7" ht="15.75" customHeight="1" x14ac:dyDescent="0.25">
      <c r="A1449" s="14" t="s">
        <v>24</v>
      </c>
      <c r="B1449" s="15">
        <v>70000000</v>
      </c>
      <c r="C1449" s="15">
        <v>62321039</v>
      </c>
      <c r="D1449" s="15">
        <v>2012</v>
      </c>
      <c r="E1449" s="15" t="str">
        <f>VLOOKUP(A1449, Currency!$A$2:$B$100, 2, FALSE)</f>
        <v>USD</v>
      </c>
      <c r="F1449" s="15">
        <f ca="1">IFERROR(__xludf.DUMMYFUNCTION("IF(E1449=""USD"",B1449,B1449 * GOOGLEFINANCE(""CURRENCY:"" &amp; E1449 &amp; ""USD""))
"),70000000)</f>
        <v>70000000</v>
      </c>
      <c r="G1449" s="16">
        <f ca="1">IFERROR(__xludf.DUMMYFUNCTION("IF(E1449=""USD"",C1449,C1449 * GOOGLEFINANCE(""CURRENCY:"" &amp; E1449 &amp; ""USD""))
"),62321039)</f>
        <v>62321039</v>
      </c>
    </row>
    <row r="1450" spans="1:7" ht="15.75" customHeight="1" x14ac:dyDescent="0.25">
      <c r="A1450" s="11" t="s">
        <v>176</v>
      </c>
      <c r="B1450" s="12">
        <v>5000000</v>
      </c>
      <c r="C1450" s="12">
        <v>16066</v>
      </c>
      <c r="D1450" s="12">
        <v>2004</v>
      </c>
      <c r="E1450" s="12" t="str">
        <f>VLOOKUP(A1450, Currency!$A$2:$B$100, 2, FALSE)</f>
        <v>EUR</v>
      </c>
      <c r="F1450" s="12">
        <f ca="1">IFERROR(__xludf.DUMMYFUNCTION("IF(E1450=""USD"",B1450,B1450 * GOOGLEFINANCE(""CURRENCY:"" &amp; E1450 &amp; ""USD""))
"),5423700)</f>
        <v>5423700</v>
      </c>
      <c r="G1450" s="13">
        <f ca="1">IFERROR(__xludf.DUMMYFUNCTION("IF(E1450=""USD"",C1450,C1450 * GOOGLEFINANCE(""CURRENCY:"" &amp; E1450 &amp; ""USD""))
"),17427.43284)</f>
        <v>17427.432840000001</v>
      </c>
    </row>
    <row r="1451" spans="1:7" ht="15.75" customHeight="1" x14ac:dyDescent="0.25">
      <c r="A1451" s="14" t="s">
        <v>24</v>
      </c>
      <c r="B1451" s="15">
        <v>80000000</v>
      </c>
      <c r="C1451" s="15">
        <v>169692572</v>
      </c>
      <c r="D1451" s="15">
        <v>2015</v>
      </c>
      <c r="E1451" s="15" t="str">
        <f>VLOOKUP(A1451, Currency!$A$2:$B$100, 2, FALSE)</f>
        <v>USD</v>
      </c>
      <c r="F1451" s="15">
        <f ca="1">IFERROR(__xludf.DUMMYFUNCTION("IF(E1451=""USD"",B1451,B1451 * GOOGLEFINANCE(""CURRENCY:"" &amp; E1451 &amp; ""USD""))
"),80000000)</f>
        <v>80000000</v>
      </c>
      <c r="G1451" s="16">
        <f ca="1">IFERROR(__xludf.DUMMYFUNCTION("IF(E1451=""USD"",C1451,C1451 * GOOGLEFINANCE(""CURRENCY:"" &amp; E1451 &amp; ""USD""))
"),169692572)</f>
        <v>169692572</v>
      </c>
    </row>
    <row r="1452" spans="1:7" ht="15.75" customHeight="1" x14ac:dyDescent="0.25">
      <c r="A1452" s="11" t="s">
        <v>24</v>
      </c>
      <c r="B1452" s="12">
        <v>1250000</v>
      </c>
      <c r="C1452" s="12">
        <v>19100000</v>
      </c>
      <c r="D1452" s="12">
        <v>1981</v>
      </c>
      <c r="E1452" s="12" t="str">
        <f>VLOOKUP(A1452, Currency!$A$2:$B$100, 2, FALSE)</f>
        <v>USD</v>
      </c>
      <c r="F1452" s="12">
        <f ca="1">IFERROR(__xludf.DUMMYFUNCTION("IF(E1452=""USD"",B1452,B1452 * GOOGLEFINANCE(""CURRENCY:"" &amp; E1452 &amp; ""USD""))
"),1250000)</f>
        <v>1250000</v>
      </c>
      <c r="G1452" s="13">
        <f ca="1">IFERROR(__xludf.DUMMYFUNCTION("IF(E1452=""USD"",C1452,C1452 * GOOGLEFINANCE(""CURRENCY:"" &amp; E1452 &amp; ""USD""))
"),19100000)</f>
        <v>19100000</v>
      </c>
    </row>
    <row r="1453" spans="1:7" ht="15.75" customHeight="1" x14ac:dyDescent="0.25">
      <c r="A1453" s="14" t="s">
        <v>24</v>
      </c>
      <c r="B1453" s="15">
        <v>38000000</v>
      </c>
      <c r="C1453" s="15">
        <v>39177215</v>
      </c>
      <c r="D1453" s="15">
        <v>2002</v>
      </c>
      <c r="E1453" s="15" t="str">
        <f>VLOOKUP(A1453, Currency!$A$2:$B$100, 2, FALSE)</f>
        <v>USD</v>
      </c>
      <c r="F1453" s="15">
        <f ca="1">IFERROR(__xludf.DUMMYFUNCTION("IF(E1453=""USD"",B1453,B1453 * GOOGLEFINANCE(""CURRENCY:"" &amp; E1453 &amp; ""USD""))
"),38000000)</f>
        <v>38000000</v>
      </c>
      <c r="G1453" s="16">
        <f ca="1">IFERROR(__xludf.DUMMYFUNCTION("IF(E1453=""USD"",C1453,C1453 * GOOGLEFINANCE(""CURRENCY:"" &amp; E1453 &amp; ""USD""))
"),39177215)</f>
        <v>39177215</v>
      </c>
    </row>
    <row r="1454" spans="1:7" ht="15.75" customHeight="1" x14ac:dyDescent="0.25">
      <c r="A1454" s="11" t="s">
        <v>24</v>
      </c>
      <c r="B1454" s="12">
        <v>65000000</v>
      </c>
      <c r="C1454" s="12">
        <v>52397389</v>
      </c>
      <c r="D1454" s="12">
        <v>2004</v>
      </c>
      <c r="E1454" s="12" t="str">
        <f>VLOOKUP(A1454, Currency!$A$2:$B$100, 2, FALSE)</f>
        <v>USD</v>
      </c>
      <c r="F1454" s="12">
        <f ca="1">IFERROR(__xludf.DUMMYFUNCTION("IF(E1454=""USD"",B1454,B1454 * GOOGLEFINANCE(""CURRENCY:"" &amp; E1454 &amp; ""USD""))
"),65000000)</f>
        <v>65000000</v>
      </c>
      <c r="G1454" s="13">
        <f ca="1">IFERROR(__xludf.DUMMYFUNCTION("IF(E1454=""USD"",C1454,C1454 * GOOGLEFINANCE(""CURRENCY:"" &amp; E1454 &amp; ""USD""))
"),52397389)</f>
        <v>52397389</v>
      </c>
    </row>
    <row r="1455" spans="1:7" ht="15.75" customHeight="1" x14ac:dyDescent="0.25">
      <c r="A1455" s="14" t="s">
        <v>24</v>
      </c>
      <c r="B1455" s="15">
        <v>32000000</v>
      </c>
      <c r="C1455" s="15">
        <v>101470202</v>
      </c>
      <c r="D1455" s="15">
        <v>2013</v>
      </c>
      <c r="E1455" s="15" t="str">
        <f>VLOOKUP(A1455, Currency!$A$2:$B$100, 2, FALSE)</f>
        <v>USD</v>
      </c>
      <c r="F1455" s="15">
        <f ca="1">IFERROR(__xludf.DUMMYFUNCTION("IF(E1455=""USD"",B1455,B1455 * GOOGLEFINANCE(""CURRENCY:"" &amp; E1455 &amp; ""USD""))
"),32000000)</f>
        <v>32000000</v>
      </c>
      <c r="G1455" s="16">
        <f ca="1">IFERROR(__xludf.DUMMYFUNCTION("IF(E1455=""USD"",C1455,C1455 * GOOGLEFINANCE(""CURRENCY:"" &amp; E1455 &amp; ""USD""))
"),101470202)</f>
        <v>101470202</v>
      </c>
    </row>
    <row r="1456" spans="1:7" ht="15.75" customHeight="1" x14ac:dyDescent="0.25">
      <c r="A1456" s="11" t="s">
        <v>24</v>
      </c>
      <c r="B1456" s="12">
        <v>50000000</v>
      </c>
      <c r="C1456" s="12">
        <v>16671505</v>
      </c>
      <c r="D1456" s="12">
        <v>1994</v>
      </c>
      <c r="E1456" s="12" t="str">
        <f>VLOOKUP(A1456, Currency!$A$2:$B$100, 2, FALSE)</f>
        <v>USD</v>
      </c>
      <c r="F1456" s="12">
        <f ca="1">IFERROR(__xludf.DUMMYFUNCTION("IF(E1456=""USD"",B1456,B1456 * GOOGLEFINANCE(""CURRENCY:"" &amp; E1456 &amp; ""USD""))
"),50000000)</f>
        <v>50000000</v>
      </c>
      <c r="G1456" s="13">
        <f ca="1">IFERROR(__xludf.DUMMYFUNCTION("IF(E1456=""USD"",C1456,C1456 * GOOGLEFINANCE(""CURRENCY:"" &amp; E1456 &amp; ""USD""))
"),16671505)</f>
        <v>16671505</v>
      </c>
    </row>
    <row r="1457" spans="1:7" ht="15.75" customHeight="1" x14ac:dyDescent="0.25">
      <c r="A1457" s="14" t="s">
        <v>24</v>
      </c>
      <c r="B1457" s="15">
        <v>55000000</v>
      </c>
      <c r="C1457" s="15">
        <v>21283440</v>
      </c>
      <c r="D1457" s="15">
        <v>2011</v>
      </c>
      <c r="E1457" s="15" t="str">
        <f>VLOOKUP(A1457, Currency!$A$2:$B$100, 2, FALSE)</f>
        <v>USD</v>
      </c>
      <c r="F1457" s="15">
        <f ca="1">IFERROR(__xludf.DUMMYFUNCTION("IF(E1457=""USD"",B1457,B1457 * GOOGLEFINANCE(""CURRENCY:"" &amp; E1457 &amp; ""USD""))
"),55000000)</f>
        <v>55000000</v>
      </c>
      <c r="G1457" s="16">
        <f ca="1">IFERROR(__xludf.DUMMYFUNCTION("IF(E1457=""USD"",C1457,C1457 * GOOGLEFINANCE(""CURRENCY:"" &amp; E1457 &amp; ""USD""))
"),21283440)</f>
        <v>21283440</v>
      </c>
    </row>
    <row r="1458" spans="1:7" ht="15.75" customHeight="1" x14ac:dyDescent="0.25">
      <c r="A1458" s="11" t="s">
        <v>24</v>
      </c>
      <c r="B1458" s="12">
        <v>40000000</v>
      </c>
      <c r="C1458" s="12">
        <v>14967182</v>
      </c>
      <c r="D1458" s="12">
        <v>2000</v>
      </c>
      <c r="E1458" s="12" t="str">
        <f>VLOOKUP(A1458, Currency!$A$2:$B$100, 2, FALSE)</f>
        <v>USD</v>
      </c>
      <c r="F1458" s="12">
        <f ca="1">IFERROR(__xludf.DUMMYFUNCTION("IF(E1458=""USD"",B1458,B1458 * GOOGLEFINANCE(""CURRENCY:"" &amp; E1458 &amp; ""USD""))
"),40000000)</f>
        <v>40000000</v>
      </c>
      <c r="G1458" s="13">
        <f ca="1">IFERROR(__xludf.DUMMYFUNCTION("IF(E1458=""USD"",C1458,C1458 * GOOGLEFINANCE(""CURRENCY:"" &amp; E1458 &amp; ""USD""))
"),14967182)</f>
        <v>14967182</v>
      </c>
    </row>
    <row r="1459" spans="1:7" ht="15.75" customHeight="1" x14ac:dyDescent="0.25">
      <c r="A1459" s="14" t="s">
        <v>24</v>
      </c>
      <c r="B1459" s="15">
        <v>45000000</v>
      </c>
      <c r="C1459" s="15">
        <v>422783777</v>
      </c>
      <c r="D1459" s="15">
        <v>1994</v>
      </c>
      <c r="E1459" s="15" t="str">
        <f>VLOOKUP(A1459, Currency!$A$2:$B$100, 2, FALSE)</f>
        <v>USD</v>
      </c>
      <c r="F1459" s="15">
        <f ca="1">IFERROR(__xludf.DUMMYFUNCTION("IF(E1459=""USD"",B1459,B1459 * GOOGLEFINANCE(""CURRENCY:"" &amp; E1459 &amp; ""USD""))
"),45000000)</f>
        <v>45000000</v>
      </c>
      <c r="G1459" s="16">
        <f ca="1">IFERROR(__xludf.DUMMYFUNCTION("IF(E1459=""USD"",C1459,C1459 * GOOGLEFINANCE(""CURRENCY:"" &amp; E1459 &amp; ""USD""))
"),422783777)</f>
        <v>422783777</v>
      </c>
    </row>
    <row r="1460" spans="1:7" ht="15.75" customHeight="1" x14ac:dyDescent="0.25">
      <c r="A1460" s="11" t="s">
        <v>133</v>
      </c>
      <c r="B1460" s="12">
        <v>7500000</v>
      </c>
      <c r="C1460" s="12">
        <v>197148</v>
      </c>
      <c r="D1460" s="12">
        <v>2003</v>
      </c>
      <c r="E1460" s="12" t="str">
        <f>VLOOKUP(A1460, Currency!$A$2:$B$100, 2, FALSE)</f>
        <v>GBP</v>
      </c>
      <c r="F1460" s="12">
        <f ca="1">IFERROR(__xludf.DUMMYFUNCTION("IF(E1460=""USD"",B1460,B1460 * GOOGLEFINANCE(""CURRENCY:"" &amp; E1460 &amp; ""USD""))
"),9640500)</f>
        <v>9640500</v>
      </c>
      <c r="G1460" s="13">
        <f ca="1">IFERROR(__xludf.DUMMYFUNCTION("IF(E1460=""USD"",C1460,C1460 * GOOGLEFINANCE(""CURRENCY:"" &amp; E1460 &amp; ""USD""))
"),253414.039199999)</f>
        <v>253414.03919999901</v>
      </c>
    </row>
    <row r="1461" spans="1:7" ht="15.75" customHeight="1" x14ac:dyDescent="0.25">
      <c r="A1461" s="14" t="s">
        <v>24</v>
      </c>
      <c r="B1461" s="15">
        <v>150000000</v>
      </c>
      <c r="C1461" s="15">
        <v>83640426</v>
      </c>
      <c r="D1461" s="15">
        <v>2012</v>
      </c>
      <c r="E1461" s="15" t="str">
        <f>VLOOKUP(A1461, Currency!$A$2:$B$100, 2, FALSE)</f>
        <v>USD</v>
      </c>
      <c r="F1461" s="15">
        <f ca="1">IFERROR(__xludf.DUMMYFUNCTION("IF(E1461=""USD"",B1461,B1461 * GOOGLEFINANCE(""CURRENCY:"" &amp; E1461 &amp; ""USD""))
"),150000000)</f>
        <v>150000000</v>
      </c>
      <c r="G1461" s="16">
        <f ca="1">IFERROR(__xludf.DUMMYFUNCTION("IF(E1461=""USD"",C1461,C1461 * GOOGLEFINANCE(""CURRENCY:"" &amp; E1461 &amp; ""USD""))
"),83640426)</f>
        <v>83640426</v>
      </c>
    </row>
    <row r="1462" spans="1:7" ht="15.75" customHeight="1" x14ac:dyDescent="0.25">
      <c r="A1462" s="11" t="s">
        <v>24</v>
      </c>
      <c r="B1462" s="12">
        <v>15000000</v>
      </c>
      <c r="C1462" s="12">
        <v>15100000</v>
      </c>
      <c r="D1462" s="12">
        <v>1984</v>
      </c>
      <c r="E1462" s="12" t="str">
        <f>VLOOKUP(A1462, Currency!$A$2:$B$100, 2, FALSE)</f>
        <v>USD</v>
      </c>
      <c r="F1462" s="12">
        <f ca="1">IFERROR(__xludf.DUMMYFUNCTION("IF(E1462=""USD"",B1462,B1462 * GOOGLEFINANCE(""CURRENCY:"" &amp; E1462 &amp; ""USD""))
"),15000000)</f>
        <v>15000000</v>
      </c>
      <c r="G1462" s="13">
        <f ca="1">IFERROR(__xludf.DUMMYFUNCTION("IF(E1462=""USD"",C1462,C1462 * GOOGLEFINANCE(""CURRENCY:"" &amp; E1462 &amp; ""USD""))
"),15100000)</f>
        <v>15100000</v>
      </c>
    </row>
    <row r="1463" spans="1:7" ht="15.75" customHeight="1" x14ac:dyDescent="0.25">
      <c r="A1463" s="14" t="s">
        <v>24</v>
      </c>
      <c r="B1463" s="15">
        <v>80000000</v>
      </c>
      <c r="C1463" s="15">
        <v>91188905</v>
      </c>
      <c r="D1463" s="15">
        <v>1999</v>
      </c>
      <c r="E1463" s="15" t="str">
        <f>VLOOKUP(A1463, Currency!$A$2:$B$100, 2, FALSE)</f>
        <v>USD</v>
      </c>
      <c r="F1463" s="15">
        <f ca="1">IFERROR(__xludf.DUMMYFUNCTION("IF(E1463=""USD"",B1463,B1463 * GOOGLEFINANCE(""CURRENCY:"" &amp; E1463 &amp; ""USD""))
"),80000000)</f>
        <v>80000000</v>
      </c>
      <c r="G1463" s="16">
        <f ca="1">IFERROR(__xludf.DUMMYFUNCTION("IF(E1463=""USD"",C1463,C1463 * GOOGLEFINANCE(""CURRENCY:"" &amp; E1463 &amp; ""USD""))
"),91188905)</f>
        <v>91188905</v>
      </c>
    </row>
    <row r="1464" spans="1:7" ht="15.75" customHeight="1" x14ac:dyDescent="0.25">
      <c r="A1464" s="11" t="s">
        <v>611</v>
      </c>
      <c r="B1464" s="12">
        <v>40000000</v>
      </c>
      <c r="C1464" s="12">
        <v>4777007</v>
      </c>
      <c r="D1464" s="12">
        <v>2001</v>
      </c>
      <c r="E1464" s="12" t="str">
        <f>VLOOKUP(A1464, Currency!$A$2:$B$100, 2, FALSE)</f>
        <v>EUR</v>
      </c>
      <c r="F1464" s="12">
        <f ca="1">IFERROR(__xludf.DUMMYFUNCTION("IF(E1464=""USD"",B1464,B1464 * GOOGLEFINANCE(""CURRENCY:"" &amp; E1464 &amp; ""USD""))
"),43389600)</f>
        <v>43389600</v>
      </c>
      <c r="G1464" s="13">
        <f ca="1">IFERROR(__xludf.DUMMYFUNCTION("IF(E1464=""USD"",C1464,C1464 * GOOGLEFINANCE(""CURRENCY:"" &amp; E1464 &amp; ""USD""))
"),5181810.57318)</f>
        <v>5181810.5731800003</v>
      </c>
    </row>
    <row r="1465" spans="1:7" ht="15.75" customHeight="1" x14ac:dyDescent="0.25">
      <c r="A1465" s="14" t="s">
        <v>1551</v>
      </c>
      <c r="B1465" s="15">
        <v>2127519898</v>
      </c>
      <c r="C1465" s="15">
        <v>410388</v>
      </c>
      <c r="D1465" s="15">
        <v>2004</v>
      </c>
      <c r="E1465" s="15" t="str">
        <f>VLOOKUP(A1465, Currency!$A$2:$B$100, 2, FALSE)</f>
        <v>JPY</v>
      </c>
      <c r="F1465" s="15">
        <f ca="1">IFERROR(__xludf.DUMMYFUNCTION("IF(E1465=""USD"",B1465,B1465 * GOOGLEFINANCE(""CURRENCY:"" &amp; E1465 &amp; ""USD""))
"),13821645.7693468)</f>
        <v>13821645.7693468</v>
      </c>
      <c r="G1465" s="16">
        <f ca="1">IFERROR(__xludf.DUMMYFUNCTION("IF(E1465=""USD"",C1465,C1465 * GOOGLEFINANCE(""CURRENCY:"" &amp; E1465 &amp; ""USD""))
"),2666.1266808)</f>
        <v>2666.1266808</v>
      </c>
    </row>
    <row r="1466" spans="1:7" ht="15.75" customHeight="1" x14ac:dyDescent="0.25">
      <c r="A1466" s="11" t="s">
        <v>24</v>
      </c>
      <c r="B1466" s="12">
        <v>30000000</v>
      </c>
      <c r="C1466" s="12">
        <v>66468315</v>
      </c>
      <c r="D1466" s="12">
        <v>2012</v>
      </c>
      <c r="E1466" s="12" t="str">
        <f>VLOOKUP(A1466, Currency!$A$2:$B$100, 2, FALSE)</f>
        <v>USD</v>
      </c>
      <c r="F1466" s="12">
        <f ca="1">IFERROR(__xludf.DUMMYFUNCTION("IF(E1466=""USD"",B1466,B1466 * GOOGLEFINANCE(""CURRENCY:"" &amp; E1466 &amp; ""USD""))
"),30000000)</f>
        <v>30000000</v>
      </c>
      <c r="G1466" s="13">
        <f ca="1">IFERROR(__xludf.DUMMYFUNCTION("IF(E1466=""USD"",C1466,C1466 * GOOGLEFINANCE(""CURRENCY:"" &amp; E1466 &amp; ""USD""))
"),66468315)</f>
        <v>66468315</v>
      </c>
    </row>
    <row r="1467" spans="1:7" ht="15.75" customHeight="1" x14ac:dyDescent="0.25">
      <c r="A1467" s="14" t="s">
        <v>24</v>
      </c>
      <c r="B1467" s="15">
        <v>24000000</v>
      </c>
      <c r="C1467" s="15">
        <v>13000000</v>
      </c>
      <c r="D1467" s="15">
        <v>1978</v>
      </c>
      <c r="E1467" s="15" t="str">
        <f>VLOOKUP(A1467, Currency!$A$2:$B$100, 2, FALSE)</f>
        <v>USD</v>
      </c>
      <c r="F1467" s="15">
        <f ca="1">IFERROR(__xludf.DUMMYFUNCTION("IF(E1467=""USD"",B1467,B1467 * GOOGLEFINANCE(""CURRENCY:"" &amp; E1467 &amp; ""USD""))
"),24000000)</f>
        <v>24000000</v>
      </c>
      <c r="G1467" s="16">
        <f ca="1">IFERROR(__xludf.DUMMYFUNCTION("IF(E1467=""USD"",C1467,C1467 * GOOGLEFINANCE(""CURRENCY:"" &amp; E1467 &amp; ""USD""))
"),13000000)</f>
        <v>13000000</v>
      </c>
    </row>
    <row r="1468" spans="1:7" ht="15.75" customHeight="1" x14ac:dyDescent="0.25">
      <c r="A1468" s="11" t="s">
        <v>24</v>
      </c>
      <c r="B1468" s="12">
        <v>2500000</v>
      </c>
      <c r="C1468" s="12">
        <v>14400000</v>
      </c>
      <c r="D1468" s="12">
        <v>1982</v>
      </c>
      <c r="E1468" s="12" t="str">
        <f>VLOOKUP(A1468, Currency!$A$2:$B$100, 2, FALSE)</f>
        <v>USD</v>
      </c>
      <c r="F1468" s="12">
        <f ca="1">IFERROR(__xludf.DUMMYFUNCTION("IF(E1468=""USD"",B1468,B1468 * GOOGLEFINANCE(""CURRENCY:"" &amp; E1468 &amp; ""USD""))
"),2500000)</f>
        <v>2500000</v>
      </c>
      <c r="G1468" s="13">
        <f ca="1">IFERROR(__xludf.DUMMYFUNCTION("IF(E1468=""USD"",C1468,C1468 * GOOGLEFINANCE(""CURRENCY:"" &amp; E1468 &amp; ""USD""))
"),14400000)</f>
        <v>14400000</v>
      </c>
    </row>
    <row r="1469" spans="1:7" ht="15.75" customHeight="1" x14ac:dyDescent="0.25">
      <c r="A1469" s="14" t="s">
        <v>611</v>
      </c>
      <c r="B1469" s="15">
        <v>20000000</v>
      </c>
      <c r="C1469" s="15">
        <v>14291570</v>
      </c>
      <c r="D1469" s="15">
        <v>2012</v>
      </c>
      <c r="E1469" s="15" t="str">
        <f>VLOOKUP(A1469, Currency!$A$2:$B$100, 2, FALSE)</f>
        <v>EUR</v>
      </c>
      <c r="F1469" s="15">
        <f ca="1">IFERROR(__xludf.DUMMYFUNCTION("IF(E1469=""USD"",B1469,B1469 * GOOGLEFINANCE(""CURRENCY:"" &amp; E1469 &amp; ""USD""))
"),21694800)</f>
        <v>21694800</v>
      </c>
      <c r="G1469" s="16">
        <f ca="1">IFERROR(__xludf.DUMMYFUNCTION("IF(E1469=""USD"",C1469,C1469 * GOOGLEFINANCE(""CURRENCY:"" &amp; E1469 &amp; ""USD""))
"),15502637.6418)</f>
        <v>15502637.641799999</v>
      </c>
    </row>
    <row r="1470" spans="1:7" ht="15.75" customHeight="1" x14ac:dyDescent="0.25">
      <c r="A1470" s="11" t="s">
        <v>24</v>
      </c>
      <c r="B1470" s="12">
        <v>7500000</v>
      </c>
      <c r="C1470" s="12">
        <v>4131640</v>
      </c>
      <c r="D1470" s="12">
        <v>2008</v>
      </c>
      <c r="E1470" s="12" t="str">
        <f>VLOOKUP(A1470, Currency!$A$2:$B$100, 2, FALSE)</f>
        <v>USD</v>
      </c>
      <c r="F1470" s="12">
        <f ca="1">IFERROR(__xludf.DUMMYFUNCTION("IF(E1470=""USD"",B1470,B1470 * GOOGLEFINANCE(""CURRENCY:"" &amp; E1470 &amp; ""USD""))
"),7500000)</f>
        <v>7500000</v>
      </c>
      <c r="G1470" s="13">
        <f ca="1">IFERROR(__xludf.DUMMYFUNCTION("IF(E1470=""USD"",C1470,C1470 * GOOGLEFINANCE(""CURRENCY:"" &amp; E1470 &amp; ""USD""))
"),4131640)</f>
        <v>4131640</v>
      </c>
    </row>
    <row r="1471" spans="1:7" ht="15.75" customHeight="1" x14ac:dyDescent="0.25">
      <c r="A1471" s="14" t="s">
        <v>24</v>
      </c>
      <c r="B1471" s="15">
        <v>20000000</v>
      </c>
      <c r="C1471" s="15">
        <v>137387272</v>
      </c>
      <c r="D1471" s="15">
        <v>2013</v>
      </c>
      <c r="E1471" s="15" t="str">
        <f>VLOOKUP(A1471, Currency!$A$2:$B$100, 2, FALSE)</f>
        <v>USD</v>
      </c>
      <c r="F1471" s="15">
        <f ca="1">IFERROR(__xludf.DUMMYFUNCTION("IF(E1471=""USD"",B1471,B1471 * GOOGLEFINANCE(""CURRENCY:"" &amp; E1471 &amp; ""USD""))
"),20000000)</f>
        <v>20000000</v>
      </c>
      <c r="G1471" s="16">
        <f ca="1">IFERROR(__xludf.DUMMYFUNCTION("IF(E1471=""USD"",C1471,C1471 * GOOGLEFINANCE(""CURRENCY:"" &amp; E1471 &amp; ""USD""))
"),137387272)</f>
        <v>137387272</v>
      </c>
    </row>
    <row r="1472" spans="1:7" ht="15.75" customHeight="1" x14ac:dyDescent="0.25">
      <c r="A1472" s="11" t="s">
        <v>24</v>
      </c>
      <c r="B1472" s="12">
        <v>10000000</v>
      </c>
      <c r="C1472" s="12">
        <v>17655201</v>
      </c>
      <c r="D1472" s="12">
        <v>2008</v>
      </c>
      <c r="E1472" s="12" t="str">
        <f>VLOOKUP(A1472, Currency!$A$2:$B$100, 2, FALSE)</f>
        <v>USD</v>
      </c>
      <c r="F1472" s="12">
        <f ca="1">IFERROR(__xludf.DUMMYFUNCTION("IF(E1472=""USD"",B1472,B1472 * GOOGLEFINANCE(""CURRENCY:"" &amp; E1472 &amp; ""USD""))
"),10000000)</f>
        <v>10000000</v>
      </c>
      <c r="G1472" s="13">
        <f ca="1">IFERROR(__xludf.DUMMYFUNCTION("IF(E1472=""USD"",C1472,C1472 * GOOGLEFINANCE(""CURRENCY:"" &amp; E1472 &amp; ""USD""))
"),17655201)</f>
        <v>17655201</v>
      </c>
    </row>
    <row r="1473" spans="1:7" ht="15.75" customHeight="1" x14ac:dyDescent="0.25">
      <c r="A1473" s="14" t="s">
        <v>24</v>
      </c>
      <c r="B1473" s="15">
        <v>250000</v>
      </c>
      <c r="C1473" s="15">
        <v>902835</v>
      </c>
      <c r="D1473" s="15">
        <v>2001</v>
      </c>
      <c r="E1473" s="15" t="str">
        <f>VLOOKUP(A1473, Currency!$A$2:$B$100, 2, FALSE)</f>
        <v>USD</v>
      </c>
      <c r="F1473" s="15">
        <f ca="1">IFERROR(__xludf.DUMMYFUNCTION("IF(E1473=""USD"",B1473,B1473 * GOOGLEFINANCE(""CURRENCY:"" &amp; E1473 &amp; ""USD""))
"),250000)</f>
        <v>250000</v>
      </c>
      <c r="G1473" s="16">
        <f ca="1">IFERROR(__xludf.DUMMYFUNCTION("IF(E1473=""USD"",C1473,C1473 * GOOGLEFINANCE(""CURRENCY:"" &amp; E1473 &amp; ""USD""))
"),902835)</f>
        <v>902835</v>
      </c>
    </row>
    <row r="1474" spans="1:7" ht="15.75" customHeight="1" x14ac:dyDescent="0.25">
      <c r="A1474" s="11" t="s">
        <v>24</v>
      </c>
      <c r="B1474" s="12">
        <v>165000000</v>
      </c>
      <c r="C1474" s="12">
        <v>217387997</v>
      </c>
      <c r="D1474" s="12">
        <v>2010</v>
      </c>
      <c r="E1474" s="12" t="str">
        <f>VLOOKUP(A1474, Currency!$A$2:$B$100, 2, FALSE)</f>
        <v>USD</v>
      </c>
      <c r="F1474" s="12">
        <f ca="1">IFERROR(__xludf.DUMMYFUNCTION("IF(E1474=""USD"",B1474,B1474 * GOOGLEFINANCE(""CURRENCY:"" &amp; E1474 &amp; ""USD""))
"),165000000)</f>
        <v>165000000</v>
      </c>
      <c r="G1474" s="13">
        <f ca="1">IFERROR(__xludf.DUMMYFUNCTION("IF(E1474=""USD"",C1474,C1474 * GOOGLEFINANCE(""CURRENCY:"" &amp; E1474 &amp; ""USD""))
"),217387997)</f>
        <v>217387997</v>
      </c>
    </row>
    <row r="1475" spans="1:7" ht="15.75" customHeight="1" x14ac:dyDescent="0.25">
      <c r="A1475" s="14" t="s">
        <v>24</v>
      </c>
      <c r="B1475" s="15">
        <v>20000000</v>
      </c>
      <c r="C1475" s="15">
        <v>5005883</v>
      </c>
      <c r="D1475" s="15">
        <v>2004</v>
      </c>
      <c r="E1475" s="15" t="str">
        <f>VLOOKUP(A1475, Currency!$A$2:$B$100, 2, FALSE)</f>
        <v>USD</v>
      </c>
      <c r="F1475" s="15">
        <f ca="1">IFERROR(__xludf.DUMMYFUNCTION("IF(E1475=""USD"",B1475,B1475 * GOOGLEFINANCE(""CURRENCY:"" &amp; E1475 &amp; ""USD""))
"),20000000)</f>
        <v>20000000</v>
      </c>
      <c r="G1475" s="16">
        <f ca="1">IFERROR(__xludf.DUMMYFUNCTION("IF(E1475=""USD"",C1475,C1475 * GOOGLEFINANCE(""CURRENCY:"" &amp; E1475 &amp; ""USD""))
"),5005883)</f>
        <v>5005883</v>
      </c>
    </row>
    <row r="1476" spans="1:7" ht="15.75" customHeight="1" x14ac:dyDescent="0.25">
      <c r="A1476" s="11" t="s">
        <v>133</v>
      </c>
      <c r="B1476" s="12">
        <v>2000000</v>
      </c>
      <c r="C1476" s="12">
        <v>3590010</v>
      </c>
      <c r="D1476" s="12">
        <v>2015</v>
      </c>
      <c r="E1476" s="12" t="str">
        <f>VLOOKUP(A1476, Currency!$A$2:$B$100, 2, FALSE)</f>
        <v>GBP</v>
      </c>
      <c r="F1476" s="12">
        <f ca="1">IFERROR(__xludf.DUMMYFUNCTION("IF(E1476=""USD"",B1476,B1476 * GOOGLEFINANCE(""CURRENCY:"" &amp; E1476 &amp; ""USD""))
"),2570799.99999999)</f>
        <v>2570799.9999999902</v>
      </c>
      <c r="G1476" s="13">
        <f ca="1">IFERROR(__xludf.DUMMYFUNCTION("IF(E1476=""USD"",C1476,C1476 * GOOGLEFINANCE(""CURRENCY:"" &amp; E1476 &amp; ""USD""))
"),4614598.85399999)</f>
        <v>4614598.85399999</v>
      </c>
    </row>
    <row r="1477" spans="1:7" ht="15.75" customHeight="1" x14ac:dyDescent="0.25">
      <c r="A1477" s="14" t="s">
        <v>24</v>
      </c>
      <c r="B1477" s="15">
        <v>60000000</v>
      </c>
      <c r="C1477" s="15">
        <v>105264608</v>
      </c>
      <c r="D1477" s="15">
        <v>1994</v>
      </c>
      <c r="E1477" s="15" t="str">
        <f>VLOOKUP(A1477, Currency!$A$2:$B$100, 2, FALSE)</f>
        <v>USD</v>
      </c>
      <c r="F1477" s="15">
        <f ca="1">IFERROR(__xludf.DUMMYFUNCTION("IF(E1477=""USD"",B1477,B1477 * GOOGLEFINANCE(""CURRENCY:"" &amp; E1477 &amp; ""USD""))
"),60000000)</f>
        <v>60000000</v>
      </c>
      <c r="G1477" s="16">
        <f ca="1">IFERROR(__xludf.DUMMYFUNCTION("IF(E1477=""USD"",C1477,C1477 * GOOGLEFINANCE(""CURRENCY:"" &amp; E1477 &amp; ""USD""))
"),105264608)</f>
        <v>105264608</v>
      </c>
    </row>
    <row r="1478" spans="1:7" ht="15.75" customHeight="1" x14ac:dyDescent="0.25">
      <c r="A1478" s="11" t="s">
        <v>24</v>
      </c>
      <c r="B1478" s="12">
        <v>10000000</v>
      </c>
      <c r="C1478" s="12">
        <v>11703287</v>
      </c>
      <c r="D1478" s="12">
        <v>2005</v>
      </c>
      <c r="E1478" s="12" t="str">
        <f>VLOOKUP(A1478, Currency!$A$2:$B$100, 2, FALSE)</f>
        <v>USD</v>
      </c>
      <c r="F1478" s="12">
        <f ca="1">IFERROR(__xludf.DUMMYFUNCTION("IF(E1478=""USD"",B1478,B1478 * GOOGLEFINANCE(""CURRENCY:"" &amp; E1478 &amp; ""USD""))
"),10000000)</f>
        <v>10000000</v>
      </c>
      <c r="G1478" s="13">
        <f ca="1">IFERROR(__xludf.DUMMYFUNCTION("IF(E1478=""USD"",C1478,C1478 * GOOGLEFINANCE(""CURRENCY:"" &amp; E1478 &amp; ""USD""))
"),11703287)</f>
        <v>11703287</v>
      </c>
    </row>
    <row r="1479" spans="1:7" ht="15.75" customHeight="1" x14ac:dyDescent="0.25">
      <c r="A1479" s="14" t="s">
        <v>24</v>
      </c>
      <c r="B1479" s="15">
        <v>15000000</v>
      </c>
      <c r="C1479" s="15">
        <v>21383298</v>
      </c>
      <c r="D1479" s="15">
        <v>2012</v>
      </c>
      <c r="E1479" s="15" t="str">
        <f>VLOOKUP(A1479, Currency!$A$2:$B$100, 2, FALSE)</f>
        <v>USD</v>
      </c>
      <c r="F1479" s="15">
        <f ca="1">IFERROR(__xludf.DUMMYFUNCTION("IF(E1479=""USD"",B1479,B1479 * GOOGLEFINANCE(""CURRENCY:"" &amp; E1479 &amp; ""USD""))
"),15000000)</f>
        <v>15000000</v>
      </c>
      <c r="G1479" s="16">
        <f ca="1">IFERROR(__xludf.DUMMYFUNCTION("IF(E1479=""USD"",C1479,C1479 * GOOGLEFINANCE(""CURRENCY:"" &amp; E1479 &amp; ""USD""))
"),21383298)</f>
        <v>21383298</v>
      </c>
    </row>
    <row r="1480" spans="1:7" ht="15.75" customHeight="1" x14ac:dyDescent="0.25">
      <c r="A1480" s="11" t="s">
        <v>24</v>
      </c>
      <c r="B1480" s="12">
        <v>5600000</v>
      </c>
      <c r="C1480" s="12">
        <v>7009668</v>
      </c>
      <c r="D1480" s="12">
        <v>2006</v>
      </c>
      <c r="E1480" s="12" t="str">
        <f>VLOOKUP(A1480, Currency!$A$2:$B$100, 2, FALSE)</f>
        <v>USD</v>
      </c>
      <c r="F1480" s="12">
        <f ca="1">IFERROR(__xludf.DUMMYFUNCTION("IF(E1480=""USD"",B1480,B1480 * GOOGLEFINANCE(""CURRENCY:"" &amp; E1480 &amp; ""USD""))
"),5600000)</f>
        <v>5600000</v>
      </c>
      <c r="G1480" s="13">
        <f ca="1">IFERROR(__xludf.DUMMYFUNCTION("IF(E1480=""USD"",C1480,C1480 * GOOGLEFINANCE(""CURRENCY:"" &amp; E1480 &amp; ""USD""))
"),7009668)</f>
        <v>7009668</v>
      </c>
    </row>
    <row r="1481" spans="1:7" ht="15.75" customHeight="1" x14ac:dyDescent="0.25">
      <c r="A1481" s="14" t="s">
        <v>133</v>
      </c>
      <c r="B1481" s="15">
        <v>40000000</v>
      </c>
      <c r="C1481" s="15">
        <v>7689458</v>
      </c>
      <c r="D1481" s="15">
        <v>2009</v>
      </c>
      <c r="E1481" s="15" t="str">
        <f>VLOOKUP(A1481, Currency!$A$2:$B$100, 2, FALSE)</f>
        <v>GBP</v>
      </c>
      <c r="F1481" s="15">
        <f ca="1">IFERROR(__xludf.DUMMYFUNCTION("IF(E1481=""USD"",B1481,B1481 * GOOGLEFINANCE(""CURRENCY:"" &amp; E1481 &amp; ""USD""))
"),51415999.9999999)</f>
        <v>51415999.999999903</v>
      </c>
      <c r="G1481" s="16">
        <f ca="1">IFERROR(__xludf.DUMMYFUNCTION("IF(E1481=""USD"",C1481,C1481 * GOOGLEFINANCE(""CURRENCY:"" &amp; E1481 &amp; ""USD""))
"),9884029.31319999)</f>
        <v>9884029.3131999895</v>
      </c>
    </row>
    <row r="1482" spans="1:7" ht="15.75" customHeight="1" x14ac:dyDescent="0.25">
      <c r="A1482" s="11" t="s">
        <v>611</v>
      </c>
      <c r="B1482" s="12">
        <v>4000000</v>
      </c>
      <c r="C1482" s="12">
        <v>3950029</v>
      </c>
      <c r="D1482" s="12">
        <v>2010</v>
      </c>
      <c r="E1482" s="12" t="str">
        <f>VLOOKUP(A1482, Currency!$A$2:$B$100, 2, FALSE)</f>
        <v>EUR</v>
      </c>
      <c r="F1482" s="12">
        <f ca="1">IFERROR(__xludf.DUMMYFUNCTION("IF(E1482=""USD"",B1482,B1482 * GOOGLEFINANCE(""CURRENCY:"" &amp; E1482 &amp; ""USD""))
"),4338960)</f>
        <v>4338960</v>
      </c>
      <c r="G1482" s="13">
        <f ca="1">IFERROR(__xludf.DUMMYFUNCTION("IF(E1482=""USD"",C1482,C1482 * GOOGLEFINANCE(""CURRENCY:"" &amp; E1482 &amp; ""USD""))
"),4284754.45746)</f>
        <v>4284754.4574600002</v>
      </c>
    </row>
    <row r="1483" spans="1:7" ht="15.75" customHeight="1" x14ac:dyDescent="0.25">
      <c r="A1483" s="14" t="s">
        <v>133</v>
      </c>
      <c r="B1483" s="15">
        <v>33000000</v>
      </c>
      <c r="C1483" s="15">
        <v>39532308</v>
      </c>
      <c r="D1483" s="15">
        <v>2002</v>
      </c>
      <c r="E1483" s="15" t="str">
        <f>VLOOKUP(A1483, Currency!$A$2:$B$100, 2, FALSE)</f>
        <v>GBP</v>
      </c>
      <c r="F1483" s="15">
        <f ca="1">IFERROR(__xludf.DUMMYFUNCTION("IF(E1483=""USD"",B1483,B1483 * GOOGLEFINANCE(""CURRENCY:"" &amp; E1483 &amp; ""USD""))
"),42418199.9999999)</f>
        <v>42418199.999999903</v>
      </c>
      <c r="G1483" s="16">
        <f ca="1">IFERROR(__xludf.DUMMYFUNCTION("IF(E1483=""USD"",C1483,C1483 * GOOGLEFINANCE(""CURRENCY:"" &amp; E1483 &amp; ""USD""))
"),50814828.7032)</f>
        <v>50814828.703199998</v>
      </c>
    </row>
    <row r="1484" spans="1:7" ht="15.75" customHeight="1" x14ac:dyDescent="0.25">
      <c r="A1484" s="11" t="s">
        <v>24</v>
      </c>
      <c r="B1484" s="12">
        <v>33000000</v>
      </c>
      <c r="C1484" s="12">
        <v>132541238</v>
      </c>
      <c r="D1484" s="12">
        <v>2003</v>
      </c>
      <c r="E1484" s="12" t="str">
        <f>VLOOKUP(A1484, Currency!$A$2:$B$100, 2, FALSE)</f>
        <v>USD</v>
      </c>
      <c r="F1484" s="12">
        <f ca="1">IFERROR(__xludf.DUMMYFUNCTION("IF(E1484=""USD"",B1484,B1484 * GOOGLEFINANCE(""CURRENCY:"" &amp; E1484 &amp; ""USD""))
"),33000000)</f>
        <v>33000000</v>
      </c>
      <c r="G1484" s="13">
        <f ca="1">IFERROR(__xludf.DUMMYFUNCTION("IF(E1484=""USD"",C1484,C1484 * GOOGLEFINANCE(""CURRENCY:"" &amp; E1484 &amp; ""USD""))
"),132541238)</f>
        <v>132541238</v>
      </c>
    </row>
    <row r="1485" spans="1:7" ht="15.75" customHeight="1" x14ac:dyDescent="0.25">
      <c r="A1485" s="14" t="s">
        <v>24</v>
      </c>
      <c r="B1485" s="15">
        <v>60000000</v>
      </c>
      <c r="C1485" s="15">
        <v>36279230</v>
      </c>
      <c r="D1485" s="15">
        <v>2006</v>
      </c>
      <c r="E1485" s="15" t="str">
        <f>VLOOKUP(A1485, Currency!$A$2:$B$100, 2, FALSE)</f>
        <v>USD</v>
      </c>
      <c r="F1485" s="15">
        <f ca="1">IFERROR(__xludf.DUMMYFUNCTION("IF(E1485=""USD"",B1485,B1485 * GOOGLEFINANCE(""CURRENCY:"" &amp; E1485 &amp; ""USD""))
"),60000000)</f>
        <v>60000000</v>
      </c>
      <c r="G1485" s="16">
        <f ca="1">IFERROR(__xludf.DUMMYFUNCTION("IF(E1485=""USD"",C1485,C1485 * GOOGLEFINANCE(""CURRENCY:"" &amp; E1485 &amp; ""USD""))
"),36279230)</f>
        <v>36279230</v>
      </c>
    </row>
    <row r="1486" spans="1:7" ht="15.75" customHeight="1" x14ac:dyDescent="0.25">
      <c r="A1486" s="11" t="s">
        <v>24</v>
      </c>
      <c r="B1486" s="12">
        <v>35000000</v>
      </c>
      <c r="C1486" s="12">
        <v>124732962</v>
      </c>
      <c r="D1486" s="12">
        <v>2006</v>
      </c>
      <c r="E1486" s="12" t="str">
        <f>VLOOKUP(A1486, Currency!$A$2:$B$100, 2, FALSE)</f>
        <v>USD</v>
      </c>
      <c r="F1486" s="12">
        <f ca="1">IFERROR(__xludf.DUMMYFUNCTION("IF(E1486=""USD"",B1486,B1486 * GOOGLEFINANCE(""CURRENCY:"" &amp; E1486 &amp; ""USD""))
"),35000000)</f>
        <v>35000000</v>
      </c>
      <c r="G1486" s="13">
        <f ca="1">IFERROR(__xludf.DUMMYFUNCTION("IF(E1486=""USD"",C1486,C1486 * GOOGLEFINANCE(""CURRENCY:"" &amp; E1486 &amp; ""USD""))
"),124732962)</f>
        <v>124732962</v>
      </c>
    </row>
    <row r="1487" spans="1:7" ht="15.75" customHeight="1" x14ac:dyDescent="0.25">
      <c r="A1487" s="14" t="s">
        <v>5169</v>
      </c>
      <c r="B1487" s="15">
        <v>19900000</v>
      </c>
      <c r="C1487" s="15">
        <v>252652</v>
      </c>
      <c r="D1487" s="15">
        <v>2010</v>
      </c>
      <c r="E1487" s="15" t="str">
        <f>VLOOKUP(A1487, Currency!$A$2:$B$100, 2, FALSE)</f>
        <v>NOK</v>
      </c>
      <c r="F1487" s="15">
        <f ca="1">IFERROR(__xludf.DUMMYFUNCTION("IF(E1487=""USD"",B1487,B1487 * GOOGLEFINANCE(""CURRENCY:"" &amp; E1487 &amp; ""USD""))
"),1803915.1)</f>
        <v>1803915.1</v>
      </c>
      <c r="G1487" s="16">
        <f ca="1">IFERROR(__xludf.DUMMYFUNCTION("IF(E1487=""USD"",C1487,C1487 * GOOGLEFINANCE(""CURRENCY:"" &amp; E1487 &amp; ""USD""))
"),22902.651148)</f>
        <v>22902.651148000001</v>
      </c>
    </row>
    <row r="1488" spans="1:7" ht="15.75" customHeight="1" x14ac:dyDescent="0.25">
      <c r="A1488" s="11" t="s">
        <v>24</v>
      </c>
      <c r="B1488" s="12">
        <v>79000000</v>
      </c>
      <c r="C1488" s="12">
        <v>74158157</v>
      </c>
      <c r="D1488" s="12">
        <v>2011</v>
      </c>
      <c r="E1488" s="12" t="str">
        <f>VLOOKUP(A1488, Currency!$A$2:$B$100, 2, FALSE)</f>
        <v>USD</v>
      </c>
      <c r="F1488" s="12">
        <f ca="1">IFERROR(__xludf.DUMMYFUNCTION("IF(E1488=""USD"",B1488,B1488 * GOOGLEFINANCE(""CURRENCY:"" &amp; E1488 &amp; ""USD""))
"),79000000)</f>
        <v>79000000</v>
      </c>
      <c r="G1488" s="13">
        <f ca="1">IFERROR(__xludf.DUMMYFUNCTION("IF(E1488=""USD"",C1488,C1488 * GOOGLEFINANCE(""CURRENCY:"" &amp; E1488 &amp; ""USD""))
"),74158157)</f>
        <v>74158157</v>
      </c>
    </row>
    <row r="1489" spans="1:7" ht="15.75" customHeight="1" x14ac:dyDescent="0.25">
      <c r="A1489" s="14" t="s">
        <v>24</v>
      </c>
      <c r="B1489" s="15">
        <v>17500000</v>
      </c>
      <c r="C1489" s="15">
        <v>51053787</v>
      </c>
      <c r="D1489" s="15">
        <v>2005</v>
      </c>
      <c r="E1489" s="15" t="str">
        <f>VLOOKUP(A1489, Currency!$A$2:$B$100, 2, FALSE)</f>
        <v>USD</v>
      </c>
      <c r="F1489" s="15">
        <f ca="1">IFERROR(__xludf.DUMMYFUNCTION("IF(E1489=""USD"",B1489,B1489 * GOOGLEFINANCE(""CURRENCY:"" &amp; E1489 &amp; ""USD""))
"),17500000)</f>
        <v>17500000</v>
      </c>
      <c r="G1489" s="16">
        <f ca="1">IFERROR(__xludf.DUMMYFUNCTION("IF(E1489=""USD"",C1489,C1489 * GOOGLEFINANCE(""CURRENCY:"" &amp; E1489 &amp; ""USD""))
"),51053787)</f>
        <v>51053787</v>
      </c>
    </row>
    <row r="1490" spans="1:7" ht="15.75" customHeight="1" x14ac:dyDescent="0.25">
      <c r="A1490" s="11" t="s">
        <v>24</v>
      </c>
      <c r="B1490" s="12">
        <v>28000000</v>
      </c>
      <c r="C1490" s="12">
        <v>71346930</v>
      </c>
      <c r="D1490" s="12">
        <v>2013</v>
      </c>
      <c r="E1490" s="12" t="str">
        <f>VLOOKUP(A1490, Currency!$A$2:$B$100, 2, FALSE)</f>
        <v>USD</v>
      </c>
      <c r="F1490" s="12">
        <f ca="1">IFERROR(__xludf.DUMMYFUNCTION("IF(E1490=""USD"",B1490,B1490 * GOOGLEFINANCE(""CURRENCY:"" &amp; E1490 &amp; ""USD""))
"),28000000)</f>
        <v>28000000</v>
      </c>
      <c r="G1490" s="13">
        <f ca="1">IFERROR(__xludf.DUMMYFUNCTION("IF(E1490=""USD"",C1490,C1490 * GOOGLEFINANCE(""CURRENCY:"" &amp; E1490 &amp; ""USD""))
"),71346930)</f>
        <v>71346930</v>
      </c>
    </row>
    <row r="1491" spans="1:7" ht="15.75" customHeight="1" x14ac:dyDescent="0.25">
      <c r="A1491" s="14" t="s">
        <v>611</v>
      </c>
      <c r="B1491" s="15">
        <v>25500000</v>
      </c>
      <c r="C1491" s="15">
        <v>41229</v>
      </c>
      <c r="D1491" s="15">
        <v>2013</v>
      </c>
      <c r="E1491" s="15" t="str">
        <f>VLOOKUP(A1491, Currency!$A$2:$B$100, 2, FALSE)</f>
        <v>EUR</v>
      </c>
      <c r="F1491" s="15">
        <f ca="1">IFERROR(__xludf.DUMMYFUNCTION("IF(E1491=""USD"",B1491,B1491 * GOOGLEFINANCE(""CURRENCY:"" &amp; E1491 &amp; ""USD""))
"),27660870)</f>
        <v>27660870</v>
      </c>
      <c r="G1491" s="16">
        <f ca="1">IFERROR(__xludf.DUMMYFUNCTION("IF(E1491=""USD"",C1491,C1491 * GOOGLEFINANCE(""CURRENCY:"" &amp; E1491 &amp; ""USD""))
"),44722.74546)</f>
        <v>44722.745459999998</v>
      </c>
    </row>
    <row r="1492" spans="1:7" ht="15.75" customHeight="1" x14ac:dyDescent="0.25">
      <c r="A1492" s="11" t="s">
        <v>611</v>
      </c>
      <c r="B1492" s="12">
        <v>45000000</v>
      </c>
      <c r="C1492" s="12">
        <v>20302961</v>
      </c>
      <c r="D1492" s="12">
        <v>1995</v>
      </c>
      <c r="E1492" s="12" t="str">
        <f>VLOOKUP(A1492, Currency!$A$2:$B$100, 2, FALSE)</f>
        <v>EUR</v>
      </c>
      <c r="F1492" s="12">
        <f ca="1">IFERROR(__xludf.DUMMYFUNCTION("IF(E1492=""USD"",B1492,B1492 * GOOGLEFINANCE(""CURRENCY:"" &amp; E1492 &amp; ""USD""))
"),48813300)</f>
        <v>48813300</v>
      </c>
      <c r="G1492" s="13">
        <f ca="1">IFERROR(__xludf.DUMMYFUNCTION("IF(E1492=""USD"",C1492,C1492 * GOOGLEFINANCE(""CURRENCY:"" &amp; E1492 &amp; ""USD""))
"),22023433.91514)</f>
        <v>22023433.915139999</v>
      </c>
    </row>
    <row r="1493" spans="1:7" ht="15.75" customHeight="1" x14ac:dyDescent="0.25">
      <c r="A1493" s="14" t="s">
        <v>24</v>
      </c>
      <c r="B1493" s="15">
        <v>50000000</v>
      </c>
      <c r="C1493" s="15">
        <v>10400000</v>
      </c>
      <c r="D1493" s="15">
        <v>1995</v>
      </c>
      <c r="E1493" s="15" t="str">
        <f>VLOOKUP(A1493, Currency!$A$2:$B$100, 2, FALSE)</f>
        <v>USD</v>
      </c>
      <c r="F1493" s="15">
        <f ca="1">IFERROR(__xludf.DUMMYFUNCTION("IF(E1493=""USD"",B1493,B1493 * GOOGLEFINANCE(""CURRENCY:"" &amp; E1493 &amp; ""USD""))
"),50000000)</f>
        <v>50000000</v>
      </c>
      <c r="G1493" s="16">
        <f ca="1">IFERROR(__xludf.DUMMYFUNCTION("IF(E1493=""USD"",C1493,C1493 * GOOGLEFINANCE(""CURRENCY:"" &amp; E1493 &amp; ""USD""))
"),10400000)</f>
        <v>10400000</v>
      </c>
    </row>
    <row r="1494" spans="1:7" ht="15.75" customHeight="1" x14ac:dyDescent="0.25">
      <c r="A1494" s="11" t="s">
        <v>24</v>
      </c>
      <c r="B1494" s="12">
        <v>17000000</v>
      </c>
      <c r="C1494" s="12">
        <v>9430988</v>
      </c>
      <c r="D1494" s="12">
        <v>2009</v>
      </c>
      <c r="E1494" s="12" t="str">
        <f>VLOOKUP(A1494, Currency!$A$2:$B$100, 2, FALSE)</f>
        <v>USD</v>
      </c>
      <c r="F1494" s="12">
        <f ca="1">IFERROR(__xludf.DUMMYFUNCTION("IF(E1494=""USD"",B1494,B1494 * GOOGLEFINANCE(""CURRENCY:"" &amp; E1494 &amp; ""USD""))
"),17000000)</f>
        <v>17000000</v>
      </c>
      <c r="G1494" s="13">
        <f ca="1">IFERROR(__xludf.DUMMYFUNCTION("IF(E1494=""USD"",C1494,C1494 * GOOGLEFINANCE(""CURRENCY:"" &amp; E1494 &amp; ""USD""))
"),9430988)</f>
        <v>9430988</v>
      </c>
    </row>
    <row r="1495" spans="1:7" ht="15.75" customHeight="1" x14ac:dyDescent="0.25">
      <c r="A1495" s="14" t="s">
        <v>24</v>
      </c>
      <c r="B1495" s="15">
        <v>36000000</v>
      </c>
      <c r="C1495" s="15">
        <v>13052741</v>
      </c>
      <c r="D1495" s="15">
        <v>1996</v>
      </c>
      <c r="E1495" s="15" t="str">
        <f>VLOOKUP(A1495, Currency!$A$2:$B$100, 2, FALSE)</f>
        <v>USD</v>
      </c>
      <c r="F1495" s="15">
        <f ca="1">IFERROR(__xludf.DUMMYFUNCTION("IF(E1495=""USD"",B1495,B1495 * GOOGLEFINANCE(""CURRENCY:"" &amp; E1495 &amp; ""USD""))
"),36000000)</f>
        <v>36000000</v>
      </c>
      <c r="G1495" s="16">
        <f ca="1">IFERROR(__xludf.DUMMYFUNCTION("IF(E1495=""USD"",C1495,C1495 * GOOGLEFINANCE(""CURRENCY:"" &amp; E1495 &amp; ""USD""))
"),13052741)</f>
        <v>13052741</v>
      </c>
    </row>
    <row r="1496" spans="1:7" ht="15.75" customHeight="1" x14ac:dyDescent="0.25">
      <c r="A1496" s="11" t="s">
        <v>627</v>
      </c>
      <c r="B1496" s="12">
        <v>23000000</v>
      </c>
      <c r="C1496" s="12">
        <v>763044</v>
      </c>
      <c r="D1496" s="12">
        <v>2003</v>
      </c>
      <c r="E1496" s="12" t="str">
        <f>VLOOKUP(A1496, Currency!$A$2:$B$100, 2, FALSE)</f>
        <v>CAD</v>
      </c>
      <c r="F1496" s="12">
        <f ca="1">IFERROR(__xludf.DUMMYFUNCTION("IF(E1496=""USD"",B1496,B1496 * GOOGLEFINANCE(""CURRENCY:"" &amp; E1496 &amp; ""USD""))
"),16638315)</f>
        <v>16638315</v>
      </c>
      <c r="G1496" s="13">
        <f ca="1">IFERROR(__xludf.DUMMYFUNCTION("IF(E1496=""USD"",C1496,C1496 * GOOGLEFINANCE(""CURRENCY:"" &amp; E1496 &amp; ""USD""))
"),551989.84482)</f>
        <v>551989.84482</v>
      </c>
    </row>
    <row r="1497" spans="1:7" ht="15.75" customHeight="1" x14ac:dyDescent="0.25">
      <c r="A1497" s="14" t="s">
        <v>176</v>
      </c>
      <c r="B1497" s="15">
        <v>33000000</v>
      </c>
      <c r="C1497" s="15">
        <v>10326062</v>
      </c>
      <c r="D1497" s="15">
        <v>2009</v>
      </c>
      <c r="E1497" s="15" t="str">
        <f>VLOOKUP(A1497, Currency!$A$2:$B$100, 2, FALSE)</f>
        <v>EUR</v>
      </c>
      <c r="F1497" s="15">
        <f ca="1">IFERROR(__xludf.DUMMYFUNCTION("IF(E1497=""USD"",B1497,B1497 * GOOGLEFINANCE(""CURRENCY:"" &amp; E1497 &amp; ""USD""))
"),35796420)</f>
        <v>35796420</v>
      </c>
      <c r="G1497" s="16">
        <f ca="1">IFERROR(__xludf.DUMMYFUNCTION("IF(E1497=""USD"",C1497,C1497 * GOOGLEFINANCE(""CURRENCY:"" &amp; E1497 &amp; ""USD""))
"),11201092.49388)</f>
        <v>11201092.49388</v>
      </c>
    </row>
    <row r="1498" spans="1:7" ht="15.75" customHeight="1" x14ac:dyDescent="0.25">
      <c r="A1498" s="11" t="s">
        <v>24</v>
      </c>
      <c r="B1498" s="12">
        <v>48000000</v>
      </c>
      <c r="C1498" s="12">
        <v>69304264</v>
      </c>
      <c r="D1498" s="12">
        <v>1999</v>
      </c>
      <c r="E1498" s="12" t="str">
        <f>VLOOKUP(A1498, Currency!$A$2:$B$100, 2, FALSE)</f>
        <v>USD</v>
      </c>
      <c r="F1498" s="12">
        <f ca="1">IFERROR(__xludf.DUMMYFUNCTION("IF(E1498=""USD"",B1498,B1498 * GOOGLEFINANCE(""CURRENCY:"" &amp; E1498 &amp; ""USD""))
"),48000000)</f>
        <v>48000000</v>
      </c>
      <c r="G1498" s="13">
        <f ca="1">IFERROR(__xludf.DUMMYFUNCTION("IF(E1498=""USD"",C1498,C1498 * GOOGLEFINANCE(""CURRENCY:"" &amp; E1498 &amp; ""USD""))
"),69304264)</f>
        <v>69304264</v>
      </c>
    </row>
    <row r="1499" spans="1:7" ht="15.75" customHeight="1" x14ac:dyDescent="0.25">
      <c r="A1499" s="14" t="s">
        <v>24</v>
      </c>
      <c r="B1499" s="15">
        <v>6000000</v>
      </c>
      <c r="C1499" s="15">
        <v>18621249</v>
      </c>
      <c r="D1499" s="15">
        <v>2000</v>
      </c>
      <c r="E1499" s="15" t="str">
        <f>VLOOKUP(A1499, Currency!$A$2:$B$100, 2, FALSE)</f>
        <v>USD</v>
      </c>
      <c r="F1499" s="15">
        <f ca="1">IFERROR(__xludf.DUMMYFUNCTION("IF(E1499=""USD"",B1499,B1499 * GOOGLEFINANCE(""CURRENCY:"" &amp; E1499 &amp; ""USD""))
"),6000000)</f>
        <v>6000000</v>
      </c>
      <c r="G1499" s="16">
        <f ca="1">IFERROR(__xludf.DUMMYFUNCTION("IF(E1499=""USD"",C1499,C1499 * GOOGLEFINANCE(""CURRENCY:"" &amp; E1499 &amp; ""USD""))
"),18621249)</f>
        <v>18621249</v>
      </c>
    </row>
    <row r="1500" spans="1:7" ht="15.75" customHeight="1" x14ac:dyDescent="0.25">
      <c r="A1500" s="11" t="s">
        <v>24</v>
      </c>
      <c r="B1500" s="12">
        <v>13000000</v>
      </c>
      <c r="C1500" s="12">
        <v>18004225</v>
      </c>
      <c r="D1500" s="12">
        <v>2013</v>
      </c>
      <c r="E1500" s="12" t="str">
        <f>VLOOKUP(A1500, Currency!$A$2:$B$100, 2, FALSE)</f>
        <v>USD</v>
      </c>
      <c r="F1500" s="12">
        <f ca="1">IFERROR(__xludf.DUMMYFUNCTION("IF(E1500=""USD"",B1500,B1500 * GOOGLEFINANCE(""CURRENCY:"" &amp; E1500 &amp; ""USD""))
"),13000000)</f>
        <v>13000000</v>
      </c>
      <c r="G1500" s="13">
        <f ca="1">IFERROR(__xludf.DUMMYFUNCTION("IF(E1500=""USD"",C1500,C1500 * GOOGLEFINANCE(""CURRENCY:"" &amp; E1500 &amp; ""USD""))
"),18004225)</f>
        <v>18004225</v>
      </c>
    </row>
    <row r="1501" spans="1:7" ht="15.75" customHeight="1" x14ac:dyDescent="0.25">
      <c r="A1501" s="14" t="s">
        <v>24</v>
      </c>
      <c r="B1501" s="15">
        <v>26000000</v>
      </c>
      <c r="C1501" s="15">
        <v>110222438</v>
      </c>
      <c r="D1501" s="15">
        <v>2003</v>
      </c>
      <c r="E1501" s="15" t="str">
        <f>VLOOKUP(A1501, Currency!$A$2:$B$100, 2, FALSE)</f>
        <v>USD</v>
      </c>
      <c r="F1501" s="15">
        <f ca="1">IFERROR(__xludf.DUMMYFUNCTION("IF(E1501=""USD"",B1501,B1501 * GOOGLEFINANCE(""CURRENCY:"" &amp; E1501 &amp; ""USD""))
"),26000000)</f>
        <v>26000000</v>
      </c>
      <c r="G1501" s="16">
        <f ca="1">IFERROR(__xludf.DUMMYFUNCTION("IF(E1501=""USD"",C1501,C1501 * GOOGLEFINANCE(""CURRENCY:"" &amp; E1501 &amp; ""USD""))
"),110222438)</f>
        <v>110222438</v>
      </c>
    </row>
    <row r="1502" spans="1:7" ht="15.75" customHeight="1" x14ac:dyDescent="0.25">
      <c r="A1502" s="11" t="s">
        <v>627</v>
      </c>
      <c r="B1502" s="12">
        <v>25000000</v>
      </c>
      <c r="C1502" s="12">
        <v>32368960</v>
      </c>
      <c r="D1502" s="12">
        <v>1998</v>
      </c>
      <c r="E1502" s="12" t="str">
        <f>VLOOKUP(A1502, Currency!$A$2:$B$100, 2, FALSE)</f>
        <v>CAD</v>
      </c>
      <c r="F1502" s="12">
        <f ca="1">IFERROR(__xludf.DUMMYFUNCTION("IF(E1502=""USD"",B1502,B1502 * GOOGLEFINANCE(""CURRENCY:"" &amp; E1502 &amp; ""USD""))
"),18085125)</f>
        <v>18085125</v>
      </c>
      <c r="G1502" s="13">
        <f ca="1">IFERROR(__xludf.DUMMYFUNCTION("IF(E1502=""USD"",C1502,C1502 * GOOGLEFINANCE(""CURRENCY:"" &amp; E1502 &amp; ""USD""))
"),23415867.5088)</f>
        <v>23415867.5088</v>
      </c>
    </row>
    <row r="1503" spans="1:7" ht="15.75" customHeight="1" x14ac:dyDescent="0.25">
      <c r="A1503" s="14" t="s">
        <v>24</v>
      </c>
      <c r="B1503" s="15">
        <v>18500000</v>
      </c>
      <c r="C1503" s="15">
        <v>10562387</v>
      </c>
      <c r="D1503" s="15">
        <v>1998</v>
      </c>
      <c r="E1503" s="15" t="str">
        <f>VLOOKUP(A1503, Currency!$A$2:$B$100, 2, FALSE)</f>
        <v>USD</v>
      </c>
      <c r="F1503" s="15">
        <f ca="1">IFERROR(__xludf.DUMMYFUNCTION("IF(E1503=""USD"",B1503,B1503 * GOOGLEFINANCE(""CURRENCY:"" &amp; E1503 &amp; ""USD""))
"),18500000)</f>
        <v>18500000</v>
      </c>
      <c r="G1503" s="16">
        <f ca="1">IFERROR(__xludf.DUMMYFUNCTION("IF(E1503=""USD"",C1503,C1503 * GOOGLEFINANCE(""CURRENCY:"" &amp; E1503 &amp; ""USD""))
"),10562387)</f>
        <v>10562387</v>
      </c>
    </row>
    <row r="1504" spans="1:7" ht="15.75" customHeight="1" x14ac:dyDescent="0.25">
      <c r="A1504" s="11" t="s">
        <v>611</v>
      </c>
      <c r="B1504" s="12">
        <v>140000000</v>
      </c>
      <c r="C1504" s="12">
        <v>146072</v>
      </c>
      <c r="D1504" s="12">
        <v>1998</v>
      </c>
      <c r="E1504" s="12" t="str">
        <f>VLOOKUP(A1504, Currency!$A$2:$B$100, 2, FALSE)</f>
        <v>EUR</v>
      </c>
      <c r="F1504" s="12">
        <f ca="1">IFERROR(__xludf.DUMMYFUNCTION("IF(E1504=""USD"",B1504,B1504 * GOOGLEFINANCE(""CURRENCY:"" &amp; E1504 &amp; ""USD""))
"),151863600)</f>
        <v>151863600</v>
      </c>
      <c r="G1504" s="13">
        <f ca="1">IFERROR(__xludf.DUMMYFUNCTION("IF(E1504=""USD"",C1504,C1504 * GOOGLEFINANCE(""CURRENCY:"" &amp; E1504 &amp; ""USD""))
"),158450.14128)</f>
        <v>158450.14128000001</v>
      </c>
    </row>
    <row r="1505" spans="1:7" ht="15.75" customHeight="1" x14ac:dyDescent="0.25">
      <c r="A1505" s="14" t="s">
        <v>24</v>
      </c>
      <c r="B1505" s="15">
        <v>20000000</v>
      </c>
      <c r="C1505" s="15">
        <v>37567440</v>
      </c>
      <c r="D1505" s="15">
        <v>1982</v>
      </c>
      <c r="E1505" s="15" t="str">
        <f>VLOOKUP(A1505, Currency!$A$2:$B$100, 2, FALSE)</f>
        <v>USD</v>
      </c>
      <c r="F1505" s="15">
        <f ca="1">IFERROR(__xludf.DUMMYFUNCTION("IF(E1505=""USD"",B1505,B1505 * GOOGLEFINANCE(""CURRENCY:"" &amp; E1505 &amp; ""USD""))
"),20000000)</f>
        <v>20000000</v>
      </c>
      <c r="G1505" s="16">
        <f ca="1">IFERROR(__xludf.DUMMYFUNCTION("IF(E1505=""USD"",C1505,C1505 * GOOGLEFINANCE(""CURRENCY:"" &amp; E1505 &amp; ""USD""))
"),37567440)</f>
        <v>37567440</v>
      </c>
    </row>
    <row r="1506" spans="1:7" ht="15.75" customHeight="1" x14ac:dyDescent="0.25">
      <c r="A1506" s="11" t="s">
        <v>133</v>
      </c>
      <c r="B1506" s="12">
        <v>17000000</v>
      </c>
      <c r="C1506" s="12">
        <v>54322273</v>
      </c>
      <c r="D1506" s="12">
        <v>2012</v>
      </c>
      <c r="E1506" s="12" t="str">
        <f>VLOOKUP(A1506, Currency!$A$2:$B$100, 2, FALSE)</f>
        <v>GBP</v>
      </c>
      <c r="F1506" s="12">
        <f ca="1">IFERROR(__xludf.DUMMYFUNCTION("IF(E1506=""USD"",B1506,B1506 * GOOGLEFINANCE(""CURRENCY:"" &amp; E1506 &amp; ""USD""))
"),21851799.9999999)</f>
        <v>21851799.999999899</v>
      </c>
      <c r="G1506" s="13">
        <f ca="1">IFERROR(__xludf.DUMMYFUNCTION("IF(E1506=""USD"",C1506,C1506 * GOOGLEFINANCE(""CURRENCY:"" &amp; E1506 &amp; ""USD""))
"),69825849.7141999)</f>
        <v>69825849.714199901</v>
      </c>
    </row>
    <row r="1507" spans="1:7" ht="15.75" customHeight="1" x14ac:dyDescent="0.25">
      <c r="A1507" s="14" t="s">
        <v>24</v>
      </c>
      <c r="B1507" s="15">
        <v>120000000</v>
      </c>
      <c r="C1507" s="15">
        <v>43929341</v>
      </c>
      <c r="D1507" s="15">
        <v>2008</v>
      </c>
      <c r="E1507" s="15" t="str">
        <f>VLOOKUP(A1507, Currency!$A$2:$B$100, 2, FALSE)</f>
        <v>USD</v>
      </c>
      <c r="F1507" s="15">
        <f ca="1">IFERROR(__xludf.DUMMYFUNCTION("IF(E1507=""USD"",B1507,B1507 * GOOGLEFINANCE(""CURRENCY:"" &amp; E1507 &amp; ""USD""))
"),120000000)</f>
        <v>120000000</v>
      </c>
      <c r="G1507" s="16">
        <f ca="1">IFERROR(__xludf.DUMMYFUNCTION("IF(E1507=""USD"",C1507,C1507 * GOOGLEFINANCE(""CURRENCY:"" &amp; E1507 &amp; ""USD""))
"),43929341)</f>
        <v>43929341</v>
      </c>
    </row>
    <row r="1508" spans="1:7" ht="15.75" customHeight="1" x14ac:dyDescent="0.25">
      <c r="A1508" s="11" t="s">
        <v>133</v>
      </c>
      <c r="B1508" s="12">
        <v>10000000</v>
      </c>
      <c r="C1508" s="12">
        <v>16800000</v>
      </c>
      <c r="D1508" s="12">
        <v>1968</v>
      </c>
      <c r="E1508" s="12" t="str">
        <f>VLOOKUP(A1508, Currency!$A$2:$B$100, 2, FALSE)</f>
        <v>GBP</v>
      </c>
      <c r="F1508" s="12">
        <f ca="1">IFERROR(__xludf.DUMMYFUNCTION("IF(E1508=""USD"",B1508,B1508 * GOOGLEFINANCE(""CURRENCY:"" &amp; E1508 &amp; ""USD""))
"),12853999.9999999)</f>
        <v>12853999.999999899</v>
      </c>
      <c r="G1508" s="13">
        <f ca="1">IFERROR(__xludf.DUMMYFUNCTION("IF(E1508=""USD"",C1508,C1508 * GOOGLEFINANCE(""CURRENCY:"" &amp; E1508 &amp; ""USD""))
"),21594719.9999999)</f>
        <v>21594719.999999899</v>
      </c>
    </row>
    <row r="1509" spans="1:7" ht="15.75" customHeight="1" x14ac:dyDescent="0.25">
      <c r="A1509" s="14" t="s">
        <v>24</v>
      </c>
      <c r="B1509" s="15">
        <v>68000000</v>
      </c>
      <c r="C1509" s="15">
        <v>28965197</v>
      </c>
      <c r="D1509" s="15">
        <v>1999</v>
      </c>
      <c r="E1509" s="15" t="str">
        <f>VLOOKUP(A1509, Currency!$A$2:$B$100, 2, FALSE)</f>
        <v>USD</v>
      </c>
      <c r="F1509" s="15">
        <f ca="1">IFERROR(__xludf.DUMMYFUNCTION("IF(E1509=""USD"",B1509,B1509 * GOOGLEFINANCE(""CURRENCY:"" &amp; E1509 &amp; ""USD""))
"),68000000)</f>
        <v>68000000</v>
      </c>
      <c r="G1509" s="16">
        <f ca="1">IFERROR(__xludf.DUMMYFUNCTION("IF(E1509=""USD"",C1509,C1509 * GOOGLEFINANCE(""CURRENCY:"" &amp; E1509 &amp; ""USD""))
"),28965197)</f>
        <v>28965197</v>
      </c>
    </row>
    <row r="1510" spans="1:7" ht="15.75" customHeight="1" x14ac:dyDescent="0.25">
      <c r="A1510" s="11" t="s">
        <v>24</v>
      </c>
      <c r="B1510" s="12">
        <v>3000000</v>
      </c>
      <c r="C1510" s="12">
        <v>418268</v>
      </c>
      <c r="D1510" s="12">
        <v>2012</v>
      </c>
      <c r="E1510" s="12" t="str">
        <f>VLOOKUP(A1510, Currency!$A$2:$B$100, 2, FALSE)</f>
        <v>USD</v>
      </c>
      <c r="F1510" s="12">
        <f ca="1">IFERROR(__xludf.DUMMYFUNCTION("IF(E1510=""USD"",B1510,B1510 * GOOGLEFINANCE(""CURRENCY:"" &amp; E1510 &amp; ""USD""))
"),3000000)</f>
        <v>3000000</v>
      </c>
      <c r="G1510" s="13">
        <f ca="1">IFERROR(__xludf.DUMMYFUNCTION("IF(E1510=""USD"",C1510,C1510 * GOOGLEFINANCE(""CURRENCY:"" &amp; E1510 &amp; ""USD""))
"),418268)</f>
        <v>418268</v>
      </c>
    </row>
    <row r="1511" spans="1:7" ht="15.75" customHeight="1" x14ac:dyDescent="0.25">
      <c r="A1511" s="14" t="s">
        <v>24</v>
      </c>
      <c r="B1511" s="15">
        <v>31000000</v>
      </c>
      <c r="C1511" s="15">
        <v>93749203</v>
      </c>
      <c r="D1511" s="15">
        <v>2012</v>
      </c>
      <c r="E1511" s="15" t="str">
        <f>VLOOKUP(A1511, Currency!$A$2:$B$100, 2, FALSE)</f>
        <v>USD</v>
      </c>
      <c r="F1511" s="15">
        <f ca="1">IFERROR(__xludf.DUMMYFUNCTION("IF(E1511=""USD"",B1511,B1511 * GOOGLEFINANCE(""CURRENCY:"" &amp; E1511 &amp; ""USD""))
"),31000000)</f>
        <v>31000000</v>
      </c>
      <c r="G1511" s="16">
        <f ca="1">IFERROR(__xludf.DUMMYFUNCTION("IF(E1511=""USD"",C1511,C1511 * GOOGLEFINANCE(""CURRENCY:"" &amp; E1511 &amp; ""USD""))
"),93749203)</f>
        <v>93749203</v>
      </c>
    </row>
    <row r="1512" spans="1:7" ht="15.75" customHeight="1" x14ac:dyDescent="0.25">
      <c r="A1512" s="11" t="s">
        <v>24</v>
      </c>
      <c r="B1512" s="12">
        <v>65000000</v>
      </c>
      <c r="C1512" s="12">
        <v>28045540</v>
      </c>
      <c r="D1512" s="12">
        <v>2005</v>
      </c>
      <c r="E1512" s="12" t="str">
        <f>VLOOKUP(A1512, Currency!$A$2:$B$100, 2, FALSE)</f>
        <v>USD</v>
      </c>
      <c r="F1512" s="12">
        <f ca="1">IFERROR(__xludf.DUMMYFUNCTION("IF(E1512=""USD"",B1512,B1512 * GOOGLEFINANCE(""CURRENCY:"" &amp; E1512 &amp; ""USD""))
"),65000000)</f>
        <v>65000000</v>
      </c>
      <c r="G1512" s="13">
        <f ca="1">IFERROR(__xludf.DUMMYFUNCTION("IF(E1512=""USD"",C1512,C1512 * GOOGLEFINANCE(""CURRENCY:"" &amp; E1512 &amp; ""USD""))
"),28045540)</f>
        <v>28045540</v>
      </c>
    </row>
    <row r="1513" spans="1:7" ht="15.75" customHeight="1" x14ac:dyDescent="0.25">
      <c r="A1513" s="14" t="s">
        <v>149</v>
      </c>
      <c r="B1513" s="15">
        <v>2000000</v>
      </c>
      <c r="C1513" s="15">
        <v>1900725</v>
      </c>
      <c r="D1513" s="15">
        <v>2005</v>
      </c>
      <c r="E1513" s="15" t="str">
        <f>VLOOKUP(A1513, Currency!$A$2:$B$100, 2, FALSE)</f>
        <v>AUD</v>
      </c>
      <c r="F1513" s="15">
        <f ca="1">IFERROR(__xludf.DUMMYFUNCTION("IF(E1513=""USD"",B1513,B1513 * GOOGLEFINANCE(""CURRENCY:"" &amp; E1513 &amp; ""USD""))
"),1307760)</f>
        <v>1307760</v>
      </c>
      <c r="G1513" s="16">
        <f ca="1">IFERROR(__xludf.DUMMYFUNCTION("IF(E1513=""USD"",C1513,C1513 * GOOGLEFINANCE(""CURRENCY:"" &amp; E1513 &amp; ""USD""))
"),1242846.063)</f>
        <v>1242846.0630000001</v>
      </c>
    </row>
    <row r="1514" spans="1:7" ht="15.75" customHeight="1" x14ac:dyDescent="0.25">
      <c r="A1514" s="11" t="s">
        <v>24</v>
      </c>
      <c r="B1514" s="12">
        <v>51000000</v>
      </c>
      <c r="C1514" s="12">
        <v>14375181</v>
      </c>
      <c r="D1514" s="12">
        <v>1987</v>
      </c>
      <c r="E1514" s="12" t="str">
        <f>VLOOKUP(A1514, Currency!$A$2:$B$100, 2, FALSE)</f>
        <v>USD</v>
      </c>
      <c r="F1514" s="12">
        <f ca="1">IFERROR(__xludf.DUMMYFUNCTION("IF(E1514=""USD"",B1514,B1514 * GOOGLEFINANCE(""CURRENCY:"" &amp; E1514 &amp; ""USD""))
"),51000000)</f>
        <v>51000000</v>
      </c>
      <c r="G1514" s="13">
        <f ca="1">IFERROR(__xludf.DUMMYFUNCTION("IF(E1514=""USD"",C1514,C1514 * GOOGLEFINANCE(""CURRENCY:"" &amp; E1514 &amp; ""USD""))
"),14375181)</f>
        <v>14375181</v>
      </c>
    </row>
    <row r="1515" spans="1:7" ht="15.75" customHeight="1" x14ac:dyDescent="0.25">
      <c r="A1515" s="14" t="s">
        <v>133</v>
      </c>
      <c r="B1515" s="15">
        <v>7500000</v>
      </c>
      <c r="C1515" s="15">
        <v>5100000</v>
      </c>
      <c r="D1515" s="15">
        <v>1984</v>
      </c>
      <c r="E1515" s="15" t="str">
        <f>VLOOKUP(A1515, Currency!$A$2:$B$100, 2, FALSE)</f>
        <v>GBP</v>
      </c>
      <c r="F1515" s="15">
        <f ca="1">IFERROR(__xludf.DUMMYFUNCTION("IF(E1515=""USD"",B1515,B1515 * GOOGLEFINANCE(""CURRENCY:"" &amp; E1515 &amp; ""USD""))
"),9640500)</f>
        <v>9640500</v>
      </c>
      <c r="G1515" s="16">
        <f ca="1">IFERROR(__xludf.DUMMYFUNCTION("IF(E1515=""USD"",C1515,C1515 * GOOGLEFINANCE(""CURRENCY:"" &amp; E1515 &amp; ""USD""))
"),6555539.99999999)</f>
        <v>6555539.9999999898</v>
      </c>
    </row>
    <row r="1516" spans="1:7" ht="15.75" customHeight="1" x14ac:dyDescent="0.25">
      <c r="A1516" s="11" t="s">
        <v>176</v>
      </c>
      <c r="B1516" s="12">
        <v>40000000</v>
      </c>
      <c r="C1516" s="12">
        <v>27053815</v>
      </c>
      <c r="D1516" s="12">
        <v>2001</v>
      </c>
      <c r="E1516" s="12" t="str">
        <f>VLOOKUP(A1516, Currency!$A$2:$B$100, 2, FALSE)</f>
        <v>EUR</v>
      </c>
      <c r="F1516" s="12">
        <f ca="1">IFERROR(__xludf.DUMMYFUNCTION("IF(E1516=""USD"",B1516,B1516 * GOOGLEFINANCE(""CURRENCY:"" &amp; E1516 &amp; ""USD""))
"),43389600)</f>
        <v>43389600</v>
      </c>
      <c r="G1516" s="13">
        <f ca="1">IFERROR(__xludf.DUMMYFUNCTION("IF(E1516=""USD"",C1516,C1516 * GOOGLEFINANCE(""CURRENCY:"" &amp; E1516 &amp; ""USD""))
"),29346355.2831)</f>
        <v>29346355.283100002</v>
      </c>
    </row>
    <row r="1517" spans="1:7" ht="15.75" customHeight="1" x14ac:dyDescent="0.25">
      <c r="A1517" s="14" t="s">
        <v>24</v>
      </c>
      <c r="B1517" s="15">
        <v>22000000</v>
      </c>
      <c r="C1517" s="15">
        <v>3247816</v>
      </c>
      <c r="D1517" s="15">
        <v>2010</v>
      </c>
      <c r="E1517" s="15" t="str">
        <f>VLOOKUP(A1517, Currency!$A$2:$B$100, 2, FALSE)</f>
        <v>USD</v>
      </c>
      <c r="F1517" s="15">
        <f ca="1">IFERROR(__xludf.DUMMYFUNCTION("IF(E1517=""USD"",B1517,B1517 * GOOGLEFINANCE(""CURRENCY:"" &amp; E1517 &amp; ""USD""))
"),22000000)</f>
        <v>22000000</v>
      </c>
      <c r="G1517" s="16">
        <f ca="1">IFERROR(__xludf.DUMMYFUNCTION("IF(E1517=""USD"",C1517,C1517 * GOOGLEFINANCE(""CURRENCY:"" &amp; E1517 &amp; ""USD""))
"),3247816)</f>
        <v>3247816</v>
      </c>
    </row>
    <row r="1518" spans="1:7" ht="15.75" customHeight="1" x14ac:dyDescent="0.25">
      <c r="A1518" s="11" t="s">
        <v>24</v>
      </c>
      <c r="B1518" s="12">
        <v>30000000</v>
      </c>
      <c r="C1518" s="12">
        <v>38232624</v>
      </c>
      <c r="D1518" s="12">
        <v>2008</v>
      </c>
      <c r="E1518" s="12" t="str">
        <f>VLOOKUP(A1518, Currency!$A$2:$B$100, 2, FALSE)</f>
        <v>USD</v>
      </c>
      <c r="F1518" s="12">
        <f ca="1">IFERROR(__xludf.DUMMYFUNCTION("IF(E1518=""USD"",B1518,B1518 * GOOGLEFINANCE(""CURRENCY:"" &amp; E1518 &amp; ""USD""))
"),30000000)</f>
        <v>30000000</v>
      </c>
      <c r="G1518" s="13">
        <f ca="1">IFERROR(__xludf.DUMMYFUNCTION("IF(E1518=""USD"",C1518,C1518 * GOOGLEFINANCE(""CURRENCY:"" &amp; E1518 &amp; ""USD""))
"),38232624)</f>
        <v>38232624</v>
      </c>
    </row>
    <row r="1519" spans="1:7" ht="15.75" customHeight="1" x14ac:dyDescent="0.25">
      <c r="A1519" s="14" t="s">
        <v>133</v>
      </c>
      <c r="B1519" s="15">
        <v>960000</v>
      </c>
      <c r="C1519" s="15">
        <v>3650677</v>
      </c>
      <c r="D1519" s="15">
        <v>1998</v>
      </c>
      <c r="E1519" s="15" t="str">
        <f>VLOOKUP(A1519, Currency!$A$2:$B$100, 2, FALSE)</f>
        <v>GBP</v>
      </c>
      <c r="F1519" s="15">
        <f ca="1">IFERROR(__xludf.DUMMYFUNCTION("IF(E1519=""USD"",B1519,B1519 * GOOGLEFINANCE(""CURRENCY:"" &amp; E1519 &amp; ""USD""))
"),1233983.99999999)</f>
        <v>1233983.99999999</v>
      </c>
      <c r="G1519" s="16">
        <f ca="1">IFERROR(__xludf.DUMMYFUNCTION("IF(E1519=""USD"",C1519,C1519 * GOOGLEFINANCE(""CURRENCY:"" &amp; E1519 &amp; ""USD""))
"),4692580.21579999)</f>
        <v>4692580.2157999901</v>
      </c>
    </row>
    <row r="1520" spans="1:7" ht="15.75" customHeight="1" x14ac:dyDescent="0.25">
      <c r="A1520" s="11" t="s">
        <v>5268</v>
      </c>
      <c r="B1520" s="12">
        <v>400000000</v>
      </c>
      <c r="C1520" s="12">
        <v>454255</v>
      </c>
      <c r="D1520" s="12">
        <v>2001</v>
      </c>
      <c r="E1520" s="12" t="str">
        <f>VLOOKUP(A1520, Currency!$A$2:$B$100, 2, FALSE)</f>
        <v>THB</v>
      </c>
      <c r="F1520" s="12">
        <f ca="1">IFERROR(__xludf.DUMMYFUNCTION("IF(E1520=""USD"",B1520,B1520 * GOOGLEFINANCE(""CURRENCY:"" &amp; E1520 &amp; ""USD""))
"),11037528)</f>
        <v>11037528</v>
      </c>
      <c r="G1520" s="13">
        <f ca="1">IFERROR(__xludf.DUMMYFUNCTION("IF(E1520=""USD"",C1520,C1520 * GOOGLEFINANCE(""CURRENCY:"" &amp; E1520 &amp; ""USD""))
"),12534.6307041)</f>
        <v>12534.6307041</v>
      </c>
    </row>
    <row r="1521" spans="1:7" ht="15.75" customHeight="1" x14ac:dyDescent="0.25">
      <c r="A1521" s="14" t="s">
        <v>24</v>
      </c>
      <c r="B1521" s="15">
        <v>7500000</v>
      </c>
      <c r="C1521" s="15">
        <v>143492840</v>
      </c>
      <c r="D1521" s="15">
        <v>2007</v>
      </c>
      <c r="E1521" s="15" t="str">
        <f>VLOOKUP(A1521, Currency!$A$2:$B$100, 2, FALSE)</f>
        <v>USD</v>
      </c>
      <c r="F1521" s="15">
        <f ca="1">IFERROR(__xludf.DUMMYFUNCTION("IF(E1521=""USD"",B1521,B1521 * GOOGLEFINANCE(""CURRENCY:"" &amp; E1521 &amp; ""USD""))
"),7500000)</f>
        <v>7500000</v>
      </c>
      <c r="G1521" s="16">
        <f ca="1">IFERROR(__xludf.DUMMYFUNCTION("IF(E1521=""USD"",C1521,C1521 * GOOGLEFINANCE(""CURRENCY:"" &amp; E1521 &amp; ""USD""))
"),143492840)</f>
        <v>143492840</v>
      </c>
    </row>
    <row r="1522" spans="1:7" ht="15.75" customHeight="1" x14ac:dyDescent="0.25">
      <c r="A1522" s="11" t="s">
        <v>24</v>
      </c>
      <c r="B1522" s="12">
        <v>90000000</v>
      </c>
      <c r="C1522" s="12">
        <v>245823397</v>
      </c>
      <c r="D1522" s="12">
        <v>1999</v>
      </c>
      <c r="E1522" s="12" t="str">
        <f>VLOOKUP(A1522, Currency!$A$2:$B$100, 2, FALSE)</f>
        <v>USD</v>
      </c>
      <c r="F1522" s="12">
        <f ca="1">IFERROR(__xludf.DUMMYFUNCTION("IF(E1522=""USD"",B1522,B1522 * GOOGLEFINANCE(""CURRENCY:"" &amp; E1522 &amp; ""USD""))
"),90000000)</f>
        <v>90000000</v>
      </c>
      <c r="G1522" s="13">
        <f ca="1">IFERROR(__xludf.DUMMYFUNCTION("IF(E1522=""USD"",C1522,C1522 * GOOGLEFINANCE(""CURRENCY:"" &amp; E1522 &amp; ""USD""))
"),245823397)</f>
        <v>245823397</v>
      </c>
    </row>
    <row r="1523" spans="1:7" ht="15.75" customHeight="1" x14ac:dyDescent="0.25">
      <c r="A1523" s="14" t="s">
        <v>133</v>
      </c>
      <c r="B1523" s="15">
        <v>60000000</v>
      </c>
      <c r="C1523" s="15">
        <v>31670931</v>
      </c>
      <c r="D1523" s="15">
        <v>2009</v>
      </c>
      <c r="E1523" s="15" t="str">
        <f>VLOOKUP(A1523, Currency!$A$2:$B$100, 2, FALSE)</f>
        <v>GBP</v>
      </c>
      <c r="F1523" s="15">
        <f ca="1">IFERROR(__xludf.DUMMYFUNCTION("IF(E1523=""USD"",B1523,B1523 * GOOGLEFINANCE(""CURRENCY:"" &amp; E1523 &amp; ""USD""))
"),77124000)</f>
        <v>77124000</v>
      </c>
      <c r="G1523" s="16">
        <f ca="1">IFERROR(__xludf.DUMMYFUNCTION("IF(E1523=""USD"",C1523,C1523 * GOOGLEFINANCE(""CURRENCY:"" &amp; E1523 &amp; ""USD""))
"),40709814.7073999)</f>
        <v>40709814.707399897</v>
      </c>
    </row>
    <row r="1524" spans="1:7" ht="15.75" customHeight="1" x14ac:dyDescent="0.25">
      <c r="A1524" s="11" t="s">
        <v>24</v>
      </c>
      <c r="B1524" s="12">
        <v>30000000</v>
      </c>
      <c r="C1524" s="12">
        <v>21800302</v>
      </c>
      <c r="D1524" s="12">
        <v>2004</v>
      </c>
      <c r="E1524" s="12" t="str">
        <f>VLOOKUP(A1524, Currency!$A$2:$B$100, 2, FALSE)</f>
        <v>USD</v>
      </c>
      <c r="F1524" s="12">
        <f ca="1">IFERROR(__xludf.DUMMYFUNCTION("IF(E1524=""USD"",B1524,B1524 * GOOGLEFINANCE(""CURRENCY:"" &amp; E1524 &amp; ""USD""))
"),30000000)</f>
        <v>30000000</v>
      </c>
      <c r="G1524" s="13">
        <f ca="1">IFERROR(__xludf.DUMMYFUNCTION("IF(E1524=""USD"",C1524,C1524 * GOOGLEFINANCE(""CURRENCY:"" &amp; E1524 &amp; ""USD""))
"),21800302)</f>
        <v>21800302</v>
      </c>
    </row>
    <row r="1525" spans="1:7" ht="15.75" customHeight="1" x14ac:dyDescent="0.25">
      <c r="A1525" s="14" t="s">
        <v>176</v>
      </c>
      <c r="B1525" s="15">
        <v>33000000</v>
      </c>
      <c r="C1525" s="15">
        <v>34014398</v>
      </c>
      <c r="D1525" s="15">
        <v>2006</v>
      </c>
      <c r="E1525" s="15" t="str">
        <f>VLOOKUP(A1525, Currency!$A$2:$B$100, 2, FALSE)</f>
        <v>EUR</v>
      </c>
      <c r="F1525" s="15">
        <f ca="1">IFERROR(__xludf.DUMMYFUNCTION("IF(E1525=""USD"",B1525,B1525 * GOOGLEFINANCE(""CURRENCY:"" &amp; E1525 &amp; ""USD""))
"),35796420)</f>
        <v>35796420</v>
      </c>
      <c r="G1525" s="16">
        <f ca="1">IFERROR(__xludf.DUMMYFUNCTION("IF(E1525=""USD"",C1525,C1525 * GOOGLEFINANCE(""CURRENCY:"" &amp; E1525 &amp; ""USD""))
"),36896778.08652)</f>
        <v>36896778.086520001</v>
      </c>
    </row>
    <row r="1526" spans="1:7" ht="15.75" customHeight="1" x14ac:dyDescent="0.25">
      <c r="A1526" s="11" t="s">
        <v>24</v>
      </c>
      <c r="B1526" s="12">
        <v>20000000</v>
      </c>
      <c r="C1526" s="12">
        <v>17804273</v>
      </c>
      <c r="D1526" s="12">
        <v>2000</v>
      </c>
      <c r="E1526" s="12" t="str">
        <f>VLOOKUP(A1526, Currency!$A$2:$B$100, 2, FALSE)</f>
        <v>USD</v>
      </c>
      <c r="F1526" s="12">
        <f ca="1">IFERROR(__xludf.DUMMYFUNCTION("IF(E1526=""USD"",B1526,B1526 * GOOGLEFINANCE(""CURRENCY:"" &amp; E1526 &amp; ""USD""))
"),20000000)</f>
        <v>20000000</v>
      </c>
      <c r="G1526" s="13">
        <f ca="1">IFERROR(__xludf.DUMMYFUNCTION("IF(E1526=""USD"",C1526,C1526 * GOOGLEFINANCE(""CURRENCY:"" &amp; E1526 &amp; ""USD""))
"),17804273)</f>
        <v>17804273</v>
      </c>
    </row>
    <row r="1527" spans="1:7" ht="15.75" customHeight="1" x14ac:dyDescent="0.25">
      <c r="A1527" s="14" t="s">
        <v>24</v>
      </c>
      <c r="B1527" s="15">
        <v>49000000</v>
      </c>
      <c r="C1527" s="15">
        <v>31569268</v>
      </c>
      <c r="D1527" s="15">
        <v>2015</v>
      </c>
      <c r="E1527" s="15" t="str">
        <f>VLOOKUP(A1527, Currency!$A$2:$B$100, 2, FALSE)</f>
        <v>USD</v>
      </c>
      <c r="F1527" s="15">
        <f ca="1">IFERROR(__xludf.DUMMYFUNCTION("IF(E1527=""USD"",B1527,B1527 * GOOGLEFINANCE(""CURRENCY:"" &amp; E1527 &amp; ""USD""))
"),49000000)</f>
        <v>49000000</v>
      </c>
      <c r="G1527" s="16">
        <f ca="1">IFERROR(__xludf.DUMMYFUNCTION("IF(E1527=""USD"",C1527,C1527 * GOOGLEFINANCE(""CURRENCY:"" &amp; E1527 &amp; ""USD""))
"),31569268)</f>
        <v>31569268</v>
      </c>
    </row>
    <row r="1528" spans="1:7" ht="15.75" customHeight="1" x14ac:dyDescent="0.25">
      <c r="A1528" s="11" t="s">
        <v>133</v>
      </c>
      <c r="B1528" s="12">
        <v>5000000</v>
      </c>
      <c r="C1528" s="12">
        <v>42365600</v>
      </c>
      <c r="D1528" s="12">
        <v>1981</v>
      </c>
      <c r="E1528" s="12" t="str">
        <f>VLOOKUP(A1528, Currency!$A$2:$B$100, 2, FALSE)</f>
        <v>GBP</v>
      </c>
      <c r="F1528" s="12">
        <f ca="1">IFERROR(__xludf.DUMMYFUNCTION("IF(E1528=""USD"",B1528,B1528 * GOOGLEFINANCE(""CURRENCY:"" &amp; E1528 &amp; ""USD""))
"),6426999.99999999)</f>
        <v>6426999.9999999898</v>
      </c>
      <c r="G1528" s="13">
        <f ca="1">IFERROR(__xludf.DUMMYFUNCTION("IF(E1528=""USD"",C1528,C1528 * GOOGLEFINANCE(""CURRENCY:"" &amp; E1528 &amp; ""USD""))
"),54456742.2399999)</f>
        <v>54456742.239999898</v>
      </c>
    </row>
    <row r="1529" spans="1:7" ht="15.75" customHeight="1" x14ac:dyDescent="0.25">
      <c r="A1529" s="14" t="s">
        <v>24</v>
      </c>
      <c r="B1529" s="15">
        <v>40000000</v>
      </c>
      <c r="C1529" s="15">
        <v>102310175</v>
      </c>
      <c r="D1529" s="15">
        <v>2016</v>
      </c>
      <c r="E1529" s="15" t="str">
        <f>VLOOKUP(A1529, Currency!$A$2:$B$100, 2, FALSE)</f>
        <v>USD</v>
      </c>
      <c r="F1529" s="15">
        <f ca="1">IFERROR(__xludf.DUMMYFUNCTION("IF(E1529=""USD"",B1529,B1529 * GOOGLEFINANCE(""CURRENCY:"" &amp; E1529 &amp; ""USD""))
"),40000000)</f>
        <v>40000000</v>
      </c>
      <c r="G1529" s="16">
        <f ca="1">IFERROR(__xludf.DUMMYFUNCTION("IF(E1529=""USD"",C1529,C1529 * GOOGLEFINANCE(""CURRENCY:"" &amp; E1529 &amp; ""USD""))
"),102310175)</f>
        <v>102310175</v>
      </c>
    </row>
    <row r="1530" spans="1:7" ht="15.75" customHeight="1" x14ac:dyDescent="0.25">
      <c r="A1530" s="11" t="s">
        <v>24</v>
      </c>
      <c r="B1530" s="12">
        <v>75000000</v>
      </c>
      <c r="C1530" s="12">
        <v>76081498</v>
      </c>
      <c r="D1530" s="12">
        <v>1997</v>
      </c>
      <c r="E1530" s="12" t="str">
        <f>VLOOKUP(A1530, Currency!$A$2:$B$100, 2, FALSE)</f>
        <v>USD</v>
      </c>
      <c r="F1530" s="12">
        <f ca="1">IFERROR(__xludf.DUMMYFUNCTION("IF(E1530=""USD"",B1530,B1530 * GOOGLEFINANCE(""CURRENCY:"" &amp; E1530 &amp; ""USD""))
"),75000000)</f>
        <v>75000000</v>
      </c>
      <c r="G1530" s="13">
        <f ca="1">IFERROR(__xludf.DUMMYFUNCTION("IF(E1530=""USD"",C1530,C1530 * GOOGLEFINANCE(""CURRENCY:"" &amp; E1530 &amp; ""USD""))
"),76081498)</f>
        <v>76081498</v>
      </c>
    </row>
    <row r="1531" spans="1:7" ht="15.75" customHeight="1" x14ac:dyDescent="0.25">
      <c r="A1531" s="14" t="s">
        <v>24</v>
      </c>
      <c r="B1531" s="15">
        <v>20000000</v>
      </c>
      <c r="C1531" s="15">
        <v>100292856</v>
      </c>
      <c r="D1531" s="15">
        <v>2011</v>
      </c>
      <c r="E1531" s="15" t="str">
        <f>VLOOKUP(A1531, Currency!$A$2:$B$100, 2, FALSE)</f>
        <v>USD</v>
      </c>
      <c r="F1531" s="15">
        <f ca="1">IFERROR(__xludf.DUMMYFUNCTION("IF(E1531=""USD"",B1531,B1531 * GOOGLEFINANCE(""CURRENCY:"" &amp; E1531 &amp; ""USD""))
"),20000000)</f>
        <v>20000000</v>
      </c>
      <c r="G1531" s="16">
        <f ca="1">IFERROR(__xludf.DUMMYFUNCTION("IF(E1531=""USD"",C1531,C1531 * GOOGLEFINANCE(""CURRENCY:"" &amp; E1531 &amp; ""USD""))
"),100292856)</f>
        <v>100292856</v>
      </c>
    </row>
    <row r="1532" spans="1:7" ht="15.75" customHeight="1" x14ac:dyDescent="0.25">
      <c r="A1532" s="11" t="s">
        <v>24</v>
      </c>
      <c r="B1532" s="12">
        <v>80000000</v>
      </c>
      <c r="C1532" s="12">
        <v>116643346</v>
      </c>
      <c r="D1532" s="12">
        <v>2003</v>
      </c>
      <c r="E1532" s="12" t="str">
        <f>VLOOKUP(A1532, Currency!$A$2:$B$100, 2, FALSE)</f>
        <v>USD</v>
      </c>
      <c r="F1532" s="12">
        <f ca="1">IFERROR(__xludf.DUMMYFUNCTION("IF(E1532=""USD"",B1532,B1532 * GOOGLEFINANCE(""CURRENCY:"" &amp; E1532 &amp; ""USD""))
"),80000000)</f>
        <v>80000000</v>
      </c>
      <c r="G1532" s="13">
        <f ca="1">IFERROR(__xludf.DUMMYFUNCTION("IF(E1532=""USD"",C1532,C1532 * GOOGLEFINANCE(""CURRENCY:"" &amp; E1532 &amp; ""USD""))
"),116643346)</f>
        <v>116643346</v>
      </c>
    </row>
    <row r="1533" spans="1:7" ht="15.75" customHeight="1" x14ac:dyDescent="0.25">
      <c r="A1533" s="14" t="s">
        <v>24</v>
      </c>
      <c r="B1533" s="15">
        <v>42000000</v>
      </c>
      <c r="C1533" s="15">
        <v>45290318</v>
      </c>
      <c r="D1533" s="15">
        <v>2012</v>
      </c>
      <c r="E1533" s="15" t="str">
        <f>VLOOKUP(A1533, Currency!$A$2:$B$100, 2, FALSE)</f>
        <v>USD</v>
      </c>
      <c r="F1533" s="15">
        <f ca="1">IFERROR(__xludf.DUMMYFUNCTION("IF(E1533=""USD"",B1533,B1533 * GOOGLEFINANCE(""CURRENCY:"" &amp; E1533 &amp; ""USD""))
"),42000000)</f>
        <v>42000000</v>
      </c>
      <c r="G1533" s="16">
        <f ca="1">IFERROR(__xludf.DUMMYFUNCTION("IF(E1533=""USD"",C1533,C1533 * GOOGLEFINANCE(""CURRENCY:"" &amp; E1533 &amp; ""USD""))
"),45290318)</f>
        <v>45290318</v>
      </c>
    </row>
    <row r="1534" spans="1:7" ht="15.75" customHeight="1" x14ac:dyDescent="0.25">
      <c r="A1534" s="11" t="s">
        <v>24</v>
      </c>
      <c r="B1534" s="12">
        <v>38000000</v>
      </c>
      <c r="C1534" s="12">
        <v>40137776</v>
      </c>
      <c r="D1534" s="12">
        <v>2006</v>
      </c>
      <c r="E1534" s="12" t="str">
        <f>VLOOKUP(A1534, Currency!$A$2:$B$100, 2, FALSE)</f>
        <v>USD</v>
      </c>
      <c r="F1534" s="12">
        <f ca="1">IFERROR(__xludf.DUMMYFUNCTION("IF(E1534=""USD"",B1534,B1534 * GOOGLEFINANCE(""CURRENCY:"" &amp; E1534 &amp; ""USD""))
"),38000000)</f>
        <v>38000000</v>
      </c>
      <c r="G1534" s="13">
        <f ca="1">IFERROR(__xludf.DUMMYFUNCTION("IF(E1534=""USD"",C1534,C1534 * GOOGLEFINANCE(""CURRENCY:"" &amp; E1534 &amp; ""USD""))
"),40137776)</f>
        <v>40137776</v>
      </c>
    </row>
    <row r="1535" spans="1:7" ht="15.75" customHeight="1" x14ac:dyDescent="0.25">
      <c r="A1535" s="14" t="s">
        <v>24</v>
      </c>
      <c r="B1535" s="15">
        <v>100000000</v>
      </c>
      <c r="C1535" s="15">
        <v>65452312</v>
      </c>
      <c r="D1535" s="15">
        <v>2009</v>
      </c>
      <c r="E1535" s="15" t="str">
        <f>VLOOKUP(A1535, Currency!$A$2:$B$100, 2, FALSE)</f>
        <v>USD</v>
      </c>
      <c r="F1535" s="15">
        <f ca="1">IFERROR(__xludf.DUMMYFUNCTION("IF(E1535=""USD"",B1535,B1535 * GOOGLEFINANCE(""CURRENCY:"" &amp; E1535 &amp; ""USD""))
"),100000000)</f>
        <v>100000000</v>
      </c>
      <c r="G1535" s="16">
        <f ca="1">IFERROR(__xludf.DUMMYFUNCTION("IF(E1535=""USD"",C1535,C1535 * GOOGLEFINANCE(""CURRENCY:"" &amp; E1535 &amp; ""USD""))
"),65452312)</f>
        <v>65452312</v>
      </c>
    </row>
    <row r="1536" spans="1:7" ht="15.75" customHeight="1" x14ac:dyDescent="0.25">
      <c r="A1536" s="11" t="s">
        <v>24</v>
      </c>
      <c r="B1536" s="12">
        <v>250000</v>
      </c>
      <c r="C1536" s="12">
        <v>3799339</v>
      </c>
      <c r="D1536" s="12">
        <v>2002</v>
      </c>
      <c r="E1536" s="12" t="str">
        <f>VLOOKUP(A1536, Currency!$A$2:$B$100, 2, FALSE)</f>
        <v>USD</v>
      </c>
      <c r="F1536" s="12">
        <f ca="1">IFERROR(__xludf.DUMMYFUNCTION("IF(E1536=""USD"",B1536,B1536 * GOOGLEFINANCE(""CURRENCY:"" &amp; E1536 &amp; ""USD""))
"),250000)</f>
        <v>250000</v>
      </c>
      <c r="G1536" s="13">
        <f ca="1">IFERROR(__xludf.DUMMYFUNCTION("IF(E1536=""USD"",C1536,C1536 * GOOGLEFINANCE(""CURRENCY:"" &amp; E1536 &amp; ""USD""))
"),3799339)</f>
        <v>3799339</v>
      </c>
    </row>
    <row r="1537" spans="1:7" ht="15.75" customHeight="1" x14ac:dyDescent="0.25">
      <c r="A1537" s="14" t="s">
        <v>24</v>
      </c>
      <c r="B1537" s="15">
        <v>13000000</v>
      </c>
      <c r="C1537" s="15">
        <v>26539321</v>
      </c>
      <c r="D1537" s="15">
        <v>1996</v>
      </c>
      <c r="E1537" s="15" t="str">
        <f>VLOOKUP(A1537, Currency!$A$2:$B$100, 2, FALSE)</f>
        <v>USD</v>
      </c>
      <c r="F1537" s="15">
        <f ca="1">IFERROR(__xludf.DUMMYFUNCTION("IF(E1537=""USD"",B1537,B1537 * GOOGLEFINANCE(""CURRENCY:"" &amp; E1537 &amp; ""USD""))
"),13000000)</f>
        <v>13000000</v>
      </c>
      <c r="G1537" s="16">
        <f ca="1">IFERROR(__xludf.DUMMYFUNCTION("IF(E1537=""USD"",C1537,C1537 * GOOGLEFINANCE(""CURRENCY:"" &amp; E1537 &amp; ""USD""))
"),26539321)</f>
        <v>26539321</v>
      </c>
    </row>
    <row r="1538" spans="1:7" ht="15.75" customHeight="1" x14ac:dyDescent="0.25">
      <c r="A1538" s="11" t="s">
        <v>24</v>
      </c>
      <c r="B1538" s="12">
        <v>60000</v>
      </c>
      <c r="C1538" s="12">
        <v>40557</v>
      </c>
      <c r="D1538" s="12">
        <v>2011</v>
      </c>
      <c r="E1538" s="12" t="str">
        <f>VLOOKUP(A1538, Currency!$A$2:$B$100, 2, FALSE)</f>
        <v>USD</v>
      </c>
      <c r="F1538" s="12">
        <f ca="1">IFERROR(__xludf.DUMMYFUNCTION("IF(E1538=""USD"",B1538,B1538 * GOOGLEFINANCE(""CURRENCY:"" &amp; E1538 &amp; ""USD""))
"),60000)</f>
        <v>60000</v>
      </c>
      <c r="G1538" s="13">
        <f ca="1">IFERROR(__xludf.DUMMYFUNCTION("IF(E1538=""USD"",C1538,C1538 * GOOGLEFINANCE(""CURRENCY:"" &amp; E1538 &amp; ""USD""))
"),40557)</f>
        <v>40557</v>
      </c>
    </row>
    <row r="1539" spans="1:7" ht="15.75" customHeight="1" x14ac:dyDescent="0.25">
      <c r="A1539" s="14" t="s">
        <v>176</v>
      </c>
      <c r="B1539" s="15">
        <v>20000000</v>
      </c>
      <c r="C1539" s="15">
        <v>9109322</v>
      </c>
      <c r="D1539" s="15">
        <v>2004</v>
      </c>
      <c r="E1539" s="15" t="str">
        <f>VLOOKUP(A1539, Currency!$A$2:$B$100, 2, FALSE)</f>
        <v>EUR</v>
      </c>
      <c r="F1539" s="15">
        <f ca="1">IFERROR(__xludf.DUMMYFUNCTION("IF(E1539=""USD"",B1539,B1539 * GOOGLEFINANCE(""CURRENCY:"" &amp; E1539 &amp; ""USD""))
"),21694800)</f>
        <v>21694800</v>
      </c>
      <c r="G1539" s="16">
        <f ca="1">IFERROR(__xludf.DUMMYFUNCTION("IF(E1539=""USD"",C1539,C1539 * GOOGLEFINANCE(""CURRENCY:"" &amp; E1539 &amp; ""USD""))
"),9881245.94628)</f>
        <v>9881245.9462800007</v>
      </c>
    </row>
    <row r="1540" spans="1:7" ht="15.75" customHeight="1" x14ac:dyDescent="0.25">
      <c r="A1540" s="11" t="s">
        <v>24</v>
      </c>
      <c r="B1540" s="12">
        <v>57000000</v>
      </c>
      <c r="C1540" s="12">
        <v>60984028</v>
      </c>
      <c r="D1540" s="12">
        <v>1997</v>
      </c>
      <c r="E1540" s="12" t="str">
        <f>VLOOKUP(A1540, Currency!$A$2:$B$100, 2, FALSE)</f>
        <v>USD</v>
      </c>
      <c r="F1540" s="12">
        <f ca="1">IFERROR(__xludf.DUMMYFUNCTION("IF(E1540=""USD"",B1540,B1540 * GOOGLEFINANCE(""CURRENCY:"" &amp; E1540 &amp; ""USD""))
"),57000000)</f>
        <v>57000000</v>
      </c>
      <c r="G1540" s="13">
        <f ca="1">IFERROR(__xludf.DUMMYFUNCTION("IF(E1540=""USD"",C1540,C1540 * GOOGLEFINANCE(""CURRENCY:"" &amp; E1540 &amp; ""USD""))
"),60984028)</f>
        <v>60984028</v>
      </c>
    </row>
    <row r="1541" spans="1:7" ht="15.75" customHeight="1" x14ac:dyDescent="0.25">
      <c r="A1541" s="14" t="s">
        <v>133</v>
      </c>
      <c r="B1541" s="15">
        <v>6000000</v>
      </c>
      <c r="C1541" s="15">
        <v>17605861</v>
      </c>
      <c r="D1541" s="15">
        <v>2006</v>
      </c>
      <c r="E1541" s="15" t="str">
        <f>VLOOKUP(A1541, Currency!$A$2:$B$100, 2, FALSE)</f>
        <v>GBP</v>
      </c>
      <c r="F1541" s="15">
        <f ca="1">IFERROR(__xludf.DUMMYFUNCTION("IF(E1541=""USD"",B1541,B1541 * GOOGLEFINANCE(""CURRENCY:"" &amp; E1541 &amp; ""USD""))
"),7712399.99999999)</f>
        <v>7712399.9999999898</v>
      </c>
      <c r="G1541" s="16">
        <f ca="1">IFERROR(__xludf.DUMMYFUNCTION("IF(E1541=""USD"",C1541,C1541 * GOOGLEFINANCE(""CURRENCY:"" &amp; E1541 &amp; ""USD""))
"),22630573.7293999)</f>
        <v>22630573.729399901</v>
      </c>
    </row>
    <row r="1542" spans="1:7" ht="15.75" customHeight="1" x14ac:dyDescent="0.25">
      <c r="A1542" s="11" t="s">
        <v>24</v>
      </c>
      <c r="B1542" s="12">
        <v>40000000</v>
      </c>
      <c r="C1542" s="12">
        <v>42575718</v>
      </c>
      <c r="D1542" s="12">
        <v>2011</v>
      </c>
      <c r="E1542" s="12" t="str">
        <f>VLOOKUP(A1542, Currency!$A$2:$B$100, 2, FALSE)</f>
        <v>USD</v>
      </c>
      <c r="F1542" s="12">
        <f ca="1">IFERROR(__xludf.DUMMYFUNCTION("IF(E1542=""USD"",B1542,B1542 * GOOGLEFINANCE(""CURRENCY:"" &amp; E1542 &amp; ""USD""))
"),40000000)</f>
        <v>40000000</v>
      </c>
      <c r="G1542" s="13">
        <f ca="1">IFERROR(__xludf.DUMMYFUNCTION("IF(E1542=""USD"",C1542,C1542 * GOOGLEFINANCE(""CURRENCY:"" &amp; E1542 &amp; ""USD""))
"),42575718)</f>
        <v>42575718</v>
      </c>
    </row>
    <row r="1543" spans="1:7" ht="15.75" customHeight="1" x14ac:dyDescent="0.25">
      <c r="A1543" s="14" t="s">
        <v>24</v>
      </c>
      <c r="B1543" s="15">
        <v>29000000</v>
      </c>
      <c r="C1543" s="15">
        <v>6301131</v>
      </c>
      <c r="D1543" s="15">
        <v>2005</v>
      </c>
      <c r="E1543" s="15" t="str">
        <f>VLOOKUP(A1543, Currency!$A$2:$B$100, 2, FALSE)</f>
        <v>USD</v>
      </c>
      <c r="F1543" s="15">
        <f ca="1">IFERROR(__xludf.DUMMYFUNCTION("IF(E1543=""USD"",B1543,B1543 * GOOGLEFINANCE(""CURRENCY:"" &amp; E1543 &amp; ""USD""))
"),29000000)</f>
        <v>29000000</v>
      </c>
      <c r="G1543" s="16">
        <f ca="1">IFERROR(__xludf.DUMMYFUNCTION("IF(E1543=""USD"",C1543,C1543 * GOOGLEFINANCE(""CURRENCY:"" &amp; E1543 &amp; ""USD""))
"),6301131)</f>
        <v>6301131</v>
      </c>
    </row>
    <row r="1544" spans="1:7" ht="15.75" customHeight="1" x14ac:dyDescent="0.25">
      <c r="A1544" s="11" t="s">
        <v>24</v>
      </c>
      <c r="B1544" s="12">
        <v>53000000</v>
      </c>
      <c r="C1544" s="12">
        <v>62563543</v>
      </c>
      <c r="D1544" s="12">
        <v>2015</v>
      </c>
      <c r="E1544" s="12" t="str">
        <f>VLOOKUP(A1544, Currency!$A$2:$B$100, 2, FALSE)</f>
        <v>USD</v>
      </c>
      <c r="F1544" s="12">
        <f ca="1">IFERROR(__xludf.DUMMYFUNCTION("IF(E1544=""USD"",B1544,B1544 * GOOGLEFINANCE(""CURRENCY:"" &amp; E1544 &amp; ""USD""))
"),53000000)</f>
        <v>53000000</v>
      </c>
      <c r="G1544" s="13">
        <f ca="1">IFERROR(__xludf.DUMMYFUNCTION("IF(E1544=""USD"",C1544,C1544 * GOOGLEFINANCE(""CURRENCY:"" &amp; E1544 &amp; ""USD""))
"),62563543)</f>
        <v>62563543</v>
      </c>
    </row>
    <row r="1545" spans="1:7" ht="15.75" customHeight="1" x14ac:dyDescent="0.25">
      <c r="A1545" s="14" t="s">
        <v>24</v>
      </c>
      <c r="B1545" s="15">
        <v>10000000</v>
      </c>
      <c r="C1545" s="15">
        <v>6842058</v>
      </c>
      <c r="D1545" s="15">
        <v>2012</v>
      </c>
      <c r="E1545" s="15" t="str">
        <f>VLOOKUP(A1545, Currency!$A$2:$B$100, 2, FALSE)</f>
        <v>USD</v>
      </c>
      <c r="F1545" s="15">
        <f ca="1">IFERROR(__xludf.DUMMYFUNCTION("IF(E1545=""USD"",B1545,B1545 * GOOGLEFINANCE(""CURRENCY:"" &amp; E1545 &amp; ""USD""))
"),10000000)</f>
        <v>10000000</v>
      </c>
      <c r="G1545" s="16">
        <f ca="1">IFERROR(__xludf.DUMMYFUNCTION("IF(E1545=""USD"",C1545,C1545 * GOOGLEFINANCE(""CURRENCY:"" &amp; E1545 &amp; ""USD""))
"),6842058)</f>
        <v>6842058</v>
      </c>
    </row>
    <row r="1546" spans="1:7" ht="15.75" customHeight="1" x14ac:dyDescent="0.25">
      <c r="A1546" s="11" t="s">
        <v>1551</v>
      </c>
      <c r="B1546" s="12">
        <v>34000000</v>
      </c>
      <c r="C1546" s="12">
        <v>15081783</v>
      </c>
      <c r="D1546" s="12">
        <v>2008</v>
      </c>
      <c r="E1546" s="12" t="str">
        <f>VLOOKUP(A1546, Currency!$A$2:$B$100, 2, FALSE)</f>
        <v>JPY</v>
      </c>
      <c r="F1546" s="12">
        <f ca="1">IFERROR(__xludf.DUMMYFUNCTION("IF(E1546=""USD"",B1546,B1546 * GOOGLEFINANCE(""CURRENCY:"" &amp; E1546 &amp; ""USD""))
"),220884.4)</f>
        <v>220884.4</v>
      </c>
      <c r="G1546" s="13">
        <f ca="1">IFERROR(__xludf.DUMMYFUNCTION("IF(E1546=""USD"",C1546,C1546 * GOOGLEFINANCE(""CURRENCY:"" &amp; E1546 &amp; ""USD""))
"),97980.3114378)</f>
        <v>97980.311437800003</v>
      </c>
    </row>
    <row r="1547" spans="1:7" ht="15.75" customHeight="1" x14ac:dyDescent="0.25">
      <c r="A1547" s="14" t="s">
        <v>24</v>
      </c>
      <c r="B1547" s="15">
        <v>10000000</v>
      </c>
      <c r="C1547" s="15">
        <v>10200000</v>
      </c>
      <c r="D1547" s="15">
        <v>1997</v>
      </c>
      <c r="E1547" s="15" t="str">
        <f>VLOOKUP(A1547, Currency!$A$2:$B$100, 2, FALSE)</f>
        <v>USD</v>
      </c>
      <c r="F1547" s="15">
        <f ca="1">IFERROR(__xludf.DUMMYFUNCTION("IF(E1547=""USD"",B1547,B1547 * GOOGLEFINANCE(""CURRENCY:"" &amp; E1547 &amp; ""USD""))
"),10000000)</f>
        <v>10000000</v>
      </c>
      <c r="G1547" s="16">
        <f ca="1">IFERROR(__xludf.DUMMYFUNCTION("IF(E1547=""USD"",C1547,C1547 * GOOGLEFINANCE(""CURRENCY:"" &amp; E1547 &amp; ""USD""))
"),10200000)</f>
        <v>10200000</v>
      </c>
    </row>
    <row r="1548" spans="1:7" ht="15.75" customHeight="1" x14ac:dyDescent="0.25">
      <c r="A1548" s="11" t="s">
        <v>4041</v>
      </c>
      <c r="B1548" s="12">
        <v>4800000</v>
      </c>
      <c r="C1548" s="12">
        <v>778565</v>
      </c>
      <c r="D1548" s="12">
        <v>2013</v>
      </c>
      <c r="E1548" s="12" t="str">
        <f>VLOOKUP(A1548, Currency!$A$2:$B$100, 2, FALSE)</f>
        <v>DKK</v>
      </c>
      <c r="F1548" s="12">
        <f ca="1">IFERROR(__xludf.DUMMYFUNCTION("IF(E1548=""USD"",B1548,B1548 * GOOGLEFINANCE(""CURRENCY:"" &amp; E1548 &amp; ""USD""))
"),697643.999999999)</f>
        <v>697643.99999999895</v>
      </c>
      <c r="G1548" s="13">
        <f ca="1">IFERROR(__xludf.DUMMYFUNCTION("IF(E1548=""USD"",C1548,C1548 * GOOGLEFINANCE(""CURRENCY:"" &amp; E1548 &amp; ""USD""))
"),113158.583512499)</f>
        <v>113158.583512499</v>
      </c>
    </row>
    <row r="1549" spans="1:7" ht="15.75" customHeight="1" x14ac:dyDescent="0.25">
      <c r="A1549" s="14" t="s">
        <v>24</v>
      </c>
      <c r="B1549" s="15">
        <v>30000000</v>
      </c>
      <c r="C1549" s="15">
        <v>64172251</v>
      </c>
      <c r="D1549" s="15">
        <v>2001</v>
      </c>
      <c r="E1549" s="15" t="str">
        <f>VLOOKUP(A1549, Currency!$A$2:$B$100, 2, FALSE)</f>
        <v>USD</v>
      </c>
      <c r="F1549" s="15">
        <f ca="1">IFERROR(__xludf.DUMMYFUNCTION("IF(E1549=""USD"",B1549,B1549 * GOOGLEFINANCE(""CURRENCY:"" &amp; E1549 &amp; ""USD""))
"),30000000)</f>
        <v>30000000</v>
      </c>
      <c r="G1549" s="16">
        <f ca="1">IFERROR(__xludf.DUMMYFUNCTION("IF(E1549=""USD"",C1549,C1549 * GOOGLEFINANCE(""CURRENCY:"" &amp; E1549 &amp; ""USD""))
"),64172251)</f>
        <v>64172251</v>
      </c>
    </row>
    <row r="1550" spans="1:7" ht="15.75" customHeight="1" x14ac:dyDescent="0.25">
      <c r="A1550" s="11" t="s">
        <v>24</v>
      </c>
      <c r="B1550" s="12">
        <v>25000000</v>
      </c>
      <c r="C1550" s="12">
        <v>13651662</v>
      </c>
      <c r="D1550" s="12">
        <v>2011</v>
      </c>
      <c r="E1550" s="12" t="str">
        <f>VLOOKUP(A1550, Currency!$A$2:$B$100, 2, FALSE)</f>
        <v>USD</v>
      </c>
      <c r="F1550" s="12">
        <f ca="1">IFERROR(__xludf.DUMMYFUNCTION("IF(E1550=""USD"",B1550,B1550 * GOOGLEFINANCE(""CURRENCY:"" &amp; E1550 &amp; ""USD""))
"),25000000)</f>
        <v>25000000</v>
      </c>
      <c r="G1550" s="13">
        <f ca="1">IFERROR(__xludf.DUMMYFUNCTION("IF(E1550=""USD"",C1550,C1550 * GOOGLEFINANCE(""CURRENCY:"" &amp; E1550 &amp; ""USD""))
"),13651662)</f>
        <v>13651662</v>
      </c>
    </row>
    <row r="1551" spans="1:7" ht="15.75" customHeight="1" x14ac:dyDescent="0.25">
      <c r="A1551" s="14" t="s">
        <v>24</v>
      </c>
      <c r="B1551" s="15">
        <v>15000000</v>
      </c>
      <c r="C1551" s="15">
        <v>37877959</v>
      </c>
      <c r="D1551" s="15">
        <v>2014</v>
      </c>
      <c r="E1551" s="15" t="str">
        <f>VLOOKUP(A1551, Currency!$A$2:$B$100, 2, FALSE)</f>
        <v>USD</v>
      </c>
      <c r="F1551" s="15">
        <f ca="1">IFERROR(__xludf.DUMMYFUNCTION("IF(E1551=""USD"",B1551,B1551 * GOOGLEFINANCE(""CURRENCY:"" &amp; E1551 &amp; ""USD""))
"),15000000)</f>
        <v>15000000</v>
      </c>
      <c r="G1551" s="16">
        <f ca="1">IFERROR(__xludf.DUMMYFUNCTION("IF(E1551=""USD"",C1551,C1551 * GOOGLEFINANCE(""CURRENCY:"" &amp; E1551 &amp; ""USD""))
"),37877959)</f>
        <v>37877959</v>
      </c>
    </row>
    <row r="1552" spans="1:7" ht="15.75" customHeight="1" x14ac:dyDescent="0.25">
      <c r="A1552" s="11" t="s">
        <v>24</v>
      </c>
      <c r="B1552" s="12">
        <v>6000000</v>
      </c>
      <c r="C1552" s="12">
        <v>54800000</v>
      </c>
      <c r="D1552" s="12">
        <v>1980</v>
      </c>
      <c r="E1552" s="12" t="str">
        <f>VLOOKUP(A1552, Currency!$A$2:$B$100, 2, FALSE)</f>
        <v>USD</v>
      </c>
      <c r="F1552" s="12">
        <f ca="1">IFERROR(__xludf.DUMMYFUNCTION("IF(E1552=""USD"",B1552,B1552 * GOOGLEFINANCE(""CURRENCY:"" &amp; E1552 &amp; ""USD""))
"),6000000)</f>
        <v>6000000</v>
      </c>
      <c r="G1552" s="13">
        <f ca="1">IFERROR(__xludf.DUMMYFUNCTION("IF(E1552=""USD"",C1552,C1552 * GOOGLEFINANCE(""CURRENCY:"" &amp; E1552 &amp; ""USD""))
"),54800000)</f>
        <v>54800000</v>
      </c>
    </row>
    <row r="1553" spans="1:7" ht="15.75" customHeight="1" x14ac:dyDescent="0.25">
      <c r="A1553" s="14" t="s">
        <v>24</v>
      </c>
      <c r="B1553" s="15">
        <v>33000000</v>
      </c>
      <c r="C1553" s="15">
        <v>33682273</v>
      </c>
      <c r="D1553" s="15">
        <v>2004</v>
      </c>
      <c r="E1553" s="15" t="str">
        <f>VLOOKUP(A1553, Currency!$A$2:$B$100, 2, FALSE)</f>
        <v>USD</v>
      </c>
      <c r="F1553" s="15">
        <f ca="1">IFERROR(__xludf.DUMMYFUNCTION("IF(E1553=""USD"",B1553,B1553 * GOOGLEFINANCE(""CURRENCY:"" &amp; E1553 &amp; ""USD""))
"),33000000)</f>
        <v>33000000</v>
      </c>
      <c r="G1553" s="16">
        <f ca="1">IFERROR(__xludf.DUMMYFUNCTION("IF(E1553=""USD"",C1553,C1553 * GOOGLEFINANCE(""CURRENCY:"" &amp; E1553 &amp; ""USD""))
"),33682273)</f>
        <v>33682273</v>
      </c>
    </row>
    <row r="1554" spans="1:7" ht="15.75" customHeight="1" x14ac:dyDescent="0.25">
      <c r="A1554" s="11" t="s">
        <v>24</v>
      </c>
      <c r="B1554" s="12">
        <v>15000000</v>
      </c>
      <c r="C1554" s="12">
        <v>28014536</v>
      </c>
      <c r="D1554" s="12">
        <v>1997</v>
      </c>
      <c r="E1554" s="12" t="str">
        <f>VLOOKUP(A1554, Currency!$A$2:$B$100, 2, FALSE)</f>
        <v>USD</v>
      </c>
      <c r="F1554" s="12">
        <f ca="1">IFERROR(__xludf.DUMMYFUNCTION("IF(E1554=""USD"",B1554,B1554 * GOOGLEFINANCE(""CURRENCY:"" &amp; E1554 &amp; ""USD""))
"),15000000)</f>
        <v>15000000</v>
      </c>
      <c r="G1554" s="13">
        <f ca="1">IFERROR(__xludf.DUMMYFUNCTION("IF(E1554=""USD"",C1554,C1554 * GOOGLEFINANCE(""CURRENCY:"" &amp; E1554 &amp; ""USD""))
"),28014536)</f>
        <v>28014536</v>
      </c>
    </row>
    <row r="1555" spans="1:7" ht="15.75" customHeight="1" x14ac:dyDescent="0.25">
      <c r="A1555" s="14" t="s">
        <v>24</v>
      </c>
      <c r="B1555" s="15">
        <v>3500000</v>
      </c>
      <c r="C1555" s="15">
        <v>27900000</v>
      </c>
      <c r="D1555" s="15">
        <v>1993</v>
      </c>
      <c r="E1555" s="15" t="str">
        <f>VLOOKUP(A1555, Currency!$A$2:$B$100, 2, FALSE)</f>
        <v>USD</v>
      </c>
      <c r="F1555" s="15">
        <f ca="1">IFERROR(__xludf.DUMMYFUNCTION("IF(E1555=""USD"",B1555,B1555 * GOOGLEFINANCE(""CURRENCY:"" &amp; E1555 &amp; ""USD""))
"),3500000)</f>
        <v>3500000</v>
      </c>
      <c r="G1555" s="16">
        <f ca="1">IFERROR(__xludf.DUMMYFUNCTION("IF(E1555=""USD"",C1555,C1555 * GOOGLEFINANCE(""CURRENCY:"" &amp; E1555 &amp; ""USD""))
"),27900000)</f>
        <v>27900000</v>
      </c>
    </row>
    <row r="1556" spans="1:7" ht="15.75" customHeight="1" x14ac:dyDescent="0.25">
      <c r="A1556" s="11" t="s">
        <v>24</v>
      </c>
      <c r="B1556" s="12">
        <v>40000000</v>
      </c>
      <c r="C1556" s="12">
        <v>15279680</v>
      </c>
      <c r="D1556" s="12">
        <v>2008</v>
      </c>
      <c r="E1556" s="12" t="str">
        <f>VLOOKUP(A1556, Currency!$A$2:$B$100, 2, FALSE)</f>
        <v>USD</v>
      </c>
      <c r="F1556" s="12">
        <f ca="1">IFERROR(__xludf.DUMMYFUNCTION("IF(E1556=""USD"",B1556,B1556 * GOOGLEFINANCE(""CURRENCY:"" &amp; E1556 &amp; ""USD""))
"),40000000)</f>
        <v>40000000</v>
      </c>
      <c r="G1556" s="13">
        <f ca="1">IFERROR(__xludf.DUMMYFUNCTION("IF(E1556=""USD"",C1556,C1556 * GOOGLEFINANCE(""CURRENCY:"" &amp; E1556 &amp; ""USD""))
"),15279680)</f>
        <v>15279680</v>
      </c>
    </row>
    <row r="1557" spans="1:7" ht="15.75" customHeight="1" x14ac:dyDescent="0.25">
      <c r="A1557" s="14" t="s">
        <v>2236</v>
      </c>
      <c r="B1557" s="15">
        <v>1500000</v>
      </c>
      <c r="C1557" s="15">
        <v>1221261</v>
      </c>
      <c r="D1557" s="15">
        <v>2000</v>
      </c>
      <c r="E1557" s="15" t="str">
        <f>VLOOKUP(A1557, Currency!$A$2:$B$100, 2, FALSE)</f>
        <v>ARS</v>
      </c>
      <c r="F1557" s="15">
        <f ca="1">IFERROR(__xludf.DUMMYFUNCTION("IF(E1557=""USD"",B1557,B1557 * GOOGLEFINANCE(""CURRENCY:"" &amp; E1557 &amp; ""USD""))
"),1613.7855)</f>
        <v>1613.7855</v>
      </c>
      <c r="G1557" s="16">
        <f ca="1">IFERROR(__xludf.DUMMYFUNCTION("IF(E1557=""USD"",C1557,C1557 * GOOGLEFINANCE(""CURRENCY:"" &amp; E1557 &amp; ""USD""))
"),1313.902195677)</f>
        <v>1313.902195677</v>
      </c>
    </row>
    <row r="1558" spans="1:7" ht="15.75" customHeight="1" x14ac:dyDescent="0.25">
      <c r="A1558" s="11" t="s">
        <v>24</v>
      </c>
      <c r="B1558" s="12">
        <v>30000000</v>
      </c>
      <c r="C1558" s="12">
        <v>145096820</v>
      </c>
      <c r="D1558" s="12">
        <v>2001</v>
      </c>
      <c r="E1558" s="12" t="str">
        <f>VLOOKUP(A1558, Currency!$A$2:$B$100, 2, FALSE)</f>
        <v>USD</v>
      </c>
      <c r="F1558" s="12">
        <f ca="1">IFERROR(__xludf.DUMMYFUNCTION("IF(E1558=""USD"",B1558,B1558 * GOOGLEFINANCE(""CURRENCY:"" &amp; E1558 &amp; ""USD""))
"),30000000)</f>
        <v>30000000</v>
      </c>
      <c r="G1558" s="13">
        <f ca="1">IFERROR(__xludf.DUMMYFUNCTION("IF(E1558=""USD"",C1558,C1558 * GOOGLEFINANCE(""CURRENCY:"" &amp; E1558 &amp; ""USD""))
"),145096820)</f>
        <v>145096820</v>
      </c>
    </row>
    <row r="1559" spans="1:7" ht="15.75" customHeight="1" x14ac:dyDescent="0.25">
      <c r="A1559" s="14" t="s">
        <v>1111</v>
      </c>
      <c r="B1559" s="15">
        <v>70000000</v>
      </c>
      <c r="C1559" s="15">
        <v>617840</v>
      </c>
      <c r="D1559" s="15">
        <v>2009</v>
      </c>
      <c r="E1559" s="15" t="str">
        <f>VLOOKUP(A1559, Currency!$A$2:$B$100, 2, FALSE)</f>
        <v>EUR</v>
      </c>
      <c r="F1559" s="15">
        <f ca="1">IFERROR(__xludf.DUMMYFUNCTION("IF(E1559=""USD"",B1559,B1559 * GOOGLEFINANCE(""CURRENCY:"" &amp; E1559 &amp; ""USD""))
"),75931800)</f>
        <v>75931800</v>
      </c>
      <c r="G1559" s="16">
        <f ca="1">IFERROR(__xludf.DUMMYFUNCTION("IF(E1559=""USD"",C1559,C1559 * GOOGLEFINANCE(""CURRENCY:"" &amp; E1559 &amp; ""USD""))
"),670195.7616)</f>
        <v>670195.76159999997</v>
      </c>
    </row>
    <row r="1560" spans="1:7" ht="15.75" customHeight="1" x14ac:dyDescent="0.25">
      <c r="A1560" s="11" t="s">
        <v>24</v>
      </c>
      <c r="B1560" s="12">
        <v>12000000</v>
      </c>
      <c r="C1560" s="12">
        <v>7001720</v>
      </c>
      <c r="D1560" s="12">
        <v>2008</v>
      </c>
      <c r="E1560" s="12" t="str">
        <f>VLOOKUP(A1560, Currency!$A$2:$B$100, 2, FALSE)</f>
        <v>USD</v>
      </c>
      <c r="F1560" s="12">
        <f ca="1">IFERROR(__xludf.DUMMYFUNCTION("IF(E1560=""USD"",B1560,B1560 * GOOGLEFINANCE(""CURRENCY:"" &amp; E1560 &amp; ""USD""))
"),12000000)</f>
        <v>12000000</v>
      </c>
      <c r="G1560" s="13">
        <f ca="1">IFERROR(__xludf.DUMMYFUNCTION("IF(E1560=""USD"",C1560,C1560 * GOOGLEFINANCE(""CURRENCY:"" &amp; E1560 &amp; ""USD""))
"),7001720)</f>
        <v>7001720</v>
      </c>
    </row>
    <row r="1561" spans="1:7" ht="15.75" customHeight="1" x14ac:dyDescent="0.25">
      <c r="A1561" s="14" t="s">
        <v>24</v>
      </c>
      <c r="B1561" s="15">
        <v>2200000</v>
      </c>
      <c r="C1561" s="15">
        <v>30000000</v>
      </c>
      <c r="D1561" s="15">
        <v>1985</v>
      </c>
      <c r="E1561" s="15" t="str">
        <f>VLOOKUP(A1561, Currency!$A$2:$B$100, 2, FALSE)</f>
        <v>USD</v>
      </c>
      <c r="F1561" s="15">
        <f ca="1">IFERROR(__xludf.DUMMYFUNCTION("IF(E1561=""USD"",B1561,B1561 * GOOGLEFINANCE(""CURRENCY:"" &amp; E1561 &amp; ""USD""))
"),2200000)</f>
        <v>2200000</v>
      </c>
      <c r="G1561" s="16">
        <f ca="1">IFERROR(__xludf.DUMMYFUNCTION("IF(E1561=""USD"",C1561,C1561 * GOOGLEFINANCE(""CURRENCY:"" &amp; E1561 &amp; ""USD""))
"),30000000)</f>
        <v>30000000</v>
      </c>
    </row>
    <row r="1562" spans="1:7" ht="15.75" customHeight="1" x14ac:dyDescent="0.25">
      <c r="A1562" s="11" t="s">
        <v>24</v>
      </c>
      <c r="B1562" s="12">
        <v>10000000</v>
      </c>
      <c r="C1562" s="12">
        <v>47536959</v>
      </c>
      <c r="D1562" s="12">
        <v>2009</v>
      </c>
      <c r="E1562" s="12" t="str">
        <f>VLOOKUP(A1562, Currency!$A$2:$B$100, 2, FALSE)</f>
        <v>USD</v>
      </c>
      <c r="F1562" s="12">
        <f ca="1">IFERROR(__xludf.DUMMYFUNCTION("IF(E1562=""USD"",B1562,B1562 * GOOGLEFINANCE(""CURRENCY:"" &amp; E1562 &amp; ""USD""))
"),10000000)</f>
        <v>10000000</v>
      </c>
      <c r="G1562" s="13">
        <f ca="1">IFERROR(__xludf.DUMMYFUNCTION("IF(E1562=""USD"",C1562,C1562 * GOOGLEFINANCE(""CURRENCY:"" &amp; E1562 &amp; ""USD""))
"),47536959)</f>
        <v>47536959</v>
      </c>
    </row>
    <row r="1563" spans="1:7" ht="15.75" customHeight="1" x14ac:dyDescent="0.25">
      <c r="A1563" s="14" t="s">
        <v>24</v>
      </c>
      <c r="B1563" s="15">
        <v>13000000</v>
      </c>
      <c r="C1563" s="15">
        <v>22858926</v>
      </c>
      <c r="D1563" s="15">
        <v>1999</v>
      </c>
      <c r="E1563" s="15" t="str">
        <f>VLOOKUP(A1563, Currency!$A$2:$B$100, 2, FALSE)</f>
        <v>USD</v>
      </c>
      <c r="F1563" s="15">
        <f ca="1">IFERROR(__xludf.DUMMYFUNCTION("IF(E1563=""USD"",B1563,B1563 * GOOGLEFINANCE(""CURRENCY:"" &amp; E1563 &amp; ""USD""))
"),13000000)</f>
        <v>13000000</v>
      </c>
      <c r="G1563" s="16">
        <f ca="1">IFERROR(__xludf.DUMMYFUNCTION("IF(E1563=""USD"",C1563,C1563 * GOOGLEFINANCE(""CURRENCY:"" &amp; E1563 &amp; ""USD""))
"),22858926)</f>
        <v>22858926</v>
      </c>
    </row>
    <row r="1564" spans="1:7" ht="15.75" customHeight="1" x14ac:dyDescent="0.25">
      <c r="A1564" s="11" t="s">
        <v>24</v>
      </c>
      <c r="B1564" s="12">
        <v>8000000</v>
      </c>
      <c r="C1564" s="12">
        <v>532190</v>
      </c>
      <c r="D1564" s="12">
        <v>1997</v>
      </c>
      <c r="E1564" s="12" t="str">
        <f>VLOOKUP(A1564, Currency!$A$2:$B$100, 2, FALSE)</f>
        <v>USD</v>
      </c>
      <c r="F1564" s="12">
        <f ca="1">IFERROR(__xludf.DUMMYFUNCTION("IF(E1564=""USD"",B1564,B1564 * GOOGLEFINANCE(""CURRENCY:"" &amp; E1564 &amp; ""USD""))
"),8000000)</f>
        <v>8000000</v>
      </c>
      <c r="G1564" s="13">
        <f ca="1">IFERROR(__xludf.DUMMYFUNCTION("IF(E1564=""USD"",C1564,C1564 * GOOGLEFINANCE(""CURRENCY:"" &amp; E1564 &amp; ""USD""))
"),532190)</f>
        <v>532190</v>
      </c>
    </row>
    <row r="1565" spans="1:7" ht="15.75" customHeight="1" x14ac:dyDescent="0.25">
      <c r="A1565" s="14" t="s">
        <v>24</v>
      </c>
      <c r="B1565" s="15">
        <v>58000000</v>
      </c>
      <c r="C1565" s="15">
        <v>44665963</v>
      </c>
      <c r="D1565" s="15">
        <v>2013</v>
      </c>
      <c r="E1565" s="15" t="str">
        <f>VLOOKUP(A1565, Currency!$A$2:$B$100, 2, FALSE)</f>
        <v>USD</v>
      </c>
      <c r="F1565" s="15">
        <f ca="1">IFERROR(__xludf.DUMMYFUNCTION("IF(E1565=""USD"",B1565,B1565 * GOOGLEFINANCE(""CURRENCY:"" &amp; E1565 &amp; ""USD""))
"),58000000)</f>
        <v>58000000</v>
      </c>
      <c r="G1565" s="16">
        <f ca="1">IFERROR(__xludf.DUMMYFUNCTION("IF(E1565=""USD"",C1565,C1565 * GOOGLEFINANCE(""CURRENCY:"" &amp; E1565 &amp; ""USD""))
"),44665963)</f>
        <v>44665963</v>
      </c>
    </row>
    <row r="1566" spans="1:7" ht="15.75" customHeight="1" x14ac:dyDescent="0.25">
      <c r="A1566" s="11" t="s">
        <v>24</v>
      </c>
      <c r="B1566" s="12">
        <v>100000000</v>
      </c>
      <c r="C1566" s="12">
        <v>173005002</v>
      </c>
      <c r="D1566" s="12">
        <v>2004</v>
      </c>
      <c r="E1566" s="12" t="str">
        <f>VLOOKUP(A1566, Currency!$A$2:$B$100, 2, FALSE)</f>
        <v>USD</v>
      </c>
      <c r="F1566" s="12">
        <f ca="1">IFERROR(__xludf.DUMMYFUNCTION("IF(E1566=""USD"",B1566,B1566 * GOOGLEFINANCE(""CURRENCY:"" &amp; E1566 &amp; ""USD""))
"),100000000)</f>
        <v>100000000</v>
      </c>
      <c r="G1566" s="13">
        <f ca="1">IFERROR(__xludf.DUMMYFUNCTION("IF(E1566=""USD"",C1566,C1566 * GOOGLEFINANCE(""CURRENCY:"" &amp; E1566 &amp; ""USD""))
"),173005002)</f>
        <v>173005002</v>
      </c>
    </row>
    <row r="1567" spans="1:7" ht="15.75" customHeight="1" x14ac:dyDescent="0.25">
      <c r="A1567" s="14" t="s">
        <v>24</v>
      </c>
      <c r="B1567" s="15">
        <v>10000000</v>
      </c>
      <c r="C1567" s="15">
        <v>1631839</v>
      </c>
      <c r="D1567" s="15">
        <v>2000</v>
      </c>
      <c r="E1567" s="15" t="str">
        <f>VLOOKUP(A1567, Currency!$A$2:$B$100, 2, FALSE)</f>
        <v>USD</v>
      </c>
      <c r="F1567" s="15">
        <f ca="1">IFERROR(__xludf.DUMMYFUNCTION("IF(E1567=""USD"",B1567,B1567 * GOOGLEFINANCE(""CURRENCY:"" &amp; E1567 &amp; ""USD""))
"),10000000)</f>
        <v>10000000</v>
      </c>
      <c r="G1567" s="16">
        <f ca="1">IFERROR(__xludf.DUMMYFUNCTION("IF(E1567=""USD"",C1567,C1567 * GOOGLEFINANCE(""CURRENCY:"" &amp; E1567 &amp; ""USD""))
"),1631839)</f>
        <v>1631839</v>
      </c>
    </row>
    <row r="1568" spans="1:7" ht="15.75" customHeight="1" x14ac:dyDescent="0.25">
      <c r="A1568" s="11" t="s">
        <v>24</v>
      </c>
      <c r="B1568" s="12">
        <v>10000000</v>
      </c>
      <c r="C1568" s="12">
        <v>3060858</v>
      </c>
      <c r="D1568" s="12">
        <v>1987</v>
      </c>
      <c r="E1568" s="12" t="str">
        <f>VLOOKUP(A1568, Currency!$A$2:$B$100, 2, FALSE)</f>
        <v>USD</v>
      </c>
      <c r="F1568" s="12">
        <f ca="1">IFERROR(__xludf.DUMMYFUNCTION("IF(E1568=""USD"",B1568,B1568 * GOOGLEFINANCE(""CURRENCY:"" &amp; E1568 &amp; ""USD""))
"),10000000)</f>
        <v>10000000</v>
      </c>
      <c r="G1568" s="13">
        <f ca="1">IFERROR(__xludf.DUMMYFUNCTION("IF(E1568=""USD"",C1568,C1568 * GOOGLEFINANCE(""CURRENCY:"" &amp; E1568 &amp; ""USD""))
"),3060858)</f>
        <v>3060858</v>
      </c>
    </row>
    <row r="1569" spans="1:7" ht="15.75" customHeight="1" x14ac:dyDescent="0.25">
      <c r="A1569" s="14" t="s">
        <v>24</v>
      </c>
      <c r="B1569" s="15">
        <v>20000000</v>
      </c>
      <c r="C1569" s="15">
        <v>35422828</v>
      </c>
      <c r="D1569" s="15">
        <v>1997</v>
      </c>
      <c r="E1569" s="15" t="str">
        <f>VLOOKUP(A1569, Currency!$A$2:$B$100, 2, FALSE)</f>
        <v>USD</v>
      </c>
      <c r="F1569" s="15">
        <f ca="1">IFERROR(__xludf.DUMMYFUNCTION("IF(E1569=""USD"",B1569,B1569 * GOOGLEFINANCE(""CURRENCY:"" &amp; E1569 &amp; ""USD""))
"),20000000)</f>
        <v>20000000</v>
      </c>
      <c r="G1569" s="16">
        <f ca="1">IFERROR(__xludf.DUMMYFUNCTION("IF(E1569=""USD"",C1569,C1569 * GOOGLEFINANCE(""CURRENCY:"" &amp; E1569 &amp; ""USD""))
"),35422828)</f>
        <v>35422828</v>
      </c>
    </row>
    <row r="1570" spans="1:7" ht="15.75" customHeight="1" x14ac:dyDescent="0.25">
      <c r="A1570" s="11" t="s">
        <v>24</v>
      </c>
      <c r="B1570" s="12">
        <v>40000000</v>
      </c>
      <c r="C1570" s="12">
        <v>28535768</v>
      </c>
      <c r="D1570" s="12">
        <v>1999</v>
      </c>
      <c r="E1570" s="12" t="str">
        <f>VLOOKUP(A1570, Currency!$A$2:$B$100, 2, FALSE)</f>
        <v>USD</v>
      </c>
      <c r="F1570" s="12">
        <f ca="1">IFERROR(__xludf.DUMMYFUNCTION("IF(E1570=""USD"",B1570,B1570 * GOOGLEFINANCE(""CURRENCY:"" &amp; E1570 &amp; ""USD""))
"),40000000)</f>
        <v>40000000</v>
      </c>
      <c r="G1570" s="13">
        <f ca="1">IFERROR(__xludf.DUMMYFUNCTION("IF(E1570=""USD"",C1570,C1570 * GOOGLEFINANCE(""CURRENCY:"" &amp; E1570 &amp; ""USD""))
"),28535768)</f>
        <v>28535768</v>
      </c>
    </row>
    <row r="1571" spans="1:7" ht="15.75" customHeight="1" x14ac:dyDescent="0.25">
      <c r="A1571" s="14" t="s">
        <v>24</v>
      </c>
      <c r="B1571" s="15">
        <v>44500000</v>
      </c>
      <c r="C1571" s="15">
        <v>136019448</v>
      </c>
      <c r="D1571" s="15">
        <v>2012</v>
      </c>
      <c r="E1571" s="15" t="str">
        <f>VLOOKUP(A1571, Currency!$A$2:$B$100, 2, FALSE)</f>
        <v>USD</v>
      </c>
      <c r="F1571" s="15">
        <f ca="1">IFERROR(__xludf.DUMMYFUNCTION("IF(E1571=""USD"",B1571,B1571 * GOOGLEFINANCE(""CURRENCY:"" &amp; E1571 &amp; ""USD""))
"),44500000)</f>
        <v>44500000</v>
      </c>
      <c r="G1571" s="16">
        <f ca="1">IFERROR(__xludf.DUMMYFUNCTION("IF(E1571=""USD"",C1571,C1571 * GOOGLEFINANCE(""CURRENCY:"" &amp; E1571 &amp; ""USD""))
"),136019448)</f>
        <v>136019448</v>
      </c>
    </row>
    <row r="1572" spans="1:7" ht="15.75" customHeight="1" x14ac:dyDescent="0.25">
      <c r="A1572" s="11" t="s">
        <v>24</v>
      </c>
      <c r="B1572" s="12">
        <v>1000000</v>
      </c>
      <c r="C1572" s="12">
        <v>798341</v>
      </c>
      <c r="D1572" s="12">
        <v>2001</v>
      </c>
      <c r="E1572" s="12" t="str">
        <f>VLOOKUP(A1572, Currency!$A$2:$B$100, 2, FALSE)</f>
        <v>USD</v>
      </c>
      <c r="F1572" s="12">
        <f ca="1">IFERROR(__xludf.DUMMYFUNCTION("IF(E1572=""USD"",B1572,B1572 * GOOGLEFINANCE(""CURRENCY:"" &amp; E1572 &amp; ""USD""))
"),1000000)</f>
        <v>1000000</v>
      </c>
      <c r="G1572" s="13">
        <f ca="1">IFERROR(__xludf.DUMMYFUNCTION("IF(E1572=""USD"",C1572,C1572 * GOOGLEFINANCE(""CURRENCY:"" &amp; E1572 &amp; ""USD""))
"),798341)</f>
        <v>798341</v>
      </c>
    </row>
    <row r="1573" spans="1:7" ht="15.75" customHeight="1" x14ac:dyDescent="0.25">
      <c r="A1573" s="14" t="s">
        <v>24</v>
      </c>
      <c r="B1573" s="15">
        <v>500000</v>
      </c>
      <c r="C1573" s="15">
        <v>154077</v>
      </c>
      <c r="D1573" s="15">
        <v>2005</v>
      </c>
      <c r="E1573" s="15" t="str">
        <f>VLOOKUP(A1573, Currency!$A$2:$B$100, 2, FALSE)</f>
        <v>USD</v>
      </c>
      <c r="F1573" s="15">
        <f ca="1">IFERROR(__xludf.DUMMYFUNCTION("IF(E1573=""USD"",B1573,B1573 * GOOGLEFINANCE(""CURRENCY:"" &amp; E1573 &amp; ""USD""))
"),500000)</f>
        <v>500000</v>
      </c>
      <c r="G1573" s="16">
        <f ca="1">IFERROR(__xludf.DUMMYFUNCTION("IF(E1573=""USD"",C1573,C1573 * GOOGLEFINANCE(""CURRENCY:"" &amp; E1573 &amp; ""USD""))
"),154077)</f>
        <v>154077</v>
      </c>
    </row>
    <row r="1574" spans="1:7" ht="15.75" customHeight="1" x14ac:dyDescent="0.25">
      <c r="A1574" s="11" t="s">
        <v>24</v>
      </c>
      <c r="B1574" s="12">
        <v>70000000</v>
      </c>
      <c r="C1574" s="12">
        <v>98895417</v>
      </c>
      <c r="D1574" s="12">
        <v>2013</v>
      </c>
      <c r="E1574" s="12" t="str">
        <f>VLOOKUP(A1574, Currency!$A$2:$B$100, 2, FALSE)</f>
        <v>USD</v>
      </c>
      <c r="F1574" s="12">
        <f ca="1">IFERROR(__xludf.DUMMYFUNCTION("IF(E1574=""USD"",B1574,B1574 * GOOGLEFINANCE(""CURRENCY:"" &amp; E1574 &amp; ""USD""))
"),70000000)</f>
        <v>70000000</v>
      </c>
      <c r="G1574" s="13">
        <f ca="1">IFERROR(__xludf.DUMMYFUNCTION("IF(E1574=""USD"",C1574,C1574 * GOOGLEFINANCE(""CURRENCY:"" &amp; E1574 &amp; ""USD""))
"),98895417)</f>
        <v>98895417</v>
      </c>
    </row>
    <row r="1575" spans="1:7" ht="15.75" customHeight="1" x14ac:dyDescent="0.25">
      <c r="A1575" s="14" t="s">
        <v>24</v>
      </c>
      <c r="B1575" s="15">
        <v>56000000</v>
      </c>
      <c r="C1575" s="15">
        <v>12870569</v>
      </c>
      <c r="D1575" s="15">
        <v>2003</v>
      </c>
      <c r="E1575" s="15" t="str">
        <f>VLOOKUP(A1575, Currency!$A$2:$B$100, 2, FALSE)</f>
        <v>USD</v>
      </c>
      <c r="F1575" s="15">
        <f ca="1">IFERROR(__xludf.DUMMYFUNCTION("IF(E1575=""USD"",B1575,B1575 * GOOGLEFINANCE(""CURRENCY:"" &amp; E1575 &amp; ""USD""))
"),56000000)</f>
        <v>56000000</v>
      </c>
      <c r="G1575" s="16">
        <f ca="1">IFERROR(__xludf.DUMMYFUNCTION("IF(E1575=""USD"",C1575,C1575 * GOOGLEFINANCE(""CURRENCY:"" &amp; E1575 &amp; ""USD""))
"),12870569)</f>
        <v>12870569</v>
      </c>
    </row>
    <row r="1576" spans="1:7" ht="15.75" customHeight="1" x14ac:dyDescent="0.25">
      <c r="A1576" s="11" t="s">
        <v>24</v>
      </c>
      <c r="B1576" s="12">
        <v>68000000</v>
      </c>
      <c r="C1576" s="12">
        <v>100614858</v>
      </c>
      <c r="D1576" s="12">
        <v>2001</v>
      </c>
      <c r="E1576" s="12" t="str">
        <f>VLOOKUP(A1576, Currency!$A$2:$B$100, 2, FALSE)</f>
        <v>USD</v>
      </c>
      <c r="F1576" s="12">
        <f ca="1">IFERROR(__xludf.DUMMYFUNCTION("IF(E1576=""USD"",B1576,B1576 * GOOGLEFINANCE(""CURRENCY:"" &amp; E1576 &amp; ""USD""))
"),68000000)</f>
        <v>68000000</v>
      </c>
      <c r="G1576" s="13">
        <f ca="1">IFERROR(__xludf.DUMMYFUNCTION("IF(E1576=""USD"",C1576,C1576 * GOOGLEFINANCE(""CURRENCY:"" &amp; E1576 &amp; ""USD""))
"),100614858)</f>
        <v>100614858</v>
      </c>
    </row>
    <row r="1577" spans="1:7" ht="15.75" customHeight="1" x14ac:dyDescent="0.25">
      <c r="A1577" s="14" t="s">
        <v>24</v>
      </c>
      <c r="B1577" s="15">
        <v>60000000</v>
      </c>
      <c r="C1577" s="15">
        <v>82670733</v>
      </c>
      <c r="D1577" s="15">
        <v>1990</v>
      </c>
      <c r="E1577" s="15" t="str">
        <f>VLOOKUP(A1577, Currency!$A$2:$B$100, 2, FALSE)</f>
        <v>USD</v>
      </c>
      <c r="F1577" s="15">
        <f ca="1">IFERROR(__xludf.DUMMYFUNCTION("IF(E1577=""USD"",B1577,B1577 * GOOGLEFINANCE(""CURRENCY:"" &amp; E1577 &amp; ""USD""))
"),60000000)</f>
        <v>60000000</v>
      </c>
      <c r="G1577" s="16">
        <f ca="1">IFERROR(__xludf.DUMMYFUNCTION("IF(E1577=""USD"",C1577,C1577 * GOOGLEFINANCE(""CURRENCY:"" &amp; E1577 &amp; ""USD""))
"),82670733)</f>
        <v>82670733</v>
      </c>
    </row>
    <row r="1578" spans="1:7" ht="15.75" customHeight="1" x14ac:dyDescent="0.25">
      <c r="A1578" s="11" t="s">
        <v>24</v>
      </c>
      <c r="B1578" s="12">
        <v>3000000</v>
      </c>
      <c r="C1578" s="12">
        <v>5844929</v>
      </c>
      <c r="D1578" s="12">
        <v>2002</v>
      </c>
      <c r="E1578" s="12" t="str">
        <f>VLOOKUP(A1578, Currency!$A$2:$B$100, 2, FALSE)</f>
        <v>USD</v>
      </c>
      <c r="F1578" s="12">
        <f ca="1">IFERROR(__xludf.DUMMYFUNCTION("IF(E1578=""USD"",B1578,B1578 * GOOGLEFINANCE(""CURRENCY:"" &amp; E1578 &amp; ""USD""))
"),3000000)</f>
        <v>3000000</v>
      </c>
      <c r="G1578" s="13">
        <f ca="1">IFERROR(__xludf.DUMMYFUNCTION("IF(E1578=""USD"",C1578,C1578 * GOOGLEFINANCE(""CURRENCY:"" &amp; E1578 &amp; ""USD""))
"),5844929)</f>
        <v>5844929</v>
      </c>
    </row>
    <row r="1579" spans="1:7" ht="15.75" customHeight="1" x14ac:dyDescent="0.25">
      <c r="A1579" s="14" t="s">
        <v>24</v>
      </c>
      <c r="B1579" s="15">
        <v>61000000</v>
      </c>
      <c r="C1579" s="15">
        <v>81687587</v>
      </c>
      <c r="D1579" s="15">
        <v>2015</v>
      </c>
      <c r="E1579" s="15" t="str">
        <f>VLOOKUP(A1579, Currency!$A$2:$B$100, 2, FALSE)</f>
        <v>USD</v>
      </c>
      <c r="F1579" s="15">
        <f ca="1">IFERROR(__xludf.DUMMYFUNCTION("IF(E1579=""USD"",B1579,B1579 * GOOGLEFINANCE(""CURRENCY:"" &amp; E1579 &amp; ""USD""))
"),61000000)</f>
        <v>61000000</v>
      </c>
      <c r="G1579" s="16">
        <f ca="1">IFERROR(__xludf.DUMMYFUNCTION("IF(E1579=""USD"",C1579,C1579 * GOOGLEFINANCE(""CURRENCY:"" &amp; E1579 &amp; ""USD""))
"),81687587)</f>
        <v>81687587</v>
      </c>
    </row>
    <row r="1580" spans="1:7" ht="15.75" customHeight="1" x14ac:dyDescent="0.25">
      <c r="A1580" s="11" t="s">
        <v>24</v>
      </c>
      <c r="B1580" s="12">
        <v>130000000</v>
      </c>
      <c r="C1580" s="12">
        <v>149234747</v>
      </c>
      <c r="D1580" s="12">
        <v>2011</v>
      </c>
      <c r="E1580" s="12" t="str">
        <f>VLOOKUP(A1580, Currency!$A$2:$B$100, 2, FALSE)</f>
        <v>USD</v>
      </c>
      <c r="F1580" s="12">
        <f ca="1">IFERROR(__xludf.DUMMYFUNCTION("IF(E1580=""USD"",B1580,B1580 * GOOGLEFINANCE(""CURRENCY:"" &amp; E1580 &amp; ""USD""))
"),130000000)</f>
        <v>130000000</v>
      </c>
      <c r="G1580" s="13">
        <f ca="1">IFERROR(__xludf.DUMMYFUNCTION("IF(E1580=""USD"",C1580,C1580 * GOOGLEFINANCE(""CURRENCY:"" &amp; E1580 &amp; ""USD""))
"),149234747)</f>
        <v>149234747</v>
      </c>
    </row>
    <row r="1581" spans="1:7" ht="15.75" customHeight="1" x14ac:dyDescent="0.25">
      <c r="A1581" s="14" t="s">
        <v>24</v>
      </c>
      <c r="B1581" s="15">
        <v>18000000</v>
      </c>
      <c r="C1581" s="15">
        <v>242374454</v>
      </c>
      <c r="D1581" s="15">
        <v>1981</v>
      </c>
      <c r="E1581" s="15" t="str">
        <f>VLOOKUP(A1581, Currency!$A$2:$B$100, 2, FALSE)</f>
        <v>USD</v>
      </c>
      <c r="F1581" s="15">
        <f ca="1">IFERROR(__xludf.DUMMYFUNCTION("IF(E1581=""USD"",B1581,B1581 * GOOGLEFINANCE(""CURRENCY:"" &amp; E1581 &amp; ""USD""))
"),18000000)</f>
        <v>18000000</v>
      </c>
      <c r="G1581" s="16">
        <f ca="1">IFERROR(__xludf.DUMMYFUNCTION("IF(E1581=""USD"",C1581,C1581 * GOOGLEFINANCE(""CURRENCY:"" &amp; E1581 &amp; ""USD""))
"),242374454)</f>
        <v>242374454</v>
      </c>
    </row>
    <row r="1582" spans="1:7" ht="15.75" customHeight="1" x14ac:dyDescent="0.25">
      <c r="A1582" s="11" t="s">
        <v>133</v>
      </c>
      <c r="B1582" s="12">
        <v>5000000</v>
      </c>
      <c r="C1582" s="12">
        <v>5009677</v>
      </c>
      <c r="D1582" s="12">
        <v>2009</v>
      </c>
      <c r="E1582" s="12" t="str">
        <f>VLOOKUP(A1582, Currency!$A$2:$B$100, 2, FALSE)</f>
        <v>GBP</v>
      </c>
      <c r="F1582" s="12">
        <f ca="1">IFERROR(__xludf.DUMMYFUNCTION("IF(E1582=""USD"",B1582,B1582 * GOOGLEFINANCE(""CURRENCY:"" &amp; E1582 &amp; ""USD""))
"),6426999.99999999)</f>
        <v>6426999.9999999898</v>
      </c>
      <c r="G1582" s="13">
        <f ca="1">IFERROR(__xludf.DUMMYFUNCTION("IF(E1582=""USD"",C1582,C1582 * GOOGLEFINANCE(""CURRENCY:"" &amp; E1582 &amp; ""USD""))
"),6439438.81579999)</f>
        <v>6439438.8157999897</v>
      </c>
    </row>
    <row r="1583" spans="1:7" ht="15.75" customHeight="1" x14ac:dyDescent="0.25">
      <c r="A1583" s="14" t="s">
        <v>24</v>
      </c>
      <c r="B1583" s="15">
        <v>20000000</v>
      </c>
      <c r="C1583" s="15">
        <v>12626905</v>
      </c>
      <c r="D1583" s="15">
        <v>2016</v>
      </c>
      <c r="E1583" s="15" t="str">
        <f>VLOOKUP(A1583, Currency!$A$2:$B$100, 2, FALSE)</f>
        <v>USD</v>
      </c>
      <c r="F1583" s="15">
        <f ca="1">IFERROR(__xludf.DUMMYFUNCTION("IF(E1583=""USD"",B1583,B1583 * GOOGLEFINANCE(""CURRENCY:"" &amp; E1583 &amp; ""USD""))
"),20000000)</f>
        <v>20000000</v>
      </c>
      <c r="G1583" s="16">
        <f ca="1">IFERROR(__xludf.DUMMYFUNCTION("IF(E1583=""USD"",C1583,C1583 * GOOGLEFINANCE(""CURRENCY:"" &amp; E1583 &amp; ""USD""))
"),12626905)</f>
        <v>12626905</v>
      </c>
    </row>
    <row r="1584" spans="1:7" ht="15.75" customHeight="1" x14ac:dyDescent="0.25">
      <c r="A1584" s="11" t="s">
        <v>24</v>
      </c>
      <c r="B1584" s="12">
        <v>93000000</v>
      </c>
      <c r="C1584" s="12">
        <v>176740650</v>
      </c>
      <c r="D1584" s="12">
        <v>2011</v>
      </c>
      <c r="E1584" s="12" t="str">
        <f>VLOOKUP(A1584, Currency!$A$2:$B$100, 2, FALSE)</f>
        <v>USD</v>
      </c>
      <c r="F1584" s="12">
        <f ca="1">IFERROR(__xludf.DUMMYFUNCTION("IF(E1584=""USD"",B1584,B1584 * GOOGLEFINANCE(""CURRENCY:"" &amp; E1584 &amp; ""USD""))
"),93000000)</f>
        <v>93000000</v>
      </c>
      <c r="G1584" s="13">
        <f ca="1">IFERROR(__xludf.DUMMYFUNCTION("IF(E1584=""USD"",C1584,C1584 * GOOGLEFINANCE(""CURRENCY:"" &amp; E1584 &amp; ""USD""))
"),176740650)</f>
        <v>176740650</v>
      </c>
    </row>
    <row r="1585" spans="1:7" ht="15.75" customHeight="1" x14ac:dyDescent="0.25">
      <c r="A1585" s="14" t="s">
        <v>24</v>
      </c>
      <c r="B1585" s="15">
        <v>20000000</v>
      </c>
      <c r="C1585" s="15">
        <v>35596227</v>
      </c>
      <c r="D1585" s="15">
        <v>2010</v>
      </c>
      <c r="E1585" s="15" t="str">
        <f>VLOOKUP(A1585, Currency!$A$2:$B$100, 2, FALSE)</f>
        <v>USD</v>
      </c>
      <c r="F1585" s="15">
        <f ca="1">IFERROR(__xludf.DUMMYFUNCTION("IF(E1585=""USD"",B1585,B1585 * GOOGLEFINANCE(""CURRENCY:"" &amp; E1585 &amp; ""USD""))
"),20000000)</f>
        <v>20000000</v>
      </c>
      <c r="G1585" s="16">
        <f ca="1">IFERROR(__xludf.DUMMYFUNCTION("IF(E1585=""USD"",C1585,C1585 * GOOGLEFINANCE(""CURRENCY:"" &amp; E1585 &amp; ""USD""))
"),35596227)</f>
        <v>35596227</v>
      </c>
    </row>
    <row r="1586" spans="1:7" ht="15.75" customHeight="1" x14ac:dyDescent="0.25">
      <c r="A1586" s="11" t="s">
        <v>24</v>
      </c>
      <c r="B1586" s="12">
        <v>35000000</v>
      </c>
      <c r="C1586" s="12">
        <v>14587732</v>
      </c>
      <c r="D1586" s="12">
        <v>1991</v>
      </c>
      <c r="E1586" s="12" t="str">
        <f>VLOOKUP(A1586, Currency!$A$2:$B$100, 2, FALSE)</f>
        <v>USD</v>
      </c>
      <c r="F1586" s="12">
        <f ca="1">IFERROR(__xludf.DUMMYFUNCTION("IF(E1586=""USD"",B1586,B1586 * GOOGLEFINANCE(""CURRENCY:"" &amp; E1586 &amp; ""USD""))
"),35000000)</f>
        <v>35000000</v>
      </c>
      <c r="G1586" s="13">
        <f ca="1">IFERROR(__xludf.DUMMYFUNCTION("IF(E1586=""USD"",C1586,C1586 * GOOGLEFINANCE(""CURRENCY:"" &amp; E1586 &amp; ""USD""))
"),14587732)</f>
        <v>14587732</v>
      </c>
    </row>
    <row r="1587" spans="1:7" ht="15.75" customHeight="1" x14ac:dyDescent="0.25">
      <c r="A1587" s="14" t="s">
        <v>24</v>
      </c>
      <c r="B1587" s="15">
        <v>70000000</v>
      </c>
      <c r="C1587" s="15">
        <v>119654900</v>
      </c>
      <c r="D1587" s="15">
        <v>1991</v>
      </c>
      <c r="E1587" s="15" t="str">
        <f>VLOOKUP(A1587, Currency!$A$2:$B$100, 2, FALSE)</f>
        <v>USD</v>
      </c>
      <c r="F1587" s="15">
        <f ca="1">IFERROR(__xludf.DUMMYFUNCTION("IF(E1587=""USD"",B1587,B1587 * GOOGLEFINANCE(""CURRENCY:"" &amp; E1587 &amp; ""USD""))
"),70000000)</f>
        <v>70000000</v>
      </c>
      <c r="G1587" s="16">
        <f ca="1">IFERROR(__xludf.DUMMYFUNCTION("IF(E1587=""USD"",C1587,C1587 * GOOGLEFINANCE(""CURRENCY:"" &amp; E1587 &amp; ""USD""))
"),119654900)</f>
        <v>119654900</v>
      </c>
    </row>
    <row r="1588" spans="1:7" ht="15.75" customHeight="1" x14ac:dyDescent="0.25">
      <c r="A1588" s="11" t="s">
        <v>24</v>
      </c>
      <c r="B1588" s="12">
        <v>37000000</v>
      </c>
      <c r="C1588" s="12">
        <v>22450975</v>
      </c>
      <c r="D1588" s="12">
        <v>1999</v>
      </c>
      <c r="E1588" s="12" t="str">
        <f>VLOOKUP(A1588, Currency!$A$2:$B$100, 2, FALSE)</f>
        <v>USD</v>
      </c>
      <c r="F1588" s="12">
        <f ca="1">IFERROR(__xludf.DUMMYFUNCTION("IF(E1588=""USD"",B1588,B1588 * GOOGLEFINANCE(""CURRENCY:"" &amp; E1588 &amp; ""USD""))
"),37000000)</f>
        <v>37000000</v>
      </c>
      <c r="G1588" s="13">
        <f ca="1">IFERROR(__xludf.DUMMYFUNCTION("IF(E1588=""USD"",C1588,C1588 * GOOGLEFINANCE(""CURRENCY:"" &amp; E1588 &amp; ""USD""))
"),22450975)</f>
        <v>22450975</v>
      </c>
    </row>
    <row r="1589" spans="1:7" ht="15.75" customHeight="1" x14ac:dyDescent="0.25">
      <c r="A1589" s="14" t="s">
        <v>133</v>
      </c>
      <c r="B1589" s="15">
        <v>31500000</v>
      </c>
      <c r="C1589" s="15">
        <v>14268533</v>
      </c>
      <c r="D1589" s="15">
        <v>2016</v>
      </c>
      <c r="E1589" s="15" t="str">
        <f>VLOOKUP(A1589, Currency!$A$2:$B$100, 2, FALSE)</f>
        <v>GBP</v>
      </c>
      <c r="F1589" s="15">
        <f ca="1">IFERROR(__xludf.DUMMYFUNCTION("IF(E1589=""USD"",B1589,B1589 * GOOGLEFINANCE(""CURRENCY:"" &amp; E1589 &amp; ""USD""))
"),40490099.9999999)</f>
        <v>40490099.999999903</v>
      </c>
      <c r="G1589" s="16">
        <f ca="1">IFERROR(__xludf.DUMMYFUNCTION("IF(E1589=""USD"",C1589,C1589 * GOOGLEFINANCE(""CURRENCY:"" &amp; E1589 &amp; ""USD""))
"),18340772.3182)</f>
        <v>18340772.3182</v>
      </c>
    </row>
    <row r="1590" spans="1:7" ht="15.75" customHeight="1" x14ac:dyDescent="0.25">
      <c r="A1590" s="11" t="s">
        <v>24</v>
      </c>
      <c r="B1590" s="12">
        <v>175000000</v>
      </c>
      <c r="C1590" s="12">
        <v>356454367</v>
      </c>
      <c r="D1590" s="12">
        <v>2015</v>
      </c>
      <c r="E1590" s="12" t="str">
        <f>VLOOKUP(A1590, Currency!$A$2:$B$100, 2, FALSE)</f>
        <v>USD</v>
      </c>
      <c r="F1590" s="12">
        <f ca="1">IFERROR(__xludf.DUMMYFUNCTION("IF(E1590=""USD"",B1590,B1590 * GOOGLEFINANCE(""CURRENCY:"" &amp; E1590 &amp; ""USD""))
"),175000000)</f>
        <v>175000000</v>
      </c>
      <c r="G1590" s="13">
        <f ca="1">IFERROR(__xludf.DUMMYFUNCTION("IF(E1590=""USD"",C1590,C1590 * GOOGLEFINANCE(""CURRENCY:"" &amp; E1590 &amp; ""USD""))
"),356454367)</f>
        <v>356454367</v>
      </c>
    </row>
    <row r="1591" spans="1:7" ht="15.75" customHeight="1" x14ac:dyDescent="0.25">
      <c r="A1591" s="14" t="s">
        <v>24</v>
      </c>
      <c r="B1591" s="15">
        <v>2500000</v>
      </c>
      <c r="C1591" s="15">
        <v>1282084</v>
      </c>
      <c r="D1591" s="15">
        <v>1999</v>
      </c>
      <c r="E1591" s="15" t="str">
        <f>VLOOKUP(A1591, Currency!$A$2:$B$100, 2, FALSE)</f>
        <v>USD</v>
      </c>
      <c r="F1591" s="15">
        <f ca="1">IFERROR(__xludf.DUMMYFUNCTION("IF(E1591=""USD"",B1591,B1591 * GOOGLEFINANCE(""CURRENCY:"" &amp; E1591 &amp; ""USD""))
"),2500000)</f>
        <v>2500000</v>
      </c>
      <c r="G1591" s="16">
        <f ca="1">IFERROR(__xludf.DUMMYFUNCTION("IF(E1591=""USD"",C1591,C1591 * GOOGLEFINANCE(""CURRENCY:"" &amp; E1591 &amp; ""USD""))
"),1282084)</f>
        <v>1282084</v>
      </c>
    </row>
    <row r="1592" spans="1:7" ht="15.75" customHeight="1" x14ac:dyDescent="0.25">
      <c r="A1592" s="11" t="s">
        <v>24</v>
      </c>
      <c r="B1592" s="12">
        <v>7000000</v>
      </c>
      <c r="C1592" s="12">
        <v>529766</v>
      </c>
      <c r="D1592" s="12">
        <v>1995</v>
      </c>
      <c r="E1592" s="12" t="str">
        <f>VLOOKUP(A1592, Currency!$A$2:$B$100, 2, FALSE)</f>
        <v>USD</v>
      </c>
      <c r="F1592" s="12">
        <f ca="1">IFERROR(__xludf.DUMMYFUNCTION("IF(E1592=""USD"",B1592,B1592 * GOOGLEFINANCE(""CURRENCY:"" &amp; E1592 &amp; ""USD""))
"),7000000)</f>
        <v>7000000</v>
      </c>
      <c r="G1592" s="13">
        <f ca="1">IFERROR(__xludf.DUMMYFUNCTION("IF(E1592=""USD"",C1592,C1592 * GOOGLEFINANCE(""CURRENCY:"" &amp; E1592 &amp; ""USD""))
"),529766)</f>
        <v>529766</v>
      </c>
    </row>
    <row r="1593" spans="1:7" ht="15.75" customHeight="1" x14ac:dyDescent="0.25">
      <c r="A1593" s="14" t="s">
        <v>24</v>
      </c>
      <c r="B1593" s="15">
        <v>15000000</v>
      </c>
      <c r="C1593" s="15">
        <v>7556708</v>
      </c>
      <c r="D1593" s="15">
        <v>2012</v>
      </c>
      <c r="E1593" s="15" t="str">
        <f>VLOOKUP(A1593, Currency!$A$2:$B$100, 2, FALSE)</f>
        <v>USD</v>
      </c>
      <c r="F1593" s="15">
        <f ca="1">IFERROR(__xludf.DUMMYFUNCTION("IF(E1593=""USD"",B1593,B1593 * GOOGLEFINANCE(""CURRENCY:"" &amp; E1593 &amp; ""USD""))
"),15000000)</f>
        <v>15000000</v>
      </c>
      <c r="G1593" s="16">
        <f ca="1">IFERROR(__xludf.DUMMYFUNCTION("IF(E1593=""USD"",C1593,C1593 * GOOGLEFINANCE(""CURRENCY:"" &amp; E1593 &amp; ""USD""))
"),7556708)</f>
        <v>7556708</v>
      </c>
    </row>
    <row r="1594" spans="1:7" ht="15.75" customHeight="1" x14ac:dyDescent="0.25">
      <c r="A1594" s="11" t="s">
        <v>24</v>
      </c>
      <c r="B1594" s="12">
        <v>45000000</v>
      </c>
      <c r="C1594" s="12">
        <v>12026670</v>
      </c>
      <c r="D1594" s="12">
        <v>2013</v>
      </c>
      <c r="E1594" s="12" t="str">
        <f>VLOOKUP(A1594, Currency!$A$2:$B$100, 2, FALSE)</f>
        <v>USD</v>
      </c>
      <c r="F1594" s="12">
        <f ca="1">IFERROR(__xludf.DUMMYFUNCTION("IF(E1594=""USD"",B1594,B1594 * GOOGLEFINANCE(""CURRENCY:"" &amp; E1594 &amp; ""USD""))
"),45000000)</f>
        <v>45000000</v>
      </c>
      <c r="G1594" s="13">
        <f ca="1">IFERROR(__xludf.DUMMYFUNCTION("IF(E1594=""USD"",C1594,C1594 * GOOGLEFINANCE(""CURRENCY:"" &amp; E1594 &amp; ""USD""))
"),12026670)</f>
        <v>12026670</v>
      </c>
    </row>
    <row r="1595" spans="1:7" ht="15.75" customHeight="1" x14ac:dyDescent="0.25">
      <c r="A1595" s="14" t="s">
        <v>24</v>
      </c>
      <c r="B1595" s="15">
        <v>195000000</v>
      </c>
      <c r="C1595" s="15">
        <v>65171860</v>
      </c>
      <c r="D1595" s="15">
        <v>2013</v>
      </c>
      <c r="E1595" s="15" t="str">
        <f>VLOOKUP(A1595, Currency!$A$2:$B$100, 2, FALSE)</f>
        <v>USD</v>
      </c>
      <c r="F1595" s="15">
        <f ca="1">IFERROR(__xludf.DUMMYFUNCTION("IF(E1595=""USD"",B1595,B1595 * GOOGLEFINANCE(""CURRENCY:"" &amp; E1595 &amp; ""USD""))
"),195000000)</f>
        <v>195000000</v>
      </c>
      <c r="G1595" s="16">
        <f ca="1">IFERROR(__xludf.DUMMYFUNCTION("IF(E1595=""USD"",C1595,C1595 * GOOGLEFINANCE(""CURRENCY:"" &amp; E1595 &amp; ""USD""))
"),65171860)</f>
        <v>65171860</v>
      </c>
    </row>
    <row r="1596" spans="1:7" ht="15.75" customHeight="1" x14ac:dyDescent="0.25">
      <c r="A1596" s="11" t="s">
        <v>24</v>
      </c>
      <c r="B1596" s="12">
        <v>25000000</v>
      </c>
      <c r="C1596" s="12">
        <v>23527955</v>
      </c>
      <c r="D1596" s="12">
        <v>2010</v>
      </c>
      <c r="E1596" s="12" t="str">
        <f>VLOOKUP(A1596, Currency!$A$2:$B$100, 2, FALSE)</f>
        <v>USD</v>
      </c>
      <c r="F1596" s="12">
        <f ca="1">IFERROR(__xludf.DUMMYFUNCTION("IF(E1596=""USD"",B1596,B1596 * GOOGLEFINANCE(""CURRENCY:"" &amp; E1596 &amp; ""USD""))
"),25000000)</f>
        <v>25000000</v>
      </c>
      <c r="G1596" s="13">
        <f ca="1">IFERROR(__xludf.DUMMYFUNCTION("IF(E1596=""USD"",C1596,C1596 * GOOGLEFINANCE(""CURRENCY:"" &amp; E1596 &amp; ""USD""))
"),23527955)</f>
        <v>23527955</v>
      </c>
    </row>
    <row r="1597" spans="1:7" ht="15.75" customHeight="1" x14ac:dyDescent="0.25">
      <c r="A1597" s="14" t="s">
        <v>24</v>
      </c>
      <c r="B1597" s="15">
        <v>375000</v>
      </c>
      <c r="C1597" s="15">
        <v>617172</v>
      </c>
      <c r="D1597" s="15">
        <v>1997</v>
      </c>
      <c r="E1597" s="15" t="str">
        <f>VLOOKUP(A1597, Currency!$A$2:$B$100, 2, FALSE)</f>
        <v>USD</v>
      </c>
      <c r="F1597" s="15">
        <f ca="1">IFERROR(__xludf.DUMMYFUNCTION("IF(E1597=""USD"",B1597,B1597 * GOOGLEFINANCE(""CURRENCY:"" &amp; E1597 &amp; ""USD""))
"),375000)</f>
        <v>375000</v>
      </c>
      <c r="G1597" s="16">
        <f ca="1">IFERROR(__xludf.DUMMYFUNCTION("IF(E1597=""USD"",C1597,C1597 * GOOGLEFINANCE(""CURRENCY:"" &amp; E1597 &amp; ""USD""))
"),617172)</f>
        <v>617172</v>
      </c>
    </row>
    <row r="1598" spans="1:7" ht="15.75" customHeight="1" x14ac:dyDescent="0.25">
      <c r="A1598" s="11" t="s">
        <v>133</v>
      </c>
      <c r="B1598" s="12">
        <v>17000000</v>
      </c>
      <c r="C1598" s="12">
        <v>35635046</v>
      </c>
      <c r="D1598" s="12">
        <v>2006</v>
      </c>
      <c r="E1598" s="12" t="str">
        <f>VLOOKUP(A1598, Currency!$A$2:$B$100, 2, FALSE)</f>
        <v>GBP</v>
      </c>
      <c r="F1598" s="12">
        <f ca="1">IFERROR(__xludf.DUMMYFUNCTION("IF(E1598=""USD"",B1598,B1598 * GOOGLEFINANCE(""CURRENCY:"" &amp; E1598 &amp; ""USD""))
"),21851799.9999999)</f>
        <v>21851799.999999899</v>
      </c>
      <c r="G1598" s="13">
        <f ca="1">IFERROR(__xludf.DUMMYFUNCTION("IF(E1598=""USD"",C1598,C1598 * GOOGLEFINANCE(""CURRENCY:"" &amp; E1598 &amp; ""USD""))
"),45805288.1284)</f>
        <v>45805288.128399998</v>
      </c>
    </row>
    <row r="1599" spans="1:7" ht="15.75" customHeight="1" x14ac:dyDescent="0.25">
      <c r="A1599" s="14" t="s">
        <v>133</v>
      </c>
      <c r="B1599" s="15">
        <v>100000000</v>
      </c>
      <c r="C1599" s="15">
        <v>35168677</v>
      </c>
      <c r="D1599" s="15">
        <v>2002</v>
      </c>
      <c r="E1599" s="15" t="str">
        <f>VLOOKUP(A1599, Currency!$A$2:$B$100, 2, FALSE)</f>
        <v>GBP</v>
      </c>
      <c r="F1599" s="15">
        <f ca="1">IFERROR(__xludf.DUMMYFUNCTION("IF(E1599=""USD"",B1599,B1599 * GOOGLEFINANCE(""CURRENCY:"" &amp; E1599 &amp; ""USD""))
"),128539999.999999)</f>
        <v>128539999.999999</v>
      </c>
      <c r="G1599" s="16">
        <f ca="1">IFERROR(__xludf.DUMMYFUNCTION("IF(E1599=""USD"",C1599,C1599 * GOOGLEFINANCE(""CURRENCY:"" &amp; E1599 &amp; ""USD""))
"),45205817.4158)</f>
        <v>45205817.415799998</v>
      </c>
    </row>
    <row r="1600" spans="1:7" ht="15.75" customHeight="1" x14ac:dyDescent="0.25">
      <c r="A1600" s="11" t="s">
        <v>24</v>
      </c>
      <c r="B1600" s="12">
        <v>40000000</v>
      </c>
      <c r="C1600" s="12">
        <v>75305995</v>
      </c>
      <c r="D1600" s="12">
        <v>2004</v>
      </c>
      <c r="E1600" s="12" t="str">
        <f>VLOOKUP(A1600, Currency!$A$2:$B$100, 2, FALSE)</f>
        <v>USD</v>
      </c>
      <c r="F1600" s="12">
        <f ca="1">IFERROR(__xludf.DUMMYFUNCTION("IF(E1600=""USD"",B1600,B1600 * GOOGLEFINANCE(""CURRENCY:"" &amp; E1600 &amp; ""USD""))
"),40000000)</f>
        <v>40000000</v>
      </c>
      <c r="G1600" s="13">
        <f ca="1">IFERROR(__xludf.DUMMYFUNCTION("IF(E1600=""USD"",C1600,C1600 * GOOGLEFINANCE(""CURRENCY:"" &amp; E1600 &amp; ""USD""))
"),75305995)</f>
        <v>75305995</v>
      </c>
    </row>
    <row r="1601" spans="1:7" ht="15.75" customHeight="1" x14ac:dyDescent="0.25">
      <c r="A1601" s="14" t="s">
        <v>24</v>
      </c>
      <c r="B1601" s="15">
        <v>65000000</v>
      </c>
      <c r="C1601" s="15">
        <v>90454043</v>
      </c>
      <c r="D1601" s="15">
        <v>2000</v>
      </c>
      <c r="E1601" s="15" t="str">
        <f>VLOOKUP(A1601, Currency!$A$2:$B$100, 2, FALSE)</f>
        <v>USD</v>
      </c>
      <c r="F1601" s="15">
        <f ca="1">IFERROR(__xludf.DUMMYFUNCTION("IF(E1601=""USD"",B1601,B1601 * GOOGLEFINANCE(""CURRENCY:"" &amp; E1601 &amp; ""USD""))
"),65000000)</f>
        <v>65000000</v>
      </c>
      <c r="G1601" s="16">
        <f ca="1">IFERROR(__xludf.DUMMYFUNCTION("IF(E1601=""USD"",C1601,C1601 * GOOGLEFINANCE(""CURRENCY:"" &amp; E1601 &amp; ""USD""))
"),90454043)</f>
        <v>90454043</v>
      </c>
    </row>
    <row r="1602" spans="1:7" ht="15.75" customHeight="1" x14ac:dyDescent="0.25">
      <c r="A1602" s="11" t="s">
        <v>24</v>
      </c>
      <c r="B1602" s="12">
        <v>25000000</v>
      </c>
      <c r="C1602" s="12">
        <v>14174654</v>
      </c>
      <c r="D1602" s="12">
        <v>2008</v>
      </c>
      <c r="E1602" s="12" t="str">
        <f>VLOOKUP(A1602, Currency!$A$2:$B$100, 2, FALSE)</f>
        <v>USD</v>
      </c>
      <c r="F1602" s="12">
        <f ca="1">IFERROR(__xludf.DUMMYFUNCTION("IF(E1602=""USD"",B1602,B1602 * GOOGLEFINANCE(""CURRENCY:"" &amp; E1602 &amp; ""USD""))
"),25000000)</f>
        <v>25000000</v>
      </c>
      <c r="G1602" s="13">
        <f ca="1">IFERROR(__xludf.DUMMYFUNCTION("IF(E1602=""USD"",C1602,C1602 * GOOGLEFINANCE(""CURRENCY:"" &amp; E1602 &amp; ""USD""))
"),14174654)</f>
        <v>14174654</v>
      </c>
    </row>
    <row r="1603" spans="1:7" ht="15.75" customHeight="1" x14ac:dyDescent="0.25">
      <c r="A1603" s="14" t="s">
        <v>24</v>
      </c>
      <c r="B1603" s="15">
        <v>60000000</v>
      </c>
      <c r="C1603" s="15">
        <v>31111260</v>
      </c>
      <c r="D1603" s="15">
        <v>2003</v>
      </c>
      <c r="E1603" s="15" t="str">
        <f>VLOOKUP(A1603, Currency!$A$2:$B$100, 2, FALSE)</f>
        <v>USD</v>
      </c>
      <c r="F1603" s="15">
        <f ca="1">IFERROR(__xludf.DUMMYFUNCTION("IF(E1603=""USD"",B1603,B1603 * GOOGLEFINANCE(""CURRENCY:"" &amp; E1603 &amp; ""USD""))
"),60000000)</f>
        <v>60000000</v>
      </c>
      <c r="G1603" s="16">
        <f ca="1">IFERROR(__xludf.DUMMYFUNCTION("IF(E1603=""USD"",C1603,C1603 * GOOGLEFINANCE(""CURRENCY:"" &amp; E1603 &amp; ""USD""))
"),31111260)</f>
        <v>31111260</v>
      </c>
    </row>
    <row r="1604" spans="1:7" ht="15.75" customHeight="1" x14ac:dyDescent="0.25">
      <c r="A1604" s="11" t="s">
        <v>24</v>
      </c>
      <c r="B1604" s="12">
        <v>10800000</v>
      </c>
      <c r="C1604" s="12">
        <v>56729973</v>
      </c>
      <c r="D1604" s="12">
        <v>2008</v>
      </c>
      <c r="E1604" s="12" t="str">
        <f>VLOOKUP(A1604, Currency!$A$2:$B$100, 2, FALSE)</f>
        <v>USD</v>
      </c>
      <c r="F1604" s="12">
        <f ca="1">IFERROR(__xludf.DUMMYFUNCTION("IF(E1604=""USD"",B1604,B1604 * GOOGLEFINANCE(""CURRENCY:"" &amp; E1604 &amp; ""USD""))
"),10800000)</f>
        <v>10800000</v>
      </c>
      <c r="G1604" s="13">
        <f ca="1">IFERROR(__xludf.DUMMYFUNCTION("IF(E1604=""USD"",C1604,C1604 * GOOGLEFINANCE(""CURRENCY:"" &amp; E1604 &amp; ""USD""))
"),56729973)</f>
        <v>56729973</v>
      </c>
    </row>
    <row r="1605" spans="1:7" ht="15.75" customHeight="1" x14ac:dyDescent="0.25">
      <c r="A1605" s="14" t="s">
        <v>24</v>
      </c>
      <c r="B1605" s="15">
        <v>115000000</v>
      </c>
      <c r="C1605" s="15">
        <v>131144183</v>
      </c>
      <c r="D1605" s="15">
        <v>2001</v>
      </c>
      <c r="E1605" s="15" t="str">
        <f>VLOOKUP(A1605, Currency!$A$2:$B$100, 2, FALSE)</f>
        <v>USD</v>
      </c>
      <c r="F1605" s="15">
        <f ca="1">IFERROR(__xludf.DUMMYFUNCTION("IF(E1605=""USD"",B1605,B1605 * GOOGLEFINANCE(""CURRENCY:"" &amp; E1605 &amp; ""USD""))
"),115000000)</f>
        <v>115000000</v>
      </c>
      <c r="G1605" s="16">
        <f ca="1">IFERROR(__xludf.DUMMYFUNCTION("IF(E1605=""USD"",C1605,C1605 * GOOGLEFINANCE(""CURRENCY:"" &amp; E1605 &amp; ""USD""))
"),131144183)</f>
        <v>131144183</v>
      </c>
    </row>
    <row r="1606" spans="1:7" ht="15.75" customHeight="1" x14ac:dyDescent="0.25">
      <c r="A1606" s="11" t="s">
        <v>24</v>
      </c>
      <c r="B1606" s="12">
        <v>35000000</v>
      </c>
      <c r="C1606" s="12">
        <v>4496583</v>
      </c>
      <c r="D1606" s="12">
        <v>1993</v>
      </c>
      <c r="E1606" s="12" t="str">
        <f>VLOOKUP(A1606, Currency!$A$2:$B$100, 2, FALSE)</f>
        <v>USD</v>
      </c>
      <c r="F1606" s="12">
        <f ca="1">IFERROR(__xludf.DUMMYFUNCTION("IF(E1606=""USD"",B1606,B1606 * GOOGLEFINANCE(""CURRENCY:"" &amp; E1606 &amp; ""USD""))
"),35000000)</f>
        <v>35000000</v>
      </c>
      <c r="G1606" s="13">
        <f ca="1">IFERROR(__xludf.DUMMYFUNCTION("IF(E1606=""USD"",C1606,C1606 * GOOGLEFINANCE(""CURRENCY:"" &amp; E1606 &amp; ""USD""))
"),4496583)</f>
        <v>4496583</v>
      </c>
    </row>
    <row r="1607" spans="1:7" ht="15.75" customHeight="1" x14ac:dyDescent="0.25">
      <c r="A1607" s="14" t="s">
        <v>24</v>
      </c>
      <c r="B1607" s="15">
        <v>23000000</v>
      </c>
      <c r="C1607" s="15">
        <v>86930411</v>
      </c>
      <c r="D1607" s="15">
        <v>1991</v>
      </c>
      <c r="E1607" s="15" t="str">
        <f>VLOOKUP(A1607, Currency!$A$2:$B$100, 2, FALSE)</f>
        <v>USD</v>
      </c>
      <c r="F1607" s="15">
        <f ca="1">IFERROR(__xludf.DUMMYFUNCTION("IF(E1607=""USD"",B1607,B1607 * GOOGLEFINANCE(""CURRENCY:"" &amp; E1607 &amp; ""USD""))
"),23000000)</f>
        <v>23000000</v>
      </c>
      <c r="G1607" s="16">
        <f ca="1">IFERROR(__xludf.DUMMYFUNCTION("IF(E1607=""USD"",C1607,C1607 * GOOGLEFINANCE(""CURRENCY:"" &amp; E1607 &amp; ""USD""))
"),86930411)</f>
        <v>86930411</v>
      </c>
    </row>
    <row r="1608" spans="1:7" ht="15.75" customHeight="1" x14ac:dyDescent="0.25">
      <c r="A1608" s="11" t="s">
        <v>24</v>
      </c>
      <c r="B1608" s="12">
        <v>23000000</v>
      </c>
      <c r="C1608" s="12">
        <v>7434726</v>
      </c>
      <c r="D1608" s="12">
        <v>1991</v>
      </c>
      <c r="E1608" s="12" t="str">
        <f>VLOOKUP(A1608, Currency!$A$2:$B$100, 2, FALSE)</f>
        <v>USD</v>
      </c>
      <c r="F1608" s="12">
        <f ca="1">IFERROR(__xludf.DUMMYFUNCTION("IF(E1608=""USD"",B1608,B1608 * GOOGLEFINANCE(""CURRENCY:"" &amp; E1608 &amp; ""USD""))
"),23000000)</f>
        <v>23000000</v>
      </c>
      <c r="G1608" s="13">
        <f ca="1">IFERROR(__xludf.DUMMYFUNCTION("IF(E1608=""USD"",C1608,C1608 * GOOGLEFINANCE(""CURRENCY:"" &amp; E1608 &amp; ""USD""))
"),7434726)</f>
        <v>7434726</v>
      </c>
    </row>
    <row r="1609" spans="1:7" ht="15.75" customHeight="1" x14ac:dyDescent="0.25">
      <c r="A1609" s="14" t="s">
        <v>24</v>
      </c>
      <c r="B1609" s="15">
        <v>270000</v>
      </c>
      <c r="C1609" s="15">
        <v>318622</v>
      </c>
      <c r="D1609" s="15">
        <v>2012</v>
      </c>
      <c r="E1609" s="15" t="str">
        <f>VLOOKUP(A1609, Currency!$A$2:$B$100, 2, FALSE)</f>
        <v>USD</v>
      </c>
      <c r="F1609" s="15">
        <f ca="1">IFERROR(__xludf.DUMMYFUNCTION("IF(E1609=""USD"",B1609,B1609 * GOOGLEFINANCE(""CURRENCY:"" &amp; E1609 &amp; ""USD""))
"),270000)</f>
        <v>270000</v>
      </c>
      <c r="G1609" s="16">
        <f ca="1">IFERROR(__xludf.DUMMYFUNCTION("IF(E1609=""USD"",C1609,C1609 * GOOGLEFINANCE(""CURRENCY:"" &amp; E1609 &amp; ""USD""))
"),318622)</f>
        <v>318622</v>
      </c>
    </row>
    <row r="1610" spans="1:7" ht="15.75" customHeight="1" x14ac:dyDescent="0.25">
      <c r="A1610" s="11" t="s">
        <v>24</v>
      </c>
      <c r="B1610" s="12">
        <v>7000</v>
      </c>
      <c r="C1610" s="12">
        <v>2040920</v>
      </c>
      <c r="D1610" s="12">
        <v>1992</v>
      </c>
      <c r="E1610" s="12" t="str">
        <f>VLOOKUP(A1610, Currency!$A$2:$B$100, 2, FALSE)</f>
        <v>USD</v>
      </c>
      <c r="F1610" s="12">
        <f ca="1">IFERROR(__xludf.DUMMYFUNCTION("IF(E1610=""USD"",B1610,B1610 * GOOGLEFINANCE(""CURRENCY:"" &amp; E1610 &amp; ""USD""))
"),7000)</f>
        <v>7000</v>
      </c>
      <c r="G1610" s="13">
        <f ca="1">IFERROR(__xludf.DUMMYFUNCTION("IF(E1610=""USD"",C1610,C1610 * GOOGLEFINANCE(""CURRENCY:"" &amp; E1610 &amp; ""USD""))
"),2040920)</f>
        <v>2040920</v>
      </c>
    </row>
    <row r="1611" spans="1:7" ht="15.75" customHeight="1" x14ac:dyDescent="0.25">
      <c r="A1611" s="14" t="s">
        <v>24</v>
      </c>
      <c r="B1611" s="15">
        <v>110000000</v>
      </c>
      <c r="C1611" s="15">
        <v>61656849</v>
      </c>
      <c r="D1611" s="15">
        <v>2013</v>
      </c>
      <c r="E1611" s="15" t="str">
        <f>VLOOKUP(A1611, Currency!$A$2:$B$100, 2, FALSE)</f>
        <v>USD</v>
      </c>
      <c r="F1611" s="15">
        <f ca="1">IFERROR(__xludf.DUMMYFUNCTION("IF(E1611=""USD"",B1611,B1611 * GOOGLEFINANCE(""CURRENCY:"" &amp; E1611 &amp; ""USD""))
"),110000000)</f>
        <v>110000000</v>
      </c>
      <c r="G1611" s="16">
        <f ca="1">IFERROR(__xludf.DUMMYFUNCTION("IF(E1611=""USD"",C1611,C1611 * GOOGLEFINANCE(""CURRENCY:"" &amp; E1611 &amp; ""USD""))
"),61656849)</f>
        <v>61656849</v>
      </c>
    </row>
    <row r="1612" spans="1:7" ht="15.75" customHeight="1" x14ac:dyDescent="0.25">
      <c r="A1612" s="11" t="s">
        <v>24</v>
      </c>
      <c r="B1612" s="12">
        <v>4000000</v>
      </c>
      <c r="C1612" s="12">
        <v>25359200</v>
      </c>
      <c r="D1612" s="12">
        <v>2014</v>
      </c>
      <c r="E1612" s="12" t="str">
        <f>VLOOKUP(A1612, Currency!$A$2:$B$100, 2, FALSE)</f>
        <v>USD</v>
      </c>
      <c r="F1612" s="12">
        <f ca="1">IFERROR(__xludf.DUMMYFUNCTION("IF(E1612=""USD"",B1612,B1612 * GOOGLEFINANCE(""CURRENCY:"" &amp; E1612 &amp; ""USD""))
"),4000000)</f>
        <v>4000000</v>
      </c>
      <c r="G1612" s="13">
        <f ca="1">IFERROR(__xludf.DUMMYFUNCTION("IF(E1612=""USD"",C1612,C1612 * GOOGLEFINANCE(""CURRENCY:"" &amp; E1612 &amp; ""USD""))
"),25359200)</f>
        <v>25359200</v>
      </c>
    </row>
    <row r="1613" spans="1:7" ht="15.75" customHeight="1" x14ac:dyDescent="0.25">
      <c r="A1613" s="14" t="s">
        <v>24</v>
      </c>
      <c r="B1613" s="15">
        <v>40000000</v>
      </c>
      <c r="C1613" s="15">
        <v>15962471</v>
      </c>
      <c r="D1613" s="15">
        <v>2006</v>
      </c>
      <c r="E1613" s="15" t="str">
        <f>VLOOKUP(A1613, Currency!$A$2:$B$100, 2, FALSE)</f>
        <v>USD</v>
      </c>
      <c r="F1613" s="15">
        <f ca="1">IFERROR(__xludf.DUMMYFUNCTION("IF(E1613=""USD"",B1613,B1613 * GOOGLEFINANCE(""CURRENCY:"" &amp; E1613 &amp; ""USD""))
"),40000000)</f>
        <v>40000000</v>
      </c>
      <c r="G1613" s="16">
        <f ca="1">IFERROR(__xludf.DUMMYFUNCTION("IF(E1613=""USD"",C1613,C1613 * GOOGLEFINANCE(""CURRENCY:"" &amp; E1613 &amp; ""USD""))
"),15962471)</f>
        <v>15962471</v>
      </c>
    </row>
    <row r="1614" spans="1:7" ht="15.75" customHeight="1" x14ac:dyDescent="0.25">
      <c r="A1614" s="11" t="s">
        <v>176</v>
      </c>
      <c r="B1614" s="12">
        <v>35000000</v>
      </c>
      <c r="C1614" s="12">
        <v>60400856</v>
      </c>
      <c r="D1614" s="12">
        <v>2001</v>
      </c>
      <c r="E1614" s="12" t="str">
        <f>VLOOKUP(A1614, Currency!$A$2:$B$100, 2, FALSE)</f>
        <v>EUR</v>
      </c>
      <c r="F1614" s="12">
        <f ca="1">IFERROR(__xludf.DUMMYFUNCTION("IF(E1614=""USD"",B1614,B1614 * GOOGLEFINANCE(""CURRENCY:"" &amp; E1614 &amp; ""USD""))
"),37965900)</f>
        <v>37965900</v>
      </c>
      <c r="G1614" s="13">
        <f ca="1">IFERROR(__xludf.DUMMYFUNCTION("IF(E1614=""USD"",C1614,C1614 * GOOGLEFINANCE(""CURRENCY:"" &amp; E1614 &amp; ""USD""))
"),65519224.53744)</f>
        <v>65519224.537440002</v>
      </c>
    </row>
    <row r="1615" spans="1:7" ht="15.75" customHeight="1" x14ac:dyDescent="0.25">
      <c r="A1615" s="14" t="s">
        <v>24</v>
      </c>
      <c r="B1615" s="15">
        <v>30000000</v>
      </c>
      <c r="C1615" s="15">
        <v>31743332</v>
      </c>
      <c r="D1615" s="15">
        <v>2009</v>
      </c>
      <c r="E1615" s="15" t="str">
        <f>VLOOKUP(A1615, Currency!$A$2:$B$100, 2, FALSE)</f>
        <v>USD</v>
      </c>
      <c r="F1615" s="15">
        <f ca="1">IFERROR(__xludf.DUMMYFUNCTION("IF(E1615=""USD"",B1615,B1615 * GOOGLEFINANCE(""CURRENCY:"" &amp; E1615 &amp; ""USD""))
"),30000000)</f>
        <v>30000000</v>
      </c>
      <c r="G1615" s="16">
        <f ca="1">IFERROR(__xludf.DUMMYFUNCTION("IF(E1615=""USD"",C1615,C1615 * GOOGLEFINANCE(""CURRENCY:"" &amp; E1615 &amp; ""USD""))
"),31743332)</f>
        <v>31743332</v>
      </c>
    </row>
    <row r="1616" spans="1:7" ht="15.75" customHeight="1" x14ac:dyDescent="0.25">
      <c r="A1616" s="11" t="s">
        <v>24</v>
      </c>
      <c r="B1616" s="12">
        <v>18000000</v>
      </c>
      <c r="C1616" s="12">
        <v>6000000</v>
      </c>
      <c r="D1616" s="12">
        <v>1981</v>
      </c>
      <c r="E1616" s="12" t="str">
        <f>VLOOKUP(A1616, Currency!$A$2:$B$100, 2, FALSE)</f>
        <v>USD</v>
      </c>
      <c r="F1616" s="12">
        <f ca="1">IFERROR(__xludf.DUMMYFUNCTION("IF(E1616=""USD"",B1616,B1616 * GOOGLEFINANCE(""CURRENCY:"" &amp; E1616 &amp; ""USD""))
"),18000000)</f>
        <v>18000000</v>
      </c>
      <c r="G1616" s="13">
        <f ca="1">IFERROR(__xludf.DUMMYFUNCTION("IF(E1616=""USD"",C1616,C1616 * GOOGLEFINANCE(""CURRENCY:"" &amp; E1616 &amp; ""USD""))
"),6000000)</f>
        <v>6000000</v>
      </c>
    </row>
    <row r="1617" spans="1:7" ht="15.75" customHeight="1" x14ac:dyDescent="0.25">
      <c r="A1617" s="14" t="s">
        <v>133</v>
      </c>
      <c r="B1617" s="15">
        <v>149000000</v>
      </c>
      <c r="C1617" s="15">
        <v>64459316</v>
      </c>
      <c r="D1617" s="15">
        <v>2006</v>
      </c>
      <c r="E1617" s="15" t="str">
        <f>VLOOKUP(A1617, Currency!$A$2:$B$100, 2, FALSE)</f>
        <v>GBP</v>
      </c>
      <c r="F1617" s="15">
        <f ca="1">IFERROR(__xludf.DUMMYFUNCTION("IF(E1617=""USD"",B1617,B1617 * GOOGLEFINANCE(""CURRENCY:"" &amp; E1617 &amp; ""USD""))
"),191524599.999999)</f>
        <v>191524599.99999899</v>
      </c>
      <c r="G1617" s="16">
        <f ca="1">IFERROR(__xludf.DUMMYFUNCTION("IF(E1617=""USD"",C1617,C1617 * GOOGLEFINANCE(""CURRENCY:"" &amp; E1617 &amp; ""USD""))
"),82856004.7863999)</f>
        <v>82856004.786399901</v>
      </c>
    </row>
    <row r="1618" spans="1:7" ht="15.75" customHeight="1" x14ac:dyDescent="0.25">
      <c r="A1618" s="11" t="s">
        <v>24</v>
      </c>
      <c r="B1618" s="12">
        <v>48000000</v>
      </c>
      <c r="C1618" s="12">
        <v>29781453</v>
      </c>
      <c r="D1618" s="12">
        <v>2001</v>
      </c>
      <c r="E1618" s="12" t="str">
        <f>VLOOKUP(A1618, Currency!$A$2:$B$100, 2, FALSE)</f>
        <v>USD</v>
      </c>
      <c r="F1618" s="12">
        <f ca="1">IFERROR(__xludf.DUMMYFUNCTION("IF(E1618=""USD"",B1618,B1618 * GOOGLEFINANCE(""CURRENCY:"" &amp; E1618 &amp; ""USD""))
"),48000000)</f>
        <v>48000000</v>
      </c>
      <c r="G1618" s="13">
        <f ca="1">IFERROR(__xludf.DUMMYFUNCTION("IF(E1618=""USD"",C1618,C1618 * GOOGLEFINANCE(""CURRENCY:"" &amp; E1618 &amp; ""USD""))
"),29781453)</f>
        <v>29781453</v>
      </c>
    </row>
    <row r="1619" spans="1:7" ht="15.75" customHeight="1" x14ac:dyDescent="0.25">
      <c r="A1619" s="14" t="s">
        <v>24</v>
      </c>
      <c r="B1619" s="15">
        <v>28000000</v>
      </c>
      <c r="C1619" s="15">
        <v>81350242</v>
      </c>
      <c r="D1619" s="15">
        <v>1988</v>
      </c>
      <c r="E1619" s="15" t="str">
        <f>VLOOKUP(A1619, Currency!$A$2:$B$100, 2, FALSE)</f>
        <v>USD</v>
      </c>
      <c r="F1619" s="15">
        <f ca="1">IFERROR(__xludf.DUMMYFUNCTION("IF(E1619=""USD"",B1619,B1619 * GOOGLEFINANCE(""CURRENCY:"" &amp; E1619 &amp; ""USD""))
"),28000000)</f>
        <v>28000000</v>
      </c>
      <c r="G1619" s="16">
        <f ca="1">IFERROR(__xludf.DUMMYFUNCTION("IF(E1619=""USD"",C1619,C1619 * GOOGLEFINANCE(""CURRENCY:"" &amp; E1619 &amp; ""USD""))
"),81350242)</f>
        <v>81350242</v>
      </c>
    </row>
    <row r="1620" spans="1:7" ht="15.75" customHeight="1" x14ac:dyDescent="0.25">
      <c r="A1620" s="11" t="s">
        <v>24</v>
      </c>
      <c r="B1620" s="12">
        <v>5000000</v>
      </c>
      <c r="C1620" s="12">
        <v>143000</v>
      </c>
      <c r="D1620" s="12">
        <v>2009</v>
      </c>
      <c r="E1620" s="12" t="str">
        <f>VLOOKUP(A1620, Currency!$A$2:$B$100, 2, FALSE)</f>
        <v>USD</v>
      </c>
      <c r="F1620" s="12">
        <f ca="1">IFERROR(__xludf.DUMMYFUNCTION("IF(E1620=""USD"",B1620,B1620 * GOOGLEFINANCE(""CURRENCY:"" &amp; E1620 &amp; ""USD""))
"),5000000)</f>
        <v>5000000</v>
      </c>
      <c r="G1620" s="13">
        <f ca="1">IFERROR(__xludf.DUMMYFUNCTION("IF(E1620=""USD"",C1620,C1620 * GOOGLEFINANCE(""CURRENCY:"" &amp; E1620 &amp; ""USD""))
"),143000)</f>
        <v>143000</v>
      </c>
    </row>
    <row r="1621" spans="1:7" ht="15.75" customHeight="1" x14ac:dyDescent="0.25">
      <c r="A1621" s="14" t="s">
        <v>24</v>
      </c>
      <c r="B1621" s="15">
        <v>500000</v>
      </c>
      <c r="C1621" s="15">
        <v>295468</v>
      </c>
      <c r="D1621" s="15">
        <v>2001</v>
      </c>
      <c r="E1621" s="15" t="str">
        <f>VLOOKUP(A1621, Currency!$A$2:$B$100, 2, FALSE)</f>
        <v>USD</v>
      </c>
      <c r="F1621" s="15">
        <f ca="1">IFERROR(__xludf.DUMMYFUNCTION("IF(E1621=""USD"",B1621,B1621 * GOOGLEFINANCE(""CURRENCY:"" &amp; E1621 &amp; ""USD""))
"),500000)</f>
        <v>500000</v>
      </c>
      <c r="G1621" s="16">
        <f ca="1">IFERROR(__xludf.DUMMYFUNCTION("IF(E1621=""USD"",C1621,C1621 * GOOGLEFINANCE(""CURRENCY:"" &amp; E1621 &amp; ""USD""))
"),295468)</f>
        <v>295468</v>
      </c>
    </row>
    <row r="1622" spans="1:7" ht="15.75" customHeight="1" x14ac:dyDescent="0.25">
      <c r="A1622" s="11" t="s">
        <v>24</v>
      </c>
      <c r="B1622" s="12">
        <v>84000000</v>
      </c>
      <c r="C1622" s="12">
        <v>53215979</v>
      </c>
      <c r="D1622" s="12">
        <v>2013</v>
      </c>
      <c r="E1622" s="12" t="str">
        <f>VLOOKUP(A1622, Currency!$A$2:$B$100, 2, FALSE)</f>
        <v>USD</v>
      </c>
      <c r="F1622" s="12">
        <f ca="1">IFERROR(__xludf.DUMMYFUNCTION("IF(E1622=""USD"",B1622,B1622 * GOOGLEFINANCE(""CURRENCY:"" &amp; E1622 &amp; ""USD""))
"),84000000)</f>
        <v>84000000</v>
      </c>
      <c r="G1622" s="13">
        <f ca="1">IFERROR(__xludf.DUMMYFUNCTION("IF(E1622=""USD"",C1622,C1622 * GOOGLEFINANCE(""CURRENCY:"" &amp; E1622 &amp; ""USD""))
"),53215979)</f>
        <v>53215979</v>
      </c>
    </row>
    <row r="1623" spans="1:7" ht="15.75" customHeight="1" x14ac:dyDescent="0.25">
      <c r="A1623" s="14" t="s">
        <v>24</v>
      </c>
      <c r="B1623" s="15">
        <v>40000000</v>
      </c>
      <c r="C1623" s="15">
        <v>72455275</v>
      </c>
      <c r="D1623" s="15">
        <v>1992</v>
      </c>
      <c r="E1623" s="15" t="str">
        <f>VLOOKUP(A1623, Currency!$A$2:$B$100, 2, FALSE)</f>
        <v>USD</v>
      </c>
      <c r="F1623" s="15">
        <f ca="1">IFERROR(__xludf.DUMMYFUNCTION("IF(E1623=""USD"",B1623,B1623 * GOOGLEFINANCE(""CURRENCY:"" &amp; E1623 &amp; ""USD""))
"),40000000)</f>
        <v>40000000</v>
      </c>
      <c r="G1623" s="16">
        <f ca="1">IFERROR(__xludf.DUMMYFUNCTION("IF(E1623=""USD"",C1623,C1623 * GOOGLEFINANCE(""CURRENCY:"" &amp; E1623 &amp; ""USD""))
"),72455275)</f>
        <v>72455275</v>
      </c>
    </row>
    <row r="1624" spans="1:7" ht="15.75" customHeight="1" x14ac:dyDescent="0.25">
      <c r="A1624" s="11" t="s">
        <v>24</v>
      </c>
      <c r="B1624" s="12">
        <v>500000</v>
      </c>
      <c r="C1624" s="12">
        <v>906666</v>
      </c>
      <c r="D1624" s="12">
        <v>2011</v>
      </c>
      <c r="E1624" s="12" t="str">
        <f>VLOOKUP(A1624, Currency!$A$2:$B$100, 2, FALSE)</f>
        <v>USD</v>
      </c>
      <c r="F1624" s="12">
        <f ca="1">IFERROR(__xludf.DUMMYFUNCTION("IF(E1624=""USD"",B1624,B1624 * GOOGLEFINANCE(""CURRENCY:"" &amp; E1624 &amp; ""USD""))
"),500000)</f>
        <v>500000</v>
      </c>
      <c r="G1624" s="13">
        <f ca="1">IFERROR(__xludf.DUMMYFUNCTION("IF(E1624=""USD"",C1624,C1624 * GOOGLEFINANCE(""CURRENCY:"" &amp; E1624 &amp; ""USD""))
"),906666)</f>
        <v>906666</v>
      </c>
    </row>
    <row r="1625" spans="1:7" ht="15.75" customHeight="1" x14ac:dyDescent="0.25">
      <c r="A1625" s="14" t="s">
        <v>24</v>
      </c>
      <c r="B1625" s="15">
        <v>30000000</v>
      </c>
      <c r="C1625" s="15">
        <v>67253092</v>
      </c>
      <c r="D1625" s="15">
        <v>2005</v>
      </c>
      <c r="E1625" s="15" t="str">
        <f>VLOOKUP(A1625, Currency!$A$2:$B$100, 2, FALSE)</f>
        <v>USD</v>
      </c>
      <c r="F1625" s="15">
        <f ca="1">IFERROR(__xludf.DUMMYFUNCTION("IF(E1625=""USD"",B1625,B1625 * GOOGLEFINANCE(""CURRENCY:"" &amp; E1625 &amp; ""USD""))
"),30000000)</f>
        <v>30000000</v>
      </c>
      <c r="G1625" s="16">
        <f ca="1">IFERROR(__xludf.DUMMYFUNCTION("IF(E1625=""USD"",C1625,C1625 * GOOGLEFINANCE(""CURRENCY:"" &amp; E1625 &amp; ""USD""))
"),67253092)</f>
        <v>67253092</v>
      </c>
    </row>
    <row r="1626" spans="1:7" ht="15.75" customHeight="1" x14ac:dyDescent="0.25">
      <c r="A1626" s="11" t="s">
        <v>24</v>
      </c>
      <c r="B1626" s="12">
        <v>26000000</v>
      </c>
      <c r="C1626" s="12">
        <v>47285499</v>
      </c>
      <c r="D1626" s="12">
        <v>2003</v>
      </c>
      <c r="E1626" s="12" t="str">
        <f>VLOOKUP(A1626, Currency!$A$2:$B$100, 2, FALSE)</f>
        <v>USD</v>
      </c>
      <c r="F1626" s="12">
        <f ca="1">IFERROR(__xludf.DUMMYFUNCTION("IF(E1626=""USD"",B1626,B1626 * GOOGLEFINANCE(""CURRENCY:"" &amp; E1626 &amp; ""USD""))
"),26000000)</f>
        <v>26000000</v>
      </c>
      <c r="G1626" s="13">
        <f ca="1">IFERROR(__xludf.DUMMYFUNCTION("IF(E1626=""USD"",C1626,C1626 * GOOGLEFINANCE(""CURRENCY:"" &amp; E1626 &amp; ""USD""))
"),47285499)</f>
        <v>47285499</v>
      </c>
    </row>
    <row r="1627" spans="1:7" ht="15.75" customHeight="1" x14ac:dyDescent="0.25">
      <c r="A1627" s="14" t="s">
        <v>24</v>
      </c>
      <c r="B1627" s="15">
        <v>16500000</v>
      </c>
      <c r="C1627" s="15">
        <v>26896744</v>
      </c>
      <c r="D1627" s="15">
        <v>2008</v>
      </c>
      <c r="E1627" s="15" t="str">
        <f>VLOOKUP(A1627, Currency!$A$2:$B$100, 2, FALSE)</f>
        <v>USD</v>
      </c>
      <c r="F1627" s="15">
        <f ca="1">IFERROR(__xludf.DUMMYFUNCTION("IF(E1627=""USD"",B1627,B1627 * GOOGLEFINANCE(""CURRENCY:"" &amp; E1627 &amp; ""USD""))
"),16500000)</f>
        <v>16500000</v>
      </c>
      <c r="G1627" s="16">
        <f ca="1">IFERROR(__xludf.DUMMYFUNCTION("IF(E1627=""USD"",C1627,C1627 * GOOGLEFINANCE(""CURRENCY:"" &amp; E1627 &amp; ""USD""))
"),26896744)</f>
        <v>26896744</v>
      </c>
    </row>
    <row r="1628" spans="1:7" ht="15.75" customHeight="1" x14ac:dyDescent="0.25">
      <c r="A1628" s="11" t="s">
        <v>627</v>
      </c>
      <c r="B1628" s="12">
        <v>27000000</v>
      </c>
      <c r="C1628" s="12">
        <v>44450000</v>
      </c>
      <c r="D1628" s="12">
        <v>1994</v>
      </c>
      <c r="E1628" s="12" t="str">
        <f>VLOOKUP(A1628, Currency!$A$2:$B$100, 2, FALSE)</f>
        <v>CAD</v>
      </c>
      <c r="F1628" s="12">
        <f ca="1">IFERROR(__xludf.DUMMYFUNCTION("IF(E1628=""USD"",B1628,B1628 * GOOGLEFINANCE(""CURRENCY:"" &amp; E1628 &amp; ""USD""))
"),19531935)</f>
        <v>19531935</v>
      </c>
      <c r="G1628" s="13">
        <f ca="1">IFERROR(__xludf.DUMMYFUNCTION("IF(E1628=""USD"",C1628,C1628 * GOOGLEFINANCE(""CURRENCY:"" &amp; E1628 &amp; ""USD""))
"),32155352.25)</f>
        <v>32155352.25</v>
      </c>
    </row>
    <row r="1629" spans="1:7" ht="15.75" customHeight="1" x14ac:dyDescent="0.25">
      <c r="A1629" s="14" t="s">
        <v>24</v>
      </c>
      <c r="B1629" s="15">
        <v>6000000</v>
      </c>
      <c r="C1629" s="15">
        <v>134821952</v>
      </c>
      <c r="D1629" s="15">
        <v>1972</v>
      </c>
      <c r="E1629" s="15" t="str">
        <f>VLOOKUP(A1629, Currency!$A$2:$B$100, 2, FALSE)</f>
        <v>USD</v>
      </c>
      <c r="F1629" s="15">
        <f ca="1">IFERROR(__xludf.DUMMYFUNCTION("IF(E1629=""USD"",B1629,B1629 * GOOGLEFINANCE(""CURRENCY:"" &amp; E1629 &amp; ""USD""))
"),6000000)</f>
        <v>6000000</v>
      </c>
      <c r="G1629" s="16">
        <f ca="1">IFERROR(__xludf.DUMMYFUNCTION("IF(E1629=""USD"",C1629,C1629 * GOOGLEFINANCE(""CURRENCY:"" &amp; E1629 &amp; ""USD""))
"),134821952)</f>
        <v>134821952</v>
      </c>
    </row>
    <row r="1630" spans="1:7" ht="15.75" customHeight="1" x14ac:dyDescent="0.25">
      <c r="A1630" s="11" t="s">
        <v>24</v>
      </c>
      <c r="B1630" s="12">
        <v>50000000</v>
      </c>
      <c r="C1630" s="12">
        <v>126975169</v>
      </c>
      <c r="D1630" s="12">
        <v>2011</v>
      </c>
      <c r="E1630" s="12" t="str">
        <f>VLOOKUP(A1630, Currency!$A$2:$B$100, 2, FALSE)</f>
        <v>USD</v>
      </c>
      <c r="F1630" s="12">
        <f ca="1">IFERROR(__xludf.DUMMYFUNCTION("IF(E1630=""USD"",B1630,B1630 * GOOGLEFINANCE(""CURRENCY:"" &amp; E1630 &amp; ""USD""))
"),50000000)</f>
        <v>50000000</v>
      </c>
      <c r="G1630" s="13">
        <f ca="1">IFERROR(__xludf.DUMMYFUNCTION("IF(E1630=""USD"",C1630,C1630 * GOOGLEFINANCE(""CURRENCY:"" &amp; E1630 &amp; ""USD""))
"),126975169)</f>
        <v>126975169</v>
      </c>
    </row>
    <row r="1631" spans="1:7" ht="15.75" customHeight="1" x14ac:dyDescent="0.25">
      <c r="A1631" s="14" t="s">
        <v>24</v>
      </c>
      <c r="B1631" s="15">
        <v>29000000</v>
      </c>
      <c r="C1631" s="15">
        <v>64286</v>
      </c>
      <c r="D1631" s="15">
        <v>2004</v>
      </c>
      <c r="E1631" s="15" t="str">
        <f>VLOOKUP(A1631, Currency!$A$2:$B$100, 2, FALSE)</f>
        <v>USD</v>
      </c>
      <c r="F1631" s="15">
        <f ca="1">IFERROR(__xludf.DUMMYFUNCTION("IF(E1631=""USD"",B1631,B1631 * GOOGLEFINANCE(""CURRENCY:"" &amp; E1631 &amp; ""USD""))
"),29000000)</f>
        <v>29000000</v>
      </c>
      <c r="G1631" s="16">
        <f ca="1">IFERROR(__xludf.DUMMYFUNCTION("IF(E1631=""USD"",C1631,C1631 * GOOGLEFINANCE(""CURRENCY:"" &amp; E1631 &amp; ""USD""))
"),64286)</f>
        <v>64286</v>
      </c>
    </row>
    <row r="1632" spans="1:7" ht="15.75" customHeight="1" x14ac:dyDescent="0.25">
      <c r="A1632" s="11" t="s">
        <v>176</v>
      </c>
      <c r="B1632" s="12">
        <v>46000000</v>
      </c>
      <c r="C1632" s="12">
        <v>70327868</v>
      </c>
      <c r="D1632" s="12">
        <v>2000</v>
      </c>
      <c r="E1632" s="12" t="str">
        <f>VLOOKUP(A1632, Currency!$A$2:$B$100, 2, FALSE)</f>
        <v>EUR</v>
      </c>
      <c r="F1632" s="12">
        <f ca="1">IFERROR(__xludf.DUMMYFUNCTION("IF(E1632=""USD"",B1632,B1632 * GOOGLEFINANCE(""CURRENCY:"" &amp; E1632 &amp; ""USD""))
"),49898040)</f>
        <v>49898040</v>
      </c>
      <c r="G1632" s="13">
        <f ca="1">IFERROR(__xludf.DUMMYFUNCTION("IF(E1632=""USD"",C1632,C1632 * GOOGLEFINANCE(""CURRENCY:"" &amp; E1632 &amp; ""USD""))
"),76287451.53432)</f>
        <v>76287451.534319997</v>
      </c>
    </row>
    <row r="1633" spans="1:7" ht="15.75" customHeight="1" x14ac:dyDescent="0.25">
      <c r="A1633" s="14" t="s">
        <v>24</v>
      </c>
      <c r="B1633" s="15">
        <v>32500000</v>
      </c>
      <c r="C1633" s="15">
        <v>309125409</v>
      </c>
      <c r="D1633" s="15">
        <v>1983</v>
      </c>
      <c r="E1633" s="15" t="str">
        <f>VLOOKUP(A1633, Currency!$A$2:$B$100, 2, FALSE)</f>
        <v>USD</v>
      </c>
      <c r="F1633" s="15">
        <f ca="1">IFERROR(__xludf.DUMMYFUNCTION("IF(E1633=""USD"",B1633,B1633 * GOOGLEFINANCE(""CURRENCY:"" &amp; E1633 &amp; ""USD""))
"),32500000)</f>
        <v>32500000</v>
      </c>
      <c r="G1633" s="16">
        <f ca="1">IFERROR(__xludf.DUMMYFUNCTION("IF(E1633=""USD"",C1633,C1633 * GOOGLEFINANCE(""CURRENCY:"" &amp; E1633 &amp; ""USD""))
"),309125409)</f>
        <v>309125409</v>
      </c>
    </row>
    <row r="1634" spans="1:7" ht="15.75" customHeight="1" x14ac:dyDescent="0.25">
      <c r="A1634" s="11" t="s">
        <v>24</v>
      </c>
      <c r="B1634" s="12">
        <v>14000000</v>
      </c>
      <c r="C1634" s="12">
        <v>46495</v>
      </c>
      <c r="D1634" s="12">
        <v>2011</v>
      </c>
      <c r="E1634" s="12" t="str">
        <f>VLOOKUP(A1634, Currency!$A$2:$B$100, 2, FALSE)</f>
        <v>USD</v>
      </c>
      <c r="F1634" s="12">
        <f ca="1">IFERROR(__xludf.DUMMYFUNCTION("IF(E1634=""USD"",B1634,B1634 * GOOGLEFINANCE(""CURRENCY:"" &amp; E1634 &amp; ""USD""))
"),14000000)</f>
        <v>14000000</v>
      </c>
      <c r="G1634" s="13">
        <f ca="1">IFERROR(__xludf.DUMMYFUNCTION("IF(E1634=""USD"",C1634,C1634 * GOOGLEFINANCE(""CURRENCY:"" &amp; E1634 &amp; ""USD""))
"),46495)</f>
        <v>46495</v>
      </c>
    </row>
    <row r="1635" spans="1:7" ht="15.75" customHeight="1" x14ac:dyDescent="0.25">
      <c r="A1635" s="14" t="s">
        <v>24</v>
      </c>
      <c r="B1635" s="15">
        <v>500000</v>
      </c>
      <c r="C1635" s="15">
        <v>48430</v>
      </c>
      <c r="D1635" s="15">
        <v>2010</v>
      </c>
      <c r="E1635" s="15" t="str">
        <f>VLOOKUP(A1635, Currency!$A$2:$B$100, 2, FALSE)</f>
        <v>USD</v>
      </c>
      <c r="F1635" s="15">
        <f ca="1">IFERROR(__xludf.DUMMYFUNCTION("IF(E1635=""USD"",B1635,B1635 * GOOGLEFINANCE(""CURRENCY:"" &amp; E1635 &amp; ""USD""))
"),500000)</f>
        <v>500000</v>
      </c>
      <c r="G1635" s="16">
        <f ca="1">IFERROR(__xludf.DUMMYFUNCTION("IF(E1635=""USD"",C1635,C1635 * GOOGLEFINANCE(""CURRENCY:"" &amp; E1635 &amp; ""USD""))
"),48430)</f>
        <v>48430</v>
      </c>
    </row>
    <row r="1636" spans="1:7" ht="15.75" customHeight="1" x14ac:dyDescent="0.25">
      <c r="A1636" s="11" t="s">
        <v>24</v>
      </c>
      <c r="B1636" s="12">
        <v>40000000</v>
      </c>
      <c r="C1636" s="12">
        <v>25335935</v>
      </c>
      <c r="D1636" s="12">
        <v>2005</v>
      </c>
      <c r="E1636" s="12" t="str">
        <f>VLOOKUP(A1636, Currency!$A$2:$B$100, 2, FALSE)</f>
        <v>USD</v>
      </c>
      <c r="F1636" s="12">
        <f ca="1">IFERROR(__xludf.DUMMYFUNCTION("IF(E1636=""USD"",B1636,B1636 * GOOGLEFINANCE(""CURRENCY:"" &amp; E1636 &amp; ""USD""))
"),40000000)</f>
        <v>40000000</v>
      </c>
      <c r="G1636" s="13">
        <f ca="1">IFERROR(__xludf.DUMMYFUNCTION("IF(E1636=""USD"",C1636,C1636 * GOOGLEFINANCE(""CURRENCY:"" &amp; E1636 &amp; ""USD""))
"),25335935)</f>
        <v>25335935</v>
      </c>
    </row>
    <row r="1637" spans="1:7" ht="15.75" customHeight="1" x14ac:dyDescent="0.25">
      <c r="A1637" s="14" t="s">
        <v>24</v>
      </c>
      <c r="B1637" s="15">
        <v>105000000</v>
      </c>
      <c r="C1637" s="15">
        <v>104374107</v>
      </c>
      <c r="D1637" s="15">
        <v>2009</v>
      </c>
      <c r="E1637" s="15" t="str">
        <f>VLOOKUP(A1637, Currency!$A$2:$B$100, 2, FALSE)</f>
        <v>USD</v>
      </c>
      <c r="F1637" s="15">
        <f ca="1">IFERROR(__xludf.DUMMYFUNCTION("IF(E1637=""USD"",B1637,B1637 * GOOGLEFINANCE(""CURRENCY:"" &amp; E1637 &amp; ""USD""))
"),105000000)</f>
        <v>105000000</v>
      </c>
      <c r="G1637" s="16">
        <f ca="1">IFERROR(__xludf.DUMMYFUNCTION("IF(E1637=""USD"",C1637,C1637 * GOOGLEFINANCE(""CURRENCY:"" &amp; E1637 &amp; ""USD""))
"),104374107)</f>
        <v>104374107</v>
      </c>
    </row>
    <row r="1638" spans="1:7" ht="15.75" customHeight="1" x14ac:dyDescent="0.25">
      <c r="A1638" s="11" t="s">
        <v>220</v>
      </c>
      <c r="B1638" s="12">
        <v>100000000</v>
      </c>
      <c r="C1638" s="12">
        <v>11041228</v>
      </c>
      <c r="D1638" s="12">
        <v>2004</v>
      </c>
      <c r="E1638" s="12" t="str">
        <f>VLOOKUP(A1638, Currency!$A$2:$B$100, 2, FALSE)</f>
        <v>CNY</v>
      </c>
      <c r="F1638" s="12">
        <f ca="1">IFERROR(__xludf.DUMMYFUNCTION("IF(E1638=""USD"",B1638,B1638 * GOOGLEFINANCE(""CURRENCY:"" &amp; E1638 &amp; ""USD""))
"),13828389.9999999)</f>
        <v>13828389.999999899</v>
      </c>
      <c r="G1638" s="13">
        <f ca="1">IFERROR(__xludf.DUMMYFUNCTION("IF(E1638=""USD"",C1638,C1638 * GOOGLEFINANCE(""CURRENCY:"" &amp; E1638 &amp; ""USD""))
"),1526824.06862919)</f>
        <v>1526824.0686291901</v>
      </c>
    </row>
    <row r="1639" spans="1:7" ht="15.75" customHeight="1" x14ac:dyDescent="0.25">
      <c r="A1639" s="14" t="s">
        <v>24</v>
      </c>
      <c r="B1639" s="15">
        <v>28000000</v>
      </c>
      <c r="C1639" s="15">
        <v>28751715</v>
      </c>
      <c r="D1639" s="15">
        <v>2013</v>
      </c>
      <c r="E1639" s="15" t="str">
        <f>VLOOKUP(A1639, Currency!$A$2:$B$100, 2, FALSE)</f>
        <v>USD</v>
      </c>
      <c r="F1639" s="15">
        <f ca="1">IFERROR(__xludf.DUMMYFUNCTION("IF(E1639=""USD"",B1639,B1639 * GOOGLEFINANCE(""CURRENCY:"" &amp; E1639 &amp; ""USD""))
"),28000000)</f>
        <v>28000000</v>
      </c>
      <c r="G1639" s="16">
        <f ca="1">IFERROR(__xludf.DUMMYFUNCTION("IF(E1639=""USD"",C1639,C1639 * GOOGLEFINANCE(""CURRENCY:"" &amp; E1639 &amp; ""USD""))
"),28751715)</f>
        <v>28751715</v>
      </c>
    </row>
    <row r="1640" spans="1:7" ht="15.75" customHeight="1" x14ac:dyDescent="0.25">
      <c r="A1640" s="11" t="s">
        <v>24</v>
      </c>
      <c r="B1640" s="12">
        <v>1000000</v>
      </c>
      <c r="C1640" s="12">
        <v>21378000</v>
      </c>
      <c r="D1640" s="12">
        <v>1980</v>
      </c>
      <c r="E1640" s="12" t="str">
        <f>VLOOKUP(A1640, Currency!$A$2:$B$100, 2, FALSE)</f>
        <v>USD</v>
      </c>
      <c r="F1640" s="12">
        <f ca="1">IFERROR(__xludf.DUMMYFUNCTION("IF(E1640=""USD"",B1640,B1640 * GOOGLEFINANCE(""CURRENCY:"" &amp; E1640 &amp; ""USD""))
"),1000000)</f>
        <v>1000000</v>
      </c>
      <c r="G1640" s="13">
        <f ca="1">IFERROR(__xludf.DUMMYFUNCTION("IF(E1640=""USD"",C1640,C1640 * GOOGLEFINANCE(""CURRENCY:"" &amp; E1640 &amp; ""USD""))
"),21378000)</f>
        <v>21378000</v>
      </c>
    </row>
    <row r="1641" spans="1:7" ht="15.75" customHeight="1" x14ac:dyDescent="0.25">
      <c r="A1641" s="14" t="s">
        <v>24</v>
      </c>
      <c r="B1641" s="15">
        <v>25000000</v>
      </c>
      <c r="C1641" s="15">
        <v>14095303</v>
      </c>
      <c r="D1641" s="15">
        <v>1996</v>
      </c>
      <c r="E1641" s="15" t="str">
        <f>VLOOKUP(A1641, Currency!$A$2:$B$100, 2, FALSE)</f>
        <v>USD</v>
      </c>
      <c r="F1641" s="15">
        <f ca="1">IFERROR(__xludf.DUMMYFUNCTION("IF(E1641=""USD"",B1641,B1641 * GOOGLEFINANCE(""CURRENCY:"" &amp; E1641 &amp; ""USD""))
"),25000000)</f>
        <v>25000000</v>
      </c>
      <c r="G1641" s="16">
        <f ca="1">IFERROR(__xludf.DUMMYFUNCTION("IF(E1641=""USD"",C1641,C1641 * GOOGLEFINANCE(""CURRENCY:"" &amp; E1641 &amp; ""USD""))
"),14095303)</f>
        <v>14095303</v>
      </c>
    </row>
    <row r="1642" spans="1:7" ht="15.75" customHeight="1" x14ac:dyDescent="0.25">
      <c r="A1642" s="11" t="s">
        <v>24</v>
      </c>
      <c r="B1642" s="12">
        <v>79000000</v>
      </c>
      <c r="C1642" s="12">
        <v>95632614</v>
      </c>
      <c r="D1642" s="12">
        <v>2003</v>
      </c>
      <c r="E1642" s="12" t="str">
        <f>VLOOKUP(A1642, Currency!$A$2:$B$100, 2, FALSE)</f>
        <v>USD</v>
      </c>
      <c r="F1642" s="12">
        <f ca="1">IFERROR(__xludf.DUMMYFUNCTION("IF(E1642=""USD"",B1642,B1642 * GOOGLEFINANCE(""CURRENCY:"" &amp; E1642 &amp; ""USD""))
"),79000000)</f>
        <v>79000000</v>
      </c>
      <c r="G1642" s="13">
        <f ca="1">IFERROR(__xludf.DUMMYFUNCTION("IF(E1642=""USD"",C1642,C1642 * GOOGLEFINANCE(""CURRENCY:"" &amp; E1642 &amp; ""USD""))
"),95632614)</f>
        <v>95632614</v>
      </c>
    </row>
    <row r="1643" spans="1:7" ht="15.75" customHeight="1" x14ac:dyDescent="0.25">
      <c r="A1643" s="14" t="s">
        <v>24</v>
      </c>
      <c r="B1643" s="15">
        <v>85000000</v>
      </c>
      <c r="C1643" s="15">
        <v>63224849</v>
      </c>
      <c r="D1643" s="15">
        <v>2006</v>
      </c>
      <c r="E1643" s="15" t="str">
        <f>VLOOKUP(A1643, Currency!$A$2:$B$100, 2, FALSE)</f>
        <v>USD</v>
      </c>
      <c r="F1643" s="15">
        <f ca="1">IFERROR(__xludf.DUMMYFUNCTION("IF(E1643=""USD"",B1643,B1643 * GOOGLEFINANCE(""CURRENCY:"" &amp; E1643 &amp; ""USD""))
"),85000000)</f>
        <v>85000000</v>
      </c>
      <c r="G1643" s="16">
        <f ca="1">IFERROR(__xludf.DUMMYFUNCTION("IF(E1643=""USD"",C1643,C1643 * GOOGLEFINANCE(""CURRENCY:"" &amp; E1643 &amp; ""USD""))
"),63224849)</f>
        <v>63224849</v>
      </c>
    </row>
    <row r="1644" spans="1:7" ht="15.75" customHeight="1" x14ac:dyDescent="0.25">
      <c r="A1644" s="11" t="s">
        <v>611</v>
      </c>
      <c r="B1644" s="12">
        <v>160000000</v>
      </c>
      <c r="C1644" s="12">
        <v>10762178</v>
      </c>
      <c r="D1644" s="12">
        <v>2001</v>
      </c>
      <c r="E1644" s="12" t="str">
        <f>VLOOKUP(A1644, Currency!$A$2:$B$100, 2, FALSE)</f>
        <v>EUR</v>
      </c>
      <c r="F1644" s="12">
        <f ca="1">IFERROR(__xludf.DUMMYFUNCTION("IF(E1644=""USD"",B1644,B1644 * GOOGLEFINANCE(""CURRENCY:"" &amp; E1644 &amp; ""USD""))
"),173558400)</f>
        <v>173558400</v>
      </c>
      <c r="G1644" s="13">
        <f ca="1">IFERROR(__xludf.DUMMYFUNCTION("IF(E1644=""USD"",C1644,C1644 * GOOGLEFINANCE(""CURRENCY:"" &amp; E1644 &amp; ""USD""))
"),11674164.96372)</f>
        <v>11674164.963719999</v>
      </c>
    </row>
    <row r="1645" spans="1:7" ht="15.75" customHeight="1" x14ac:dyDescent="0.25">
      <c r="A1645" s="14" t="s">
        <v>133</v>
      </c>
      <c r="B1645" s="15">
        <v>13000000</v>
      </c>
      <c r="C1645" s="15">
        <v>1024175</v>
      </c>
      <c r="D1645" s="15">
        <v>2011</v>
      </c>
      <c r="E1645" s="15" t="str">
        <f>VLOOKUP(A1645, Currency!$A$2:$B$100, 2, FALSE)</f>
        <v>GBP</v>
      </c>
      <c r="F1645" s="15">
        <f ca="1">IFERROR(__xludf.DUMMYFUNCTION("IF(E1645=""USD"",B1645,B1645 * GOOGLEFINANCE(""CURRENCY:"" &amp; E1645 &amp; ""USD""))
"),16710199.9999999)</f>
        <v>16710199.999999899</v>
      </c>
      <c r="G1645" s="16">
        <f ca="1">IFERROR(__xludf.DUMMYFUNCTION("IF(E1645=""USD"",C1645,C1645 * GOOGLEFINANCE(""CURRENCY:"" &amp; E1645 &amp; ""USD""))
"),1316474.545)</f>
        <v>1316474.5449999999</v>
      </c>
    </row>
    <row r="1646" spans="1:7" ht="15.75" customHeight="1" x14ac:dyDescent="0.25">
      <c r="A1646" s="11" t="s">
        <v>24</v>
      </c>
      <c r="B1646" s="12">
        <v>155000000</v>
      </c>
      <c r="C1646" s="12">
        <v>104383624</v>
      </c>
      <c r="D1646" s="12">
        <v>2010</v>
      </c>
      <c r="E1646" s="12" t="str">
        <f>VLOOKUP(A1646, Currency!$A$2:$B$100, 2, FALSE)</f>
        <v>USD</v>
      </c>
      <c r="F1646" s="12">
        <f ca="1">IFERROR(__xludf.DUMMYFUNCTION("IF(E1646=""USD"",B1646,B1646 * GOOGLEFINANCE(""CURRENCY:"" &amp; E1646 &amp; ""USD""))
"),155000000)</f>
        <v>155000000</v>
      </c>
      <c r="G1646" s="13">
        <f ca="1">IFERROR(__xludf.DUMMYFUNCTION("IF(E1646=""USD"",C1646,C1646 * GOOGLEFINANCE(""CURRENCY:"" &amp; E1646 &amp; ""USD""))
"),104383624)</f>
        <v>104383624</v>
      </c>
    </row>
    <row r="1647" spans="1:7" ht="15.75" customHeight="1" x14ac:dyDescent="0.25">
      <c r="A1647" s="14" t="s">
        <v>611</v>
      </c>
      <c r="B1647" s="15">
        <v>25000000</v>
      </c>
      <c r="C1647" s="15">
        <v>3517797</v>
      </c>
      <c r="D1647" s="15">
        <v>2002</v>
      </c>
      <c r="E1647" s="15" t="str">
        <f>VLOOKUP(A1647, Currency!$A$2:$B$100, 2, FALSE)</f>
        <v>EUR</v>
      </c>
      <c r="F1647" s="15">
        <f ca="1">IFERROR(__xludf.DUMMYFUNCTION("IF(E1647=""USD"",B1647,B1647 * GOOGLEFINANCE(""CURRENCY:"" &amp; E1647 &amp; ""USD""))
"),27118500)</f>
        <v>27118500</v>
      </c>
      <c r="G1647" s="16">
        <f ca="1">IFERROR(__xludf.DUMMYFUNCTION("IF(E1647=""USD"",C1647,C1647 * GOOGLEFINANCE(""CURRENCY:"" &amp; E1647 &amp; ""USD""))
"),3815895.11778)</f>
        <v>3815895.11778</v>
      </c>
    </row>
    <row r="1648" spans="1:7" ht="15.75" customHeight="1" x14ac:dyDescent="0.25">
      <c r="A1648" s="11" t="s">
        <v>24</v>
      </c>
      <c r="B1648" s="12">
        <v>70000000</v>
      </c>
      <c r="C1648" s="12">
        <v>152149590</v>
      </c>
      <c r="D1648" s="12">
        <v>1999</v>
      </c>
      <c r="E1648" s="12" t="str">
        <f>VLOOKUP(A1648, Currency!$A$2:$B$100, 2, FALSE)</f>
        <v>USD</v>
      </c>
      <c r="F1648" s="12">
        <f ca="1">IFERROR(__xludf.DUMMYFUNCTION("IF(E1648=""USD"",B1648,B1648 * GOOGLEFINANCE(""CURRENCY:"" &amp; E1648 &amp; ""USD""))
"),70000000)</f>
        <v>70000000</v>
      </c>
      <c r="G1648" s="13">
        <f ca="1">IFERROR(__xludf.DUMMYFUNCTION("IF(E1648=""USD"",C1648,C1648 * GOOGLEFINANCE(""CURRENCY:"" &amp; E1648 &amp; ""USD""))
"),152149590)</f>
        <v>152149590</v>
      </c>
    </row>
    <row r="1649" spans="1:7" ht="15.75" customHeight="1" x14ac:dyDescent="0.25">
      <c r="A1649" s="14" t="s">
        <v>24</v>
      </c>
      <c r="B1649" s="15">
        <v>50000000</v>
      </c>
      <c r="C1649" s="15">
        <v>39778599</v>
      </c>
      <c r="D1649" s="15">
        <v>2000</v>
      </c>
      <c r="E1649" s="15" t="str">
        <f>VLOOKUP(A1649, Currency!$A$2:$B$100, 2, FALSE)</f>
        <v>USD</v>
      </c>
      <c r="F1649" s="15">
        <f ca="1">IFERROR(__xludf.DUMMYFUNCTION("IF(E1649=""USD"",B1649,B1649 * GOOGLEFINANCE(""CURRENCY:"" &amp; E1649 &amp; ""USD""))
"),50000000)</f>
        <v>50000000</v>
      </c>
      <c r="G1649" s="16">
        <f ca="1">IFERROR(__xludf.DUMMYFUNCTION("IF(E1649=""USD"",C1649,C1649 * GOOGLEFINANCE(""CURRENCY:"" &amp; E1649 &amp; ""USD""))
"),39778599)</f>
        <v>39778599</v>
      </c>
    </row>
    <row r="1650" spans="1:7" ht="15.75" customHeight="1" x14ac:dyDescent="0.25">
      <c r="A1650" s="11" t="s">
        <v>24</v>
      </c>
      <c r="B1650" s="12">
        <v>9000000</v>
      </c>
      <c r="C1650" s="12">
        <v>11860839</v>
      </c>
      <c r="D1650" s="12">
        <v>2011</v>
      </c>
      <c r="E1650" s="12" t="str">
        <f>VLOOKUP(A1650, Currency!$A$2:$B$100, 2, FALSE)</f>
        <v>USD</v>
      </c>
      <c r="F1650" s="12">
        <f ca="1">IFERROR(__xludf.DUMMYFUNCTION("IF(E1650=""USD"",B1650,B1650 * GOOGLEFINANCE(""CURRENCY:"" &amp; E1650 &amp; ""USD""))
"),9000000)</f>
        <v>9000000</v>
      </c>
      <c r="G1650" s="13">
        <f ca="1">IFERROR(__xludf.DUMMYFUNCTION("IF(E1650=""USD"",C1650,C1650 * GOOGLEFINANCE(""CURRENCY:"" &amp; E1650 &amp; ""USD""))
"),11860839)</f>
        <v>11860839</v>
      </c>
    </row>
    <row r="1651" spans="1:7" ht="15.75" customHeight="1" x14ac:dyDescent="0.25">
      <c r="A1651" s="14" t="s">
        <v>24</v>
      </c>
      <c r="B1651" s="15">
        <v>16000000</v>
      </c>
      <c r="C1651" s="15">
        <v>20627372</v>
      </c>
      <c r="D1651" s="15">
        <v>2000</v>
      </c>
      <c r="E1651" s="15" t="str">
        <f>VLOOKUP(A1651, Currency!$A$2:$B$100, 2, FALSE)</f>
        <v>USD</v>
      </c>
      <c r="F1651" s="15">
        <f ca="1">IFERROR(__xludf.DUMMYFUNCTION("IF(E1651=""USD"",B1651,B1651 * GOOGLEFINANCE(""CURRENCY:"" &amp; E1651 &amp; ""USD""))
"),16000000)</f>
        <v>16000000</v>
      </c>
      <c r="G1651" s="16">
        <f ca="1">IFERROR(__xludf.DUMMYFUNCTION("IF(E1651=""USD"",C1651,C1651 * GOOGLEFINANCE(""CURRENCY:"" &amp; E1651 &amp; ""USD""))
"),20627372)</f>
        <v>20627372</v>
      </c>
    </row>
    <row r="1652" spans="1:7" ht="15.75" customHeight="1" x14ac:dyDescent="0.25">
      <c r="A1652" s="11" t="s">
        <v>24</v>
      </c>
      <c r="B1652" s="12">
        <v>13000000</v>
      </c>
      <c r="C1652" s="12">
        <v>2104000</v>
      </c>
      <c r="D1652" s="12">
        <v>1996</v>
      </c>
      <c r="E1652" s="12" t="str">
        <f>VLOOKUP(A1652, Currency!$A$2:$B$100, 2, FALSE)</f>
        <v>USD</v>
      </c>
      <c r="F1652" s="12">
        <f ca="1">IFERROR(__xludf.DUMMYFUNCTION("IF(E1652=""USD"",B1652,B1652 * GOOGLEFINANCE(""CURRENCY:"" &amp; E1652 &amp; ""USD""))
"),13000000)</f>
        <v>13000000</v>
      </c>
      <c r="G1652" s="13">
        <f ca="1">IFERROR(__xludf.DUMMYFUNCTION("IF(E1652=""USD"",C1652,C1652 * GOOGLEFINANCE(""CURRENCY:"" &amp; E1652 &amp; ""USD""))
"),2104000)</f>
        <v>2104000</v>
      </c>
    </row>
    <row r="1653" spans="1:7" ht="15.75" customHeight="1" x14ac:dyDescent="0.25">
      <c r="A1653" s="14" t="s">
        <v>133</v>
      </c>
      <c r="B1653" s="15">
        <v>1100000</v>
      </c>
      <c r="C1653" s="15">
        <v>16067035</v>
      </c>
      <c r="D1653" s="15">
        <v>1962</v>
      </c>
      <c r="E1653" s="15" t="str">
        <f>VLOOKUP(A1653, Currency!$A$2:$B$100, 2, FALSE)</f>
        <v>GBP</v>
      </c>
      <c r="F1653" s="15">
        <f ca="1">IFERROR(__xludf.DUMMYFUNCTION("IF(E1653=""USD"",B1653,B1653 * GOOGLEFINANCE(""CURRENCY:"" &amp; E1653 &amp; ""USD""))
"),1413939.99999999)</f>
        <v>1413939.99999999</v>
      </c>
      <c r="G1653" s="16">
        <f ca="1">IFERROR(__xludf.DUMMYFUNCTION("IF(E1653=""USD"",C1653,C1653 * GOOGLEFINANCE(""CURRENCY:"" &amp; E1653 &amp; ""USD""))
"),20652566.7889999)</f>
        <v>20652566.7889999</v>
      </c>
    </row>
    <row r="1654" spans="1:7" ht="15.75" customHeight="1" x14ac:dyDescent="0.25">
      <c r="A1654" s="11" t="s">
        <v>24</v>
      </c>
      <c r="B1654" s="12">
        <v>37000000</v>
      </c>
      <c r="C1654" s="12">
        <v>33037754</v>
      </c>
      <c r="D1654" s="12">
        <v>2011</v>
      </c>
      <c r="E1654" s="12" t="str">
        <f>VLOOKUP(A1654, Currency!$A$2:$B$100, 2, FALSE)</f>
        <v>USD</v>
      </c>
      <c r="F1654" s="12">
        <f ca="1">IFERROR(__xludf.DUMMYFUNCTION("IF(E1654=""USD"",B1654,B1654 * GOOGLEFINANCE(""CURRENCY:"" &amp; E1654 &amp; ""USD""))
"),37000000)</f>
        <v>37000000</v>
      </c>
      <c r="G1654" s="13">
        <f ca="1">IFERROR(__xludf.DUMMYFUNCTION("IF(E1654=""USD"",C1654,C1654 * GOOGLEFINANCE(""CURRENCY:"" &amp; E1654 &amp; ""USD""))
"),33037754)</f>
        <v>33037754</v>
      </c>
    </row>
    <row r="1655" spans="1:7" ht="15.75" customHeight="1" x14ac:dyDescent="0.25">
      <c r="A1655" s="14" t="s">
        <v>24</v>
      </c>
      <c r="B1655" s="15">
        <v>2000000</v>
      </c>
      <c r="C1655" s="15">
        <v>1098224</v>
      </c>
      <c r="D1655" s="15">
        <v>2003</v>
      </c>
      <c r="E1655" s="15" t="str">
        <f>VLOOKUP(A1655, Currency!$A$2:$B$100, 2, FALSE)</f>
        <v>USD</v>
      </c>
      <c r="F1655" s="15">
        <f ca="1">IFERROR(__xludf.DUMMYFUNCTION("IF(E1655=""USD"",B1655,B1655 * GOOGLEFINANCE(""CURRENCY:"" &amp; E1655 &amp; ""USD""))
"),2000000)</f>
        <v>2000000</v>
      </c>
      <c r="G1655" s="16">
        <f ca="1">IFERROR(__xludf.DUMMYFUNCTION("IF(E1655=""USD"",C1655,C1655 * GOOGLEFINANCE(""CURRENCY:"" &amp; E1655 &amp; ""USD""))
"),1098224)</f>
        <v>1098224</v>
      </c>
    </row>
    <row r="1656" spans="1:7" ht="15.75" customHeight="1" x14ac:dyDescent="0.25">
      <c r="A1656" s="11" t="s">
        <v>24</v>
      </c>
      <c r="B1656" s="12">
        <v>2000000</v>
      </c>
      <c r="C1656" s="12">
        <v>19067631</v>
      </c>
      <c r="D1656" s="12">
        <v>2007</v>
      </c>
      <c r="E1656" s="12" t="str">
        <f>VLOOKUP(A1656, Currency!$A$2:$B$100, 2, FALSE)</f>
        <v>USD</v>
      </c>
      <c r="F1656" s="12">
        <f ca="1">IFERROR(__xludf.DUMMYFUNCTION("IF(E1656=""USD"",B1656,B1656 * GOOGLEFINANCE(""CURRENCY:"" &amp; E1656 &amp; ""USD""))
"),2000000)</f>
        <v>2000000</v>
      </c>
      <c r="G1656" s="13">
        <f ca="1">IFERROR(__xludf.DUMMYFUNCTION("IF(E1656=""USD"",C1656,C1656 * GOOGLEFINANCE(""CURRENCY:"" &amp; E1656 &amp; ""USD""))
"),19067631)</f>
        <v>19067631</v>
      </c>
    </row>
    <row r="1657" spans="1:7" ht="15.75" customHeight="1" x14ac:dyDescent="0.25">
      <c r="A1657" s="14" t="s">
        <v>24</v>
      </c>
      <c r="B1657" s="15">
        <v>4500000</v>
      </c>
      <c r="C1657" s="15">
        <v>8691</v>
      </c>
      <c r="D1657" s="15">
        <v>2014</v>
      </c>
      <c r="E1657" s="15" t="str">
        <f>VLOOKUP(A1657, Currency!$A$2:$B$100, 2, FALSE)</f>
        <v>USD</v>
      </c>
      <c r="F1657" s="15">
        <f ca="1">IFERROR(__xludf.DUMMYFUNCTION("IF(E1657=""USD"",B1657,B1657 * GOOGLEFINANCE(""CURRENCY:"" &amp; E1657 &amp; ""USD""))
"),4500000)</f>
        <v>4500000</v>
      </c>
      <c r="G1657" s="16">
        <f ca="1">IFERROR(__xludf.DUMMYFUNCTION("IF(E1657=""USD"",C1657,C1657 * GOOGLEFINANCE(""CURRENCY:"" &amp; E1657 &amp; ""USD""))
"),8691)</f>
        <v>8691</v>
      </c>
    </row>
    <row r="1658" spans="1:7" ht="15.75" customHeight="1" x14ac:dyDescent="0.25">
      <c r="A1658" s="11" t="s">
        <v>24</v>
      </c>
      <c r="B1658" s="12">
        <v>20000000</v>
      </c>
      <c r="C1658" s="12">
        <v>33687630</v>
      </c>
      <c r="D1658" s="12">
        <v>2006</v>
      </c>
      <c r="E1658" s="12" t="str">
        <f>VLOOKUP(A1658, Currency!$A$2:$B$100, 2, FALSE)</f>
        <v>USD</v>
      </c>
      <c r="F1658" s="12">
        <f ca="1">IFERROR(__xludf.DUMMYFUNCTION("IF(E1658=""USD"",B1658,B1658 * GOOGLEFINANCE(""CURRENCY:"" &amp; E1658 &amp; ""USD""))
"),20000000)</f>
        <v>20000000</v>
      </c>
      <c r="G1658" s="13">
        <f ca="1">IFERROR(__xludf.DUMMYFUNCTION("IF(E1658=""USD"",C1658,C1658 * GOOGLEFINANCE(""CURRENCY:"" &amp; E1658 &amp; ""USD""))
"),33687630)</f>
        <v>33687630</v>
      </c>
    </row>
    <row r="1659" spans="1:7" ht="15.75" customHeight="1" x14ac:dyDescent="0.25">
      <c r="A1659" s="14" t="s">
        <v>133</v>
      </c>
      <c r="B1659" s="15">
        <v>25000000</v>
      </c>
      <c r="C1659" s="15">
        <v>32553210</v>
      </c>
      <c r="D1659" s="15">
        <v>2007</v>
      </c>
      <c r="E1659" s="15" t="str">
        <f>VLOOKUP(A1659, Currency!$A$2:$B$100, 2, FALSE)</f>
        <v>GBP</v>
      </c>
      <c r="F1659" s="15">
        <f ca="1">IFERROR(__xludf.DUMMYFUNCTION("IF(E1659=""USD"",B1659,B1659 * GOOGLEFINANCE(""CURRENCY:"" &amp; E1659 &amp; ""USD""))
"),32134999.9999999)</f>
        <v>32134999.999999899</v>
      </c>
      <c r="G1659" s="16">
        <f ca="1">IFERROR(__xludf.DUMMYFUNCTION("IF(E1659=""USD"",C1659,C1659 * GOOGLEFINANCE(""CURRENCY:"" &amp; E1659 &amp; ""USD""))
"),41843896.1339999)</f>
        <v>41843896.133999899</v>
      </c>
    </row>
    <row r="1660" spans="1:7" ht="15.75" customHeight="1" x14ac:dyDescent="0.25">
      <c r="A1660" s="11" t="s">
        <v>1551</v>
      </c>
      <c r="B1660" s="12">
        <v>24000000</v>
      </c>
      <c r="C1660" s="12">
        <v>4710455</v>
      </c>
      <c r="D1660" s="12">
        <v>2004</v>
      </c>
      <c r="E1660" s="12" t="str">
        <f>VLOOKUP(A1660, Currency!$A$2:$B$100, 2, FALSE)</f>
        <v>JPY</v>
      </c>
      <c r="F1660" s="12">
        <f ca="1">IFERROR(__xludf.DUMMYFUNCTION("IF(E1660=""USD"",B1660,B1660 * GOOGLEFINANCE(""CURRENCY:"" &amp; E1660 &amp; ""USD""))
"),155918.4)</f>
        <v>155918.39999999999</v>
      </c>
      <c r="G1660" s="13">
        <f ca="1">IFERROR(__xludf.DUMMYFUNCTION("IF(E1660=""USD"",C1660,C1660 * GOOGLEFINANCE(""CURRENCY:"" &amp; E1660 &amp; ""USD""))
"),30601.941953)</f>
        <v>30601.941953000001</v>
      </c>
    </row>
    <row r="1661" spans="1:7" ht="15.75" customHeight="1" x14ac:dyDescent="0.25">
      <c r="A1661" s="14" t="s">
        <v>133</v>
      </c>
      <c r="B1661" s="15">
        <v>25000000</v>
      </c>
      <c r="C1661" s="15">
        <v>14946229</v>
      </c>
      <c r="D1661" s="15">
        <v>2016</v>
      </c>
      <c r="E1661" s="15" t="str">
        <f>VLOOKUP(A1661, Currency!$A$2:$B$100, 2, FALSE)</f>
        <v>GBP</v>
      </c>
      <c r="F1661" s="15">
        <f ca="1">IFERROR(__xludf.DUMMYFUNCTION("IF(E1661=""USD"",B1661,B1661 * GOOGLEFINANCE(""CURRENCY:"" &amp; E1661 &amp; ""USD""))
"),32134999.9999999)</f>
        <v>32134999.999999899</v>
      </c>
      <c r="G1661" s="16">
        <f ca="1">IFERROR(__xludf.DUMMYFUNCTION("IF(E1661=""USD"",C1661,C1661 * GOOGLEFINANCE(""CURRENCY:"" &amp; E1661 &amp; ""USD""))
"),19211882.7566)</f>
        <v>19211882.7566</v>
      </c>
    </row>
    <row r="1662" spans="1:7" ht="15.75" customHeight="1" x14ac:dyDescent="0.25">
      <c r="A1662" s="11" t="s">
        <v>133</v>
      </c>
      <c r="B1662" s="12">
        <v>17000000</v>
      </c>
      <c r="C1662" s="12">
        <v>15681020</v>
      </c>
      <c r="D1662" s="12">
        <v>1987</v>
      </c>
      <c r="E1662" s="12" t="str">
        <f>VLOOKUP(A1662, Currency!$A$2:$B$100, 2, FALSE)</f>
        <v>GBP</v>
      </c>
      <c r="F1662" s="12">
        <f ca="1">IFERROR(__xludf.DUMMYFUNCTION("IF(E1662=""USD"",B1662,B1662 * GOOGLEFINANCE(""CURRENCY:"" &amp; E1662 &amp; ""USD""))
"),21851799.9999999)</f>
        <v>21851799.999999899</v>
      </c>
      <c r="G1662" s="13">
        <f ca="1">IFERROR(__xludf.DUMMYFUNCTION("IF(E1662=""USD"",C1662,C1662 * GOOGLEFINANCE(""CURRENCY:"" &amp; E1662 &amp; ""USD""))
"),20156383.108)</f>
        <v>20156383.107999999</v>
      </c>
    </row>
    <row r="1663" spans="1:7" ht="15.75" customHeight="1" x14ac:dyDescent="0.25">
      <c r="A1663" s="14" t="s">
        <v>674</v>
      </c>
      <c r="B1663" s="15">
        <v>18026148</v>
      </c>
      <c r="C1663" s="15">
        <v>6498000</v>
      </c>
      <c r="D1663" s="15">
        <v>2015</v>
      </c>
      <c r="E1663" s="15" t="str">
        <f>VLOOKUP(A1663, Currency!$A$2:$B$100, 2, FALSE)</f>
        <v>INR</v>
      </c>
      <c r="F1663" s="15">
        <f ca="1">IFERROR(__xludf.DUMMYFUNCTION("IF(E1663=""USD"",B1663,B1663 * GOOGLEFINANCE(""CURRENCY:"" &amp; E1663 &amp; ""USD""))
"),215258.52529608)</f>
        <v>215258.52529608001</v>
      </c>
      <c r="G1663" s="16">
        <f ca="1">IFERROR(__xludf.DUMMYFUNCTION("IF(E1663=""USD"",C1663,C1663 * GOOGLEFINANCE(""CURRENCY:"" &amp; E1663 &amp; ""USD""))
"),77595.60708)</f>
        <v>77595.607080000002</v>
      </c>
    </row>
    <row r="1664" spans="1:7" ht="15.75" customHeight="1" x14ac:dyDescent="0.25">
      <c r="A1664" s="11" t="s">
        <v>24</v>
      </c>
      <c r="B1664" s="12">
        <v>18000000</v>
      </c>
      <c r="C1664" s="12">
        <v>41382841</v>
      </c>
      <c r="D1664" s="12">
        <v>1986</v>
      </c>
      <c r="E1664" s="12" t="str">
        <f>VLOOKUP(A1664, Currency!$A$2:$B$100, 2, FALSE)</f>
        <v>USD</v>
      </c>
      <c r="F1664" s="12">
        <f ca="1">IFERROR(__xludf.DUMMYFUNCTION("IF(E1664=""USD"",B1664,B1664 * GOOGLEFINANCE(""CURRENCY:"" &amp; E1664 &amp; ""USD""))
"),18000000)</f>
        <v>18000000</v>
      </c>
      <c r="G1664" s="13">
        <f ca="1">IFERROR(__xludf.DUMMYFUNCTION("IF(E1664=""USD"",C1664,C1664 * GOOGLEFINANCE(""CURRENCY:"" &amp; E1664 &amp; ""USD""))
"),41382841)</f>
        <v>41382841</v>
      </c>
    </row>
    <row r="1665" spans="1:7" ht="15.75" customHeight="1" x14ac:dyDescent="0.25">
      <c r="A1665" s="14" t="s">
        <v>24</v>
      </c>
      <c r="B1665" s="15">
        <v>109000000</v>
      </c>
      <c r="C1665" s="15">
        <v>100446895</v>
      </c>
      <c r="D1665" s="15">
        <v>2003</v>
      </c>
      <c r="E1665" s="15" t="str">
        <f>VLOOKUP(A1665, Currency!$A$2:$B$100, 2, FALSE)</f>
        <v>USD</v>
      </c>
      <c r="F1665" s="15">
        <f ca="1">IFERROR(__xludf.DUMMYFUNCTION("IF(E1665=""USD"",B1665,B1665 * GOOGLEFINANCE(""CURRENCY:"" &amp; E1665 &amp; ""USD""))
"),109000000)</f>
        <v>109000000</v>
      </c>
      <c r="G1665" s="16">
        <f ca="1">IFERROR(__xludf.DUMMYFUNCTION("IF(E1665=""USD"",C1665,C1665 * GOOGLEFINANCE(""CURRENCY:"" &amp; E1665 &amp; ""USD""))
"),100446895)</f>
        <v>100446895</v>
      </c>
    </row>
    <row r="1666" spans="1:7" ht="15.75" customHeight="1" x14ac:dyDescent="0.25">
      <c r="A1666" s="11" t="s">
        <v>24</v>
      </c>
      <c r="B1666" s="12">
        <v>15000000</v>
      </c>
      <c r="C1666" s="12">
        <v>1954202</v>
      </c>
      <c r="D1666" s="12">
        <v>1999</v>
      </c>
      <c r="E1666" s="12" t="str">
        <f>VLOOKUP(A1666, Currency!$A$2:$B$100, 2, FALSE)</f>
        <v>USD</v>
      </c>
      <c r="F1666" s="12">
        <f ca="1">IFERROR(__xludf.DUMMYFUNCTION("IF(E1666=""USD"",B1666,B1666 * GOOGLEFINANCE(""CURRENCY:"" &amp; E1666 &amp; ""USD""))
"),15000000)</f>
        <v>15000000</v>
      </c>
      <c r="G1666" s="13">
        <f ca="1">IFERROR(__xludf.DUMMYFUNCTION("IF(E1666=""USD"",C1666,C1666 * GOOGLEFINANCE(""CURRENCY:"" &amp; E1666 &amp; ""USD""))
"),1954202)</f>
        <v>1954202</v>
      </c>
    </row>
    <row r="1667" spans="1:7" ht="15.75" customHeight="1" x14ac:dyDescent="0.25">
      <c r="A1667" s="14" t="s">
        <v>24</v>
      </c>
      <c r="B1667" s="15">
        <v>18000000</v>
      </c>
      <c r="C1667" s="15">
        <v>13362308</v>
      </c>
      <c r="D1667" s="15">
        <v>2013</v>
      </c>
      <c r="E1667" s="15" t="str">
        <f>VLOOKUP(A1667, Currency!$A$2:$B$100, 2, FALSE)</f>
        <v>USD</v>
      </c>
      <c r="F1667" s="15">
        <f ca="1">IFERROR(__xludf.DUMMYFUNCTION("IF(E1667=""USD"",B1667,B1667 * GOOGLEFINANCE(""CURRENCY:"" &amp; E1667 &amp; ""USD""))
"),18000000)</f>
        <v>18000000</v>
      </c>
      <c r="G1667" s="16">
        <f ca="1">IFERROR(__xludf.DUMMYFUNCTION("IF(E1667=""USD"",C1667,C1667 * GOOGLEFINANCE(""CURRENCY:"" &amp; E1667 &amp; ""USD""))
"),13362308)</f>
        <v>13362308</v>
      </c>
    </row>
    <row r="1668" spans="1:7" ht="15.75" customHeight="1" x14ac:dyDescent="0.25">
      <c r="A1668" s="11" t="s">
        <v>24</v>
      </c>
      <c r="B1668" s="12">
        <v>4000000</v>
      </c>
      <c r="C1668" s="12">
        <v>87025093</v>
      </c>
      <c r="D1668" s="12">
        <v>2005</v>
      </c>
      <c r="E1668" s="12" t="str">
        <f>VLOOKUP(A1668, Currency!$A$2:$B$100, 2, FALSE)</f>
        <v>USD</v>
      </c>
      <c r="F1668" s="12">
        <f ca="1">IFERROR(__xludf.DUMMYFUNCTION("IF(E1668=""USD"",B1668,B1668 * GOOGLEFINANCE(""CURRENCY:"" &amp; E1668 &amp; ""USD""))
"),4000000)</f>
        <v>4000000</v>
      </c>
      <c r="G1668" s="13">
        <f ca="1">IFERROR(__xludf.DUMMYFUNCTION("IF(E1668=""USD"",C1668,C1668 * GOOGLEFINANCE(""CURRENCY:"" &amp; E1668 &amp; ""USD""))
"),87025093)</f>
        <v>87025093</v>
      </c>
    </row>
    <row r="1669" spans="1:7" ht="15.75" customHeight="1" x14ac:dyDescent="0.25">
      <c r="A1669" s="14" t="s">
        <v>24</v>
      </c>
      <c r="B1669" s="15">
        <v>15000000</v>
      </c>
      <c r="C1669" s="15">
        <v>51527787</v>
      </c>
      <c r="D1669" s="15">
        <v>2009</v>
      </c>
      <c r="E1669" s="15" t="str">
        <f>VLOOKUP(A1669, Currency!$A$2:$B$100, 2, FALSE)</f>
        <v>USD</v>
      </c>
      <c r="F1669" s="15">
        <f ca="1">IFERROR(__xludf.DUMMYFUNCTION("IF(E1669=""USD"",B1669,B1669 * GOOGLEFINANCE(""CURRENCY:"" &amp; E1669 &amp; ""USD""))
"),15000000)</f>
        <v>15000000</v>
      </c>
      <c r="G1669" s="16">
        <f ca="1">IFERROR(__xludf.DUMMYFUNCTION("IF(E1669=""USD"",C1669,C1669 * GOOGLEFINANCE(""CURRENCY:"" &amp; E1669 &amp; ""USD""))
"),51527787)</f>
        <v>51527787</v>
      </c>
    </row>
    <row r="1670" spans="1:7" ht="15.75" customHeight="1" x14ac:dyDescent="0.25">
      <c r="A1670" s="11" t="s">
        <v>24</v>
      </c>
      <c r="B1670" s="12">
        <v>20000000</v>
      </c>
      <c r="C1670" s="12">
        <v>21200000</v>
      </c>
      <c r="D1670" s="12">
        <v>1995</v>
      </c>
      <c r="E1670" s="12" t="str">
        <f>VLOOKUP(A1670, Currency!$A$2:$B$100, 2, FALSE)</f>
        <v>USD</v>
      </c>
      <c r="F1670" s="12">
        <f ca="1">IFERROR(__xludf.DUMMYFUNCTION("IF(E1670=""USD"",B1670,B1670 * GOOGLEFINANCE(""CURRENCY:"" &amp; E1670 &amp; ""USD""))
"),20000000)</f>
        <v>20000000</v>
      </c>
      <c r="G1670" s="13">
        <f ca="1">IFERROR(__xludf.DUMMYFUNCTION("IF(E1670=""USD"",C1670,C1670 * GOOGLEFINANCE(""CURRENCY:"" &amp; E1670 &amp; ""USD""))
"),21200000)</f>
        <v>21200000</v>
      </c>
    </row>
    <row r="1671" spans="1:7" ht="15.75" customHeight="1" x14ac:dyDescent="0.25">
      <c r="A1671" s="14" t="s">
        <v>176</v>
      </c>
      <c r="B1671" s="15">
        <v>45000000</v>
      </c>
      <c r="C1671" s="15">
        <v>50740078</v>
      </c>
      <c r="D1671" s="15">
        <v>2004</v>
      </c>
      <c r="E1671" s="15" t="str">
        <f>VLOOKUP(A1671, Currency!$A$2:$B$100, 2, FALSE)</f>
        <v>EUR</v>
      </c>
      <c r="F1671" s="15">
        <f ca="1">IFERROR(__xludf.DUMMYFUNCTION("IF(E1671=""USD"",B1671,B1671 * GOOGLEFINANCE(""CURRENCY:"" &amp; E1671 &amp; ""USD""))
"),48813300)</f>
        <v>48813300</v>
      </c>
      <c r="G1671" s="16">
        <f ca="1">IFERROR(__xludf.DUMMYFUNCTION("IF(E1671=""USD"",C1671,C1671 * GOOGLEFINANCE(""CURRENCY:"" &amp; E1671 &amp; ""USD""))
"),55039792.20972)</f>
        <v>55039792.209720001</v>
      </c>
    </row>
    <row r="1672" spans="1:7" ht="15.75" customHeight="1" x14ac:dyDescent="0.25">
      <c r="A1672" s="11" t="s">
        <v>24</v>
      </c>
      <c r="B1672" s="12">
        <v>35000000</v>
      </c>
      <c r="C1672" s="12">
        <v>21784432</v>
      </c>
      <c r="D1672" s="12">
        <v>2013</v>
      </c>
      <c r="E1672" s="12" t="str">
        <f>VLOOKUP(A1672, Currency!$A$2:$B$100, 2, FALSE)</f>
        <v>USD</v>
      </c>
      <c r="F1672" s="12">
        <f ca="1">IFERROR(__xludf.DUMMYFUNCTION("IF(E1672=""USD"",B1672,B1672 * GOOGLEFINANCE(""CURRENCY:"" &amp; E1672 &amp; ""USD""))
"),35000000)</f>
        <v>35000000</v>
      </c>
      <c r="G1672" s="13">
        <f ca="1">IFERROR(__xludf.DUMMYFUNCTION("IF(E1672=""USD"",C1672,C1672 * GOOGLEFINANCE(""CURRENCY:"" &amp; E1672 &amp; ""USD""))
"),21784432)</f>
        <v>21784432</v>
      </c>
    </row>
    <row r="1673" spans="1:7" ht="15.75" customHeight="1" x14ac:dyDescent="0.25">
      <c r="A1673" s="14" t="s">
        <v>24</v>
      </c>
      <c r="B1673" s="15">
        <v>13000000</v>
      </c>
      <c r="C1673" s="15">
        <v>11501093</v>
      </c>
      <c r="D1673" s="15">
        <v>1992</v>
      </c>
      <c r="E1673" s="15" t="str">
        <f>VLOOKUP(A1673, Currency!$A$2:$B$100, 2, FALSE)</f>
        <v>USD</v>
      </c>
      <c r="F1673" s="15">
        <f ca="1">IFERROR(__xludf.DUMMYFUNCTION("IF(E1673=""USD"",B1673,B1673 * GOOGLEFINANCE(""CURRENCY:"" &amp; E1673 &amp; ""USD""))
"),13000000)</f>
        <v>13000000</v>
      </c>
      <c r="G1673" s="16">
        <f ca="1">IFERROR(__xludf.DUMMYFUNCTION("IF(E1673=""USD"",C1673,C1673 * GOOGLEFINANCE(""CURRENCY:"" &amp; E1673 &amp; ""USD""))
"),11501093)</f>
        <v>11501093</v>
      </c>
    </row>
    <row r="1674" spans="1:7" ht="15.75" customHeight="1" x14ac:dyDescent="0.25">
      <c r="A1674" s="11" t="s">
        <v>24</v>
      </c>
      <c r="B1674" s="12">
        <v>11000000</v>
      </c>
      <c r="C1674" s="12">
        <v>9170214</v>
      </c>
      <c r="D1674" s="12">
        <v>1993</v>
      </c>
      <c r="E1674" s="12" t="str">
        <f>VLOOKUP(A1674, Currency!$A$2:$B$100, 2, FALSE)</f>
        <v>USD</v>
      </c>
      <c r="F1674" s="12">
        <f ca="1">IFERROR(__xludf.DUMMYFUNCTION("IF(E1674=""USD"",B1674,B1674 * GOOGLEFINANCE(""CURRENCY:"" &amp; E1674 &amp; ""USD""))
"),11000000)</f>
        <v>11000000</v>
      </c>
      <c r="G1674" s="13">
        <f ca="1">IFERROR(__xludf.DUMMYFUNCTION("IF(E1674=""USD"",C1674,C1674 * GOOGLEFINANCE(""CURRENCY:"" &amp; E1674 &amp; ""USD""))
"),9170214)</f>
        <v>9170214</v>
      </c>
    </row>
    <row r="1675" spans="1:7" ht="15.75" customHeight="1" x14ac:dyDescent="0.25">
      <c r="A1675" s="14" t="s">
        <v>24</v>
      </c>
      <c r="B1675" s="15">
        <v>17700000</v>
      </c>
      <c r="C1675" s="15">
        <v>27087695</v>
      </c>
      <c r="D1675" s="15">
        <v>2001</v>
      </c>
      <c r="E1675" s="15" t="str">
        <f>VLOOKUP(A1675, Currency!$A$2:$B$100, 2, FALSE)</f>
        <v>USD</v>
      </c>
      <c r="F1675" s="15">
        <f ca="1">IFERROR(__xludf.DUMMYFUNCTION("IF(E1675=""USD"",B1675,B1675 * GOOGLEFINANCE(""CURRENCY:"" &amp; E1675 &amp; ""USD""))
"),17700000)</f>
        <v>17700000</v>
      </c>
      <c r="G1675" s="16">
        <f ca="1">IFERROR(__xludf.DUMMYFUNCTION("IF(E1675=""USD"",C1675,C1675 * GOOGLEFINANCE(""CURRENCY:"" &amp; E1675 &amp; ""USD""))
"),27087695)</f>
        <v>27087695</v>
      </c>
    </row>
    <row r="1676" spans="1:7" ht="15.75" customHeight="1" x14ac:dyDescent="0.25">
      <c r="A1676" s="11" t="s">
        <v>24</v>
      </c>
      <c r="B1676" s="12">
        <v>25530000</v>
      </c>
      <c r="C1676" s="12">
        <v>20047715</v>
      </c>
      <c r="D1676" s="12">
        <v>1996</v>
      </c>
      <c r="E1676" s="12" t="str">
        <f>VLOOKUP(A1676, Currency!$A$2:$B$100, 2, FALSE)</f>
        <v>USD</v>
      </c>
      <c r="F1676" s="12">
        <f ca="1">IFERROR(__xludf.DUMMYFUNCTION("IF(E1676=""USD"",B1676,B1676 * GOOGLEFINANCE(""CURRENCY:"" &amp; E1676 &amp; ""USD""))
"),25530000)</f>
        <v>25530000</v>
      </c>
      <c r="G1676" s="13">
        <f ca="1">IFERROR(__xludf.DUMMYFUNCTION("IF(E1676=""USD"",C1676,C1676 * GOOGLEFINANCE(""CURRENCY:"" &amp; E1676 &amp; ""USD""))
"),20047715)</f>
        <v>20047715</v>
      </c>
    </row>
    <row r="1677" spans="1:7" ht="15.75" customHeight="1" x14ac:dyDescent="0.25">
      <c r="A1677" s="14" t="s">
        <v>611</v>
      </c>
      <c r="B1677" s="15">
        <v>62000000</v>
      </c>
      <c r="C1677" s="15">
        <v>77086030</v>
      </c>
      <c r="D1677" s="15">
        <v>2000</v>
      </c>
      <c r="E1677" s="15" t="str">
        <f>VLOOKUP(A1677, Currency!$A$2:$B$100, 2, FALSE)</f>
        <v>EUR</v>
      </c>
      <c r="F1677" s="15">
        <f ca="1">IFERROR(__xludf.DUMMYFUNCTION("IF(E1677=""USD"",B1677,B1677 * GOOGLEFINANCE(""CURRENCY:"" &amp; E1677 &amp; ""USD""))
"),67253880)</f>
        <v>67253880</v>
      </c>
      <c r="G1677" s="16">
        <f ca="1">IFERROR(__xludf.DUMMYFUNCTION("IF(E1677=""USD"",C1677,C1677 * GOOGLEFINANCE(""CURRENCY:"" &amp; E1677 &amp; ""USD""))
"),83618300.1822)</f>
        <v>83618300.1822</v>
      </c>
    </row>
    <row r="1678" spans="1:7" ht="15.75" customHeight="1" x14ac:dyDescent="0.25">
      <c r="A1678" s="11" t="s">
        <v>24</v>
      </c>
      <c r="B1678" s="12">
        <v>11000000</v>
      </c>
      <c r="C1678" s="12">
        <v>34334256</v>
      </c>
      <c r="D1678" s="12">
        <v>2013</v>
      </c>
      <c r="E1678" s="12" t="str">
        <f>VLOOKUP(A1678, Currency!$A$2:$B$100, 2, FALSE)</f>
        <v>USD</v>
      </c>
      <c r="F1678" s="12">
        <f ca="1">IFERROR(__xludf.DUMMYFUNCTION("IF(E1678=""USD"",B1678,B1678 * GOOGLEFINANCE(""CURRENCY:"" &amp; E1678 &amp; ""USD""))
"),11000000)</f>
        <v>11000000</v>
      </c>
      <c r="G1678" s="13">
        <f ca="1">IFERROR(__xludf.DUMMYFUNCTION("IF(E1678=""USD"",C1678,C1678 * GOOGLEFINANCE(""CURRENCY:"" &amp; E1678 &amp; ""USD""))
"),34334256)</f>
        <v>34334256</v>
      </c>
    </row>
    <row r="1679" spans="1:7" ht="15.75" customHeight="1" x14ac:dyDescent="0.25">
      <c r="A1679" s="14" t="s">
        <v>24</v>
      </c>
      <c r="B1679" s="15">
        <v>40000000</v>
      </c>
      <c r="C1679" s="15">
        <v>95720716</v>
      </c>
      <c r="D1679" s="15">
        <v>2012</v>
      </c>
      <c r="E1679" s="15" t="str">
        <f>VLOOKUP(A1679, Currency!$A$2:$B$100, 2, FALSE)</f>
        <v>USD</v>
      </c>
      <c r="F1679" s="15">
        <f ca="1">IFERROR(__xludf.DUMMYFUNCTION("IF(E1679=""USD"",B1679,B1679 * GOOGLEFINANCE(""CURRENCY:"" &amp; E1679 &amp; ""USD""))
"),40000000)</f>
        <v>40000000</v>
      </c>
      <c r="G1679" s="16">
        <f ca="1">IFERROR(__xludf.DUMMYFUNCTION("IF(E1679=""USD"",C1679,C1679 * GOOGLEFINANCE(""CURRENCY:"" &amp; E1679 &amp; ""USD""))
"),95720716)</f>
        <v>95720716</v>
      </c>
    </row>
    <row r="1680" spans="1:7" ht="15.75" customHeight="1" x14ac:dyDescent="0.25">
      <c r="A1680" s="11" t="s">
        <v>24</v>
      </c>
      <c r="B1680" s="12">
        <v>65000000</v>
      </c>
      <c r="C1680" s="12">
        <v>56083966</v>
      </c>
      <c r="D1680" s="12">
        <v>2001</v>
      </c>
      <c r="E1680" s="12" t="str">
        <f>VLOOKUP(A1680, Currency!$A$2:$B$100, 2, FALSE)</f>
        <v>USD</v>
      </c>
      <c r="F1680" s="12">
        <f ca="1">IFERROR(__xludf.DUMMYFUNCTION("IF(E1680=""USD"",B1680,B1680 * GOOGLEFINANCE(""CURRENCY:"" &amp; E1680 &amp; ""USD""))
"),65000000)</f>
        <v>65000000</v>
      </c>
      <c r="G1680" s="13">
        <f ca="1">IFERROR(__xludf.DUMMYFUNCTION("IF(E1680=""USD"",C1680,C1680 * GOOGLEFINANCE(""CURRENCY:"" &amp; E1680 &amp; ""USD""))
"),56083966)</f>
        <v>56083966</v>
      </c>
    </row>
    <row r="1681" spans="1:7" ht="15.75" customHeight="1" x14ac:dyDescent="0.25">
      <c r="A1681" s="14" t="s">
        <v>24</v>
      </c>
      <c r="B1681" s="15">
        <v>165000000</v>
      </c>
      <c r="C1681" s="15">
        <v>238371987</v>
      </c>
      <c r="D1681" s="15">
        <v>2010</v>
      </c>
      <c r="E1681" s="15" t="str">
        <f>VLOOKUP(A1681, Currency!$A$2:$B$100, 2, FALSE)</f>
        <v>USD</v>
      </c>
      <c r="F1681" s="15">
        <f ca="1">IFERROR(__xludf.DUMMYFUNCTION("IF(E1681=""USD"",B1681,B1681 * GOOGLEFINANCE(""CURRENCY:"" &amp; E1681 &amp; ""USD""))
"),165000000)</f>
        <v>165000000</v>
      </c>
      <c r="G1681" s="16">
        <f ca="1">IFERROR(__xludf.DUMMYFUNCTION("IF(E1681=""USD"",C1681,C1681 * GOOGLEFINANCE(""CURRENCY:"" &amp; E1681 &amp; ""USD""))
"),238371987)</f>
        <v>238371987</v>
      </c>
    </row>
    <row r="1682" spans="1:7" ht="15.75" customHeight="1" x14ac:dyDescent="0.25">
      <c r="A1682" s="11" t="s">
        <v>24</v>
      </c>
      <c r="B1682" s="12">
        <v>2500000</v>
      </c>
      <c r="C1682" s="12">
        <v>26781723</v>
      </c>
      <c r="D1682" s="12">
        <v>2004</v>
      </c>
      <c r="E1682" s="12" t="str">
        <f>VLOOKUP(A1682, Currency!$A$2:$B$100, 2, FALSE)</f>
        <v>USD</v>
      </c>
      <c r="F1682" s="12">
        <f ca="1">IFERROR(__xludf.DUMMYFUNCTION("IF(E1682=""USD"",B1682,B1682 * GOOGLEFINANCE(""CURRENCY:"" &amp; E1682 &amp; ""USD""))
"),2500000)</f>
        <v>2500000</v>
      </c>
      <c r="G1682" s="13">
        <f ca="1">IFERROR(__xludf.DUMMYFUNCTION("IF(E1682=""USD"",C1682,C1682 * GOOGLEFINANCE(""CURRENCY:"" &amp; E1682 &amp; ""USD""))
"),26781723)</f>
        <v>26781723</v>
      </c>
    </row>
    <row r="1683" spans="1:7" ht="15.75" customHeight="1" x14ac:dyDescent="0.25">
      <c r="A1683" s="14" t="s">
        <v>24</v>
      </c>
      <c r="B1683" s="15">
        <v>30000000</v>
      </c>
      <c r="C1683" s="15">
        <v>30523568</v>
      </c>
      <c r="D1683" s="15">
        <v>2014</v>
      </c>
      <c r="E1683" s="15" t="str">
        <f>VLOOKUP(A1683, Currency!$A$2:$B$100, 2, FALSE)</f>
        <v>USD</v>
      </c>
      <c r="F1683" s="15">
        <f ca="1">IFERROR(__xludf.DUMMYFUNCTION("IF(E1683=""USD"",B1683,B1683 * GOOGLEFINANCE(""CURRENCY:"" &amp; E1683 &amp; ""USD""))
"),30000000)</f>
        <v>30000000</v>
      </c>
      <c r="G1683" s="16">
        <f ca="1">IFERROR(__xludf.DUMMYFUNCTION("IF(E1683=""USD"",C1683,C1683 * GOOGLEFINANCE(""CURRENCY:"" &amp; E1683 &amp; ""USD""))
"),30523568)</f>
        <v>30523568</v>
      </c>
    </row>
    <row r="1684" spans="1:7" ht="15.75" customHeight="1" x14ac:dyDescent="0.25">
      <c r="A1684" s="11" t="s">
        <v>627</v>
      </c>
      <c r="B1684" s="12">
        <v>48000000</v>
      </c>
      <c r="C1684" s="12">
        <v>56607223</v>
      </c>
      <c r="D1684" s="12">
        <v>2001</v>
      </c>
      <c r="E1684" s="12" t="str">
        <f>VLOOKUP(A1684, Currency!$A$2:$B$100, 2, FALSE)</f>
        <v>CAD</v>
      </c>
      <c r="F1684" s="12">
        <f ca="1">IFERROR(__xludf.DUMMYFUNCTION("IF(E1684=""USD"",B1684,B1684 * GOOGLEFINANCE(""CURRENCY:"" &amp; E1684 &amp; ""USD""))
"),34723440)</f>
        <v>34723440</v>
      </c>
      <c r="G1684" s="13">
        <f ca="1">IFERROR(__xludf.DUMMYFUNCTION("IF(E1684=""USD"",C1684,C1684 * GOOGLEFINANCE(""CURRENCY:"" &amp; E1684 &amp; ""USD""))
"),40949948.1543149)</f>
        <v>40949948.154314898</v>
      </c>
    </row>
    <row r="1685" spans="1:7" ht="15.75" customHeight="1" x14ac:dyDescent="0.25">
      <c r="A1685" s="14" t="s">
        <v>24</v>
      </c>
      <c r="B1685" s="15">
        <v>8000000</v>
      </c>
      <c r="C1685" s="15">
        <v>26049082</v>
      </c>
      <c r="D1685" s="15">
        <v>2014</v>
      </c>
      <c r="E1685" s="15" t="str">
        <f>VLOOKUP(A1685, Currency!$A$2:$B$100, 2, FALSE)</f>
        <v>USD</v>
      </c>
      <c r="F1685" s="15">
        <f ca="1">IFERROR(__xludf.DUMMYFUNCTION("IF(E1685=""USD"",B1685,B1685 * GOOGLEFINANCE(""CURRENCY:"" &amp; E1685 &amp; ""USD""))
"),8000000)</f>
        <v>8000000</v>
      </c>
      <c r="G1685" s="16">
        <f ca="1">IFERROR(__xludf.DUMMYFUNCTION("IF(E1685=""USD"",C1685,C1685 * GOOGLEFINANCE(""CURRENCY:"" &amp; E1685 &amp; ""USD""))
"),26049082)</f>
        <v>26049082</v>
      </c>
    </row>
    <row r="1686" spans="1:7" ht="15.75" customHeight="1" x14ac:dyDescent="0.25">
      <c r="A1686" s="11" t="s">
        <v>24</v>
      </c>
      <c r="B1686" s="12">
        <v>27000000</v>
      </c>
      <c r="C1686" s="12">
        <v>10297897</v>
      </c>
      <c r="D1686" s="12">
        <v>1998</v>
      </c>
      <c r="E1686" s="12" t="str">
        <f>VLOOKUP(A1686, Currency!$A$2:$B$100, 2, FALSE)</f>
        <v>USD</v>
      </c>
      <c r="F1686" s="12">
        <f ca="1">IFERROR(__xludf.DUMMYFUNCTION("IF(E1686=""USD"",B1686,B1686 * GOOGLEFINANCE(""CURRENCY:"" &amp; E1686 &amp; ""USD""))
"),27000000)</f>
        <v>27000000</v>
      </c>
      <c r="G1686" s="13">
        <f ca="1">IFERROR(__xludf.DUMMYFUNCTION("IF(E1686=""USD"",C1686,C1686 * GOOGLEFINANCE(""CURRENCY:"" &amp; E1686 &amp; ""USD""))
"),10297897)</f>
        <v>10297897</v>
      </c>
    </row>
    <row r="1687" spans="1:7" ht="15.75" customHeight="1" x14ac:dyDescent="0.25">
      <c r="A1687" s="14" t="s">
        <v>149</v>
      </c>
      <c r="B1687" s="15">
        <v>20000000</v>
      </c>
      <c r="C1687" s="15">
        <v>10544143</v>
      </c>
      <c r="D1687" s="15">
        <v>1999</v>
      </c>
      <c r="E1687" s="15" t="str">
        <f>VLOOKUP(A1687, Currency!$A$2:$B$100, 2, FALSE)</f>
        <v>AUD</v>
      </c>
      <c r="F1687" s="15">
        <f ca="1">IFERROR(__xludf.DUMMYFUNCTION("IF(E1687=""USD"",B1687,B1687 * GOOGLEFINANCE(""CURRENCY:"" &amp; E1687 &amp; ""USD""))
"),13077600)</f>
        <v>13077600</v>
      </c>
      <c r="G1687" s="16">
        <f ca="1">IFERROR(__xludf.DUMMYFUNCTION("IF(E1687=""USD"",C1687,C1687 * GOOGLEFINANCE(""CURRENCY:"" &amp; E1687 &amp; ""USD""))
"),6894604.22484)</f>
        <v>6894604.2248400003</v>
      </c>
    </row>
    <row r="1688" spans="1:7" ht="15.75" customHeight="1" x14ac:dyDescent="0.25">
      <c r="A1688" s="11" t="s">
        <v>24</v>
      </c>
      <c r="B1688" s="12">
        <v>35000000</v>
      </c>
      <c r="C1688" s="12">
        <v>30079316</v>
      </c>
      <c r="D1688" s="12">
        <v>2002</v>
      </c>
      <c r="E1688" s="12" t="str">
        <f>VLOOKUP(A1688, Currency!$A$2:$B$100, 2, FALSE)</f>
        <v>USD</v>
      </c>
      <c r="F1688" s="12">
        <f ca="1">IFERROR(__xludf.DUMMYFUNCTION("IF(E1688=""USD"",B1688,B1688 * GOOGLEFINANCE(""CURRENCY:"" &amp; E1688 &amp; ""USD""))
"),35000000)</f>
        <v>35000000</v>
      </c>
      <c r="G1688" s="13">
        <f ca="1">IFERROR(__xludf.DUMMYFUNCTION("IF(E1688=""USD"",C1688,C1688 * GOOGLEFINANCE(""CURRENCY:"" &amp; E1688 &amp; ""USD""))
"),30079316)</f>
        <v>30079316</v>
      </c>
    </row>
    <row r="1689" spans="1:7" ht="15.75" customHeight="1" x14ac:dyDescent="0.25">
      <c r="A1689" s="14" t="s">
        <v>24</v>
      </c>
      <c r="B1689" s="15">
        <v>25000000</v>
      </c>
      <c r="C1689" s="15">
        <v>55973336</v>
      </c>
      <c r="D1689" s="15">
        <v>2000</v>
      </c>
      <c r="E1689" s="15" t="str">
        <f>VLOOKUP(A1689, Currency!$A$2:$B$100, 2, FALSE)</f>
        <v>USD</v>
      </c>
      <c r="F1689" s="15">
        <f ca="1">IFERROR(__xludf.DUMMYFUNCTION("IF(E1689=""USD"",B1689,B1689 * GOOGLEFINANCE(""CURRENCY:"" &amp; E1689 &amp; ""USD""))
"),25000000)</f>
        <v>25000000</v>
      </c>
      <c r="G1689" s="16">
        <f ca="1">IFERROR(__xludf.DUMMYFUNCTION("IF(E1689=""USD"",C1689,C1689 * GOOGLEFINANCE(""CURRENCY:"" &amp; E1689 &amp; ""USD""))
"),55973336)</f>
        <v>55973336</v>
      </c>
    </row>
    <row r="1690" spans="1:7" ht="15.75" customHeight="1" x14ac:dyDescent="0.25">
      <c r="A1690" s="11" t="s">
        <v>24</v>
      </c>
      <c r="B1690" s="12">
        <v>1500000</v>
      </c>
      <c r="C1690" s="12">
        <v>119841</v>
      </c>
      <c r="D1690" s="12">
        <v>2002</v>
      </c>
      <c r="E1690" s="12" t="str">
        <f>VLOOKUP(A1690, Currency!$A$2:$B$100, 2, FALSE)</f>
        <v>USD</v>
      </c>
      <c r="F1690" s="12">
        <f ca="1">IFERROR(__xludf.DUMMYFUNCTION("IF(E1690=""USD"",B1690,B1690 * GOOGLEFINANCE(""CURRENCY:"" &amp; E1690 &amp; ""USD""))
"),1500000)</f>
        <v>1500000</v>
      </c>
      <c r="G1690" s="13">
        <f ca="1">IFERROR(__xludf.DUMMYFUNCTION("IF(E1690=""USD"",C1690,C1690 * GOOGLEFINANCE(""CURRENCY:"" &amp; E1690 &amp; ""USD""))
"),119841)</f>
        <v>119841</v>
      </c>
    </row>
    <row r="1691" spans="1:7" ht="15.75" customHeight="1" x14ac:dyDescent="0.25">
      <c r="A1691" s="14" t="s">
        <v>24</v>
      </c>
      <c r="B1691" s="15">
        <v>68000000</v>
      </c>
      <c r="C1691" s="15">
        <v>35324232</v>
      </c>
      <c r="D1691" s="15">
        <v>1995</v>
      </c>
      <c r="E1691" s="15" t="str">
        <f>VLOOKUP(A1691, Currency!$A$2:$B$100, 2, FALSE)</f>
        <v>USD</v>
      </c>
      <c r="F1691" s="15">
        <f ca="1">IFERROR(__xludf.DUMMYFUNCTION("IF(E1691=""USD"",B1691,B1691 * GOOGLEFINANCE(""CURRENCY:"" &amp; E1691 &amp; ""USD""))
"),68000000)</f>
        <v>68000000</v>
      </c>
      <c r="G1691" s="16">
        <f ca="1">IFERROR(__xludf.DUMMYFUNCTION("IF(E1691=""USD"",C1691,C1691 * GOOGLEFINANCE(""CURRENCY:"" &amp; E1691 &amp; ""USD""))
"),35324232)</f>
        <v>35324232</v>
      </c>
    </row>
    <row r="1692" spans="1:7" ht="15.75" customHeight="1" x14ac:dyDescent="0.25">
      <c r="A1692" s="11" t="s">
        <v>24</v>
      </c>
      <c r="B1692" s="12">
        <v>13800000</v>
      </c>
      <c r="C1692" s="12">
        <v>52293982</v>
      </c>
      <c r="D1692" s="12">
        <v>1986</v>
      </c>
      <c r="E1692" s="12" t="str">
        <f>VLOOKUP(A1692, Currency!$A$2:$B$100, 2, FALSE)</f>
        <v>USD</v>
      </c>
      <c r="F1692" s="12">
        <f ca="1">IFERROR(__xludf.DUMMYFUNCTION("IF(E1692=""USD"",B1692,B1692 * GOOGLEFINANCE(""CURRENCY:"" &amp; E1692 &amp; ""USD""))
"),13800000)</f>
        <v>13800000</v>
      </c>
      <c r="G1692" s="13">
        <f ca="1">IFERROR(__xludf.DUMMYFUNCTION("IF(E1692=""USD"",C1692,C1692 * GOOGLEFINANCE(""CURRENCY:"" &amp; E1692 &amp; ""USD""))
"),52293982)</f>
        <v>52293982</v>
      </c>
    </row>
    <row r="1693" spans="1:7" ht="15.75" customHeight="1" x14ac:dyDescent="0.25">
      <c r="A1693" s="14" t="s">
        <v>24</v>
      </c>
      <c r="B1693" s="15">
        <v>70000000</v>
      </c>
      <c r="C1693" s="15">
        <v>97680195</v>
      </c>
      <c r="D1693" s="15">
        <v>2008</v>
      </c>
      <c r="E1693" s="15" t="str">
        <f>VLOOKUP(A1693, Currency!$A$2:$B$100, 2, FALSE)</f>
        <v>USD</v>
      </c>
      <c r="F1693" s="15">
        <f ca="1">IFERROR(__xludf.DUMMYFUNCTION("IF(E1693=""USD"",B1693,B1693 * GOOGLEFINANCE(""CURRENCY:"" &amp; E1693 &amp; ""USD""))
"),70000000)</f>
        <v>70000000</v>
      </c>
      <c r="G1693" s="16">
        <f ca="1">IFERROR(__xludf.DUMMYFUNCTION("IF(E1693=""USD"",C1693,C1693 * GOOGLEFINANCE(""CURRENCY:"" &amp; E1693 &amp; ""USD""))
"),97680195)</f>
        <v>97680195</v>
      </c>
    </row>
    <row r="1694" spans="1:7" ht="15.75" customHeight="1" x14ac:dyDescent="0.25">
      <c r="A1694" s="11" t="s">
        <v>24</v>
      </c>
      <c r="B1694" s="12">
        <v>14000000</v>
      </c>
      <c r="C1694" s="12">
        <v>20246959</v>
      </c>
      <c r="D1694" s="12">
        <v>2010</v>
      </c>
      <c r="E1694" s="12" t="str">
        <f>VLOOKUP(A1694, Currency!$A$2:$B$100, 2, FALSE)</f>
        <v>USD</v>
      </c>
      <c r="F1694" s="12">
        <f ca="1">IFERROR(__xludf.DUMMYFUNCTION("IF(E1694=""USD"",B1694,B1694 * GOOGLEFINANCE(""CURRENCY:"" &amp; E1694 &amp; ""USD""))
"),14000000)</f>
        <v>14000000</v>
      </c>
      <c r="G1694" s="13">
        <f ca="1">IFERROR(__xludf.DUMMYFUNCTION("IF(E1694=""USD"",C1694,C1694 * GOOGLEFINANCE(""CURRENCY:"" &amp; E1694 &amp; ""USD""))
"),20246959)</f>
        <v>20246959</v>
      </c>
    </row>
    <row r="1695" spans="1:7" ht="15.75" customHeight="1" x14ac:dyDescent="0.25">
      <c r="A1695" s="14" t="s">
        <v>133</v>
      </c>
      <c r="B1695" s="15">
        <v>52000000</v>
      </c>
      <c r="C1695" s="15">
        <v>34580635</v>
      </c>
      <c r="D1695" s="15">
        <v>1999</v>
      </c>
      <c r="E1695" s="15" t="str">
        <f>VLOOKUP(A1695, Currency!$A$2:$B$100, 2, FALSE)</f>
        <v>GBP</v>
      </c>
      <c r="F1695" s="15">
        <f ca="1">IFERROR(__xludf.DUMMYFUNCTION("IF(E1695=""USD"",B1695,B1695 * GOOGLEFINANCE(""CURRENCY:"" &amp; E1695 &amp; ""USD""))
"),66840799.9999999)</f>
        <v>66840799.999999903</v>
      </c>
      <c r="G1695" s="16">
        <f ca="1">IFERROR(__xludf.DUMMYFUNCTION("IF(E1695=""USD"",C1695,C1695 * GOOGLEFINANCE(""CURRENCY:"" &amp; E1695 &amp; ""USD""))
"),44449948.2289999)</f>
        <v>44449948.228999898</v>
      </c>
    </row>
    <row r="1696" spans="1:7" ht="15.75" customHeight="1" x14ac:dyDescent="0.25">
      <c r="A1696" s="11" t="s">
        <v>24</v>
      </c>
      <c r="B1696" s="12">
        <v>73000000</v>
      </c>
      <c r="C1696" s="12">
        <v>107225164</v>
      </c>
      <c r="D1696" s="12">
        <v>2016</v>
      </c>
      <c r="E1696" s="12" t="str">
        <f>VLOOKUP(A1696, Currency!$A$2:$B$100, 2, FALSE)</f>
        <v>USD</v>
      </c>
      <c r="F1696" s="12">
        <f ca="1">IFERROR(__xludf.DUMMYFUNCTION("IF(E1696=""USD"",B1696,B1696 * GOOGLEFINANCE(""CURRENCY:"" &amp; E1696 &amp; ""USD""))
"),73000000)</f>
        <v>73000000</v>
      </c>
      <c r="G1696" s="13">
        <f ca="1">IFERROR(__xludf.DUMMYFUNCTION("IF(E1696=""USD"",C1696,C1696 * GOOGLEFINANCE(""CURRENCY:"" &amp; E1696 &amp; ""USD""))
"),107225164)</f>
        <v>107225164</v>
      </c>
    </row>
    <row r="1697" spans="1:7" ht="15.75" customHeight="1" x14ac:dyDescent="0.25">
      <c r="A1697" s="14" t="s">
        <v>24</v>
      </c>
      <c r="B1697" s="15">
        <v>25000000</v>
      </c>
      <c r="C1697" s="15">
        <v>32416109</v>
      </c>
      <c r="D1697" s="15">
        <v>2009</v>
      </c>
      <c r="E1697" s="15" t="str">
        <f>VLOOKUP(A1697, Currency!$A$2:$B$100, 2, FALSE)</f>
        <v>USD</v>
      </c>
      <c r="F1697" s="15">
        <f ca="1">IFERROR(__xludf.DUMMYFUNCTION("IF(E1697=""USD"",B1697,B1697 * GOOGLEFINANCE(""CURRENCY:"" &amp; E1697 &amp; ""USD""))
"),25000000)</f>
        <v>25000000</v>
      </c>
      <c r="G1697" s="16">
        <f ca="1">IFERROR(__xludf.DUMMYFUNCTION("IF(E1697=""USD"",C1697,C1697 * GOOGLEFINANCE(""CURRENCY:"" &amp; E1697 &amp; ""USD""))
"),32416109)</f>
        <v>32416109</v>
      </c>
    </row>
    <row r="1698" spans="1:7" ht="15.75" customHeight="1" x14ac:dyDescent="0.25">
      <c r="A1698" s="11" t="s">
        <v>24</v>
      </c>
      <c r="B1698" s="12">
        <v>35000000</v>
      </c>
      <c r="C1698" s="12">
        <v>4426297</v>
      </c>
      <c r="D1698" s="12">
        <v>2003</v>
      </c>
      <c r="E1698" s="12" t="str">
        <f>VLOOKUP(A1698, Currency!$A$2:$B$100, 2, FALSE)</f>
        <v>USD</v>
      </c>
      <c r="F1698" s="12">
        <f ca="1">IFERROR(__xludf.DUMMYFUNCTION("IF(E1698=""USD"",B1698,B1698 * GOOGLEFINANCE(""CURRENCY:"" &amp; E1698 &amp; ""USD""))
"),35000000)</f>
        <v>35000000</v>
      </c>
      <c r="G1698" s="13">
        <f ca="1">IFERROR(__xludf.DUMMYFUNCTION("IF(E1698=""USD"",C1698,C1698 * GOOGLEFINANCE(""CURRENCY:"" &amp; E1698 &amp; ""USD""))
"),4426297)</f>
        <v>4426297</v>
      </c>
    </row>
    <row r="1699" spans="1:7" ht="15.75" customHeight="1" x14ac:dyDescent="0.25">
      <c r="A1699" s="14" t="s">
        <v>24</v>
      </c>
      <c r="B1699" s="15">
        <v>3000000</v>
      </c>
      <c r="C1699" s="15">
        <v>3902679</v>
      </c>
      <c r="D1699" s="15">
        <v>1993</v>
      </c>
      <c r="E1699" s="15" t="str">
        <f>VLOOKUP(A1699, Currency!$A$2:$B$100, 2, FALSE)</f>
        <v>USD</v>
      </c>
      <c r="F1699" s="15">
        <f ca="1">IFERROR(__xludf.DUMMYFUNCTION("IF(E1699=""USD"",B1699,B1699 * GOOGLEFINANCE(""CURRENCY:"" &amp; E1699 &amp; ""USD""))
"),3000000)</f>
        <v>3000000</v>
      </c>
      <c r="G1699" s="16">
        <f ca="1">IFERROR(__xludf.DUMMYFUNCTION("IF(E1699=""USD"",C1699,C1699 * GOOGLEFINANCE(""CURRENCY:"" &amp; E1699 &amp; ""USD""))
"),3902679)</f>
        <v>3902679</v>
      </c>
    </row>
    <row r="1700" spans="1:7" ht="15.75" customHeight="1" x14ac:dyDescent="0.25">
      <c r="A1700" s="11" t="s">
        <v>24</v>
      </c>
      <c r="B1700" s="12">
        <v>7000000</v>
      </c>
      <c r="C1700" s="12">
        <v>1768416</v>
      </c>
      <c r="D1700" s="12">
        <v>2010</v>
      </c>
      <c r="E1700" s="12" t="str">
        <f>VLOOKUP(A1700, Currency!$A$2:$B$100, 2, FALSE)</f>
        <v>USD</v>
      </c>
      <c r="F1700" s="12">
        <f ca="1">IFERROR(__xludf.DUMMYFUNCTION("IF(E1700=""USD"",B1700,B1700 * GOOGLEFINANCE(""CURRENCY:"" &amp; E1700 &amp; ""USD""))
"),7000000)</f>
        <v>7000000</v>
      </c>
      <c r="G1700" s="13">
        <f ca="1">IFERROR(__xludf.DUMMYFUNCTION("IF(E1700=""USD"",C1700,C1700 * GOOGLEFINANCE(""CURRENCY:"" &amp; E1700 &amp; ""USD""))
"),1768416)</f>
        <v>1768416</v>
      </c>
    </row>
    <row r="1701" spans="1:7" ht="15.75" customHeight="1" x14ac:dyDescent="0.25">
      <c r="A1701" s="14" t="s">
        <v>24</v>
      </c>
      <c r="B1701" s="15">
        <v>27000000</v>
      </c>
      <c r="C1701" s="15">
        <v>21500000</v>
      </c>
      <c r="D1701" s="15">
        <v>1983</v>
      </c>
      <c r="E1701" s="15" t="str">
        <f>VLOOKUP(A1701, Currency!$A$2:$B$100, 2, FALSE)</f>
        <v>USD</v>
      </c>
      <c r="F1701" s="15">
        <f ca="1">IFERROR(__xludf.DUMMYFUNCTION("IF(E1701=""USD"",B1701,B1701 * GOOGLEFINANCE(""CURRENCY:"" &amp; E1701 &amp; ""USD""))
"),27000000)</f>
        <v>27000000</v>
      </c>
      <c r="G1701" s="16">
        <f ca="1">IFERROR(__xludf.DUMMYFUNCTION("IF(E1701=""USD"",C1701,C1701 * GOOGLEFINANCE(""CURRENCY:"" &amp; E1701 &amp; ""USD""))
"),21500000)</f>
        <v>21500000</v>
      </c>
    </row>
    <row r="1702" spans="1:7" ht="15.75" customHeight="1" x14ac:dyDescent="0.25">
      <c r="A1702" s="11" t="s">
        <v>24</v>
      </c>
      <c r="B1702" s="12">
        <v>35000000</v>
      </c>
      <c r="C1702" s="12">
        <v>112692062</v>
      </c>
      <c r="D1702" s="12">
        <v>2001</v>
      </c>
      <c r="E1702" s="12" t="str">
        <f>VLOOKUP(A1702, Currency!$A$2:$B$100, 2, FALSE)</f>
        <v>USD</v>
      </c>
      <c r="F1702" s="12">
        <f ca="1">IFERROR(__xludf.DUMMYFUNCTION("IF(E1702=""USD"",B1702,B1702 * GOOGLEFINANCE(""CURRENCY:"" &amp; E1702 &amp; ""USD""))
"),35000000)</f>
        <v>35000000</v>
      </c>
      <c r="G1702" s="13">
        <f ca="1">IFERROR(__xludf.DUMMYFUNCTION("IF(E1702=""USD"",C1702,C1702 * GOOGLEFINANCE(""CURRENCY:"" &amp; E1702 &amp; ""USD""))
"),112692062)</f>
        <v>112692062</v>
      </c>
    </row>
    <row r="1703" spans="1:7" ht="15.75" customHeight="1" x14ac:dyDescent="0.25">
      <c r="A1703" s="14" t="s">
        <v>24</v>
      </c>
      <c r="B1703" s="15">
        <v>40000000</v>
      </c>
      <c r="C1703" s="15">
        <v>20916309</v>
      </c>
      <c r="D1703" s="15">
        <v>2009</v>
      </c>
      <c r="E1703" s="15" t="str">
        <f>VLOOKUP(A1703, Currency!$A$2:$B$100, 2, FALSE)</f>
        <v>USD</v>
      </c>
      <c r="F1703" s="15">
        <f ca="1">IFERROR(__xludf.DUMMYFUNCTION("IF(E1703=""USD"",B1703,B1703 * GOOGLEFINANCE(""CURRENCY:"" &amp; E1703 &amp; ""USD""))
"),40000000)</f>
        <v>40000000</v>
      </c>
      <c r="G1703" s="16">
        <f ca="1">IFERROR(__xludf.DUMMYFUNCTION("IF(E1703=""USD"",C1703,C1703 * GOOGLEFINANCE(""CURRENCY:"" &amp; E1703 &amp; ""USD""))
"),20916309)</f>
        <v>20916309</v>
      </c>
    </row>
    <row r="1704" spans="1:7" ht="15.75" customHeight="1" x14ac:dyDescent="0.25">
      <c r="A1704" s="11" t="s">
        <v>24</v>
      </c>
      <c r="B1704" s="12">
        <v>2200000</v>
      </c>
      <c r="C1704" s="12">
        <v>21300000</v>
      </c>
      <c r="D1704" s="12">
        <v>1985</v>
      </c>
      <c r="E1704" s="12" t="str">
        <f>VLOOKUP(A1704, Currency!$A$2:$B$100, 2, FALSE)</f>
        <v>USD</v>
      </c>
      <c r="F1704" s="12">
        <f ca="1">IFERROR(__xludf.DUMMYFUNCTION("IF(E1704=""USD"",B1704,B1704 * GOOGLEFINANCE(""CURRENCY:"" &amp; E1704 &amp; ""USD""))
"),2200000)</f>
        <v>2200000</v>
      </c>
      <c r="G1704" s="13">
        <f ca="1">IFERROR(__xludf.DUMMYFUNCTION("IF(E1704=""USD"",C1704,C1704 * GOOGLEFINANCE(""CURRENCY:"" &amp; E1704 &amp; ""USD""))
"),21300000)</f>
        <v>21300000</v>
      </c>
    </row>
    <row r="1705" spans="1:7" ht="15.75" customHeight="1" x14ac:dyDescent="0.25">
      <c r="A1705" s="14" t="s">
        <v>24</v>
      </c>
      <c r="B1705" s="15">
        <v>4000000</v>
      </c>
      <c r="C1705" s="15">
        <v>36200000</v>
      </c>
      <c r="D1705" s="15">
        <v>1982</v>
      </c>
      <c r="E1705" s="15" t="str">
        <f>VLOOKUP(A1705, Currency!$A$2:$B$100, 2, FALSE)</f>
        <v>USD</v>
      </c>
      <c r="F1705" s="15">
        <f ca="1">IFERROR(__xludf.DUMMYFUNCTION("IF(E1705=""USD"",B1705,B1705 * GOOGLEFINANCE(""CURRENCY:"" &amp; E1705 &amp; ""USD""))
"),4000000)</f>
        <v>4000000</v>
      </c>
      <c r="G1705" s="16">
        <f ca="1">IFERROR(__xludf.DUMMYFUNCTION("IF(E1705=""USD"",C1705,C1705 * GOOGLEFINANCE(""CURRENCY:"" &amp; E1705 &amp; ""USD""))
"),36200000)</f>
        <v>36200000</v>
      </c>
    </row>
    <row r="1706" spans="1:7" ht="15.75" customHeight="1" x14ac:dyDescent="0.25">
      <c r="A1706" s="11" t="s">
        <v>24</v>
      </c>
      <c r="B1706" s="12">
        <v>28000000</v>
      </c>
      <c r="C1706" s="12">
        <v>30688364</v>
      </c>
      <c r="D1706" s="12">
        <v>2014</v>
      </c>
      <c r="E1706" s="12" t="str">
        <f>VLOOKUP(A1706, Currency!$A$2:$B$100, 2, FALSE)</f>
        <v>USD</v>
      </c>
      <c r="F1706" s="12">
        <f ca="1">IFERROR(__xludf.DUMMYFUNCTION("IF(E1706=""USD"",B1706,B1706 * GOOGLEFINANCE(""CURRENCY:"" &amp; E1706 &amp; ""USD""))
"),28000000)</f>
        <v>28000000</v>
      </c>
      <c r="G1706" s="13">
        <f ca="1">IFERROR(__xludf.DUMMYFUNCTION("IF(E1706=""USD"",C1706,C1706 * GOOGLEFINANCE(""CURRENCY:"" &amp; E1706 &amp; ""USD""))
"),30688364)</f>
        <v>30688364</v>
      </c>
    </row>
    <row r="1707" spans="1:7" ht="15.75" customHeight="1" x14ac:dyDescent="0.25">
      <c r="A1707" s="14" t="s">
        <v>674</v>
      </c>
      <c r="B1707" s="15">
        <v>700000000</v>
      </c>
      <c r="C1707" s="15">
        <v>3275443</v>
      </c>
      <c r="D1707" s="15">
        <v>2006</v>
      </c>
      <c r="E1707" s="15" t="str">
        <f>VLOOKUP(A1707, Currency!$A$2:$B$100, 2, FALSE)</f>
        <v>INR</v>
      </c>
      <c r="F1707" s="15">
        <f ca="1">IFERROR(__xludf.DUMMYFUNCTION("IF(E1707=""USD"",B1707,B1707 * GOOGLEFINANCE(""CURRENCY:"" &amp; E1707 &amp; ""USD""))
"),8359022)</f>
        <v>8359022</v>
      </c>
      <c r="G1707" s="16">
        <f ca="1">IFERROR(__xludf.DUMMYFUNCTION("IF(E1707=""USD"",C1707,C1707 * GOOGLEFINANCE(""CURRENCY:"" &amp; E1707 &amp; ""USD""))
"),39113.57156678)</f>
        <v>39113.571566780003</v>
      </c>
    </row>
    <row r="1708" spans="1:7" ht="15.75" customHeight="1" x14ac:dyDescent="0.25">
      <c r="A1708" s="11" t="s">
        <v>133</v>
      </c>
      <c r="B1708" s="12">
        <v>28000000</v>
      </c>
      <c r="C1708" s="12">
        <v>5204007</v>
      </c>
      <c r="D1708" s="12">
        <v>2001</v>
      </c>
      <c r="E1708" s="12" t="str">
        <f>VLOOKUP(A1708, Currency!$A$2:$B$100, 2, FALSE)</f>
        <v>GBP</v>
      </c>
      <c r="F1708" s="12">
        <f ca="1">IFERROR(__xludf.DUMMYFUNCTION("IF(E1708=""USD"",B1708,B1708 * GOOGLEFINANCE(""CURRENCY:"" &amp; E1708 &amp; ""USD""))
"),35991200)</f>
        <v>35991200</v>
      </c>
      <c r="G1708" s="13">
        <f ca="1">IFERROR(__xludf.DUMMYFUNCTION("IF(E1708=""USD"",C1708,C1708 * GOOGLEFINANCE(""CURRENCY:"" &amp; E1708 &amp; ""USD""))
"),6689230.5978)</f>
        <v>6689230.5977999996</v>
      </c>
    </row>
    <row r="1709" spans="1:7" ht="15.75" customHeight="1" x14ac:dyDescent="0.25">
      <c r="A1709" s="14" t="s">
        <v>24</v>
      </c>
      <c r="B1709" s="15">
        <v>1200000</v>
      </c>
      <c r="C1709" s="15">
        <v>2859955</v>
      </c>
      <c r="D1709" s="15">
        <v>2013</v>
      </c>
      <c r="E1709" s="15" t="str">
        <f>VLOOKUP(A1709, Currency!$A$2:$B$100, 2, FALSE)</f>
        <v>USD</v>
      </c>
      <c r="F1709" s="15">
        <f ca="1">IFERROR(__xludf.DUMMYFUNCTION("IF(E1709=""USD"",B1709,B1709 * GOOGLEFINANCE(""CURRENCY:"" &amp; E1709 &amp; ""USD""))
"),1200000)</f>
        <v>1200000</v>
      </c>
      <c r="G1709" s="16">
        <f ca="1">IFERROR(__xludf.DUMMYFUNCTION("IF(E1709=""USD"",C1709,C1709 * GOOGLEFINANCE(""CURRENCY:"" &amp; E1709 &amp; ""USD""))
"),2859955)</f>
        <v>2859955</v>
      </c>
    </row>
    <row r="1710" spans="1:7" ht="15.75" customHeight="1" x14ac:dyDescent="0.25">
      <c r="A1710" s="11" t="s">
        <v>24</v>
      </c>
      <c r="B1710" s="12">
        <v>178000000</v>
      </c>
      <c r="C1710" s="12">
        <v>154985087</v>
      </c>
      <c r="D1710" s="12">
        <v>2016</v>
      </c>
      <c r="E1710" s="12" t="str">
        <f>VLOOKUP(A1710, Currency!$A$2:$B$100, 2, FALSE)</f>
        <v>USD</v>
      </c>
      <c r="F1710" s="12">
        <f ca="1">IFERROR(__xludf.DUMMYFUNCTION("IF(E1710=""USD"",B1710,B1710 * GOOGLEFINANCE(""CURRENCY:"" &amp; E1710 &amp; ""USD""))
"),178000000)</f>
        <v>178000000</v>
      </c>
      <c r="G1710" s="13">
        <f ca="1">IFERROR(__xludf.DUMMYFUNCTION("IF(E1710=""USD"",C1710,C1710 * GOOGLEFINANCE(""CURRENCY:"" &amp; E1710 &amp; ""USD""))
"),154985087)</f>
        <v>154985087</v>
      </c>
    </row>
    <row r="1711" spans="1:7" ht="15.75" customHeight="1" x14ac:dyDescent="0.25">
      <c r="A1711" s="14" t="s">
        <v>24</v>
      </c>
      <c r="B1711" s="15">
        <v>100000000</v>
      </c>
      <c r="C1711" s="15">
        <v>103738726</v>
      </c>
      <c r="D1711" s="15">
        <v>1990</v>
      </c>
      <c r="E1711" s="15" t="str">
        <f>VLOOKUP(A1711, Currency!$A$2:$B$100, 2, FALSE)</f>
        <v>USD</v>
      </c>
      <c r="F1711" s="15">
        <f ca="1">IFERROR(__xludf.DUMMYFUNCTION("IF(E1711=""USD"",B1711,B1711 * GOOGLEFINANCE(""CURRENCY:"" &amp; E1711 &amp; ""USD""))
"),100000000)</f>
        <v>100000000</v>
      </c>
      <c r="G1711" s="16">
        <f ca="1">IFERROR(__xludf.DUMMYFUNCTION("IF(E1711=""USD"",C1711,C1711 * GOOGLEFINANCE(""CURRENCY:"" &amp; E1711 &amp; ""USD""))
"),103738726)</f>
        <v>103738726</v>
      </c>
    </row>
    <row r="1712" spans="1:7" ht="15.75" customHeight="1" x14ac:dyDescent="0.25">
      <c r="A1712" s="11" t="s">
        <v>24</v>
      </c>
      <c r="B1712" s="12">
        <v>190000000</v>
      </c>
      <c r="C1712" s="12">
        <v>93417865</v>
      </c>
      <c r="D1712" s="12">
        <v>2015</v>
      </c>
      <c r="E1712" s="12" t="str">
        <f>VLOOKUP(A1712, Currency!$A$2:$B$100, 2, FALSE)</f>
        <v>USD</v>
      </c>
      <c r="F1712" s="12">
        <f ca="1">IFERROR(__xludf.DUMMYFUNCTION("IF(E1712=""USD"",B1712,B1712 * GOOGLEFINANCE(""CURRENCY:"" &amp; E1712 &amp; ""USD""))
"),190000000)</f>
        <v>190000000</v>
      </c>
      <c r="G1712" s="13">
        <f ca="1">IFERROR(__xludf.DUMMYFUNCTION("IF(E1712=""USD"",C1712,C1712 * GOOGLEFINANCE(""CURRENCY:"" &amp; E1712 &amp; ""USD""))
"),93417865)</f>
        <v>93417865</v>
      </c>
    </row>
    <row r="1713" spans="1:7" ht="15.75" customHeight="1" x14ac:dyDescent="0.25">
      <c r="A1713" s="14" t="s">
        <v>24</v>
      </c>
      <c r="B1713" s="15">
        <v>40000000</v>
      </c>
      <c r="C1713" s="15">
        <v>54967359</v>
      </c>
      <c r="D1713" s="15">
        <v>1997</v>
      </c>
      <c r="E1713" s="15" t="str">
        <f>VLOOKUP(A1713, Currency!$A$2:$B$100, 2, FALSE)</f>
        <v>USD</v>
      </c>
      <c r="F1713" s="15">
        <f ca="1">IFERROR(__xludf.DUMMYFUNCTION("IF(E1713=""USD"",B1713,B1713 * GOOGLEFINANCE(""CURRENCY:"" &amp; E1713 &amp; ""USD""))
"),40000000)</f>
        <v>40000000</v>
      </c>
      <c r="G1713" s="16">
        <f ca="1">IFERROR(__xludf.DUMMYFUNCTION("IF(E1713=""USD"",C1713,C1713 * GOOGLEFINANCE(""CURRENCY:"" &amp; E1713 &amp; ""USD""))
"),54967359)</f>
        <v>54967359</v>
      </c>
    </row>
    <row r="1714" spans="1:7" ht="15.75" customHeight="1" x14ac:dyDescent="0.25">
      <c r="A1714" s="11" t="s">
        <v>133</v>
      </c>
      <c r="B1714" s="12">
        <v>12000000</v>
      </c>
      <c r="C1714" s="12">
        <v>15294553</v>
      </c>
      <c r="D1714" s="12">
        <v>2013</v>
      </c>
      <c r="E1714" s="12" t="str">
        <f>VLOOKUP(A1714, Currency!$A$2:$B$100, 2, FALSE)</f>
        <v>GBP</v>
      </c>
      <c r="F1714" s="12">
        <f ca="1">IFERROR(__xludf.DUMMYFUNCTION("IF(E1714=""USD"",B1714,B1714 * GOOGLEFINANCE(""CURRENCY:"" &amp; E1714 &amp; ""USD""))
"),15424799.9999999)</f>
        <v>15424799.999999899</v>
      </c>
      <c r="G1714" s="13">
        <f ca="1">IFERROR(__xludf.DUMMYFUNCTION("IF(E1714=""USD"",C1714,C1714 * GOOGLEFINANCE(""CURRENCY:"" &amp; E1714 &amp; ""USD""))
"),19659618.4262)</f>
        <v>19659618.426199999</v>
      </c>
    </row>
    <row r="1715" spans="1:7" ht="15.75" customHeight="1" x14ac:dyDescent="0.25">
      <c r="A1715" s="14" t="s">
        <v>133</v>
      </c>
      <c r="B1715" s="15">
        <v>11000000</v>
      </c>
      <c r="C1715" s="15">
        <v>33305037</v>
      </c>
      <c r="D1715" s="15">
        <v>2015</v>
      </c>
      <c r="E1715" s="15" t="str">
        <f>VLOOKUP(A1715, Currency!$A$2:$B$100, 2, FALSE)</f>
        <v>GBP</v>
      </c>
      <c r="F1715" s="15">
        <f ca="1">IFERROR(__xludf.DUMMYFUNCTION("IF(E1715=""USD"",B1715,B1715 * GOOGLEFINANCE(""CURRENCY:"" &amp; E1715 &amp; ""USD""))
"),14139399.9999999)</f>
        <v>14139399.999999899</v>
      </c>
      <c r="G1715" s="16">
        <f ca="1">IFERROR(__xludf.DUMMYFUNCTION("IF(E1715=""USD"",C1715,C1715 * GOOGLEFINANCE(""CURRENCY:"" &amp; E1715 &amp; ""USD""))
"),42810294.5598)</f>
        <v>42810294.559799999</v>
      </c>
    </row>
    <row r="1716" spans="1:7" ht="15.75" customHeight="1" x14ac:dyDescent="0.25">
      <c r="A1716" s="11" t="s">
        <v>24</v>
      </c>
      <c r="B1716" s="12">
        <v>19000000</v>
      </c>
      <c r="C1716" s="12">
        <v>26096584</v>
      </c>
      <c r="D1716" s="12">
        <v>2003</v>
      </c>
      <c r="E1716" s="12" t="str">
        <f>VLOOKUP(A1716, Currency!$A$2:$B$100, 2, FALSE)</f>
        <v>USD</v>
      </c>
      <c r="F1716" s="12">
        <f ca="1">IFERROR(__xludf.DUMMYFUNCTION("IF(E1716=""USD"",B1716,B1716 * GOOGLEFINANCE(""CURRENCY:"" &amp; E1716 &amp; ""USD""))
"),19000000)</f>
        <v>19000000</v>
      </c>
      <c r="G1716" s="13">
        <f ca="1">IFERROR(__xludf.DUMMYFUNCTION("IF(E1716=""USD"",C1716,C1716 * GOOGLEFINANCE(""CURRENCY:"" &amp; E1716 &amp; ""USD""))
"),26096584)</f>
        <v>26096584</v>
      </c>
    </row>
    <row r="1717" spans="1:7" ht="15.75" customHeight="1" x14ac:dyDescent="0.25">
      <c r="A1717" s="14" t="s">
        <v>24</v>
      </c>
      <c r="B1717" s="15">
        <v>200000000</v>
      </c>
      <c r="C1717" s="15">
        <v>105219735</v>
      </c>
      <c r="D1717" s="15">
        <v>2010</v>
      </c>
      <c r="E1717" s="15" t="str">
        <f>VLOOKUP(A1717, Currency!$A$2:$B$100, 2, FALSE)</f>
        <v>USD</v>
      </c>
      <c r="F1717" s="15">
        <f ca="1">IFERROR(__xludf.DUMMYFUNCTION("IF(E1717=""USD"",B1717,B1717 * GOOGLEFINANCE(""CURRENCY:"" &amp; E1717 &amp; ""USD""))
"),200000000)</f>
        <v>200000000</v>
      </c>
      <c r="G1717" s="16">
        <f ca="1">IFERROR(__xludf.DUMMYFUNCTION("IF(E1717=""USD"",C1717,C1717 * GOOGLEFINANCE(""CURRENCY:"" &amp; E1717 &amp; ""USD""))
"),105219735)</f>
        <v>105219735</v>
      </c>
    </row>
    <row r="1718" spans="1:7" ht="15.75" customHeight="1" x14ac:dyDescent="0.25">
      <c r="A1718" s="11" t="s">
        <v>24</v>
      </c>
      <c r="B1718" s="12">
        <v>50000000</v>
      </c>
      <c r="C1718" s="12">
        <v>38590500</v>
      </c>
      <c r="D1718" s="12">
        <v>1994</v>
      </c>
      <c r="E1718" s="12" t="str">
        <f>VLOOKUP(A1718, Currency!$A$2:$B$100, 2, FALSE)</f>
        <v>USD</v>
      </c>
      <c r="F1718" s="12">
        <f ca="1">IFERROR(__xludf.DUMMYFUNCTION("IF(E1718=""USD"",B1718,B1718 * GOOGLEFINANCE(""CURRENCY:"" &amp; E1718 &amp; ""USD""))
"),50000000)</f>
        <v>50000000</v>
      </c>
      <c r="G1718" s="13">
        <f ca="1">IFERROR(__xludf.DUMMYFUNCTION("IF(E1718=""USD"",C1718,C1718 * GOOGLEFINANCE(""CURRENCY:"" &amp; E1718 &amp; ""USD""))
"),38590500)</f>
        <v>38590500</v>
      </c>
    </row>
    <row r="1719" spans="1:7" ht="15.75" customHeight="1" x14ac:dyDescent="0.25">
      <c r="A1719" s="14" t="s">
        <v>24</v>
      </c>
      <c r="B1719" s="15">
        <v>15000000</v>
      </c>
      <c r="C1719" s="15">
        <v>15608545</v>
      </c>
      <c r="D1719" s="15">
        <v>2012</v>
      </c>
      <c r="E1719" s="15" t="str">
        <f>VLOOKUP(A1719, Currency!$A$2:$B$100, 2, FALSE)</f>
        <v>USD</v>
      </c>
      <c r="F1719" s="15">
        <f ca="1">IFERROR(__xludf.DUMMYFUNCTION("IF(E1719=""USD"",B1719,B1719 * GOOGLEFINANCE(""CURRENCY:"" &amp; E1719 &amp; ""USD""))
"),15000000)</f>
        <v>15000000</v>
      </c>
      <c r="G1719" s="16">
        <f ca="1">IFERROR(__xludf.DUMMYFUNCTION("IF(E1719=""USD"",C1719,C1719 * GOOGLEFINANCE(""CURRENCY:"" &amp; E1719 &amp; ""USD""))
"),15608545)</f>
        <v>15608545</v>
      </c>
    </row>
    <row r="1720" spans="1:7" ht="15.75" customHeight="1" x14ac:dyDescent="0.25">
      <c r="A1720" s="11" t="s">
        <v>24</v>
      </c>
      <c r="B1720" s="12">
        <v>30000000</v>
      </c>
      <c r="C1720" s="12">
        <v>26525834</v>
      </c>
      <c r="D1720" s="12">
        <v>1998</v>
      </c>
      <c r="E1720" s="12" t="str">
        <f>VLOOKUP(A1720, Currency!$A$2:$B$100, 2, FALSE)</f>
        <v>USD</v>
      </c>
      <c r="F1720" s="12">
        <f ca="1">IFERROR(__xludf.DUMMYFUNCTION("IF(E1720=""USD"",B1720,B1720 * GOOGLEFINANCE(""CURRENCY:"" &amp; E1720 &amp; ""USD""))
"),30000000)</f>
        <v>30000000</v>
      </c>
      <c r="G1720" s="13">
        <f ca="1">IFERROR(__xludf.DUMMYFUNCTION("IF(E1720=""USD"",C1720,C1720 * GOOGLEFINANCE(""CURRENCY:"" &amp; E1720 &amp; ""USD""))
"),26525834)</f>
        <v>26525834</v>
      </c>
    </row>
    <row r="1721" spans="1:7" ht="15.75" customHeight="1" x14ac:dyDescent="0.25">
      <c r="A1721" s="14" t="s">
        <v>133</v>
      </c>
      <c r="B1721" s="15">
        <v>57000000</v>
      </c>
      <c r="C1721" s="15">
        <v>6768055</v>
      </c>
      <c r="D1721" s="15">
        <v>2004</v>
      </c>
      <c r="E1721" s="15" t="str">
        <f>VLOOKUP(A1721, Currency!$A$2:$B$100, 2, FALSE)</f>
        <v>GBP</v>
      </c>
      <c r="F1721" s="15">
        <f ca="1">IFERROR(__xludf.DUMMYFUNCTION("IF(E1721=""USD"",B1721,B1721 * GOOGLEFINANCE(""CURRENCY:"" &amp; E1721 &amp; ""USD""))
"),73267800)</f>
        <v>73267800</v>
      </c>
      <c r="G1721" s="16">
        <f ca="1">IFERROR(__xludf.DUMMYFUNCTION("IF(E1721=""USD"",C1721,C1721 * GOOGLEFINANCE(""CURRENCY:"" &amp; E1721 &amp; ""USD""))
"),8699657.897)</f>
        <v>8699657.8969999999</v>
      </c>
    </row>
    <row r="1722" spans="1:7" ht="15.75" customHeight="1" x14ac:dyDescent="0.25">
      <c r="A1722" s="11" t="s">
        <v>24</v>
      </c>
      <c r="B1722" s="12">
        <v>150000000</v>
      </c>
      <c r="C1722" s="12">
        <v>34964818</v>
      </c>
      <c r="D1722" s="12">
        <v>2015</v>
      </c>
      <c r="E1722" s="12" t="str">
        <f>VLOOKUP(A1722, Currency!$A$2:$B$100, 2, FALSE)</f>
        <v>USD</v>
      </c>
      <c r="F1722" s="12">
        <f ca="1">IFERROR(__xludf.DUMMYFUNCTION("IF(E1722=""USD"",B1722,B1722 * GOOGLEFINANCE(""CURRENCY:"" &amp; E1722 &amp; ""USD""))
"),150000000)</f>
        <v>150000000</v>
      </c>
      <c r="G1722" s="13">
        <f ca="1">IFERROR(__xludf.DUMMYFUNCTION("IF(E1722=""USD"",C1722,C1722 * GOOGLEFINANCE(""CURRENCY:"" &amp; E1722 &amp; ""USD""))
"),34964818)</f>
        <v>34964818</v>
      </c>
    </row>
    <row r="1723" spans="1:7" ht="15.75" customHeight="1" x14ac:dyDescent="0.25">
      <c r="A1723" s="14" t="s">
        <v>24</v>
      </c>
      <c r="B1723" s="15">
        <v>30000000</v>
      </c>
      <c r="C1723" s="15">
        <v>51432423</v>
      </c>
      <c r="D1723" s="15">
        <v>2002</v>
      </c>
      <c r="E1723" s="15" t="str">
        <f>VLOOKUP(A1723, Currency!$A$2:$B$100, 2, FALSE)</f>
        <v>USD</v>
      </c>
      <c r="F1723" s="15">
        <f ca="1">IFERROR(__xludf.DUMMYFUNCTION("IF(E1723=""USD"",B1723,B1723 * GOOGLEFINANCE(""CURRENCY:"" &amp; E1723 &amp; ""USD""))
"),30000000)</f>
        <v>30000000</v>
      </c>
      <c r="G1723" s="16">
        <f ca="1">IFERROR(__xludf.DUMMYFUNCTION("IF(E1723=""USD"",C1723,C1723 * GOOGLEFINANCE(""CURRENCY:"" &amp; E1723 &amp; ""USD""))
"),51432423)</f>
        <v>51432423</v>
      </c>
    </row>
    <row r="1724" spans="1:7" ht="15.75" customHeight="1" x14ac:dyDescent="0.25">
      <c r="A1724" s="11" t="s">
        <v>24</v>
      </c>
      <c r="B1724" s="12">
        <v>900000</v>
      </c>
      <c r="C1724" s="12">
        <v>9000000</v>
      </c>
      <c r="D1724" s="12">
        <v>1970</v>
      </c>
      <c r="E1724" s="12" t="str">
        <f>VLOOKUP(A1724, Currency!$A$2:$B$100, 2, FALSE)</f>
        <v>USD</v>
      </c>
      <c r="F1724" s="12">
        <f ca="1">IFERROR(__xludf.DUMMYFUNCTION("IF(E1724=""USD"",B1724,B1724 * GOOGLEFINANCE(""CURRENCY:"" &amp; E1724 &amp; ""USD""))
"),900000)</f>
        <v>900000</v>
      </c>
      <c r="G1724" s="13">
        <f ca="1">IFERROR(__xludf.DUMMYFUNCTION("IF(E1724=""USD"",C1724,C1724 * GOOGLEFINANCE(""CURRENCY:"" &amp; E1724 &amp; ""USD""))
"),9000000)</f>
        <v>9000000</v>
      </c>
    </row>
    <row r="1725" spans="1:7" ht="15.75" customHeight="1" x14ac:dyDescent="0.25">
      <c r="A1725" s="14" t="s">
        <v>24</v>
      </c>
      <c r="B1725" s="15">
        <v>9000000</v>
      </c>
      <c r="C1725" s="15">
        <v>2955039</v>
      </c>
      <c r="D1725" s="15">
        <v>2007</v>
      </c>
      <c r="E1725" s="15" t="str">
        <f>VLOOKUP(A1725, Currency!$A$2:$B$100, 2, FALSE)</f>
        <v>USD</v>
      </c>
      <c r="F1725" s="15">
        <f ca="1">IFERROR(__xludf.DUMMYFUNCTION("IF(E1725=""USD"",B1725,B1725 * GOOGLEFINANCE(""CURRENCY:"" &amp; E1725 &amp; ""USD""))
"),9000000)</f>
        <v>9000000</v>
      </c>
      <c r="G1725" s="16">
        <f ca="1">IFERROR(__xludf.DUMMYFUNCTION("IF(E1725=""USD"",C1725,C1725 * GOOGLEFINANCE(""CURRENCY:"" &amp; E1725 &amp; ""USD""))
"),2955039)</f>
        <v>2955039</v>
      </c>
    </row>
    <row r="1726" spans="1:7" ht="15.75" customHeight="1" x14ac:dyDescent="0.25">
      <c r="A1726" s="11" t="s">
        <v>24</v>
      </c>
      <c r="B1726" s="12">
        <v>10500000</v>
      </c>
      <c r="C1726" s="12">
        <v>434949459</v>
      </c>
      <c r="D1726" s="12">
        <v>1982</v>
      </c>
      <c r="E1726" s="12" t="str">
        <f>VLOOKUP(A1726, Currency!$A$2:$B$100, 2, FALSE)</f>
        <v>USD</v>
      </c>
      <c r="F1726" s="12">
        <f ca="1">IFERROR(__xludf.DUMMYFUNCTION("IF(E1726=""USD"",B1726,B1726 * GOOGLEFINANCE(""CURRENCY:"" &amp; E1726 &amp; ""USD""))
"),10500000)</f>
        <v>10500000</v>
      </c>
      <c r="G1726" s="13">
        <f ca="1">IFERROR(__xludf.DUMMYFUNCTION("IF(E1726=""USD"",C1726,C1726 * GOOGLEFINANCE(""CURRENCY:"" &amp; E1726 &amp; ""USD""))
"),434949459)</f>
        <v>434949459</v>
      </c>
    </row>
    <row r="1727" spans="1:7" ht="15.75" customHeight="1" x14ac:dyDescent="0.25">
      <c r="A1727" s="14" t="s">
        <v>24</v>
      </c>
      <c r="B1727" s="15">
        <v>22000000</v>
      </c>
      <c r="C1727" s="15">
        <v>5974653</v>
      </c>
      <c r="D1727" s="15">
        <v>2001</v>
      </c>
      <c r="E1727" s="15" t="str">
        <f>VLOOKUP(A1727, Currency!$A$2:$B$100, 2, FALSE)</f>
        <v>USD</v>
      </c>
      <c r="F1727" s="15">
        <f ca="1">IFERROR(__xludf.DUMMYFUNCTION("IF(E1727=""USD"",B1727,B1727 * GOOGLEFINANCE(""CURRENCY:"" &amp; E1727 &amp; ""USD""))
"),22000000)</f>
        <v>22000000</v>
      </c>
      <c r="G1727" s="16">
        <f ca="1">IFERROR(__xludf.DUMMYFUNCTION("IF(E1727=""USD"",C1727,C1727 * GOOGLEFINANCE(""CURRENCY:"" &amp; E1727 &amp; ""USD""))
"),5974653)</f>
        <v>5974653</v>
      </c>
    </row>
    <row r="1728" spans="1:7" ht="15.75" customHeight="1" x14ac:dyDescent="0.25">
      <c r="A1728" s="11" t="s">
        <v>24</v>
      </c>
      <c r="B1728" s="12">
        <v>37000000</v>
      </c>
      <c r="C1728" s="12">
        <v>44867349</v>
      </c>
      <c r="D1728" s="12">
        <v>2010</v>
      </c>
      <c r="E1728" s="12" t="str">
        <f>VLOOKUP(A1728, Currency!$A$2:$B$100, 2, FALSE)</f>
        <v>USD</v>
      </c>
      <c r="F1728" s="12">
        <f ca="1">IFERROR(__xludf.DUMMYFUNCTION("IF(E1728=""USD"",B1728,B1728 * GOOGLEFINANCE(""CURRENCY:"" &amp; E1728 &amp; ""USD""))
"),37000000)</f>
        <v>37000000</v>
      </c>
      <c r="G1728" s="13">
        <f ca="1">IFERROR(__xludf.DUMMYFUNCTION("IF(E1728=""USD"",C1728,C1728 * GOOGLEFINANCE(""CURRENCY:"" &amp; E1728 &amp; ""USD""))
"),44867349)</f>
        <v>44867349</v>
      </c>
    </row>
    <row r="1729" spans="1:7" ht="15.75" customHeight="1" x14ac:dyDescent="0.25">
      <c r="A1729" s="14" t="s">
        <v>24</v>
      </c>
      <c r="B1729" s="15">
        <v>4000000</v>
      </c>
      <c r="C1729" s="15">
        <v>228524</v>
      </c>
      <c r="D1729" s="15">
        <v>2004</v>
      </c>
      <c r="E1729" s="15" t="str">
        <f>VLOOKUP(A1729, Currency!$A$2:$B$100, 2, FALSE)</f>
        <v>USD</v>
      </c>
      <c r="F1729" s="15">
        <f ca="1">IFERROR(__xludf.DUMMYFUNCTION("IF(E1729=""USD"",B1729,B1729 * GOOGLEFINANCE(""CURRENCY:"" &amp; E1729 &amp; ""USD""))
"),4000000)</f>
        <v>4000000</v>
      </c>
      <c r="G1729" s="16">
        <f ca="1">IFERROR(__xludf.DUMMYFUNCTION("IF(E1729=""USD"",C1729,C1729 * GOOGLEFINANCE(""CURRENCY:"" &amp; E1729 &amp; ""USD""))
"),228524)</f>
        <v>228524</v>
      </c>
    </row>
    <row r="1730" spans="1:7" ht="15.75" customHeight="1" x14ac:dyDescent="0.25">
      <c r="A1730" s="11" t="s">
        <v>149</v>
      </c>
      <c r="B1730" s="12">
        <v>105000000</v>
      </c>
      <c r="C1730" s="12">
        <v>144812796</v>
      </c>
      <c r="D1730" s="12">
        <v>2013</v>
      </c>
      <c r="E1730" s="12" t="str">
        <f>VLOOKUP(A1730, Currency!$A$2:$B$100, 2, FALSE)</f>
        <v>AUD</v>
      </c>
      <c r="F1730" s="12">
        <f ca="1">IFERROR(__xludf.DUMMYFUNCTION("IF(E1730=""USD"",B1730,B1730 * GOOGLEFINANCE(""CURRENCY:"" &amp; E1730 &amp; ""USD""))
"),68657400)</f>
        <v>68657400</v>
      </c>
      <c r="G1730" s="13">
        <f ca="1">IFERROR(__xludf.DUMMYFUNCTION("IF(E1730=""USD"",C1730,C1730 * GOOGLEFINANCE(""CURRENCY:"" &amp; E1730 &amp; ""USD""))
"),94690191.04848)</f>
        <v>94690191.048480004</v>
      </c>
    </row>
    <row r="1731" spans="1:7" ht="15.75" customHeight="1" x14ac:dyDescent="0.25">
      <c r="A1731" s="14" t="s">
        <v>133</v>
      </c>
      <c r="B1731" s="15">
        <v>7000000</v>
      </c>
      <c r="C1731" s="15">
        <v>22800000</v>
      </c>
      <c r="D1731" s="15">
        <v>1969</v>
      </c>
      <c r="E1731" s="15" t="str">
        <f>VLOOKUP(A1731, Currency!$A$2:$B$100, 2, FALSE)</f>
        <v>GBP</v>
      </c>
      <c r="F1731" s="15">
        <f ca="1">IFERROR(__xludf.DUMMYFUNCTION("IF(E1731=""USD"",B1731,B1731 * GOOGLEFINANCE(""CURRENCY:"" &amp; E1731 &amp; ""USD""))
"),8997800)</f>
        <v>8997800</v>
      </c>
      <c r="G1731" s="16">
        <f ca="1">IFERROR(__xludf.DUMMYFUNCTION("IF(E1731=""USD"",C1731,C1731 * GOOGLEFINANCE(""CURRENCY:"" &amp; E1731 &amp; ""USD""))
"),29307119.9999999)</f>
        <v>29307119.999999899</v>
      </c>
    </row>
    <row r="1732" spans="1:7" ht="15.75" customHeight="1" x14ac:dyDescent="0.25">
      <c r="A1732" s="11" t="s">
        <v>24</v>
      </c>
      <c r="B1732" s="12">
        <v>55000000</v>
      </c>
      <c r="C1732" s="12">
        <v>42610000</v>
      </c>
      <c r="D1732" s="12">
        <v>1994</v>
      </c>
      <c r="E1732" s="12" t="str">
        <f>VLOOKUP(A1732, Currency!$A$2:$B$100, 2, FALSE)</f>
        <v>USD</v>
      </c>
      <c r="F1732" s="12">
        <f ca="1">IFERROR(__xludf.DUMMYFUNCTION("IF(E1732=""USD"",B1732,B1732 * GOOGLEFINANCE(""CURRENCY:"" &amp; E1732 &amp; ""USD""))
"),55000000)</f>
        <v>55000000</v>
      </c>
      <c r="G1732" s="13">
        <f ca="1">IFERROR(__xludf.DUMMYFUNCTION("IF(E1732=""USD"",C1732,C1732 * GOOGLEFINANCE(""CURRENCY:"" &amp; E1732 &amp; ""USD""))
"),42610000)</f>
        <v>42610000</v>
      </c>
    </row>
    <row r="1733" spans="1:7" ht="15.75" customHeight="1" x14ac:dyDescent="0.25">
      <c r="A1733" s="14" t="s">
        <v>24</v>
      </c>
      <c r="B1733" s="15">
        <v>52000000</v>
      </c>
      <c r="C1733" s="15">
        <v>36385763</v>
      </c>
      <c r="D1733" s="15">
        <v>1998</v>
      </c>
      <c r="E1733" s="15" t="str">
        <f>VLOOKUP(A1733, Currency!$A$2:$B$100, 2, FALSE)</f>
        <v>USD</v>
      </c>
      <c r="F1733" s="15">
        <f ca="1">IFERROR(__xludf.DUMMYFUNCTION("IF(E1733=""USD"",B1733,B1733 * GOOGLEFINANCE(""CURRENCY:"" &amp; E1733 &amp; ""USD""))
"),52000000)</f>
        <v>52000000</v>
      </c>
      <c r="G1733" s="16">
        <f ca="1">IFERROR(__xludf.DUMMYFUNCTION("IF(E1733=""USD"",C1733,C1733 * GOOGLEFINANCE(""CURRENCY:"" &amp; E1733 &amp; ""USD""))
"),36385763)</f>
        <v>36385763</v>
      </c>
    </row>
    <row r="1734" spans="1:7" ht="15.75" customHeight="1" x14ac:dyDescent="0.25">
      <c r="A1734" s="11" t="s">
        <v>24</v>
      </c>
      <c r="B1734" s="12">
        <v>28000000</v>
      </c>
      <c r="C1734" s="12">
        <v>49968653</v>
      </c>
      <c r="D1734" s="12">
        <v>2001</v>
      </c>
      <c r="E1734" s="12" t="str">
        <f>VLOOKUP(A1734, Currency!$A$2:$B$100, 2, FALSE)</f>
        <v>USD</v>
      </c>
      <c r="F1734" s="12">
        <f ca="1">IFERROR(__xludf.DUMMYFUNCTION("IF(E1734=""USD"",B1734,B1734 * GOOGLEFINANCE(""CURRENCY:"" &amp; E1734 &amp; ""USD""))
"),28000000)</f>
        <v>28000000</v>
      </c>
      <c r="G1734" s="13">
        <f ca="1">IFERROR(__xludf.DUMMYFUNCTION("IF(E1734=""USD"",C1734,C1734 * GOOGLEFINANCE(""CURRENCY:"" &amp; E1734 &amp; ""USD""))
"),49968653)</f>
        <v>49968653</v>
      </c>
    </row>
    <row r="1735" spans="1:7" ht="15.75" customHeight="1" x14ac:dyDescent="0.25">
      <c r="A1735" s="14" t="s">
        <v>24</v>
      </c>
      <c r="B1735" s="15">
        <v>9000000</v>
      </c>
      <c r="C1735" s="15">
        <v>23078294</v>
      </c>
      <c r="D1735" s="15">
        <v>2006</v>
      </c>
      <c r="E1735" s="15" t="str">
        <f>VLOOKUP(A1735, Currency!$A$2:$B$100, 2, FALSE)</f>
        <v>USD</v>
      </c>
      <c r="F1735" s="15">
        <f ca="1">IFERROR(__xludf.DUMMYFUNCTION("IF(E1735=""USD"",B1735,B1735 * GOOGLEFINANCE(""CURRENCY:"" &amp; E1735 &amp; ""USD""))
"),9000000)</f>
        <v>9000000</v>
      </c>
      <c r="G1735" s="16">
        <f ca="1">IFERROR(__xludf.DUMMYFUNCTION("IF(E1735=""USD"",C1735,C1735 * GOOGLEFINANCE(""CURRENCY:"" &amp; E1735 &amp; ""USD""))
"),23078294)</f>
        <v>23078294</v>
      </c>
    </row>
    <row r="1736" spans="1:7" ht="15.75" customHeight="1" x14ac:dyDescent="0.25">
      <c r="A1736" s="11" t="s">
        <v>24</v>
      </c>
      <c r="B1736" s="12">
        <v>48000000</v>
      </c>
      <c r="C1736" s="12">
        <v>66488090</v>
      </c>
      <c r="D1736" s="12">
        <v>1999</v>
      </c>
      <c r="E1736" s="12" t="str">
        <f>VLOOKUP(A1736, Currency!$A$2:$B$100, 2, FALSE)</f>
        <v>USD</v>
      </c>
      <c r="F1736" s="12">
        <f ca="1">IFERROR(__xludf.DUMMYFUNCTION("IF(E1736=""USD"",B1736,B1736 * GOOGLEFINANCE(""CURRENCY:"" &amp; E1736 &amp; ""USD""))
"),48000000)</f>
        <v>48000000</v>
      </c>
      <c r="G1736" s="13">
        <f ca="1">IFERROR(__xludf.DUMMYFUNCTION("IF(E1736=""USD"",C1736,C1736 * GOOGLEFINANCE(""CURRENCY:"" &amp; E1736 &amp; ""USD""))
"),66488090)</f>
        <v>66488090</v>
      </c>
    </row>
    <row r="1737" spans="1:7" ht="15.75" customHeight="1" x14ac:dyDescent="0.25">
      <c r="A1737" s="14" t="s">
        <v>24</v>
      </c>
      <c r="B1737" s="15">
        <v>1000000</v>
      </c>
      <c r="C1737" s="15">
        <v>3773863</v>
      </c>
      <c r="D1737" s="15">
        <v>2009</v>
      </c>
      <c r="E1737" s="15" t="str">
        <f>VLOOKUP(A1737, Currency!$A$2:$B$100, 2, FALSE)</f>
        <v>USD</v>
      </c>
      <c r="F1737" s="15">
        <f ca="1">IFERROR(__xludf.DUMMYFUNCTION("IF(E1737=""USD"",B1737,B1737 * GOOGLEFINANCE(""CURRENCY:"" &amp; E1737 &amp; ""USD""))
"),1000000)</f>
        <v>1000000</v>
      </c>
      <c r="G1737" s="16">
        <f ca="1">IFERROR(__xludf.DUMMYFUNCTION("IF(E1737=""USD"",C1737,C1737 * GOOGLEFINANCE(""CURRENCY:"" &amp; E1737 &amp; ""USD""))
"),3773863)</f>
        <v>3773863</v>
      </c>
    </row>
    <row r="1738" spans="1:7" ht="15.75" customHeight="1" x14ac:dyDescent="0.25">
      <c r="A1738" s="11" t="s">
        <v>24</v>
      </c>
      <c r="B1738" s="12">
        <v>312000</v>
      </c>
      <c r="C1738" s="12">
        <v>1281176</v>
      </c>
      <c r="D1738" s="12">
        <v>1999</v>
      </c>
      <c r="E1738" s="12" t="str">
        <f>VLOOKUP(A1738, Currency!$A$2:$B$100, 2, FALSE)</f>
        <v>USD</v>
      </c>
      <c r="F1738" s="12">
        <f ca="1">IFERROR(__xludf.DUMMYFUNCTION("IF(E1738=""USD"",B1738,B1738 * GOOGLEFINANCE(""CURRENCY:"" &amp; E1738 &amp; ""USD""))
"),312000)</f>
        <v>312000</v>
      </c>
      <c r="G1738" s="13">
        <f ca="1">IFERROR(__xludf.DUMMYFUNCTION("IF(E1738=""USD"",C1738,C1738 * GOOGLEFINANCE(""CURRENCY:"" &amp; E1738 &amp; ""USD""))
"),1281176)</f>
        <v>1281176</v>
      </c>
    </row>
    <row r="1739" spans="1:7" ht="15.75" customHeight="1" x14ac:dyDescent="0.25">
      <c r="A1739" s="14" t="s">
        <v>24</v>
      </c>
      <c r="B1739" s="15">
        <v>65000000</v>
      </c>
      <c r="C1739" s="15">
        <v>67128202</v>
      </c>
      <c r="D1739" s="15">
        <v>2009</v>
      </c>
      <c r="E1739" s="15" t="str">
        <f>VLOOKUP(A1739, Currency!$A$2:$B$100, 2, FALSE)</f>
        <v>USD</v>
      </c>
      <c r="F1739" s="15">
        <f ca="1">IFERROR(__xludf.DUMMYFUNCTION("IF(E1739=""USD"",B1739,B1739 * GOOGLEFINANCE(""CURRENCY:"" &amp; E1739 &amp; ""USD""))
"),65000000)</f>
        <v>65000000</v>
      </c>
      <c r="G1739" s="16">
        <f ca="1">IFERROR(__xludf.DUMMYFUNCTION("IF(E1739=""USD"",C1739,C1739 * GOOGLEFINANCE(""CURRENCY:"" &amp; E1739 &amp; ""USD""))
"),67128202)</f>
        <v>67128202</v>
      </c>
    </row>
    <row r="1740" spans="1:7" ht="15.75" customHeight="1" x14ac:dyDescent="0.25">
      <c r="A1740" s="11" t="s">
        <v>24</v>
      </c>
      <c r="B1740" s="12">
        <v>50000000</v>
      </c>
      <c r="C1740" s="12">
        <v>39177541</v>
      </c>
      <c r="D1740" s="12">
        <v>2005</v>
      </c>
      <c r="E1740" s="12" t="str">
        <f>VLOOKUP(A1740, Currency!$A$2:$B$100, 2, FALSE)</f>
        <v>USD</v>
      </c>
      <c r="F1740" s="12">
        <f ca="1">IFERROR(__xludf.DUMMYFUNCTION("IF(E1740=""USD"",B1740,B1740 * GOOGLEFINANCE(""CURRENCY:"" &amp; E1740 &amp; ""USD""))
"),50000000)</f>
        <v>50000000</v>
      </c>
      <c r="G1740" s="13">
        <f ca="1">IFERROR(__xludf.DUMMYFUNCTION("IF(E1740=""USD"",C1740,C1740 * GOOGLEFINANCE(""CURRENCY:"" &amp; E1740 &amp; ""USD""))
"),39177541)</f>
        <v>39177541</v>
      </c>
    </row>
    <row r="1741" spans="1:7" ht="15.75" customHeight="1" x14ac:dyDescent="0.25">
      <c r="A1741" s="14" t="s">
        <v>24</v>
      </c>
      <c r="B1741" s="15">
        <v>35000000</v>
      </c>
      <c r="C1741" s="15">
        <v>25863915</v>
      </c>
      <c r="D1741" s="15">
        <v>2012</v>
      </c>
      <c r="E1741" s="15" t="str">
        <f>VLOOKUP(A1741, Currency!$A$2:$B$100, 2, FALSE)</f>
        <v>USD</v>
      </c>
      <c r="F1741" s="15">
        <f ca="1">IFERROR(__xludf.DUMMYFUNCTION("IF(E1741=""USD"",B1741,B1741 * GOOGLEFINANCE(""CURRENCY:"" &amp; E1741 &amp; ""USD""))
"),35000000)</f>
        <v>35000000</v>
      </c>
      <c r="G1741" s="16">
        <f ca="1">IFERROR(__xludf.DUMMYFUNCTION("IF(E1741=""USD"",C1741,C1741 * GOOGLEFINANCE(""CURRENCY:"" &amp; E1741 &amp; ""USD""))
"),25863915)</f>
        <v>25863915</v>
      </c>
    </row>
    <row r="1742" spans="1:7" ht="15.75" customHeight="1" x14ac:dyDescent="0.25">
      <c r="A1742" s="11" t="s">
        <v>24</v>
      </c>
      <c r="B1742" s="12">
        <v>1000000</v>
      </c>
      <c r="C1742" s="12">
        <v>6387</v>
      </c>
      <c r="D1742" s="12">
        <v>2006</v>
      </c>
      <c r="E1742" s="12" t="str">
        <f>VLOOKUP(A1742, Currency!$A$2:$B$100, 2, FALSE)</f>
        <v>USD</v>
      </c>
      <c r="F1742" s="12">
        <f ca="1">IFERROR(__xludf.DUMMYFUNCTION("IF(E1742=""USD"",B1742,B1742 * GOOGLEFINANCE(""CURRENCY:"" &amp; E1742 &amp; ""USD""))
"),1000000)</f>
        <v>1000000</v>
      </c>
      <c r="G1742" s="13">
        <f ca="1">IFERROR(__xludf.DUMMYFUNCTION("IF(E1742=""USD"",C1742,C1742 * GOOGLEFINANCE(""CURRENCY:"" &amp; E1742 &amp; ""USD""))
"),6387)</f>
        <v>6387</v>
      </c>
    </row>
    <row r="1743" spans="1:7" ht="15.75" customHeight="1" x14ac:dyDescent="0.25">
      <c r="A1743" s="14" t="s">
        <v>133</v>
      </c>
      <c r="B1743" s="15">
        <v>16000000</v>
      </c>
      <c r="C1743" s="15">
        <v>26400000</v>
      </c>
      <c r="D1743" s="15">
        <v>1984</v>
      </c>
      <c r="E1743" s="15" t="str">
        <f>VLOOKUP(A1743, Currency!$A$2:$B$100, 2, FALSE)</f>
        <v>GBP</v>
      </c>
      <c r="F1743" s="15">
        <f ca="1">IFERROR(__xludf.DUMMYFUNCTION("IF(E1743=""USD"",B1743,B1743 * GOOGLEFINANCE(""CURRENCY:"" &amp; E1743 &amp; ""USD""))
"),20566399.9999999)</f>
        <v>20566399.999999899</v>
      </c>
      <c r="G1743" s="16">
        <f ca="1">IFERROR(__xludf.DUMMYFUNCTION("IF(E1743=""USD"",C1743,C1743 * GOOGLEFINANCE(""CURRENCY:"" &amp; E1743 &amp; ""USD""))
"),33934560)</f>
        <v>33934560</v>
      </c>
    </row>
    <row r="1744" spans="1:7" ht="15.75" customHeight="1" x14ac:dyDescent="0.25">
      <c r="A1744" s="11" t="s">
        <v>24</v>
      </c>
      <c r="B1744" s="12">
        <v>15000000</v>
      </c>
      <c r="C1744" s="12">
        <v>13034417</v>
      </c>
      <c r="D1744" s="12">
        <v>2009</v>
      </c>
      <c r="E1744" s="12" t="str">
        <f>VLOOKUP(A1744, Currency!$A$2:$B$100, 2, FALSE)</f>
        <v>USD</v>
      </c>
      <c r="F1744" s="12">
        <f ca="1">IFERROR(__xludf.DUMMYFUNCTION("IF(E1744=""USD"",B1744,B1744 * GOOGLEFINANCE(""CURRENCY:"" &amp; E1744 &amp; ""USD""))
"),15000000)</f>
        <v>15000000</v>
      </c>
      <c r="G1744" s="13">
        <f ca="1">IFERROR(__xludf.DUMMYFUNCTION("IF(E1744=""USD"",C1744,C1744 * GOOGLEFINANCE(""CURRENCY:"" &amp; E1744 &amp; ""USD""))
"),13034417)</f>
        <v>13034417</v>
      </c>
    </row>
    <row r="1745" spans="1:7" ht="15.75" customHeight="1" x14ac:dyDescent="0.25">
      <c r="A1745" s="14" t="s">
        <v>133</v>
      </c>
      <c r="B1745" s="15">
        <v>1000000</v>
      </c>
      <c r="C1745" s="15">
        <v>1277257</v>
      </c>
      <c r="D1745" s="15">
        <v>1996</v>
      </c>
      <c r="E1745" s="15" t="str">
        <f>VLOOKUP(A1745, Currency!$A$2:$B$100, 2, FALSE)</f>
        <v>GBP</v>
      </c>
      <c r="F1745" s="15">
        <f ca="1">IFERROR(__xludf.DUMMYFUNCTION("IF(E1745=""USD"",B1745,B1745 * GOOGLEFINANCE(""CURRENCY:"" &amp; E1745 &amp; ""USD""))
"),1285399.99999999)</f>
        <v>1285399.99999999</v>
      </c>
      <c r="G1745" s="16">
        <f ca="1">IFERROR(__xludf.DUMMYFUNCTION("IF(E1745=""USD"",C1745,C1745 * GOOGLEFINANCE(""CURRENCY:"" &amp; E1745 &amp; ""USD""))
"),1641786.1478)</f>
        <v>1641786.1477999999</v>
      </c>
    </row>
    <row r="1746" spans="1:7" ht="15.75" customHeight="1" x14ac:dyDescent="0.25">
      <c r="A1746" s="11" t="s">
        <v>24</v>
      </c>
      <c r="B1746" s="12">
        <v>94000000</v>
      </c>
      <c r="C1746" s="12">
        <v>377019252</v>
      </c>
      <c r="D1746" s="12">
        <v>2003</v>
      </c>
      <c r="E1746" s="12" t="str">
        <f>VLOOKUP(A1746, Currency!$A$2:$B$100, 2, FALSE)</f>
        <v>USD</v>
      </c>
      <c r="F1746" s="12">
        <f ca="1">IFERROR(__xludf.DUMMYFUNCTION("IF(E1746=""USD"",B1746,B1746 * GOOGLEFINANCE(""CURRENCY:"" &amp; E1746 &amp; ""USD""))
"),94000000)</f>
        <v>94000000</v>
      </c>
      <c r="G1746" s="13">
        <f ca="1">IFERROR(__xludf.DUMMYFUNCTION("IF(E1746=""USD"",C1746,C1746 * GOOGLEFINANCE(""CURRENCY:"" &amp; E1746 &amp; ""USD""))
"),377019252)</f>
        <v>377019252</v>
      </c>
    </row>
    <row r="1747" spans="1:7" ht="15.75" customHeight="1" x14ac:dyDescent="0.25">
      <c r="A1747" s="14" t="s">
        <v>24</v>
      </c>
      <c r="B1747" s="15">
        <v>80000000</v>
      </c>
      <c r="C1747" s="15">
        <v>162001186</v>
      </c>
      <c r="D1747" s="15">
        <v>2010</v>
      </c>
      <c r="E1747" s="15" t="str">
        <f>VLOOKUP(A1747, Currency!$A$2:$B$100, 2, FALSE)</f>
        <v>USD</v>
      </c>
      <c r="F1747" s="15">
        <f ca="1">IFERROR(__xludf.DUMMYFUNCTION("IF(E1747=""USD"",B1747,B1747 * GOOGLEFINANCE(""CURRENCY:"" &amp; E1747 &amp; ""USD""))
"),80000000)</f>
        <v>80000000</v>
      </c>
      <c r="G1747" s="16">
        <f ca="1">IFERROR(__xludf.DUMMYFUNCTION("IF(E1747=""USD"",C1747,C1747 * GOOGLEFINANCE(""CURRENCY:"" &amp; E1747 &amp; ""USD""))
"),162001186)</f>
        <v>162001186</v>
      </c>
    </row>
    <row r="1748" spans="1:7" ht="15.75" customHeight="1" x14ac:dyDescent="0.25">
      <c r="A1748" s="11" t="s">
        <v>24</v>
      </c>
      <c r="B1748" s="12">
        <v>3500000</v>
      </c>
      <c r="C1748" s="12">
        <v>96793</v>
      </c>
      <c r="D1748" s="12">
        <v>2004</v>
      </c>
      <c r="E1748" s="12" t="str">
        <f>VLOOKUP(A1748, Currency!$A$2:$B$100, 2, FALSE)</f>
        <v>USD</v>
      </c>
      <c r="F1748" s="12">
        <f ca="1">IFERROR(__xludf.DUMMYFUNCTION("IF(E1748=""USD"",B1748,B1748 * GOOGLEFINANCE(""CURRENCY:"" &amp; E1748 &amp; ""USD""))
"),3500000)</f>
        <v>3500000</v>
      </c>
      <c r="G1748" s="13">
        <f ca="1">IFERROR(__xludf.DUMMYFUNCTION("IF(E1748=""USD"",C1748,C1748 * GOOGLEFINANCE(""CURRENCY:"" &amp; E1748 &amp; ""USD""))
"),96793)</f>
        <v>96793</v>
      </c>
    </row>
    <row r="1749" spans="1:7" ht="15.75" customHeight="1" x14ac:dyDescent="0.25">
      <c r="A1749" s="14" t="s">
        <v>24</v>
      </c>
      <c r="B1749" s="15">
        <v>28000000</v>
      </c>
      <c r="C1749" s="15">
        <v>153665036</v>
      </c>
      <c r="D1749" s="15">
        <v>1987</v>
      </c>
      <c r="E1749" s="15" t="str">
        <f>VLOOKUP(A1749, Currency!$A$2:$B$100, 2, FALSE)</f>
        <v>USD</v>
      </c>
      <c r="F1749" s="15">
        <f ca="1">IFERROR(__xludf.DUMMYFUNCTION("IF(E1749=""USD"",B1749,B1749 * GOOGLEFINANCE(""CURRENCY:"" &amp; E1749 &amp; ""USD""))
"),28000000)</f>
        <v>28000000</v>
      </c>
      <c r="G1749" s="16">
        <f ca="1">IFERROR(__xludf.DUMMYFUNCTION("IF(E1749=""USD"",C1749,C1749 * GOOGLEFINANCE(""CURRENCY:"" &amp; E1749 &amp; ""USD""))
"),153665036)</f>
        <v>153665036</v>
      </c>
    </row>
    <row r="1750" spans="1:7" ht="15.75" customHeight="1" x14ac:dyDescent="0.25">
      <c r="A1750" s="11" t="s">
        <v>24</v>
      </c>
      <c r="B1750" s="12">
        <v>250000000</v>
      </c>
      <c r="C1750" s="12">
        <v>330249062</v>
      </c>
      <c r="D1750" s="12">
        <v>2016</v>
      </c>
      <c r="E1750" s="12" t="str">
        <f>VLOOKUP(A1750, Currency!$A$2:$B$100, 2, FALSE)</f>
        <v>USD</v>
      </c>
      <c r="F1750" s="12">
        <f ca="1">IFERROR(__xludf.DUMMYFUNCTION("IF(E1750=""USD"",B1750,B1750 * GOOGLEFINANCE(""CURRENCY:"" &amp; E1750 &amp; ""USD""))
"),250000000)</f>
        <v>250000000</v>
      </c>
      <c r="G1750" s="13">
        <f ca="1">IFERROR(__xludf.DUMMYFUNCTION("IF(E1750=""USD"",C1750,C1750 * GOOGLEFINANCE(""CURRENCY:"" &amp; E1750 &amp; ""USD""))
"),330249062)</f>
        <v>330249062</v>
      </c>
    </row>
    <row r="1751" spans="1:7" ht="15.75" customHeight="1" x14ac:dyDescent="0.25">
      <c r="A1751" s="14" t="s">
        <v>24</v>
      </c>
      <c r="B1751" s="15">
        <v>500000</v>
      </c>
      <c r="C1751" s="15">
        <v>31937</v>
      </c>
      <c r="D1751" s="15">
        <v>2007</v>
      </c>
      <c r="E1751" s="15" t="str">
        <f>VLOOKUP(A1751, Currency!$A$2:$B$100, 2, FALSE)</f>
        <v>USD</v>
      </c>
      <c r="F1751" s="15">
        <f ca="1">IFERROR(__xludf.DUMMYFUNCTION("IF(E1751=""USD"",B1751,B1751 * GOOGLEFINANCE(""CURRENCY:"" &amp; E1751 &amp; ""USD""))
"),500000)</f>
        <v>500000</v>
      </c>
      <c r="G1751" s="16">
        <f ca="1">IFERROR(__xludf.DUMMYFUNCTION("IF(E1751=""USD"",C1751,C1751 * GOOGLEFINANCE(""CURRENCY:"" &amp; E1751 &amp; ""USD""))
"),31937)</f>
        <v>31937</v>
      </c>
    </row>
    <row r="1752" spans="1:7" ht="15.75" customHeight="1" x14ac:dyDescent="0.25">
      <c r="A1752" s="11" t="s">
        <v>24</v>
      </c>
      <c r="B1752" s="12">
        <v>40000000</v>
      </c>
      <c r="C1752" s="12">
        <v>38176892</v>
      </c>
      <c r="D1752" s="12">
        <v>2011</v>
      </c>
      <c r="E1752" s="12" t="str">
        <f>VLOOKUP(A1752, Currency!$A$2:$B$100, 2, FALSE)</f>
        <v>USD</v>
      </c>
      <c r="F1752" s="12">
        <f ca="1">IFERROR(__xludf.DUMMYFUNCTION("IF(E1752=""USD"",B1752,B1752 * GOOGLEFINANCE(""CURRENCY:"" &amp; E1752 &amp; ""USD""))
"),40000000)</f>
        <v>40000000</v>
      </c>
      <c r="G1752" s="13">
        <f ca="1">IFERROR(__xludf.DUMMYFUNCTION("IF(E1752=""USD"",C1752,C1752 * GOOGLEFINANCE(""CURRENCY:"" &amp; E1752 &amp; ""USD""))
"),38176892)</f>
        <v>38176892</v>
      </c>
    </row>
    <row r="1753" spans="1:7" ht="15.75" customHeight="1" x14ac:dyDescent="0.25">
      <c r="A1753" s="14" t="s">
        <v>24</v>
      </c>
      <c r="B1753" s="15">
        <v>10000000</v>
      </c>
      <c r="C1753" s="15">
        <v>40485039</v>
      </c>
      <c r="D1753" s="15">
        <v>1989</v>
      </c>
      <c r="E1753" s="15" t="str">
        <f>VLOOKUP(A1753, Currency!$A$2:$B$100, 2, FALSE)</f>
        <v>USD</v>
      </c>
      <c r="F1753" s="15">
        <f ca="1">IFERROR(__xludf.DUMMYFUNCTION("IF(E1753=""USD"",B1753,B1753 * GOOGLEFINANCE(""CURRENCY:"" &amp; E1753 &amp; ""USD""))
"),10000000)</f>
        <v>10000000</v>
      </c>
      <c r="G1753" s="16">
        <f ca="1">IFERROR(__xludf.DUMMYFUNCTION("IF(E1753=""USD"",C1753,C1753 * GOOGLEFINANCE(""CURRENCY:"" &amp; E1753 &amp; ""USD""))
"),40485039)</f>
        <v>40485039</v>
      </c>
    </row>
    <row r="1754" spans="1:7" ht="15.75" customHeight="1" x14ac:dyDescent="0.25">
      <c r="A1754" s="11" t="s">
        <v>24</v>
      </c>
      <c r="B1754" s="12">
        <v>30000000</v>
      </c>
      <c r="C1754" s="12">
        <v>148734225</v>
      </c>
      <c r="D1754" s="12">
        <v>2007</v>
      </c>
      <c r="E1754" s="12" t="str">
        <f>VLOOKUP(A1754, Currency!$A$2:$B$100, 2, FALSE)</f>
        <v>USD</v>
      </c>
      <c r="F1754" s="12">
        <f ca="1">IFERROR(__xludf.DUMMYFUNCTION("IF(E1754=""USD"",B1754,B1754 * GOOGLEFINANCE(""CURRENCY:"" &amp; E1754 &amp; ""USD""))
"),30000000)</f>
        <v>30000000</v>
      </c>
      <c r="G1754" s="13">
        <f ca="1">IFERROR(__xludf.DUMMYFUNCTION("IF(E1754=""USD"",C1754,C1754 * GOOGLEFINANCE(""CURRENCY:"" &amp; E1754 &amp; ""USD""))
"),148734225)</f>
        <v>148734225</v>
      </c>
    </row>
    <row r="1755" spans="1:7" ht="15.75" customHeight="1" x14ac:dyDescent="0.25">
      <c r="A1755" s="14" t="s">
        <v>24</v>
      </c>
      <c r="B1755" s="15">
        <v>18000000</v>
      </c>
      <c r="C1755" s="15">
        <v>128505958</v>
      </c>
      <c r="D1755" s="15">
        <v>2006</v>
      </c>
      <c r="E1755" s="15" t="str">
        <f>VLOOKUP(A1755, Currency!$A$2:$B$100, 2, FALSE)</f>
        <v>USD</v>
      </c>
      <c r="F1755" s="15">
        <f ca="1">IFERROR(__xludf.DUMMYFUNCTION("IF(E1755=""USD"",B1755,B1755 * GOOGLEFINANCE(""CURRENCY:"" &amp; E1755 &amp; ""USD""))
"),18000000)</f>
        <v>18000000</v>
      </c>
      <c r="G1755" s="16">
        <f ca="1">IFERROR(__xludf.DUMMYFUNCTION("IF(E1755=""USD"",C1755,C1755 * GOOGLEFINANCE(""CURRENCY:"" &amp; E1755 &amp; ""USD""))
"),128505958)</f>
        <v>128505958</v>
      </c>
    </row>
    <row r="1756" spans="1:7" ht="15.75" customHeight="1" x14ac:dyDescent="0.25">
      <c r="A1756" s="11" t="s">
        <v>24</v>
      </c>
      <c r="B1756" s="12">
        <v>32000000</v>
      </c>
      <c r="C1756" s="12">
        <v>34180954</v>
      </c>
      <c r="D1756" s="12">
        <v>2008</v>
      </c>
      <c r="E1756" s="12" t="str">
        <f>VLOOKUP(A1756, Currency!$A$2:$B$100, 2, FALSE)</f>
        <v>USD</v>
      </c>
      <c r="F1756" s="12">
        <f ca="1">IFERROR(__xludf.DUMMYFUNCTION("IF(E1756=""USD"",B1756,B1756 * GOOGLEFINANCE(""CURRENCY:"" &amp; E1756 &amp; ""USD""))
"),32000000)</f>
        <v>32000000</v>
      </c>
      <c r="G1756" s="13">
        <f ca="1">IFERROR(__xludf.DUMMYFUNCTION("IF(E1756=""USD"",C1756,C1756 * GOOGLEFINANCE(""CURRENCY:"" &amp; E1756 &amp; ""USD""))
"),34180954)</f>
        <v>34180954</v>
      </c>
    </row>
    <row r="1757" spans="1:7" ht="15.75" customHeight="1" x14ac:dyDescent="0.25">
      <c r="A1757" s="14" t="s">
        <v>24</v>
      </c>
      <c r="B1757" s="15">
        <v>25000</v>
      </c>
      <c r="C1757" s="15">
        <v>10246600</v>
      </c>
      <c r="D1757" s="15">
        <v>1995</v>
      </c>
      <c r="E1757" s="15" t="str">
        <f>VLOOKUP(A1757, Currency!$A$2:$B$100, 2, FALSE)</f>
        <v>USD</v>
      </c>
      <c r="F1757" s="15">
        <f ca="1">IFERROR(__xludf.DUMMYFUNCTION("IF(E1757=""USD"",B1757,B1757 * GOOGLEFINANCE(""CURRENCY:"" &amp; E1757 &amp; ""USD""))
"),25000)</f>
        <v>25000</v>
      </c>
      <c r="G1757" s="16">
        <f ca="1">IFERROR(__xludf.DUMMYFUNCTION("IF(E1757=""USD"",C1757,C1757 * GOOGLEFINANCE(""CURRENCY:"" &amp; E1757 &amp; ""USD""))
"),10246600)</f>
        <v>10246600</v>
      </c>
    </row>
    <row r="1758" spans="1:7" ht="15.75" customHeight="1" x14ac:dyDescent="0.25">
      <c r="A1758" s="11" t="s">
        <v>24</v>
      </c>
      <c r="B1758" s="12">
        <v>25000000</v>
      </c>
      <c r="C1758" s="12">
        <v>219200000</v>
      </c>
      <c r="D1758" s="12">
        <v>1993</v>
      </c>
      <c r="E1758" s="12" t="str">
        <f>VLOOKUP(A1758, Currency!$A$2:$B$100, 2, FALSE)</f>
        <v>USD</v>
      </c>
      <c r="F1758" s="12">
        <f ca="1">IFERROR(__xludf.DUMMYFUNCTION("IF(E1758=""USD"",B1758,B1758 * GOOGLEFINANCE(""CURRENCY:"" &amp; E1758 &amp; ""USD""))
"),25000000)</f>
        <v>25000000</v>
      </c>
      <c r="G1758" s="13">
        <f ca="1">IFERROR(__xludf.DUMMYFUNCTION("IF(E1758=""USD"",C1758,C1758 * GOOGLEFINANCE(""CURRENCY:"" &amp; E1758 &amp; ""USD""))
"),219200000)</f>
        <v>219200000</v>
      </c>
    </row>
    <row r="1759" spans="1:7" ht="15.75" customHeight="1" x14ac:dyDescent="0.25">
      <c r="A1759" s="14" t="s">
        <v>24</v>
      </c>
      <c r="B1759" s="15">
        <v>15000</v>
      </c>
      <c r="C1759" s="15">
        <v>107917283</v>
      </c>
      <c r="D1759" s="15">
        <v>2007</v>
      </c>
      <c r="E1759" s="15" t="str">
        <f>VLOOKUP(A1759, Currency!$A$2:$B$100, 2, FALSE)</f>
        <v>USD</v>
      </c>
      <c r="F1759" s="15">
        <f ca="1">IFERROR(__xludf.DUMMYFUNCTION("IF(E1759=""USD"",B1759,B1759 * GOOGLEFINANCE(""CURRENCY:"" &amp; E1759 &amp; ""USD""))
"),15000)</f>
        <v>15000</v>
      </c>
      <c r="G1759" s="16">
        <f ca="1">IFERROR(__xludf.DUMMYFUNCTION("IF(E1759=""USD"",C1759,C1759 * GOOGLEFINANCE(""CURRENCY:"" &amp; E1759 &amp; ""USD""))
"),107917283)</f>
        <v>107917283</v>
      </c>
    </row>
    <row r="1760" spans="1:7" ht="15.75" customHeight="1" x14ac:dyDescent="0.25">
      <c r="A1760" s="11" t="s">
        <v>611</v>
      </c>
      <c r="B1760" s="12">
        <v>1800000</v>
      </c>
      <c r="C1760" s="12">
        <v>40990055</v>
      </c>
      <c r="D1760" s="12">
        <v>2010</v>
      </c>
      <c r="E1760" s="12" t="str">
        <f>VLOOKUP(A1760, Currency!$A$2:$B$100, 2, FALSE)</f>
        <v>EUR</v>
      </c>
      <c r="F1760" s="12">
        <f ca="1">IFERROR(__xludf.DUMMYFUNCTION("IF(E1760=""USD"",B1760,B1760 * GOOGLEFINANCE(""CURRENCY:"" &amp; E1760 &amp; ""USD""))
"),1952532)</f>
        <v>1952532</v>
      </c>
      <c r="G1760" s="13">
        <f ca="1">IFERROR(__xludf.DUMMYFUNCTION("IF(E1760=""USD"",C1760,C1760 * GOOGLEFINANCE(""CURRENCY:"" &amp; E1760 &amp; ""USD""))
"),44463552.2607)</f>
        <v>44463552.260700002</v>
      </c>
    </row>
    <row r="1761" spans="1:7" ht="15.75" customHeight="1" x14ac:dyDescent="0.25">
      <c r="A1761" s="14" t="s">
        <v>24</v>
      </c>
      <c r="B1761" s="15">
        <v>32000000</v>
      </c>
      <c r="C1761" s="15">
        <v>82301521</v>
      </c>
      <c r="D1761" s="15">
        <v>2005</v>
      </c>
      <c r="E1761" s="15" t="str">
        <f>VLOOKUP(A1761, Currency!$A$2:$B$100, 2, FALSE)</f>
        <v>USD</v>
      </c>
      <c r="F1761" s="15">
        <f ca="1">IFERROR(__xludf.DUMMYFUNCTION("IF(E1761=""USD"",B1761,B1761 * GOOGLEFINANCE(""CURRENCY:"" &amp; E1761 &amp; ""USD""))
"),32000000)</f>
        <v>32000000</v>
      </c>
      <c r="G1761" s="16">
        <f ca="1">IFERROR(__xludf.DUMMYFUNCTION("IF(E1761=""USD"",C1761,C1761 * GOOGLEFINANCE(""CURRENCY:"" &amp; E1761 &amp; ""USD""))
"),82301521)</f>
        <v>82301521</v>
      </c>
    </row>
    <row r="1762" spans="1:7" ht="15.75" customHeight="1" x14ac:dyDescent="0.25">
      <c r="A1762" s="11" t="s">
        <v>133</v>
      </c>
      <c r="B1762" s="12">
        <v>31115000</v>
      </c>
      <c r="C1762" s="12">
        <v>57750000</v>
      </c>
      <c r="D1762" s="12">
        <v>1963</v>
      </c>
      <c r="E1762" s="12" t="str">
        <f>VLOOKUP(A1762, Currency!$A$2:$B$100, 2, FALSE)</f>
        <v>GBP</v>
      </c>
      <c r="F1762" s="12">
        <f ca="1">IFERROR(__xludf.DUMMYFUNCTION("IF(E1762=""USD"",B1762,B1762 * GOOGLEFINANCE(""CURRENCY:"" &amp; E1762 &amp; ""USD""))
"),39995220.9999999)</f>
        <v>39995220.999999903</v>
      </c>
      <c r="G1762" s="13">
        <f ca="1">IFERROR(__xludf.DUMMYFUNCTION("IF(E1762=""USD"",C1762,C1762 * GOOGLEFINANCE(""CURRENCY:"" &amp; E1762 &amp; ""USD""))
"),74231850)</f>
        <v>74231850</v>
      </c>
    </row>
    <row r="1763" spans="1:7" ht="15.75" customHeight="1" x14ac:dyDescent="0.25">
      <c r="A1763" s="14" t="s">
        <v>24</v>
      </c>
      <c r="B1763" s="15">
        <v>25000000</v>
      </c>
      <c r="C1763" s="15">
        <v>37738400</v>
      </c>
      <c r="D1763" s="15">
        <v>2013</v>
      </c>
      <c r="E1763" s="15" t="str">
        <f>VLOOKUP(A1763, Currency!$A$2:$B$100, 2, FALSE)</f>
        <v>USD</v>
      </c>
      <c r="F1763" s="15">
        <f ca="1">IFERROR(__xludf.DUMMYFUNCTION("IF(E1763=""USD"",B1763,B1763 * GOOGLEFINANCE(""CURRENCY:"" &amp; E1763 &amp; ""USD""))
"),25000000)</f>
        <v>25000000</v>
      </c>
      <c r="G1763" s="16">
        <f ca="1">IFERROR(__xludf.DUMMYFUNCTION("IF(E1763=""USD"",C1763,C1763 * GOOGLEFINANCE(""CURRENCY:"" &amp; E1763 &amp; ""USD""))
"),37738400)</f>
        <v>37738400</v>
      </c>
    </row>
    <row r="1764" spans="1:7" ht="15.75" customHeight="1" x14ac:dyDescent="0.25">
      <c r="A1764" s="11" t="s">
        <v>24</v>
      </c>
      <c r="B1764" s="12">
        <v>170000000</v>
      </c>
      <c r="C1764" s="12">
        <v>172051787</v>
      </c>
      <c r="D1764" s="12">
        <v>2010</v>
      </c>
      <c r="E1764" s="12" t="str">
        <f>VLOOKUP(A1764, Currency!$A$2:$B$100, 2, FALSE)</f>
        <v>USD</v>
      </c>
      <c r="F1764" s="12">
        <f ca="1">IFERROR(__xludf.DUMMYFUNCTION("IF(E1764=""USD"",B1764,B1764 * GOOGLEFINANCE(""CURRENCY:"" &amp; E1764 &amp; ""USD""))
"),170000000)</f>
        <v>170000000</v>
      </c>
      <c r="G1764" s="13">
        <f ca="1">IFERROR(__xludf.DUMMYFUNCTION("IF(E1764=""USD"",C1764,C1764 * GOOGLEFINANCE(""CURRENCY:"" &amp; E1764 &amp; ""USD""))
"),172051787)</f>
        <v>172051787</v>
      </c>
    </row>
    <row r="1765" spans="1:7" ht="15.75" customHeight="1" x14ac:dyDescent="0.25">
      <c r="A1765" s="14" t="s">
        <v>24</v>
      </c>
      <c r="B1765" s="15">
        <v>200000000</v>
      </c>
      <c r="C1765" s="15">
        <v>658672302</v>
      </c>
      <c r="D1765" s="15">
        <v>1997</v>
      </c>
      <c r="E1765" s="15" t="str">
        <f>VLOOKUP(A1765, Currency!$A$2:$B$100, 2, FALSE)</f>
        <v>USD</v>
      </c>
      <c r="F1765" s="15">
        <f ca="1">IFERROR(__xludf.DUMMYFUNCTION("IF(E1765=""USD"",B1765,B1765 * GOOGLEFINANCE(""CURRENCY:"" &amp; E1765 &amp; ""USD""))
"),200000000)</f>
        <v>200000000</v>
      </c>
      <c r="G1765" s="16">
        <f ca="1">IFERROR(__xludf.DUMMYFUNCTION("IF(E1765=""USD"",C1765,C1765 * GOOGLEFINANCE(""CURRENCY:"" &amp; E1765 &amp; ""USD""))
"),658672302)</f>
        <v>658672302</v>
      </c>
    </row>
    <row r="1766" spans="1:7" ht="15.75" customHeight="1" x14ac:dyDescent="0.25">
      <c r="A1766" s="11" t="s">
        <v>627</v>
      </c>
      <c r="B1766" s="12">
        <v>20000000</v>
      </c>
      <c r="C1766" s="12">
        <v>71588220</v>
      </c>
      <c r="D1766" s="12">
        <v>2013</v>
      </c>
      <c r="E1766" s="12" t="str">
        <f>VLOOKUP(A1766, Currency!$A$2:$B$100, 2, FALSE)</f>
        <v>CAD</v>
      </c>
      <c r="F1766" s="12">
        <f ca="1">IFERROR(__xludf.DUMMYFUNCTION("IF(E1766=""USD"",B1766,B1766 * GOOGLEFINANCE(""CURRENCY:"" &amp; E1766 &amp; ""USD""))
"),14468100)</f>
        <v>14468100</v>
      </c>
      <c r="G1766" s="13">
        <f ca="1">IFERROR(__xludf.DUMMYFUNCTION("IF(E1766=""USD"",C1766,C1766 * GOOGLEFINANCE(""CURRENCY:"" &amp; E1766 &amp; ""USD""))
"),51787276.2891)</f>
        <v>51787276.289099999</v>
      </c>
    </row>
    <row r="1767" spans="1:7" ht="15.75" customHeight="1" x14ac:dyDescent="0.25">
      <c r="A1767" s="14" t="s">
        <v>149</v>
      </c>
      <c r="B1767" s="15">
        <v>105000000</v>
      </c>
      <c r="C1767" s="15">
        <v>144812796</v>
      </c>
      <c r="D1767" s="15">
        <v>2013</v>
      </c>
      <c r="E1767" s="15" t="str">
        <f>VLOOKUP(A1767, Currency!$A$2:$B$100, 2, FALSE)</f>
        <v>AUD</v>
      </c>
      <c r="F1767" s="15">
        <f ca="1">IFERROR(__xludf.DUMMYFUNCTION("IF(E1767=""USD"",B1767,B1767 * GOOGLEFINANCE(""CURRENCY:"" &amp; E1767 &amp; ""USD""))
"),68657400)</f>
        <v>68657400</v>
      </c>
      <c r="G1767" s="16">
        <f ca="1">IFERROR(__xludf.DUMMYFUNCTION("IF(E1767=""USD"",C1767,C1767 * GOOGLEFINANCE(""CURRENCY:"" &amp; E1767 &amp; ""USD""))
"),94690191.04848)</f>
        <v>94690191.048480004</v>
      </c>
    </row>
    <row r="1768" spans="1:7" ht="15.75" customHeight="1" x14ac:dyDescent="0.25">
      <c r="A1768" s="11" t="s">
        <v>24</v>
      </c>
      <c r="B1768" s="12">
        <v>5000000</v>
      </c>
      <c r="C1768" s="12">
        <v>36000000</v>
      </c>
      <c r="D1768" s="12">
        <v>1953</v>
      </c>
      <c r="E1768" s="12" t="str">
        <f>VLOOKUP(A1768, Currency!$A$2:$B$100, 2, FALSE)</f>
        <v>USD</v>
      </c>
      <c r="F1768" s="12">
        <f ca="1">IFERROR(__xludf.DUMMYFUNCTION("IF(E1768=""USD"",B1768,B1768 * GOOGLEFINANCE(""CURRENCY:"" &amp; E1768 &amp; ""USD""))
"),5000000)</f>
        <v>5000000</v>
      </c>
      <c r="G1768" s="13">
        <f ca="1">IFERROR(__xludf.DUMMYFUNCTION("IF(E1768=""USD"",C1768,C1768 * GOOGLEFINANCE(""CURRENCY:"" &amp; E1768 &amp; ""USD""))
"),36000000)</f>
        <v>36000000</v>
      </c>
    </row>
    <row r="1769" spans="1:7" ht="15.75" customHeight="1" x14ac:dyDescent="0.25">
      <c r="A1769" s="14" t="s">
        <v>24</v>
      </c>
      <c r="B1769" s="15">
        <v>39000000</v>
      </c>
      <c r="C1769" s="15">
        <v>35287788</v>
      </c>
      <c r="D1769" s="15">
        <v>2012</v>
      </c>
      <c r="E1769" s="15" t="str">
        <f>VLOOKUP(A1769, Currency!$A$2:$B$100, 2, FALSE)</f>
        <v>USD</v>
      </c>
      <c r="F1769" s="15">
        <f ca="1">IFERROR(__xludf.DUMMYFUNCTION("IF(E1769=""USD"",B1769,B1769 * GOOGLEFINANCE(""CURRENCY:"" &amp; E1769 &amp; ""USD""))
"),39000000)</f>
        <v>39000000</v>
      </c>
      <c r="G1769" s="16">
        <f ca="1">IFERROR(__xludf.DUMMYFUNCTION("IF(E1769=""USD"",C1769,C1769 * GOOGLEFINANCE(""CURRENCY:"" &amp; E1769 &amp; ""USD""))
"),35287788)</f>
        <v>35287788</v>
      </c>
    </row>
    <row r="1770" spans="1:7" ht="15.75" customHeight="1" x14ac:dyDescent="0.25">
      <c r="A1770" s="11" t="s">
        <v>674</v>
      </c>
      <c r="B1770" s="12">
        <v>1000000</v>
      </c>
      <c r="C1770" s="12">
        <v>4231500</v>
      </c>
      <c r="D1770" s="12">
        <v>2013</v>
      </c>
      <c r="E1770" s="12" t="str">
        <f>VLOOKUP(A1770, Currency!$A$2:$B$100, 2, FALSE)</f>
        <v>INR</v>
      </c>
      <c r="F1770" s="12">
        <f ca="1">IFERROR(__xludf.DUMMYFUNCTION("IF(E1770=""USD"",B1770,B1770 * GOOGLEFINANCE(""CURRENCY:"" &amp; E1770 &amp; ""USD""))
"),11941.46)</f>
        <v>11941.46</v>
      </c>
      <c r="G1770" s="13">
        <f ca="1">IFERROR(__xludf.DUMMYFUNCTION("IF(E1770=""USD"",C1770,C1770 * GOOGLEFINANCE(""CURRENCY:"" &amp; E1770 &amp; ""USD""))
"),50530.28799)</f>
        <v>50530.287989999997</v>
      </c>
    </row>
    <row r="1771" spans="1:7" ht="15.75" customHeight="1" x14ac:dyDescent="0.25">
      <c r="A1771" s="14" t="s">
        <v>176</v>
      </c>
      <c r="B1771" s="15">
        <v>6000000</v>
      </c>
      <c r="C1771" s="15">
        <v>4394936</v>
      </c>
      <c r="D1771" s="15">
        <v>1999</v>
      </c>
      <c r="E1771" s="15" t="str">
        <f>VLOOKUP(A1771, Currency!$A$2:$B$100, 2, FALSE)</f>
        <v>EUR</v>
      </c>
      <c r="F1771" s="15">
        <f ca="1">IFERROR(__xludf.DUMMYFUNCTION("IF(E1771=""USD"",B1771,B1771 * GOOGLEFINANCE(""CURRENCY:"" &amp; E1771 &amp; ""USD""))
"),6508440)</f>
        <v>6508440</v>
      </c>
      <c r="G1771" s="16">
        <f ca="1">IFERROR(__xludf.DUMMYFUNCTION("IF(E1771=""USD"",C1771,C1771 * GOOGLEFINANCE(""CURRENCY:"" &amp; E1771 &amp; ""USD""))
"),4767362.87664)</f>
        <v>4767362.8766400004</v>
      </c>
    </row>
    <row r="1772" spans="1:7" ht="15.75" customHeight="1" x14ac:dyDescent="0.25">
      <c r="A1772" s="11" t="s">
        <v>24</v>
      </c>
      <c r="B1772" s="12">
        <v>26000000</v>
      </c>
      <c r="C1772" s="12">
        <v>105444419</v>
      </c>
      <c r="D1772" s="12">
        <v>1996</v>
      </c>
      <c r="E1772" s="12" t="str">
        <f>VLOOKUP(A1772, Currency!$A$2:$B$100, 2, FALSE)</f>
        <v>USD</v>
      </c>
      <c r="F1772" s="12">
        <f ca="1">IFERROR(__xludf.DUMMYFUNCTION("IF(E1772=""USD"",B1772,B1772 * GOOGLEFINANCE(""CURRENCY:"" &amp; E1772 &amp; ""USD""))
"),26000000)</f>
        <v>26000000</v>
      </c>
      <c r="G1772" s="13">
        <f ca="1">IFERROR(__xludf.DUMMYFUNCTION("IF(E1772=""USD"",C1772,C1772 * GOOGLEFINANCE(""CURRENCY:"" &amp; E1772 &amp; ""USD""))
"),105444419)</f>
        <v>105444419</v>
      </c>
    </row>
    <row r="1773" spans="1:7" ht="15.75" customHeight="1" x14ac:dyDescent="0.25">
      <c r="A1773" s="14" t="s">
        <v>24</v>
      </c>
      <c r="B1773" s="15">
        <v>21500000</v>
      </c>
      <c r="C1773" s="15">
        <v>24362501</v>
      </c>
      <c r="D1773" s="15">
        <v>1999</v>
      </c>
      <c r="E1773" s="15" t="str">
        <f>VLOOKUP(A1773, Currency!$A$2:$B$100, 2, FALSE)</f>
        <v>USD</v>
      </c>
      <c r="F1773" s="15">
        <f ca="1">IFERROR(__xludf.DUMMYFUNCTION("IF(E1773=""USD"",B1773,B1773 * GOOGLEFINANCE(""CURRENCY:"" &amp; E1773 &amp; ""USD""))
"),21500000)</f>
        <v>21500000</v>
      </c>
      <c r="G1773" s="16">
        <f ca="1">IFERROR(__xludf.DUMMYFUNCTION("IF(E1773=""USD"",C1773,C1773 * GOOGLEFINANCE(""CURRENCY:"" &amp; E1773 &amp; ""USD""))
"),24362501)</f>
        <v>24362501</v>
      </c>
    </row>
    <row r="1774" spans="1:7" ht="15.75" customHeight="1" x14ac:dyDescent="0.25">
      <c r="A1774" s="11" t="s">
        <v>24</v>
      </c>
      <c r="B1774" s="12">
        <v>10500000</v>
      </c>
      <c r="C1774" s="12">
        <v>125169</v>
      </c>
      <c r="D1774" s="12">
        <v>1994</v>
      </c>
      <c r="E1774" s="12" t="str">
        <f>VLOOKUP(A1774, Currency!$A$2:$B$100, 2, FALSE)</f>
        <v>USD</v>
      </c>
      <c r="F1774" s="12">
        <f ca="1">IFERROR(__xludf.DUMMYFUNCTION("IF(E1774=""USD"",B1774,B1774 * GOOGLEFINANCE(""CURRENCY:"" &amp; E1774 &amp; ""USD""))
"),10500000)</f>
        <v>10500000</v>
      </c>
      <c r="G1774" s="13">
        <f ca="1">IFERROR(__xludf.DUMMYFUNCTION("IF(E1774=""USD"",C1774,C1774 * GOOGLEFINANCE(""CURRENCY:"" &amp; E1774 &amp; ""USD""))
"),125169)</f>
        <v>125169</v>
      </c>
    </row>
    <row r="1775" spans="1:7" ht="15.75" customHeight="1" x14ac:dyDescent="0.25">
      <c r="A1775" s="14" t="s">
        <v>24</v>
      </c>
      <c r="B1775" s="15">
        <v>20000000</v>
      </c>
      <c r="C1775" s="15">
        <v>121463226</v>
      </c>
      <c r="D1775" s="15">
        <v>2007</v>
      </c>
      <c r="E1775" s="15" t="str">
        <f>VLOOKUP(A1775, Currency!$A$2:$B$100, 2, FALSE)</f>
        <v>USD</v>
      </c>
      <c r="F1775" s="15">
        <f ca="1">IFERROR(__xludf.DUMMYFUNCTION("IF(E1775=""USD"",B1775,B1775 * GOOGLEFINANCE(""CURRENCY:"" &amp; E1775 &amp; ""USD""))
"),20000000)</f>
        <v>20000000</v>
      </c>
      <c r="G1775" s="16">
        <f ca="1">IFERROR(__xludf.DUMMYFUNCTION("IF(E1775=""USD"",C1775,C1775 * GOOGLEFINANCE(""CURRENCY:"" &amp; E1775 &amp; ""USD""))
"),121463226)</f>
        <v>121463226</v>
      </c>
    </row>
    <row r="1776" spans="1:7" ht="15.75" customHeight="1" x14ac:dyDescent="0.25">
      <c r="A1776" s="11" t="s">
        <v>24</v>
      </c>
      <c r="B1776" s="12">
        <v>19000000</v>
      </c>
      <c r="C1776" s="12">
        <v>40846082</v>
      </c>
      <c r="D1776" s="12">
        <v>1999</v>
      </c>
      <c r="E1776" s="12" t="str">
        <f>VLOOKUP(A1776, Currency!$A$2:$B$100, 2, FALSE)</f>
        <v>USD</v>
      </c>
      <c r="F1776" s="12">
        <f ca="1">IFERROR(__xludf.DUMMYFUNCTION("IF(E1776=""USD"",B1776,B1776 * GOOGLEFINANCE(""CURRENCY:"" &amp; E1776 &amp; ""USD""))
"),19000000)</f>
        <v>19000000</v>
      </c>
      <c r="G1776" s="13">
        <f ca="1">IFERROR(__xludf.DUMMYFUNCTION("IF(E1776=""USD"",C1776,C1776 * GOOGLEFINANCE(""CURRENCY:"" &amp; E1776 &amp; ""USD""))
"),40846082)</f>
        <v>40846082</v>
      </c>
    </row>
    <row r="1777" spans="1:7" ht="15.75" customHeight="1" x14ac:dyDescent="0.25">
      <c r="A1777" s="14" t="s">
        <v>24</v>
      </c>
      <c r="B1777" s="15">
        <v>12000000</v>
      </c>
      <c r="C1777" s="15">
        <v>63071133</v>
      </c>
      <c r="D1777" s="15">
        <v>1996</v>
      </c>
      <c r="E1777" s="15" t="str">
        <f>VLOOKUP(A1777, Currency!$A$2:$B$100, 2, FALSE)</f>
        <v>USD</v>
      </c>
      <c r="F1777" s="15">
        <f ca="1">IFERROR(__xludf.DUMMYFUNCTION("IF(E1777=""USD"",B1777,B1777 * GOOGLEFINANCE(""CURRENCY:"" &amp; E1777 &amp; ""USD""))
"),12000000)</f>
        <v>12000000</v>
      </c>
      <c r="G1777" s="16">
        <f ca="1">IFERROR(__xludf.DUMMYFUNCTION("IF(E1777=""USD"",C1777,C1777 * GOOGLEFINANCE(""CURRENCY:"" &amp; E1777 &amp; ""USD""))
"),63071133)</f>
        <v>63071133</v>
      </c>
    </row>
    <row r="1778" spans="1:7" ht="15.75" customHeight="1" x14ac:dyDescent="0.25">
      <c r="A1778" s="11" t="s">
        <v>24</v>
      </c>
      <c r="B1778" s="12">
        <v>20000000</v>
      </c>
      <c r="C1778" s="12">
        <v>1646664</v>
      </c>
      <c r="D1778" s="12">
        <v>2003</v>
      </c>
      <c r="E1778" s="12" t="str">
        <f>VLOOKUP(A1778, Currency!$A$2:$B$100, 2, FALSE)</f>
        <v>USD</v>
      </c>
      <c r="F1778" s="12">
        <f ca="1">IFERROR(__xludf.DUMMYFUNCTION("IF(E1778=""USD"",B1778,B1778 * GOOGLEFINANCE(""CURRENCY:"" &amp; E1778 &amp; ""USD""))
"),20000000)</f>
        <v>20000000</v>
      </c>
      <c r="G1778" s="13">
        <f ca="1">IFERROR(__xludf.DUMMYFUNCTION("IF(E1778=""USD"",C1778,C1778 * GOOGLEFINANCE(""CURRENCY:"" &amp; E1778 &amp; ""USD""))
"),1646664)</f>
        <v>1646664</v>
      </c>
    </row>
    <row r="1779" spans="1:7" ht="15.75" customHeight="1" x14ac:dyDescent="0.25">
      <c r="A1779" s="14" t="s">
        <v>24</v>
      </c>
      <c r="B1779" s="15">
        <v>42000000</v>
      </c>
      <c r="C1779" s="15">
        <v>54414716</v>
      </c>
      <c r="D1779" s="15">
        <v>2014</v>
      </c>
      <c r="E1779" s="15" t="str">
        <f>VLOOKUP(A1779, Currency!$A$2:$B$100, 2, FALSE)</f>
        <v>USD</v>
      </c>
      <c r="F1779" s="15">
        <f ca="1">IFERROR(__xludf.DUMMYFUNCTION("IF(E1779=""USD"",B1779,B1779 * GOOGLEFINANCE(""CURRENCY:"" &amp; E1779 &amp; ""USD""))
"),42000000)</f>
        <v>42000000</v>
      </c>
      <c r="G1779" s="16">
        <f ca="1">IFERROR(__xludf.DUMMYFUNCTION("IF(E1779=""USD"",C1779,C1779 * GOOGLEFINANCE(""CURRENCY:"" &amp; E1779 &amp; ""USD""))
"),54414716)</f>
        <v>54414716</v>
      </c>
    </row>
    <row r="1780" spans="1:7" ht="15.75" customHeight="1" x14ac:dyDescent="0.25">
      <c r="A1780" s="11" t="s">
        <v>24</v>
      </c>
      <c r="B1780" s="12">
        <v>20000000</v>
      </c>
      <c r="C1780" s="12">
        <v>15464026</v>
      </c>
      <c r="D1780" s="12">
        <v>2000</v>
      </c>
      <c r="E1780" s="12" t="str">
        <f>VLOOKUP(A1780, Currency!$A$2:$B$100, 2, FALSE)</f>
        <v>USD</v>
      </c>
      <c r="F1780" s="12">
        <f ca="1">IFERROR(__xludf.DUMMYFUNCTION("IF(E1780=""USD"",B1780,B1780 * GOOGLEFINANCE(""CURRENCY:"" &amp; E1780 &amp; ""USD""))
"),20000000)</f>
        <v>20000000</v>
      </c>
      <c r="G1780" s="13">
        <f ca="1">IFERROR(__xludf.DUMMYFUNCTION("IF(E1780=""USD"",C1780,C1780 * GOOGLEFINANCE(""CURRENCY:"" &amp; E1780 &amp; ""USD""))
"),15464026)</f>
        <v>15464026</v>
      </c>
    </row>
    <row r="1781" spans="1:7" ht="15.75" customHeight="1" x14ac:dyDescent="0.25">
      <c r="A1781" s="14" t="s">
        <v>24</v>
      </c>
      <c r="B1781" s="15">
        <v>80000000</v>
      </c>
      <c r="C1781" s="15">
        <v>109993847</v>
      </c>
      <c r="D1781" s="15">
        <v>2008</v>
      </c>
      <c r="E1781" s="15" t="str">
        <f>VLOOKUP(A1781, Currency!$A$2:$B$100, 2, FALSE)</f>
        <v>USD</v>
      </c>
      <c r="F1781" s="15">
        <f ca="1">IFERROR(__xludf.DUMMYFUNCTION("IF(E1781=""USD"",B1781,B1781 * GOOGLEFINANCE(""CURRENCY:"" &amp; E1781 &amp; ""USD""))
"),80000000)</f>
        <v>80000000</v>
      </c>
      <c r="G1781" s="16">
        <f ca="1">IFERROR(__xludf.DUMMYFUNCTION("IF(E1781=""USD"",C1781,C1781 * GOOGLEFINANCE(""CURRENCY:"" &amp; E1781 &amp; ""USD""))
"),109993847)</f>
        <v>109993847</v>
      </c>
    </row>
    <row r="1782" spans="1:7" ht="15.75" customHeight="1" x14ac:dyDescent="0.25">
      <c r="A1782" s="11" t="s">
        <v>24</v>
      </c>
      <c r="B1782" s="12">
        <v>6000000</v>
      </c>
      <c r="C1782" s="12">
        <v>117560</v>
      </c>
      <c r="D1782" s="12">
        <v>2006</v>
      </c>
      <c r="E1782" s="12" t="str">
        <f>VLOOKUP(A1782, Currency!$A$2:$B$100, 2, FALSE)</f>
        <v>USD</v>
      </c>
      <c r="F1782" s="12">
        <f ca="1">IFERROR(__xludf.DUMMYFUNCTION("IF(E1782=""USD"",B1782,B1782 * GOOGLEFINANCE(""CURRENCY:"" &amp; E1782 &amp; ""USD""))
"),6000000)</f>
        <v>6000000</v>
      </c>
      <c r="G1782" s="13">
        <f ca="1">IFERROR(__xludf.DUMMYFUNCTION("IF(E1782=""USD"",C1782,C1782 * GOOGLEFINANCE(""CURRENCY:"" &amp; E1782 &amp; ""USD""))
"),117560)</f>
        <v>117560</v>
      </c>
    </row>
    <row r="1783" spans="1:7" ht="15.75" customHeight="1" x14ac:dyDescent="0.25">
      <c r="A1783" s="14" t="s">
        <v>24</v>
      </c>
      <c r="B1783" s="15">
        <v>38000000</v>
      </c>
      <c r="C1783" s="15">
        <v>8406264</v>
      </c>
      <c r="D1783" s="15">
        <v>1999</v>
      </c>
      <c r="E1783" s="15" t="str">
        <f>VLOOKUP(A1783, Currency!$A$2:$B$100, 2, FALSE)</f>
        <v>USD</v>
      </c>
      <c r="F1783" s="15">
        <f ca="1">IFERROR(__xludf.DUMMYFUNCTION("IF(E1783=""USD"",B1783,B1783 * GOOGLEFINANCE(""CURRENCY:"" &amp; E1783 &amp; ""USD""))
"),38000000)</f>
        <v>38000000</v>
      </c>
      <c r="G1783" s="16">
        <f ca="1">IFERROR(__xludf.DUMMYFUNCTION("IF(E1783=""USD"",C1783,C1783 * GOOGLEFINANCE(""CURRENCY:"" &amp; E1783 &amp; ""USD""))
"),8406264)</f>
        <v>8406264</v>
      </c>
    </row>
    <row r="1784" spans="1:7" ht="15.75" customHeight="1" x14ac:dyDescent="0.25">
      <c r="A1784" s="11" t="s">
        <v>24</v>
      </c>
      <c r="B1784" s="12">
        <v>16000000</v>
      </c>
      <c r="C1784" s="12">
        <v>1686429</v>
      </c>
      <c r="D1784" s="12">
        <v>1997</v>
      </c>
      <c r="E1784" s="12" t="str">
        <f>VLOOKUP(A1784, Currency!$A$2:$B$100, 2, FALSE)</f>
        <v>USD</v>
      </c>
      <c r="F1784" s="12">
        <f ca="1">IFERROR(__xludf.DUMMYFUNCTION("IF(E1784=""USD"",B1784,B1784 * GOOGLEFINANCE(""CURRENCY:"" &amp; E1784 &amp; ""USD""))
"),16000000)</f>
        <v>16000000</v>
      </c>
      <c r="G1784" s="13">
        <f ca="1">IFERROR(__xludf.DUMMYFUNCTION("IF(E1784=""USD"",C1784,C1784 * GOOGLEFINANCE(""CURRENCY:"" &amp; E1784 &amp; ""USD""))
"),1686429)</f>
        <v>1686429</v>
      </c>
    </row>
    <row r="1785" spans="1:7" ht="15.75" customHeight="1" x14ac:dyDescent="0.25">
      <c r="A1785" s="14" t="s">
        <v>611</v>
      </c>
      <c r="B1785" s="15">
        <v>9600000</v>
      </c>
      <c r="C1785" s="15">
        <v>71442</v>
      </c>
      <c r="D1785" s="15">
        <v>2012</v>
      </c>
      <c r="E1785" s="15" t="str">
        <f>VLOOKUP(A1785, Currency!$A$2:$B$100, 2, FALSE)</f>
        <v>EUR</v>
      </c>
      <c r="F1785" s="15">
        <f ca="1">IFERROR(__xludf.DUMMYFUNCTION("IF(E1785=""USD"",B1785,B1785 * GOOGLEFINANCE(""CURRENCY:"" &amp; E1785 &amp; ""USD""))
"),10413504)</f>
        <v>10413504</v>
      </c>
      <c r="G1785" s="16">
        <f ca="1">IFERROR(__xludf.DUMMYFUNCTION("IF(E1785=""USD"",C1785,C1785 * GOOGLEFINANCE(""CURRENCY:"" &amp; E1785 &amp; ""USD""))
"),77495.99508)</f>
        <v>77495.995079999993</v>
      </c>
    </row>
    <row r="1786" spans="1:7" ht="15.75" customHeight="1" x14ac:dyDescent="0.25">
      <c r="A1786" s="11" t="s">
        <v>24</v>
      </c>
      <c r="B1786" s="12">
        <v>4500000</v>
      </c>
      <c r="C1786" s="12">
        <v>34468224</v>
      </c>
      <c r="D1786" s="12">
        <v>2003</v>
      </c>
      <c r="E1786" s="12" t="str">
        <f>VLOOKUP(A1786, Currency!$A$2:$B$100, 2, FALSE)</f>
        <v>USD</v>
      </c>
      <c r="F1786" s="12">
        <f ca="1">IFERROR(__xludf.DUMMYFUNCTION("IF(E1786=""USD"",B1786,B1786 * GOOGLEFINANCE(""CURRENCY:"" &amp; E1786 &amp; ""USD""))
"),4500000)</f>
        <v>4500000</v>
      </c>
      <c r="G1786" s="13">
        <f ca="1">IFERROR(__xludf.DUMMYFUNCTION("IF(E1786=""USD"",C1786,C1786 * GOOGLEFINANCE(""CURRENCY:"" &amp; E1786 &amp; ""USD""))
"),34468224)</f>
        <v>34468224</v>
      </c>
    </row>
    <row r="1787" spans="1:7" ht="15.75" customHeight="1" x14ac:dyDescent="0.25">
      <c r="A1787" s="14" t="s">
        <v>24</v>
      </c>
      <c r="B1787" s="15">
        <v>103000000</v>
      </c>
      <c r="C1787" s="15">
        <v>131536019</v>
      </c>
      <c r="D1787" s="15">
        <v>2014</v>
      </c>
      <c r="E1787" s="15" t="str">
        <f>VLOOKUP(A1787, Currency!$A$2:$B$100, 2, FALSE)</f>
        <v>USD</v>
      </c>
      <c r="F1787" s="15">
        <f ca="1">IFERROR(__xludf.DUMMYFUNCTION("IF(E1787=""USD"",B1787,B1787 * GOOGLEFINANCE(""CURRENCY:"" &amp; E1787 &amp; ""USD""))
"),103000000)</f>
        <v>103000000</v>
      </c>
      <c r="G1787" s="16">
        <f ca="1">IFERROR(__xludf.DUMMYFUNCTION("IF(E1787=""USD"",C1787,C1787 * GOOGLEFINANCE(""CURRENCY:"" &amp; E1787 &amp; ""USD""))
"),131536019)</f>
        <v>131536019</v>
      </c>
    </row>
    <row r="1788" spans="1:7" ht="15.75" customHeight="1" x14ac:dyDescent="0.25">
      <c r="A1788" s="11" t="s">
        <v>24</v>
      </c>
      <c r="B1788" s="12">
        <v>6000000</v>
      </c>
      <c r="C1788" s="12">
        <v>102300000</v>
      </c>
      <c r="D1788" s="12">
        <v>1964</v>
      </c>
      <c r="E1788" s="12" t="str">
        <f>VLOOKUP(A1788, Currency!$A$2:$B$100, 2, FALSE)</f>
        <v>USD</v>
      </c>
      <c r="F1788" s="12">
        <f ca="1">IFERROR(__xludf.DUMMYFUNCTION("IF(E1788=""USD"",B1788,B1788 * GOOGLEFINANCE(""CURRENCY:"" &amp; E1788 &amp; ""USD""))
"),6000000)</f>
        <v>6000000</v>
      </c>
      <c r="G1788" s="13">
        <f ca="1">IFERROR(__xludf.DUMMYFUNCTION("IF(E1788=""USD"",C1788,C1788 * GOOGLEFINANCE(""CURRENCY:"" &amp; E1788 &amp; ""USD""))
"),102300000)</f>
        <v>102300000</v>
      </c>
    </row>
    <row r="1789" spans="1:7" ht="15.75" customHeight="1" x14ac:dyDescent="0.25">
      <c r="A1789" s="14" t="s">
        <v>24</v>
      </c>
      <c r="B1789" s="15">
        <v>3500000</v>
      </c>
      <c r="C1789" s="15">
        <v>101228</v>
      </c>
      <c r="D1789" s="15">
        <v>2005</v>
      </c>
      <c r="E1789" s="15" t="str">
        <f>VLOOKUP(A1789, Currency!$A$2:$B$100, 2, FALSE)</f>
        <v>USD</v>
      </c>
      <c r="F1789" s="15">
        <f ca="1">IFERROR(__xludf.DUMMYFUNCTION("IF(E1789=""USD"",B1789,B1789 * GOOGLEFINANCE(""CURRENCY:"" &amp; E1789 &amp; ""USD""))
"),3500000)</f>
        <v>3500000</v>
      </c>
      <c r="G1789" s="16">
        <f ca="1">IFERROR(__xludf.DUMMYFUNCTION("IF(E1789=""USD"",C1789,C1789 * GOOGLEFINANCE(""CURRENCY:"" &amp; E1789 &amp; ""USD""))
"),101228)</f>
        <v>101228</v>
      </c>
    </row>
    <row r="1790" spans="1:7" ht="15.75" customHeight="1" x14ac:dyDescent="0.25">
      <c r="A1790" s="11" t="s">
        <v>24</v>
      </c>
      <c r="B1790" s="12">
        <v>55000000</v>
      </c>
      <c r="C1790" s="12">
        <v>56932305</v>
      </c>
      <c r="D1790" s="12">
        <v>2000</v>
      </c>
      <c r="E1790" s="12" t="str">
        <f>VLOOKUP(A1790, Currency!$A$2:$B$100, 2, FALSE)</f>
        <v>USD</v>
      </c>
      <c r="F1790" s="12">
        <f ca="1">IFERROR(__xludf.DUMMYFUNCTION("IF(E1790=""USD"",B1790,B1790 * GOOGLEFINANCE(""CURRENCY:"" &amp; E1790 &amp; ""USD""))
"),55000000)</f>
        <v>55000000</v>
      </c>
      <c r="G1790" s="13">
        <f ca="1">IFERROR(__xludf.DUMMYFUNCTION("IF(E1790=""USD"",C1790,C1790 * GOOGLEFINANCE(""CURRENCY:"" &amp; E1790 &amp; ""USD""))
"),56932305)</f>
        <v>56932305</v>
      </c>
    </row>
    <row r="1791" spans="1:7" ht="15.75" customHeight="1" x14ac:dyDescent="0.25">
      <c r="A1791" s="14" t="s">
        <v>24</v>
      </c>
      <c r="B1791" s="15">
        <v>23000000</v>
      </c>
      <c r="C1791" s="15">
        <v>53302314</v>
      </c>
      <c r="D1791" s="15">
        <v>2000</v>
      </c>
      <c r="E1791" s="15" t="str">
        <f>VLOOKUP(A1791, Currency!$A$2:$B$100, 2, FALSE)</f>
        <v>USD</v>
      </c>
      <c r="F1791" s="15">
        <f ca="1">IFERROR(__xludf.DUMMYFUNCTION("IF(E1791=""USD"",B1791,B1791 * GOOGLEFINANCE(""CURRENCY:"" &amp; E1791 &amp; ""USD""))
"),23000000)</f>
        <v>23000000</v>
      </c>
      <c r="G1791" s="16">
        <f ca="1">IFERROR(__xludf.DUMMYFUNCTION("IF(E1791=""USD"",C1791,C1791 * GOOGLEFINANCE(""CURRENCY:"" &amp; E1791 &amp; ""USD""))
"),53302314)</f>
        <v>53302314</v>
      </c>
    </row>
    <row r="1792" spans="1:7" ht="15.75" customHeight="1" x14ac:dyDescent="0.25">
      <c r="A1792" s="11" t="s">
        <v>24</v>
      </c>
      <c r="B1792" s="12">
        <v>7500000</v>
      </c>
      <c r="C1792" s="12">
        <v>32391374</v>
      </c>
      <c r="D1792" s="12">
        <v>2009</v>
      </c>
      <c r="E1792" s="12" t="str">
        <f>VLOOKUP(A1792, Currency!$A$2:$B$100, 2, FALSE)</f>
        <v>USD</v>
      </c>
      <c r="F1792" s="12">
        <f ca="1">IFERROR(__xludf.DUMMYFUNCTION("IF(E1792=""USD"",B1792,B1792 * GOOGLEFINANCE(""CURRENCY:"" &amp; E1792 &amp; ""USD""))
"),7500000)</f>
        <v>7500000</v>
      </c>
      <c r="G1792" s="13">
        <f ca="1">IFERROR(__xludf.DUMMYFUNCTION("IF(E1792=""USD"",C1792,C1792 * GOOGLEFINANCE(""CURRENCY:"" &amp; E1792 &amp; ""USD""))
"),32391374)</f>
        <v>32391374</v>
      </c>
    </row>
    <row r="1793" spans="1:7" ht="15.75" customHeight="1" x14ac:dyDescent="0.25">
      <c r="A1793" s="14" t="s">
        <v>24</v>
      </c>
      <c r="B1793" s="15">
        <v>30000000</v>
      </c>
      <c r="C1793" s="15">
        <v>53680848</v>
      </c>
      <c r="D1793" s="15">
        <v>2007</v>
      </c>
      <c r="E1793" s="15" t="str">
        <f>VLOOKUP(A1793, Currency!$A$2:$B$100, 2, FALSE)</f>
        <v>USD</v>
      </c>
      <c r="F1793" s="15">
        <f ca="1">IFERROR(__xludf.DUMMYFUNCTION("IF(E1793=""USD"",B1793,B1793 * GOOGLEFINANCE(""CURRENCY:"" &amp; E1793 &amp; ""USD""))
"),30000000)</f>
        <v>30000000</v>
      </c>
      <c r="G1793" s="16">
        <f ca="1">IFERROR(__xludf.DUMMYFUNCTION("IF(E1793=""USD"",C1793,C1793 * GOOGLEFINANCE(""CURRENCY:"" &amp; E1793 &amp; ""USD""))
"),53680848)</f>
        <v>53680848</v>
      </c>
    </row>
    <row r="1794" spans="1:7" ht="15.75" customHeight="1" x14ac:dyDescent="0.25">
      <c r="A1794" s="11" t="s">
        <v>24</v>
      </c>
      <c r="B1794" s="12">
        <v>105000000</v>
      </c>
      <c r="C1794" s="12">
        <v>71017784</v>
      </c>
      <c r="D1794" s="12">
        <v>2013</v>
      </c>
      <c r="E1794" s="12" t="str">
        <f>VLOOKUP(A1794, Currency!$A$2:$B$100, 2, FALSE)</f>
        <v>USD</v>
      </c>
      <c r="F1794" s="12">
        <f ca="1">IFERROR(__xludf.DUMMYFUNCTION("IF(E1794=""USD"",B1794,B1794 * GOOGLEFINANCE(""CURRENCY:"" &amp; E1794 &amp; ""USD""))
"),105000000)</f>
        <v>105000000</v>
      </c>
      <c r="G1794" s="13">
        <f ca="1">IFERROR(__xludf.DUMMYFUNCTION("IF(E1794=""USD"",C1794,C1794 * GOOGLEFINANCE(""CURRENCY:"" &amp; E1794 &amp; ""USD""))
"),71017784)</f>
        <v>71017784</v>
      </c>
    </row>
    <row r="1795" spans="1:7" ht="15.75" customHeight="1" x14ac:dyDescent="0.25">
      <c r="A1795" s="14" t="s">
        <v>24</v>
      </c>
      <c r="B1795" s="15">
        <v>300000000</v>
      </c>
      <c r="C1795" s="15">
        <v>309404152</v>
      </c>
      <c r="D1795" s="15">
        <v>2007</v>
      </c>
      <c r="E1795" s="15" t="str">
        <f>VLOOKUP(A1795, Currency!$A$2:$B$100, 2, FALSE)</f>
        <v>USD</v>
      </c>
      <c r="F1795" s="15">
        <f ca="1">IFERROR(__xludf.DUMMYFUNCTION("IF(E1795=""USD"",B1795,B1795 * GOOGLEFINANCE(""CURRENCY:"" &amp; E1795 &amp; ""USD""))
"),300000000)</f>
        <v>300000000</v>
      </c>
      <c r="G1795" s="16">
        <f ca="1">IFERROR(__xludf.DUMMYFUNCTION("IF(E1795=""USD"",C1795,C1795 * GOOGLEFINANCE(""CURRENCY:"" &amp; E1795 &amp; ""USD""))
"),309404152)</f>
        <v>309404152</v>
      </c>
    </row>
    <row r="1796" spans="1:7" ht="15.75" customHeight="1" x14ac:dyDescent="0.25">
      <c r="A1796" s="11" t="s">
        <v>24</v>
      </c>
      <c r="B1796" s="12">
        <v>32000000</v>
      </c>
      <c r="C1796" s="12">
        <v>13303319</v>
      </c>
      <c r="D1796" s="12">
        <v>2011</v>
      </c>
      <c r="E1796" s="12" t="str">
        <f>VLOOKUP(A1796, Currency!$A$2:$B$100, 2, FALSE)</f>
        <v>USD</v>
      </c>
      <c r="F1796" s="12">
        <f ca="1">IFERROR(__xludf.DUMMYFUNCTION("IF(E1796=""USD"",B1796,B1796 * GOOGLEFINANCE(""CURRENCY:"" &amp; E1796 &amp; ""USD""))
"),32000000)</f>
        <v>32000000</v>
      </c>
      <c r="G1796" s="13">
        <f ca="1">IFERROR(__xludf.DUMMYFUNCTION("IF(E1796=""USD"",C1796,C1796 * GOOGLEFINANCE(""CURRENCY:"" &amp; E1796 &amp; ""USD""))
"),13303319)</f>
        <v>13303319</v>
      </c>
    </row>
    <row r="1797" spans="1:7" ht="15.75" customHeight="1" x14ac:dyDescent="0.25">
      <c r="A1797" s="14" t="s">
        <v>133</v>
      </c>
      <c r="B1797" s="15">
        <v>60000000</v>
      </c>
      <c r="C1797" s="15">
        <v>13395939</v>
      </c>
      <c r="D1797" s="15">
        <v>2004</v>
      </c>
      <c r="E1797" s="15" t="str">
        <f>VLOOKUP(A1797, Currency!$A$2:$B$100, 2, FALSE)</f>
        <v>GBP</v>
      </c>
      <c r="F1797" s="15">
        <f ca="1">IFERROR(__xludf.DUMMYFUNCTION("IF(E1797=""USD"",B1797,B1797 * GOOGLEFINANCE(""CURRENCY:"" &amp; E1797 &amp; ""USD""))
"),77124000)</f>
        <v>77124000</v>
      </c>
      <c r="G1797" s="16">
        <f ca="1">IFERROR(__xludf.DUMMYFUNCTION("IF(E1797=""USD"",C1797,C1797 * GOOGLEFINANCE(""CURRENCY:"" &amp; E1797 &amp; ""USD""))
"),17219139.9905999)</f>
        <v>17219139.9905999</v>
      </c>
    </row>
    <row r="1798" spans="1:7" ht="15.75" customHeight="1" x14ac:dyDescent="0.25">
      <c r="A1798" s="11" t="s">
        <v>24</v>
      </c>
      <c r="B1798" s="12">
        <v>58000000</v>
      </c>
      <c r="C1798" s="12">
        <v>28328132</v>
      </c>
      <c r="D1798" s="12">
        <v>2004</v>
      </c>
      <c r="E1798" s="12" t="str">
        <f>VLOOKUP(A1798, Currency!$A$2:$B$100, 2, FALSE)</f>
        <v>USD</v>
      </c>
      <c r="F1798" s="12">
        <f ca="1">IFERROR(__xludf.DUMMYFUNCTION("IF(E1798=""USD"",B1798,B1798 * GOOGLEFINANCE(""CURRENCY:"" &amp; E1798 &amp; ""USD""))
"),58000000)</f>
        <v>58000000</v>
      </c>
      <c r="G1798" s="13">
        <f ca="1">IFERROR(__xludf.DUMMYFUNCTION("IF(E1798=""USD"",C1798,C1798 * GOOGLEFINANCE(""CURRENCY:"" &amp; E1798 &amp; ""USD""))
"),28328132)</f>
        <v>28328132</v>
      </c>
    </row>
    <row r="1799" spans="1:7" ht="15.75" customHeight="1" x14ac:dyDescent="0.25">
      <c r="A1799" s="14" t="s">
        <v>24</v>
      </c>
      <c r="B1799" s="15">
        <v>1000000</v>
      </c>
      <c r="C1799" s="15">
        <v>3386698</v>
      </c>
      <c r="D1799" s="15">
        <v>1998</v>
      </c>
      <c r="E1799" s="15" t="str">
        <f>VLOOKUP(A1799, Currency!$A$2:$B$100, 2, FALSE)</f>
        <v>USD</v>
      </c>
      <c r="F1799" s="15">
        <f ca="1">IFERROR(__xludf.DUMMYFUNCTION("IF(E1799=""USD"",B1799,B1799 * GOOGLEFINANCE(""CURRENCY:"" &amp; E1799 &amp; ""USD""))
"),1000000)</f>
        <v>1000000</v>
      </c>
      <c r="G1799" s="16">
        <f ca="1">IFERROR(__xludf.DUMMYFUNCTION("IF(E1799=""USD"",C1799,C1799 * GOOGLEFINANCE(""CURRENCY:"" &amp; E1799 &amp; ""USD""))
"),3386698)</f>
        <v>3386698</v>
      </c>
    </row>
    <row r="1800" spans="1:7" ht="15.75" customHeight="1" x14ac:dyDescent="0.25">
      <c r="A1800" s="11" t="s">
        <v>24</v>
      </c>
      <c r="B1800" s="12">
        <v>1000000</v>
      </c>
      <c r="C1800" s="12">
        <v>1677838</v>
      </c>
      <c r="D1800" s="12">
        <v>2006</v>
      </c>
      <c r="E1800" s="12" t="str">
        <f>VLOOKUP(A1800, Currency!$A$2:$B$100, 2, FALSE)</f>
        <v>USD</v>
      </c>
      <c r="F1800" s="12">
        <f ca="1">IFERROR(__xludf.DUMMYFUNCTION("IF(E1800=""USD"",B1800,B1800 * GOOGLEFINANCE(""CURRENCY:"" &amp; E1800 &amp; ""USD""))
"),1000000)</f>
        <v>1000000</v>
      </c>
      <c r="G1800" s="13">
        <f ca="1">IFERROR(__xludf.DUMMYFUNCTION("IF(E1800=""USD"",C1800,C1800 * GOOGLEFINANCE(""CURRENCY:"" &amp; E1800 &amp; ""USD""))
"),1677838)</f>
        <v>1677838</v>
      </c>
    </row>
    <row r="1801" spans="1:7" ht="15.75" customHeight="1" x14ac:dyDescent="0.25">
      <c r="A1801" s="14" t="s">
        <v>24</v>
      </c>
      <c r="B1801" s="15">
        <v>50000000</v>
      </c>
      <c r="C1801" s="15">
        <v>18472363</v>
      </c>
      <c r="D1801" s="15">
        <v>2005</v>
      </c>
      <c r="E1801" s="15" t="str">
        <f>VLOOKUP(A1801, Currency!$A$2:$B$100, 2, FALSE)</f>
        <v>USD</v>
      </c>
      <c r="F1801" s="15">
        <f ca="1">IFERROR(__xludf.DUMMYFUNCTION("IF(E1801=""USD"",B1801,B1801 * GOOGLEFINANCE(""CURRENCY:"" &amp; E1801 &amp; ""USD""))
"),50000000)</f>
        <v>50000000</v>
      </c>
      <c r="G1801" s="16">
        <f ca="1">IFERROR(__xludf.DUMMYFUNCTION("IF(E1801=""USD"",C1801,C1801 * GOOGLEFINANCE(""CURRENCY:"" &amp; E1801 &amp; ""USD""))
"),18472363)</f>
        <v>18472363</v>
      </c>
    </row>
    <row r="1802" spans="1:7" ht="15.75" customHeight="1" x14ac:dyDescent="0.25">
      <c r="A1802" s="11" t="s">
        <v>24</v>
      </c>
      <c r="B1802" s="12">
        <v>12500000</v>
      </c>
      <c r="C1802" s="12">
        <v>1227324</v>
      </c>
      <c r="D1802" s="12">
        <v>1996</v>
      </c>
      <c r="E1802" s="12" t="str">
        <f>VLOOKUP(A1802, Currency!$A$2:$B$100, 2, FALSE)</f>
        <v>USD</v>
      </c>
      <c r="F1802" s="12">
        <f ca="1">IFERROR(__xludf.DUMMYFUNCTION("IF(E1802=""USD"",B1802,B1802 * GOOGLEFINANCE(""CURRENCY:"" &amp; E1802 &amp; ""USD""))
"),12500000)</f>
        <v>12500000</v>
      </c>
      <c r="G1802" s="13">
        <f ca="1">IFERROR(__xludf.DUMMYFUNCTION("IF(E1802=""USD"",C1802,C1802 * GOOGLEFINANCE(""CURRENCY:"" &amp; E1802 &amp; ""USD""))
"),1227324)</f>
        <v>1227324</v>
      </c>
    </row>
    <row r="1803" spans="1:7" ht="15.75" customHeight="1" x14ac:dyDescent="0.25">
      <c r="A1803" s="14" t="s">
        <v>133</v>
      </c>
      <c r="B1803" s="15">
        <v>5500000</v>
      </c>
      <c r="C1803" s="15">
        <v>1292119</v>
      </c>
      <c r="D1803" s="15">
        <v>2001</v>
      </c>
      <c r="E1803" s="15" t="str">
        <f>VLOOKUP(A1803, Currency!$A$2:$B$100, 2, FALSE)</f>
        <v>GBP</v>
      </c>
      <c r="F1803" s="15">
        <f ca="1">IFERROR(__xludf.DUMMYFUNCTION("IF(E1803=""USD"",B1803,B1803 * GOOGLEFINANCE(""CURRENCY:"" &amp; E1803 &amp; ""USD""))
"),7069699.99999999)</f>
        <v>7069699.9999999898</v>
      </c>
      <c r="G1803" s="16">
        <f ca="1">IFERROR(__xludf.DUMMYFUNCTION("IF(E1803=""USD"",C1803,C1803 * GOOGLEFINANCE(""CURRENCY:"" &amp; E1803 &amp; ""USD""))
"),1660889.76259999)</f>
        <v>1660889.76259999</v>
      </c>
    </row>
    <row r="1804" spans="1:7" ht="15.75" customHeight="1" x14ac:dyDescent="0.25">
      <c r="A1804" s="11" t="s">
        <v>24</v>
      </c>
      <c r="B1804" s="12">
        <v>14000000</v>
      </c>
      <c r="C1804" s="12">
        <v>800000</v>
      </c>
      <c r="D1804" s="12">
        <v>1981</v>
      </c>
      <c r="E1804" s="12" t="str">
        <f>VLOOKUP(A1804, Currency!$A$2:$B$100, 2, FALSE)</f>
        <v>USD</v>
      </c>
      <c r="F1804" s="12">
        <f ca="1">IFERROR(__xludf.DUMMYFUNCTION("IF(E1804=""USD"",B1804,B1804 * GOOGLEFINANCE(""CURRENCY:"" &amp; E1804 &amp; ""USD""))
"),14000000)</f>
        <v>14000000</v>
      </c>
      <c r="G1804" s="13">
        <f ca="1">IFERROR(__xludf.DUMMYFUNCTION("IF(E1804=""USD"",C1804,C1804 * GOOGLEFINANCE(""CURRENCY:"" &amp; E1804 &amp; ""USD""))
"),800000)</f>
        <v>800000</v>
      </c>
    </row>
    <row r="1805" spans="1:7" ht="15.75" customHeight="1" x14ac:dyDescent="0.25">
      <c r="A1805" s="14" t="s">
        <v>24</v>
      </c>
      <c r="B1805" s="15">
        <v>6000000</v>
      </c>
      <c r="C1805" s="15">
        <v>11797927</v>
      </c>
      <c r="D1805" s="15">
        <v>1995</v>
      </c>
      <c r="E1805" s="15" t="str">
        <f>VLOOKUP(A1805, Currency!$A$2:$B$100, 2, FALSE)</f>
        <v>USD</v>
      </c>
      <c r="F1805" s="15">
        <f ca="1">IFERROR(__xludf.DUMMYFUNCTION("IF(E1805=""USD"",B1805,B1805 * GOOGLEFINANCE(""CURRENCY:"" &amp; E1805 &amp; ""USD""))
"),6000000)</f>
        <v>6000000</v>
      </c>
      <c r="G1805" s="16">
        <f ca="1">IFERROR(__xludf.DUMMYFUNCTION("IF(E1805=""USD"",C1805,C1805 * GOOGLEFINANCE(""CURRENCY:"" &amp; E1805 &amp; ""USD""))
"),11797927)</f>
        <v>11797927</v>
      </c>
    </row>
    <row r="1806" spans="1:7" ht="15.75" customHeight="1" x14ac:dyDescent="0.25">
      <c r="A1806" s="11" t="s">
        <v>24</v>
      </c>
      <c r="B1806" s="12">
        <v>7500000</v>
      </c>
      <c r="C1806" s="12">
        <v>143492840</v>
      </c>
      <c r="D1806" s="12">
        <v>2007</v>
      </c>
      <c r="E1806" s="12" t="str">
        <f>VLOOKUP(A1806, Currency!$A$2:$B$100, 2, FALSE)</f>
        <v>USD</v>
      </c>
      <c r="F1806" s="12">
        <f ca="1">IFERROR(__xludf.DUMMYFUNCTION("IF(E1806=""USD"",B1806,B1806 * GOOGLEFINANCE(""CURRENCY:"" &amp; E1806 &amp; ""USD""))
"),7500000)</f>
        <v>7500000</v>
      </c>
      <c r="G1806" s="13">
        <f ca="1">IFERROR(__xludf.DUMMYFUNCTION("IF(E1806=""USD"",C1806,C1806 * GOOGLEFINANCE(""CURRENCY:"" &amp; E1806 &amp; ""USD""))
"),143492840)</f>
        <v>143492840</v>
      </c>
    </row>
    <row r="1807" spans="1:7" ht="15.75" customHeight="1" x14ac:dyDescent="0.25">
      <c r="A1807" s="14" t="s">
        <v>24</v>
      </c>
      <c r="B1807" s="15">
        <v>150000000</v>
      </c>
      <c r="C1807" s="15">
        <v>177243721</v>
      </c>
      <c r="D1807" s="15">
        <v>2009</v>
      </c>
      <c r="E1807" s="15" t="str">
        <f>VLOOKUP(A1807, Currency!$A$2:$B$100, 2, FALSE)</f>
        <v>USD</v>
      </c>
      <c r="F1807" s="15">
        <f ca="1">IFERROR(__xludf.DUMMYFUNCTION("IF(E1807=""USD"",B1807,B1807 * GOOGLEFINANCE(""CURRENCY:"" &amp; E1807 &amp; ""USD""))
"),150000000)</f>
        <v>150000000</v>
      </c>
      <c r="G1807" s="16">
        <f ca="1">IFERROR(__xludf.DUMMYFUNCTION("IF(E1807=""USD"",C1807,C1807 * GOOGLEFINANCE(""CURRENCY:"" &amp; E1807 &amp; ""USD""))
"),177243721)</f>
        <v>177243721</v>
      </c>
    </row>
    <row r="1808" spans="1:7" ht="15.75" customHeight="1" x14ac:dyDescent="0.25">
      <c r="A1808" s="11" t="s">
        <v>24</v>
      </c>
      <c r="B1808" s="12">
        <v>16000000</v>
      </c>
      <c r="C1808" s="12">
        <v>34308901</v>
      </c>
      <c r="D1808" s="12">
        <v>2003</v>
      </c>
      <c r="E1808" s="12" t="str">
        <f>VLOOKUP(A1808, Currency!$A$2:$B$100, 2, FALSE)</f>
        <v>USD</v>
      </c>
      <c r="F1808" s="12">
        <f ca="1">IFERROR(__xludf.DUMMYFUNCTION("IF(E1808=""USD"",B1808,B1808 * GOOGLEFINANCE(""CURRENCY:"" &amp; E1808 &amp; ""USD""))
"),16000000)</f>
        <v>16000000</v>
      </c>
      <c r="G1808" s="13">
        <f ca="1">IFERROR(__xludf.DUMMYFUNCTION("IF(E1808=""USD"",C1808,C1808 * GOOGLEFINANCE(""CURRENCY:"" &amp; E1808 &amp; ""USD""))
"),34308901)</f>
        <v>34308901</v>
      </c>
    </row>
    <row r="1809" spans="1:7" ht="15.75" customHeight="1" x14ac:dyDescent="0.25">
      <c r="A1809" s="14" t="s">
        <v>24</v>
      </c>
      <c r="B1809" s="15">
        <v>6500000</v>
      </c>
      <c r="C1809" s="15">
        <v>14545844</v>
      </c>
      <c r="D1809" s="15">
        <v>1988</v>
      </c>
      <c r="E1809" s="15" t="str">
        <f>VLOOKUP(A1809, Currency!$A$2:$B$100, 2, FALSE)</f>
        <v>USD</v>
      </c>
      <c r="F1809" s="15">
        <f ca="1">IFERROR(__xludf.DUMMYFUNCTION("IF(E1809=""USD"",B1809,B1809 * GOOGLEFINANCE(""CURRENCY:"" &amp; E1809 &amp; ""USD""))
"),6500000)</f>
        <v>6500000</v>
      </c>
      <c r="G1809" s="16">
        <f ca="1">IFERROR(__xludf.DUMMYFUNCTION("IF(E1809=""USD"",C1809,C1809 * GOOGLEFINANCE(""CURRENCY:"" &amp; E1809 &amp; ""USD""))
"),14545844)</f>
        <v>14545844</v>
      </c>
    </row>
    <row r="1810" spans="1:7" ht="15.75" customHeight="1" x14ac:dyDescent="0.25">
      <c r="A1810" s="11" t="s">
        <v>24</v>
      </c>
      <c r="B1810" s="12">
        <v>18000000</v>
      </c>
      <c r="C1810" s="12">
        <v>15561627</v>
      </c>
      <c r="D1810" s="12">
        <v>2001</v>
      </c>
      <c r="E1810" s="12" t="str">
        <f>VLOOKUP(A1810, Currency!$A$2:$B$100, 2, FALSE)</f>
        <v>USD</v>
      </c>
      <c r="F1810" s="12">
        <f ca="1">IFERROR(__xludf.DUMMYFUNCTION("IF(E1810=""USD"",B1810,B1810 * GOOGLEFINANCE(""CURRENCY:"" &amp; E1810 &amp; ""USD""))
"),18000000)</f>
        <v>18000000</v>
      </c>
      <c r="G1810" s="13">
        <f ca="1">IFERROR(__xludf.DUMMYFUNCTION("IF(E1810=""USD"",C1810,C1810 * GOOGLEFINANCE(""CURRENCY:"" &amp; E1810 &amp; ""USD""))
"),15561627)</f>
        <v>15561627</v>
      </c>
    </row>
    <row r="1811" spans="1:7" ht="15.75" customHeight="1" x14ac:dyDescent="0.25">
      <c r="A1811" s="14" t="s">
        <v>4347</v>
      </c>
      <c r="B1811" s="15">
        <v>25000000</v>
      </c>
      <c r="C1811" s="15">
        <v>45089048</v>
      </c>
      <c r="D1811" s="15">
        <v>2014</v>
      </c>
      <c r="E1811" s="15" t="str">
        <f>VLOOKUP(A1811, Currency!$A$2:$B$100, 2, FALSE)</f>
        <v>ZAR</v>
      </c>
      <c r="F1811" s="15">
        <f ca="1">IFERROR(__xludf.DUMMYFUNCTION("IF(E1811=""USD"",B1811,B1811 * GOOGLEFINANCE(""CURRENCY:"" &amp; E1811 &amp; ""USD""))
"),1360862.5)</f>
        <v>1360862.5</v>
      </c>
      <c r="G1811" s="16">
        <f ca="1">IFERROR(__xludf.DUMMYFUNCTION("IF(E1811=""USD"",C1811,C1811 * GOOGLEFINANCE(""CURRENCY:"" &amp; E1811 &amp; ""USD""))
"),2454399.783356)</f>
        <v>2454399.7833560002</v>
      </c>
    </row>
    <row r="1812" spans="1:7" ht="15.75" customHeight="1" x14ac:dyDescent="0.25">
      <c r="A1812" s="11" t="s">
        <v>24</v>
      </c>
      <c r="B1812" s="12">
        <v>20000000</v>
      </c>
      <c r="C1812" s="12">
        <v>31584722</v>
      </c>
      <c r="D1812" s="12">
        <v>2010</v>
      </c>
      <c r="E1812" s="12" t="str">
        <f>VLOOKUP(A1812, Currency!$A$2:$B$100, 2, FALSE)</f>
        <v>USD</v>
      </c>
      <c r="F1812" s="12">
        <f ca="1">IFERROR(__xludf.DUMMYFUNCTION("IF(E1812=""USD"",B1812,B1812 * GOOGLEFINANCE(""CURRENCY:"" &amp; E1812 &amp; ""USD""))
"),20000000)</f>
        <v>20000000</v>
      </c>
      <c r="G1812" s="13">
        <f ca="1">IFERROR(__xludf.DUMMYFUNCTION("IF(E1812=""USD"",C1812,C1812 * GOOGLEFINANCE(""CURRENCY:"" &amp; E1812 &amp; ""USD""))
"),31584722)</f>
        <v>31584722</v>
      </c>
    </row>
    <row r="1813" spans="1:7" ht="15.75" customHeight="1" x14ac:dyDescent="0.25">
      <c r="A1813" s="14" t="s">
        <v>24</v>
      </c>
      <c r="B1813" s="15">
        <v>40000000</v>
      </c>
      <c r="C1813" s="15">
        <v>14448589</v>
      </c>
      <c r="D1813" s="15">
        <v>2002</v>
      </c>
      <c r="E1813" s="15" t="str">
        <f>VLOOKUP(A1813, Currency!$A$2:$B$100, 2, FALSE)</f>
        <v>USD</v>
      </c>
      <c r="F1813" s="15">
        <f ca="1">IFERROR(__xludf.DUMMYFUNCTION("IF(E1813=""USD"",B1813,B1813 * GOOGLEFINANCE(""CURRENCY:"" &amp; E1813 &amp; ""USD""))
"),40000000)</f>
        <v>40000000</v>
      </c>
      <c r="G1813" s="16">
        <f ca="1">IFERROR(__xludf.DUMMYFUNCTION("IF(E1813=""USD"",C1813,C1813 * GOOGLEFINANCE(""CURRENCY:"" &amp; E1813 &amp; ""USD""))
"),14448589)</f>
        <v>14448589</v>
      </c>
    </row>
    <row r="1814" spans="1:7" ht="15.75" customHeight="1" x14ac:dyDescent="0.25">
      <c r="A1814" s="11" t="s">
        <v>1551</v>
      </c>
      <c r="B1814" s="12">
        <v>75000000</v>
      </c>
      <c r="C1814" s="12">
        <v>323505540</v>
      </c>
      <c r="D1814" s="12">
        <v>2016</v>
      </c>
      <c r="E1814" s="12" t="str">
        <f>VLOOKUP(A1814, Currency!$A$2:$B$100, 2, FALSE)</f>
        <v>JPY</v>
      </c>
      <c r="F1814" s="12">
        <f ca="1">IFERROR(__xludf.DUMMYFUNCTION("IF(E1814=""USD"",B1814,B1814 * GOOGLEFINANCE(""CURRENCY:"" &amp; E1814 &amp; ""USD""))
"),487245)</f>
        <v>487245</v>
      </c>
      <c r="G1814" s="13">
        <f ca="1">IFERROR(__xludf.DUMMYFUNCTION("IF(E1814=""USD"",C1814,C1814 * GOOGLEFINANCE(""CURRENCY:"" &amp; E1814 &amp; ""USD""))
"),2101686.091164)</f>
        <v>2101686.0911639999</v>
      </c>
    </row>
    <row r="1815" spans="1:7" ht="15.75" customHeight="1" x14ac:dyDescent="0.25">
      <c r="A1815" s="14" t="s">
        <v>24</v>
      </c>
      <c r="B1815" s="15">
        <v>15000000</v>
      </c>
      <c r="C1815" s="15">
        <v>27441122</v>
      </c>
      <c r="D1815" s="15">
        <v>2000</v>
      </c>
      <c r="E1815" s="15" t="str">
        <f>VLOOKUP(A1815, Currency!$A$2:$B$100, 2, FALSE)</f>
        <v>USD</v>
      </c>
      <c r="F1815" s="15">
        <f ca="1">IFERROR(__xludf.DUMMYFUNCTION("IF(E1815=""USD"",B1815,B1815 * GOOGLEFINANCE(""CURRENCY:"" &amp; E1815 &amp; ""USD""))
"),15000000)</f>
        <v>15000000</v>
      </c>
      <c r="G1815" s="16">
        <f ca="1">IFERROR(__xludf.DUMMYFUNCTION("IF(E1815=""USD"",C1815,C1815 * GOOGLEFINANCE(""CURRENCY:"" &amp; E1815 &amp; ""USD""))
"),27441122)</f>
        <v>27441122</v>
      </c>
    </row>
    <row r="1816" spans="1:7" ht="15.75" customHeight="1" x14ac:dyDescent="0.25">
      <c r="A1816" s="11" t="s">
        <v>24</v>
      </c>
      <c r="B1816" s="12">
        <v>55000000</v>
      </c>
      <c r="C1816" s="12">
        <v>98711404</v>
      </c>
      <c r="D1816" s="12">
        <v>2010</v>
      </c>
      <c r="E1816" s="12" t="str">
        <f>VLOOKUP(A1816, Currency!$A$2:$B$100, 2, FALSE)</f>
        <v>USD</v>
      </c>
      <c r="F1816" s="12">
        <f ca="1">IFERROR(__xludf.DUMMYFUNCTION("IF(E1816=""USD"",B1816,B1816 * GOOGLEFINANCE(""CURRENCY:"" &amp; E1816 &amp; ""USD""))
"),55000000)</f>
        <v>55000000</v>
      </c>
      <c r="G1816" s="13">
        <f ca="1">IFERROR(__xludf.DUMMYFUNCTION("IF(E1816=""USD"",C1816,C1816 * GOOGLEFINANCE(""CURRENCY:"" &amp; E1816 &amp; ""USD""))
"),98711404)</f>
        <v>98711404</v>
      </c>
    </row>
    <row r="1817" spans="1:7" ht="15.75" customHeight="1" x14ac:dyDescent="0.25">
      <c r="A1817" s="14" t="s">
        <v>24</v>
      </c>
      <c r="B1817" s="15">
        <v>135000000</v>
      </c>
      <c r="C1817" s="15">
        <v>81638674</v>
      </c>
      <c r="D1817" s="15">
        <v>2016</v>
      </c>
      <c r="E1817" s="15" t="str">
        <f>VLOOKUP(A1817, Currency!$A$2:$B$100, 2, FALSE)</f>
        <v>USD</v>
      </c>
      <c r="F1817" s="15">
        <f ca="1">IFERROR(__xludf.DUMMYFUNCTION("IF(E1817=""USD"",B1817,B1817 * GOOGLEFINANCE(""CURRENCY:"" &amp; E1817 &amp; ""USD""))
"),135000000)</f>
        <v>135000000</v>
      </c>
      <c r="G1817" s="16">
        <f ca="1">IFERROR(__xludf.DUMMYFUNCTION("IF(E1817=""USD"",C1817,C1817 * GOOGLEFINANCE(""CURRENCY:"" &amp; E1817 &amp; ""USD""))
"),81638674)</f>
        <v>81638674</v>
      </c>
    </row>
    <row r="1818" spans="1:7" ht="15.75" customHeight="1" x14ac:dyDescent="0.25">
      <c r="A1818" s="11" t="s">
        <v>24</v>
      </c>
      <c r="B1818" s="12">
        <v>13000000</v>
      </c>
      <c r="C1818" s="12">
        <v>16574731</v>
      </c>
      <c r="D1818" s="12">
        <v>1998</v>
      </c>
      <c r="E1818" s="12" t="str">
        <f>VLOOKUP(A1818, Currency!$A$2:$B$100, 2, FALSE)</f>
        <v>USD</v>
      </c>
      <c r="F1818" s="12">
        <f ca="1">IFERROR(__xludf.DUMMYFUNCTION("IF(E1818=""USD"",B1818,B1818 * GOOGLEFINANCE(""CURRENCY:"" &amp; E1818 &amp; ""USD""))
"),13000000)</f>
        <v>13000000</v>
      </c>
      <c r="G1818" s="13">
        <f ca="1">IFERROR(__xludf.DUMMYFUNCTION("IF(E1818=""USD"",C1818,C1818 * GOOGLEFINANCE(""CURRENCY:"" &amp; E1818 &amp; ""USD""))
"),16574731)</f>
        <v>16574731</v>
      </c>
    </row>
    <row r="1819" spans="1:7" ht="15.75" customHeight="1" x14ac:dyDescent="0.25">
      <c r="A1819" s="14" t="s">
        <v>24</v>
      </c>
      <c r="B1819" s="15">
        <v>60000000</v>
      </c>
      <c r="C1819" s="15">
        <v>104148781</v>
      </c>
      <c r="D1819" s="15">
        <v>2003</v>
      </c>
      <c r="E1819" s="15" t="str">
        <f>VLOOKUP(A1819, Currency!$A$2:$B$100, 2, FALSE)</f>
        <v>USD</v>
      </c>
      <c r="F1819" s="15">
        <f ca="1">IFERROR(__xludf.DUMMYFUNCTION("IF(E1819=""USD"",B1819,B1819 * GOOGLEFINANCE(""CURRENCY:"" &amp; E1819 &amp; ""USD""))
"),60000000)</f>
        <v>60000000</v>
      </c>
      <c r="G1819" s="16">
        <f ca="1">IFERROR(__xludf.DUMMYFUNCTION("IF(E1819=""USD"",C1819,C1819 * GOOGLEFINANCE(""CURRENCY:"" &amp; E1819 &amp; ""USD""))
"),104148781)</f>
        <v>104148781</v>
      </c>
    </row>
    <row r="1820" spans="1:7" ht="15.75" customHeight="1" x14ac:dyDescent="0.25">
      <c r="A1820" s="11" t="s">
        <v>24</v>
      </c>
      <c r="B1820" s="12">
        <v>145000000</v>
      </c>
      <c r="C1820" s="12">
        <v>103400692</v>
      </c>
      <c r="D1820" s="12">
        <v>2012</v>
      </c>
      <c r="E1820" s="12" t="str">
        <f>VLOOKUP(A1820, Currency!$A$2:$B$100, 2, FALSE)</f>
        <v>USD</v>
      </c>
      <c r="F1820" s="12">
        <f ca="1">IFERROR(__xludf.DUMMYFUNCTION("IF(E1820=""USD"",B1820,B1820 * GOOGLEFINANCE(""CURRENCY:"" &amp; E1820 &amp; ""USD""))
"),145000000)</f>
        <v>145000000</v>
      </c>
      <c r="G1820" s="13">
        <f ca="1">IFERROR(__xludf.DUMMYFUNCTION("IF(E1820=""USD"",C1820,C1820 * GOOGLEFINANCE(""CURRENCY:"" &amp; E1820 &amp; ""USD""))
"),103400692)</f>
        <v>103400692</v>
      </c>
    </row>
    <row r="1821" spans="1:7" ht="15.75" customHeight="1" x14ac:dyDescent="0.25">
      <c r="A1821" s="14" t="s">
        <v>133</v>
      </c>
      <c r="B1821" s="15">
        <v>6000000</v>
      </c>
      <c r="C1821" s="15">
        <v>7518876</v>
      </c>
      <c r="D1821" s="15">
        <v>2008</v>
      </c>
      <c r="E1821" s="15" t="str">
        <f>VLOOKUP(A1821, Currency!$A$2:$B$100, 2, FALSE)</f>
        <v>GBP</v>
      </c>
      <c r="F1821" s="15">
        <f ca="1">IFERROR(__xludf.DUMMYFUNCTION("IF(E1821=""USD"",B1821,B1821 * GOOGLEFINANCE(""CURRENCY:"" &amp; E1821 &amp; ""USD""))
"),7712399.99999999)</f>
        <v>7712399.9999999898</v>
      </c>
      <c r="G1821" s="16">
        <f ca="1">IFERROR(__xludf.DUMMYFUNCTION("IF(E1821=""USD"",C1821,C1821 * GOOGLEFINANCE(""CURRENCY:"" &amp; E1821 &amp; ""USD""))
"),9664763.21039999)</f>
        <v>9664763.2103999909</v>
      </c>
    </row>
    <row r="1822" spans="1:7" ht="15.75" customHeight="1" x14ac:dyDescent="0.25">
      <c r="A1822" s="11" t="s">
        <v>24</v>
      </c>
      <c r="B1822" s="12">
        <v>17000000</v>
      </c>
      <c r="C1822" s="12">
        <v>6061759</v>
      </c>
      <c r="D1822" s="12">
        <v>2005</v>
      </c>
      <c r="E1822" s="12" t="str">
        <f>VLOOKUP(A1822, Currency!$A$2:$B$100, 2, FALSE)</f>
        <v>USD</v>
      </c>
      <c r="F1822" s="12">
        <f ca="1">IFERROR(__xludf.DUMMYFUNCTION("IF(E1822=""USD"",B1822,B1822 * GOOGLEFINANCE(""CURRENCY:"" &amp; E1822 &amp; ""USD""))
"),17000000)</f>
        <v>17000000</v>
      </c>
      <c r="G1822" s="13">
        <f ca="1">IFERROR(__xludf.DUMMYFUNCTION("IF(E1822=""USD"",C1822,C1822 * GOOGLEFINANCE(""CURRENCY:"" &amp; E1822 &amp; ""USD""))
"),6061759)</f>
        <v>6061759</v>
      </c>
    </row>
    <row r="1823" spans="1:7" ht="15.75" customHeight="1" x14ac:dyDescent="0.25">
      <c r="A1823" s="14" t="s">
        <v>133</v>
      </c>
      <c r="B1823" s="15">
        <v>16000000</v>
      </c>
      <c r="C1823" s="15">
        <v>5900000</v>
      </c>
      <c r="D1823" s="15">
        <v>1986</v>
      </c>
      <c r="E1823" s="15" t="str">
        <f>VLOOKUP(A1823, Currency!$A$2:$B$100, 2, FALSE)</f>
        <v>GBP</v>
      </c>
      <c r="F1823" s="15">
        <f ca="1">IFERROR(__xludf.DUMMYFUNCTION("IF(E1823=""USD"",B1823,B1823 * GOOGLEFINANCE(""CURRENCY:"" &amp; E1823 &amp; ""USD""))
"),20566399.9999999)</f>
        <v>20566399.999999899</v>
      </c>
      <c r="G1823" s="16">
        <f ca="1">IFERROR(__xludf.DUMMYFUNCTION("IF(E1823=""USD"",C1823,C1823 * GOOGLEFINANCE(""CURRENCY:"" &amp; E1823 &amp; ""USD""))
"),7583859.99999999)</f>
        <v>7583859.9999999898</v>
      </c>
    </row>
    <row r="1824" spans="1:7" ht="15.75" customHeight="1" x14ac:dyDescent="0.25">
      <c r="A1824" s="11" t="s">
        <v>24</v>
      </c>
      <c r="B1824" s="12">
        <v>23000000</v>
      </c>
      <c r="C1824" s="12">
        <v>16123851</v>
      </c>
      <c r="D1824" s="12">
        <v>2004</v>
      </c>
      <c r="E1824" s="12" t="str">
        <f>VLOOKUP(A1824, Currency!$A$2:$B$100, 2, FALSE)</f>
        <v>USD</v>
      </c>
      <c r="F1824" s="12">
        <f ca="1">IFERROR(__xludf.DUMMYFUNCTION("IF(E1824=""USD"",B1824,B1824 * GOOGLEFINANCE(""CURRENCY:"" &amp; E1824 &amp; ""USD""))
"),23000000)</f>
        <v>23000000</v>
      </c>
      <c r="G1824" s="13">
        <f ca="1">IFERROR(__xludf.DUMMYFUNCTION("IF(E1824=""USD"",C1824,C1824 * GOOGLEFINANCE(""CURRENCY:"" &amp; E1824 &amp; ""USD""))
"),16123851)</f>
        <v>16123851</v>
      </c>
    </row>
    <row r="1825" spans="1:7" ht="15.75" customHeight="1" x14ac:dyDescent="0.25">
      <c r="A1825" s="14" t="s">
        <v>24</v>
      </c>
      <c r="B1825" s="15">
        <v>55000000</v>
      </c>
      <c r="C1825" s="15">
        <v>5755286</v>
      </c>
      <c r="D1825" s="15">
        <v>2007</v>
      </c>
      <c r="E1825" s="15" t="str">
        <f>VLOOKUP(A1825, Currency!$A$2:$B$100, 2, FALSE)</f>
        <v>USD</v>
      </c>
      <c r="F1825" s="15">
        <f ca="1">IFERROR(__xludf.DUMMYFUNCTION("IF(E1825=""USD"",B1825,B1825 * GOOGLEFINANCE(""CURRENCY:"" &amp; E1825 &amp; ""USD""))
"),55000000)</f>
        <v>55000000</v>
      </c>
      <c r="G1825" s="16">
        <f ca="1">IFERROR(__xludf.DUMMYFUNCTION("IF(E1825=""USD"",C1825,C1825 * GOOGLEFINANCE(""CURRENCY:"" &amp; E1825 &amp; ""USD""))
"),5755286)</f>
        <v>5755286</v>
      </c>
    </row>
    <row r="1826" spans="1:7" ht="15.75" customHeight="1" x14ac:dyDescent="0.25">
      <c r="A1826" s="11" t="s">
        <v>24</v>
      </c>
      <c r="B1826" s="12">
        <v>35000000</v>
      </c>
      <c r="C1826" s="12">
        <v>41954997</v>
      </c>
      <c r="D1826" s="12">
        <v>1997</v>
      </c>
      <c r="E1826" s="12" t="str">
        <f>VLOOKUP(A1826, Currency!$A$2:$B$100, 2, FALSE)</f>
        <v>USD</v>
      </c>
      <c r="F1826" s="12">
        <f ca="1">IFERROR(__xludf.DUMMYFUNCTION("IF(E1826=""USD"",B1826,B1826 * GOOGLEFINANCE(""CURRENCY:"" &amp; E1826 &amp; ""USD""))
"),35000000)</f>
        <v>35000000</v>
      </c>
      <c r="G1826" s="13">
        <f ca="1">IFERROR(__xludf.DUMMYFUNCTION("IF(E1826=""USD"",C1826,C1826 * GOOGLEFINANCE(""CURRENCY:"" &amp; E1826 &amp; ""USD""))
"),41954997)</f>
        <v>41954997</v>
      </c>
    </row>
    <row r="1827" spans="1:7" ht="15.75" customHeight="1" x14ac:dyDescent="0.25">
      <c r="A1827" s="14" t="s">
        <v>24</v>
      </c>
      <c r="B1827" s="15">
        <v>33000000</v>
      </c>
      <c r="C1827" s="15">
        <v>35057332</v>
      </c>
      <c r="D1827" s="15">
        <v>2012</v>
      </c>
      <c r="E1827" s="15" t="str">
        <f>VLOOKUP(A1827, Currency!$A$2:$B$100, 2, FALSE)</f>
        <v>USD</v>
      </c>
      <c r="F1827" s="15">
        <f ca="1">IFERROR(__xludf.DUMMYFUNCTION("IF(E1827=""USD"",B1827,B1827 * GOOGLEFINANCE(""CURRENCY:"" &amp; E1827 &amp; ""USD""))
"),33000000)</f>
        <v>33000000</v>
      </c>
      <c r="G1827" s="16">
        <f ca="1">IFERROR(__xludf.DUMMYFUNCTION("IF(E1827=""USD"",C1827,C1827 * GOOGLEFINANCE(""CURRENCY:"" &amp; E1827 &amp; ""USD""))
"),35057332)</f>
        <v>35057332</v>
      </c>
    </row>
    <row r="1828" spans="1:7" ht="15.75" customHeight="1" x14ac:dyDescent="0.25">
      <c r="A1828" s="11" t="s">
        <v>24</v>
      </c>
      <c r="B1828" s="12">
        <v>20000000</v>
      </c>
      <c r="C1828" s="12">
        <v>1190018</v>
      </c>
      <c r="D1828" s="12">
        <v>2002</v>
      </c>
      <c r="E1828" s="12" t="str">
        <f>VLOOKUP(A1828, Currency!$A$2:$B$100, 2, FALSE)</f>
        <v>USD</v>
      </c>
      <c r="F1828" s="12">
        <f ca="1">IFERROR(__xludf.DUMMYFUNCTION("IF(E1828=""USD"",B1828,B1828 * GOOGLEFINANCE(""CURRENCY:"" &amp; E1828 &amp; ""USD""))
"),20000000)</f>
        <v>20000000</v>
      </c>
      <c r="G1828" s="13">
        <f ca="1">IFERROR(__xludf.DUMMYFUNCTION("IF(E1828=""USD"",C1828,C1828 * GOOGLEFINANCE(""CURRENCY:"" &amp; E1828 &amp; ""USD""))
"),1190018)</f>
        <v>1190018</v>
      </c>
    </row>
    <row r="1829" spans="1:7" ht="15.75" customHeight="1" x14ac:dyDescent="0.25">
      <c r="A1829" s="14" t="s">
        <v>24</v>
      </c>
      <c r="B1829" s="15">
        <v>11000000</v>
      </c>
      <c r="C1829" s="15">
        <v>13592872</v>
      </c>
      <c r="D1829" s="15">
        <v>2000</v>
      </c>
      <c r="E1829" s="15" t="str">
        <f>VLOOKUP(A1829, Currency!$A$2:$B$100, 2, FALSE)</f>
        <v>USD</v>
      </c>
      <c r="F1829" s="15">
        <f ca="1">IFERROR(__xludf.DUMMYFUNCTION("IF(E1829=""USD"",B1829,B1829 * GOOGLEFINANCE(""CURRENCY:"" &amp; E1829 &amp; ""USD""))
"),11000000)</f>
        <v>11000000</v>
      </c>
      <c r="G1829" s="16">
        <f ca="1">IFERROR(__xludf.DUMMYFUNCTION("IF(E1829=""USD"",C1829,C1829 * GOOGLEFINANCE(""CURRENCY:"" &amp; E1829 &amp; ""USD""))
"),13592872)</f>
        <v>13592872</v>
      </c>
    </row>
    <row r="1830" spans="1:7" ht="15.75" customHeight="1" x14ac:dyDescent="0.25">
      <c r="A1830" s="11" t="s">
        <v>24</v>
      </c>
      <c r="B1830" s="12">
        <v>17000000</v>
      </c>
      <c r="C1830" s="12">
        <v>65535067</v>
      </c>
      <c r="D1830" s="12">
        <v>1999</v>
      </c>
      <c r="E1830" s="12" t="str">
        <f>VLOOKUP(A1830, Currency!$A$2:$B$100, 2, FALSE)</f>
        <v>USD</v>
      </c>
      <c r="F1830" s="12">
        <f ca="1">IFERROR(__xludf.DUMMYFUNCTION("IF(E1830=""USD"",B1830,B1830 * GOOGLEFINANCE(""CURRENCY:"" &amp; E1830 &amp; ""USD""))
"),17000000)</f>
        <v>17000000</v>
      </c>
      <c r="G1830" s="13">
        <f ca="1">IFERROR(__xludf.DUMMYFUNCTION("IF(E1830=""USD"",C1830,C1830 * GOOGLEFINANCE(""CURRENCY:"" &amp; E1830 &amp; ""USD""))
"),65535067)</f>
        <v>65535067</v>
      </c>
    </row>
    <row r="1831" spans="1:7" ht="15.75" customHeight="1" x14ac:dyDescent="0.25">
      <c r="A1831" s="14" t="s">
        <v>5268</v>
      </c>
      <c r="B1831" s="15">
        <v>200000000</v>
      </c>
      <c r="C1831" s="15">
        <v>11905519</v>
      </c>
      <c r="D1831" s="15">
        <v>2005</v>
      </c>
      <c r="E1831" s="15" t="str">
        <f>VLOOKUP(A1831, Currency!$A$2:$B$100, 2, FALSE)</f>
        <v>THB</v>
      </c>
      <c r="F1831" s="15">
        <f ca="1">IFERROR(__xludf.DUMMYFUNCTION("IF(E1831=""USD"",B1831,B1831 * GOOGLEFINANCE(""CURRENCY:"" &amp; E1831 &amp; ""USD""))
"),5518764)</f>
        <v>5518764</v>
      </c>
      <c r="G1831" s="16">
        <f ca="1">IFERROR(__xludf.DUMMYFUNCTION("IF(E1831=""USD"",C1831,C1831 * GOOGLEFINANCE(""CURRENCY:"" &amp; E1831 &amp; ""USD""))
"),328518.74829258)</f>
        <v>328518.74829258001</v>
      </c>
    </row>
    <row r="1832" spans="1:7" ht="15.75" customHeight="1" x14ac:dyDescent="0.25">
      <c r="A1832" s="11" t="s">
        <v>24</v>
      </c>
      <c r="B1832" s="12">
        <v>25000000</v>
      </c>
      <c r="C1832" s="12">
        <v>93571803</v>
      </c>
      <c r="D1832" s="12">
        <v>2010</v>
      </c>
      <c r="E1832" s="12" t="str">
        <f>VLOOKUP(A1832, Currency!$A$2:$B$100, 2, FALSE)</f>
        <v>USD</v>
      </c>
      <c r="F1832" s="12">
        <f ca="1">IFERROR(__xludf.DUMMYFUNCTION("IF(E1832=""USD"",B1832,B1832 * GOOGLEFINANCE(""CURRENCY:"" &amp; E1832 &amp; ""USD""))
"),25000000)</f>
        <v>25000000</v>
      </c>
      <c r="G1832" s="13">
        <f ca="1">IFERROR(__xludf.DUMMYFUNCTION("IF(E1832=""USD"",C1832,C1832 * GOOGLEFINANCE(""CURRENCY:"" &amp; E1832 &amp; ""USD""))
"),93571803)</f>
        <v>93571803</v>
      </c>
    </row>
    <row r="1833" spans="1:7" ht="15.75" customHeight="1" x14ac:dyDescent="0.25">
      <c r="A1833" s="14" t="s">
        <v>24</v>
      </c>
      <c r="B1833" s="15">
        <v>60000000</v>
      </c>
      <c r="C1833" s="15">
        <v>50807639</v>
      </c>
      <c r="D1833" s="15">
        <v>2014</v>
      </c>
      <c r="E1833" s="15" t="str">
        <f>VLOOKUP(A1833, Currency!$A$2:$B$100, 2, FALSE)</f>
        <v>USD</v>
      </c>
      <c r="F1833" s="15">
        <f ca="1">IFERROR(__xludf.DUMMYFUNCTION("IF(E1833=""USD"",B1833,B1833 * GOOGLEFINANCE(""CURRENCY:"" &amp; E1833 &amp; ""USD""))
"),60000000)</f>
        <v>60000000</v>
      </c>
      <c r="G1833" s="16">
        <f ca="1">IFERROR(__xludf.DUMMYFUNCTION("IF(E1833=""USD"",C1833,C1833 * GOOGLEFINANCE(""CURRENCY:"" &amp; E1833 &amp; ""USD""))
"),50807639)</f>
        <v>50807639</v>
      </c>
    </row>
    <row r="1834" spans="1:7" ht="15.75" customHeight="1" x14ac:dyDescent="0.25">
      <c r="A1834" s="11" t="s">
        <v>24</v>
      </c>
      <c r="B1834" s="12">
        <v>90000000</v>
      </c>
      <c r="C1834" s="12">
        <v>75817994</v>
      </c>
      <c r="D1834" s="12">
        <v>2003</v>
      </c>
      <c r="E1834" s="12" t="str">
        <f>VLOOKUP(A1834, Currency!$A$2:$B$100, 2, FALSE)</f>
        <v>USD</v>
      </c>
      <c r="F1834" s="12">
        <f ca="1">IFERROR(__xludf.DUMMYFUNCTION("IF(E1834=""USD"",B1834,B1834 * GOOGLEFINANCE(""CURRENCY:"" &amp; E1834 &amp; ""USD""))
"),90000000)</f>
        <v>90000000</v>
      </c>
      <c r="G1834" s="13">
        <f ca="1">IFERROR(__xludf.DUMMYFUNCTION("IF(E1834=""USD"",C1834,C1834 * GOOGLEFINANCE(""CURRENCY:"" &amp; E1834 &amp; ""USD""))
"),75817994)</f>
        <v>75817994</v>
      </c>
    </row>
    <row r="1835" spans="1:7" ht="15.75" customHeight="1" x14ac:dyDescent="0.25">
      <c r="A1835" s="14" t="s">
        <v>24</v>
      </c>
      <c r="B1835" s="15">
        <v>75000000</v>
      </c>
      <c r="C1835" s="15">
        <v>78120196</v>
      </c>
      <c r="D1835" s="15">
        <v>2002</v>
      </c>
      <c r="E1835" s="15" t="str">
        <f>VLOOKUP(A1835, Currency!$A$2:$B$100, 2, FALSE)</f>
        <v>USD</v>
      </c>
      <c r="F1835" s="15">
        <f ca="1">IFERROR(__xludf.DUMMYFUNCTION("IF(E1835=""USD"",B1835,B1835 * GOOGLEFINANCE(""CURRENCY:"" &amp; E1835 &amp; ""USD""))
"),75000000)</f>
        <v>75000000</v>
      </c>
      <c r="G1835" s="16">
        <f ca="1">IFERROR(__xludf.DUMMYFUNCTION("IF(E1835=""USD"",C1835,C1835 * GOOGLEFINANCE(""CURRENCY:"" &amp; E1835 &amp; ""USD""))
"),78120196)</f>
        <v>78120196</v>
      </c>
    </row>
    <row r="1836" spans="1:7" ht="15.75" customHeight="1" x14ac:dyDescent="0.25">
      <c r="A1836" s="11" t="s">
        <v>24</v>
      </c>
      <c r="B1836" s="12">
        <v>10000000</v>
      </c>
      <c r="C1836" s="12">
        <v>69800000</v>
      </c>
      <c r="D1836" s="12">
        <v>1980</v>
      </c>
      <c r="E1836" s="12" t="str">
        <f>VLOOKUP(A1836, Currency!$A$2:$B$100, 2, FALSE)</f>
        <v>USD</v>
      </c>
      <c r="F1836" s="12">
        <f ca="1">IFERROR(__xludf.DUMMYFUNCTION("IF(E1836=""USD"",B1836,B1836 * GOOGLEFINANCE(""CURRENCY:"" &amp; E1836 &amp; ""USD""))
"),10000000)</f>
        <v>10000000</v>
      </c>
      <c r="G1836" s="13">
        <f ca="1">IFERROR(__xludf.DUMMYFUNCTION("IF(E1836=""USD"",C1836,C1836 * GOOGLEFINANCE(""CURRENCY:"" &amp; E1836 &amp; ""USD""))
"),69800000)</f>
        <v>69800000</v>
      </c>
    </row>
    <row r="1837" spans="1:7" ht="15.75" customHeight="1" x14ac:dyDescent="0.25">
      <c r="A1837" s="14" t="s">
        <v>611</v>
      </c>
      <c r="B1837" s="15">
        <v>1600000</v>
      </c>
      <c r="C1837" s="15">
        <v>26893</v>
      </c>
      <c r="D1837" s="15">
        <v>1969</v>
      </c>
      <c r="E1837" s="15" t="str">
        <f>VLOOKUP(A1837, Currency!$A$2:$B$100, 2, FALSE)</f>
        <v>EUR</v>
      </c>
      <c r="F1837" s="15">
        <f ca="1">IFERROR(__xludf.DUMMYFUNCTION("IF(E1837=""USD"",B1837,B1837 * GOOGLEFINANCE(""CURRENCY:"" &amp; E1837 &amp; ""USD""))
"),1735584)</f>
        <v>1735584</v>
      </c>
      <c r="G1837" s="16">
        <f ca="1">IFERROR(__xludf.DUMMYFUNCTION("IF(E1837=""USD"",C1837,C1837 * GOOGLEFINANCE(""CURRENCY:"" &amp; E1837 &amp; ""USD""))
"),29171.91282)</f>
        <v>29171.912820000001</v>
      </c>
    </row>
    <row r="1838" spans="1:7" ht="15.75" customHeight="1" x14ac:dyDescent="0.25">
      <c r="A1838" s="11" t="s">
        <v>24</v>
      </c>
      <c r="B1838" s="12">
        <v>6000000</v>
      </c>
      <c r="C1838" s="12">
        <v>181360000</v>
      </c>
      <c r="D1838" s="12">
        <v>1978</v>
      </c>
      <c r="E1838" s="12" t="str">
        <f>VLOOKUP(A1838, Currency!$A$2:$B$100, 2, FALSE)</f>
        <v>USD</v>
      </c>
      <c r="F1838" s="12">
        <f ca="1">IFERROR(__xludf.DUMMYFUNCTION("IF(E1838=""USD"",B1838,B1838 * GOOGLEFINANCE(""CURRENCY:"" &amp; E1838 &amp; ""USD""))
"),6000000)</f>
        <v>6000000</v>
      </c>
      <c r="G1838" s="13">
        <f ca="1">IFERROR(__xludf.DUMMYFUNCTION("IF(E1838=""USD"",C1838,C1838 * GOOGLEFINANCE(""CURRENCY:"" &amp; E1838 &amp; ""USD""))
"),181360000)</f>
        <v>181360000</v>
      </c>
    </row>
    <row r="1839" spans="1:7" ht="15.75" customHeight="1" x14ac:dyDescent="0.25">
      <c r="A1839" s="14" t="s">
        <v>24</v>
      </c>
      <c r="B1839" s="15">
        <v>20000000</v>
      </c>
      <c r="C1839" s="15">
        <v>55461307</v>
      </c>
      <c r="D1839" s="15">
        <v>2016</v>
      </c>
      <c r="E1839" s="15" t="str">
        <f>VLOOKUP(A1839, Currency!$A$2:$B$100, 2, FALSE)</f>
        <v>USD</v>
      </c>
      <c r="F1839" s="15">
        <f ca="1">IFERROR(__xludf.DUMMYFUNCTION("IF(E1839=""USD"",B1839,B1839 * GOOGLEFINANCE(""CURRENCY:"" &amp; E1839 &amp; ""USD""))
"),20000000)</f>
        <v>20000000</v>
      </c>
      <c r="G1839" s="16">
        <f ca="1">IFERROR(__xludf.DUMMYFUNCTION("IF(E1839=""USD"",C1839,C1839 * GOOGLEFINANCE(""CURRENCY:"" &amp; E1839 &amp; ""USD""))
"),55461307)</f>
        <v>55461307</v>
      </c>
    </row>
    <row r="1840" spans="1:7" ht="15.75" customHeight="1" x14ac:dyDescent="0.25">
      <c r="A1840" s="11" t="s">
        <v>24</v>
      </c>
      <c r="B1840" s="12">
        <v>30000000</v>
      </c>
      <c r="C1840" s="12">
        <v>15156200</v>
      </c>
      <c r="D1840" s="12">
        <v>1999</v>
      </c>
      <c r="E1840" s="12" t="str">
        <f>VLOOKUP(A1840, Currency!$A$2:$B$100, 2, FALSE)</f>
        <v>USD</v>
      </c>
      <c r="F1840" s="12">
        <f ca="1">IFERROR(__xludf.DUMMYFUNCTION("IF(E1840=""USD"",B1840,B1840 * GOOGLEFINANCE(""CURRENCY:"" &amp; E1840 &amp; ""USD""))
"),30000000)</f>
        <v>30000000</v>
      </c>
      <c r="G1840" s="13">
        <f ca="1">IFERROR(__xludf.DUMMYFUNCTION("IF(E1840=""USD"",C1840,C1840 * GOOGLEFINANCE(""CURRENCY:"" &amp; E1840 &amp; ""USD""))
"),15156200)</f>
        <v>15156200</v>
      </c>
    </row>
    <row r="1841" spans="1:7" ht="15.75" customHeight="1" x14ac:dyDescent="0.25">
      <c r="A1841" s="14" t="s">
        <v>24</v>
      </c>
      <c r="B1841" s="15">
        <v>400000</v>
      </c>
      <c r="C1841" s="15">
        <v>44540956</v>
      </c>
      <c r="D1841" s="15">
        <v>2004</v>
      </c>
      <c r="E1841" s="15" t="str">
        <f>VLOOKUP(A1841, Currency!$A$2:$B$100, 2, FALSE)</f>
        <v>USD</v>
      </c>
      <c r="F1841" s="15">
        <f ca="1">IFERROR(__xludf.DUMMYFUNCTION("IF(E1841=""USD"",B1841,B1841 * GOOGLEFINANCE(""CURRENCY:"" &amp; E1841 &amp; ""USD""))
"),400000)</f>
        <v>400000</v>
      </c>
      <c r="G1841" s="16">
        <f ca="1">IFERROR(__xludf.DUMMYFUNCTION("IF(E1841=""USD"",C1841,C1841 * GOOGLEFINANCE(""CURRENCY:"" &amp; E1841 &amp; ""USD""))
"),44540956)</f>
        <v>44540956</v>
      </c>
    </row>
    <row r="1842" spans="1:7" ht="15.75" customHeight="1" x14ac:dyDescent="0.25">
      <c r="A1842" s="11" t="s">
        <v>24</v>
      </c>
      <c r="B1842" s="12">
        <v>150000000</v>
      </c>
      <c r="C1842" s="12">
        <v>181015141</v>
      </c>
      <c r="D1842" s="12">
        <v>2011</v>
      </c>
      <c r="E1842" s="12" t="str">
        <f>VLOOKUP(A1842, Currency!$A$2:$B$100, 2, FALSE)</f>
        <v>USD</v>
      </c>
      <c r="F1842" s="12">
        <f ca="1">IFERROR(__xludf.DUMMYFUNCTION("IF(E1842=""USD"",B1842,B1842 * GOOGLEFINANCE(""CURRENCY:"" &amp; E1842 &amp; ""USD""))
"),150000000)</f>
        <v>150000000</v>
      </c>
      <c r="G1842" s="13">
        <f ca="1">IFERROR(__xludf.DUMMYFUNCTION("IF(E1842=""USD"",C1842,C1842 * GOOGLEFINANCE(""CURRENCY:"" &amp; E1842 &amp; ""USD""))
"),181015141)</f>
        <v>181015141</v>
      </c>
    </row>
    <row r="1843" spans="1:7" ht="15.75" customHeight="1" x14ac:dyDescent="0.25">
      <c r="A1843" s="14" t="s">
        <v>24</v>
      </c>
      <c r="B1843" s="15">
        <v>28000000</v>
      </c>
      <c r="C1843" s="15">
        <v>119518352</v>
      </c>
      <c r="D1843" s="15">
        <v>2005</v>
      </c>
      <c r="E1843" s="15" t="str">
        <f>VLOOKUP(A1843, Currency!$A$2:$B$100, 2, FALSE)</f>
        <v>USD</v>
      </c>
      <c r="F1843" s="15">
        <f ca="1">IFERROR(__xludf.DUMMYFUNCTION("IF(E1843=""USD"",B1843,B1843 * GOOGLEFINANCE(""CURRENCY:"" &amp; E1843 &amp; ""USD""))
"),28000000)</f>
        <v>28000000</v>
      </c>
      <c r="G1843" s="16">
        <f ca="1">IFERROR(__xludf.DUMMYFUNCTION("IF(E1843=""USD"",C1843,C1843 * GOOGLEFINANCE(""CURRENCY:"" &amp; E1843 &amp; ""USD""))
"),119518352)</f>
        <v>119518352</v>
      </c>
    </row>
    <row r="1844" spans="1:7" ht="15.75" customHeight="1" x14ac:dyDescent="0.25">
      <c r="A1844" s="11" t="s">
        <v>24</v>
      </c>
      <c r="B1844" s="12">
        <v>10000000</v>
      </c>
      <c r="C1844" s="12">
        <v>21371425</v>
      </c>
      <c r="D1844" s="12">
        <v>2010</v>
      </c>
      <c r="E1844" s="12" t="str">
        <f>VLOOKUP(A1844, Currency!$A$2:$B$100, 2, FALSE)</f>
        <v>USD</v>
      </c>
      <c r="F1844" s="12">
        <f ca="1">IFERROR(__xludf.DUMMYFUNCTION("IF(E1844=""USD"",B1844,B1844 * GOOGLEFINANCE(""CURRENCY:"" &amp; E1844 &amp; ""USD""))
"),10000000)</f>
        <v>10000000</v>
      </c>
      <c r="G1844" s="13">
        <f ca="1">IFERROR(__xludf.DUMMYFUNCTION("IF(E1844=""USD"",C1844,C1844 * GOOGLEFINANCE(""CURRENCY:"" &amp; E1844 &amp; ""USD""))
"),21371425)</f>
        <v>21371425</v>
      </c>
    </row>
    <row r="1845" spans="1:7" ht="15.75" customHeight="1" x14ac:dyDescent="0.25">
      <c r="A1845" s="14" t="s">
        <v>24</v>
      </c>
      <c r="B1845" s="15">
        <v>18000000</v>
      </c>
      <c r="C1845" s="15">
        <v>33404871</v>
      </c>
      <c r="D1845" s="15">
        <v>2013</v>
      </c>
      <c r="E1845" s="15" t="str">
        <f>VLOOKUP(A1845, Currency!$A$2:$B$100, 2, FALSE)</f>
        <v>USD</v>
      </c>
      <c r="F1845" s="15">
        <f ca="1">IFERROR(__xludf.DUMMYFUNCTION("IF(E1845=""USD"",B1845,B1845 * GOOGLEFINANCE(""CURRENCY:"" &amp; E1845 &amp; ""USD""))
"),18000000)</f>
        <v>18000000</v>
      </c>
      <c r="G1845" s="16">
        <f ca="1">IFERROR(__xludf.DUMMYFUNCTION("IF(E1845=""USD"",C1845,C1845 * GOOGLEFINANCE(""CURRENCY:"" &amp; E1845 &amp; ""USD""))
"),33404871)</f>
        <v>33404871</v>
      </c>
    </row>
    <row r="1846" spans="1:7" ht="15.75" customHeight="1" x14ac:dyDescent="0.25">
      <c r="A1846" s="11" t="s">
        <v>24</v>
      </c>
      <c r="B1846" s="12">
        <v>18000000</v>
      </c>
      <c r="C1846" s="12">
        <v>64955956</v>
      </c>
      <c r="D1846" s="12">
        <v>2004</v>
      </c>
      <c r="E1846" s="12" t="str">
        <f>VLOOKUP(A1846, Currency!$A$2:$B$100, 2, FALSE)</f>
        <v>USD</v>
      </c>
      <c r="F1846" s="12">
        <f ca="1">IFERROR(__xludf.DUMMYFUNCTION("IF(E1846=""USD"",B1846,B1846 * GOOGLEFINANCE(""CURRENCY:"" &amp; E1846 &amp; ""USD""))
"),18000000)</f>
        <v>18000000</v>
      </c>
      <c r="G1846" s="13">
        <f ca="1">IFERROR(__xludf.DUMMYFUNCTION("IF(E1846=""USD"",C1846,C1846 * GOOGLEFINANCE(""CURRENCY:"" &amp; E1846 &amp; ""USD""))
"),64955956)</f>
        <v>64955956</v>
      </c>
    </row>
    <row r="1847" spans="1:7" ht="15.75" customHeight="1" x14ac:dyDescent="0.25">
      <c r="A1847" s="14" t="s">
        <v>611</v>
      </c>
      <c r="B1847" s="15">
        <v>59660000</v>
      </c>
      <c r="C1847" s="15">
        <v>18947630</v>
      </c>
      <c r="D1847" s="15">
        <v>2004</v>
      </c>
      <c r="E1847" s="15" t="str">
        <f>VLOOKUP(A1847, Currency!$A$2:$B$100, 2, FALSE)</f>
        <v>EUR</v>
      </c>
      <c r="F1847" s="15">
        <f ca="1">IFERROR(__xludf.DUMMYFUNCTION("IF(E1847=""USD"",B1847,B1847 * GOOGLEFINANCE(""CURRENCY:"" &amp; E1847 &amp; ""USD""))
"),64715588.4)</f>
        <v>64715588.399999999</v>
      </c>
      <c r="G1847" s="16">
        <f ca="1">IFERROR(__xludf.DUMMYFUNCTION("IF(E1847=""USD"",C1847,C1847 * GOOGLEFINANCE(""CURRENCY:"" &amp; E1847 &amp; ""USD""))
"),20553252.1662)</f>
        <v>20553252.166200001</v>
      </c>
    </row>
    <row r="1848" spans="1:7" ht="15.75" customHeight="1" x14ac:dyDescent="0.25">
      <c r="A1848" s="11" t="s">
        <v>24</v>
      </c>
      <c r="B1848" s="12">
        <v>35000000</v>
      </c>
      <c r="C1848" s="12">
        <v>7948159</v>
      </c>
      <c r="D1848" s="12">
        <v>2008</v>
      </c>
      <c r="E1848" s="12" t="str">
        <f>VLOOKUP(A1848, Currency!$A$2:$B$100, 2, FALSE)</f>
        <v>USD</v>
      </c>
      <c r="F1848" s="12">
        <f ca="1">IFERROR(__xludf.DUMMYFUNCTION("IF(E1848=""USD"",B1848,B1848 * GOOGLEFINANCE(""CURRENCY:"" &amp; E1848 &amp; ""USD""))
"),35000000)</f>
        <v>35000000</v>
      </c>
      <c r="G1848" s="13">
        <f ca="1">IFERROR(__xludf.DUMMYFUNCTION("IF(E1848=""USD"",C1848,C1848 * GOOGLEFINANCE(""CURRENCY:"" &amp; E1848 &amp; ""USD""))
"),7948159)</f>
        <v>7948159</v>
      </c>
    </row>
    <row r="1849" spans="1:7" ht="15.75" customHeight="1" x14ac:dyDescent="0.25">
      <c r="A1849" s="14" t="s">
        <v>24</v>
      </c>
      <c r="B1849" s="15">
        <v>65000000</v>
      </c>
      <c r="C1849" s="15">
        <v>182204440</v>
      </c>
      <c r="D1849" s="15">
        <v>2012</v>
      </c>
      <c r="E1849" s="15" t="str">
        <f>VLOOKUP(A1849, Currency!$A$2:$B$100, 2, FALSE)</f>
        <v>USD</v>
      </c>
      <c r="F1849" s="15">
        <f ca="1">IFERROR(__xludf.DUMMYFUNCTION("IF(E1849=""USD"",B1849,B1849 * GOOGLEFINANCE(""CURRENCY:"" &amp; E1849 &amp; ""USD""))
"),65000000)</f>
        <v>65000000</v>
      </c>
      <c r="G1849" s="16">
        <f ca="1">IFERROR(__xludf.DUMMYFUNCTION("IF(E1849=""USD"",C1849,C1849 * GOOGLEFINANCE(""CURRENCY:"" &amp; E1849 &amp; ""USD""))
"),182204440)</f>
        <v>182204440</v>
      </c>
    </row>
    <row r="1850" spans="1:7" ht="15.75" customHeight="1" x14ac:dyDescent="0.25">
      <c r="A1850" s="11" t="s">
        <v>24</v>
      </c>
      <c r="B1850" s="12">
        <v>30000000</v>
      </c>
      <c r="C1850" s="12">
        <v>35565975</v>
      </c>
      <c r="D1850" s="12">
        <v>2011</v>
      </c>
      <c r="E1850" s="12" t="str">
        <f>VLOOKUP(A1850, Currency!$A$2:$B$100, 2, FALSE)</f>
        <v>USD</v>
      </c>
      <c r="F1850" s="12">
        <f ca="1">IFERROR(__xludf.DUMMYFUNCTION("IF(E1850=""USD"",B1850,B1850 * GOOGLEFINANCE(""CURRENCY:"" &amp; E1850 &amp; ""USD""))
"),30000000)</f>
        <v>30000000</v>
      </c>
      <c r="G1850" s="13">
        <f ca="1">IFERROR(__xludf.DUMMYFUNCTION("IF(E1850=""USD"",C1850,C1850 * GOOGLEFINANCE(""CURRENCY:"" &amp; E1850 &amp; ""USD""))
"),35565975)</f>
        <v>35565975</v>
      </c>
    </row>
    <row r="1851" spans="1:7" ht="15.75" customHeight="1" x14ac:dyDescent="0.25">
      <c r="A1851" s="14" t="s">
        <v>24</v>
      </c>
      <c r="B1851" s="15">
        <v>45000000</v>
      </c>
      <c r="C1851" s="15">
        <v>32095318</v>
      </c>
      <c r="D1851" s="15">
        <v>2001</v>
      </c>
      <c r="E1851" s="15" t="str">
        <f>VLOOKUP(A1851, Currency!$A$2:$B$100, 2, FALSE)</f>
        <v>USD</v>
      </c>
      <c r="F1851" s="15">
        <f ca="1">IFERROR(__xludf.DUMMYFUNCTION("IF(E1851=""USD"",B1851,B1851 * GOOGLEFINANCE(""CURRENCY:"" &amp; E1851 &amp; ""USD""))
"),45000000)</f>
        <v>45000000</v>
      </c>
      <c r="G1851" s="16">
        <f ca="1">IFERROR(__xludf.DUMMYFUNCTION("IF(E1851=""USD"",C1851,C1851 * GOOGLEFINANCE(""CURRENCY:"" &amp; E1851 &amp; ""USD""))
"),32095318)</f>
        <v>32095318</v>
      </c>
    </row>
    <row r="1852" spans="1:7" ht="15.75" customHeight="1" x14ac:dyDescent="0.25">
      <c r="A1852" s="11" t="s">
        <v>24</v>
      </c>
      <c r="B1852" s="12">
        <v>18000000</v>
      </c>
      <c r="C1852" s="12">
        <v>56127162</v>
      </c>
      <c r="D1852" s="12">
        <v>2003</v>
      </c>
      <c r="E1852" s="12" t="str">
        <f>VLOOKUP(A1852, Currency!$A$2:$B$100, 2, FALSE)</f>
        <v>USD</v>
      </c>
      <c r="F1852" s="12">
        <f ca="1">IFERROR(__xludf.DUMMYFUNCTION("IF(E1852=""USD"",B1852,B1852 * GOOGLEFINANCE(""CURRENCY:"" &amp; E1852 &amp; ""USD""))
"),18000000)</f>
        <v>18000000</v>
      </c>
      <c r="G1852" s="13">
        <f ca="1">IFERROR(__xludf.DUMMYFUNCTION("IF(E1852=""USD"",C1852,C1852 * GOOGLEFINANCE(""CURRENCY:"" &amp; E1852 &amp; ""USD""))
"),56127162)</f>
        <v>56127162</v>
      </c>
    </row>
    <row r="1853" spans="1:7" ht="15.75" customHeight="1" x14ac:dyDescent="0.25">
      <c r="A1853" s="14" t="s">
        <v>2940</v>
      </c>
      <c r="B1853" s="15">
        <v>4000000</v>
      </c>
      <c r="C1853" s="15">
        <v>8060</v>
      </c>
      <c r="D1853" s="15">
        <v>2007</v>
      </c>
      <c r="E1853" s="15" t="str">
        <f>VLOOKUP(A1853, Currency!$A$2:$B$100, 2, FALSE)</f>
        <v>BRL</v>
      </c>
      <c r="F1853" s="15">
        <f ca="1">IFERROR(__xludf.DUMMYFUNCTION("IF(E1853=""USD"",B1853,B1853 * GOOGLEFINANCE(""CURRENCY:"" &amp; E1853 &amp; ""USD""))
"),708642)</f>
        <v>708642</v>
      </c>
      <c r="G1853" s="16">
        <f ca="1">IFERROR(__xludf.DUMMYFUNCTION("IF(E1853=""USD"",C1853,C1853 * GOOGLEFINANCE(""CURRENCY:"" &amp; E1853 &amp; ""USD""))
"),1427.91363)</f>
        <v>1427.91363</v>
      </c>
    </row>
    <row r="1854" spans="1:7" ht="15.75" customHeight="1" x14ac:dyDescent="0.25">
      <c r="A1854" s="11" t="s">
        <v>24</v>
      </c>
      <c r="B1854" s="12">
        <v>35000000</v>
      </c>
      <c r="C1854" s="12">
        <v>630779</v>
      </c>
      <c r="D1854" s="12">
        <v>1999</v>
      </c>
      <c r="E1854" s="12" t="str">
        <f>VLOOKUP(A1854, Currency!$A$2:$B$100, 2, FALSE)</f>
        <v>USD</v>
      </c>
      <c r="F1854" s="12">
        <f ca="1">IFERROR(__xludf.DUMMYFUNCTION("IF(E1854=""USD"",B1854,B1854 * GOOGLEFINANCE(""CURRENCY:"" &amp; E1854 &amp; ""USD""))
"),35000000)</f>
        <v>35000000</v>
      </c>
      <c r="G1854" s="13">
        <f ca="1">IFERROR(__xludf.DUMMYFUNCTION("IF(E1854=""USD"",C1854,C1854 * GOOGLEFINANCE(""CURRENCY:"" &amp; E1854 &amp; ""USD""))
"),630779)</f>
        <v>630779</v>
      </c>
    </row>
    <row r="1855" spans="1:7" ht="15.75" customHeight="1" x14ac:dyDescent="0.25">
      <c r="A1855" s="14" t="s">
        <v>24</v>
      </c>
      <c r="B1855" s="15">
        <v>60000000</v>
      </c>
      <c r="C1855" s="15">
        <v>75280058</v>
      </c>
      <c r="D1855" s="15">
        <v>2009</v>
      </c>
      <c r="E1855" s="15" t="str">
        <f>VLOOKUP(A1855, Currency!$A$2:$B$100, 2, FALSE)</f>
        <v>USD</v>
      </c>
      <c r="F1855" s="15">
        <f ca="1">IFERROR(__xludf.DUMMYFUNCTION("IF(E1855=""USD"",B1855,B1855 * GOOGLEFINANCE(""CURRENCY:"" &amp; E1855 &amp; ""USD""))
"),60000000)</f>
        <v>60000000</v>
      </c>
      <c r="G1855" s="16">
        <f ca="1">IFERROR(__xludf.DUMMYFUNCTION("IF(E1855=""USD"",C1855,C1855 * GOOGLEFINANCE(""CURRENCY:"" &amp; E1855 &amp; ""USD""))
"),75280058)</f>
        <v>75280058</v>
      </c>
    </row>
    <row r="1856" spans="1:7" ht="15.75" customHeight="1" x14ac:dyDescent="0.25">
      <c r="A1856" s="11" t="s">
        <v>24</v>
      </c>
      <c r="B1856" s="12">
        <v>25000000</v>
      </c>
      <c r="C1856" s="12">
        <v>44455658</v>
      </c>
      <c r="D1856" s="12">
        <v>1997</v>
      </c>
      <c r="E1856" s="12" t="str">
        <f>VLOOKUP(A1856, Currency!$A$2:$B$100, 2, FALSE)</f>
        <v>USD</v>
      </c>
      <c r="F1856" s="12">
        <f ca="1">IFERROR(__xludf.DUMMYFUNCTION("IF(E1856=""USD"",B1856,B1856 * GOOGLEFINANCE(""CURRENCY:"" &amp; E1856 &amp; ""USD""))
"),25000000)</f>
        <v>25000000</v>
      </c>
      <c r="G1856" s="13">
        <f ca="1">IFERROR(__xludf.DUMMYFUNCTION("IF(E1856=""USD"",C1856,C1856 * GOOGLEFINANCE(""CURRENCY:"" &amp; E1856 &amp; ""USD""))
"),44455658)</f>
        <v>44455658</v>
      </c>
    </row>
    <row r="1857" spans="1:7" ht="15.75" customHeight="1" x14ac:dyDescent="0.25">
      <c r="A1857" s="14" t="s">
        <v>24</v>
      </c>
      <c r="B1857" s="15">
        <v>50000000</v>
      </c>
      <c r="C1857" s="15">
        <v>6291602</v>
      </c>
      <c r="D1857" s="15">
        <v>2000</v>
      </c>
      <c r="E1857" s="15" t="str">
        <f>VLOOKUP(A1857, Currency!$A$2:$B$100, 2, FALSE)</f>
        <v>USD</v>
      </c>
      <c r="F1857" s="15">
        <f ca="1">IFERROR(__xludf.DUMMYFUNCTION("IF(E1857=""USD"",B1857,B1857 * GOOGLEFINANCE(""CURRENCY:"" &amp; E1857 &amp; ""USD""))
"),50000000)</f>
        <v>50000000</v>
      </c>
      <c r="G1857" s="16">
        <f ca="1">IFERROR(__xludf.DUMMYFUNCTION("IF(E1857=""USD"",C1857,C1857 * GOOGLEFINANCE(""CURRENCY:"" &amp; E1857 &amp; ""USD""))
"),6291602)</f>
        <v>6291602</v>
      </c>
    </row>
    <row r="1858" spans="1:7" ht="15.75" customHeight="1" x14ac:dyDescent="0.25">
      <c r="A1858" s="11" t="s">
        <v>24</v>
      </c>
      <c r="B1858" s="12">
        <v>28000000</v>
      </c>
      <c r="C1858" s="12">
        <v>5532301</v>
      </c>
      <c r="D1858" s="12">
        <v>1997</v>
      </c>
      <c r="E1858" s="12" t="str">
        <f>VLOOKUP(A1858, Currency!$A$2:$B$100, 2, FALSE)</f>
        <v>USD</v>
      </c>
      <c r="F1858" s="12">
        <f ca="1">IFERROR(__xludf.DUMMYFUNCTION("IF(E1858=""USD"",B1858,B1858 * GOOGLEFINANCE(""CURRENCY:"" &amp; E1858 &amp; ""USD""))
"),28000000)</f>
        <v>28000000</v>
      </c>
      <c r="G1858" s="13">
        <f ca="1">IFERROR(__xludf.DUMMYFUNCTION("IF(E1858=""USD"",C1858,C1858 * GOOGLEFINANCE(""CURRENCY:"" &amp; E1858 &amp; ""USD""))
"),5532301)</f>
        <v>5532301</v>
      </c>
    </row>
    <row r="1859" spans="1:7" ht="15.75" customHeight="1" x14ac:dyDescent="0.25">
      <c r="A1859" s="14" t="s">
        <v>1551</v>
      </c>
      <c r="B1859" s="15">
        <v>32000000</v>
      </c>
      <c r="C1859" s="15">
        <v>18636537</v>
      </c>
      <c r="D1859" s="15">
        <v>1995</v>
      </c>
      <c r="E1859" s="15" t="str">
        <f>VLOOKUP(A1859, Currency!$A$2:$B$100, 2, FALSE)</f>
        <v>JPY</v>
      </c>
      <c r="F1859" s="15">
        <f ca="1">IFERROR(__xludf.DUMMYFUNCTION("IF(E1859=""USD"",B1859,B1859 * GOOGLEFINANCE(""CURRENCY:"" &amp; E1859 &amp; ""USD""))
"),207891.2)</f>
        <v>207891.20000000001</v>
      </c>
      <c r="G1859" s="16">
        <f ca="1">IFERROR(__xludf.DUMMYFUNCTION("IF(E1859=""USD"",C1859,C1859 * GOOGLEFINANCE(""CURRENCY:"" &amp; E1859 &amp; ""USD""))
"),121074.1262742)</f>
        <v>121074.1262742</v>
      </c>
    </row>
    <row r="1860" spans="1:7" ht="15.75" customHeight="1" x14ac:dyDescent="0.25">
      <c r="A1860" s="11" t="s">
        <v>24</v>
      </c>
      <c r="B1860" s="12">
        <v>7500000</v>
      </c>
      <c r="C1860" s="12">
        <v>3347439</v>
      </c>
      <c r="D1860" s="12">
        <v>2004</v>
      </c>
      <c r="E1860" s="12" t="str">
        <f>VLOOKUP(A1860, Currency!$A$2:$B$100, 2, FALSE)</f>
        <v>USD</v>
      </c>
      <c r="F1860" s="12">
        <f ca="1">IFERROR(__xludf.DUMMYFUNCTION("IF(E1860=""USD"",B1860,B1860 * GOOGLEFINANCE(""CURRENCY:"" &amp; E1860 &amp; ""USD""))
"),7500000)</f>
        <v>7500000</v>
      </c>
      <c r="G1860" s="13">
        <f ca="1">IFERROR(__xludf.DUMMYFUNCTION("IF(E1860=""USD"",C1860,C1860 * GOOGLEFINANCE(""CURRENCY:"" &amp; E1860 &amp; ""USD""))
"),3347439)</f>
        <v>3347439</v>
      </c>
    </row>
    <row r="1861" spans="1:7" ht="15.75" customHeight="1" x14ac:dyDescent="0.25">
      <c r="A1861" s="14" t="s">
        <v>24</v>
      </c>
      <c r="B1861" s="15">
        <v>145000000</v>
      </c>
      <c r="C1861" s="15">
        <v>176997107</v>
      </c>
      <c r="D1861" s="15">
        <v>2014</v>
      </c>
      <c r="E1861" s="15" t="str">
        <f>VLOOKUP(A1861, Currency!$A$2:$B$100, 2, FALSE)</f>
        <v>USD</v>
      </c>
      <c r="F1861" s="15">
        <f ca="1">IFERROR(__xludf.DUMMYFUNCTION("IF(E1861=""USD"",B1861,B1861 * GOOGLEFINANCE(""CURRENCY:"" &amp; E1861 &amp; ""USD""))
"),145000000)</f>
        <v>145000000</v>
      </c>
      <c r="G1861" s="16">
        <f ca="1">IFERROR(__xludf.DUMMYFUNCTION("IF(E1861=""USD"",C1861,C1861 * GOOGLEFINANCE(""CURRENCY:"" &amp; E1861 &amp; ""USD""))
"),176997107)</f>
        <v>176997107</v>
      </c>
    </row>
    <row r="1862" spans="1:7" ht="15.75" customHeight="1" x14ac:dyDescent="0.25">
      <c r="A1862" s="11" t="s">
        <v>24</v>
      </c>
      <c r="B1862" s="12">
        <v>14000000</v>
      </c>
      <c r="C1862" s="12">
        <v>30628981</v>
      </c>
      <c r="D1862" s="12">
        <v>1999</v>
      </c>
      <c r="E1862" s="12" t="str">
        <f>VLOOKUP(A1862, Currency!$A$2:$B$100, 2, FALSE)</f>
        <v>USD</v>
      </c>
      <c r="F1862" s="12">
        <f ca="1">IFERROR(__xludf.DUMMYFUNCTION("IF(E1862=""USD"",B1862,B1862 * GOOGLEFINANCE(""CURRENCY:"" &amp; E1862 &amp; ""USD""))
"),14000000)</f>
        <v>14000000</v>
      </c>
      <c r="G1862" s="13">
        <f ca="1">IFERROR(__xludf.DUMMYFUNCTION("IF(E1862=""USD"",C1862,C1862 * GOOGLEFINANCE(""CURRENCY:"" &amp; E1862 &amp; ""USD""))
"),30628981)</f>
        <v>30628981</v>
      </c>
    </row>
    <row r="1863" spans="1:7" ht="15.75" customHeight="1" x14ac:dyDescent="0.25">
      <c r="A1863" s="14" t="s">
        <v>24</v>
      </c>
      <c r="B1863" s="15">
        <v>4000000</v>
      </c>
      <c r="C1863" s="15">
        <v>10097096</v>
      </c>
      <c r="D1863" s="15">
        <v>2001</v>
      </c>
      <c r="E1863" s="15" t="str">
        <f>VLOOKUP(A1863, Currency!$A$2:$B$100, 2, FALSE)</f>
        <v>USD</v>
      </c>
      <c r="F1863" s="15">
        <f ca="1">IFERROR(__xludf.DUMMYFUNCTION("IF(E1863=""USD"",B1863,B1863 * GOOGLEFINANCE(""CURRENCY:"" &amp; E1863 &amp; ""USD""))
"),4000000)</f>
        <v>4000000</v>
      </c>
      <c r="G1863" s="16">
        <f ca="1">IFERROR(__xludf.DUMMYFUNCTION("IF(E1863=""USD"",C1863,C1863 * GOOGLEFINANCE(""CURRENCY:"" &amp; E1863 &amp; ""USD""))
"),10097096)</f>
        <v>10097096</v>
      </c>
    </row>
    <row r="1864" spans="1:7" ht="15.75" customHeight="1" x14ac:dyDescent="0.25">
      <c r="A1864" s="11" t="s">
        <v>24</v>
      </c>
      <c r="B1864" s="12">
        <v>40000000</v>
      </c>
      <c r="C1864" s="12">
        <v>33508922</v>
      </c>
      <c r="D1864" s="12">
        <v>2000</v>
      </c>
      <c r="E1864" s="12" t="str">
        <f>VLOOKUP(A1864, Currency!$A$2:$B$100, 2, FALSE)</f>
        <v>USD</v>
      </c>
      <c r="F1864" s="12">
        <f ca="1">IFERROR(__xludf.DUMMYFUNCTION("IF(E1864=""USD"",B1864,B1864 * GOOGLEFINANCE(""CURRENCY:"" &amp; E1864 &amp; ""USD""))
"),40000000)</f>
        <v>40000000</v>
      </c>
      <c r="G1864" s="13">
        <f ca="1">IFERROR(__xludf.DUMMYFUNCTION("IF(E1864=""USD"",C1864,C1864 * GOOGLEFINANCE(""CURRENCY:"" &amp; E1864 &amp; ""USD""))
"),33508922)</f>
        <v>33508922</v>
      </c>
    </row>
    <row r="1865" spans="1:7" ht="15.75" customHeight="1" x14ac:dyDescent="0.25">
      <c r="A1865" s="14" t="s">
        <v>24</v>
      </c>
      <c r="B1865" s="15">
        <v>12000000</v>
      </c>
      <c r="C1865" s="15">
        <v>7918283</v>
      </c>
      <c r="D1865" s="15">
        <v>2012</v>
      </c>
      <c r="E1865" s="15" t="str">
        <f>VLOOKUP(A1865, Currency!$A$2:$B$100, 2, FALSE)</f>
        <v>USD</v>
      </c>
      <c r="F1865" s="15">
        <f ca="1">IFERROR(__xludf.DUMMYFUNCTION("IF(E1865=""USD"",B1865,B1865 * GOOGLEFINANCE(""CURRENCY:"" &amp; E1865 &amp; ""USD""))
"),12000000)</f>
        <v>12000000</v>
      </c>
      <c r="G1865" s="16">
        <f ca="1">IFERROR(__xludf.DUMMYFUNCTION("IF(E1865=""USD"",C1865,C1865 * GOOGLEFINANCE(""CURRENCY:"" &amp; E1865 &amp; ""USD""))
"),7918283)</f>
        <v>7918283</v>
      </c>
    </row>
    <row r="1866" spans="1:7" ht="15.75" customHeight="1" x14ac:dyDescent="0.25">
      <c r="A1866" s="11" t="s">
        <v>24</v>
      </c>
      <c r="B1866" s="12">
        <v>60000000</v>
      </c>
      <c r="C1866" s="12">
        <v>12065985</v>
      </c>
      <c r="D1866" s="12">
        <v>1998</v>
      </c>
      <c r="E1866" s="12" t="str">
        <f>VLOOKUP(A1866, Currency!$A$2:$B$100, 2, FALSE)</f>
        <v>USD</v>
      </c>
      <c r="F1866" s="12">
        <f ca="1">IFERROR(__xludf.DUMMYFUNCTION("IF(E1866=""USD"",B1866,B1866 * GOOGLEFINANCE(""CURRENCY:"" &amp; E1866 &amp; ""USD""))
"),60000000)</f>
        <v>60000000</v>
      </c>
      <c r="G1866" s="13">
        <f ca="1">IFERROR(__xludf.DUMMYFUNCTION("IF(E1866=""USD"",C1866,C1866 * GOOGLEFINANCE(""CURRENCY:"" &amp; E1866 &amp; ""USD""))
"),12065985)</f>
        <v>12065985</v>
      </c>
    </row>
    <row r="1867" spans="1:7" ht="15.75" customHeight="1" x14ac:dyDescent="0.25">
      <c r="A1867" s="14" t="s">
        <v>24</v>
      </c>
      <c r="B1867" s="15">
        <v>70000000</v>
      </c>
      <c r="C1867" s="15">
        <v>48430355</v>
      </c>
      <c r="D1867" s="15">
        <v>2011</v>
      </c>
      <c r="E1867" s="15" t="str">
        <f>VLOOKUP(A1867, Currency!$A$2:$B$100, 2, FALSE)</f>
        <v>USD</v>
      </c>
      <c r="F1867" s="15">
        <f ca="1">IFERROR(__xludf.DUMMYFUNCTION("IF(E1867=""USD"",B1867,B1867 * GOOGLEFINANCE(""CURRENCY:"" &amp; E1867 &amp; ""USD""))
"),70000000)</f>
        <v>70000000</v>
      </c>
      <c r="G1867" s="16">
        <f ca="1">IFERROR(__xludf.DUMMYFUNCTION("IF(E1867=""USD"",C1867,C1867 * GOOGLEFINANCE(""CURRENCY:"" &amp; E1867 &amp; ""USD""))
"),48430355)</f>
        <v>48430355</v>
      </c>
    </row>
    <row r="1868" spans="1:7" ht="15.75" customHeight="1" x14ac:dyDescent="0.25">
      <c r="A1868" s="11" t="s">
        <v>24</v>
      </c>
      <c r="B1868" s="12">
        <v>92000000</v>
      </c>
      <c r="C1868" s="12">
        <v>85017401</v>
      </c>
      <c r="D1868" s="12">
        <v>2012</v>
      </c>
      <c r="E1868" s="12" t="str">
        <f>VLOOKUP(A1868, Currency!$A$2:$B$100, 2, FALSE)</f>
        <v>USD</v>
      </c>
      <c r="F1868" s="12">
        <f ca="1">IFERROR(__xludf.DUMMYFUNCTION("IF(E1868=""USD"",B1868,B1868 * GOOGLEFINANCE(""CURRENCY:"" &amp; E1868 &amp; ""USD""))
"),92000000)</f>
        <v>92000000</v>
      </c>
      <c r="G1868" s="13">
        <f ca="1">IFERROR(__xludf.DUMMYFUNCTION("IF(E1868=""USD"",C1868,C1868 * GOOGLEFINANCE(""CURRENCY:"" &amp; E1868 &amp; ""USD""))
"),85017401)</f>
        <v>85017401</v>
      </c>
    </row>
    <row r="1869" spans="1:7" ht="15.75" customHeight="1" x14ac:dyDescent="0.25">
      <c r="A1869" s="14" t="s">
        <v>24</v>
      </c>
      <c r="B1869" s="15">
        <v>18000000</v>
      </c>
      <c r="C1869" s="15">
        <v>8508843</v>
      </c>
      <c r="D1869" s="15">
        <v>1989</v>
      </c>
      <c r="E1869" s="15" t="str">
        <f>VLOOKUP(A1869, Currency!$A$2:$B$100, 2, FALSE)</f>
        <v>USD</v>
      </c>
      <c r="F1869" s="15">
        <f ca="1">IFERROR(__xludf.DUMMYFUNCTION("IF(E1869=""USD"",B1869,B1869 * GOOGLEFINANCE(""CURRENCY:"" &amp; E1869 &amp; ""USD""))
"),18000000)</f>
        <v>18000000</v>
      </c>
      <c r="G1869" s="16">
        <f ca="1">IFERROR(__xludf.DUMMYFUNCTION("IF(E1869=""USD"",C1869,C1869 * GOOGLEFINANCE(""CURRENCY:"" &amp; E1869 &amp; ""USD""))
"),8508843)</f>
        <v>8508843</v>
      </c>
    </row>
    <row r="1870" spans="1:7" ht="15.75" customHeight="1" x14ac:dyDescent="0.25">
      <c r="A1870" s="11" t="s">
        <v>24</v>
      </c>
      <c r="B1870" s="12">
        <v>21000000</v>
      </c>
      <c r="C1870" s="12">
        <v>6830957</v>
      </c>
      <c r="D1870" s="12">
        <v>2002</v>
      </c>
      <c r="E1870" s="12" t="str">
        <f>VLOOKUP(A1870, Currency!$A$2:$B$100, 2, FALSE)</f>
        <v>USD</v>
      </c>
      <c r="F1870" s="12">
        <f ca="1">IFERROR(__xludf.DUMMYFUNCTION("IF(E1870=""USD"",B1870,B1870 * GOOGLEFINANCE(""CURRENCY:"" &amp; E1870 &amp; ""USD""))
"),21000000)</f>
        <v>21000000</v>
      </c>
      <c r="G1870" s="13">
        <f ca="1">IFERROR(__xludf.DUMMYFUNCTION("IF(E1870=""USD"",C1870,C1870 * GOOGLEFINANCE(""CURRENCY:"" &amp; E1870 &amp; ""USD""))
"),6830957)</f>
        <v>6830957</v>
      </c>
    </row>
    <row r="1871" spans="1:7" ht="15.75" customHeight="1" x14ac:dyDescent="0.25">
      <c r="A1871" s="14" t="s">
        <v>24</v>
      </c>
      <c r="B1871" s="15">
        <v>60000000</v>
      </c>
      <c r="C1871" s="15">
        <v>75638743</v>
      </c>
      <c r="D1871" s="15">
        <v>2011</v>
      </c>
      <c r="E1871" s="15" t="str">
        <f>VLOOKUP(A1871, Currency!$A$2:$B$100, 2, FALSE)</f>
        <v>USD</v>
      </c>
      <c r="F1871" s="15">
        <f ca="1">IFERROR(__xludf.DUMMYFUNCTION("IF(E1871=""USD"",B1871,B1871 * GOOGLEFINANCE(""CURRENCY:"" &amp; E1871 &amp; ""USD""))
"),60000000)</f>
        <v>60000000</v>
      </c>
      <c r="G1871" s="16">
        <f ca="1">IFERROR(__xludf.DUMMYFUNCTION("IF(E1871=""USD"",C1871,C1871 * GOOGLEFINANCE(""CURRENCY:"" &amp; E1871 &amp; ""USD""))
"),75638743)</f>
        <v>75638743</v>
      </c>
    </row>
    <row r="1872" spans="1:7" ht="15.75" customHeight="1" x14ac:dyDescent="0.25">
      <c r="A1872" s="11" t="s">
        <v>24</v>
      </c>
      <c r="B1872" s="12">
        <v>10000000</v>
      </c>
      <c r="C1872" s="12">
        <v>3571735</v>
      </c>
      <c r="D1872" s="12">
        <v>2010</v>
      </c>
      <c r="E1872" s="12" t="str">
        <f>VLOOKUP(A1872, Currency!$A$2:$B$100, 2, FALSE)</f>
        <v>USD</v>
      </c>
      <c r="F1872" s="12">
        <f ca="1">IFERROR(__xludf.DUMMYFUNCTION("IF(E1872=""USD"",B1872,B1872 * GOOGLEFINANCE(""CURRENCY:"" &amp; E1872 &amp; ""USD""))
"),10000000)</f>
        <v>10000000</v>
      </c>
      <c r="G1872" s="13">
        <f ca="1">IFERROR(__xludf.DUMMYFUNCTION("IF(E1872=""USD"",C1872,C1872 * GOOGLEFINANCE(""CURRENCY:"" &amp; E1872 &amp; ""USD""))
"),3571735)</f>
        <v>3571735</v>
      </c>
    </row>
    <row r="1873" spans="1:7" ht="15.75" customHeight="1" x14ac:dyDescent="0.25">
      <c r="A1873" s="14" t="s">
        <v>24</v>
      </c>
      <c r="B1873" s="15">
        <v>22000000</v>
      </c>
      <c r="C1873" s="15">
        <v>30059386</v>
      </c>
      <c r="D1873" s="15">
        <v>2001</v>
      </c>
      <c r="E1873" s="15" t="str">
        <f>VLOOKUP(A1873, Currency!$A$2:$B$100, 2, FALSE)</f>
        <v>USD</v>
      </c>
      <c r="F1873" s="15">
        <f ca="1">IFERROR(__xludf.DUMMYFUNCTION("IF(E1873=""USD"",B1873,B1873 * GOOGLEFINANCE(""CURRENCY:"" &amp; E1873 &amp; ""USD""))
"),22000000)</f>
        <v>22000000</v>
      </c>
      <c r="G1873" s="16">
        <f ca="1">IFERROR(__xludf.DUMMYFUNCTION("IF(E1873=""USD"",C1873,C1873 * GOOGLEFINANCE(""CURRENCY:"" &amp; E1873 &amp; ""USD""))
"),30059386)</f>
        <v>30059386</v>
      </c>
    </row>
    <row r="1874" spans="1:7" ht="15.75" customHeight="1" x14ac:dyDescent="0.25">
      <c r="A1874" s="11" t="s">
        <v>24</v>
      </c>
      <c r="B1874" s="12">
        <v>50000000</v>
      </c>
      <c r="C1874" s="12">
        <v>33422806</v>
      </c>
      <c r="D1874" s="12">
        <v>2001</v>
      </c>
      <c r="E1874" s="12" t="str">
        <f>VLOOKUP(A1874, Currency!$A$2:$B$100, 2, FALSE)</f>
        <v>USD</v>
      </c>
      <c r="F1874" s="12">
        <f ca="1">IFERROR(__xludf.DUMMYFUNCTION("IF(E1874=""USD"",B1874,B1874 * GOOGLEFINANCE(""CURRENCY:"" &amp; E1874 &amp; ""USD""))
"),50000000)</f>
        <v>50000000</v>
      </c>
      <c r="G1874" s="13">
        <f ca="1">IFERROR(__xludf.DUMMYFUNCTION("IF(E1874=""USD"",C1874,C1874 * GOOGLEFINANCE(""CURRENCY:"" &amp; E1874 &amp; ""USD""))
"),33422806)</f>
        <v>33422806</v>
      </c>
    </row>
    <row r="1875" spans="1:7" ht="15.75" customHeight="1" x14ac:dyDescent="0.25">
      <c r="A1875" s="14" t="s">
        <v>24</v>
      </c>
      <c r="B1875" s="15">
        <v>15000000</v>
      </c>
      <c r="C1875" s="15">
        <v>12701880</v>
      </c>
      <c r="D1875" s="15">
        <v>2008</v>
      </c>
      <c r="E1875" s="15" t="str">
        <f>VLOOKUP(A1875, Currency!$A$2:$B$100, 2, FALSE)</f>
        <v>USD</v>
      </c>
      <c r="F1875" s="15">
        <f ca="1">IFERROR(__xludf.DUMMYFUNCTION("IF(E1875=""USD"",B1875,B1875 * GOOGLEFINANCE(""CURRENCY:"" &amp; E1875 &amp; ""USD""))
"),15000000)</f>
        <v>15000000</v>
      </c>
      <c r="G1875" s="16">
        <f ca="1">IFERROR(__xludf.DUMMYFUNCTION("IF(E1875=""USD"",C1875,C1875 * GOOGLEFINANCE(""CURRENCY:"" &amp; E1875 &amp; ""USD""))
"),12701880)</f>
        <v>12701880</v>
      </c>
    </row>
    <row r="1876" spans="1:7" ht="15.75" customHeight="1" x14ac:dyDescent="0.25">
      <c r="A1876" s="11" t="s">
        <v>24</v>
      </c>
      <c r="B1876" s="12">
        <v>15000000</v>
      </c>
      <c r="C1876" s="12">
        <v>183088</v>
      </c>
      <c r="D1876" s="12">
        <v>2008</v>
      </c>
      <c r="E1876" s="12" t="str">
        <f>VLOOKUP(A1876, Currency!$A$2:$B$100, 2, FALSE)</f>
        <v>USD</v>
      </c>
      <c r="F1876" s="12">
        <f ca="1">IFERROR(__xludf.DUMMYFUNCTION("IF(E1876=""USD"",B1876,B1876 * GOOGLEFINANCE(""CURRENCY:"" &amp; E1876 &amp; ""USD""))
"),15000000)</f>
        <v>15000000</v>
      </c>
      <c r="G1876" s="13">
        <f ca="1">IFERROR(__xludf.DUMMYFUNCTION("IF(E1876=""USD"",C1876,C1876 * GOOGLEFINANCE(""CURRENCY:"" &amp; E1876 &amp; ""USD""))
"),183088)</f>
        <v>183088</v>
      </c>
    </row>
    <row r="1877" spans="1:7" ht="15.75" customHeight="1" x14ac:dyDescent="0.25">
      <c r="A1877" s="14" t="s">
        <v>24</v>
      </c>
      <c r="B1877" s="15">
        <v>30000</v>
      </c>
      <c r="C1877" s="15">
        <v>243768</v>
      </c>
      <c r="D1877" s="15">
        <v>2007</v>
      </c>
      <c r="E1877" s="15" t="str">
        <f>VLOOKUP(A1877, Currency!$A$2:$B$100, 2, FALSE)</f>
        <v>USD</v>
      </c>
      <c r="F1877" s="15">
        <f ca="1">IFERROR(__xludf.DUMMYFUNCTION("IF(E1877=""USD"",B1877,B1877 * GOOGLEFINANCE(""CURRENCY:"" &amp; E1877 &amp; ""USD""))
"),30000)</f>
        <v>30000</v>
      </c>
      <c r="G1877" s="16">
        <f ca="1">IFERROR(__xludf.DUMMYFUNCTION("IF(E1877=""USD"",C1877,C1877 * GOOGLEFINANCE(""CURRENCY:"" &amp; E1877 &amp; ""USD""))
"),243768)</f>
        <v>243768</v>
      </c>
    </row>
    <row r="1878" spans="1:7" ht="15.75" customHeight="1" x14ac:dyDescent="0.25">
      <c r="A1878" s="11" t="s">
        <v>674</v>
      </c>
      <c r="B1878" s="12">
        <v>1500000</v>
      </c>
      <c r="C1878" s="12">
        <v>49000</v>
      </c>
      <c r="D1878" s="12">
        <v>2005</v>
      </c>
      <c r="E1878" s="12" t="str">
        <f>VLOOKUP(A1878, Currency!$A$2:$B$100, 2, FALSE)</f>
        <v>INR</v>
      </c>
      <c r="F1878" s="12">
        <f ca="1">IFERROR(__xludf.DUMMYFUNCTION("IF(E1878=""USD"",B1878,B1878 * GOOGLEFINANCE(""CURRENCY:"" &amp; E1878 &amp; ""USD""))
"),17912.19)</f>
        <v>17912.189999999999</v>
      </c>
      <c r="G1878" s="13">
        <f ca="1">IFERROR(__xludf.DUMMYFUNCTION("IF(E1878=""USD"",C1878,C1878 * GOOGLEFINANCE(""CURRENCY:"" &amp; E1878 &amp; ""USD""))
"),585.13154)</f>
        <v>585.13153999999997</v>
      </c>
    </row>
    <row r="1879" spans="1:7" ht="15.75" customHeight="1" x14ac:dyDescent="0.25">
      <c r="A1879" s="14" t="s">
        <v>24</v>
      </c>
      <c r="B1879" s="15">
        <v>300000</v>
      </c>
      <c r="C1879" s="15">
        <v>2468</v>
      </c>
      <c r="D1879" s="15">
        <v>2014</v>
      </c>
      <c r="E1879" s="15" t="str">
        <f>VLOOKUP(A1879, Currency!$A$2:$B$100, 2, FALSE)</f>
        <v>USD</v>
      </c>
      <c r="F1879" s="15">
        <f ca="1">IFERROR(__xludf.DUMMYFUNCTION("IF(E1879=""USD"",B1879,B1879 * GOOGLEFINANCE(""CURRENCY:"" &amp; E1879 &amp; ""USD""))
"),300000)</f>
        <v>300000</v>
      </c>
      <c r="G1879" s="16">
        <f ca="1">IFERROR(__xludf.DUMMYFUNCTION("IF(E1879=""USD"",C1879,C1879 * GOOGLEFINANCE(""CURRENCY:"" &amp; E1879 &amp; ""USD""))
"),2468)</f>
        <v>2468</v>
      </c>
    </row>
    <row r="1880" spans="1:7" ht="15.75" customHeight="1" x14ac:dyDescent="0.25">
      <c r="A1880" s="11" t="s">
        <v>24</v>
      </c>
      <c r="B1880" s="12">
        <v>48000000</v>
      </c>
      <c r="C1880" s="12">
        <v>64505912</v>
      </c>
      <c r="D1880" s="12">
        <v>2008</v>
      </c>
      <c r="E1880" s="12" t="str">
        <f>VLOOKUP(A1880, Currency!$A$2:$B$100, 2, FALSE)</f>
        <v>USD</v>
      </c>
      <c r="F1880" s="12">
        <f ca="1">IFERROR(__xludf.DUMMYFUNCTION("IF(E1880=""USD"",B1880,B1880 * GOOGLEFINANCE(""CURRENCY:"" &amp; E1880 &amp; ""USD""))
"),48000000)</f>
        <v>48000000</v>
      </c>
      <c r="G1880" s="13">
        <f ca="1">IFERROR(__xludf.DUMMYFUNCTION("IF(E1880=""USD"",C1880,C1880 * GOOGLEFINANCE(""CURRENCY:"" &amp; E1880 &amp; ""USD""))
"),64505912)</f>
        <v>64505912</v>
      </c>
    </row>
    <row r="1881" spans="1:7" ht="15.75" customHeight="1" x14ac:dyDescent="0.25">
      <c r="A1881" s="14" t="s">
        <v>674</v>
      </c>
      <c r="B1881" s="15">
        <v>70000000</v>
      </c>
      <c r="C1881" s="15">
        <v>129319</v>
      </c>
      <c r="D1881" s="15">
        <v>2005</v>
      </c>
      <c r="E1881" s="15" t="str">
        <f>VLOOKUP(A1881, Currency!$A$2:$B$100, 2, FALSE)</f>
        <v>INR</v>
      </c>
      <c r="F1881" s="15">
        <f ca="1">IFERROR(__xludf.DUMMYFUNCTION("IF(E1881=""USD"",B1881,B1881 * GOOGLEFINANCE(""CURRENCY:"" &amp; E1881 &amp; ""USD""))
"),835902.2)</f>
        <v>835902.2</v>
      </c>
      <c r="G1881" s="16">
        <f ca="1">IFERROR(__xludf.DUMMYFUNCTION("IF(E1881=""USD"",C1881,C1881 * GOOGLEFINANCE(""CURRENCY:"" &amp; E1881 &amp; ""USD""))
"),1544.25766574)</f>
        <v>1544.25766574</v>
      </c>
    </row>
    <row r="1882" spans="1:7" ht="15.75" customHeight="1" x14ac:dyDescent="0.25">
      <c r="A1882" s="11" t="s">
        <v>24</v>
      </c>
      <c r="B1882" s="12">
        <v>10000000</v>
      </c>
      <c r="C1882" s="12">
        <v>25464480</v>
      </c>
      <c r="D1882" s="12">
        <v>2009</v>
      </c>
      <c r="E1882" s="12" t="str">
        <f>VLOOKUP(A1882, Currency!$A$2:$B$100, 2, FALSE)</f>
        <v>USD</v>
      </c>
      <c r="F1882" s="12">
        <f ca="1">IFERROR(__xludf.DUMMYFUNCTION("IF(E1882=""USD"",B1882,B1882 * GOOGLEFINANCE(""CURRENCY:"" &amp; E1882 &amp; ""USD""))
"),10000000)</f>
        <v>10000000</v>
      </c>
      <c r="G1882" s="13">
        <f ca="1">IFERROR(__xludf.DUMMYFUNCTION("IF(E1882=""USD"",C1882,C1882 * GOOGLEFINANCE(""CURRENCY:"" &amp; E1882 &amp; ""USD""))
"),25464480)</f>
        <v>25464480</v>
      </c>
    </row>
    <row r="1883" spans="1:7" ht="15.75" customHeight="1" x14ac:dyDescent="0.25">
      <c r="A1883" s="14" t="s">
        <v>24</v>
      </c>
      <c r="B1883" s="15">
        <v>80000000</v>
      </c>
      <c r="C1883" s="15">
        <v>15071514</v>
      </c>
      <c r="D1883" s="15">
        <v>2007</v>
      </c>
      <c r="E1883" s="15" t="str">
        <f>VLOOKUP(A1883, Currency!$A$2:$B$100, 2, FALSE)</f>
        <v>USD</v>
      </c>
      <c r="F1883" s="15">
        <f ca="1">IFERROR(__xludf.DUMMYFUNCTION("IF(E1883=""USD"",B1883,B1883 * GOOGLEFINANCE(""CURRENCY:"" &amp; E1883 &amp; ""USD""))
"),80000000)</f>
        <v>80000000</v>
      </c>
      <c r="G1883" s="16">
        <f ca="1">IFERROR(__xludf.DUMMYFUNCTION("IF(E1883=""USD"",C1883,C1883 * GOOGLEFINANCE(""CURRENCY:"" &amp; E1883 &amp; ""USD""))
"),15071514)</f>
        <v>15071514</v>
      </c>
    </row>
    <row r="1884" spans="1:7" ht="15.75" customHeight="1" x14ac:dyDescent="0.25">
      <c r="A1884" s="11" t="s">
        <v>627</v>
      </c>
      <c r="B1884" s="12">
        <v>1100000</v>
      </c>
      <c r="C1884" s="12">
        <v>56129</v>
      </c>
      <c r="D1884" s="12">
        <v>2010</v>
      </c>
      <c r="E1884" s="12" t="str">
        <f>VLOOKUP(A1884, Currency!$A$2:$B$100, 2, FALSE)</f>
        <v>CAD</v>
      </c>
      <c r="F1884" s="12">
        <f ca="1">IFERROR(__xludf.DUMMYFUNCTION("IF(E1884=""USD"",B1884,B1884 * GOOGLEFINANCE(""CURRENCY:"" &amp; E1884 &amp; ""USD""))
"),795745.5)</f>
        <v>795745.5</v>
      </c>
      <c r="G1884" s="13">
        <f ca="1">IFERROR(__xludf.DUMMYFUNCTION("IF(E1884=""USD"",C1884,C1884 * GOOGLEFINANCE(""CURRENCY:"" &amp; E1884 &amp; ""USD""))
"),40603.999245)</f>
        <v>40603.999244999999</v>
      </c>
    </row>
    <row r="1885" spans="1:7" ht="15.75" customHeight="1" x14ac:dyDescent="0.25">
      <c r="A1885" s="14" t="s">
        <v>24</v>
      </c>
      <c r="B1885" s="15">
        <v>15000</v>
      </c>
      <c r="C1885" s="15">
        <v>76382</v>
      </c>
      <c r="D1885" s="15">
        <v>2009</v>
      </c>
      <c r="E1885" s="15" t="str">
        <f>VLOOKUP(A1885, Currency!$A$2:$B$100, 2, FALSE)</f>
        <v>USD</v>
      </c>
      <c r="F1885" s="15">
        <f ca="1">IFERROR(__xludf.DUMMYFUNCTION("IF(E1885=""USD"",B1885,B1885 * GOOGLEFINANCE(""CURRENCY:"" &amp; E1885 &amp; ""USD""))
"),15000)</f>
        <v>15000</v>
      </c>
      <c r="G1885" s="16">
        <f ca="1">IFERROR(__xludf.DUMMYFUNCTION("IF(E1885=""USD"",C1885,C1885 * GOOGLEFINANCE(""CURRENCY:"" &amp; E1885 &amp; ""USD""))
"),76382)</f>
        <v>76382</v>
      </c>
    </row>
    <row r="1886" spans="1:7" ht="15.75" customHeight="1" x14ac:dyDescent="0.25">
      <c r="A1886" s="11" t="s">
        <v>24</v>
      </c>
      <c r="B1886" s="12">
        <v>250000</v>
      </c>
      <c r="C1886" s="12">
        <v>18195</v>
      </c>
      <c r="D1886" s="12">
        <v>1997</v>
      </c>
      <c r="E1886" s="12" t="str">
        <f>VLOOKUP(A1886, Currency!$A$2:$B$100, 2, FALSE)</f>
        <v>USD</v>
      </c>
      <c r="F1886" s="12">
        <f ca="1">IFERROR(__xludf.DUMMYFUNCTION("IF(E1886=""USD"",B1886,B1886 * GOOGLEFINANCE(""CURRENCY:"" &amp; E1886 &amp; ""USD""))
"),250000)</f>
        <v>250000</v>
      </c>
      <c r="G1886" s="13">
        <f ca="1">IFERROR(__xludf.DUMMYFUNCTION("IF(E1886=""USD"",C1886,C1886 * GOOGLEFINANCE(""CURRENCY:"" &amp; E1886 &amp; ""USD""))
"),18195)</f>
        <v>18195</v>
      </c>
    </row>
    <row r="1887" spans="1:7" ht="15.75" customHeight="1" x14ac:dyDescent="0.25">
      <c r="A1887" s="14" t="s">
        <v>6331</v>
      </c>
      <c r="B1887" s="15">
        <v>7000</v>
      </c>
      <c r="C1887" s="15">
        <v>70071</v>
      </c>
      <c r="D1887" s="15">
        <v>2005</v>
      </c>
      <c r="E1887" s="15" t="str">
        <f>VLOOKUP(A1887, Currency!$A$2:$B$100, 2, FALSE)</f>
        <v>PHP</v>
      </c>
      <c r="F1887" s="15">
        <f ca="1">IFERROR(__xludf.DUMMYFUNCTION("IF(E1887=""USD"",B1887,B1887 * GOOGLEFINANCE(""CURRENCY:"" &amp; E1887 &amp; ""USD""))
"),119.42987)</f>
        <v>119.42986999999999</v>
      </c>
      <c r="G1887" s="16">
        <f ca="1">IFERROR(__xludf.DUMMYFUNCTION("IF(E1887=""USD"",C1887,C1887 * GOOGLEFINANCE(""CURRENCY:"" &amp; E1887 &amp; ""USD""))
"),1195.51006011)</f>
        <v>1195.51006011</v>
      </c>
    </row>
    <row r="1888" spans="1:7" ht="15.75" customHeight="1" x14ac:dyDescent="0.25">
      <c r="A1888" s="11" t="s">
        <v>24</v>
      </c>
      <c r="B1888" s="12">
        <v>12000000</v>
      </c>
      <c r="C1888" s="12">
        <v>22331028</v>
      </c>
      <c r="D1888" s="12">
        <v>2015</v>
      </c>
      <c r="E1888" s="12" t="str">
        <f>VLOOKUP(A1888, Currency!$A$2:$B$100, 2, FALSE)</f>
        <v>USD</v>
      </c>
      <c r="F1888" s="12">
        <f ca="1">IFERROR(__xludf.DUMMYFUNCTION("IF(E1888=""USD"",B1888,B1888 * GOOGLEFINANCE(""CURRENCY:"" &amp; E1888 &amp; ""USD""))
"),12000000)</f>
        <v>12000000</v>
      </c>
      <c r="G1888" s="13">
        <f ca="1">IFERROR(__xludf.DUMMYFUNCTION("IF(E1888=""USD"",C1888,C1888 * GOOGLEFINANCE(""CURRENCY:"" &amp; E1888 &amp; ""USD""))
"),22331028)</f>
        <v>22331028</v>
      </c>
    </row>
    <row r="1889" spans="1:7" ht="15.75" customHeight="1" x14ac:dyDescent="0.25">
      <c r="A1889" s="14" t="s">
        <v>176</v>
      </c>
      <c r="B1889" s="15">
        <v>40000000</v>
      </c>
      <c r="C1889" s="15">
        <v>36283504</v>
      </c>
      <c r="D1889" s="15">
        <v>1999</v>
      </c>
      <c r="E1889" s="15" t="str">
        <f>VLOOKUP(A1889, Currency!$A$2:$B$100, 2, FALSE)</f>
        <v>EUR</v>
      </c>
      <c r="F1889" s="15">
        <f ca="1">IFERROR(__xludf.DUMMYFUNCTION("IF(E1889=""USD"",B1889,B1889 * GOOGLEFINANCE(""CURRENCY:"" &amp; E1889 &amp; ""USD""))
"),43389600)</f>
        <v>43389600</v>
      </c>
      <c r="G1889" s="16">
        <f ca="1">IFERROR(__xludf.DUMMYFUNCTION("IF(E1889=""USD"",C1889,C1889 * GOOGLEFINANCE(""CURRENCY:"" &amp; E1889 &amp; ""USD""))
"),39358168.12896)</f>
        <v>39358168.128959998</v>
      </c>
    </row>
    <row r="1890" spans="1:7" ht="15.75" customHeight="1" x14ac:dyDescent="0.25">
      <c r="A1890" s="11" t="s">
        <v>24</v>
      </c>
      <c r="B1890" s="12">
        <v>26000000</v>
      </c>
      <c r="C1890" s="12">
        <v>57859105</v>
      </c>
      <c r="D1890" s="12">
        <v>2005</v>
      </c>
      <c r="E1890" s="12" t="str">
        <f>VLOOKUP(A1890, Currency!$A$2:$B$100, 2, FALSE)</f>
        <v>USD</v>
      </c>
      <c r="F1890" s="12">
        <f ca="1">IFERROR(__xludf.DUMMYFUNCTION("IF(E1890=""USD"",B1890,B1890 * GOOGLEFINANCE(""CURRENCY:"" &amp; E1890 &amp; ""USD""))
"),26000000)</f>
        <v>26000000</v>
      </c>
      <c r="G1890" s="13">
        <f ca="1">IFERROR(__xludf.DUMMYFUNCTION("IF(E1890=""USD"",C1890,C1890 * GOOGLEFINANCE(""CURRENCY:"" &amp; E1890 &amp; ""USD""))
"),57859105)</f>
        <v>57859105</v>
      </c>
    </row>
    <row r="1891" spans="1:7" ht="15.75" customHeight="1" x14ac:dyDescent="0.25">
      <c r="A1891" s="14" t="s">
        <v>24</v>
      </c>
      <c r="B1891" s="15">
        <v>40000000</v>
      </c>
      <c r="C1891" s="15">
        <v>47781388</v>
      </c>
      <c r="D1891" s="15">
        <v>2004</v>
      </c>
      <c r="E1891" s="15" t="str">
        <f>VLOOKUP(A1891, Currency!$A$2:$B$100, 2, FALSE)</f>
        <v>USD</v>
      </c>
      <c r="F1891" s="15">
        <f ca="1">IFERROR(__xludf.DUMMYFUNCTION("IF(E1891=""USD"",B1891,B1891 * GOOGLEFINANCE(""CURRENCY:"" &amp; E1891 &amp; ""USD""))
"),40000000)</f>
        <v>40000000</v>
      </c>
      <c r="G1891" s="16">
        <f ca="1">IFERROR(__xludf.DUMMYFUNCTION("IF(E1891=""USD"",C1891,C1891 * GOOGLEFINANCE(""CURRENCY:"" &amp; E1891 &amp; ""USD""))
"),47781388)</f>
        <v>47781388</v>
      </c>
    </row>
    <row r="1892" spans="1:7" ht="15.75" customHeight="1" x14ac:dyDescent="0.25">
      <c r="A1892" s="11" t="s">
        <v>24</v>
      </c>
      <c r="B1892" s="12">
        <v>125000000</v>
      </c>
      <c r="C1892" s="12">
        <v>217536138</v>
      </c>
      <c r="D1892" s="12">
        <v>2006</v>
      </c>
      <c r="E1892" s="12" t="str">
        <f>VLOOKUP(A1892, Currency!$A$2:$B$100, 2, FALSE)</f>
        <v>USD</v>
      </c>
      <c r="F1892" s="12">
        <f ca="1">IFERROR(__xludf.DUMMYFUNCTION("IF(E1892=""USD"",B1892,B1892 * GOOGLEFINANCE(""CURRENCY:"" &amp; E1892 &amp; ""USD""))
"),125000000)</f>
        <v>125000000</v>
      </c>
      <c r="G1892" s="13">
        <f ca="1">IFERROR(__xludf.DUMMYFUNCTION("IF(E1892=""USD"",C1892,C1892 * GOOGLEFINANCE(""CURRENCY:"" &amp; E1892 &amp; ""USD""))
"),217536138)</f>
        <v>217536138</v>
      </c>
    </row>
    <row r="1893" spans="1:7" ht="15.75" customHeight="1" x14ac:dyDescent="0.25">
      <c r="A1893" s="14" t="s">
        <v>24</v>
      </c>
      <c r="B1893" s="15">
        <v>150000000</v>
      </c>
      <c r="C1893" s="15">
        <v>133375846</v>
      </c>
      <c r="D1893" s="15">
        <v>2009</v>
      </c>
      <c r="E1893" s="15" t="str">
        <f>VLOOKUP(A1893, Currency!$A$2:$B$100, 2, FALSE)</f>
        <v>USD</v>
      </c>
      <c r="F1893" s="15">
        <f ca="1">IFERROR(__xludf.DUMMYFUNCTION("IF(E1893=""USD"",B1893,B1893 * GOOGLEFINANCE(""CURRENCY:"" &amp; E1893 &amp; ""USD""))
"),150000000)</f>
        <v>150000000</v>
      </c>
      <c r="G1893" s="16">
        <f ca="1">IFERROR(__xludf.DUMMYFUNCTION("IF(E1893=""USD"",C1893,C1893 * GOOGLEFINANCE(""CURRENCY:"" &amp; E1893 &amp; ""USD""))
"),133375846)</f>
        <v>133375846</v>
      </c>
    </row>
    <row r="1894" spans="1:7" ht="15.75" customHeight="1" x14ac:dyDescent="0.25">
      <c r="A1894" s="11" t="s">
        <v>176</v>
      </c>
      <c r="B1894" s="12">
        <v>16000000</v>
      </c>
      <c r="C1894" s="12">
        <v>15500000</v>
      </c>
      <c r="D1894" s="12">
        <v>1999</v>
      </c>
      <c r="E1894" s="12" t="str">
        <f>VLOOKUP(A1894, Currency!$A$2:$B$100, 2, FALSE)</f>
        <v>EUR</v>
      </c>
      <c r="F1894" s="12">
        <f ca="1">IFERROR(__xludf.DUMMYFUNCTION("IF(E1894=""USD"",B1894,B1894 * GOOGLEFINANCE(""CURRENCY:"" &amp; E1894 &amp; ""USD""))
"),17355840)</f>
        <v>17355840</v>
      </c>
      <c r="G1894" s="13">
        <f ca="1">IFERROR(__xludf.DUMMYFUNCTION("IF(E1894=""USD"",C1894,C1894 * GOOGLEFINANCE(""CURRENCY:"" &amp; E1894 &amp; ""USD""))
"),16813470)</f>
        <v>16813470</v>
      </c>
    </row>
    <row r="1895" spans="1:7" ht="15.75" customHeight="1" x14ac:dyDescent="0.25">
      <c r="A1895" s="14" t="s">
        <v>24</v>
      </c>
      <c r="B1895" s="15">
        <v>5000000</v>
      </c>
      <c r="C1895" s="15">
        <v>43771291</v>
      </c>
      <c r="D1895" s="15">
        <v>2015</v>
      </c>
      <c r="E1895" s="15" t="str">
        <f>VLOOKUP(A1895, Currency!$A$2:$B$100, 2, FALSE)</f>
        <v>USD</v>
      </c>
      <c r="F1895" s="15">
        <f ca="1">IFERROR(__xludf.DUMMYFUNCTION("IF(E1895=""USD"",B1895,B1895 * GOOGLEFINANCE(""CURRENCY:"" &amp; E1895 &amp; ""USD""))
"),5000000)</f>
        <v>5000000</v>
      </c>
      <c r="G1895" s="16">
        <f ca="1">IFERROR(__xludf.DUMMYFUNCTION("IF(E1895=""USD"",C1895,C1895 * GOOGLEFINANCE(""CURRENCY:"" &amp; E1895 &amp; ""USD""))
"),43771291)</f>
        <v>43771291</v>
      </c>
    </row>
    <row r="1896" spans="1:7" ht="15.75" customHeight="1" x14ac:dyDescent="0.25">
      <c r="A1896" s="11" t="s">
        <v>24</v>
      </c>
      <c r="B1896" s="12">
        <v>5000000</v>
      </c>
      <c r="C1896" s="12">
        <v>43771291</v>
      </c>
      <c r="D1896" s="12">
        <v>2015</v>
      </c>
      <c r="E1896" s="12" t="str">
        <f>VLOOKUP(A1896, Currency!$A$2:$B$100, 2, FALSE)</f>
        <v>USD</v>
      </c>
      <c r="F1896" s="12">
        <f ca="1">IFERROR(__xludf.DUMMYFUNCTION("IF(E1896=""USD"",B1896,B1896 * GOOGLEFINANCE(""CURRENCY:"" &amp; E1896 &amp; ""USD""))
"),5000000)</f>
        <v>5000000</v>
      </c>
      <c r="G1896" s="13">
        <f ca="1">IFERROR(__xludf.DUMMYFUNCTION("IF(E1896=""USD"",C1896,C1896 * GOOGLEFINANCE(""CURRENCY:"" &amp; E1896 &amp; ""USD""))
"),43771291)</f>
        <v>43771291</v>
      </c>
    </row>
    <row r="1897" spans="1:7" ht="15.75" customHeight="1" x14ac:dyDescent="0.25">
      <c r="A1897" s="14" t="s">
        <v>24</v>
      </c>
      <c r="B1897" s="15">
        <v>50200000</v>
      </c>
      <c r="C1897" s="15">
        <v>62453315</v>
      </c>
      <c r="D1897" s="15">
        <v>2011</v>
      </c>
      <c r="E1897" s="15" t="str">
        <f>VLOOKUP(A1897, Currency!$A$2:$B$100, 2, FALSE)</f>
        <v>USD</v>
      </c>
      <c r="F1897" s="15">
        <f ca="1">IFERROR(__xludf.DUMMYFUNCTION("IF(E1897=""USD"",B1897,B1897 * GOOGLEFINANCE(""CURRENCY:"" &amp; E1897 &amp; ""USD""))
"),50200000)</f>
        <v>50200000</v>
      </c>
      <c r="G1897" s="16">
        <f ca="1">IFERROR(__xludf.DUMMYFUNCTION("IF(E1897=""USD"",C1897,C1897 * GOOGLEFINANCE(""CURRENCY:"" &amp; E1897 &amp; ""USD""))
"),62453315)</f>
        <v>62453315</v>
      </c>
    </row>
    <row r="1898" spans="1:7" ht="15.75" customHeight="1" x14ac:dyDescent="0.25">
      <c r="A1898" s="11" t="s">
        <v>24</v>
      </c>
      <c r="B1898" s="12">
        <v>12000000</v>
      </c>
      <c r="C1898" s="12">
        <v>79568000</v>
      </c>
      <c r="D1898" s="12">
        <v>1983</v>
      </c>
      <c r="E1898" s="12" t="str">
        <f>VLOOKUP(A1898, Currency!$A$2:$B$100, 2, FALSE)</f>
        <v>USD</v>
      </c>
      <c r="F1898" s="12">
        <f ca="1">IFERROR(__xludf.DUMMYFUNCTION("IF(E1898=""USD"",B1898,B1898 * GOOGLEFINANCE(""CURRENCY:"" &amp; E1898 &amp; ""USD""))
"),12000000)</f>
        <v>12000000</v>
      </c>
      <c r="G1898" s="13">
        <f ca="1">IFERROR(__xludf.DUMMYFUNCTION("IF(E1898=""USD"",C1898,C1898 * GOOGLEFINANCE(""CURRENCY:"" &amp; E1898 &amp; ""USD""))
"),79568000)</f>
        <v>79568000</v>
      </c>
    </row>
    <row r="1899" spans="1:7" ht="15.75" customHeight="1" x14ac:dyDescent="0.25">
      <c r="A1899" s="14" t="s">
        <v>611</v>
      </c>
      <c r="B1899" s="15">
        <v>45000000</v>
      </c>
      <c r="C1899" s="15">
        <v>15523168</v>
      </c>
      <c r="D1899" s="15">
        <v>2010</v>
      </c>
      <c r="E1899" s="15" t="str">
        <f>VLOOKUP(A1899, Currency!$A$2:$B$100, 2, FALSE)</f>
        <v>EUR</v>
      </c>
      <c r="F1899" s="15">
        <f ca="1">IFERROR(__xludf.DUMMYFUNCTION("IF(E1899=""USD"",B1899,B1899 * GOOGLEFINANCE(""CURRENCY:"" &amp; E1899 &amp; ""USD""))
"),48813300)</f>
        <v>48813300</v>
      </c>
      <c r="G1899" s="16">
        <f ca="1">IFERROR(__xludf.DUMMYFUNCTION("IF(E1899=""USD"",C1899,C1899 * GOOGLEFINANCE(""CURRENCY:"" &amp; E1899 &amp; ""USD""))
"),16838601.25632)</f>
        <v>16838601.25632</v>
      </c>
    </row>
    <row r="1900" spans="1:7" ht="15.75" customHeight="1" x14ac:dyDescent="0.25">
      <c r="A1900" s="11" t="s">
        <v>24</v>
      </c>
      <c r="B1900" s="12">
        <v>30000000</v>
      </c>
      <c r="C1900" s="12">
        <v>51475962</v>
      </c>
      <c r="D1900" s="12">
        <v>2003</v>
      </c>
      <c r="E1900" s="12" t="str">
        <f>VLOOKUP(A1900, Currency!$A$2:$B$100, 2, FALSE)</f>
        <v>USD</v>
      </c>
      <c r="F1900" s="12">
        <f ca="1">IFERROR(__xludf.DUMMYFUNCTION("IF(E1900=""USD"",B1900,B1900 * GOOGLEFINANCE(""CURRENCY:"" &amp; E1900 &amp; ""USD""))
"),30000000)</f>
        <v>30000000</v>
      </c>
      <c r="G1900" s="13">
        <f ca="1">IFERROR(__xludf.DUMMYFUNCTION("IF(E1900=""USD"",C1900,C1900 * GOOGLEFINANCE(""CURRENCY:"" &amp; E1900 &amp; ""USD""))
"),51475962)</f>
        <v>51475962</v>
      </c>
    </row>
    <row r="1901" spans="1:7" ht="15.75" customHeight="1" x14ac:dyDescent="0.25">
      <c r="A1901" s="14" t="s">
        <v>24</v>
      </c>
      <c r="B1901" s="15">
        <v>6900000</v>
      </c>
      <c r="C1901" s="15">
        <v>41400000</v>
      </c>
      <c r="D1901" s="15">
        <v>1985</v>
      </c>
      <c r="E1901" s="15" t="str">
        <f>VLOOKUP(A1901, Currency!$A$2:$B$100, 2, FALSE)</f>
        <v>USD</v>
      </c>
      <c r="F1901" s="15">
        <f ca="1">IFERROR(__xludf.DUMMYFUNCTION("IF(E1901=""USD"",B1901,B1901 * GOOGLEFINANCE(""CURRENCY:"" &amp; E1901 &amp; ""USD""))
"),6900000)</f>
        <v>6900000</v>
      </c>
      <c r="G1901" s="16">
        <f ca="1">IFERROR(__xludf.DUMMYFUNCTION("IF(E1901=""USD"",C1901,C1901 * GOOGLEFINANCE(""CURRENCY:"" &amp; E1901 &amp; ""USD""))
"),41400000)</f>
        <v>41400000</v>
      </c>
    </row>
    <row r="1902" spans="1:7" ht="15.75" customHeight="1" x14ac:dyDescent="0.25">
      <c r="A1902" s="11" t="s">
        <v>24</v>
      </c>
      <c r="B1902" s="12">
        <v>13000000</v>
      </c>
      <c r="C1902" s="12">
        <v>23947</v>
      </c>
      <c r="D1902" s="12">
        <v>2004</v>
      </c>
      <c r="E1902" s="12" t="str">
        <f>VLOOKUP(A1902, Currency!$A$2:$B$100, 2, FALSE)</f>
        <v>USD</v>
      </c>
      <c r="F1902" s="12">
        <f ca="1">IFERROR(__xludf.DUMMYFUNCTION("IF(E1902=""USD"",B1902,B1902 * GOOGLEFINANCE(""CURRENCY:"" &amp; E1902 &amp; ""USD""))
"),13000000)</f>
        <v>13000000</v>
      </c>
      <c r="G1902" s="13">
        <f ca="1">IFERROR(__xludf.DUMMYFUNCTION("IF(E1902=""USD"",C1902,C1902 * GOOGLEFINANCE(""CURRENCY:"" &amp; E1902 &amp; ""USD""))
"),23947)</f>
        <v>23947</v>
      </c>
    </row>
    <row r="1903" spans="1:7" ht="15.75" customHeight="1" x14ac:dyDescent="0.25">
      <c r="A1903" s="14" t="s">
        <v>41</v>
      </c>
      <c r="B1903" s="15">
        <v>1200000</v>
      </c>
      <c r="C1903" s="15">
        <v>6100000</v>
      </c>
      <c r="D1903" s="15">
        <v>1966</v>
      </c>
      <c r="E1903" s="15" t="str">
        <f>VLOOKUP(A1903, Currency!$A$2:$B$100, 2, FALSE)</f>
        <v>EUR</v>
      </c>
      <c r="F1903" s="15">
        <f ca="1">IFERROR(__xludf.DUMMYFUNCTION("IF(E1903=""USD"",B1903,B1903 * GOOGLEFINANCE(""CURRENCY:"" &amp; E1903 &amp; ""USD""))
"),1301688)</f>
        <v>1301688</v>
      </c>
      <c r="G1903" s="16">
        <f ca="1">IFERROR(__xludf.DUMMYFUNCTION("IF(E1903=""USD"",C1903,C1903 * GOOGLEFINANCE(""CURRENCY:"" &amp; E1903 &amp; ""USD""))
"),6616914)</f>
        <v>6616914</v>
      </c>
    </row>
    <row r="1904" spans="1:7" ht="15.75" customHeight="1" x14ac:dyDescent="0.25">
      <c r="A1904" s="11" t="s">
        <v>24</v>
      </c>
      <c r="B1904" s="12">
        <v>9000000</v>
      </c>
      <c r="C1904" s="12">
        <v>25530884</v>
      </c>
      <c r="D1904" s="12">
        <v>2000</v>
      </c>
      <c r="E1904" s="12" t="str">
        <f>VLOOKUP(A1904, Currency!$A$2:$B$100, 2, FALSE)</f>
        <v>USD</v>
      </c>
      <c r="F1904" s="12">
        <f ca="1">IFERROR(__xludf.DUMMYFUNCTION("IF(E1904=""USD"",B1904,B1904 * GOOGLEFINANCE(""CURRENCY:"" &amp; E1904 &amp; ""USD""))
"),9000000)</f>
        <v>9000000</v>
      </c>
      <c r="G1904" s="13">
        <f ca="1">IFERROR(__xludf.DUMMYFUNCTION("IF(E1904=""USD"",C1904,C1904 * GOOGLEFINANCE(""CURRENCY:"" &amp; E1904 &amp; ""USD""))
"),25530884)</f>
        <v>25530884</v>
      </c>
    </row>
    <row r="1905" spans="1:7" ht="15.75" customHeight="1" x14ac:dyDescent="0.25">
      <c r="A1905" s="14" t="s">
        <v>24</v>
      </c>
      <c r="B1905" s="15">
        <v>28000000</v>
      </c>
      <c r="C1905" s="15">
        <v>27000000</v>
      </c>
      <c r="D1905" s="15">
        <v>1982</v>
      </c>
      <c r="E1905" s="15" t="str">
        <f>VLOOKUP(A1905, Currency!$A$2:$B$100, 2, FALSE)</f>
        <v>USD</v>
      </c>
      <c r="F1905" s="15">
        <f ca="1">IFERROR(__xludf.DUMMYFUNCTION("IF(E1905=""USD"",B1905,B1905 * GOOGLEFINANCE(""CURRENCY:"" &amp; E1905 &amp; ""USD""))
"),28000000)</f>
        <v>28000000</v>
      </c>
      <c r="G1905" s="16">
        <f ca="1">IFERROR(__xludf.DUMMYFUNCTION("IF(E1905=""USD"",C1905,C1905 * GOOGLEFINANCE(""CURRENCY:"" &amp; E1905 &amp; ""USD""))
"),27000000)</f>
        <v>27000000</v>
      </c>
    </row>
    <row r="1906" spans="1:7" ht="15.75" customHeight="1" x14ac:dyDescent="0.25">
      <c r="A1906" s="11" t="s">
        <v>24</v>
      </c>
      <c r="B1906" s="12">
        <v>80000000</v>
      </c>
      <c r="C1906" s="12">
        <v>127968405</v>
      </c>
      <c r="D1906" s="12">
        <v>2010</v>
      </c>
      <c r="E1906" s="12" t="str">
        <f>VLOOKUP(A1906, Currency!$A$2:$B$100, 2, FALSE)</f>
        <v>USD</v>
      </c>
      <c r="F1906" s="12">
        <f ca="1">IFERROR(__xludf.DUMMYFUNCTION("IF(E1906=""USD"",B1906,B1906 * GOOGLEFINANCE(""CURRENCY:"" &amp; E1906 &amp; ""USD""))
"),80000000)</f>
        <v>80000000</v>
      </c>
      <c r="G1906" s="13">
        <f ca="1">IFERROR(__xludf.DUMMYFUNCTION("IF(E1906=""USD"",C1906,C1906 * GOOGLEFINANCE(""CURRENCY:"" &amp; E1906 &amp; ""USD""))
"),127968405)</f>
        <v>127968405</v>
      </c>
    </row>
    <row r="1907" spans="1:7" ht="15.75" customHeight="1" x14ac:dyDescent="0.25">
      <c r="A1907" s="14" t="s">
        <v>24</v>
      </c>
      <c r="B1907" s="15">
        <v>40000000</v>
      </c>
      <c r="C1907" s="15">
        <v>37553932</v>
      </c>
      <c r="D1907" s="15">
        <v>2011</v>
      </c>
      <c r="E1907" s="15" t="str">
        <f>VLOOKUP(A1907, Currency!$A$2:$B$100, 2, FALSE)</f>
        <v>USD</v>
      </c>
      <c r="F1907" s="15">
        <f ca="1">IFERROR(__xludf.DUMMYFUNCTION("IF(E1907=""USD"",B1907,B1907 * GOOGLEFINANCE(""CURRENCY:"" &amp; E1907 &amp; ""USD""))
"),40000000)</f>
        <v>40000000</v>
      </c>
      <c r="G1907" s="16">
        <f ca="1">IFERROR(__xludf.DUMMYFUNCTION("IF(E1907=""USD"",C1907,C1907 * GOOGLEFINANCE(""CURRENCY:"" &amp; E1907 &amp; ""USD""))
"),37553932)</f>
        <v>37553932</v>
      </c>
    </row>
    <row r="1908" spans="1:7" ht="15.75" customHeight="1" x14ac:dyDescent="0.25">
      <c r="A1908" s="11" t="s">
        <v>24</v>
      </c>
      <c r="B1908" s="12">
        <v>23000000</v>
      </c>
      <c r="C1908" s="12">
        <v>39235088</v>
      </c>
      <c r="D1908" s="12">
        <v>2000</v>
      </c>
      <c r="E1908" s="12" t="str">
        <f>VLOOKUP(A1908, Currency!$A$2:$B$100, 2, FALSE)</f>
        <v>USD</v>
      </c>
      <c r="F1908" s="12">
        <f ca="1">IFERROR(__xludf.DUMMYFUNCTION("IF(E1908=""USD"",B1908,B1908 * GOOGLEFINANCE(""CURRENCY:"" &amp; E1908 &amp; ""USD""))
"),23000000)</f>
        <v>23000000</v>
      </c>
      <c r="G1908" s="13">
        <f ca="1">IFERROR(__xludf.DUMMYFUNCTION("IF(E1908=""USD"",C1908,C1908 * GOOGLEFINANCE(""CURRENCY:"" &amp; E1908 &amp; ""USD""))
"),39235088)</f>
        <v>39235088</v>
      </c>
    </row>
    <row r="1909" spans="1:7" ht="15.75" customHeight="1" x14ac:dyDescent="0.25">
      <c r="A1909" s="14" t="s">
        <v>6390</v>
      </c>
      <c r="B1909" s="15">
        <v>1100000</v>
      </c>
      <c r="C1909" s="15">
        <v>4105123</v>
      </c>
      <c r="D1909" s="15">
        <v>2011</v>
      </c>
      <c r="E1909" s="15" t="str">
        <f>VLOOKUP(A1909, Currency!$A$2:$B$100, 2, FALSE)</f>
        <v>IDR</v>
      </c>
      <c r="F1909" s="15">
        <f ca="1">IFERROR(__xludf.DUMMYFUNCTION("IF(E1909=""USD"",B1909,B1909 * GOOGLEFINANCE(""CURRENCY:"" &amp; E1909 &amp; ""USD""))
"),67.35663)</f>
        <v>67.356629999999996</v>
      </c>
      <c r="G1909" s="16">
        <f ca="1">IFERROR(__xludf.DUMMYFUNCTION("IF(E1909=""USD"",C1909,C1909 * GOOGLEFINANCE(""CURRENCY:"" &amp; E1909 &amp; ""USD""))
"),251.370228195899)</f>
        <v>251.37022819589899</v>
      </c>
    </row>
    <row r="1910" spans="1:7" ht="15.75" customHeight="1" x14ac:dyDescent="0.25">
      <c r="A1910" s="11" t="s">
        <v>24</v>
      </c>
      <c r="B1910" s="12">
        <v>7500000</v>
      </c>
      <c r="C1910" s="12">
        <v>12610552</v>
      </c>
      <c r="D1910" s="12">
        <v>1999</v>
      </c>
      <c r="E1910" s="12" t="str">
        <f>VLOOKUP(A1910, Currency!$A$2:$B$100, 2, FALSE)</f>
        <v>USD</v>
      </c>
      <c r="F1910" s="12">
        <f ca="1">IFERROR(__xludf.DUMMYFUNCTION("IF(E1910=""USD"",B1910,B1910 * GOOGLEFINANCE(""CURRENCY:"" &amp; E1910 &amp; ""USD""))
"),7500000)</f>
        <v>7500000</v>
      </c>
      <c r="G1910" s="13">
        <f ca="1">IFERROR(__xludf.DUMMYFUNCTION("IF(E1910=""USD"",C1910,C1910 * GOOGLEFINANCE(""CURRENCY:"" &amp; E1910 &amp; ""USD""))
"),12610552)</f>
        <v>12610552</v>
      </c>
    </row>
    <row r="1911" spans="1:7" ht="15.75" customHeight="1" x14ac:dyDescent="0.25">
      <c r="A1911" s="14" t="s">
        <v>133</v>
      </c>
      <c r="B1911" s="15">
        <v>15000000</v>
      </c>
      <c r="C1911" s="15">
        <v>353743</v>
      </c>
      <c r="D1911" s="15">
        <v>2001</v>
      </c>
      <c r="E1911" s="15" t="str">
        <f>VLOOKUP(A1911, Currency!$A$2:$B$100, 2, FALSE)</f>
        <v>GBP</v>
      </c>
      <c r="F1911" s="15">
        <f ca="1">IFERROR(__xludf.DUMMYFUNCTION("IF(E1911=""USD"",B1911,B1911 * GOOGLEFINANCE(""CURRENCY:"" &amp; E1911 &amp; ""USD""))
"),19281000)</f>
        <v>19281000</v>
      </c>
      <c r="G1911" s="16">
        <f ca="1">IFERROR(__xludf.DUMMYFUNCTION("IF(E1911=""USD"",C1911,C1911 * GOOGLEFINANCE(""CURRENCY:"" &amp; E1911 &amp; ""USD""))
"),454701.252199999)</f>
        <v>454701.252199999</v>
      </c>
    </row>
    <row r="1912" spans="1:7" ht="15.75" customHeight="1" x14ac:dyDescent="0.25">
      <c r="A1912" s="11" t="s">
        <v>24</v>
      </c>
      <c r="B1912" s="12">
        <v>35000000</v>
      </c>
      <c r="C1912" s="12">
        <v>73023275</v>
      </c>
      <c r="D1912" s="12">
        <v>2009</v>
      </c>
      <c r="E1912" s="12" t="str">
        <f>VLOOKUP(A1912, Currency!$A$2:$B$100, 2, FALSE)</f>
        <v>USD</v>
      </c>
      <c r="F1912" s="12">
        <f ca="1">IFERROR(__xludf.DUMMYFUNCTION("IF(E1912=""USD"",B1912,B1912 * GOOGLEFINANCE(""CURRENCY:"" &amp; E1912 &amp; ""USD""))
"),35000000)</f>
        <v>35000000</v>
      </c>
      <c r="G1912" s="13">
        <f ca="1">IFERROR(__xludf.DUMMYFUNCTION("IF(E1912=""USD"",C1912,C1912 * GOOGLEFINANCE(""CURRENCY:"" &amp; E1912 &amp; ""USD""))
"),73023275)</f>
        <v>73023275</v>
      </c>
    </row>
    <row r="1913" spans="1:7" ht="15.75" customHeight="1" x14ac:dyDescent="0.25">
      <c r="A1913" s="14" t="s">
        <v>24</v>
      </c>
      <c r="B1913" s="15">
        <v>36000000</v>
      </c>
      <c r="C1913" s="15">
        <v>50213619</v>
      </c>
      <c r="D1913" s="15">
        <v>2010</v>
      </c>
      <c r="E1913" s="15" t="str">
        <f>VLOOKUP(A1913, Currency!$A$2:$B$100, 2, FALSE)</f>
        <v>USD</v>
      </c>
      <c r="F1913" s="15">
        <f ca="1">IFERROR(__xludf.DUMMYFUNCTION("IF(E1913=""USD"",B1913,B1913 * GOOGLEFINANCE(""CURRENCY:"" &amp; E1913 &amp; ""USD""))
"),36000000)</f>
        <v>36000000</v>
      </c>
      <c r="G1913" s="16">
        <f ca="1">IFERROR(__xludf.DUMMYFUNCTION("IF(E1913=""USD"",C1913,C1913 * GOOGLEFINANCE(""CURRENCY:"" &amp; E1913 &amp; ""USD""))
"),50213619)</f>
        <v>50213619</v>
      </c>
    </row>
    <row r="1914" spans="1:7" ht="15.75" customHeight="1" x14ac:dyDescent="0.25">
      <c r="A1914" s="11" t="s">
        <v>24</v>
      </c>
      <c r="B1914" s="12">
        <v>23500000</v>
      </c>
      <c r="C1914" s="12">
        <v>10696210</v>
      </c>
      <c r="D1914" s="12">
        <v>1993</v>
      </c>
      <c r="E1914" s="12" t="str">
        <f>VLOOKUP(A1914, Currency!$A$2:$B$100, 2, FALSE)</f>
        <v>USD</v>
      </c>
      <c r="F1914" s="12">
        <f ca="1">IFERROR(__xludf.DUMMYFUNCTION("IF(E1914=""USD"",B1914,B1914 * GOOGLEFINANCE(""CURRENCY:"" &amp; E1914 &amp; ""USD""))
"),23500000)</f>
        <v>23500000</v>
      </c>
      <c r="G1914" s="13">
        <f ca="1">IFERROR(__xludf.DUMMYFUNCTION("IF(E1914=""USD"",C1914,C1914 * GOOGLEFINANCE(""CURRENCY:"" &amp; E1914 &amp; ""USD""))
"),10696210)</f>
        <v>10696210</v>
      </c>
    </row>
    <row r="1915" spans="1:7" ht="15.75" customHeight="1" x14ac:dyDescent="0.25">
      <c r="A1915" s="14" t="s">
        <v>24</v>
      </c>
      <c r="B1915" s="15">
        <v>34000000</v>
      </c>
      <c r="C1915" s="15">
        <v>37432299</v>
      </c>
      <c r="D1915" s="15">
        <v>2015</v>
      </c>
      <c r="E1915" s="15" t="str">
        <f>VLOOKUP(A1915, Currency!$A$2:$B$100, 2, FALSE)</f>
        <v>USD</v>
      </c>
      <c r="F1915" s="15">
        <f ca="1">IFERROR(__xludf.DUMMYFUNCTION("IF(E1915=""USD"",B1915,B1915 * GOOGLEFINANCE(""CURRENCY:"" &amp; E1915 &amp; ""USD""))
"),34000000)</f>
        <v>34000000</v>
      </c>
      <c r="G1915" s="16">
        <f ca="1">IFERROR(__xludf.DUMMYFUNCTION("IF(E1915=""USD"",C1915,C1915 * GOOGLEFINANCE(""CURRENCY:"" &amp; E1915 &amp; ""USD""))
"),37432299)</f>
        <v>37432299</v>
      </c>
    </row>
    <row r="1916" spans="1:7" ht="15.75" customHeight="1" x14ac:dyDescent="0.25">
      <c r="A1916" s="11" t="s">
        <v>627</v>
      </c>
      <c r="B1916" s="12">
        <v>15000000</v>
      </c>
      <c r="C1916" s="12">
        <v>1039869</v>
      </c>
      <c r="D1916" s="12">
        <v>2010</v>
      </c>
      <c r="E1916" s="12" t="str">
        <f>VLOOKUP(A1916, Currency!$A$2:$B$100, 2, FALSE)</f>
        <v>CAD</v>
      </c>
      <c r="F1916" s="12">
        <f ca="1">IFERROR(__xludf.DUMMYFUNCTION("IF(E1916=""USD"",B1916,B1916 * GOOGLEFINANCE(""CURRENCY:"" &amp; E1916 &amp; ""USD""))
"),10851075)</f>
        <v>10851075</v>
      </c>
      <c r="G1916" s="13">
        <f ca="1">IFERROR(__xludf.DUMMYFUNCTION("IF(E1916=""USD"",C1916,C1916 * GOOGLEFINANCE(""CURRENCY:"" &amp; E1916 &amp; ""USD""))
"),752246.433944999)</f>
        <v>752246.43394499901</v>
      </c>
    </row>
    <row r="1917" spans="1:7" ht="15.75" customHeight="1" x14ac:dyDescent="0.25">
      <c r="A1917" s="14" t="s">
        <v>24</v>
      </c>
      <c r="B1917" s="15">
        <v>40000000</v>
      </c>
      <c r="C1917" s="15">
        <v>18438149</v>
      </c>
      <c r="D1917" s="15">
        <v>2012</v>
      </c>
      <c r="E1917" s="15" t="str">
        <f>VLOOKUP(A1917, Currency!$A$2:$B$100, 2, FALSE)</f>
        <v>USD</v>
      </c>
      <c r="F1917" s="15">
        <f ca="1">IFERROR(__xludf.DUMMYFUNCTION("IF(E1917=""USD"",B1917,B1917 * GOOGLEFINANCE(""CURRENCY:"" &amp; E1917 &amp; ""USD""))
"),40000000)</f>
        <v>40000000</v>
      </c>
      <c r="G1917" s="16">
        <f ca="1">IFERROR(__xludf.DUMMYFUNCTION("IF(E1917=""USD"",C1917,C1917 * GOOGLEFINANCE(""CURRENCY:"" &amp; E1917 &amp; ""USD""))
"),18438149)</f>
        <v>18438149</v>
      </c>
    </row>
    <row r="1918" spans="1:7" ht="15.75" customHeight="1" x14ac:dyDescent="0.25">
      <c r="A1918" s="11" t="s">
        <v>24</v>
      </c>
      <c r="B1918" s="12">
        <v>9000000</v>
      </c>
      <c r="C1918" s="12">
        <v>18761993</v>
      </c>
      <c r="D1918" s="12">
        <v>2005</v>
      </c>
      <c r="E1918" s="12" t="str">
        <f>VLOOKUP(A1918, Currency!$A$2:$B$100, 2, FALSE)</f>
        <v>USD</v>
      </c>
      <c r="F1918" s="12">
        <f ca="1">IFERROR(__xludf.DUMMYFUNCTION("IF(E1918=""USD"",B1918,B1918 * GOOGLEFINANCE(""CURRENCY:"" &amp; E1918 &amp; ""USD""))
"),9000000)</f>
        <v>9000000</v>
      </c>
      <c r="G1918" s="13">
        <f ca="1">IFERROR(__xludf.DUMMYFUNCTION("IF(E1918=""USD"",C1918,C1918 * GOOGLEFINANCE(""CURRENCY:"" &amp; E1918 &amp; ""USD""))
"),18761993)</f>
        <v>18761993</v>
      </c>
    </row>
    <row r="1919" spans="1:7" ht="15.75" customHeight="1" x14ac:dyDescent="0.25">
      <c r="A1919" s="14" t="s">
        <v>24</v>
      </c>
      <c r="B1919" s="15">
        <v>80000000</v>
      </c>
      <c r="C1919" s="15">
        <v>41523271</v>
      </c>
      <c r="D1919" s="15">
        <v>2001</v>
      </c>
      <c r="E1919" s="15" t="str">
        <f>VLOOKUP(A1919, Currency!$A$2:$B$100, 2, FALSE)</f>
        <v>USD</v>
      </c>
      <c r="F1919" s="15">
        <f ca="1">IFERROR(__xludf.DUMMYFUNCTION("IF(E1919=""USD"",B1919,B1919 * GOOGLEFINANCE(""CURRENCY:"" &amp; E1919 &amp; ""USD""))
"),80000000)</f>
        <v>80000000</v>
      </c>
      <c r="G1919" s="16">
        <f ca="1">IFERROR(__xludf.DUMMYFUNCTION("IF(E1919=""USD"",C1919,C1919 * GOOGLEFINANCE(""CURRENCY:"" &amp; E1919 &amp; ""USD""))
"),41523271)</f>
        <v>41523271</v>
      </c>
    </row>
    <row r="1920" spans="1:7" ht="15.75" customHeight="1" x14ac:dyDescent="0.25">
      <c r="A1920" s="11" t="s">
        <v>24</v>
      </c>
      <c r="B1920" s="12">
        <v>15000000</v>
      </c>
      <c r="C1920" s="12">
        <v>30226144</v>
      </c>
      <c r="D1920" s="12">
        <v>2007</v>
      </c>
      <c r="E1920" s="12" t="str">
        <f>VLOOKUP(A1920, Currency!$A$2:$B$100, 2, FALSE)</f>
        <v>USD</v>
      </c>
      <c r="F1920" s="12">
        <f ca="1">IFERROR(__xludf.DUMMYFUNCTION("IF(E1920=""USD"",B1920,B1920 * GOOGLEFINANCE(""CURRENCY:"" &amp; E1920 &amp; ""USD""))
"),15000000)</f>
        <v>15000000</v>
      </c>
      <c r="G1920" s="13">
        <f ca="1">IFERROR(__xludf.DUMMYFUNCTION("IF(E1920=""USD"",C1920,C1920 * GOOGLEFINANCE(""CURRENCY:"" &amp; E1920 &amp; ""USD""))
"),30226144)</f>
        <v>30226144</v>
      </c>
    </row>
    <row r="1921" spans="1:7" ht="15.75" customHeight="1" x14ac:dyDescent="0.25">
      <c r="A1921" s="14" t="s">
        <v>611</v>
      </c>
      <c r="B1921" s="15">
        <v>28000000</v>
      </c>
      <c r="C1921" s="15">
        <v>38372662</v>
      </c>
      <c r="D1921" s="15">
        <v>2005</v>
      </c>
      <c r="E1921" s="15" t="str">
        <f>VLOOKUP(A1921, Currency!$A$2:$B$100, 2, FALSE)</f>
        <v>EUR</v>
      </c>
      <c r="F1921" s="15">
        <f ca="1">IFERROR(__xludf.DUMMYFUNCTION("IF(E1921=""USD"",B1921,B1921 * GOOGLEFINANCE(""CURRENCY:"" &amp; E1921 &amp; ""USD""))
"),30372720)</f>
        <v>30372720</v>
      </c>
      <c r="G1921" s="16">
        <f ca="1">IFERROR(__xludf.DUMMYFUNCTION("IF(E1921=""USD"",C1921,C1921 * GOOGLEFINANCE(""CURRENCY:"" &amp; E1921 &amp; ""USD""))
"),41624361.37788)</f>
        <v>41624361.37788</v>
      </c>
    </row>
    <row r="1922" spans="1:7" ht="15.75" customHeight="1" x14ac:dyDescent="0.25">
      <c r="A1922" s="11" t="s">
        <v>24</v>
      </c>
      <c r="B1922" s="12">
        <v>185000000</v>
      </c>
      <c r="C1922" s="12">
        <v>533316061</v>
      </c>
      <c r="D1922" s="12">
        <v>2008</v>
      </c>
      <c r="E1922" s="12" t="str">
        <f>VLOOKUP(A1922, Currency!$A$2:$B$100, 2, FALSE)</f>
        <v>USD</v>
      </c>
      <c r="F1922" s="12">
        <f ca="1">IFERROR(__xludf.DUMMYFUNCTION("IF(E1922=""USD"",B1922,B1922 * GOOGLEFINANCE(""CURRENCY:"" &amp; E1922 &amp; ""USD""))
"),185000000)</f>
        <v>185000000</v>
      </c>
      <c r="G1922" s="13">
        <f ca="1">IFERROR(__xludf.DUMMYFUNCTION("IF(E1922=""USD"",C1922,C1922 * GOOGLEFINANCE(""CURRENCY:"" &amp; E1922 &amp; ""USD""))
"),533316061)</f>
        <v>533316061</v>
      </c>
    </row>
    <row r="1923" spans="1:7" ht="15.75" customHeight="1" x14ac:dyDescent="0.25">
      <c r="A1923" s="14" t="s">
        <v>24</v>
      </c>
      <c r="B1923" s="15">
        <v>32000000</v>
      </c>
      <c r="C1923" s="15">
        <v>35228696</v>
      </c>
      <c r="D1923" s="15">
        <v>2002</v>
      </c>
      <c r="E1923" s="15" t="str">
        <f>VLOOKUP(A1923, Currency!$A$2:$B$100, 2, FALSE)</f>
        <v>USD</v>
      </c>
      <c r="F1923" s="15">
        <f ca="1">IFERROR(__xludf.DUMMYFUNCTION("IF(E1923=""USD"",B1923,B1923 * GOOGLEFINANCE(""CURRENCY:"" &amp; E1923 &amp; ""USD""))
"),32000000)</f>
        <v>32000000</v>
      </c>
      <c r="G1923" s="16">
        <f ca="1">IFERROR(__xludf.DUMMYFUNCTION("IF(E1923=""USD"",C1923,C1923 * GOOGLEFINANCE(""CURRENCY:"" &amp; E1923 &amp; ""USD""))
"),35228696)</f>
        <v>35228696</v>
      </c>
    </row>
    <row r="1924" spans="1:7" ht="15.75" customHeight="1" x14ac:dyDescent="0.25">
      <c r="A1924" s="11" t="s">
        <v>24</v>
      </c>
      <c r="B1924" s="12">
        <v>9000000</v>
      </c>
      <c r="C1924" s="12">
        <v>883887</v>
      </c>
      <c r="D1924" s="12">
        <v>2009</v>
      </c>
      <c r="E1924" s="12" t="str">
        <f>VLOOKUP(A1924, Currency!$A$2:$B$100, 2, FALSE)</f>
        <v>USD</v>
      </c>
      <c r="F1924" s="12">
        <f ca="1">IFERROR(__xludf.DUMMYFUNCTION("IF(E1924=""USD"",B1924,B1924 * GOOGLEFINANCE(""CURRENCY:"" &amp; E1924 &amp; ""USD""))
"),9000000)</f>
        <v>9000000</v>
      </c>
      <c r="G1924" s="13">
        <f ca="1">IFERROR(__xludf.DUMMYFUNCTION("IF(E1924=""USD"",C1924,C1924 * GOOGLEFINANCE(""CURRENCY:"" &amp; E1924 &amp; ""USD""))
"),883887)</f>
        <v>883887</v>
      </c>
    </row>
    <row r="1925" spans="1:7" ht="15.75" customHeight="1" x14ac:dyDescent="0.25">
      <c r="A1925" s="14" t="s">
        <v>24</v>
      </c>
      <c r="B1925" s="15">
        <v>32000000</v>
      </c>
      <c r="C1925" s="15">
        <v>104632573</v>
      </c>
      <c r="D1925" s="15">
        <v>1996</v>
      </c>
      <c r="E1925" s="15" t="str">
        <f>VLOOKUP(A1925, Currency!$A$2:$B$100, 2, FALSE)</f>
        <v>USD</v>
      </c>
      <c r="F1925" s="15">
        <f ca="1">IFERROR(__xludf.DUMMYFUNCTION("IF(E1925=""USD"",B1925,B1925 * GOOGLEFINANCE(""CURRENCY:"" &amp; E1925 &amp; ""USD""))
"),32000000)</f>
        <v>32000000</v>
      </c>
      <c r="G1925" s="16">
        <f ca="1">IFERROR(__xludf.DUMMYFUNCTION("IF(E1925=""USD"",C1925,C1925 * GOOGLEFINANCE(""CURRENCY:"" &amp; E1925 &amp; ""USD""))
"),104632573)</f>
        <v>104632573</v>
      </c>
    </row>
    <row r="1926" spans="1:7" ht="15.75" customHeight="1" x14ac:dyDescent="0.25">
      <c r="A1926" s="11" t="s">
        <v>133</v>
      </c>
      <c r="B1926" s="12">
        <v>42000000</v>
      </c>
      <c r="C1926" s="12">
        <v>13208023</v>
      </c>
      <c r="D1926" s="12">
        <v>2002</v>
      </c>
      <c r="E1926" s="12" t="str">
        <f>VLOOKUP(A1926, Currency!$A$2:$B$100, 2, FALSE)</f>
        <v>GBP</v>
      </c>
      <c r="F1926" s="12">
        <f ca="1">IFERROR(__xludf.DUMMYFUNCTION("IF(E1926=""USD"",B1926,B1926 * GOOGLEFINANCE(""CURRENCY:"" &amp; E1926 &amp; ""USD""))
"),53986799.9999999)</f>
        <v>53986799.999999903</v>
      </c>
      <c r="G1926" s="13">
        <f ca="1">IFERROR(__xludf.DUMMYFUNCTION("IF(E1926=""USD"",C1926,C1926 * GOOGLEFINANCE(""CURRENCY:"" &amp; E1926 &amp; ""USD""))
"),16977592.7642)</f>
        <v>16977592.764199998</v>
      </c>
    </row>
    <row r="1927" spans="1:7" ht="15.75" customHeight="1" x14ac:dyDescent="0.25">
      <c r="A1927" s="14" t="s">
        <v>24</v>
      </c>
      <c r="B1927" s="15">
        <v>50000000</v>
      </c>
      <c r="C1927" s="15">
        <v>35168395</v>
      </c>
      <c r="D1927" s="15">
        <v>1999</v>
      </c>
      <c r="E1927" s="15" t="str">
        <f>VLOOKUP(A1927, Currency!$A$2:$B$100, 2, FALSE)</f>
        <v>USD</v>
      </c>
      <c r="F1927" s="15">
        <f ca="1">IFERROR(__xludf.DUMMYFUNCTION("IF(E1927=""USD"",B1927,B1927 * GOOGLEFINANCE(""CURRENCY:"" &amp; E1927 &amp; ""USD""))
"),50000000)</f>
        <v>50000000</v>
      </c>
      <c r="G1927" s="16">
        <f ca="1">IFERROR(__xludf.DUMMYFUNCTION("IF(E1927=""USD"",C1927,C1927 * GOOGLEFINANCE(""CURRENCY:"" &amp; E1927 &amp; ""USD""))
"),35168395)</f>
        <v>35168395</v>
      </c>
    </row>
    <row r="1928" spans="1:7" ht="15.75" customHeight="1" x14ac:dyDescent="0.25">
      <c r="A1928" s="11" t="s">
        <v>24</v>
      </c>
      <c r="B1928" s="12">
        <v>39000000</v>
      </c>
      <c r="C1928" s="12">
        <v>5881504</v>
      </c>
      <c r="D1928" s="12">
        <v>2004</v>
      </c>
      <c r="E1928" s="12" t="str">
        <f>VLOOKUP(A1928, Currency!$A$2:$B$100, 2, FALSE)</f>
        <v>USD</v>
      </c>
      <c r="F1928" s="12">
        <f ca="1">IFERROR(__xludf.DUMMYFUNCTION("IF(E1928=""USD"",B1928,B1928 * GOOGLEFINANCE(""CURRENCY:"" &amp; E1928 &amp; ""USD""))
"),39000000)</f>
        <v>39000000</v>
      </c>
      <c r="G1928" s="13">
        <f ca="1">IFERROR(__xludf.DUMMYFUNCTION("IF(E1928=""USD"",C1928,C1928 * GOOGLEFINANCE(""CURRENCY:"" &amp; E1928 &amp; ""USD""))
"),5881504)</f>
        <v>5881504</v>
      </c>
    </row>
    <row r="1929" spans="1:7" ht="15.75" customHeight="1" x14ac:dyDescent="0.25">
      <c r="A1929" s="14" t="s">
        <v>627</v>
      </c>
      <c r="B1929" s="15">
        <v>20000000</v>
      </c>
      <c r="C1929" s="15">
        <v>5132655</v>
      </c>
      <c r="D1929" s="15">
        <v>2005</v>
      </c>
      <c r="E1929" s="15" t="str">
        <f>VLOOKUP(A1929, Currency!$A$2:$B$100, 2, FALSE)</f>
        <v>CAD</v>
      </c>
      <c r="F1929" s="15">
        <f ca="1">IFERROR(__xludf.DUMMYFUNCTION("IF(E1929=""USD"",B1929,B1929 * GOOGLEFINANCE(""CURRENCY:"" &amp; E1929 &amp; ""USD""))
"),14468100)</f>
        <v>14468100</v>
      </c>
      <c r="G1929" s="16">
        <f ca="1">IFERROR(__xludf.DUMMYFUNCTION("IF(E1929=""USD"",C1929,C1929 * GOOGLEFINANCE(""CURRENCY:"" &amp; E1929 &amp; ""USD""))
"),3712988.290275)</f>
        <v>3712988.290275</v>
      </c>
    </row>
    <row r="1930" spans="1:7" ht="15.75" customHeight="1" x14ac:dyDescent="0.25">
      <c r="A1930" s="11" t="s">
        <v>5169</v>
      </c>
      <c r="B1930" s="12">
        <v>800000</v>
      </c>
      <c r="C1930" s="12">
        <v>41709</v>
      </c>
      <c r="D1930" s="12">
        <v>2009</v>
      </c>
      <c r="E1930" s="12" t="str">
        <f>VLOOKUP(A1930, Currency!$A$2:$B$100, 2, FALSE)</f>
        <v>NOK</v>
      </c>
      <c r="F1930" s="12">
        <f ca="1">IFERROR(__xludf.DUMMYFUNCTION("IF(E1930=""USD"",B1930,B1930 * GOOGLEFINANCE(""CURRENCY:"" &amp; E1930 &amp; ""USD""))
"),72519.2)</f>
        <v>72519.199999999997</v>
      </c>
      <c r="G1930" s="13">
        <f ca="1">IFERROR(__xludf.DUMMYFUNCTION("IF(E1930=""USD"",C1930,C1930 * GOOGLEFINANCE(""CURRENCY:"" &amp; E1930 &amp; ""USD""))
"),3780.879141)</f>
        <v>3780.8791409999999</v>
      </c>
    </row>
    <row r="1931" spans="1:7" ht="15.75" customHeight="1" x14ac:dyDescent="0.25">
      <c r="A1931" s="14" t="s">
        <v>24</v>
      </c>
      <c r="B1931" s="15">
        <v>50000000</v>
      </c>
      <c r="C1931" s="15">
        <v>52822418</v>
      </c>
      <c r="D1931" s="15">
        <v>2016</v>
      </c>
      <c r="E1931" s="15" t="str">
        <f>VLOOKUP(A1931, Currency!$A$2:$B$100, 2, FALSE)</f>
        <v>USD</v>
      </c>
      <c r="F1931" s="15">
        <f ca="1">IFERROR(__xludf.DUMMYFUNCTION("IF(E1931=""USD"",B1931,B1931 * GOOGLEFINANCE(""CURRENCY:"" &amp; E1931 &amp; ""USD""))
"),50000000)</f>
        <v>50000000</v>
      </c>
      <c r="G1931" s="16">
        <f ca="1">IFERROR(__xludf.DUMMYFUNCTION("IF(E1931=""USD"",C1931,C1931 * GOOGLEFINANCE(""CURRENCY:"" &amp; E1931 &amp; ""USD""))
"),52822418)</f>
        <v>52822418</v>
      </c>
    </row>
    <row r="1932" spans="1:7" ht="15.75" customHeight="1" x14ac:dyDescent="0.25">
      <c r="A1932" s="11" t="s">
        <v>24</v>
      </c>
      <c r="B1932" s="12">
        <v>25000000</v>
      </c>
      <c r="C1932" s="12">
        <v>39880476</v>
      </c>
      <c r="D1932" s="12">
        <v>2002</v>
      </c>
      <c r="E1932" s="12" t="str">
        <f>VLOOKUP(A1932, Currency!$A$2:$B$100, 2, FALSE)</f>
        <v>USD</v>
      </c>
      <c r="F1932" s="12">
        <f ca="1">IFERROR(__xludf.DUMMYFUNCTION("IF(E1932=""USD"",B1932,B1932 * GOOGLEFINANCE(""CURRENCY:"" &amp; E1932 &amp; ""USD""))
"),25000000)</f>
        <v>25000000</v>
      </c>
      <c r="G1932" s="13">
        <f ca="1">IFERROR(__xludf.DUMMYFUNCTION("IF(E1932=""USD"",C1932,C1932 * GOOGLEFINANCE(""CURRENCY:"" &amp; E1932 &amp; ""USD""))
"),39880476)</f>
        <v>39880476</v>
      </c>
    </row>
    <row r="1933" spans="1:7" ht="15.75" customHeight="1" x14ac:dyDescent="0.25">
      <c r="A1933" s="14" t="s">
        <v>24</v>
      </c>
      <c r="B1933" s="15">
        <v>10000000</v>
      </c>
      <c r="C1933" s="15">
        <v>6491350</v>
      </c>
      <c r="D1933" s="15">
        <v>2004</v>
      </c>
      <c r="E1933" s="15" t="str">
        <f>VLOOKUP(A1933, Currency!$A$2:$B$100, 2, FALSE)</f>
        <v>USD</v>
      </c>
      <c r="F1933" s="15">
        <f ca="1">IFERROR(__xludf.DUMMYFUNCTION("IF(E1933=""USD"",B1933,B1933 * GOOGLEFINANCE(""CURRENCY:"" &amp; E1933 &amp; ""USD""))
"),10000000)</f>
        <v>10000000</v>
      </c>
      <c r="G1933" s="16">
        <f ca="1">IFERROR(__xludf.DUMMYFUNCTION("IF(E1933=""USD"",C1933,C1933 * GOOGLEFINANCE(""CURRENCY:"" &amp; E1933 &amp; ""USD""))
"),6491350)</f>
        <v>6491350</v>
      </c>
    </row>
    <row r="1934" spans="1:7" ht="15.75" customHeight="1" x14ac:dyDescent="0.25">
      <c r="A1934" s="11" t="s">
        <v>24</v>
      </c>
      <c r="B1934" s="12">
        <v>15000000</v>
      </c>
      <c r="C1934" s="12">
        <v>47860214</v>
      </c>
      <c r="D1934" s="12">
        <v>2006</v>
      </c>
      <c r="E1934" s="12" t="str">
        <f>VLOOKUP(A1934, Currency!$A$2:$B$100, 2, FALSE)</f>
        <v>USD</v>
      </c>
      <c r="F1934" s="12">
        <f ca="1">IFERROR(__xludf.DUMMYFUNCTION("IF(E1934=""USD"",B1934,B1934 * GOOGLEFINANCE(""CURRENCY:"" &amp; E1934 &amp; ""USD""))
"),15000000)</f>
        <v>15000000</v>
      </c>
      <c r="G1934" s="13">
        <f ca="1">IFERROR(__xludf.DUMMYFUNCTION("IF(E1934=""USD"",C1934,C1934 * GOOGLEFINANCE(""CURRENCY:"" &amp; E1934 &amp; ""USD""))
"),47860214)</f>
        <v>47860214</v>
      </c>
    </row>
    <row r="1935" spans="1:7" ht="15.75" customHeight="1" x14ac:dyDescent="0.25">
      <c r="A1935" s="14" t="s">
        <v>149</v>
      </c>
      <c r="B1935" s="15">
        <v>6000000</v>
      </c>
      <c r="C1935" s="15">
        <v>6165429</v>
      </c>
      <c r="D1935" s="15">
        <v>2002</v>
      </c>
      <c r="E1935" s="15" t="str">
        <f>VLOOKUP(A1935, Currency!$A$2:$B$100, 2, FALSE)</f>
        <v>AUD</v>
      </c>
      <c r="F1935" s="15">
        <f ca="1">IFERROR(__xludf.DUMMYFUNCTION("IF(E1935=""USD"",B1935,B1935 * GOOGLEFINANCE(""CURRENCY:"" &amp; E1935 &amp; ""USD""))
"),3923280)</f>
        <v>3923280</v>
      </c>
      <c r="G1935" s="16">
        <f ca="1">IFERROR(__xludf.DUMMYFUNCTION("IF(E1935=""USD"",C1935,C1935 * GOOGLEFINANCE(""CURRENCY:"" &amp; E1935 &amp; ""USD""))
"),4031450.71452)</f>
        <v>4031450.7145199999</v>
      </c>
    </row>
    <row r="1936" spans="1:7" ht="15.75" customHeight="1" x14ac:dyDescent="0.25">
      <c r="A1936" s="11" t="s">
        <v>133</v>
      </c>
      <c r="B1936" s="12">
        <v>4000000</v>
      </c>
      <c r="C1936" s="12">
        <v>143653</v>
      </c>
      <c r="D1936" s="12">
        <v>2014</v>
      </c>
      <c r="E1936" s="12" t="str">
        <f>VLOOKUP(A1936, Currency!$A$2:$B$100, 2, FALSE)</f>
        <v>GBP</v>
      </c>
      <c r="F1936" s="12">
        <f ca="1">IFERROR(__xludf.DUMMYFUNCTION("IF(E1936=""USD"",B1936,B1936 * GOOGLEFINANCE(""CURRENCY:"" &amp; E1936 &amp; ""USD""))
"),5141599.99999999)</f>
        <v>5141599.9999999898</v>
      </c>
      <c r="G1936" s="13">
        <f ca="1">IFERROR(__xludf.DUMMYFUNCTION("IF(E1936=""USD"",C1936,C1936 * GOOGLEFINANCE(""CURRENCY:"" &amp; E1936 &amp; ""USD""))
"),184651.566199999)</f>
        <v>184651.56619999901</v>
      </c>
    </row>
    <row r="1937" spans="1:7" ht="15.75" customHeight="1" x14ac:dyDescent="0.25">
      <c r="A1937" s="14" t="s">
        <v>24</v>
      </c>
      <c r="B1937" s="15">
        <v>120000000</v>
      </c>
      <c r="C1937" s="15">
        <v>84037039</v>
      </c>
      <c r="D1937" s="15">
        <v>2001</v>
      </c>
      <c r="E1937" s="15" t="str">
        <f>VLOOKUP(A1937, Currency!$A$2:$B$100, 2, FALSE)</f>
        <v>USD</v>
      </c>
      <c r="F1937" s="15">
        <f ca="1">IFERROR(__xludf.DUMMYFUNCTION("IF(E1937=""USD"",B1937,B1937 * GOOGLEFINANCE(""CURRENCY:"" &amp; E1937 &amp; ""USD""))
"),120000000)</f>
        <v>120000000</v>
      </c>
      <c r="G1937" s="16">
        <f ca="1">IFERROR(__xludf.DUMMYFUNCTION("IF(E1937=""USD"",C1937,C1937 * GOOGLEFINANCE(""CURRENCY:"" &amp; E1937 &amp; ""USD""))
"),84037039)</f>
        <v>84037039</v>
      </c>
    </row>
    <row r="1938" spans="1:7" ht="15.75" customHeight="1" x14ac:dyDescent="0.25">
      <c r="A1938" s="11" t="s">
        <v>24</v>
      </c>
      <c r="B1938" s="12">
        <v>56000000</v>
      </c>
      <c r="C1938" s="12">
        <v>54540525</v>
      </c>
      <c r="D1938" s="12">
        <v>2011</v>
      </c>
      <c r="E1938" s="12" t="str">
        <f>VLOOKUP(A1938, Currency!$A$2:$B$100, 2, FALSE)</f>
        <v>USD</v>
      </c>
      <c r="F1938" s="12">
        <f ca="1">IFERROR(__xludf.DUMMYFUNCTION("IF(E1938=""USD"",B1938,B1938 * GOOGLEFINANCE(""CURRENCY:"" &amp; E1938 &amp; ""USD""))
"),56000000)</f>
        <v>56000000</v>
      </c>
      <c r="G1938" s="13">
        <f ca="1">IFERROR(__xludf.DUMMYFUNCTION("IF(E1938=""USD"",C1938,C1938 * GOOGLEFINANCE(""CURRENCY:"" &amp; E1938 &amp; ""USD""))
"),54540525)</f>
        <v>54540525</v>
      </c>
    </row>
    <row r="1939" spans="1:7" ht="15.75" customHeight="1" x14ac:dyDescent="0.25">
      <c r="A1939" s="14" t="s">
        <v>1491</v>
      </c>
      <c r="B1939" s="15">
        <v>39200000</v>
      </c>
      <c r="C1939" s="15">
        <v>4563029</v>
      </c>
      <c r="D1939" s="15">
        <v>2013</v>
      </c>
      <c r="E1939" s="15" t="str">
        <f>VLOOKUP(A1939, Currency!$A$2:$B$100, 2, FALSE)</f>
        <v>KRW</v>
      </c>
      <c r="F1939" s="15">
        <f ca="1">IFERROR(__xludf.DUMMYFUNCTION("IF(E1939=""USD"",B1939,B1939 * GOOGLEFINANCE(""CURRENCY:"" &amp; E1939 &amp; ""USD""))
"),28375.5864)</f>
        <v>28375.5864</v>
      </c>
      <c r="G1939" s="16">
        <f ca="1">IFERROR(__xludf.DUMMYFUNCTION("IF(E1939=""USD"",C1939,C1939 * GOOGLEFINANCE(""CURRENCY:"" &amp; E1939 &amp; ""USD""))
"),3303.026113143)</f>
        <v>3303.0261131430002</v>
      </c>
    </row>
    <row r="1940" spans="1:7" ht="15.75" customHeight="1" x14ac:dyDescent="0.25">
      <c r="A1940" s="11" t="s">
        <v>133</v>
      </c>
      <c r="B1940" s="12">
        <v>25000000</v>
      </c>
      <c r="C1940" s="12">
        <v>29247405</v>
      </c>
      <c r="D1940" s="12">
        <v>1997</v>
      </c>
      <c r="E1940" s="12" t="str">
        <f>VLOOKUP(A1940, Currency!$A$2:$B$100, 2, FALSE)</f>
        <v>GBP</v>
      </c>
      <c r="F1940" s="12">
        <f ca="1">IFERROR(__xludf.DUMMYFUNCTION("IF(E1940=""USD"",B1940,B1940 * GOOGLEFINANCE(""CURRENCY:"" &amp; E1940 &amp; ""USD""))
"),32134999.9999999)</f>
        <v>32134999.999999899</v>
      </c>
      <c r="G1940" s="13">
        <f ca="1">IFERROR(__xludf.DUMMYFUNCTION("IF(E1940=""USD"",C1940,C1940 * GOOGLEFINANCE(""CURRENCY:"" &amp; E1940 &amp; ""USD""))
"),37594614.3869999)</f>
        <v>37594614.386999898</v>
      </c>
    </row>
    <row r="1941" spans="1:7" ht="15.75" customHeight="1" x14ac:dyDescent="0.25">
      <c r="A1941" s="14" t="s">
        <v>24</v>
      </c>
      <c r="B1941" s="15">
        <v>28000000</v>
      </c>
      <c r="C1941" s="15">
        <v>3254172</v>
      </c>
      <c r="D1941" s="15">
        <v>2013</v>
      </c>
      <c r="E1941" s="15" t="str">
        <f>VLOOKUP(A1941, Currency!$A$2:$B$100, 2, FALSE)</f>
        <v>USD</v>
      </c>
      <c r="F1941" s="15">
        <f ca="1">IFERROR(__xludf.DUMMYFUNCTION("IF(E1941=""USD"",B1941,B1941 * GOOGLEFINANCE(""CURRENCY:"" &amp; E1941 &amp; ""USD""))
"),28000000)</f>
        <v>28000000</v>
      </c>
      <c r="G1941" s="16">
        <f ca="1">IFERROR(__xludf.DUMMYFUNCTION("IF(E1941=""USD"",C1941,C1941 * GOOGLEFINANCE(""CURRENCY:"" &amp; E1941 &amp; ""USD""))
"),3254172)</f>
        <v>3254172</v>
      </c>
    </row>
    <row r="1942" spans="1:7" ht="15.75" customHeight="1" x14ac:dyDescent="0.25">
      <c r="A1942" s="11" t="s">
        <v>133</v>
      </c>
      <c r="B1942" s="12">
        <v>100000000</v>
      </c>
      <c r="C1942" s="12">
        <v>274084951</v>
      </c>
      <c r="D1942" s="12">
        <v>2013</v>
      </c>
      <c r="E1942" s="12" t="str">
        <f>VLOOKUP(A1942, Currency!$A$2:$B$100, 2, FALSE)</f>
        <v>GBP</v>
      </c>
      <c r="F1942" s="12">
        <f ca="1">IFERROR(__xludf.DUMMYFUNCTION("IF(E1942=""USD"",B1942,B1942 * GOOGLEFINANCE(""CURRENCY:"" &amp; E1942 &amp; ""USD""))
"),128539999.999999)</f>
        <v>128539999.999999</v>
      </c>
      <c r="G1942" s="13">
        <f ca="1">IFERROR(__xludf.DUMMYFUNCTION("IF(E1942=""USD"",C1942,C1942 * GOOGLEFINANCE(""CURRENCY:"" &amp; E1942 &amp; ""USD""))
"),352308796.0154)</f>
        <v>352308796.01539999</v>
      </c>
    </row>
    <row r="1943" spans="1:7" ht="15.75" customHeight="1" x14ac:dyDescent="0.25">
      <c r="A1943" s="14" t="s">
        <v>24</v>
      </c>
      <c r="B1943" s="15">
        <v>27800000</v>
      </c>
      <c r="C1943" s="15">
        <v>55210049</v>
      </c>
      <c r="D1943" s="15">
        <v>1989</v>
      </c>
      <c r="E1943" s="15" t="str">
        <f>VLOOKUP(A1943, Currency!$A$2:$B$100, 2, FALSE)</f>
        <v>USD</v>
      </c>
      <c r="F1943" s="15">
        <f ca="1">IFERROR(__xludf.DUMMYFUNCTION("IF(E1943=""USD"",B1943,B1943 * GOOGLEFINANCE(""CURRENCY:"" &amp; E1943 &amp; ""USD""))
"),27800000)</f>
        <v>27800000</v>
      </c>
      <c r="G1943" s="16">
        <f ca="1">IFERROR(__xludf.DUMMYFUNCTION("IF(E1943=""USD"",C1943,C1943 * GOOGLEFINANCE(""CURRENCY:"" &amp; E1943 &amp; ""USD""))
"),55210049)</f>
        <v>55210049</v>
      </c>
    </row>
    <row r="1944" spans="1:7" ht="15.75" customHeight="1" x14ac:dyDescent="0.25">
      <c r="A1944" s="11" t="s">
        <v>24</v>
      </c>
      <c r="B1944" s="12">
        <v>48000000</v>
      </c>
      <c r="C1944" s="12">
        <v>47095453</v>
      </c>
      <c r="D1944" s="12">
        <v>2001</v>
      </c>
      <c r="E1944" s="12" t="str">
        <f>VLOOKUP(A1944, Currency!$A$2:$B$100, 2, FALSE)</f>
        <v>USD</v>
      </c>
      <c r="F1944" s="12">
        <f ca="1">IFERROR(__xludf.DUMMYFUNCTION("IF(E1944=""USD"",B1944,B1944 * GOOGLEFINANCE(""CURRENCY:"" &amp; E1944 &amp; ""USD""))
"),48000000)</f>
        <v>48000000</v>
      </c>
      <c r="G1944" s="13">
        <f ca="1">IFERROR(__xludf.DUMMYFUNCTION("IF(E1944=""USD"",C1944,C1944 * GOOGLEFINANCE(""CURRENCY:"" &amp; E1944 &amp; ""USD""))
"),47095453)</f>
        <v>47095453</v>
      </c>
    </row>
    <row r="1945" spans="1:7" ht="15.75" customHeight="1" x14ac:dyDescent="0.25">
      <c r="A1945" s="14" t="s">
        <v>24</v>
      </c>
      <c r="B1945" s="15">
        <v>15000000</v>
      </c>
      <c r="C1945" s="15">
        <v>10763469</v>
      </c>
      <c r="D1945" s="15">
        <v>1989</v>
      </c>
      <c r="E1945" s="15" t="str">
        <f>VLOOKUP(A1945, Currency!$A$2:$B$100, 2, FALSE)</f>
        <v>USD</v>
      </c>
      <c r="F1945" s="15">
        <f ca="1">IFERROR(__xludf.DUMMYFUNCTION("IF(E1945=""USD"",B1945,B1945 * GOOGLEFINANCE(""CURRENCY:"" &amp; E1945 &amp; ""USD""))
"),15000000)</f>
        <v>15000000</v>
      </c>
      <c r="G1945" s="16">
        <f ca="1">IFERROR(__xludf.DUMMYFUNCTION("IF(E1945=""USD"",C1945,C1945 * GOOGLEFINANCE(""CURRENCY:"" &amp; E1945 &amp; ""USD""))
"),10763469)</f>
        <v>10763469</v>
      </c>
    </row>
    <row r="1946" spans="1:7" ht="15.75" customHeight="1" x14ac:dyDescent="0.25">
      <c r="A1946" s="11" t="s">
        <v>24</v>
      </c>
      <c r="B1946" s="12">
        <v>13000000</v>
      </c>
      <c r="C1946" s="12">
        <v>106952327</v>
      </c>
      <c r="D1946" s="12">
        <v>2010</v>
      </c>
      <c r="E1946" s="12" t="str">
        <f>VLOOKUP(A1946, Currency!$A$2:$B$100, 2, FALSE)</f>
        <v>USD</v>
      </c>
      <c r="F1946" s="12">
        <f ca="1">IFERROR(__xludf.DUMMYFUNCTION("IF(E1946=""USD"",B1946,B1946 * GOOGLEFINANCE(""CURRENCY:"" &amp; E1946 &amp; ""USD""))
"),13000000)</f>
        <v>13000000</v>
      </c>
      <c r="G1946" s="13">
        <f ca="1">IFERROR(__xludf.DUMMYFUNCTION("IF(E1946=""USD"",C1946,C1946 * GOOGLEFINANCE(""CURRENCY:"" &amp; E1946 &amp; ""USD""))
"),106952327)</f>
        <v>106952327</v>
      </c>
    </row>
    <row r="1947" spans="1:7" ht="15.75" customHeight="1" x14ac:dyDescent="0.25">
      <c r="A1947" s="14" t="s">
        <v>24</v>
      </c>
      <c r="B1947" s="15">
        <v>180000000</v>
      </c>
      <c r="C1947" s="15">
        <v>303001229</v>
      </c>
      <c r="D1947" s="15">
        <v>2012</v>
      </c>
      <c r="E1947" s="15" t="str">
        <f>VLOOKUP(A1947, Currency!$A$2:$B$100, 2, FALSE)</f>
        <v>USD</v>
      </c>
      <c r="F1947" s="15">
        <f ca="1">IFERROR(__xludf.DUMMYFUNCTION("IF(E1947=""USD"",B1947,B1947 * GOOGLEFINANCE(""CURRENCY:"" &amp; E1947 &amp; ""USD""))
"),180000000)</f>
        <v>180000000</v>
      </c>
      <c r="G1947" s="16">
        <f ca="1">IFERROR(__xludf.DUMMYFUNCTION("IF(E1947=""USD"",C1947,C1947 * GOOGLEFINANCE(""CURRENCY:"" &amp; E1947 &amp; ""USD""))
"),303001229)</f>
        <v>303001229</v>
      </c>
    </row>
    <row r="1948" spans="1:7" ht="15.75" customHeight="1" x14ac:dyDescent="0.25">
      <c r="A1948" s="11" t="s">
        <v>24</v>
      </c>
      <c r="B1948" s="12">
        <v>38000000</v>
      </c>
      <c r="C1948" s="12">
        <v>171031347</v>
      </c>
      <c r="D1948" s="12">
        <v>2010</v>
      </c>
      <c r="E1948" s="12" t="str">
        <f>VLOOKUP(A1948, Currency!$A$2:$B$100, 2, FALSE)</f>
        <v>USD</v>
      </c>
      <c r="F1948" s="12">
        <f ca="1">IFERROR(__xludf.DUMMYFUNCTION("IF(E1948=""USD"",B1948,B1948 * GOOGLEFINANCE(""CURRENCY:"" &amp; E1948 &amp; ""USD""))
"),38000000)</f>
        <v>38000000</v>
      </c>
      <c r="G1948" s="13">
        <f ca="1">IFERROR(__xludf.DUMMYFUNCTION("IF(E1948=""USD"",C1948,C1948 * GOOGLEFINANCE(""CURRENCY:"" &amp; E1948 &amp; ""USD""))
"),171031347)</f>
        <v>171031347</v>
      </c>
    </row>
    <row r="1949" spans="1:7" ht="15.75" customHeight="1" x14ac:dyDescent="0.25">
      <c r="A1949" s="14" t="s">
        <v>24</v>
      </c>
      <c r="B1949" s="15">
        <v>20000000</v>
      </c>
      <c r="C1949" s="15">
        <v>5205343</v>
      </c>
      <c r="D1949" s="15">
        <v>2009</v>
      </c>
      <c r="E1949" s="15" t="str">
        <f>VLOOKUP(A1949, Currency!$A$2:$B$100, 2, FALSE)</f>
        <v>USD</v>
      </c>
      <c r="F1949" s="15">
        <f ca="1">IFERROR(__xludf.DUMMYFUNCTION("IF(E1949=""USD"",B1949,B1949 * GOOGLEFINANCE(""CURRENCY:"" &amp; E1949 &amp; ""USD""))
"),20000000)</f>
        <v>20000000</v>
      </c>
      <c r="G1949" s="16">
        <f ca="1">IFERROR(__xludf.DUMMYFUNCTION("IF(E1949=""USD"",C1949,C1949 * GOOGLEFINANCE(""CURRENCY:"" &amp; E1949 &amp; ""USD""))
"),5205343)</f>
        <v>5205343</v>
      </c>
    </row>
    <row r="1950" spans="1:7" ht="15.75" customHeight="1" x14ac:dyDescent="0.25">
      <c r="A1950" s="11" t="s">
        <v>24</v>
      </c>
      <c r="B1950" s="12">
        <v>225000</v>
      </c>
      <c r="C1950" s="12">
        <v>111300</v>
      </c>
      <c r="D1950" s="12">
        <v>2012</v>
      </c>
      <c r="E1950" s="12" t="str">
        <f>VLOOKUP(A1950, Currency!$A$2:$B$100, 2, FALSE)</f>
        <v>USD</v>
      </c>
      <c r="F1950" s="12">
        <f ca="1">IFERROR(__xludf.DUMMYFUNCTION("IF(E1950=""USD"",B1950,B1950 * GOOGLEFINANCE(""CURRENCY:"" &amp; E1950 &amp; ""USD""))
"),225000)</f>
        <v>225000</v>
      </c>
      <c r="G1950" s="13">
        <f ca="1">IFERROR(__xludf.DUMMYFUNCTION("IF(E1950=""USD"",C1950,C1950 * GOOGLEFINANCE(""CURRENCY:"" &amp; E1950 &amp; ""USD""))
"),111300)</f>
        <v>111300</v>
      </c>
    </row>
    <row r="1951" spans="1:7" ht="15.75" customHeight="1" x14ac:dyDescent="0.25">
      <c r="A1951" s="14" t="s">
        <v>24</v>
      </c>
      <c r="B1951" s="15">
        <v>60000000</v>
      </c>
      <c r="C1951" s="15">
        <v>43060566</v>
      </c>
      <c r="D1951" s="15">
        <v>2002</v>
      </c>
      <c r="E1951" s="15" t="str">
        <f>VLOOKUP(A1951, Currency!$A$2:$B$100, 2, FALSE)</f>
        <v>USD</v>
      </c>
      <c r="F1951" s="15">
        <f ca="1">IFERROR(__xludf.DUMMYFUNCTION("IF(E1951=""USD"",B1951,B1951 * GOOGLEFINANCE(""CURRENCY:"" &amp; E1951 &amp; ""USD""))
"),60000000)</f>
        <v>60000000</v>
      </c>
      <c r="G1951" s="16">
        <f ca="1">IFERROR(__xludf.DUMMYFUNCTION("IF(E1951=""USD"",C1951,C1951 * GOOGLEFINANCE(""CURRENCY:"" &amp; E1951 &amp; ""USD""))
"),43060566)</f>
        <v>43060566</v>
      </c>
    </row>
    <row r="1952" spans="1:7" ht="15.75" customHeight="1" x14ac:dyDescent="0.25">
      <c r="A1952" s="11" t="s">
        <v>24</v>
      </c>
      <c r="B1952" s="12">
        <v>10000000</v>
      </c>
      <c r="C1952" s="12">
        <v>11043445</v>
      </c>
      <c r="D1952" s="12">
        <v>2007</v>
      </c>
      <c r="E1952" s="12" t="str">
        <f>VLOOKUP(A1952, Currency!$A$2:$B$100, 2, FALSE)</f>
        <v>USD</v>
      </c>
      <c r="F1952" s="12">
        <f ca="1">IFERROR(__xludf.DUMMYFUNCTION("IF(E1952=""USD"",B1952,B1952 * GOOGLEFINANCE(""CURRENCY:"" &amp; E1952 &amp; ""USD""))
"),10000000)</f>
        <v>10000000</v>
      </c>
      <c r="G1952" s="13">
        <f ca="1">IFERROR(__xludf.DUMMYFUNCTION("IF(E1952=""USD"",C1952,C1952 * GOOGLEFINANCE(""CURRENCY:"" &amp; E1952 &amp; ""USD""))
"),11043445)</f>
        <v>11043445</v>
      </c>
    </row>
    <row r="1953" spans="1:7" ht="15.75" customHeight="1" x14ac:dyDescent="0.25">
      <c r="A1953" s="14" t="s">
        <v>24</v>
      </c>
      <c r="B1953" s="15">
        <v>22000000</v>
      </c>
      <c r="C1953" s="15">
        <v>96067179</v>
      </c>
      <c r="D1953" s="15">
        <v>1993</v>
      </c>
      <c r="E1953" s="15" t="str">
        <f>VLOOKUP(A1953, Currency!$A$2:$B$100, 2, FALSE)</f>
        <v>USD</v>
      </c>
      <c r="F1953" s="15">
        <f ca="1">IFERROR(__xludf.DUMMYFUNCTION("IF(E1953=""USD"",B1953,B1953 * GOOGLEFINANCE(""CURRENCY:"" &amp; E1953 &amp; ""USD""))
"),22000000)</f>
        <v>22000000</v>
      </c>
      <c r="G1953" s="16">
        <f ca="1">IFERROR(__xludf.DUMMYFUNCTION("IF(E1953=""USD"",C1953,C1953 * GOOGLEFINANCE(""CURRENCY:"" &amp; E1953 &amp; ""USD""))
"),96067179)</f>
        <v>96067179</v>
      </c>
    </row>
    <row r="1954" spans="1:7" ht="15.75" customHeight="1" x14ac:dyDescent="0.25">
      <c r="A1954" s="11" t="s">
        <v>24</v>
      </c>
      <c r="B1954" s="12">
        <v>4500000</v>
      </c>
      <c r="C1954" s="12">
        <v>23031390</v>
      </c>
      <c r="D1954" s="12">
        <v>1998</v>
      </c>
      <c r="E1954" s="12" t="str">
        <f>VLOOKUP(A1954, Currency!$A$2:$B$100, 2, FALSE)</f>
        <v>USD</v>
      </c>
      <c r="F1954" s="12">
        <f ca="1">IFERROR(__xludf.DUMMYFUNCTION("IF(E1954=""USD"",B1954,B1954 * GOOGLEFINANCE(""CURRENCY:"" &amp; E1954 &amp; ""USD""))
"),4500000)</f>
        <v>4500000</v>
      </c>
      <c r="G1954" s="13">
        <f ca="1">IFERROR(__xludf.DUMMYFUNCTION("IF(E1954=""USD"",C1954,C1954 * GOOGLEFINANCE(""CURRENCY:"" &amp; E1954 &amp; ""USD""))
"),23031390)</f>
        <v>23031390</v>
      </c>
    </row>
    <row r="1955" spans="1:7" ht="15.75" customHeight="1" x14ac:dyDescent="0.25">
      <c r="A1955" s="14" t="s">
        <v>24</v>
      </c>
      <c r="B1955" s="15">
        <v>5000000</v>
      </c>
      <c r="C1955" s="15">
        <v>37440</v>
      </c>
      <c r="D1955" s="15">
        <v>2014</v>
      </c>
      <c r="E1955" s="15" t="str">
        <f>VLOOKUP(A1955, Currency!$A$2:$B$100, 2, FALSE)</f>
        <v>USD</v>
      </c>
      <c r="F1955" s="15">
        <f ca="1">IFERROR(__xludf.DUMMYFUNCTION("IF(E1955=""USD"",B1955,B1955 * GOOGLEFINANCE(""CURRENCY:"" &amp; E1955 &amp; ""USD""))
"),5000000)</f>
        <v>5000000</v>
      </c>
      <c r="G1955" s="16">
        <f ca="1">IFERROR(__xludf.DUMMYFUNCTION("IF(E1955=""USD"",C1955,C1955 * GOOGLEFINANCE(""CURRENCY:"" &amp; E1955 &amp; ""USD""))
"),37440)</f>
        <v>37440</v>
      </c>
    </row>
    <row r="1956" spans="1:7" ht="15.75" customHeight="1" x14ac:dyDescent="0.25">
      <c r="A1956" s="11" t="s">
        <v>24</v>
      </c>
      <c r="B1956" s="12">
        <v>65000000</v>
      </c>
      <c r="C1956" s="12">
        <v>210592590</v>
      </c>
      <c r="D1956" s="12">
        <v>2006</v>
      </c>
      <c r="E1956" s="12" t="str">
        <f>VLOOKUP(A1956, Currency!$A$2:$B$100, 2, FALSE)</f>
        <v>USD</v>
      </c>
      <c r="F1956" s="12">
        <f ca="1">IFERROR(__xludf.DUMMYFUNCTION("IF(E1956=""USD"",B1956,B1956 * GOOGLEFINANCE(""CURRENCY:"" &amp; E1956 &amp; ""USD""))
"),65000000)</f>
        <v>65000000</v>
      </c>
      <c r="G1956" s="13">
        <f ca="1">IFERROR(__xludf.DUMMYFUNCTION("IF(E1956=""USD"",C1956,C1956 * GOOGLEFINANCE(""CURRENCY:"" &amp; E1956 &amp; ""USD""))
"),210592590)</f>
        <v>210592590</v>
      </c>
    </row>
    <row r="1957" spans="1:7" ht="15.75" customHeight="1" x14ac:dyDescent="0.25">
      <c r="A1957" s="14" t="s">
        <v>24</v>
      </c>
      <c r="B1957" s="15">
        <v>10000000</v>
      </c>
      <c r="C1957" s="15">
        <v>63270259</v>
      </c>
      <c r="D1957" s="15">
        <v>2007</v>
      </c>
      <c r="E1957" s="15" t="str">
        <f>VLOOKUP(A1957, Currency!$A$2:$B$100, 2, FALSE)</f>
        <v>USD</v>
      </c>
      <c r="F1957" s="15">
        <f ca="1">IFERROR(__xludf.DUMMYFUNCTION("IF(E1957=""USD"",B1957,B1957 * GOOGLEFINANCE(""CURRENCY:"" &amp; E1957 &amp; ""USD""))
"),10000000)</f>
        <v>10000000</v>
      </c>
      <c r="G1957" s="16">
        <f ca="1">IFERROR(__xludf.DUMMYFUNCTION("IF(E1957=""USD"",C1957,C1957 * GOOGLEFINANCE(""CURRENCY:"" &amp; E1957 &amp; ""USD""))
"),63270259)</f>
        <v>63270259</v>
      </c>
    </row>
    <row r="1958" spans="1:7" ht="15.75" customHeight="1" x14ac:dyDescent="0.25">
      <c r="A1958" s="11" t="s">
        <v>24</v>
      </c>
      <c r="B1958" s="12">
        <v>55000000</v>
      </c>
      <c r="C1958" s="12">
        <v>105263257</v>
      </c>
      <c r="D1958" s="12">
        <v>1997</v>
      </c>
      <c r="E1958" s="12" t="str">
        <f>VLOOKUP(A1958, Currency!$A$2:$B$100, 2, FALSE)</f>
        <v>USD</v>
      </c>
      <c r="F1958" s="12">
        <f ca="1">IFERROR(__xludf.DUMMYFUNCTION("IF(E1958=""USD"",B1958,B1958 * GOOGLEFINANCE(""CURRENCY:"" &amp; E1958 &amp; ""USD""))
"),55000000)</f>
        <v>55000000</v>
      </c>
      <c r="G1958" s="13">
        <f ca="1">IFERROR(__xludf.DUMMYFUNCTION("IF(E1958=""USD"",C1958,C1958 * GOOGLEFINANCE(""CURRENCY:"" &amp; E1958 &amp; ""USD""))
"),105263257)</f>
        <v>105263257</v>
      </c>
    </row>
    <row r="1959" spans="1:7" ht="15.75" customHeight="1" x14ac:dyDescent="0.25">
      <c r="A1959" s="14" t="s">
        <v>24</v>
      </c>
      <c r="B1959" s="15">
        <v>21000000</v>
      </c>
      <c r="C1959" s="15">
        <v>17757087</v>
      </c>
      <c r="D1959" s="15">
        <v>1999</v>
      </c>
      <c r="E1959" s="15" t="str">
        <f>VLOOKUP(A1959, Currency!$A$2:$B$100, 2, FALSE)</f>
        <v>USD</v>
      </c>
      <c r="F1959" s="15">
        <f ca="1">IFERROR(__xludf.DUMMYFUNCTION("IF(E1959=""USD"",B1959,B1959 * GOOGLEFINANCE(""CURRENCY:"" &amp; E1959 &amp; ""USD""))
"),21000000)</f>
        <v>21000000</v>
      </c>
      <c r="G1959" s="16">
        <f ca="1">IFERROR(__xludf.DUMMYFUNCTION("IF(E1959=""USD"",C1959,C1959 * GOOGLEFINANCE(""CURRENCY:"" &amp; E1959 &amp; ""USD""))
"),17757087)</f>
        <v>17757087</v>
      </c>
    </row>
    <row r="1960" spans="1:7" ht="15.75" customHeight="1" x14ac:dyDescent="0.25">
      <c r="A1960" s="11" t="s">
        <v>133</v>
      </c>
      <c r="B1960" s="12">
        <v>90000000</v>
      </c>
      <c r="C1960" s="12">
        <v>190562</v>
      </c>
      <c r="D1960" s="12">
        <v>2010</v>
      </c>
      <c r="E1960" s="12" t="str">
        <f>VLOOKUP(A1960, Currency!$A$2:$B$100, 2, FALSE)</f>
        <v>GBP</v>
      </c>
      <c r="F1960" s="12">
        <f ca="1">IFERROR(__xludf.DUMMYFUNCTION("IF(E1960=""USD"",B1960,B1960 * GOOGLEFINANCE(""CURRENCY:"" &amp; E1960 &amp; ""USD""))
"),115685999.999999)</f>
        <v>115685999.999999</v>
      </c>
      <c r="G1960" s="13">
        <f ca="1">IFERROR(__xludf.DUMMYFUNCTION("IF(E1960=""USD"",C1960,C1960 * GOOGLEFINANCE(""CURRENCY:"" &amp; E1960 &amp; ""USD""))
"),244948.394799999)</f>
        <v>244948.39479999899</v>
      </c>
    </row>
    <row r="1961" spans="1:7" ht="15.75" customHeight="1" x14ac:dyDescent="0.25">
      <c r="A1961" s="14" t="s">
        <v>24</v>
      </c>
      <c r="B1961" s="15">
        <v>1800000</v>
      </c>
      <c r="C1961" s="15">
        <v>12784397</v>
      </c>
      <c r="D1961" s="15">
        <v>2012</v>
      </c>
      <c r="E1961" s="15" t="str">
        <f>VLOOKUP(A1961, Currency!$A$2:$B$100, 2, FALSE)</f>
        <v>USD</v>
      </c>
      <c r="F1961" s="15">
        <f ca="1">IFERROR(__xludf.DUMMYFUNCTION("IF(E1961=""USD"",B1961,B1961 * GOOGLEFINANCE(""CURRENCY:"" &amp; E1961 &amp; ""USD""))
"),1800000)</f>
        <v>1800000</v>
      </c>
      <c r="G1961" s="16">
        <f ca="1">IFERROR(__xludf.DUMMYFUNCTION("IF(E1961=""USD"",C1961,C1961 * GOOGLEFINANCE(""CURRENCY:"" &amp; E1961 &amp; ""USD""))
"),12784397)</f>
        <v>12784397</v>
      </c>
    </row>
    <row r="1962" spans="1:7" ht="15.75" customHeight="1" x14ac:dyDescent="0.25">
      <c r="A1962" s="11" t="s">
        <v>1551</v>
      </c>
      <c r="B1962" s="12">
        <v>1000000000</v>
      </c>
      <c r="C1962" s="12">
        <v>10037390</v>
      </c>
      <c r="D1962" s="12">
        <v>1999</v>
      </c>
      <c r="E1962" s="12" t="str">
        <f>VLOOKUP(A1962, Currency!$A$2:$B$100, 2, FALSE)</f>
        <v>JPY</v>
      </c>
      <c r="F1962" s="12">
        <f ca="1">IFERROR(__xludf.DUMMYFUNCTION("IF(E1962=""USD"",B1962,B1962 * GOOGLEFINANCE(""CURRENCY:"" &amp; E1962 &amp; ""USD""))
"),6496600)</f>
        <v>6496600</v>
      </c>
      <c r="G1962" s="13">
        <f ca="1">IFERROR(__xludf.DUMMYFUNCTION("IF(E1962=""USD"",C1962,C1962 * GOOGLEFINANCE(""CURRENCY:"" &amp; E1962 &amp; ""USD""))
"),65208.907874)</f>
        <v>65208.907873999997</v>
      </c>
    </row>
    <row r="1963" spans="1:7" ht="15.75" customHeight="1" x14ac:dyDescent="0.25">
      <c r="A1963" s="14" t="s">
        <v>24</v>
      </c>
      <c r="B1963" s="15">
        <v>15000000</v>
      </c>
      <c r="C1963" s="15">
        <v>19158074</v>
      </c>
      <c r="D1963" s="15">
        <v>2002</v>
      </c>
      <c r="E1963" s="15" t="str">
        <f>VLOOKUP(A1963, Currency!$A$2:$B$100, 2, FALSE)</f>
        <v>USD</v>
      </c>
      <c r="F1963" s="15">
        <f ca="1">IFERROR(__xludf.DUMMYFUNCTION("IF(E1963=""USD"",B1963,B1963 * GOOGLEFINANCE(""CURRENCY:"" &amp; E1963 &amp; ""USD""))
"),15000000)</f>
        <v>15000000</v>
      </c>
      <c r="G1963" s="16">
        <f ca="1">IFERROR(__xludf.DUMMYFUNCTION("IF(E1963=""USD"",C1963,C1963 * GOOGLEFINANCE(""CURRENCY:"" &amp; E1963 &amp; ""USD""))
"),19158074)</f>
        <v>19158074</v>
      </c>
    </row>
    <row r="1964" spans="1:7" ht="15.75" customHeight="1" x14ac:dyDescent="0.25">
      <c r="A1964" s="11" t="s">
        <v>24</v>
      </c>
      <c r="B1964" s="12">
        <v>195000000</v>
      </c>
      <c r="C1964" s="12">
        <v>352358779</v>
      </c>
      <c r="D1964" s="12">
        <v>2011</v>
      </c>
      <c r="E1964" s="12" t="str">
        <f>VLOOKUP(A1964, Currency!$A$2:$B$100, 2, FALSE)</f>
        <v>USD</v>
      </c>
      <c r="F1964" s="12">
        <f ca="1">IFERROR(__xludf.DUMMYFUNCTION("IF(E1964=""USD"",B1964,B1964 * GOOGLEFINANCE(""CURRENCY:"" &amp; E1964 &amp; ""USD""))
"),195000000)</f>
        <v>195000000</v>
      </c>
      <c r="G1964" s="13">
        <f ca="1">IFERROR(__xludf.DUMMYFUNCTION("IF(E1964=""USD"",C1964,C1964 * GOOGLEFINANCE(""CURRENCY:"" &amp; E1964 &amp; ""USD""))
"),352358779)</f>
        <v>352358779</v>
      </c>
    </row>
    <row r="1965" spans="1:7" ht="15.75" customHeight="1" x14ac:dyDescent="0.25">
      <c r="A1965" s="14" t="s">
        <v>24</v>
      </c>
      <c r="B1965" s="15">
        <v>53000000</v>
      </c>
      <c r="C1965" s="15">
        <v>55808744</v>
      </c>
      <c r="D1965" s="15">
        <v>2005</v>
      </c>
      <c r="E1965" s="15" t="str">
        <f>VLOOKUP(A1965, Currency!$A$2:$B$100, 2, FALSE)</f>
        <v>USD</v>
      </c>
      <c r="F1965" s="15">
        <f ca="1">IFERROR(__xludf.DUMMYFUNCTION("IF(E1965=""USD"",B1965,B1965 * GOOGLEFINANCE(""CURRENCY:"" &amp; E1965 &amp; ""USD""))
"),53000000)</f>
        <v>53000000</v>
      </c>
      <c r="G1965" s="16">
        <f ca="1">IFERROR(__xludf.DUMMYFUNCTION("IF(E1965=""USD"",C1965,C1965 * GOOGLEFINANCE(""CURRENCY:"" &amp; E1965 &amp; ""USD""))
"),55808744)</f>
        <v>55808744</v>
      </c>
    </row>
    <row r="1966" spans="1:7" ht="15.75" customHeight="1" x14ac:dyDescent="0.25">
      <c r="A1966" s="11" t="s">
        <v>24</v>
      </c>
      <c r="B1966" s="12">
        <v>70000000</v>
      </c>
      <c r="C1966" s="12">
        <v>103338338</v>
      </c>
      <c r="D1966" s="12">
        <v>2006</v>
      </c>
      <c r="E1966" s="12" t="str">
        <f>VLOOKUP(A1966, Currency!$A$2:$B$100, 2, FALSE)</f>
        <v>USD</v>
      </c>
      <c r="F1966" s="12">
        <f ca="1">IFERROR(__xludf.DUMMYFUNCTION("IF(E1966=""USD"",B1966,B1966 * GOOGLEFINANCE(""CURRENCY:"" &amp; E1966 &amp; ""USD""))
"),70000000)</f>
        <v>70000000</v>
      </c>
      <c r="G1966" s="13">
        <f ca="1">IFERROR(__xludf.DUMMYFUNCTION("IF(E1966=""USD"",C1966,C1966 * GOOGLEFINANCE(""CURRENCY:"" &amp; E1966 &amp; ""USD""))
"),103338338)</f>
        <v>103338338</v>
      </c>
    </row>
    <row r="1967" spans="1:7" ht="15.75" customHeight="1" x14ac:dyDescent="0.25">
      <c r="A1967" s="14" t="s">
        <v>24</v>
      </c>
      <c r="B1967" s="15">
        <v>10000000</v>
      </c>
      <c r="C1967" s="15">
        <v>68353550</v>
      </c>
      <c r="D1967" s="15">
        <v>2000</v>
      </c>
      <c r="E1967" s="15" t="str">
        <f>VLOOKUP(A1967, Currency!$A$2:$B$100, 2, FALSE)</f>
        <v>USD</v>
      </c>
      <c r="F1967" s="15">
        <f ca="1">IFERROR(__xludf.DUMMYFUNCTION("IF(E1967=""USD"",B1967,B1967 * GOOGLEFINANCE(""CURRENCY:"" &amp; E1967 &amp; ""USD""))
"),10000000)</f>
        <v>10000000</v>
      </c>
      <c r="G1967" s="16">
        <f ca="1">IFERROR(__xludf.DUMMYFUNCTION("IF(E1967=""USD"",C1967,C1967 * GOOGLEFINANCE(""CURRENCY:"" &amp; E1967 &amp; ""USD""))
"),68353550)</f>
        <v>68353550</v>
      </c>
    </row>
    <row r="1968" spans="1:7" ht="15.75" customHeight="1" x14ac:dyDescent="0.25">
      <c r="A1968" s="11" t="s">
        <v>24</v>
      </c>
      <c r="B1968" s="12">
        <v>1000000</v>
      </c>
      <c r="C1968" s="12">
        <v>31537320</v>
      </c>
      <c r="D1968" s="12">
        <v>2014</v>
      </c>
      <c r="E1968" s="12" t="str">
        <f>VLOOKUP(A1968, Currency!$A$2:$B$100, 2, FALSE)</f>
        <v>USD</v>
      </c>
      <c r="F1968" s="12">
        <f ca="1">IFERROR(__xludf.DUMMYFUNCTION("IF(E1968=""USD"",B1968,B1968 * GOOGLEFINANCE(""CURRENCY:"" &amp; E1968 &amp; ""USD""))
"),1000000)</f>
        <v>1000000</v>
      </c>
      <c r="G1968" s="13">
        <f ca="1">IFERROR(__xludf.DUMMYFUNCTION("IF(E1968=""USD"",C1968,C1968 * GOOGLEFINANCE(""CURRENCY:"" &amp; E1968 &amp; ""USD""))
"),31537320)</f>
        <v>31537320</v>
      </c>
    </row>
    <row r="1969" spans="1:7" ht="15.75" customHeight="1" x14ac:dyDescent="0.25">
      <c r="A1969" s="14" t="s">
        <v>6573</v>
      </c>
      <c r="B1969" s="15">
        <v>4000000</v>
      </c>
      <c r="C1969" s="15">
        <v>542860</v>
      </c>
      <c r="D1969" s="15">
        <v>2008</v>
      </c>
      <c r="E1969" s="15" t="str">
        <f>VLOOKUP(A1969, Currency!$A$2:$B$100, 2, FALSE)</f>
        <v>EUR</v>
      </c>
      <c r="F1969" s="15">
        <f ca="1">IFERROR(__xludf.DUMMYFUNCTION("IF(E1969=""USD"",B1969,B1969 * GOOGLEFINANCE(""CURRENCY:"" &amp; E1969 &amp; ""USD""))
"),4338960)</f>
        <v>4338960</v>
      </c>
      <c r="G1969" s="16">
        <f ca="1">IFERROR(__xludf.DUMMYFUNCTION("IF(E1969=""USD"",C1969,C1969 * GOOGLEFINANCE(""CURRENCY:"" &amp; E1969 &amp; ""USD""))
"),588861.9564)</f>
        <v>588861.95640000002</v>
      </c>
    </row>
    <row r="1970" spans="1:7" ht="15.75" customHeight="1" x14ac:dyDescent="0.25">
      <c r="A1970" s="11" t="s">
        <v>24</v>
      </c>
      <c r="B1970" s="12">
        <v>25000000</v>
      </c>
      <c r="C1970" s="12">
        <v>18860403</v>
      </c>
      <c r="D1970" s="12">
        <v>2011</v>
      </c>
      <c r="E1970" s="12" t="str">
        <f>VLOOKUP(A1970, Currency!$A$2:$B$100, 2, FALSE)</f>
        <v>USD</v>
      </c>
      <c r="F1970" s="12">
        <f ca="1">IFERROR(__xludf.DUMMYFUNCTION("IF(E1970=""USD"",B1970,B1970 * GOOGLEFINANCE(""CURRENCY:"" &amp; E1970 &amp; ""USD""))
"),25000000)</f>
        <v>25000000</v>
      </c>
      <c r="G1970" s="13">
        <f ca="1">IFERROR(__xludf.DUMMYFUNCTION("IF(E1970=""USD"",C1970,C1970 * GOOGLEFINANCE(""CURRENCY:"" &amp; E1970 &amp; ""USD""))
"),18860403)</f>
        <v>18860403</v>
      </c>
    </row>
    <row r="1971" spans="1:7" ht="15.75" customHeight="1" x14ac:dyDescent="0.25">
      <c r="A1971" s="14" t="s">
        <v>24</v>
      </c>
      <c r="B1971" s="15">
        <v>6500000</v>
      </c>
      <c r="C1971" s="15">
        <v>66637</v>
      </c>
      <c r="D1971" s="15">
        <v>2009</v>
      </c>
      <c r="E1971" s="15" t="str">
        <f>VLOOKUP(A1971, Currency!$A$2:$B$100, 2, FALSE)</f>
        <v>USD</v>
      </c>
      <c r="F1971" s="15">
        <f ca="1">IFERROR(__xludf.DUMMYFUNCTION("IF(E1971=""USD"",B1971,B1971 * GOOGLEFINANCE(""CURRENCY:"" &amp; E1971 &amp; ""USD""))
"),6500000)</f>
        <v>6500000</v>
      </c>
      <c r="G1971" s="16">
        <f ca="1">IFERROR(__xludf.DUMMYFUNCTION("IF(E1971=""USD"",C1971,C1971 * GOOGLEFINANCE(""CURRENCY:"" &amp; E1971 &amp; ""USD""))
"),66637)</f>
        <v>66637</v>
      </c>
    </row>
    <row r="1972" spans="1:7" ht="15.75" customHeight="1" x14ac:dyDescent="0.25">
      <c r="A1972" s="11" t="s">
        <v>24</v>
      </c>
      <c r="B1972" s="12">
        <v>15000000</v>
      </c>
      <c r="C1972" s="12">
        <v>10443316</v>
      </c>
      <c r="D1972" s="12">
        <v>1998</v>
      </c>
      <c r="E1972" s="12" t="str">
        <f>VLOOKUP(A1972, Currency!$A$2:$B$100, 2, FALSE)</f>
        <v>USD</v>
      </c>
      <c r="F1972" s="12">
        <f ca="1">IFERROR(__xludf.DUMMYFUNCTION("IF(E1972=""USD"",B1972,B1972 * GOOGLEFINANCE(""CURRENCY:"" &amp; E1972 &amp; ""USD""))
"),15000000)</f>
        <v>15000000</v>
      </c>
      <c r="G1972" s="13">
        <f ca="1">IFERROR(__xludf.DUMMYFUNCTION("IF(E1972=""USD"",C1972,C1972 * GOOGLEFINANCE(""CURRENCY:"" &amp; E1972 &amp; ""USD""))
"),10443316)</f>
        <v>10443316</v>
      </c>
    </row>
    <row r="1973" spans="1:7" ht="15.75" customHeight="1" x14ac:dyDescent="0.25">
      <c r="A1973" s="14" t="s">
        <v>24</v>
      </c>
      <c r="B1973" s="15">
        <v>3000000</v>
      </c>
      <c r="C1973" s="15">
        <v>3000000</v>
      </c>
      <c r="D1973" s="15">
        <v>1998</v>
      </c>
      <c r="E1973" s="15" t="str">
        <f>VLOOKUP(A1973, Currency!$A$2:$B$100, 2, FALSE)</f>
        <v>USD</v>
      </c>
      <c r="F1973" s="15">
        <f ca="1">IFERROR(__xludf.DUMMYFUNCTION("IF(E1973=""USD"",B1973,B1973 * GOOGLEFINANCE(""CURRENCY:"" &amp; E1973 &amp; ""USD""))
"),3000000)</f>
        <v>3000000</v>
      </c>
      <c r="G1973" s="16">
        <f ca="1">IFERROR(__xludf.DUMMYFUNCTION("IF(E1973=""USD"",C1973,C1973 * GOOGLEFINANCE(""CURRENCY:"" &amp; E1973 &amp; ""USD""))
"),3000000)</f>
        <v>3000000</v>
      </c>
    </row>
    <row r="1974" spans="1:7" ht="15.75" customHeight="1" x14ac:dyDescent="0.25">
      <c r="A1974" s="11" t="s">
        <v>133</v>
      </c>
      <c r="B1974" s="12">
        <v>23000000</v>
      </c>
      <c r="C1974" s="12">
        <v>15785632</v>
      </c>
      <c r="D1974" s="12">
        <v>2016</v>
      </c>
      <c r="E1974" s="12" t="str">
        <f>VLOOKUP(A1974, Currency!$A$2:$B$100, 2, FALSE)</f>
        <v>GBP</v>
      </c>
      <c r="F1974" s="12">
        <f ca="1">IFERROR(__xludf.DUMMYFUNCTION("IF(E1974=""USD"",B1974,B1974 * GOOGLEFINANCE(""CURRENCY:"" &amp; E1974 &amp; ""USD""))
"),29564199.9999999)</f>
        <v>29564199.999999899</v>
      </c>
      <c r="G1974" s="13">
        <f ca="1">IFERROR(__xludf.DUMMYFUNCTION("IF(E1974=""USD"",C1974,C1974 * GOOGLEFINANCE(""CURRENCY:"" &amp; E1974 &amp; ""USD""))
"),20290851.3727999)</f>
        <v>20290851.372799899</v>
      </c>
    </row>
    <row r="1975" spans="1:7" ht="15.75" customHeight="1" x14ac:dyDescent="0.25">
      <c r="A1975" s="14" t="s">
        <v>24</v>
      </c>
      <c r="B1975" s="15">
        <v>12000000</v>
      </c>
      <c r="C1975" s="15">
        <v>17613460</v>
      </c>
      <c r="D1975" s="15">
        <v>2013</v>
      </c>
      <c r="E1975" s="15" t="str">
        <f>VLOOKUP(A1975, Currency!$A$2:$B$100, 2, FALSE)</f>
        <v>USD</v>
      </c>
      <c r="F1975" s="15">
        <f ca="1">IFERROR(__xludf.DUMMYFUNCTION("IF(E1975=""USD"",B1975,B1975 * GOOGLEFINANCE(""CURRENCY:"" &amp; E1975 &amp; ""USD""))
"),12000000)</f>
        <v>12000000</v>
      </c>
      <c r="G1975" s="16">
        <f ca="1">IFERROR(__xludf.DUMMYFUNCTION("IF(E1975=""USD"",C1975,C1975 * GOOGLEFINANCE(""CURRENCY:"" &amp; E1975 &amp; ""USD""))
"),17613460)</f>
        <v>17613460</v>
      </c>
    </row>
    <row r="1976" spans="1:7" ht="15.75" customHeight="1" x14ac:dyDescent="0.25">
      <c r="A1976" s="11" t="s">
        <v>24</v>
      </c>
      <c r="B1976" s="12">
        <v>20000000</v>
      </c>
      <c r="C1976" s="12">
        <v>42652003</v>
      </c>
      <c r="D1976" s="12">
        <v>2015</v>
      </c>
      <c r="E1976" s="12" t="str">
        <f>VLOOKUP(A1976, Currency!$A$2:$B$100, 2, FALSE)</f>
        <v>USD</v>
      </c>
      <c r="F1976" s="12">
        <f ca="1">IFERROR(__xludf.DUMMYFUNCTION("IF(E1976=""USD"",B1976,B1976 * GOOGLEFINANCE(""CURRENCY:"" &amp; E1976 &amp; ""USD""))
"),20000000)</f>
        <v>20000000</v>
      </c>
      <c r="G1976" s="13">
        <f ca="1">IFERROR(__xludf.DUMMYFUNCTION("IF(E1976=""USD"",C1976,C1976 * GOOGLEFINANCE(""CURRENCY:"" &amp; E1976 &amp; ""USD""))
"),42652003)</f>
        <v>42652003</v>
      </c>
    </row>
    <row r="1977" spans="1:7" ht="15.75" customHeight="1" x14ac:dyDescent="0.25">
      <c r="A1977" s="14" t="s">
        <v>24</v>
      </c>
      <c r="B1977" s="15">
        <v>35000000</v>
      </c>
      <c r="C1977" s="15">
        <v>86208010</v>
      </c>
      <c r="D1977" s="15">
        <v>2014</v>
      </c>
      <c r="E1977" s="15" t="str">
        <f>VLOOKUP(A1977, Currency!$A$2:$B$100, 2, FALSE)</f>
        <v>USD</v>
      </c>
      <c r="F1977" s="15">
        <f ca="1">IFERROR(__xludf.DUMMYFUNCTION("IF(E1977=""USD"",B1977,B1977 * GOOGLEFINANCE(""CURRENCY:"" &amp; E1977 &amp; ""USD""))
"),35000000)</f>
        <v>35000000</v>
      </c>
      <c r="G1977" s="16">
        <f ca="1">IFERROR(__xludf.DUMMYFUNCTION("IF(E1977=""USD"",C1977,C1977 * GOOGLEFINANCE(""CURRENCY:"" &amp; E1977 &amp; ""USD""))
"),86208010)</f>
        <v>86208010</v>
      </c>
    </row>
    <row r="1978" spans="1:7" ht="15.75" customHeight="1" x14ac:dyDescent="0.25">
      <c r="A1978" s="11" t="s">
        <v>24</v>
      </c>
      <c r="B1978" s="12">
        <v>1500000</v>
      </c>
      <c r="C1978" s="12">
        <v>638476</v>
      </c>
      <c r="D1978" s="12">
        <v>2011</v>
      </c>
      <c r="E1978" s="12" t="str">
        <f>VLOOKUP(A1978, Currency!$A$2:$B$100, 2, FALSE)</f>
        <v>USD</v>
      </c>
      <c r="F1978" s="12">
        <f ca="1">IFERROR(__xludf.DUMMYFUNCTION("IF(E1978=""USD"",B1978,B1978 * GOOGLEFINANCE(""CURRENCY:"" &amp; E1978 &amp; ""USD""))
"),1500000)</f>
        <v>1500000</v>
      </c>
      <c r="G1978" s="13">
        <f ca="1">IFERROR(__xludf.DUMMYFUNCTION("IF(E1978=""USD"",C1978,C1978 * GOOGLEFINANCE(""CURRENCY:"" &amp; E1978 &amp; ""USD""))
"),638476)</f>
        <v>638476</v>
      </c>
    </row>
    <row r="1979" spans="1:7" ht="15.75" customHeight="1" x14ac:dyDescent="0.25">
      <c r="A1979" s="14" t="s">
        <v>24</v>
      </c>
      <c r="B1979" s="15">
        <v>30000000</v>
      </c>
      <c r="C1979" s="15">
        <v>499263</v>
      </c>
      <c r="D1979" s="15">
        <v>2004</v>
      </c>
      <c r="E1979" s="15" t="str">
        <f>VLOOKUP(A1979, Currency!$A$2:$B$100, 2, FALSE)</f>
        <v>USD</v>
      </c>
      <c r="F1979" s="15">
        <f ca="1">IFERROR(__xludf.DUMMYFUNCTION("IF(E1979=""USD"",B1979,B1979 * GOOGLEFINANCE(""CURRENCY:"" &amp; E1979 &amp; ""USD""))
"),30000000)</f>
        <v>30000000</v>
      </c>
      <c r="G1979" s="16">
        <f ca="1">IFERROR(__xludf.DUMMYFUNCTION("IF(E1979=""USD"",C1979,C1979 * GOOGLEFINANCE(""CURRENCY:"" &amp; E1979 &amp; ""USD""))
"),499263)</f>
        <v>499263</v>
      </c>
    </row>
    <row r="1980" spans="1:7" ht="15.75" customHeight="1" x14ac:dyDescent="0.25">
      <c r="A1980" s="11" t="s">
        <v>24</v>
      </c>
      <c r="B1980" s="12">
        <v>17000000</v>
      </c>
      <c r="C1980" s="12">
        <v>72219395</v>
      </c>
      <c r="D1980" s="12">
        <v>1997</v>
      </c>
      <c r="E1980" s="12" t="str">
        <f>VLOOKUP(A1980, Currency!$A$2:$B$100, 2, FALSE)</f>
        <v>USD</v>
      </c>
      <c r="F1980" s="12">
        <f ca="1">IFERROR(__xludf.DUMMYFUNCTION("IF(E1980=""USD"",B1980,B1980 * GOOGLEFINANCE(""CURRENCY:"" &amp; E1980 &amp; ""USD""))
"),17000000)</f>
        <v>17000000</v>
      </c>
      <c r="G1980" s="13">
        <f ca="1">IFERROR(__xludf.DUMMYFUNCTION("IF(E1980=""USD"",C1980,C1980 * GOOGLEFINANCE(""CURRENCY:"" &amp; E1980 &amp; ""USD""))
"),72219395)</f>
        <v>72219395</v>
      </c>
    </row>
    <row r="1981" spans="1:7" ht="15.75" customHeight="1" x14ac:dyDescent="0.25">
      <c r="A1981" s="14" t="s">
        <v>24</v>
      </c>
      <c r="B1981" s="15">
        <v>75000000</v>
      </c>
      <c r="C1981" s="15">
        <v>45434443</v>
      </c>
      <c r="D1981" s="15">
        <v>2015</v>
      </c>
      <c r="E1981" s="15" t="str">
        <f>VLOOKUP(A1981, Currency!$A$2:$B$100, 2, FALSE)</f>
        <v>USD</v>
      </c>
      <c r="F1981" s="15">
        <f ca="1">IFERROR(__xludf.DUMMYFUNCTION("IF(E1981=""USD"",B1981,B1981 * GOOGLEFINANCE(""CURRENCY:"" &amp; E1981 &amp; ""USD""))
"),75000000)</f>
        <v>75000000</v>
      </c>
      <c r="G1981" s="16">
        <f ca="1">IFERROR(__xludf.DUMMYFUNCTION("IF(E1981=""USD"",C1981,C1981 * GOOGLEFINANCE(""CURRENCY:"" &amp; E1981 &amp; ""USD""))
"),45434443)</f>
        <v>45434443</v>
      </c>
    </row>
    <row r="1982" spans="1:7" ht="15.75" customHeight="1" x14ac:dyDescent="0.25">
      <c r="A1982" s="11" t="s">
        <v>133</v>
      </c>
      <c r="B1982" s="12">
        <v>100000000</v>
      </c>
      <c r="C1982" s="12">
        <v>23014504</v>
      </c>
      <c r="D1982" s="12">
        <v>2014</v>
      </c>
      <c r="E1982" s="12" t="str">
        <f>VLOOKUP(A1982, Currency!$A$2:$B$100, 2, FALSE)</f>
        <v>GBP</v>
      </c>
      <c r="F1982" s="12">
        <f ca="1">IFERROR(__xludf.DUMMYFUNCTION("IF(E1982=""USD"",B1982,B1982 * GOOGLEFINANCE(""CURRENCY:"" &amp; E1982 &amp; ""USD""))
"),128539999.999999)</f>
        <v>128539999.999999</v>
      </c>
      <c r="G1982" s="13">
        <f ca="1">IFERROR(__xludf.DUMMYFUNCTION("IF(E1982=""USD"",C1982,C1982 * GOOGLEFINANCE(""CURRENCY:"" &amp; E1982 &amp; ""USD""))
"),29582843.4416)</f>
        <v>29582843.441599999</v>
      </c>
    </row>
    <row r="1983" spans="1:7" ht="15.75" customHeight="1" x14ac:dyDescent="0.25">
      <c r="A1983" s="14" t="s">
        <v>149</v>
      </c>
      <c r="B1983" s="15">
        <v>1800000</v>
      </c>
      <c r="C1983" s="15">
        <v>505295</v>
      </c>
      <c r="D1983" s="15">
        <v>2003</v>
      </c>
      <c r="E1983" s="15" t="str">
        <f>VLOOKUP(A1983, Currency!$A$2:$B$100, 2, FALSE)</f>
        <v>AUD</v>
      </c>
      <c r="F1983" s="15">
        <f ca="1">IFERROR(__xludf.DUMMYFUNCTION("IF(E1983=""USD"",B1983,B1983 * GOOGLEFINANCE(""CURRENCY:"" &amp; E1983 &amp; ""USD""))
"),1176984)</f>
        <v>1176984</v>
      </c>
      <c r="G1983" s="16">
        <f ca="1">IFERROR(__xludf.DUMMYFUNCTION("IF(E1983=""USD"",C1983,C1983 * GOOGLEFINANCE(""CURRENCY:"" &amp; E1983 &amp; ""USD""))
"),330402.2946)</f>
        <v>330402.29460000002</v>
      </c>
    </row>
    <row r="1984" spans="1:7" ht="15.75" customHeight="1" x14ac:dyDescent="0.25">
      <c r="A1984" s="11" t="s">
        <v>24</v>
      </c>
      <c r="B1984" s="12">
        <v>1500000</v>
      </c>
      <c r="C1984" s="12">
        <v>163245</v>
      </c>
      <c r="D1984" s="12">
        <v>1936</v>
      </c>
      <c r="E1984" s="12" t="str">
        <f>VLOOKUP(A1984, Currency!$A$2:$B$100, 2, FALSE)</f>
        <v>USD</v>
      </c>
      <c r="F1984" s="12">
        <f ca="1">IFERROR(__xludf.DUMMYFUNCTION("IF(E1984=""USD"",B1984,B1984 * GOOGLEFINANCE(""CURRENCY:"" &amp; E1984 &amp; ""USD""))
"),1500000)</f>
        <v>1500000</v>
      </c>
      <c r="G1984" s="13">
        <f ca="1">IFERROR(__xludf.DUMMYFUNCTION("IF(E1984=""USD"",C1984,C1984 * GOOGLEFINANCE(""CURRENCY:"" &amp; E1984 &amp; ""USD""))
"),163245)</f>
        <v>163245</v>
      </c>
    </row>
    <row r="1985" spans="1:7" ht="15.75" customHeight="1" x14ac:dyDescent="0.25">
      <c r="A1985" s="14" t="s">
        <v>24</v>
      </c>
      <c r="B1985" s="15">
        <v>6000000</v>
      </c>
      <c r="C1985" s="15">
        <v>6851636</v>
      </c>
      <c r="D1985" s="15">
        <v>1999</v>
      </c>
      <c r="E1985" s="15" t="str">
        <f>VLOOKUP(A1985, Currency!$A$2:$B$100, 2, FALSE)</f>
        <v>USD</v>
      </c>
      <c r="F1985" s="15">
        <f ca="1">IFERROR(__xludf.DUMMYFUNCTION("IF(E1985=""USD"",B1985,B1985 * GOOGLEFINANCE(""CURRENCY:"" &amp; E1985 &amp; ""USD""))
"),6000000)</f>
        <v>6000000</v>
      </c>
      <c r="G1985" s="16">
        <f ca="1">IFERROR(__xludf.DUMMYFUNCTION("IF(E1985=""USD"",C1985,C1985 * GOOGLEFINANCE(""CURRENCY:"" &amp; E1985 &amp; ""USD""))
"),6851636)</f>
        <v>6851636</v>
      </c>
    </row>
    <row r="1986" spans="1:7" ht="15.75" customHeight="1" x14ac:dyDescent="0.25">
      <c r="A1986" s="11" t="s">
        <v>24</v>
      </c>
      <c r="B1986" s="12">
        <v>30000000</v>
      </c>
      <c r="C1986" s="12">
        <v>82163317</v>
      </c>
      <c r="D1986" s="12">
        <v>2003</v>
      </c>
      <c r="E1986" s="12" t="str">
        <f>VLOOKUP(A1986, Currency!$A$2:$B$100, 2, FALSE)</f>
        <v>USD</v>
      </c>
      <c r="F1986" s="12">
        <f ca="1">IFERROR(__xludf.DUMMYFUNCTION("IF(E1986=""USD"",B1986,B1986 * GOOGLEFINANCE(""CURRENCY:"" &amp; E1986 &amp; ""USD""))
"),30000000)</f>
        <v>30000000</v>
      </c>
      <c r="G1986" s="13">
        <f ca="1">IFERROR(__xludf.DUMMYFUNCTION("IF(E1986=""USD"",C1986,C1986 * GOOGLEFINANCE(""CURRENCY:"" &amp; E1986 &amp; ""USD""))
"),82163317)</f>
        <v>82163317</v>
      </c>
    </row>
    <row r="1987" spans="1:7" ht="15.75" customHeight="1" x14ac:dyDescent="0.25">
      <c r="A1987" s="14" t="s">
        <v>611</v>
      </c>
      <c r="B1987" s="15">
        <v>33000000</v>
      </c>
      <c r="C1987" s="15">
        <v>99462</v>
      </c>
      <c r="D1987" s="15">
        <v>2013</v>
      </c>
      <c r="E1987" s="15" t="str">
        <f>VLOOKUP(A1987, Currency!$A$2:$B$100, 2, FALSE)</f>
        <v>EUR</v>
      </c>
      <c r="F1987" s="15">
        <f ca="1">IFERROR(__xludf.DUMMYFUNCTION("IF(E1987=""USD"",B1987,B1987 * GOOGLEFINANCE(""CURRENCY:"" &amp; E1987 &amp; ""USD""))
"),35796420)</f>
        <v>35796420</v>
      </c>
      <c r="G1987" s="16">
        <f ca="1">IFERROR(__xludf.DUMMYFUNCTION("IF(E1987=""USD"",C1987,C1987 * GOOGLEFINANCE(""CURRENCY:"" &amp; E1987 &amp; ""USD""))
"),107890.40988)</f>
        <v>107890.40988000001</v>
      </c>
    </row>
    <row r="1988" spans="1:7" ht="15.75" customHeight="1" x14ac:dyDescent="0.25">
      <c r="A1988" s="11" t="s">
        <v>24</v>
      </c>
      <c r="B1988" s="12">
        <v>45000000</v>
      </c>
      <c r="C1988" s="12">
        <v>76261036</v>
      </c>
      <c r="D1988" s="12">
        <v>2001</v>
      </c>
      <c r="E1988" s="12" t="str">
        <f>VLOOKUP(A1988, Currency!$A$2:$B$100, 2, FALSE)</f>
        <v>USD</v>
      </c>
      <c r="F1988" s="12">
        <f ca="1">IFERROR(__xludf.DUMMYFUNCTION("IF(E1988=""USD"",B1988,B1988 * GOOGLEFINANCE(""CURRENCY:"" &amp; E1988 &amp; ""USD""))
"),45000000)</f>
        <v>45000000</v>
      </c>
      <c r="G1988" s="13">
        <f ca="1">IFERROR(__xludf.DUMMYFUNCTION("IF(E1988=""USD"",C1988,C1988 * GOOGLEFINANCE(""CURRENCY:"" &amp; E1988 &amp; ""USD""))
"),76261036)</f>
        <v>76261036</v>
      </c>
    </row>
    <row r="1989" spans="1:7" ht="15.75" customHeight="1" x14ac:dyDescent="0.25">
      <c r="A1989" s="14" t="s">
        <v>24</v>
      </c>
      <c r="B1989" s="15">
        <v>31000000</v>
      </c>
      <c r="C1989" s="15">
        <v>11854694</v>
      </c>
      <c r="D1989" s="15">
        <v>2010</v>
      </c>
      <c r="E1989" s="15" t="str">
        <f>VLOOKUP(A1989, Currency!$A$2:$B$100, 2, FALSE)</f>
        <v>USD</v>
      </c>
      <c r="F1989" s="15">
        <f ca="1">IFERROR(__xludf.DUMMYFUNCTION("IF(E1989=""USD"",B1989,B1989 * GOOGLEFINANCE(""CURRENCY:"" &amp; E1989 &amp; ""USD""))
"),31000000)</f>
        <v>31000000</v>
      </c>
      <c r="G1989" s="16">
        <f ca="1">IFERROR(__xludf.DUMMYFUNCTION("IF(E1989=""USD"",C1989,C1989 * GOOGLEFINANCE(""CURRENCY:"" &amp; E1989 &amp; ""USD""))
"),11854694)</f>
        <v>11854694</v>
      </c>
    </row>
    <row r="1990" spans="1:7" ht="15.75" customHeight="1" x14ac:dyDescent="0.25">
      <c r="A1990" s="11" t="s">
        <v>627</v>
      </c>
      <c r="B1990" s="12">
        <v>6800000</v>
      </c>
      <c r="C1990" s="12">
        <v>6857096</v>
      </c>
      <c r="D1990" s="12">
        <v>2010</v>
      </c>
      <c r="E1990" s="12" t="str">
        <f>VLOOKUP(A1990, Currency!$A$2:$B$100, 2, FALSE)</f>
        <v>CAD</v>
      </c>
      <c r="F1990" s="12">
        <f ca="1">IFERROR(__xludf.DUMMYFUNCTION("IF(E1990=""USD"",B1990,B1990 * GOOGLEFINANCE(""CURRENCY:"" &amp; E1990 &amp; ""USD""))
"),4919154)</f>
        <v>4919154</v>
      </c>
      <c r="G1990" s="13">
        <f ca="1">IFERROR(__xludf.DUMMYFUNCTION("IF(E1990=""USD"",C1990,C1990 * GOOGLEFINANCE(""CURRENCY:"" &amp; E1990 &amp; ""USD""))
"),4960457.53188)</f>
        <v>4960457.5318799997</v>
      </c>
    </row>
    <row r="1991" spans="1:7" ht="15.75" customHeight="1" x14ac:dyDescent="0.25">
      <c r="A1991" s="14" t="s">
        <v>24</v>
      </c>
      <c r="B1991" s="15">
        <v>190000000</v>
      </c>
      <c r="C1991" s="15">
        <v>101785482</v>
      </c>
      <c r="D1991" s="15">
        <v>2013</v>
      </c>
      <c r="E1991" s="15" t="str">
        <f>VLOOKUP(A1991, Currency!$A$2:$B$100, 2, FALSE)</f>
        <v>USD</v>
      </c>
      <c r="F1991" s="15">
        <f ca="1">IFERROR(__xludf.DUMMYFUNCTION("IF(E1991=""USD"",B1991,B1991 * GOOGLEFINANCE(""CURRENCY:"" &amp; E1991 &amp; ""USD""))
"),190000000)</f>
        <v>190000000</v>
      </c>
      <c r="G1991" s="16">
        <f ca="1">IFERROR(__xludf.DUMMYFUNCTION("IF(E1991=""USD"",C1991,C1991 * GOOGLEFINANCE(""CURRENCY:"" &amp; E1991 &amp; ""USD""))
"),101785482)</f>
        <v>101785482</v>
      </c>
    </row>
    <row r="1992" spans="1:7" ht="15.75" customHeight="1" x14ac:dyDescent="0.25">
      <c r="A1992" s="11" t="s">
        <v>24</v>
      </c>
      <c r="B1992" s="12">
        <v>25000000</v>
      </c>
      <c r="C1992" s="12">
        <v>28341469</v>
      </c>
      <c r="D1992" s="12">
        <v>1994</v>
      </c>
      <c r="E1992" s="12" t="str">
        <f>VLOOKUP(A1992, Currency!$A$2:$B$100, 2, FALSE)</f>
        <v>USD</v>
      </c>
      <c r="F1992" s="12">
        <f ca="1">IFERROR(__xludf.DUMMYFUNCTION("IF(E1992=""USD"",B1992,B1992 * GOOGLEFINANCE(""CURRENCY:"" &amp; E1992 &amp; ""USD""))
"),25000000)</f>
        <v>25000000</v>
      </c>
      <c r="G1992" s="13">
        <f ca="1">IFERROR(__xludf.DUMMYFUNCTION("IF(E1992=""USD"",C1992,C1992 * GOOGLEFINANCE(""CURRENCY:"" &amp; E1992 &amp; ""USD""))
"),28341469)</f>
        <v>28341469</v>
      </c>
    </row>
    <row r="1993" spans="1:7" ht="15.75" customHeight="1" x14ac:dyDescent="0.25">
      <c r="A1993" s="14" t="s">
        <v>24</v>
      </c>
      <c r="B1993" s="15">
        <v>30000000</v>
      </c>
      <c r="C1993" s="15">
        <v>21426805</v>
      </c>
      <c r="D1993" s="15">
        <v>2011</v>
      </c>
      <c r="E1993" s="15" t="str">
        <f>VLOOKUP(A1993, Currency!$A$2:$B$100, 2, FALSE)</f>
        <v>USD</v>
      </c>
      <c r="F1993" s="15">
        <f ca="1">IFERROR(__xludf.DUMMYFUNCTION("IF(E1993=""USD"",B1993,B1993 * GOOGLEFINANCE(""CURRENCY:"" &amp; E1993 &amp; ""USD""))
"),30000000)</f>
        <v>30000000</v>
      </c>
      <c r="G1993" s="16">
        <f ca="1">IFERROR(__xludf.DUMMYFUNCTION("IF(E1993=""USD"",C1993,C1993 * GOOGLEFINANCE(""CURRENCY:"" &amp; E1993 &amp; ""USD""))
"),21426805)</f>
        <v>21426805</v>
      </c>
    </row>
    <row r="1994" spans="1:7" ht="15.75" customHeight="1" x14ac:dyDescent="0.25">
      <c r="A1994" s="11" t="s">
        <v>24</v>
      </c>
      <c r="B1994" s="12">
        <v>7000000</v>
      </c>
      <c r="C1994" s="12">
        <v>7292175</v>
      </c>
      <c r="D1994" s="12">
        <v>1999</v>
      </c>
      <c r="E1994" s="12" t="str">
        <f>VLOOKUP(A1994, Currency!$A$2:$B$100, 2, FALSE)</f>
        <v>USD</v>
      </c>
      <c r="F1994" s="12">
        <f ca="1">IFERROR(__xludf.DUMMYFUNCTION("IF(E1994=""USD"",B1994,B1994 * GOOGLEFINANCE(""CURRENCY:"" &amp; E1994 &amp; ""USD""))
"),7000000)</f>
        <v>7000000</v>
      </c>
      <c r="G1994" s="13">
        <f ca="1">IFERROR(__xludf.DUMMYFUNCTION("IF(E1994=""USD"",C1994,C1994 * GOOGLEFINANCE(""CURRENCY:"" &amp; E1994 &amp; ""USD""))
"),7292175)</f>
        <v>7292175</v>
      </c>
    </row>
    <row r="1995" spans="1:7" ht="15.75" customHeight="1" x14ac:dyDescent="0.25">
      <c r="A1995" s="14" t="s">
        <v>24</v>
      </c>
      <c r="B1995" s="15">
        <v>15000000</v>
      </c>
      <c r="C1995" s="15">
        <v>68856263</v>
      </c>
      <c r="D1995" s="15">
        <v>1993</v>
      </c>
      <c r="E1995" s="15" t="str">
        <f>VLOOKUP(A1995, Currency!$A$2:$B$100, 2, FALSE)</f>
        <v>USD</v>
      </c>
      <c r="F1995" s="15">
        <f ca="1">IFERROR(__xludf.DUMMYFUNCTION("IF(E1995=""USD"",B1995,B1995 * GOOGLEFINANCE(""CURRENCY:"" &amp; E1995 &amp; ""USD""))
"),15000000)</f>
        <v>15000000</v>
      </c>
      <c r="G1995" s="16">
        <f ca="1">IFERROR(__xludf.DUMMYFUNCTION("IF(E1995=""USD"",C1995,C1995 * GOOGLEFINANCE(""CURRENCY:"" &amp; E1995 &amp; ""USD""))
"),68856263)</f>
        <v>68856263</v>
      </c>
    </row>
    <row r="1996" spans="1:7" ht="15.75" customHeight="1" x14ac:dyDescent="0.25">
      <c r="A1996" s="11" t="s">
        <v>1111</v>
      </c>
      <c r="B1996" s="12">
        <v>5000000</v>
      </c>
      <c r="C1996" s="12">
        <v>1082044</v>
      </c>
      <c r="D1996" s="12">
        <v>2004</v>
      </c>
      <c r="E1996" s="12" t="str">
        <f>VLOOKUP(A1996, Currency!$A$2:$B$100, 2, FALSE)</f>
        <v>EUR</v>
      </c>
      <c r="F1996" s="12">
        <f ca="1">IFERROR(__xludf.DUMMYFUNCTION("IF(E1996=""USD"",B1996,B1996 * GOOGLEFINANCE(""CURRENCY:"" &amp; E1996 &amp; ""USD""))
"),5423700)</f>
        <v>5423700</v>
      </c>
      <c r="G1996" s="13">
        <f ca="1">IFERROR(__xludf.DUMMYFUNCTION("IF(E1996=""USD"",C1996,C1996 * GOOGLEFINANCE(""CURRENCY:"" &amp; E1996 &amp; ""USD""))
"),1173736.40856)</f>
        <v>1173736.4085599999</v>
      </c>
    </row>
    <row r="1997" spans="1:7" ht="15.75" customHeight="1" x14ac:dyDescent="0.25">
      <c r="A1997" s="14" t="s">
        <v>24</v>
      </c>
      <c r="B1997" s="15">
        <v>46000000</v>
      </c>
      <c r="C1997" s="15">
        <v>58918501</v>
      </c>
      <c r="D1997" s="15">
        <v>1996</v>
      </c>
      <c r="E1997" s="15" t="str">
        <f>VLOOKUP(A1997, Currency!$A$2:$B$100, 2, FALSE)</f>
        <v>USD</v>
      </c>
      <c r="F1997" s="15">
        <f ca="1">IFERROR(__xludf.DUMMYFUNCTION("IF(E1997=""USD"",B1997,B1997 * GOOGLEFINANCE(""CURRENCY:"" &amp; E1997 &amp; ""USD""))
"),46000000)</f>
        <v>46000000</v>
      </c>
      <c r="G1997" s="16">
        <f ca="1">IFERROR(__xludf.DUMMYFUNCTION("IF(E1997=""USD"",C1997,C1997 * GOOGLEFINANCE(""CURRENCY:"" &amp; E1997 &amp; ""USD""))
"),58918501)</f>
        <v>58918501</v>
      </c>
    </row>
    <row r="1998" spans="1:7" ht="15.75" customHeight="1" x14ac:dyDescent="0.25">
      <c r="A1998" s="11" t="s">
        <v>24</v>
      </c>
      <c r="B1998" s="12">
        <v>100000000</v>
      </c>
      <c r="C1998" s="12">
        <v>95328937</v>
      </c>
      <c r="D1998" s="12">
        <v>2010</v>
      </c>
      <c r="E1998" s="12" t="str">
        <f>VLOOKUP(A1998, Currency!$A$2:$B$100, 2, FALSE)</f>
        <v>USD</v>
      </c>
      <c r="F1998" s="12">
        <f ca="1">IFERROR(__xludf.DUMMYFUNCTION("IF(E1998=""USD"",B1998,B1998 * GOOGLEFINANCE(""CURRENCY:"" &amp; E1998 &amp; ""USD""))
"),100000000)</f>
        <v>100000000</v>
      </c>
      <c r="G1998" s="13">
        <f ca="1">IFERROR(__xludf.DUMMYFUNCTION("IF(E1998=""USD"",C1998,C1998 * GOOGLEFINANCE(""CURRENCY:"" &amp; E1998 &amp; ""USD""))
"),95328937)</f>
        <v>95328937</v>
      </c>
    </row>
    <row r="1999" spans="1:7" ht="15.75" customHeight="1" x14ac:dyDescent="0.25">
      <c r="A1999" s="14" t="s">
        <v>24</v>
      </c>
      <c r="B1999" s="15">
        <v>1000000</v>
      </c>
      <c r="C1999" s="15">
        <v>18112929</v>
      </c>
      <c r="D1999" s="15">
        <v>2012</v>
      </c>
      <c r="E1999" s="15" t="str">
        <f>VLOOKUP(A1999, Currency!$A$2:$B$100, 2, FALSE)</f>
        <v>USD</v>
      </c>
      <c r="F1999" s="15">
        <f ca="1">IFERROR(__xludf.DUMMYFUNCTION("IF(E1999=""USD"",B1999,B1999 * GOOGLEFINANCE(""CURRENCY:"" &amp; E1999 &amp; ""USD""))
"),1000000)</f>
        <v>1000000</v>
      </c>
      <c r="G1999" s="16">
        <f ca="1">IFERROR(__xludf.DUMMYFUNCTION("IF(E1999=""USD"",C1999,C1999 * GOOGLEFINANCE(""CURRENCY:"" &amp; E1999 &amp; ""USD""))
"),18112929)</f>
        <v>18112929</v>
      </c>
    </row>
    <row r="2000" spans="1:7" ht="15.75" customHeight="1" x14ac:dyDescent="0.25">
      <c r="A2000" s="11" t="s">
        <v>24</v>
      </c>
      <c r="B2000" s="12">
        <v>18000000</v>
      </c>
      <c r="C2000" s="12">
        <v>18329466</v>
      </c>
      <c r="D2000" s="12">
        <v>2010</v>
      </c>
      <c r="E2000" s="12" t="str">
        <f>VLOOKUP(A2000, Currency!$A$2:$B$100, 2, FALSE)</f>
        <v>USD</v>
      </c>
      <c r="F2000" s="12">
        <f ca="1">IFERROR(__xludf.DUMMYFUNCTION("IF(E2000=""USD"",B2000,B2000 * GOOGLEFINANCE(""CURRENCY:"" &amp; E2000 &amp; ""USD""))
"),18000000)</f>
        <v>18000000</v>
      </c>
      <c r="G2000" s="13">
        <f ca="1">IFERROR(__xludf.DUMMYFUNCTION("IF(E2000=""USD"",C2000,C2000 * GOOGLEFINANCE(""CURRENCY:"" &amp; E2000 &amp; ""USD""))
"),18329466)</f>
        <v>18329466</v>
      </c>
    </row>
    <row r="2001" spans="1:7" ht="15.75" customHeight="1" x14ac:dyDescent="0.25">
      <c r="A2001" s="14" t="s">
        <v>24</v>
      </c>
      <c r="B2001" s="15">
        <v>120000000</v>
      </c>
      <c r="C2001" s="15">
        <v>132550960</v>
      </c>
      <c r="D2001" s="15">
        <v>2013</v>
      </c>
      <c r="E2001" s="15" t="str">
        <f>VLOOKUP(A2001, Currency!$A$2:$B$100, 2, FALSE)</f>
        <v>USD</v>
      </c>
      <c r="F2001" s="15">
        <f ca="1">IFERROR(__xludf.DUMMYFUNCTION("IF(E2001=""USD"",B2001,B2001 * GOOGLEFINANCE(""CURRENCY:"" &amp; E2001 &amp; ""USD""))
"),120000000)</f>
        <v>120000000</v>
      </c>
      <c r="G2001" s="16">
        <f ca="1">IFERROR(__xludf.DUMMYFUNCTION("IF(E2001=""USD"",C2001,C2001 * GOOGLEFINANCE(""CURRENCY:"" &amp; E2001 &amp; ""USD""))
"),132550960)</f>
        <v>132550960</v>
      </c>
    </row>
    <row r="2002" spans="1:7" ht="15.75" customHeight="1" x14ac:dyDescent="0.25">
      <c r="A2002" s="11" t="s">
        <v>24</v>
      </c>
      <c r="B2002" s="12">
        <v>25000000</v>
      </c>
      <c r="C2002" s="12">
        <v>10769960</v>
      </c>
      <c r="D2002" s="12">
        <v>1993</v>
      </c>
      <c r="E2002" s="12" t="str">
        <f>VLOOKUP(A2002, Currency!$A$2:$B$100, 2, FALSE)</f>
        <v>USD</v>
      </c>
      <c r="F2002" s="12">
        <f ca="1">IFERROR(__xludf.DUMMYFUNCTION("IF(E2002=""USD"",B2002,B2002 * GOOGLEFINANCE(""CURRENCY:"" &amp; E2002 &amp; ""USD""))
"),25000000)</f>
        <v>25000000</v>
      </c>
      <c r="G2002" s="13">
        <f ca="1">IFERROR(__xludf.DUMMYFUNCTION("IF(E2002=""USD"",C2002,C2002 * GOOGLEFINANCE(""CURRENCY:"" &amp; E2002 &amp; ""USD""))
"),10769960)</f>
        <v>10769960</v>
      </c>
    </row>
    <row r="2003" spans="1:7" ht="15.75" customHeight="1" x14ac:dyDescent="0.25">
      <c r="A2003" s="14" t="s">
        <v>133</v>
      </c>
      <c r="B2003" s="15">
        <v>35000000</v>
      </c>
      <c r="C2003" s="15">
        <v>25093607</v>
      </c>
      <c r="D2003" s="15">
        <v>2011</v>
      </c>
      <c r="E2003" s="15" t="str">
        <f>VLOOKUP(A2003, Currency!$A$2:$B$100, 2, FALSE)</f>
        <v>GBP</v>
      </c>
      <c r="F2003" s="15">
        <f ca="1">IFERROR(__xludf.DUMMYFUNCTION("IF(E2003=""USD"",B2003,B2003 * GOOGLEFINANCE(""CURRENCY:"" &amp; E2003 &amp; ""USD""))
"),44988999.9999999)</f>
        <v>44988999.999999903</v>
      </c>
      <c r="G2003" s="16">
        <f ca="1">IFERROR(__xludf.DUMMYFUNCTION("IF(E2003=""USD"",C2003,C2003 * GOOGLEFINANCE(""CURRENCY:"" &amp; E2003 &amp; ""USD""))
"),32255322.4377999)</f>
        <v>32255322.437799901</v>
      </c>
    </row>
    <row r="2004" spans="1:7" ht="15.75" customHeight="1" x14ac:dyDescent="0.25">
      <c r="A2004" s="11" t="s">
        <v>133</v>
      </c>
      <c r="B2004" s="12">
        <v>3500000</v>
      </c>
      <c r="C2004" s="12">
        <v>45857453</v>
      </c>
      <c r="D2004" s="12">
        <v>1997</v>
      </c>
      <c r="E2004" s="12" t="str">
        <f>VLOOKUP(A2004, Currency!$A$2:$B$100, 2, FALSE)</f>
        <v>GBP</v>
      </c>
      <c r="F2004" s="12">
        <f ca="1">IFERROR(__xludf.DUMMYFUNCTION("IF(E2004=""USD"",B2004,B2004 * GOOGLEFINANCE(""CURRENCY:"" &amp; E2004 &amp; ""USD""))
"),4498900)</f>
        <v>4498900</v>
      </c>
      <c r="G2004" s="13">
        <f ca="1">IFERROR(__xludf.DUMMYFUNCTION("IF(E2004=""USD"",C2004,C2004 * GOOGLEFINANCE(""CURRENCY:"" &amp; E2004 &amp; ""USD""))
"),58945170.0861999)</f>
        <v>58945170.086199902</v>
      </c>
    </row>
    <row r="2005" spans="1:7" ht="15.75" customHeight="1" x14ac:dyDescent="0.25">
      <c r="A2005" s="14" t="s">
        <v>674</v>
      </c>
      <c r="B2005" s="15">
        <v>7000000</v>
      </c>
      <c r="C2005" s="15">
        <v>13876974</v>
      </c>
      <c r="D2005" s="15">
        <v>2001</v>
      </c>
      <c r="E2005" s="15" t="str">
        <f>VLOOKUP(A2005, Currency!$A$2:$B$100, 2, FALSE)</f>
        <v>INR</v>
      </c>
      <c r="F2005" s="15">
        <f ca="1">IFERROR(__xludf.DUMMYFUNCTION("IF(E2005=""USD"",B2005,B2005 * GOOGLEFINANCE(""CURRENCY:"" &amp; E2005 &amp; ""USD""))
"),83590.22)</f>
        <v>83590.22</v>
      </c>
      <c r="G2005" s="16">
        <f ca="1">IFERROR(__xludf.DUMMYFUNCTION("IF(E2005=""USD"",C2005,C2005 * GOOGLEFINANCE(""CURRENCY:"" &amp; E2005 &amp; ""USD""))
"),165711.32994204)</f>
        <v>165711.32994204</v>
      </c>
    </row>
    <row r="2006" spans="1:7" ht="15.75" customHeight="1" x14ac:dyDescent="0.25">
      <c r="A2006" s="11" t="s">
        <v>133</v>
      </c>
      <c r="B2006" s="12">
        <v>45000000</v>
      </c>
      <c r="C2006" s="12">
        <v>59365105</v>
      </c>
      <c r="D2006" s="12">
        <v>2003</v>
      </c>
      <c r="E2006" s="12" t="str">
        <f>VLOOKUP(A2006, Currency!$A$2:$B$100, 2, FALSE)</f>
        <v>GBP</v>
      </c>
      <c r="F2006" s="12">
        <f ca="1">IFERROR(__xludf.DUMMYFUNCTION("IF(E2006=""USD"",B2006,B2006 * GOOGLEFINANCE(""CURRENCY:"" &amp; E2006 &amp; ""USD""))
"),57842999.9999999)</f>
        <v>57842999.999999903</v>
      </c>
      <c r="G2006" s="13">
        <f ca="1">IFERROR(__xludf.DUMMYFUNCTION("IF(E2006=""USD"",C2006,C2006 * GOOGLEFINANCE(""CURRENCY:"" &amp; E2006 &amp; ""USD""))
"),76307905.967)</f>
        <v>76307905.966999993</v>
      </c>
    </row>
    <row r="2007" spans="1:7" ht="15.75" customHeight="1" x14ac:dyDescent="0.25">
      <c r="A2007" s="14" t="s">
        <v>149</v>
      </c>
      <c r="B2007" s="15">
        <v>60000000</v>
      </c>
      <c r="C2007" s="15">
        <v>257756197</v>
      </c>
      <c r="D2007" s="15">
        <v>2014</v>
      </c>
      <c r="E2007" s="15" t="str">
        <f>VLOOKUP(A2007, Currency!$A$2:$B$100, 2, FALSE)</f>
        <v>AUD</v>
      </c>
      <c r="F2007" s="15">
        <f ca="1">IFERROR(__xludf.DUMMYFUNCTION("IF(E2007=""USD"",B2007,B2007 * GOOGLEFINANCE(""CURRENCY:"" &amp; E2007 &amp; ""USD""))
"),39232800)</f>
        <v>39232800</v>
      </c>
      <c r="G2007" s="16">
        <f ca="1">IFERROR(__xludf.DUMMYFUNCTION("IF(E2007=""USD"",C2007,C2007 * GOOGLEFINANCE(""CURRENCY:"" &amp; E2007 &amp; ""USD""))
"),168541622.09436)</f>
        <v>168541622.09435999</v>
      </c>
    </row>
    <row r="2008" spans="1:7" ht="15.75" customHeight="1" x14ac:dyDescent="0.25">
      <c r="A2008" s="11" t="s">
        <v>24</v>
      </c>
      <c r="B2008" s="12">
        <v>4700000</v>
      </c>
      <c r="C2008" s="12">
        <v>8025872</v>
      </c>
      <c r="D2008" s="12">
        <v>1986</v>
      </c>
      <c r="E2008" s="12" t="str">
        <f>VLOOKUP(A2008, Currency!$A$2:$B$100, 2, FALSE)</f>
        <v>USD</v>
      </c>
      <c r="F2008" s="12">
        <f ca="1">IFERROR(__xludf.DUMMYFUNCTION("IF(E2008=""USD"",B2008,B2008 * GOOGLEFINANCE(""CURRENCY:"" &amp; E2008 &amp; ""USD""))
"),4700000)</f>
        <v>4700000</v>
      </c>
      <c r="G2008" s="13">
        <f ca="1">IFERROR(__xludf.DUMMYFUNCTION("IF(E2008=""USD"",C2008,C2008 * GOOGLEFINANCE(""CURRENCY:"" &amp; E2008 &amp; ""USD""))
"),8025872)</f>
        <v>8025872</v>
      </c>
    </row>
    <row r="2009" spans="1:7" ht="15.75" customHeight="1" x14ac:dyDescent="0.25">
      <c r="A2009" s="14" t="s">
        <v>24</v>
      </c>
      <c r="B2009" s="15">
        <v>6000000</v>
      </c>
      <c r="C2009" s="15">
        <v>102308900</v>
      </c>
      <c r="D2009" s="15">
        <v>1969</v>
      </c>
      <c r="E2009" s="15" t="str">
        <f>VLOOKUP(A2009, Currency!$A$2:$B$100, 2, FALSE)</f>
        <v>USD</v>
      </c>
      <c r="F2009" s="15">
        <f ca="1">IFERROR(__xludf.DUMMYFUNCTION("IF(E2009=""USD"",B2009,B2009 * GOOGLEFINANCE(""CURRENCY:"" &amp; E2009 &amp; ""USD""))
"),6000000)</f>
        <v>6000000</v>
      </c>
      <c r="G2009" s="16">
        <f ca="1">IFERROR(__xludf.DUMMYFUNCTION("IF(E2009=""USD"",C2009,C2009 * GOOGLEFINANCE(""CURRENCY:"" &amp; E2009 &amp; ""USD""))
"),102308900)</f>
        <v>102308900</v>
      </c>
    </row>
    <row r="2010" spans="1:7" ht="15.75" customHeight="1" x14ac:dyDescent="0.25">
      <c r="A2010" s="11" t="s">
        <v>24</v>
      </c>
      <c r="B2010" s="12">
        <v>23600000</v>
      </c>
      <c r="C2010" s="12">
        <v>75590286</v>
      </c>
      <c r="D2010" s="12">
        <v>2009</v>
      </c>
      <c r="E2010" s="12" t="str">
        <f>VLOOKUP(A2010, Currency!$A$2:$B$100, 2, FALSE)</f>
        <v>USD</v>
      </c>
      <c r="F2010" s="12">
        <f ca="1">IFERROR(__xludf.DUMMYFUNCTION("IF(E2010=""USD"",B2010,B2010 * GOOGLEFINANCE(""CURRENCY:"" &amp; E2010 &amp; ""USD""))
"),23600000)</f>
        <v>23600000</v>
      </c>
      <c r="G2010" s="13">
        <f ca="1">IFERROR(__xludf.DUMMYFUNCTION("IF(E2010=""USD"",C2010,C2010 * GOOGLEFINANCE(""CURRENCY:"" &amp; E2010 &amp; ""USD""))
"),75590286)</f>
        <v>75590286</v>
      </c>
    </row>
    <row r="2011" spans="1:7" ht="15.75" customHeight="1" x14ac:dyDescent="0.25">
      <c r="A2011" s="14" t="s">
        <v>24</v>
      </c>
      <c r="B2011" s="15">
        <v>13000000</v>
      </c>
      <c r="C2011" s="15">
        <v>44726644</v>
      </c>
      <c r="D2011" s="15">
        <v>1988</v>
      </c>
      <c r="E2011" s="15" t="str">
        <f>VLOOKUP(A2011, Currency!$A$2:$B$100, 2, FALSE)</f>
        <v>USD</v>
      </c>
      <c r="F2011" s="15">
        <f ca="1">IFERROR(__xludf.DUMMYFUNCTION("IF(E2011=""USD"",B2011,B2011 * GOOGLEFINANCE(""CURRENCY:"" &amp; E2011 &amp; ""USD""))
"),13000000)</f>
        <v>13000000</v>
      </c>
      <c r="G2011" s="16">
        <f ca="1">IFERROR(__xludf.DUMMYFUNCTION("IF(E2011=""USD"",C2011,C2011 * GOOGLEFINANCE(""CURRENCY:"" &amp; E2011 &amp; ""USD""))
"),44726644)</f>
        <v>44726644</v>
      </c>
    </row>
    <row r="2012" spans="1:7" ht="15.75" customHeight="1" x14ac:dyDescent="0.25">
      <c r="A2012" s="11" t="s">
        <v>133</v>
      </c>
      <c r="B2012" s="12">
        <v>40000000</v>
      </c>
      <c r="C2012" s="12">
        <v>33864342</v>
      </c>
      <c r="D2012" s="12">
        <v>1999</v>
      </c>
      <c r="E2012" s="12" t="str">
        <f>VLOOKUP(A2012, Currency!$A$2:$B$100, 2, FALSE)</f>
        <v>GBP</v>
      </c>
      <c r="F2012" s="12">
        <f ca="1">IFERROR(__xludf.DUMMYFUNCTION("IF(E2012=""USD"",B2012,B2012 * GOOGLEFINANCE(""CURRENCY:"" &amp; E2012 &amp; ""USD""))
"),51415999.9999999)</f>
        <v>51415999.999999903</v>
      </c>
      <c r="G2012" s="13">
        <f ca="1">IFERROR(__xludf.DUMMYFUNCTION("IF(E2012=""USD"",C2012,C2012 * GOOGLEFINANCE(""CURRENCY:"" &amp; E2012 &amp; ""USD""))
"),43529225.2068)</f>
        <v>43529225.206799999</v>
      </c>
    </row>
    <row r="2013" spans="1:7" ht="15.75" customHeight="1" x14ac:dyDescent="0.25">
      <c r="A2013" s="14" t="s">
        <v>24</v>
      </c>
      <c r="B2013" s="15">
        <v>2800000</v>
      </c>
      <c r="C2013" s="15">
        <v>475000</v>
      </c>
      <c r="D2013" s="15">
        <v>2006</v>
      </c>
      <c r="E2013" s="15" t="str">
        <f>VLOOKUP(A2013, Currency!$A$2:$B$100, 2, FALSE)</f>
        <v>USD</v>
      </c>
      <c r="F2013" s="15">
        <f ca="1">IFERROR(__xludf.DUMMYFUNCTION("IF(E2013=""USD"",B2013,B2013 * GOOGLEFINANCE(""CURRENCY:"" &amp; E2013 &amp; ""USD""))
"),2800000)</f>
        <v>2800000</v>
      </c>
      <c r="G2013" s="16">
        <f ca="1">IFERROR(__xludf.DUMMYFUNCTION("IF(E2013=""USD"",C2013,C2013 * GOOGLEFINANCE(""CURRENCY:"" &amp; E2013 &amp; ""USD""))
"),475000)</f>
        <v>475000</v>
      </c>
    </row>
    <row r="2014" spans="1:7" ht="15.75" customHeight="1" x14ac:dyDescent="0.25">
      <c r="A2014" s="11" t="s">
        <v>176</v>
      </c>
      <c r="B2014" s="12">
        <v>100000000</v>
      </c>
      <c r="C2014" s="12">
        <v>77222184</v>
      </c>
      <c r="D2014" s="12">
        <v>2009</v>
      </c>
      <c r="E2014" s="12" t="str">
        <f>VLOOKUP(A2014, Currency!$A$2:$B$100, 2, FALSE)</f>
        <v>EUR</v>
      </c>
      <c r="F2014" s="12">
        <f ca="1">IFERROR(__xludf.DUMMYFUNCTION("IF(E2014=""USD"",B2014,B2014 * GOOGLEFINANCE(""CURRENCY:"" &amp; E2014 &amp; ""USD""))
"),108474000)</f>
        <v>108474000</v>
      </c>
      <c r="G2014" s="13">
        <f ca="1">IFERROR(__xludf.DUMMYFUNCTION("IF(E2014=""USD"",C2014,C2014 * GOOGLEFINANCE(""CURRENCY:"" &amp; E2014 &amp; ""USD""))
"),83765991.87216)</f>
        <v>83765991.872160003</v>
      </c>
    </row>
    <row r="2015" spans="1:7" ht="15.75" customHeight="1" x14ac:dyDescent="0.25">
      <c r="A2015" s="14" t="s">
        <v>24</v>
      </c>
      <c r="B2015" s="15">
        <v>3000000</v>
      </c>
      <c r="C2015" s="15">
        <v>252726</v>
      </c>
      <c r="D2015" s="15">
        <v>2006</v>
      </c>
      <c r="E2015" s="15" t="str">
        <f>VLOOKUP(A2015, Currency!$A$2:$B$100, 2, FALSE)</f>
        <v>USD</v>
      </c>
      <c r="F2015" s="15">
        <f ca="1">IFERROR(__xludf.DUMMYFUNCTION("IF(E2015=""USD"",B2015,B2015 * GOOGLEFINANCE(""CURRENCY:"" &amp; E2015 &amp; ""USD""))
"),3000000)</f>
        <v>3000000</v>
      </c>
      <c r="G2015" s="16">
        <f ca="1">IFERROR(__xludf.DUMMYFUNCTION("IF(E2015=""USD"",C2015,C2015 * GOOGLEFINANCE(""CURRENCY:"" &amp; E2015 &amp; ""USD""))
"),252726)</f>
        <v>252726</v>
      </c>
    </row>
    <row r="2016" spans="1:7" ht="15.75" customHeight="1" x14ac:dyDescent="0.25">
      <c r="A2016" s="11" t="s">
        <v>24</v>
      </c>
      <c r="B2016" s="12">
        <v>35000000</v>
      </c>
      <c r="C2016" s="12">
        <v>10268846</v>
      </c>
      <c r="D2016" s="12">
        <v>2009</v>
      </c>
      <c r="E2016" s="12" t="str">
        <f>VLOOKUP(A2016, Currency!$A$2:$B$100, 2, FALSE)</f>
        <v>USD</v>
      </c>
      <c r="F2016" s="12">
        <f ca="1">IFERROR(__xludf.DUMMYFUNCTION("IF(E2016=""USD"",B2016,B2016 * GOOGLEFINANCE(""CURRENCY:"" &amp; E2016 &amp; ""USD""))
"),35000000)</f>
        <v>35000000</v>
      </c>
      <c r="G2016" s="13">
        <f ca="1">IFERROR(__xludf.DUMMYFUNCTION("IF(E2016=""USD"",C2016,C2016 * GOOGLEFINANCE(""CURRENCY:"" &amp; E2016 &amp; ""USD""))
"),10268846)</f>
        <v>10268846</v>
      </c>
    </row>
    <row r="2017" spans="1:7" ht="15.75" customHeight="1" x14ac:dyDescent="0.25">
      <c r="A2017" s="14" t="s">
        <v>24</v>
      </c>
      <c r="B2017" s="15">
        <v>700000</v>
      </c>
      <c r="C2017" s="15">
        <v>10508</v>
      </c>
      <c r="D2017" s="15">
        <v>1998</v>
      </c>
      <c r="E2017" s="15" t="str">
        <f>VLOOKUP(A2017, Currency!$A$2:$B$100, 2, FALSE)</f>
        <v>USD</v>
      </c>
      <c r="F2017" s="15">
        <f ca="1">IFERROR(__xludf.DUMMYFUNCTION("IF(E2017=""USD"",B2017,B2017 * GOOGLEFINANCE(""CURRENCY:"" &amp; E2017 &amp; ""USD""))
"),700000)</f>
        <v>700000</v>
      </c>
      <c r="G2017" s="16">
        <f ca="1">IFERROR(__xludf.DUMMYFUNCTION("IF(E2017=""USD"",C2017,C2017 * GOOGLEFINANCE(""CURRENCY:"" &amp; E2017 &amp; ""USD""))
"),10508)</f>
        <v>10508</v>
      </c>
    </row>
    <row r="2018" spans="1:7" ht="15.75" customHeight="1" x14ac:dyDescent="0.25">
      <c r="A2018" s="11" t="s">
        <v>24</v>
      </c>
      <c r="B2018" s="12">
        <v>100000000</v>
      </c>
      <c r="C2018" s="12">
        <v>4411102</v>
      </c>
      <c r="D2018" s="12">
        <v>2002</v>
      </c>
      <c r="E2018" s="12" t="str">
        <f>VLOOKUP(A2018, Currency!$A$2:$B$100, 2, FALSE)</f>
        <v>USD</v>
      </c>
      <c r="F2018" s="12">
        <f ca="1">IFERROR(__xludf.DUMMYFUNCTION("IF(E2018=""USD"",B2018,B2018 * GOOGLEFINANCE(""CURRENCY:"" &amp; E2018 &amp; ""USD""))
"),100000000)</f>
        <v>100000000</v>
      </c>
      <c r="G2018" s="13">
        <f ca="1">IFERROR(__xludf.DUMMYFUNCTION("IF(E2018=""USD"",C2018,C2018 * GOOGLEFINANCE(""CURRENCY:"" &amp; E2018 &amp; ""USD""))
"),4411102)</f>
        <v>4411102</v>
      </c>
    </row>
    <row r="2019" spans="1:7" ht="15.75" customHeight="1" x14ac:dyDescent="0.25">
      <c r="A2019" s="14" t="s">
        <v>133</v>
      </c>
      <c r="B2019" s="15">
        <v>36000000</v>
      </c>
      <c r="C2019" s="15">
        <v>7000000</v>
      </c>
      <c r="D2019" s="15">
        <v>1980</v>
      </c>
      <c r="E2019" s="15" t="str">
        <f>VLOOKUP(A2019, Currency!$A$2:$B$100, 2, FALSE)</f>
        <v>GBP</v>
      </c>
      <c r="F2019" s="15">
        <f ca="1">IFERROR(__xludf.DUMMYFUNCTION("IF(E2019=""USD"",B2019,B2019 * GOOGLEFINANCE(""CURRENCY:"" &amp; E2019 &amp; ""USD""))
"),46274399.9999999)</f>
        <v>46274399.999999903</v>
      </c>
      <c r="G2019" s="16">
        <f ca="1">IFERROR(__xludf.DUMMYFUNCTION("IF(E2019=""USD"",C2019,C2019 * GOOGLEFINANCE(""CURRENCY:"" &amp; E2019 &amp; ""USD""))
"),8997800)</f>
        <v>8997800</v>
      </c>
    </row>
    <row r="2020" spans="1:7" ht="15.75" customHeight="1" x14ac:dyDescent="0.25">
      <c r="A2020" s="11" t="s">
        <v>24</v>
      </c>
      <c r="B2020" s="12">
        <v>250000</v>
      </c>
      <c r="C2020" s="12">
        <v>4186931</v>
      </c>
      <c r="D2020" s="12">
        <v>2001</v>
      </c>
      <c r="E2020" s="12" t="str">
        <f>VLOOKUP(A2020, Currency!$A$2:$B$100, 2, FALSE)</f>
        <v>USD</v>
      </c>
      <c r="F2020" s="12">
        <f ca="1">IFERROR(__xludf.DUMMYFUNCTION("IF(E2020=""USD"",B2020,B2020 * GOOGLEFINANCE(""CURRENCY:"" &amp; E2020 &amp; ""USD""))
"),250000)</f>
        <v>250000</v>
      </c>
      <c r="G2020" s="13">
        <f ca="1">IFERROR(__xludf.DUMMYFUNCTION("IF(E2020=""USD"",C2020,C2020 * GOOGLEFINANCE(""CURRENCY:"" &amp; E2020 &amp; ""USD""))
"),4186931)</f>
        <v>4186931</v>
      </c>
    </row>
    <row r="2021" spans="1:7" ht="15.75" customHeight="1" x14ac:dyDescent="0.25">
      <c r="A2021" s="14" t="s">
        <v>160</v>
      </c>
      <c r="B2021" s="15">
        <v>34000000</v>
      </c>
      <c r="C2021" s="15">
        <v>54132596</v>
      </c>
      <c r="D2021" s="15">
        <v>2007</v>
      </c>
      <c r="E2021" s="15" t="str">
        <f>VLOOKUP(A2021, Currency!$A$2:$B$100, 2, FALSE)</f>
        <v>HKD</v>
      </c>
      <c r="F2021" s="15">
        <f ca="1">IFERROR(__xludf.DUMMYFUNCTION("IF(E2021=""USD"",B2021,B2021 * GOOGLEFINANCE(""CURRENCY:"" &amp; E2021 &amp; ""USD""))
"),4355206.2)</f>
        <v>4355206.2</v>
      </c>
      <c r="G2021" s="16">
        <f ca="1">IFERROR(__xludf.DUMMYFUNCTION("IF(E2021=""USD"",C2021,C2021 * GOOGLEFINANCE(""CURRENCY:"" &amp; E2021 &amp; ""USD""))
"),6934076.99180279)</f>
        <v>6934076.9918027902</v>
      </c>
    </row>
    <row r="2022" spans="1:7" ht="15.75" customHeight="1" x14ac:dyDescent="0.25">
      <c r="A2022" s="11" t="s">
        <v>24</v>
      </c>
      <c r="B2022" s="12">
        <v>30000000</v>
      </c>
      <c r="C2022" s="12">
        <v>70098138</v>
      </c>
      <c r="D2022" s="12">
        <v>2003</v>
      </c>
      <c r="E2022" s="12" t="str">
        <f>VLOOKUP(A2022, Currency!$A$2:$B$100, 2, FALSE)</f>
        <v>USD</v>
      </c>
      <c r="F2022" s="12">
        <f ca="1">IFERROR(__xludf.DUMMYFUNCTION("IF(E2022=""USD"",B2022,B2022 * GOOGLEFINANCE(""CURRENCY:"" &amp; E2022 &amp; ""USD""))
"),30000000)</f>
        <v>30000000</v>
      </c>
      <c r="G2022" s="13">
        <f ca="1">IFERROR(__xludf.DUMMYFUNCTION("IF(E2022=""USD"",C2022,C2022 * GOOGLEFINANCE(""CURRENCY:"" &amp; E2022 &amp; ""USD""))
"),70098138)</f>
        <v>70098138</v>
      </c>
    </row>
    <row r="2023" spans="1:7" ht="15.75" customHeight="1" x14ac:dyDescent="0.25">
      <c r="A2023" s="14" t="s">
        <v>24</v>
      </c>
      <c r="B2023" s="15">
        <v>2800000</v>
      </c>
      <c r="C2023" s="15">
        <v>22202612</v>
      </c>
      <c r="D2023" s="15">
        <v>1939</v>
      </c>
      <c r="E2023" s="15" t="str">
        <f>VLOOKUP(A2023, Currency!$A$2:$B$100, 2, FALSE)</f>
        <v>USD</v>
      </c>
      <c r="F2023" s="15">
        <f ca="1">IFERROR(__xludf.DUMMYFUNCTION("IF(E2023=""USD"",B2023,B2023 * GOOGLEFINANCE(""CURRENCY:"" &amp; E2023 &amp; ""USD""))
"),2800000)</f>
        <v>2800000</v>
      </c>
      <c r="G2023" s="16">
        <f ca="1">IFERROR(__xludf.DUMMYFUNCTION("IF(E2023=""USD"",C2023,C2023 * GOOGLEFINANCE(""CURRENCY:"" &amp; E2023 &amp; ""USD""))
"),22202612)</f>
        <v>22202612</v>
      </c>
    </row>
    <row r="2024" spans="1:7" ht="15.75" customHeight="1" x14ac:dyDescent="0.25">
      <c r="A2024" s="11" t="s">
        <v>4041</v>
      </c>
      <c r="B2024" s="12">
        <v>1000000</v>
      </c>
      <c r="C2024" s="12">
        <v>100240</v>
      </c>
      <c r="D2024" s="12">
        <v>2014</v>
      </c>
      <c r="E2024" s="12" t="str">
        <f>VLOOKUP(A2024, Currency!$A$2:$B$100, 2, FALSE)</f>
        <v>DKK</v>
      </c>
      <c r="F2024" s="12">
        <f ca="1">IFERROR(__xludf.DUMMYFUNCTION("IF(E2024=""USD"",B2024,B2024 * GOOGLEFINANCE(""CURRENCY:"" &amp; E2024 &amp; ""USD""))
"),145342.5)</f>
        <v>145342.5</v>
      </c>
      <c r="G2024" s="13">
        <f ca="1">IFERROR(__xludf.DUMMYFUNCTION("IF(E2024=""USD"",C2024,C2024 * GOOGLEFINANCE(""CURRENCY:"" &amp; E2024 &amp; ""USD""))
"),14569.1321999999)</f>
        <v>14569.1321999999</v>
      </c>
    </row>
    <row r="2025" spans="1:7" ht="15.75" customHeight="1" x14ac:dyDescent="0.25">
      <c r="A2025" s="14" t="s">
        <v>24</v>
      </c>
      <c r="B2025" s="15">
        <v>2000000</v>
      </c>
      <c r="C2025" s="15">
        <v>11533945</v>
      </c>
      <c r="D2025" s="15">
        <v>1999</v>
      </c>
      <c r="E2025" s="15" t="str">
        <f>VLOOKUP(A2025, Currency!$A$2:$B$100, 2, FALSE)</f>
        <v>USD</v>
      </c>
      <c r="F2025" s="15">
        <f ca="1">IFERROR(__xludf.DUMMYFUNCTION("IF(E2025=""USD"",B2025,B2025 * GOOGLEFINANCE(""CURRENCY:"" &amp; E2025 &amp; ""USD""))
"),2000000)</f>
        <v>2000000</v>
      </c>
      <c r="G2025" s="16">
        <f ca="1">IFERROR(__xludf.DUMMYFUNCTION("IF(E2025=""USD"",C2025,C2025 * GOOGLEFINANCE(""CURRENCY:"" &amp; E2025 &amp; ""USD""))
"),11533945)</f>
        <v>11533945</v>
      </c>
    </row>
    <row r="2026" spans="1:7" ht="15.75" customHeight="1" x14ac:dyDescent="0.25">
      <c r="A2026" s="11" t="s">
        <v>24</v>
      </c>
      <c r="B2026" s="12">
        <v>24000000</v>
      </c>
      <c r="C2026" s="12">
        <v>25003072</v>
      </c>
      <c r="D2026" s="12">
        <v>2010</v>
      </c>
      <c r="E2026" s="12" t="str">
        <f>VLOOKUP(A2026, Currency!$A$2:$B$100, 2, FALSE)</f>
        <v>USD</v>
      </c>
      <c r="F2026" s="12">
        <f ca="1">IFERROR(__xludf.DUMMYFUNCTION("IF(E2026=""USD"",B2026,B2026 * GOOGLEFINANCE(""CURRENCY:"" &amp; E2026 &amp; ""USD""))
"),24000000)</f>
        <v>24000000</v>
      </c>
      <c r="G2026" s="13">
        <f ca="1">IFERROR(__xludf.DUMMYFUNCTION("IF(E2026=""USD"",C2026,C2026 * GOOGLEFINANCE(""CURRENCY:"" &amp; E2026 &amp; ""USD""))
"),25003072)</f>
        <v>25003072</v>
      </c>
    </row>
    <row r="2027" spans="1:7" ht="15.75" customHeight="1" x14ac:dyDescent="0.25">
      <c r="A2027" s="14" t="s">
        <v>674</v>
      </c>
      <c r="B2027" s="15">
        <v>150000000</v>
      </c>
      <c r="C2027" s="15">
        <v>199228</v>
      </c>
      <c r="D2027" s="15">
        <v>2009</v>
      </c>
      <c r="E2027" s="15" t="str">
        <f>VLOOKUP(A2027, Currency!$A$2:$B$100, 2, FALSE)</f>
        <v>INR</v>
      </c>
      <c r="F2027" s="15">
        <f ca="1">IFERROR(__xludf.DUMMYFUNCTION("IF(E2027=""USD"",B2027,B2027 * GOOGLEFINANCE(""CURRENCY:"" &amp; E2027 &amp; ""USD""))
"),1791219)</f>
        <v>1791219</v>
      </c>
      <c r="G2027" s="16">
        <f ca="1">IFERROR(__xludf.DUMMYFUNCTION("IF(E2027=""USD"",C2027,C2027 * GOOGLEFINANCE(""CURRENCY:"" &amp; E2027 &amp; ""USD""))
"),2379.07319288)</f>
        <v>2379.0731928800001</v>
      </c>
    </row>
    <row r="2028" spans="1:7" ht="15.75" customHeight="1" x14ac:dyDescent="0.25">
      <c r="A2028" s="11" t="s">
        <v>24</v>
      </c>
      <c r="B2028" s="12">
        <v>26000000</v>
      </c>
      <c r="C2028" s="12">
        <v>65703412</v>
      </c>
      <c r="D2028" s="12">
        <v>1998</v>
      </c>
      <c r="E2028" s="12" t="str">
        <f>VLOOKUP(A2028, Currency!$A$2:$B$100, 2, FALSE)</f>
        <v>USD</v>
      </c>
      <c r="F2028" s="12">
        <f ca="1">IFERROR(__xludf.DUMMYFUNCTION("IF(E2028=""USD"",B2028,B2028 * GOOGLEFINANCE(""CURRENCY:"" &amp; E2028 &amp; ""USD""))
"),26000000)</f>
        <v>26000000</v>
      </c>
      <c r="G2028" s="13">
        <f ca="1">IFERROR(__xludf.DUMMYFUNCTION("IF(E2028=""USD"",C2028,C2028 * GOOGLEFINANCE(""CURRENCY:"" &amp; E2028 &amp; ""USD""))
"),65703412)</f>
        <v>65703412</v>
      </c>
    </row>
    <row r="2029" spans="1:7" ht="15.75" customHeight="1" x14ac:dyDescent="0.25">
      <c r="A2029" s="14" t="s">
        <v>24</v>
      </c>
      <c r="B2029" s="15">
        <v>35000000</v>
      </c>
      <c r="C2029" s="15">
        <v>79100000</v>
      </c>
      <c r="D2029" s="15">
        <v>1991</v>
      </c>
      <c r="E2029" s="15" t="str">
        <f>VLOOKUP(A2029, Currency!$A$2:$B$100, 2, FALSE)</f>
        <v>USD</v>
      </c>
      <c r="F2029" s="15">
        <f ca="1">IFERROR(__xludf.DUMMYFUNCTION("IF(E2029=""USD"",B2029,B2029 * GOOGLEFINANCE(""CURRENCY:"" &amp; E2029 &amp; ""USD""))
"),35000000)</f>
        <v>35000000</v>
      </c>
      <c r="G2029" s="16">
        <f ca="1">IFERROR(__xludf.DUMMYFUNCTION("IF(E2029=""USD"",C2029,C2029 * GOOGLEFINANCE(""CURRENCY:"" &amp; E2029 &amp; ""USD""))
"),79100000)</f>
        <v>79100000</v>
      </c>
    </row>
    <row r="2030" spans="1:7" ht="15.75" customHeight="1" x14ac:dyDescent="0.25">
      <c r="A2030" s="11" t="s">
        <v>24</v>
      </c>
      <c r="B2030" s="12">
        <v>30000000</v>
      </c>
      <c r="C2030" s="12">
        <v>58715510</v>
      </c>
      <c r="D2030" s="12">
        <v>2009</v>
      </c>
      <c r="E2030" s="12" t="str">
        <f>VLOOKUP(A2030, Currency!$A$2:$B$100, 2, FALSE)</f>
        <v>USD</v>
      </c>
      <c r="F2030" s="12">
        <f ca="1">IFERROR(__xludf.DUMMYFUNCTION("IF(E2030=""USD"",B2030,B2030 * GOOGLEFINANCE(""CURRENCY:"" &amp; E2030 &amp; ""USD""))
"),30000000)</f>
        <v>30000000</v>
      </c>
      <c r="G2030" s="13">
        <f ca="1">IFERROR(__xludf.DUMMYFUNCTION("IF(E2030=""USD"",C2030,C2030 * GOOGLEFINANCE(""CURRENCY:"" &amp; E2030 &amp; ""USD""))
"),58715510)</f>
        <v>58715510</v>
      </c>
    </row>
    <row r="2031" spans="1:7" ht="15.75" customHeight="1" x14ac:dyDescent="0.25">
      <c r="A2031" s="14" t="s">
        <v>24</v>
      </c>
      <c r="B2031" s="15">
        <v>5000000</v>
      </c>
      <c r="C2031" s="15">
        <v>27689474</v>
      </c>
      <c r="D2031" s="15">
        <v>2013</v>
      </c>
      <c r="E2031" s="15" t="str">
        <f>VLOOKUP(A2031, Currency!$A$2:$B$100, 2, FALSE)</f>
        <v>USD</v>
      </c>
      <c r="F2031" s="15">
        <f ca="1">IFERROR(__xludf.DUMMYFUNCTION("IF(E2031=""USD"",B2031,B2031 * GOOGLEFINANCE(""CURRENCY:"" &amp; E2031 &amp; ""USD""))
"),5000000)</f>
        <v>5000000</v>
      </c>
      <c r="G2031" s="16">
        <f ca="1">IFERROR(__xludf.DUMMYFUNCTION("IF(E2031=""USD"",C2031,C2031 * GOOGLEFINANCE(""CURRENCY:"" &amp; E2031 &amp; ""USD""))
"),27689474)</f>
        <v>27689474</v>
      </c>
    </row>
    <row r="2032" spans="1:7" ht="15.75" customHeight="1" x14ac:dyDescent="0.25">
      <c r="A2032" s="11" t="s">
        <v>611</v>
      </c>
      <c r="B2032" s="12">
        <v>7000000</v>
      </c>
      <c r="C2032" s="12">
        <v>1330827</v>
      </c>
      <c r="D2032" s="12">
        <v>2016</v>
      </c>
      <c r="E2032" s="12" t="str">
        <f>VLOOKUP(A2032, Currency!$A$2:$B$100, 2, FALSE)</f>
        <v>EUR</v>
      </c>
      <c r="F2032" s="12">
        <f ca="1">IFERROR(__xludf.DUMMYFUNCTION("IF(E2032=""USD"",B2032,B2032 * GOOGLEFINANCE(""CURRENCY:"" &amp; E2032 &amp; ""USD""))
"),7593180)</f>
        <v>7593180</v>
      </c>
      <c r="G2032" s="13">
        <f ca="1">IFERROR(__xludf.DUMMYFUNCTION("IF(E2032=""USD"",C2032,C2032 * GOOGLEFINANCE(""CURRENCY:"" &amp; E2032 &amp; ""USD""))
"),1443601.27998)</f>
        <v>1443601.2799800001</v>
      </c>
    </row>
    <row r="2033" spans="1:7" ht="15.75" customHeight="1" x14ac:dyDescent="0.25">
      <c r="A2033" s="14" t="s">
        <v>24</v>
      </c>
      <c r="B2033" s="15">
        <v>2500000</v>
      </c>
      <c r="C2033" s="15">
        <v>6401336</v>
      </c>
      <c r="D2033" s="15">
        <v>1991</v>
      </c>
      <c r="E2033" s="15" t="str">
        <f>VLOOKUP(A2033, Currency!$A$2:$B$100, 2, FALSE)</f>
        <v>USD</v>
      </c>
      <c r="F2033" s="15">
        <f ca="1">IFERROR(__xludf.DUMMYFUNCTION("IF(E2033=""USD"",B2033,B2033 * GOOGLEFINANCE(""CURRENCY:"" &amp; E2033 &amp; ""USD""))
"),2500000)</f>
        <v>2500000</v>
      </c>
      <c r="G2033" s="16">
        <f ca="1">IFERROR(__xludf.DUMMYFUNCTION("IF(E2033=""USD"",C2033,C2033 * GOOGLEFINANCE(""CURRENCY:"" &amp; E2033 &amp; ""USD""))
"),6401336)</f>
        <v>6401336</v>
      </c>
    </row>
    <row r="2034" spans="1:7" ht="15.75" customHeight="1" x14ac:dyDescent="0.25">
      <c r="A2034" s="11" t="s">
        <v>24</v>
      </c>
      <c r="B2034" s="12">
        <v>28000000</v>
      </c>
      <c r="C2034" s="12">
        <v>39514713</v>
      </c>
      <c r="D2034" s="12">
        <v>1993</v>
      </c>
      <c r="E2034" s="12" t="str">
        <f>VLOOKUP(A2034, Currency!$A$2:$B$100, 2, FALSE)</f>
        <v>USD</v>
      </c>
      <c r="F2034" s="12">
        <f ca="1">IFERROR(__xludf.DUMMYFUNCTION("IF(E2034=""USD"",B2034,B2034 * GOOGLEFINANCE(""CURRENCY:"" &amp; E2034 &amp; ""USD""))
"),28000000)</f>
        <v>28000000</v>
      </c>
      <c r="G2034" s="13">
        <f ca="1">IFERROR(__xludf.DUMMYFUNCTION("IF(E2034=""USD"",C2034,C2034 * GOOGLEFINANCE(""CURRENCY:"" &amp; E2034 &amp; ""USD""))
"),39514713)</f>
        <v>39514713</v>
      </c>
    </row>
    <row r="2035" spans="1:7" ht="15.75" customHeight="1" x14ac:dyDescent="0.25">
      <c r="A2035" s="14" t="s">
        <v>24</v>
      </c>
      <c r="B2035" s="15">
        <v>5000000</v>
      </c>
      <c r="C2035" s="15">
        <v>11675178</v>
      </c>
      <c r="D2035" s="15">
        <v>2016</v>
      </c>
      <c r="E2035" s="15" t="str">
        <f>VLOOKUP(A2035, Currency!$A$2:$B$100, 2, FALSE)</f>
        <v>USD</v>
      </c>
      <c r="F2035" s="15">
        <f ca="1">IFERROR(__xludf.DUMMYFUNCTION("IF(E2035=""USD"",B2035,B2035 * GOOGLEFINANCE(""CURRENCY:"" &amp; E2035 &amp; ""USD""))
"),5000000)</f>
        <v>5000000</v>
      </c>
      <c r="G2035" s="16">
        <f ca="1">IFERROR(__xludf.DUMMYFUNCTION("IF(E2035=""USD"",C2035,C2035 * GOOGLEFINANCE(""CURRENCY:"" &amp; E2035 &amp; ""USD""))
"),11675178)</f>
        <v>11675178</v>
      </c>
    </row>
    <row r="2036" spans="1:7" ht="15.75" customHeight="1" x14ac:dyDescent="0.25">
      <c r="A2036" s="11" t="s">
        <v>24</v>
      </c>
      <c r="B2036" s="12">
        <v>25000000</v>
      </c>
      <c r="C2036" s="12">
        <v>59073773</v>
      </c>
      <c r="D2036" s="12">
        <v>2014</v>
      </c>
      <c r="E2036" s="12" t="str">
        <f>VLOOKUP(A2036, Currency!$A$2:$B$100, 2, FALSE)</f>
        <v>USD</v>
      </c>
      <c r="F2036" s="12">
        <f ca="1">IFERROR(__xludf.DUMMYFUNCTION("IF(E2036=""USD"",B2036,B2036 * GOOGLEFINANCE(""CURRENCY:"" &amp; E2036 &amp; ""USD""))
"),25000000)</f>
        <v>25000000</v>
      </c>
      <c r="G2036" s="13">
        <f ca="1">IFERROR(__xludf.DUMMYFUNCTION("IF(E2036=""USD"",C2036,C2036 * GOOGLEFINANCE(""CURRENCY:"" &amp; E2036 &amp; ""USD""))
"),59073773)</f>
        <v>59073773</v>
      </c>
    </row>
    <row r="2037" spans="1:7" ht="15.75" customHeight="1" x14ac:dyDescent="0.25">
      <c r="A2037" s="14" t="s">
        <v>133</v>
      </c>
      <c r="B2037" s="15">
        <v>130000000</v>
      </c>
      <c r="C2037" s="15">
        <v>249358727</v>
      </c>
      <c r="D2037" s="15">
        <v>2004</v>
      </c>
      <c r="E2037" s="15" t="str">
        <f>VLOOKUP(A2037, Currency!$A$2:$B$100, 2, FALSE)</f>
        <v>GBP</v>
      </c>
      <c r="F2037" s="15">
        <f ca="1">IFERROR(__xludf.DUMMYFUNCTION("IF(E2037=""USD"",B2037,B2037 * GOOGLEFINANCE(""CURRENCY:"" &amp; E2037 &amp; ""USD""))
"),167101999.999999)</f>
        <v>167101999.99999899</v>
      </c>
      <c r="G2037" s="16">
        <f ca="1">IFERROR(__xludf.DUMMYFUNCTION("IF(E2037=""USD"",C2037,C2037 * GOOGLEFINANCE(""CURRENCY:"" &amp; E2037 &amp; ""USD""))
"),320525707.685799)</f>
        <v>320525707.685799</v>
      </c>
    </row>
    <row r="2038" spans="1:7" ht="15.75" customHeight="1" x14ac:dyDescent="0.25">
      <c r="A2038" s="11" t="s">
        <v>24</v>
      </c>
      <c r="B2038" s="12">
        <v>30000000</v>
      </c>
      <c r="C2038" s="12">
        <v>23070045</v>
      </c>
      <c r="D2038" s="12">
        <v>2011</v>
      </c>
      <c r="E2038" s="12" t="str">
        <f>VLOOKUP(A2038, Currency!$A$2:$B$100, 2, FALSE)</f>
        <v>USD</v>
      </c>
      <c r="F2038" s="12">
        <f ca="1">IFERROR(__xludf.DUMMYFUNCTION("IF(E2038=""USD"",B2038,B2038 * GOOGLEFINANCE(""CURRENCY:"" &amp; E2038 &amp; ""USD""))
"),30000000)</f>
        <v>30000000</v>
      </c>
      <c r="G2038" s="13">
        <f ca="1">IFERROR(__xludf.DUMMYFUNCTION("IF(E2038=""USD"",C2038,C2038 * GOOGLEFINANCE(""CURRENCY:"" &amp; E2038 &amp; ""USD""))
"),23070045)</f>
        <v>23070045</v>
      </c>
    </row>
    <row r="2039" spans="1:7" ht="15.75" customHeight="1" x14ac:dyDescent="0.25">
      <c r="A2039" s="14" t="s">
        <v>133</v>
      </c>
      <c r="B2039" s="15">
        <v>4000000</v>
      </c>
      <c r="C2039" s="15">
        <v>2338695</v>
      </c>
      <c r="D2039" s="15">
        <v>2004</v>
      </c>
      <c r="E2039" s="15" t="str">
        <f>VLOOKUP(A2039, Currency!$A$2:$B$100, 2, FALSE)</f>
        <v>GBP</v>
      </c>
      <c r="F2039" s="15">
        <f ca="1">IFERROR(__xludf.DUMMYFUNCTION("IF(E2039=""USD"",B2039,B2039 * GOOGLEFINANCE(""CURRENCY:"" &amp; E2039 &amp; ""USD""))
"),5141599.99999999)</f>
        <v>5141599.9999999898</v>
      </c>
      <c r="G2039" s="16">
        <f ca="1">IFERROR(__xludf.DUMMYFUNCTION("IF(E2039=""USD"",C2039,C2039 * GOOGLEFINANCE(""CURRENCY:"" &amp; E2039 &amp; ""USD""))
"),3006158.553)</f>
        <v>3006158.5529999998</v>
      </c>
    </row>
    <row r="2040" spans="1:7" ht="15.75" customHeight="1" x14ac:dyDescent="0.25">
      <c r="A2040" s="11" t="s">
        <v>24</v>
      </c>
      <c r="B2040" s="12">
        <v>175000000</v>
      </c>
      <c r="C2040" s="12">
        <v>133228348</v>
      </c>
      <c r="D2040" s="12">
        <v>2004</v>
      </c>
      <c r="E2040" s="12" t="str">
        <f>VLOOKUP(A2040, Currency!$A$2:$B$100, 2, FALSE)</f>
        <v>USD</v>
      </c>
      <c r="F2040" s="12">
        <f ca="1">IFERROR(__xludf.DUMMYFUNCTION("IF(E2040=""USD"",B2040,B2040 * GOOGLEFINANCE(""CURRENCY:"" &amp; E2040 &amp; ""USD""))
"),175000000)</f>
        <v>175000000</v>
      </c>
      <c r="G2040" s="13">
        <f ca="1">IFERROR(__xludf.DUMMYFUNCTION("IF(E2040=""USD"",C2040,C2040 * GOOGLEFINANCE(""CURRENCY:"" &amp; E2040 &amp; ""USD""))
"),133228348)</f>
        <v>133228348</v>
      </c>
    </row>
    <row r="2041" spans="1:7" ht="15.75" customHeight="1" x14ac:dyDescent="0.25">
      <c r="A2041" s="14" t="s">
        <v>176</v>
      </c>
      <c r="B2041" s="15">
        <v>15000000</v>
      </c>
      <c r="C2041" s="15">
        <v>927107</v>
      </c>
      <c r="D2041" s="15">
        <v>1999</v>
      </c>
      <c r="E2041" s="15" t="str">
        <f>VLOOKUP(A2041, Currency!$A$2:$B$100, 2, FALSE)</f>
        <v>EUR</v>
      </c>
      <c r="F2041" s="15">
        <f ca="1">IFERROR(__xludf.DUMMYFUNCTION("IF(E2041=""USD"",B2041,B2041 * GOOGLEFINANCE(""CURRENCY:"" &amp; E2041 &amp; ""USD""))
"),16271100)</f>
        <v>16271100</v>
      </c>
      <c r="G2041" s="16">
        <f ca="1">IFERROR(__xludf.DUMMYFUNCTION("IF(E2041=""USD"",C2041,C2041 * GOOGLEFINANCE(""CURRENCY:"" &amp; E2041 &amp; ""USD""))
"),1005670.04718)</f>
        <v>1005670.04718</v>
      </c>
    </row>
    <row r="2042" spans="1:7" ht="15.75" customHeight="1" x14ac:dyDescent="0.25">
      <c r="A2042" s="11" t="s">
        <v>24</v>
      </c>
      <c r="B2042" s="12">
        <v>35000000</v>
      </c>
      <c r="C2042" s="12">
        <v>19692608</v>
      </c>
      <c r="D2042" s="12">
        <v>2013</v>
      </c>
      <c r="E2042" s="12" t="str">
        <f>VLOOKUP(A2042, Currency!$A$2:$B$100, 2, FALSE)</f>
        <v>USD</v>
      </c>
      <c r="F2042" s="12">
        <f ca="1">IFERROR(__xludf.DUMMYFUNCTION("IF(E2042=""USD"",B2042,B2042 * GOOGLEFINANCE(""CURRENCY:"" &amp; E2042 &amp; ""USD""))
"),35000000)</f>
        <v>35000000</v>
      </c>
      <c r="G2042" s="13">
        <f ca="1">IFERROR(__xludf.DUMMYFUNCTION("IF(E2042=""USD"",C2042,C2042 * GOOGLEFINANCE(""CURRENCY:"" &amp; E2042 &amp; ""USD""))
"),19692608)</f>
        <v>19692608</v>
      </c>
    </row>
    <row r="2043" spans="1:7" ht="15.75" customHeight="1" x14ac:dyDescent="0.25">
      <c r="A2043" s="14" t="s">
        <v>24</v>
      </c>
      <c r="B2043" s="15">
        <v>30000000</v>
      </c>
      <c r="C2043" s="15">
        <v>32000000</v>
      </c>
      <c r="D2043" s="15">
        <v>1993</v>
      </c>
      <c r="E2043" s="15" t="str">
        <f>VLOOKUP(A2043, Currency!$A$2:$B$100, 2, FALSE)</f>
        <v>USD</v>
      </c>
      <c r="F2043" s="15">
        <f ca="1">IFERROR(__xludf.DUMMYFUNCTION("IF(E2043=""USD"",B2043,B2043 * GOOGLEFINANCE(""CURRENCY:"" &amp; E2043 &amp; ""USD""))
"),30000000)</f>
        <v>30000000</v>
      </c>
      <c r="G2043" s="16">
        <f ca="1">IFERROR(__xludf.DUMMYFUNCTION("IF(E2043=""USD"",C2043,C2043 * GOOGLEFINANCE(""CURRENCY:"" &amp; E2043 &amp; ""USD""))
"),32000000)</f>
        <v>32000000</v>
      </c>
    </row>
    <row r="2044" spans="1:7" ht="15.75" customHeight="1" x14ac:dyDescent="0.25">
      <c r="A2044" s="11" t="s">
        <v>24</v>
      </c>
      <c r="B2044" s="12">
        <v>1500000</v>
      </c>
      <c r="C2044" s="12">
        <v>373967</v>
      </c>
      <c r="D2044" s="12">
        <v>2001</v>
      </c>
      <c r="E2044" s="12" t="str">
        <f>VLOOKUP(A2044, Currency!$A$2:$B$100, 2, FALSE)</f>
        <v>USD</v>
      </c>
      <c r="F2044" s="12">
        <f ca="1">IFERROR(__xludf.DUMMYFUNCTION("IF(E2044=""USD"",B2044,B2044 * GOOGLEFINANCE(""CURRENCY:"" &amp; E2044 &amp; ""USD""))
"),1500000)</f>
        <v>1500000</v>
      </c>
      <c r="G2044" s="13">
        <f ca="1">IFERROR(__xludf.DUMMYFUNCTION("IF(E2044=""USD"",C2044,C2044 * GOOGLEFINANCE(""CURRENCY:"" &amp; E2044 &amp; ""USD""))
"),373967)</f>
        <v>373967</v>
      </c>
    </row>
    <row r="2045" spans="1:7" ht="15.75" customHeight="1" x14ac:dyDescent="0.25">
      <c r="A2045" s="14" t="s">
        <v>24</v>
      </c>
      <c r="B2045" s="15">
        <v>24000000</v>
      </c>
      <c r="C2045" s="15">
        <v>16290976</v>
      </c>
      <c r="D2045" s="15">
        <v>1999</v>
      </c>
      <c r="E2045" s="15" t="str">
        <f>VLOOKUP(A2045, Currency!$A$2:$B$100, 2, FALSE)</f>
        <v>USD</v>
      </c>
      <c r="F2045" s="15">
        <f ca="1">IFERROR(__xludf.DUMMYFUNCTION("IF(E2045=""USD"",B2045,B2045 * GOOGLEFINANCE(""CURRENCY:"" &amp; E2045 &amp; ""USD""))
"),24000000)</f>
        <v>24000000</v>
      </c>
      <c r="G2045" s="16">
        <f ca="1">IFERROR(__xludf.DUMMYFUNCTION("IF(E2045=""USD"",C2045,C2045 * GOOGLEFINANCE(""CURRENCY:"" &amp; E2045 &amp; ""USD""))
"),16290976)</f>
        <v>16290976</v>
      </c>
    </row>
    <row r="2046" spans="1:7" ht="15.75" customHeight="1" x14ac:dyDescent="0.25">
      <c r="A2046" s="11" t="s">
        <v>24</v>
      </c>
      <c r="B2046" s="12">
        <v>6500000</v>
      </c>
      <c r="C2046" s="12">
        <v>4693919</v>
      </c>
      <c r="D2046" s="12">
        <v>2008</v>
      </c>
      <c r="E2046" s="12" t="str">
        <f>VLOOKUP(A2046, Currency!$A$2:$B$100, 2, FALSE)</f>
        <v>USD</v>
      </c>
      <c r="F2046" s="12">
        <f ca="1">IFERROR(__xludf.DUMMYFUNCTION("IF(E2046=""USD"",B2046,B2046 * GOOGLEFINANCE(""CURRENCY:"" &amp; E2046 &amp; ""USD""))
"),6500000)</f>
        <v>6500000</v>
      </c>
      <c r="G2046" s="13">
        <f ca="1">IFERROR(__xludf.DUMMYFUNCTION("IF(E2046=""USD"",C2046,C2046 * GOOGLEFINANCE(""CURRENCY:"" &amp; E2046 &amp; ""USD""))
"),4693919)</f>
        <v>4693919</v>
      </c>
    </row>
    <row r="2047" spans="1:7" ht="15.75" customHeight="1" x14ac:dyDescent="0.25">
      <c r="A2047" s="14" t="s">
        <v>24</v>
      </c>
      <c r="B2047" s="15">
        <v>60000000</v>
      </c>
      <c r="C2047" s="15">
        <v>80033643</v>
      </c>
      <c r="D2047" s="15">
        <v>2012</v>
      </c>
      <c r="E2047" s="15" t="str">
        <f>VLOOKUP(A2047, Currency!$A$2:$B$100, 2, FALSE)</f>
        <v>USD</v>
      </c>
      <c r="F2047" s="15">
        <f ca="1">IFERROR(__xludf.DUMMYFUNCTION("IF(E2047=""USD"",B2047,B2047 * GOOGLEFINANCE(""CURRENCY:"" &amp; E2047 &amp; ""USD""))
"),60000000)</f>
        <v>60000000</v>
      </c>
      <c r="G2047" s="16">
        <f ca="1">IFERROR(__xludf.DUMMYFUNCTION("IF(E2047=""USD"",C2047,C2047 * GOOGLEFINANCE(""CURRENCY:"" &amp; E2047 &amp; ""USD""))
"),80033643)</f>
        <v>80033643</v>
      </c>
    </row>
    <row r="2048" spans="1:7" ht="15.75" customHeight="1" x14ac:dyDescent="0.25">
      <c r="A2048" s="11" t="s">
        <v>24</v>
      </c>
      <c r="B2048" s="12">
        <v>10000000</v>
      </c>
      <c r="C2048" s="12">
        <v>20384136</v>
      </c>
      <c r="D2048" s="12">
        <v>2001</v>
      </c>
      <c r="E2048" s="12" t="str">
        <f>VLOOKUP(A2048, Currency!$A$2:$B$100, 2, FALSE)</f>
        <v>USD</v>
      </c>
      <c r="F2048" s="12">
        <f ca="1">IFERROR(__xludf.DUMMYFUNCTION("IF(E2048=""USD"",B2048,B2048 * GOOGLEFINANCE(""CURRENCY:"" &amp; E2048 &amp; ""USD""))
"),10000000)</f>
        <v>10000000</v>
      </c>
      <c r="G2048" s="13">
        <f ca="1">IFERROR(__xludf.DUMMYFUNCTION("IF(E2048=""USD"",C2048,C2048 * GOOGLEFINANCE(""CURRENCY:"" &amp; E2048 &amp; ""USD""))
"),20384136)</f>
        <v>20384136</v>
      </c>
    </row>
    <row r="2049" spans="1:7" ht="15.75" customHeight="1" x14ac:dyDescent="0.25">
      <c r="A2049" s="14" t="s">
        <v>24</v>
      </c>
      <c r="B2049" s="15">
        <v>50000000</v>
      </c>
      <c r="C2049" s="15">
        <v>26199517</v>
      </c>
      <c r="D2049" s="15">
        <v>2002</v>
      </c>
      <c r="E2049" s="15" t="str">
        <f>VLOOKUP(A2049, Currency!$A$2:$B$100, 2, FALSE)</f>
        <v>USD</v>
      </c>
      <c r="F2049" s="15">
        <f ca="1">IFERROR(__xludf.DUMMYFUNCTION("IF(E2049=""USD"",B2049,B2049 * GOOGLEFINANCE(""CURRENCY:"" &amp; E2049 &amp; ""USD""))
"),50000000)</f>
        <v>50000000</v>
      </c>
      <c r="G2049" s="16">
        <f ca="1">IFERROR(__xludf.DUMMYFUNCTION("IF(E2049=""USD"",C2049,C2049 * GOOGLEFINANCE(""CURRENCY:"" &amp; E2049 &amp; ""USD""))
"),26199517)</f>
        <v>26199517</v>
      </c>
    </row>
    <row r="2050" spans="1:7" ht="15.75" customHeight="1" x14ac:dyDescent="0.25">
      <c r="A2050" s="11" t="s">
        <v>24</v>
      </c>
      <c r="B2050" s="12">
        <v>15000000</v>
      </c>
      <c r="C2050" s="12">
        <v>15700000</v>
      </c>
      <c r="D2050" s="12">
        <v>2008</v>
      </c>
      <c r="E2050" s="12" t="str">
        <f>VLOOKUP(A2050, Currency!$A$2:$B$100, 2, FALSE)</f>
        <v>USD</v>
      </c>
      <c r="F2050" s="12">
        <f ca="1">IFERROR(__xludf.DUMMYFUNCTION("IF(E2050=""USD"",B2050,B2050 * GOOGLEFINANCE(""CURRENCY:"" &amp; E2050 &amp; ""USD""))
"),15000000)</f>
        <v>15000000</v>
      </c>
      <c r="G2050" s="13">
        <f ca="1">IFERROR(__xludf.DUMMYFUNCTION("IF(E2050=""USD"",C2050,C2050 * GOOGLEFINANCE(""CURRENCY:"" &amp; E2050 &amp; ""USD""))
"),15700000)</f>
        <v>15700000</v>
      </c>
    </row>
    <row r="2051" spans="1:7" ht="15.75" customHeight="1" x14ac:dyDescent="0.25">
      <c r="A2051" s="14" t="s">
        <v>24</v>
      </c>
      <c r="B2051" s="15">
        <v>22000000</v>
      </c>
      <c r="C2051" s="15">
        <v>50728000</v>
      </c>
      <c r="D2051" s="15">
        <v>1995</v>
      </c>
      <c r="E2051" s="15" t="str">
        <f>VLOOKUP(A2051, Currency!$A$2:$B$100, 2, FALSE)</f>
        <v>USD</v>
      </c>
      <c r="F2051" s="15">
        <f ca="1">IFERROR(__xludf.DUMMYFUNCTION("IF(E2051=""USD"",B2051,B2051 * GOOGLEFINANCE(""CURRENCY:"" &amp; E2051 &amp; ""USD""))
"),22000000)</f>
        <v>22000000</v>
      </c>
      <c r="G2051" s="16">
        <f ca="1">IFERROR(__xludf.DUMMYFUNCTION("IF(E2051=""USD"",C2051,C2051 * GOOGLEFINANCE(""CURRENCY:"" &amp; E2051 &amp; ""USD""))
"),50728000)</f>
        <v>50728000</v>
      </c>
    </row>
    <row r="2052" spans="1:7" ht="15.75" customHeight="1" x14ac:dyDescent="0.25">
      <c r="A2052" s="11" t="s">
        <v>627</v>
      </c>
      <c r="B2052" s="12">
        <v>6900000</v>
      </c>
      <c r="C2052" s="12">
        <v>31607598</v>
      </c>
      <c r="D2052" s="12">
        <v>2012</v>
      </c>
      <c r="E2052" s="12" t="str">
        <f>VLOOKUP(A2052, Currency!$A$2:$B$100, 2, FALSE)</f>
        <v>CAD</v>
      </c>
      <c r="F2052" s="12">
        <f ca="1">IFERROR(__xludf.DUMMYFUNCTION("IF(E2052=""USD"",B2052,B2052 * GOOGLEFINANCE(""CURRENCY:"" &amp; E2052 &amp; ""USD""))
"),4991494.5)</f>
        <v>4991494.5</v>
      </c>
      <c r="G2052" s="13">
        <f ca="1">IFERROR(__xludf.DUMMYFUNCTION("IF(E2052=""USD"",C2052,C2052 * GOOGLEFINANCE(""CURRENCY:"" &amp; E2052 &amp; ""USD""))
"),22865094.43119)</f>
        <v>22865094.431189999</v>
      </c>
    </row>
    <row r="2053" spans="1:7" ht="15.75" customHeight="1" x14ac:dyDescent="0.25">
      <c r="A2053" s="14" t="s">
        <v>627</v>
      </c>
      <c r="B2053" s="15">
        <v>3500000</v>
      </c>
      <c r="C2053" s="15">
        <v>123777</v>
      </c>
      <c r="D2053" s="15">
        <v>2016</v>
      </c>
      <c r="E2053" s="15" t="str">
        <f>VLOOKUP(A2053, Currency!$A$2:$B$100, 2, FALSE)</f>
        <v>CAD</v>
      </c>
      <c r="F2053" s="15">
        <f ca="1">IFERROR(__xludf.DUMMYFUNCTION("IF(E2053=""USD"",B2053,B2053 * GOOGLEFINANCE(""CURRENCY:"" &amp; E2053 &amp; ""USD""))
"),2531917.5)</f>
        <v>2531917.5</v>
      </c>
      <c r="G2053" s="16">
        <f ca="1">IFERROR(__xludf.DUMMYFUNCTION("IF(E2053=""USD"",C2053,C2053 * GOOGLEFINANCE(""CURRENCY:"" &amp; E2053 &amp; ""USD""))
"),89540.900685)</f>
        <v>89540.900685000001</v>
      </c>
    </row>
    <row r="2054" spans="1:7" ht="15.75" customHeight="1" x14ac:dyDescent="0.25">
      <c r="A2054" s="11" t="s">
        <v>24</v>
      </c>
      <c r="B2054" s="12">
        <v>55000000</v>
      </c>
      <c r="C2054" s="12">
        <v>22362500</v>
      </c>
      <c r="D2054" s="12">
        <v>1999</v>
      </c>
      <c r="E2054" s="12" t="str">
        <f>VLOOKUP(A2054, Currency!$A$2:$B$100, 2, FALSE)</f>
        <v>USD</v>
      </c>
      <c r="F2054" s="12">
        <f ca="1">IFERROR(__xludf.DUMMYFUNCTION("IF(E2054=""USD"",B2054,B2054 * GOOGLEFINANCE(""CURRENCY:"" &amp; E2054 &amp; ""USD""))
"),55000000)</f>
        <v>55000000</v>
      </c>
      <c r="G2054" s="13">
        <f ca="1">IFERROR(__xludf.DUMMYFUNCTION("IF(E2054=""USD"",C2054,C2054 * GOOGLEFINANCE(""CURRENCY:"" &amp; E2054 &amp; ""USD""))
"),22362500)</f>
        <v>22362500</v>
      </c>
    </row>
    <row r="2055" spans="1:7" ht="15.75" customHeight="1" x14ac:dyDescent="0.25">
      <c r="A2055" s="14" t="s">
        <v>133</v>
      </c>
      <c r="B2055" s="15">
        <v>8200000</v>
      </c>
      <c r="C2055" s="15">
        <v>3958500</v>
      </c>
      <c r="D2055" s="15">
        <v>2014</v>
      </c>
      <c r="E2055" s="15" t="str">
        <f>VLOOKUP(A2055, Currency!$A$2:$B$100, 2, FALSE)</f>
        <v>GBP</v>
      </c>
      <c r="F2055" s="15">
        <f ca="1">IFERROR(__xludf.DUMMYFUNCTION("IF(E2055=""USD"",B2055,B2055 * GOOGLEFINANCE(""CURRENCY:"" &amp; E2055 &amp; ""USD""))
"),10540279.9999999)</f>
        <v>10540279.999999899</v>
      </c>
      <c r="G2055" s="16">
        <f ca="1">IFERROR(__xludf.DUMMYFUNCTION("IF(E2055=""USD"",C2055,C2055 * GOOGLEFINANCE(""CURRENCY:"" &amp; E2055 &amp; ""USD""))
"),5088255.89999999)</f>
        <v>5088255.8999999901</v>
      </c>
    </row>
    <row r="2056" spans="1:7" ht="15.75" customHeight="1" x14ac:dyDescent="0.25">
      <c r="A2056" s="11" t="s">
        <v>24</v>
      </c>
      <c r="B2056" s="12">
        <v>5000000</v>
      </c>
      <c r="C2056" s="12">
        <v>5308707</v>
      </c>
      <c r="D2056" s="12">
        <v>2001</v>
      </c>
      <c r="E2056" s="12" t="str">
        <f>VLOOKUP(A2056, Currency!$A$2:$B$100, 2, FALSE)</f>
        <v>USD</v>
      </c>
      <c r="F2056" s="12">
        <f ca="1">IFERROR(__xludf.DUMMYFUNCTION("IF(E2056=""USD"",B2056,B2056 * GOOGLEFINANCE(""CURRENCY:"" &amp; E2056 &amp; ""USD""))
"),5000000)</f>
        <v>5000000</v>
      </c>
      <c r="G2056" s="13">
        <f ca="1">IFERROR(__xludf.DUMMYFUNCTION("IF(E2056=""USD"",C2056,C2056 * GOOGLEFINANCE(""CURRENCY:"" &amp; E2056 &amp; ""USD""))
"),5308707)</f>
        <v>5308707</v>
      </c>
    </row>
    <row r="2057" spans="1:7" ht="15.75" customHeight="1" x14ac:dyDescent="0.25">
      <c r="A2057" s="14" t="s">
        <v>24</v>
      </c>
      <c r="B2057" s="15">
        <v>500000</v>
      </c>
      <c r="C2057" s="15">
        <v>52850</v>
      </c>
      <c r="D2057" s="15">
        <v>2007</v>
      </c>
      <c r="E2057" s="15" t="str">
        <f>VLOOKUP(A2057, Currency!$A$2:$B$100, 2, FALSE)</f>
        <v>USD</v>
      </c>
      <c r="F2057" s="15">
        <f ca="1">IFERROR(__xludf.DUMMYFUNCTION("IF(E2057=""USD"",B2057,B2057 * GOOGLEFINANCE(""CURRENCY:"" &amp; E2057 &amp; ""USD""))
"),500000)</f>
        <v>500000</v>
      </c>
      <c r="G2057" s="16">
        <f ca="1">IFERROR(__xludf.DUMMYFUNCTION("IF(E2057=""USD"",C2057,C2057 * GOOGLEFINANCE(""CURRENCY:"" &amp; E2057 &amp; ""USD""))
"),52850)</f>
        <v>52850</v>
      </c>
    </row>
    <row r="2058" spans="1:7" ht="15.75" customHeight="1" x14ac:dyDescent="0.25">
      <c r="A2058" s="11" t="s">
        <v>1005</v>
      </c>
      <c r="B2058" s="12">
        <v>6000000</v>
      </c>
      <c r="C2058" s="12">
        <v>20772796</v>
      </c>
      <c r="D2058" s="12">
        <v>2002</v>
      </c>
      <c r="E2058" s="12" t="str">
        <f>VLOOKUP(A2058, Currency!$A$2:$B$100, 2, FALSE)</f>
        <v>NZD</v>
      </c>
      <c r="F2058" s="12">
        <f ca="1">IFERROR(__xludf.DUMMYFUNCTION("IF(E2058=""USD"",B2058,B2058 * GOOGLEFINANCE(""CURRENCY:"" &amp; E2058 &amp; ""USD""))
"),3532470)</f>
        <v>3532470</v>
      </c>
      <c r="G2058" s="13">
        <f ca="1">IFERROR(__xludf.DUMMYFUNCTION("IF(E2058=""USD"",C2058,C2058 * GOOGLEFINANCE(""CURRENCY:"" &amp; E2058 &amp; ""USD""))
"),12229879.7810199)</f>
        <v>12229879.7810199</v>
      </c>
    </row>
    <row r="2059" spans="1:7" ht="15.75" customHeight="1" x14ac:dyDescent="0.25">
      <c r="A2059" s="14" t="s">
        <v>24</v>
      </c>
      <c r="B2059" s="15">
        <v>2000000</v>
      </c>
      <c r="C2059" s="15">
        <v>34522221</v>
      </c>
      <c r="D2059" s="15">
        <v>2011</v>
      </c>
      <c r="E2059" s="15" t="str">
        <f>VLOOKUP(A2059, Currency!$A$2:$B$100, 2, FALSE)</f>
        <v>USD</v>
      </c>
      <c r="F2059" s="15">
        <f ca="1">IFERROR(__xludf.DUMMYFUNCTION("IF(E2059=""USD"",B2059,B2059 * GOOGLEFINANCE(""CURRENCY:"" &amp; E2059 &amp; ""USD""))
"),2000000)</f>
        <v>2000000</v>
      </c>
      <c r="G2059" s="16">
        <f ca="1">IFERROR(__xludf.DUMMYFUNCTION("IF(E2059=""USD"",C2059,C2059 * GOOGLEFINANCE(""CURRENCY:"" &amp; E2059 &amp; ""USD""))
"),34522221)</f>
        <v>34522221</v>
      </c>
    </row>
    <row r="2060" spans="1:7" ht="15.75" customHeight="1" x14ac:dyDescent="0.25">
      <c r="A2060" s="11" t="s">
        <v>24</v>
      </c>
      <c r="B2060" s="12">
        <v>25000000</v>
      </c>
      <c r="C2060" s="12">
        <v>51853450</v>
      </c>
      <c r="D2060" s="12">
        <v>2012</v>
      </c>
      <c r="E2060" s="12" t="str">
        <f>VLOOKUP(A2060, Currency!$A$2:$B$100, 2, FALSE)</f>
        <v>USD</v>
      </c>
      <c r="F2060" s="12">
        <f ca="1">IFERROR(__xludf.DUMMYFUNCTION("IF(E2060=""USD"",B2060,B2060 * GOOGLEFINANCE(""CURRENCY:"" &amp; E2060 &amp; ""USD""))
"),25000000)</f>
        <v>25000000</v>
      </c>
      <c r="G2060" s="13">
        <f ca="1">IFERROR(__xludf.DUMMYFUNCTION("IF(E2060=""USD"",C2060,C2060 * GOOGLEFINANCE(""CURRENCY:"" &amp; E2060 &amp; ""USD""))
"),51853450)</f>
        <v>51853450</v>
      </c>
    </row>
    <row r="2061" spans="1:7" ht="15.75" customHeight="1" x14ac:dyDescent="0.25">
      <c r="A2061" s="14" t="s">
        <v>24</v>
      </c>
      <c r="B2061" s="15">
        <v>1500000</v>
      </c>
      <c r="C2061" s="15">
        <v>92362</v>
      </c>
      <c r="D2061" s="15">
        <v>2005</v>
      </c>
      <c r="E2061" s="15" t="str">
        <f>VLOOKUP(A2061, Currency!$A$2:$B$100, 2, FALSE)</f>
        <v>USD</v>
      </c>
      <c r="F2061" s="15">
        <f ca="1">IFERROR(__xludf.DUMMYFUNCTION("IF(E2061=""USD"",B2061,B2061 * GOOGLEFINANCE(""CURRENCY:"" &amp; E2061 &amp; ""USD""))
"),1500000)</f>
        <v>1500000</v>
      </c>
      <c r="G2061" s="16">
        <f ca="1">IFERROR(__xludf.DUMMYFUNCTION("IF(E2061=""USD"",C2061,C2061 * GOOGLEFINANCE(""CURRENCY:"" &amp; E2061 &amp; ""USD""))
"),92362)</f>
        <v>92362</v>
      </c>
    </row>
    <row r="2062" spans="1:7" ht="15.75" customHeight="1" x14ac:dyDescent="0.25">
      <c r="A2062" s="11" t="s">
        <v>24</v>
      </c>
      <c r="B2062" s="12">
        <v>8000000</v>
      </c>
      <c r="C2062" s="12">
        <v>10106233</v>
      </c>
      <c r="D2062" s="12">
        <v>2011</v>
      </c>
      <c r="E2062" s="12" t="str">
        <f>VLOOKUP(A2062, Currency!$A$2:$B$100, 2, FALSE)</f>
        <v>USD</v>
      </c>
      <c r="F2062" s="12">
        <f ca="1">IFERROR(__xludf.DUMMYFUNCTION("IF(E2062=""USD"",B2062,B2062 * GOOGLEFINANCE(""CURRENCY:"" &amp; E2062 &amp; ""USD""))
"),8000000)</f>
        <v>8000000</v>
      </c>
      <c r="G2062" s="13">
        <f ca="1">IFERROR(__xludf.DUMMYFUNCTION("IF(E2062=""USD"",C2062,C2062 * GOOGLEFINANCE(""CURRENCY:"" &amp; E2062 &amp; ""USD""))
"),10106233)</f>
        <v>10106233</v>
      </c>
    </row>
    <row r="2063" spans="1:7" ht="15.75" customHeight="1" x14ac:dyDescent="0.25">
      <c r="A2063" s="14" t="s">
        <v>24</v>
      </c>
      <c r="B2063" s="15">
        <v>65000000</v>
      </c>
      <c r="C2063" s="15">
        <v>115731542</v>
      </c>
      <c r="D2063" s="15">
        <v>1998</v>
      </c>
      <c r="E2063" s="15" t="str">
        <f>VLOOKUP(A2063, Currency!$A$2:$B$100, 2, FALSE)</f>
        <v>USD</v>
      </c>
      <c r="F2063" s="15">
        <f ca="1">IFERROR(__xludf.DUMMYFUNCTION("IF(E2063=""USD"",B2063,B2063 * GOOGLEFINANCE(""CURRENCY:"" &amp; E2063 &amp; ""USD""))
"),65000000)</f>
        <v>65000000</v>
      </c>
      <c r="G2063" s="16">
        <f ca="1">IFERROR(__xludf.DUMMYFUNCTION("IF(E2063=""USD"",C2063,C2063 * GOOGLEFINANCE(""CURRENCY:"" &amp; E2063 &amp; ""USD""))
"),115731542)</f>
        <v>115731542</v>
      </c>
    </row>
    <row r="2064" spans="1:7" ht="15.75" customHeight="1" x14ac:dyDescent="0.25">
      <c r="A2064" s="11" t="s">
        <v>24</v>
      </c>
      <c r="B2064" s="12">
        <v>18000000</v>
      </c>
      <c r="C2064" s="12">
        <v>13491653</v>
      </c>
      <c r="D2064" s="12">
        <v>2001</v>
      </c>
      <c r="E2064" s="12" t="str">
        <f>VLOOKUP(A2064, Currency!$A$2:$B$100, 2, FALSE)</f>
        <v>USD</v>
      </c>
      <c r="F2064" s="12">
        <f ca="1">IFERROR(__xludf.DUMMYFUNCTION("IF(E2064=""USD"",B2064,B2064 * GOOGLEFINANCE(""CURRENCY:"" &amp; E2064 &amp; ""USD""))
"),18000000)</f>
        <v>18000000</v>
      </c>
      <c r="G2064" s="13">
        <f ca="1">IFERROR(__xludf.DUMMYFUNCTION("IF(E2064=""USD"",C2064,C2064 * GOOGLEFINANCE(""CURRENCY:"" &amp; E2064 &amp; ""USD""))
"),13491653)</f>
        <v>13491653</v>
      </c>
    </row>
    <row r="2065" spans="1:7" ht="15.75" customHeight="1" x14ac:dyDescent="0.25">
      <c r="A2065" s="14" t="s">
        <v>149</v>
      </c>
      <c r="B2065" s="15">
        <v>1500000</v>
      </c>
      <c r="C2065" s="15">
        <v>265107</v>
      </c>
      <c r="D2065" s="15">
        <v>2000</v>
      </c>
      <c r="E2065" s="15" t="str">
        <f>VLOOKUP(A2065, Currency!$A$2:$B$100, 2, FALSE)</f>
        <v>AUD</v>
      </c>
      <c r="F2065" s="15">
        <f ca="1">IFERROR(__xludf.DUMMYFUNCTION("IF(E2065=""USD"",B2065,B2065 * GOOGLEFINANCE(""CURRENCY:"" &amp; E2065 &amp; ""USD""))
"),980820)</f>
        <v>980820</v>
      </c>
      <c r="G2065" s="16">
        <f ca="1">IFERROR(__xludf.DUMMYFUNCTION("IF(E2065=""USD"",C2065,C2065 * GOOGLEFINANCE(""CURRENCY:"" &amp; E2065 &amp; ""USD""))
"),173348.16516)</f>
        <v>173348.16516</v>
      </c>
    </row>
    <row r="2066" spans="1:7" ht="15.75" customHeight="1" x14ac:dyDescent="0.25">
      <c r="A2066" s="11" t="s">
        <v>24</v>
      </c>
      <c r="B2066" s="12">
        <v>35000000</v>
      </c>
      <c r="C2066" s="12">
        <v>56876365</v>
      </c>
      <c r="D2066" s="12">
        <v>1998</v>
      </c>
      <c r="E2066" s="12" t="str">
        <f>VLOOKUP(A2066, Currency!$A$2:$B$100, 2, FALSE)</f>
        <v>USD</v>
      </c>
      <c r="F2066" s="12">
        <f ca="1">IFERROR(__xludf.DUMMYFUNCTION("IF(E2066=""USD"",B2066,B2066 * GOOGLEFINANCE(""CURRENCY:"" &amp; E2066 &amp; ""USD""))
"),35000000)</f>
        <v>35000000</v>
      </c>
      <c r="G2066" s="13">
        <f ca="1">IFERROR(__xludf.DUMMYFUNCTION("IF(E2066=""USD"",C2066,C2066 * GOOGLEFINANCE(""CURRENCY:"" &amp; E2066 &amp; ""USD""))
"),56876365)</f>
        <v>56876365</v>
      </c>
    </row>
    <row r="2067" spans="1:7" ht="15.75" customHeight="1" x14ac:dyDescent="0.25">
      <c r="A2067" s="14" t="s">
        <v>24</v>
      </c>
      <c r="B2067" s="15">
        <v>13000000</v>
      </c>
      <c r="C2067" s="15">
        <v>301305</v>
      </c>
      <c r="D2067" s="15">
        <v>2011</v>
      </c>
      <c r="E2067" s="15" t="str">
        <f>VLOOKUP(A2067, Currency!$A$2:$B$100, 2, FALSE)</f>
        <v>USD</v>
      </c>
      <c r="F2067" s="15">
        <f ca="1">IFERROR(__xludf.DUMMYFUNCTION("IF(E2067=""USD"",B2067,B2067 * GOOGLEFINANCE(""CURRENCY:"" &amp; E2067 &amp; ""USD""))
"),13000000)</f>
        <v>13000000</v>
      </c>
      <c r="G2067" s="16">
        <f ca="1">IFERROR(__xludf.DUMMYFUNCTION("IF(E2067=""USD"",C2067,C2067 * GOOGLEFINANCE(""CURRENCY:"" &amp; E2067 &amp; ""USD""))
"),301305)</f>
        <v>301305</v>
      </c>
    </row>
    <row r="2068" spans="1:7" ht="15.75" customHeight="1" x14ac:dyDescent="0.25">
      <c r="A2068" s="11" t="s">
        <v>24</v>
      </c>
      <c r="B2068" s="12">
        <v>26000000</v>
      </c>
      <c r="C2068" s="12">
        <v>48114556</v>
      </c>
      <c r="D2068" s="12">
        <v>2004</v>
      </c>
      <c r="E2068" s="12" t="str">
        <f>VLOOKUP(A2068, Currency!$A$2:$B$100, 2, FALSE)</f>
        <v>USD</v>
      </c>
      <c r="F2068" s="12">
        <f ca="1">IFERROR(__xludf.DUMMYFUNCTION("IF(E2068=""USD"",B2068,B2068 * GOOGLEFINANCE(""CURRENCY:"" &amp; E2068 &amp; ""USD""))
"),26000000)</f>
        <v>26000000</v>
      </c>
      <c r="G2068" s="13">
        <f ca="1">IFERROR(__xludf.DUMMYFUNCTION("IF(E2068=""USD"",C2068,C2068 * GOOGLEFINANCE(""CURRENCY:"" &amp; E2068 &amp; ""USD""))
"),48114556)</f>
        <v>48114556</v>
      </c>
    </row>
    <row r="2069" spans="1:7" ht="15.75" customHeight="1" x14ac:dyDescent="0.25">
      <c r="A2069" s="14" t="s">
        <v>24</v>
      </c>
      <c r="B2069" s="15">
        <v>110000000</v>
      </c>
      <c r="C2069" s="15">
        <v>155181732</v>
      </c>
      <c r="D2069" s="15">
        <v>2015</v>
      </c>
      <c r="E2069" s="15" t="str">
        <f>VLOOKUP(A2069, Currency!$A$2:$B$100, 2, FALSE)</f>
        <v>USD</v>
      </c>
      <c r="F2069" s="15">
        <f ca="1">IFERROR(__xludf.DUMMYFUNCTION("IF(E2069=""USD"",B2069,B2069 * GOOGLEFINANCE(""CURRENCY:"" &amp; E2069 &amp; ""USD""))
"),110000000)</f>
        <v>110000000</v>
      </c>
      <c r="G2069" s="16">
        <f ca="1">IFERROR(__xludf.DUMMYFUNCTION("IF(E2069=""USD"",C2069,C2069 * GOOGLEFINANCE(""CURRENCY:"" &amp; E2069 &amp; ""USD""))
"),155181732)</f>
        <v>155181732</v>
      </c>
    </row>
    <row r="2070" spans="1:7" ht="15.75" customHeight="1" x14ac:dyDescent="0.25">
      <c r="A2070" s="11" t="s">
        <v>176</v>
      </c>
      <c r="B2070" s="12">
        <v>20000000</v>
      </c>
      <c r="C2070" s="12">
        <v>476270</v>
      </c>
      <c r="D2070" s="12">
        <v>2008</v>
      </c>
      <c r="E2070" s="12" t="str">
        <f>VLOOKUP(A2070, Currency!$A$2:$B$100, 2, FALSE)</f>
        <v>EUR</v>
      </c>
      <c r="F2070" s="12">
        <f ca="1">IFERROR(__xludf.DUMMYFUNCTION("IF(E2070=""USD"",B2070,B2070 * GOOGLEFINANCE(""CURRENCY:"" &amp; E2070 &amp; ""USD""))
"),21694800)</f>
        <v>21694800</v>
      </c>
      <c r="G2070" s="13">
        <f ca="1">IFERROR(__xludf.DUMMYFUNCTION("IF(E2070=""USD"",C2070,C2070 * GOOGLEFINANCE(""CURRENCY:"" &amp; E2070 &amp; ""USD""))
"),516629.1198)</f>
        <v>516629.11979999999</v>
      </c>
    </row>
    <row r="2071" spans="1:7" ht="15.75" customHeight="1" x14ac:dyDescent="0.25">
      <c r="A2071" s="14" t="s">
        <v>24</v>
      </c>
      <c r="B2071" s="15">
        <v>60000000</v>
      </c>
      <c r="C2071" s="15">
        <v>29136626</v>
      </c>
      <c r="D2071" s="15">
        <v>2011</v>
      </c>
      <c r="E2071" s="15" t="str">
        <f>VLOOKUP(A2071, Currency!$A$2:$B$100, 2, FALSE)</f>
        <v>USD</v>
      </c>
      <c r="F2071" s="15">
        <f ca="1">IFERROR(__xludf.DUMMYFUNCTION("IF(E2071=""USD"",B2071,B2071 * GOOGLEFINANCE(""CURRENCY:"" &amp; E2071 &amp; ""USD""))
"),60000000)</f>
        <v>60000000</v>
      </c>
      <c r="G2071" s="16">
        <f ca="1">IFERROR(__xludf.DUMMYFUNCTION("IF(E2071=""USD"",C2071,C2071 * GOOGLEFINANCE(""CURRENCY:"" &amp; E2071 &amp; ""USD""))
"),29136626)</f>
        <v>29136626</v>
      </c>
    </row>
    <row r="2072" spans="1:7" ht="15.75" customHeight="1" x14ac:dyDescent="0.25">
      <c r="A2072" s="11" t="s">
        <v>24</v>
      </c>
      <c r="B2072" s="12">
        <v>11000000</v>
      </c>
      <c r="C2072" s="12">
        <v>23978402</v>
      </c>
      <c r="D2072" s="12">
        <v>2001</v>
      </c>
      <c r="E2072" s="12" t="str">
        <f>VLOOKUP(A2072, Currency!$A$2:$B$100, 2, FALSE)</f>
        <v>USD</v>
      </c>
      <c r="F2072" s="12">
        <f ca="1">IFERROR(__xludf.DUMMYFUNCTION("IF(E2072=""USD"",B2072,B2072 * GOOGLEFINANCE(""CURRENCY:"" &amp; E2072 &amp; ""USD""))
"),11000000)</f>
        <v>11000000</v>
      </c>
      <c r="G2072" s="13">
        <f ca="1">IFERROR(__xludf.DUMMYFUNCTION("IF(E2072=""USD"",C2072,C2072 * GOOGLEFINANCE(""CURRENCY:"" &amp; E2072 &amp; ""USD""))
"),23978402)</f>
        <v>23978402</v>
      </c>
    </row>
    <row r="2073" spans="1:7" ht="15.75" customHeight="1" x14ac:dyDescent="0.25">
      <c r="A2073" s="14" t="s">
        <v>24</v>
      </c>
      <c r="B2073" s="15">
        <v>60000000</v>
      </c>
      <c r="C2073" s="15">
        <v>50024083</v>
      </c>
      <c r="D2073" s="15">
        <v>1995</v>
      </c>
      <c r="E2073" s="15" t="str">
        <f>VLOOKUP(A2073, Currency!$A$2:$B$100, 2, FALSE)</f>
        <v>USD</v>
      </c>
      <c r="F2073" s="15">
        <f ca="1">IFERROR(__xludf.DUMMYFUNCTION("IF(E2073=""USD"",B2073,B2073 * GOOGLEFINANCE(""CURRENCY:"" &amp; E2073 &amp; ""USD""))
"),60000000)</f>
        <v>60000000</v>
      </c>
      <c r="G2073" s="16">
        <f ca="1">IFERROR(__xludf.DUMMYFUNCTION("IF(E2073=""USD"",C2073,C2073 * GOOGLEFINANCE(""CURRENCY:"" &amp; E2073 &amp; ""USD""))
"),50024083)</f>
        <v>50024083</v>
      </c>
    </row>
    <row r="2074" spans="1:7" ht="15.75" customHeight="1" x14ac:dyDescent="0.25">
      <c r="A2074" s="11" t="s">
        <v>24</v>
      </c>
      <c r="B2074" s="12">
        <v>12500000</v>
      </c>
      <c r="C2074" s="12">
        <v>48092846</v>
      </c>
      <c r="D2074" s="12">
        <v>1988</v>
      </c>
      <c r="E2074" s="12" t="str">
        <f>VLOOKUP(A2074, Currency!$A$2:$B$100, 2, FALSE)</f>
        <v>USD</v>
      </c>
      <c r="F2074" s="12">
        <f ca="1">IFERROR(__xludf.DUMMYFUNCTION("IF(E2074=""USD"",B2074,B2074 * GOOGLEFINANCE(""CURRENCY:"" &amp; E2074 &amp; ""USD""))
"),12500000)</f>
        <v>12500000</v>
      </c>
      <c r="G2074" s="13">
        <f ca="1">IFERROR(__xludf.DUMMYFUNCTION("IF(E2074=""USD"",C2074,C2074 * GOOGLEFINANCE(""CURRENCY:"" &amp; E2074 &amp; ""USD""))
"),48092846)</f>
        <v>48092846</v>
      </c>
    </row>
    <row r="2075" spans="1:7" ht="15.75" customHeight="1" x14ac:dyDescent="0.25">
      <c r="A2075" s="14" t="s">
        <v>24</v>
      </c>
      <c r="B2075" s="15">
        <v>19000000</v>
      </c>
      <c r="C2075" s="15">
        <v>21483154</v>
      </c>
      <c r="D2075" s="15">
        <v>2013</v>
      </c>
      <c r="E2075" s="15" t="str">
        <f>VLOOKUP(A2075, Currency!$A$2:$B$100, 2, FALSE)</f>
        <v>USD</v>
      </c>
      <c r="F2075" s="15">
        <f ca="1">IFERROR(__xludf.DUMMYFUNCTION("IF(E2075=""USD"",B2075,B2075 * GOOGLEFINANCE(""CURRENCY:"" &amp; E2075 &amp; ""USD""))
"),19000000)</f>
        <v>19000000</v>
      </c>
      <c r="G2075" s="16">
        <f ca="1">IFERROR(__xludf.DUMMYFUNCTION("IF(E2075=""USD"",C2075,C2075 * GOOGLEFINANCE(""CURRENCY:"" &amp; E2075 &amp; ""USD""))
"),21483154)</f>
        <v>21483154</v>
      </c>
    </row>
    <row r="2076" spans="1:7" ht="15.75" customHeight="1" x14ac:dyDescent="0.25">
      <c r="A2076" s="11" t="s">
        <v>24</v>
      </c>
      <c r="B2076" s="12">
        <v>22000000</v>
      </c>
      <c r="C2076" s="12">
        <v>11326836</v>
      </c>
      <c r="D2076" s="12">
        <v>2013</v>
      </c>
      <c r="E2076" s="12" t="str">
        <f>VLOOKUP(A2076, Currency!$A$2:$B$100, 2, FALSE)</f>
        <v>USD</v>
      </c>
      <c r="F2076" s="12">
        <f ca="1">IFERROR(__xludf.DUMMYFUNCTION("IF(E2076=""USD"",B2076,B2076 * GOOGLEFINANCE(""CURRENCY:"" &amp; E2076 &amp; ""USD""))
"),22000000)</f>
        <v>22000000</v>
      </c>
      <c r="G2076" s="13">
        <f ca="1">IFERROR(__xludf.DUMMYFUNCTION("IF(E2076=""USD"",C2076,C2076 * GOOGLEFINANCE(""CURRENCY:"" &amp; E2076 &amp; ""USD""))
"),11326836)</f>
        <v>11326836</v>
      </c>
    </row>
    <row r="2077" spans="1:7" ht="15.75" customHeight="1" x14ac:dyDescent="0.25">
      <c r="A2077" s="14" t="s">
        <v>24</v>
      </c>
      <c r="B2077" s="15">
        <v>6000000</v>
      </c>
      <c r="C2077" s="15">
        <v>399611</v>
      </c>
      <c r="D2077" s="15">
        <v>2010</v>
      </c>
      <c r="E2077" s="15" t="str">
        <f>VLOOKUP(A2077, Currency!$A$2:$B$100, 2, FALSE)</f>
        <v>USD</v>
      </c>
      <c r="F2077" s="15">
        <f ca="1">IFERROR(__xludf.DUMMYFUNCTION("IF(E2077=""USD"",B2077,B2077 * GOOGLEFINANCE(""CURRENCY:"" &amp; E2077 &amp; ""USD""))
"),6000000)</f>
        <v>6000000</v>
      </c>
      <c r="G2077" s="16">
        <f ca="1">IFERROR(__xludf.DUMMYFUNCTION("IF(E2077=""USD"",C2077,C2077 * GOOGLEFINANCE(""CURRENCY:"" &amp; E2077 &amp; ""USD""))
"),399611)</f>
        <v>399611</v>
      </c>
    </row>
    <row r="2078" spans="1:7" ht="15.75" customHeight="1" x14ac:dyDescent="0.25">
      <c r="A2078" s="11" t="s">
        <v>24</v>
      </c>
      <c r="B2078" s="12">
        <v>45000000</v>
      </c>
      <c r="C2078" s="12">
        <v>92001027</v>
      </c>
      <c r="D2078" s="12">
        <v>1996</v>
      </c>
      <c r="E2078" s="12" t="str">
        <f>VLOOKUP(A2078, Currency!$A$2:$B$100, 2, FALSE)</f>
        <v>USD</v>
      </c>
      <c r="F2078" s="12">
        <f ca="1">IFERROR(__xludf.DUMMYFUNCTION("IF(E2078=""USD"",B2078,B2078 * GOOGLEFINANCE(""CURRENCY:"" &amp; E2078 &amp; ""USD""))
"),45000000)</f>
        <v>45000000</v>
      </c>
      <c r="G2078" s="13">
        <f ca="1">IFERROR(__xludf.DUMMYFUNCTION("IF(E2078=""USD"",C2078,C2078 * GOOGLEFINANCE(""CURRENCY:"" &amp; E2078 &amp; ""USD""))
"),92001027)</f>
        <v>92001027</v>
      </c>
    </row>
    <row r="2079" spans="1:7" ht="15.75" customHeight="1" x14ac:dyDescent="0.25">
      <c r="A2079" s="14" t="s">
        <v>24</v>
      </c>
      <c r="B2079" s="15">
        <v>25000000</v>
      </c>
      <c r="C2079" s="15">
        <v>71975611</v>
      </c>
      <c r="D2079" s="15">
        <v>2007</v>
      </c>
      <c r="E2079" s="15" t="str">
        <f>VLOOKUP(A2079, Currency!$A$2:$B$100, 2, FALSE)</f>
        <v>USD</v>
      </c>
      <c r="F2079" s="15">
        <f ca="1">IFERROR(__xludf.DUMMYFUNCTION("IF(E2079=""USD"",B2079,B2079 * GOOGLEFINANCE(""CURRENCY:"" &amp; E2079 &amp; ""USD""))
"),25000000)</f>
        <v>25000000</v>
      </c>
      <c r="G2079" s="16">
        <f ca="1">IFERROR(__xludf.DUMMYFUNCTION("IF(E2079=""USD"",C2079,C2079 * GOOGLEFINANCE(""CURRENCY:"" &amp; E2079 &amp; ""USD""))
"),71975611)</f>
        <v>71975611</v>
      </c>
    </row>
    <row r="2080" spans="1:7" ht="15.75" customHeight="1" x14ac:dyDescent="0.25">
      <c r="A2080" s="11" t="s">
        <v>24</v>
      </c>
      <c r="B2080" s="12">
        <v>25000000</v>
      </c>
      <c r="C2080" s="12">
        <v>134141530</v>
      </c>
      <c r="D2080" s="12">
        <v>2014</v>
      </c>
      <c r="E2080" s="12" t="str">
        <f>VLOOKUP(A2080, Currency!$A$2:$B$100, 2, FALSE)</f>
        <v>USD</v>
      </c>
      <c r="F2080" s="12">
        <f ca="1">IFERROR(__xludf.DUMMYFUNCTION("IF(E2080=""USD"",B2080,B2080 * GOOGLEFINANCE(""CURRENCY:"" &amp; E2080 &amp; ""USD""))
"),25000000)</f>
        <v>25000000</v>
      </c>
      <c r="G2080" s="13">
        <f ca="1">IFERROR(__xludf.DUMMYFUNCTION("IF(E2080=""USD"",C2080,C2080 * GOOGLEFINANCE(""CURRENCY:"" &amp; E2080 &amp; ""USD""))
"),134141530)</f>
        <v>134141530</v>
      </c>
    </row>
    <row r="2081" spans="1:7" ht="15.75" customHeight="1" x14ac:dyDescent="0.25">
      <c r="A2081" s="14" t="s">
        <v>24</v>
      </c>
      <c r="B2081" s="15">
        <v>30000000</v>
      </c>
      <c r="C2081" s="15">
        <v>26687172</v>
      </c>
      <c r="D2081" s="15">
        <v>2011</v>
      </c>
      <c r="E2081" s="15" t="str">
        <f>VLOOKUP(A2081, Currency!$A$2:$B$100, 2, FALSE)</f>
        <v>USD</v>
      </c>
      <c r="F2081" s="15">
        <f ca="1">IFERROR(__xludf.DUMMYFUNCTION("IF(E2081=""USD"",B2081,B2081 * GOOGLEFINANCE(""CURRENCY:"" &amp; E2081 &amp; ""USD""))
"),30000000)</f>
        <v>30000000</v>
      </c>
      <c r="G2081" s="16">
        <f ca="1">IFERROR(__xludf.DUMMYFUNCTION("IF(E2081=""USD"",C2081,C2081 * GOOGLEFINANCE(""CURRENCY:"" &amp; E2081 &amp; ""USD""))
"),26687172)</f>
        <v>26687172</v>
      </c>
    </row>
    <row r="2082" spans="1:7" ht="15.75" customHeight="1" x14ac:dyDescent="0.25">
      <c r="A2082" s="11" t="s">
        <v>24</v>
      </c>
      <c r="B2082" s="12">
        <v>50000000</v>
      </c>
      <c r="C2082" s="12">
        <v>48154732</v>
      </c>
      <c r="D2082" s="12">
        <v>1997</v>
      </c>
      <c r="E2082" s="12" t="str">
        <f>VLOOKUP(A2082, Currency!$A$2:$B$100, 2, FALSE)</f>
        <v>USD</v>
      </c>
      <c r="F2082" s="12">
        <f ca="1">IFERROR(__xludf.DUMMYFUNCTION("IF(E2082=""USD"",B2082,B2082 * GOOGLEFINANCE(""CURRENCY:"" &amp; E2082 &amp; ""USD""))
"),50000000)</f>
        <v>50000000</v>
      </c>
      <c r="G2082" s="13">
        <f ca="1">IFERROR(__xludf.DUMMYFUNCTION("IF(E2082=""USD"",C2082,C2082 * GOOGLEFINANCE(""CURRENCY:"" &amp; E2082 &amp; ""USD""))
"),48154732)</f>
        <v>48154732</v>
      </c>
    </row>
    <row r="2083" spans="1:7" ht="15.75" customHeight="1" x14ac:dyDescent="0.25">
      <c r="A2083" s="14" t="s">
        <v>24</v>
      </c>
      <c r="B2083" s="15">
        <v>3768785</v>
      </c>
      <c r="C2083" s="15">
        <v>8000000</v>
      </c>
      <c r="D2083" s="15">
        <v>1950</v>
      </c>
      <c r="E2083" s="15" t="str">
        <f>VLOOKUP(A2083, Currency!$A$2:$B$100, 2, FALSE)</f>
        <v>USD</v>
      </c>
      <c r="F2083" s="15">
        <f ca="1">IFERROR(__xludf.DUMMYFUNCTION("IF(E2083=""USD"",B2083,B2083 * GOOGLEFINANCE(""CURRENCY:"" &amp; E2083 &amp; ""USD""))
"),3768785)</f>
        <v>3768785</v>
      </c>
      <c r="G2083" s="16">
        <f ca="1">IFERROR(__xludf.DUMMYFUNCTION("IF(E2083=""USD"",C2083,C2083 * GOOGLEFINANCE(""CURRENCY:"" &amp; E2083 &amp; ""USD""))
"),8000000)</f>
        <v>8000000</v>
      </c>
    </row>
    <row r="2084" spans="1:7" ht="15.75" customHeight="1" x14ac:dyDescent="0.25">
      <c r="A2084" s="11" t="s">
        <v>24</v>
      </c>
      <c r="B2084" s="12">
        <v>55000000</v>
      </c>
      <c r="C2084" s="12">
        <v>69951824</v>
      </c>
      <c r="D2084" s="12">
        <v>2008</v>
      </c>
      <c r="E2084" s="12" t="str">
        <f>VLOOKUP(A2084, Currency!$A$2:$B$100, 2, FALSE)</f>
        <v>USD</v>
      </c>
      <c r="F2084" s="12">
        <f ca="1">IFERROR(__xludf.DUMMYFUNCTION("IF(E2084=""USD"",B2084,B2084 * GOOGLEFINANCE(""CURRENCY:"" &amp; E2084 &amp; ""USD""))
"),55000000)</f>
        <v>55000000</v>
      </c>
      <c r="G2084" s="13">
        <f ca="1">IFERROR(__xludf.DUMMYFUNCTION("IF(E2084=""USD"",C2084,C2084 * GOOGLEFINANCE(""CURRENCY:"" &amp; E2084 &amp; ""USD""))
"),69951824)</f>
        <v>69951824</v>
      </c>
    </row>
    <row r="2085" spans="1:7" ht="15.75" customHeight="1" x14ac:dyDescent="0.25">
      <c r="A2085" s="14" t="s">
        <v>24</v>
      </c>
      <c r="B2085" s="15">
        <v>35000000</v>
      </c>
      <c r="C2085" s="15">
        <v>37304950</v>
      </c>
      <c r="D2085" s="15">
        <v>2011</v>
      </c>
      <c r="E2085" s="15" t="str">
        <f>VLOOKUP(A2085, Currency!$A$2:$B$100, 2, FALSE)</f>
        <v>USD</v>
      </c>
      <c r="F2085" s="15">
        <f ca="1">IFERROR(__xludf.DUMMYFUNCTION("IF(E2085=""USD"",B2085,B2085 * GOOGLEFINANCE(""CURRENCY:"" &amp; E2085 &amp; ""USD""))
"),35000000)</f>
        <v>35000000</v>
      </c>
      <c r="G2085" s="16">
        <f ca="1">IFERROR(__xludf.DUMMYFUNCTION("IF(E2085=""USD"",C2085,C2085 * GOOGLEFINANCE(""CURRENCY:"" &amp; E2085 &amp; ""USD""))
"),37304950)</f>
        <v>37304950</v>
      </c>
    </row>
    <row r="2086" spans="1:7" ht="15.75" customHeight="1" x14ac:dyDescent="0.25">
      <c r="A2086" s="11" t="s">
        <v>24</v>
      </c>
      <c r="B2086" s="12">
        <v>62000000</v>
      </c>
      <c r="C2086" s="12">
        <v>32178777</v>
      </c>
      <c r="D2086" s="12">
        <v>2008</v>
      </c>
      <c r="E2086" s="12" t="str">
        <f>VLOOKUP(A2086, Currency!$A$2:$B$100, 2, FALSE)</f>
        <v>USD</v>
      </c>
      <c r="F2086" s="12">
        <f ca="1">IFERROR(__xludf.DUMMYFUNCTION("IF(E2086=""USD"",B2086,B2086 * GOOGLEFINANCE(""CURRENCY:"" &amp; E2086 &amp; ""USD""))
"),62000000)</f>
        <v>62000000</v>
      </c>
      <c r="G2086" s="13">
        <f ca="1">IFERROR(__xludf.DUMMYFUNCTION("IF(E2086=""USD"",C2086,C2086 * GOOGLEFINANCE(""CURRENCY:"" &amp; E2086 &amp; ""USD""))
"),32178777)</f>
        <v>32178777</v>
      </c>
    </row>
    <row r="2087" spans="1:7" ht="15.75" customHeight="1" x14ac:dyDescent="0.25">
      <c r="A2087" s="14" t="s">
        <v>24</v>
      </c>
      <c r="B2087" s="15">
        <v>100000000</v>
      </c>
      <c r="C2087" s="15">
        <v>40198710</v>
      </c>
      <c r="D2087" s="15">
        <v>2004</v>
      </c>
      <c r="E2087" s="15" t="str">
        <f>VLOOKUP(A2087, Currency!$A$2:$B$100, 2, FALSE)</f>
        <v>USD</v>
      </c>
      <c r="F2087" s="15">
        <f ca="1">IFERROR(__xludf.DUMMYFUNCTION("IF(E2087=""USD"",B2087,B2087 * GOOGLEFINANCE(""CURRENCY:"" &amp; E2087 &amp; ""USD""))
"),100000000)</f>
        <v>100000000</v>
      </c>
      <c r="G2087" s="16">
        <f ca="1">IFERROR(__xludf.DUMMYFUNCTION("IF(E2087=""USD"",C2087,C2087 * GOOGLEFINANCE(""CURRENCY:"" &amp; E2087 &amp; ""USD""))
"),40198710)</f>
        <v>40198710</v>
      </c>
    </row>
    <row r="2088" spans="1:7" ht="15.75" customHeight="1" x14ac:dyDescent="0.25">
      <c r="A2088" s="11" t="s">
        <v>24</v>
      </c>
      <c r="B2088" s="12">
        <v>65000000</v>
      </c>
      <c r="C2088" s="12">
        <v>123307945</v>
      </c>
      <c r="D2088" s="12">
        <v>2000</v>
      </c>
      <c r="E2088" s="12" t="str">
        <f>VLOOKUP(A2088, Currency!$A$2:$B$100, 2, FALSE)</f>
        <v>USD</v>
      </c>
      <c r="F2088" s="12">
        <f ca="1">IFERROR(__xludf.DUMMYFUNCTION("IF(E2088=""USD"",B2088,B2088 * GOOGLEFINANCE(""CURRENCY:"" &amp; E2088 &amp; ""USD""))
"),65000000)</f>
        <v>65000000</v>
      </c>
      <c r="G2088" s="13">
        <f ca="1">IFERROR(__xludf.DUMMYFUNCTION("IF(E2088=""USD"",C2088,C2088 * GOOGLEFINANCE(""CURRENCY:"" &amp; E2088 &amp; ""USD""))
"),123307945)</f>
        <v>123307945</v>
      </c>
    </row>
    <row r="2089" spans="1:7" ht="15.75" customHeight="1" x14ac:dyDescent="0.25">
      <c r="A2089" s="14" t="s">
        <v>24</v>
      </c>
      <c r="B2089" s="15">
        <v>3500000</v>
      </c>
      <c r="C2089" s="15">
        <v>14000000</v>
      </c>
      <c r="D2089" s="15">
        <v>1987</v>
      </c>
      <c r="E2089" s="15" t="str">
        <f>VLOOKUP(A2089, Currency!$A$2:$B$100, 2, FALSE)</f>
        <v>USD</v>
      </c>
      <c r="F2089" s="15">
        <f ca="1">IFERROR(__xludf.DUMMYFUNCTION("IF(E2089=""USD"",B2089,B2089 * GOOGLEFINANCE(""CURRENCY:"" &amp; E2089 &amp; ""USD""))
"),3500000)</f>
        <v>3500000</v>
      </c>
      <c r="G2089" s="16">
        <f ca="1">IFERROR(__xludf.DUMMYFUNCTION("IF(E2089=""USD"",C2089,C2089 * GOOGLEFINANCE(""CURRENCY:"" &amp; E2089 &amp; ""USD""))
"),14000000)</f>
        <v>14000000</v>
      </c>
    </row>
    <row r="2090" spans="1:7" ht="15.75" customHeight="1" x14ac:dyDescent="0.25">
      <c r="A2090" s="11" t="s">
        <v>1551</v>
      </c>
      <c r="B2090" s="12">
        <v>2400000000</v>
      </c>
      <c r="C2090" s="12">
        <v>2298191</v>
      </c>
      <c r="D2090" s="12">
        <v>1997</v>
      </c>
      <c r="E2090" s="12" t="str">
        <f>VLOOKUP(A2090, Currency!$A$2:$B$100, 2, FALSE)</f>
        <v>JPY</v>
      </c>
      <c r="F2090" s="12">
        <f ca="1">IFERROR(__xludf.DUMMYFUNCTION("IF(E2090=""USD"",B2090,B2090 * GOOGLEFINANCE(""CURRENCY:"" &amp; E2090 &amp; ""USD""))
"),15591840)</f>
        <v>15591840</v>
      </c>
      <c r="G2090" s="13">
        <f ca="1">IFERROR(__xludf.DUMMYFUNCTION("IF(E2090=""USD"",C2090,C2090 * GOOGLEFINANCE(""CURRENCY:"" &amp; E2090 &amp; ""USD""))
"),14930.4276506)</f>
        <v>14930.427650600001</v>
      </c>
    </row>
    <row r="2091" spans="1:7" ht="15.75" customHeight="1" x14ac:dyDescent="0.25">
      <c r="A2091" s="14" t="s">
        <v>24</v>
      </c>
      <c r="B2091" s="15">
        <v>35000000</v>
      </c>
      <c r="C2091" s="15">
        <v>18593156</v>
      </c>
      <c r="D2091" s="15">
        <v>2008</v>
      </c>
      <c r="E2091" s="15" t="str">
        <f>VLOOKUP(A2091, Currency!$A$2:$B$100, 2, FALSE)</f>
        <v>USD</v>
      </c>
      <c r="F2091" s="15">
        <f ca="1">IFERROR(__xludf.DUMMYFUNCTION("IF(E2091=""USD"",B2091,B2091 * GOOGLEFINANCE(""CURRENCY:"" &amp; E2091 &amp; ""USD""))
"),35000000)</f>
        <v>35000000</v>
      </c>
      <c r="G2091" s="16">
        <f ca="1">IFERROR(__xludf.DUMMYFUNCTION("IF(E2091=""USD"",C2091,C2091 * GOOGLEFINANCE(""CURRENCY:"" &amp; E2091 &amp; ""USD""))
"),18593156)</f>
        <v>18593156</v>
      </c>
    </row>
    <row r="2092" spans="1:7" ht="15.75" customHeight="1" x14ac:dyDescent="0.25">
      <c r="A2092" s="11" t="s">
        <v>24</v>
      </c>
      <c r="B2092" s="12">
        <v>10700000</v>
      </c>
      <c r="C2092" s="12">
        <v>76600000</v>
      </c>
      <c r="D2092" s="12">
        <v>1982</v>
      </c>
      <c r="E2092" s="12" t="str">
        <f>VLOOKUP(A2092, Currency!$A$2:$B$100, 2, FALSE)</f>
        <v>USD</v>
      </c>
      <c r="F2092" s="12">
        <f ca="1">IFERROR(__xludf.DUMMYFUNCTION("IF(E2092=""USD"",B2092,B2092 * GOOGLEFINANCE(""CURRENCY:"" &amp; E2092 &amp; ""USD""))
"),10700000)</f>
        <v>10700000</v>
      </c>
      <c r="G2092" s="13">
        <f ca="1">IFERROR(__xludf.DUMMYFUNCTION("IF(E2092=""USD"",C2092,C2092 * GOOGLEFINANCE(""CURRENCY:"" &amp; E2092 &amp; ""USD""))
"),76600000)</f>
        <v>76600000</v>
      </c>
    </row>
    <row r="2093" spans="1:7" ht="15.75" customHeight="1" x14ac:dyDescent="0.25">
      <c r="A2093" s="14" t="s">
        <v>24</v>
      </c>
      <c r="B2093" s="15">
        <v>50000000</v>
      </c>
      <c r="C2093" s="15">
        <v>32741596</v>
      </c>
      <c r="D2093" s="15">
        <v>2010</v>
      </c>
      <c r="E2093" s="15" t="str">
        <f>VLOOKUP(A2093, Currency!$A$2:$B$100, 2, FALSE)</f>
        <v>USD</v>
      </c>
      <c r="F2093" s="15">
        <f ca="1">IFERROR(__xludf.DUMMYFUNCTION("IF(E2093=""USD"",B2093,B2093 * GOOGLEFINANCE(""CURRENCY:"" &amp; E2093 &amp; ""USD""))
"),50000000)</f>
        <v>50000000</v>
      </c>
      <c r="G2093" s="16">
        <f ca="1">IFERROR(__xludf.DUMMYFUNCTION("IF(E2093=""USD"",C2093,C2093 * GOOGLEFINANCE(""CURRENCY:"" &amp; E2093 &amp; ""USD""))
"),32741596)</f>
        <v>32741596</v>
      </c>
    </row>
    <row r="2094" spans="1:7" ht="15.75" customHeight="1" x14ac:dyDescent="0.25">
      <c r="A2094" s="11" t="s">
        <v>24</v>
      </c>
      <c r="B2094" s="12">
        <v>150000000</v>
      </c>
      <c r="C2094" s="12">
        <v>135381507</v>
      </c>
      <c r="D2094" s="12">
        <v>2005</v>
      </c>
      <c r="E2094" s="12" t="str">
        <f>VLOOKUP(A2094, Currency!$A$2:$B$100, 2, FALSE)</f>
        <v>USD</v>
      </c>
      <c r="F2094" s="12">
        <f ca="1">IFERROR(__xludf.DUMMYFUNCTION("IF(E2094=""USD"",B2094,B2094 * GOOGLEFINANCE(""CURRENCY:"" &amp; E2094 &amp; ""USD""))
"),150000000)</f>
        <v>150000000</v>
      </c>
      <c r="G2094" s="13">
        <f ca="1">IFERROR(__xludf.DUMMYFUNCTION("IF(E2094=""USD"",C2094,C2094 * GOOGLEFINANCE(""CURRENCY:"" &amp; E2094 &amp; ""USD""))
"),135381507)</f>
        <v>135381507</v>
      </c>
    </row>
    <row r="2095" spans="1:7" ht="15.75" customHeight="1" x14ac:dyDescent="0.25">
      <c r="A2095" s="14" t="s">
        <v>1111</v>
      </c>
      <c r="B2095" s="15">
        <v>36000000</v>
      </c>
      <c r="C2095" s="15">
        <v>1068392</v>
      </c>
      <c r="D2095" s="15">
        <v>2011</v>
      </c>
      <c r="E2095" s="15" t="str">
        <f>VLOOKUP(A2095, Currency!$A$2:$B$100, 2, FALSE)</f>
        <v>EUR</v>
      </c>
      <c r="F2095" s="15">
        <f ca="1">IFERROR(__xludf.DUMMYFUNCTION("IF(E2095=""USD"",B2095,B2095 * GOOGLEFINANCE(""CURRENCY:"" &amp; E2095 &amp; ""USD""))
"),39050640)</f>
        <v>39050640</v>
      </c>
      <c r="G2095" s="16">
        <f ca="1">IFERROR(__xludf.DUMMYFUNCTION("IF(E2095=""USD"",C2095,C2095 * GOOGLEFINANCE(""CURRENCY:"" &amp; E2095 &amp; ""USD""))
"),1158927.53808)</f>
        <v>1158927.5380800001</v>
      </c>
    </row>
    <row r="2096" spans="1:7" ht="15.75" customHeight="1" x14ac:dyDescent="0.25">
      <c r="A2096" s="11" t="s">
        <v>24</v>
      </c>
      <c r="B2096" s="12">
        <v>48000000</v>
      </c>
      <c r="C2096" s="12">
        <v>165500000</v>
      </c>
      <c r="D2096" s="12">
        <v>1991</v>
      </c>
      <c r="E2096" s="12" t="str">
        <f>VLOOKUP(A2096, Currency!$A$2:$B$100, 2, FALSE)</f>
        <v>USD</v>
      </c>
      <c r="F2096" s="12">
        <f ca="1">IFERROR(__xludf.DUMMYFUNCTION("IF(E2096=""USD"",B2096,B2096 * GOOGLEFINANCE(""CURRENCY:"" &amp; E2096 &amp; ""USD""))
"),48000000)</f>
        <v>48000000</v>
      </c>
      <c r="G2096" s="13">
        <f ca="1">IFERROR(__xludf.DUMMYFUNCTION("IF(E2096=""USD"",C2096,C2096 * GOOGLEFINANCE(""CURRENCY:"" &amp; E2096 &amp; ""USD""))
"),165500000)</f>
        <v>165500000</v>
      </c>
    </row>
    <row r="2097" spans="1:7" ht="15.75" customHeight="1" x14ac:dyDescent="0.25">
      <c r="A2097" s="14" t="s">
        <v>149</v>
      </c>
      <c r="B2097" s="15">
        <v>150000000</v>
      </c>
      <c r="C2097" s="15">
        <v>153629485</v>
      </c>
      <c r="D2097" s="15">
        <v>2015</v>
      </c>
      <c r="E2097" s="15" t="str">
        <f>VLOOKUP(A2097, Currency!$A$2:$B$100, 2, FALSE)</f>
        <v>AUD</v>
      </c>
      <c r="F2097" s="15">
        <f ca="1">IFERROR(__xludf.DUMMYFUNCTION("IF(E2097=""USD"",B2097,B2097 * GOOGLEFINANCE(""CURRENCY:"" &amp; E2097 &amp; ""USD""))
"),98082000)</f>
        <v>98082000</v>
      </c>
      <c r="G2097" s="16">
        <f ca="1">IFERROR(__xludf.DUMMYFUNCTION("IF(E2097=""USD"",C2097,C2097 * GOOGLEFINANCE(""CURRENCY:"" &amp; E2097 &amp; ""USD""))
"),100455247.6518)</f>
        <v>100455247.65180001</v>
      </c>
    </row>
    <row r="2098" spans="1:7" ht="15.75" customHeight="1" x14ac:dyDescent="0.25">
      <c r="A2098" s="11" t="s">
        <v>24</v>
      </c>
      <c r="B2098" s="12">
        <v>1800000</v>
      </c>
      <c r="C2098" s="12">
        <v>3050934</v>
      </c>
      <c r="D2098" s="12">
        <v>2000</v>
      </c>
      <c r="E2098" s="12" t="str">
        <f>VLOOKUP(A2098, Currency!$A$2:$B$100, 2, FALSE)</f>
        <v>USD</v>
      </c>
      <c r="F2098" s="12">
        <f ca="1">IFERROR(__xludf.DUMMYFUNCTION("IF(E2098=""USD"",B2098,B2098 * GOOGLEFINANCE(""CURRENCY:"" &amp; E2098 &amp; ""USD""))
"),1800000)</f>
        <v>1800000</v>
      </c>
      <c r="G2098" s="13">
        <f ca="1">IFERROR(__xludf.DUMMYFUNCTION("IF(E2098=""USD"",C2098,C2098 * GOOGLEFINANCE(""CURRENCY:"" &amp; E2098 &amp; ""USD""))
"),3050934)</f>
        <v>3050934</v>
      </c>
    </row>
    <row r="2099" spans="1:7" ht="15.75" customHeight="1" x14ac:dyDescent="0.25">
      <c r="A2099" s="14" t="s">
        <v>24</v>
      </c>
      <c r="B2099" s="15">
        <v>263700000</v>
      </c>
      <c r="C2099" s="15">
        <v>73058679</v>
      </c>
      <c r="D2099" s="15">
        <v>2012</v>
      </c>
      <c r="E2099" s="15" t="str">
        <f>VLOOKUP(A2099, Currency!$A$2:$B$100, 2, FALSE)</f>
        <v>USD</v>
      </c>
      <c r="F2099" s="15">
        <f ca="1">IFERROR(__xludf.DUMMYFUNCTION("IF(E2099=""USD"",B2099,B2099 * GOOGLEFINANCE(""CURRENCY:"" &amp; E2099 &amp; ""USD""))
"),263700000)</f>
        <v>263700000</v>
      </c>
      <c r="G2099" s="16">
        <f ca="1">IFERROR(__xludf.DUMMYFUNCTION("IF(E2099=""USD"",C2099,C2099 * GOOGLEFINANCE(""CURRENCY:"" &amp; E2099 &amp; ""USD""))
"),73058679)</f>
        <v>73058679</v>
      </c>
    </row>
    <row r="2100" spans="1:7" ht="15.75" customHeight="1" x14ac:dyDescent="0.25">
      <c r="A2100" s="11" t="s">
        <v>24</v>
      </c>
      <c r="B2100" s="12">
        <v>22000000</v>
      </c>
      <c r="C2100" s="12">
        <v>20668843</v>
      </c>
      <c r="D2100" s="12">
        <v>2008</v>
      </c>
      <c r="E2100" s="12" t="str">
        <f>VLOOKUP(A2100, Currency!$A$2:$B$100, 2, FALSE)</f>
        <v>USD</v>
      </c>
      <c r="F2100" s="12">
        <f ca="1">IFERROR(__xludf.DUMMYFUNCTION("IF(E2100=""USD"",B2100,B2100 * GOOGLEFINANCE(""CURRENCY:"" &amp; E2100 &amp; ""USD""))
"),22000000)</f>
        <v>22000000</v>
      </c>
      <c r="G2100" s="13">
        <f ca="1">IFERROR(__xludf.DUMMYFUNCTION("IF(E2100=""USD"",C2100,C2100 * GOOGLEFINANCE(""CURRENCY:"" &amp; E2100 &amp; ""USD""))
"),20668843)</f>
        <v>20668843</v>
      </c>
    </row>
    <row r="2101" spans="1:7" ht="15.75" customHeight="1" x14ac:dyDescent="0.25">
      <c r="A2101" s="14" t="s">
        <v>133</v>
      </c>
      <c r="B2101" s="15">
        <v>60000000</v>
      </c>
      <c r="C2101" s="15">
        <v>50818750</v>
      </c>
      <c r="D2101" s="15">
        <v>2008</v>
      </c>
      <c r="E2101" s="15" t="str">
        <f>VLOOKUP(A2101, Currency!$A$2:$B$100, 2, FALSE)</f>
        <v>GBP</v>
      </c>
      <c r="F2101" s="15">
        <f ca="1">IFERROR(__xludf.DUMMYFUNCTION("IF(E2101=""USD"",B2101,B2101 * GOOGLEFINANCE(""CURRENCY:"" &amp; E2101 &amp; ""USD""))
"),77124000)</f>
        <v>77124000</v>
      </c>
      <c r="G2101" s="16">
        <f ca="1">IFERROR(__xludf.DUMMYFUNCTION("IF(E2101=""USD"",C2101,C2101 * GOOGLEFINANCE(""CURRENCY:"" &amp; E2101 &amp; ""USD""))
"),65322421.2499999)</f>
        <v>65322421.249999903</v>
      </c>
    </row>
    <row r="2102" spans="1:7" ht="15.75" customHeight="1" x14ac:dyDescent="0.25">
      <c r="A2102" s="11" t="s">
        <v>24</v>
      </c>
      <c r="B2102" s="12">
        <v>5000000</v>
      </c>
      <c r="C2102" s="12">
        <v>27285953</v>
      </c>
      <c r="D2102" s="12">
        <v>2015</v>
      </c>
      <c r="E2102" s="12" t="str">
        <f>VLOOKUP(A2102, Currency!$A$2:$B$100, 2, FALSE)</f>
        <v>USD</v>
      </c>
      <c r="F2102" s="12">
        <f ca="1">IFERROR(__xludf.DUMMYFUNCTION("IF(E2102=""USD"",B2102,B2102 * GOOGLEFINANCE(""CURRENCY:"" &amp; E2102 &amp; ""USD""))
"),5000000)</f>
        <v>5000000</v>
      </c>
      <c r="G2102" s="13">
        <f ca="1">IFERROR(__xludf.DUMMYFUNCTION("IF(E2102=""USD"",C2102,C2102 * GOOGLEFINANCE(""CURRENCY:"" &amp; E2102 &amp; ""USD""))
"),27285953)</f>
        <v>27285953</v>
      </c>
    </row>
    <row r="2103" spans="1:7" ht="15.75" customHeight="1" x14ac:dyDescent="0.25">
      <c r="A2103" s="14" t="s">
        <v>24</v>
      </c>
      <c r="B2103" s="15">
        <v>5000000</v>
      </c>
      <c r="C2103" s="15">
        <v>3219029</v>
      </c>
      <c r="D2103" s="15">
        <v>2015</v>
      </c>
      <c r="E2103" s="15" t="str">
        <f>VLOOKUP(A2103, Currency!$A$2:$B$100, 2, FALSE)</f>
        <v>USD</v>
      </c>
      <c r="F2103" s="15">
        <f ca="1">IFERROR(__xludf.DUMMYFUNCTION("IF(E2103=""USD"",B2103,B2103 * GOOGLEFINANCE(""CURRENCY:"" &amp; E2103 &amp; ""USD""))
"),5000000)</f>
        <v>5000000</v>
      </c>
      <c r="G2103" s="16">
        <f ca="1">IFERROR(__xludf.DUMMYFUNCTION("IF(E2103=""USD"",C2103,C2103 * GOOGLEFINANCE(""CURRENCY:"" &amp; E2103 &amp; ""USD""))
"),3219029)</f>
        <v>3219029</v>
      </c>
    </row>
    <row r="2104" spans="1:7" ht="15.75" customHeight="1" x14ac:dyDescent="0.25">
      <c r="A2104" s="11" t="s">
        <v>133</v>
      </c>
      <c r="B2104" s="12">
        <v>7000000</v>
      </c>
      <c r="C2104" s="12">
        <v>196067</v>
      </c>
      <c r="D2104" s="12">
        <v>2002</v>
      </c>
      <c r="E2104" s="12" t="str">
        <f>VLOOKUP(A2104, Currency!$A$2:$B$100, 2, FALSE)</f>
        <v>GBP</v>
      </c>
      <c r="F2104" s="12">
        <f ca="1">IFERROR(__xludf.DUMMYFUNCTION("IF(E2104=""USD"",B2104,B2104 * GOOGLEFINANCE(""CURRENCY:"" &amp; E2104 &amp; ""USD""))
"),8997800)</f>
        <v>8997800</v>
      </c>
      <c r="G2104" s="13">
        <f ca="1">IFERROR(__xludf.DUMMYFUNCTION("IF(E2104=""USD"",C2104,C2104 * GOOGLEFINANCE(""CURRENCY:"" &amp; E2104 &amp; ""USD""))
"),252024.5218)</f>
        <v>252024.52179999999</v>
      </c>
    </row>
    <row r="2105" spans="1:7" ht="15.75" customHeight="1" x14ac:dyDescent="0.25">
      <c r="A2105" s="14" t="s">
        <v>220</v>
      </c>
      <c r="B2105" s="15">
        <v>553632000</v>
      </c>
      <c r="C2105" s="15">
        <v>626809</v>
      </c>
      <c r="D2105" s="15">
        <v>2008</v>
      </c>
      <c r="E2105" s="15" t="str">
        <f>VLOOKUP(A2105, Currency!$A$2:$B$100, 2, FALSE)</f>
        <v>CNY</v>
      </c>
      <c r="F2105" s="15">
        <f ca="1">IFERROR(__xludf.DUMMYFUNCTION("IF(E2105=""USD"",B2105,B2105 * GOOGLEFINANCE(""CURRENCY:"" &amp; E2105 &amp; ""USD""))
"),76558392.1248)</f>
        <v>76558392.124799997</v>
      </c>
      <c r="G2105" s="16">
        <f ca="1">IFERROR(__xludf.DUMMYFUNCTION("IF(E2105=""USD"",C2105,C2105 * GOOGLEFINANCE(""CURRENCY:"" &amp; E2105 &amp; ""USD""))
"),86677.5930751)</f>
        <v>86677.593075099998</v>
      </c>
    </row>
    <row r="2106" spans="1:7" ht="15.75" customHeight="1" x14ac:dyDescent="0.25">
      <c r="A2106" s="11" t="s">
        <v>6962</v>
      </c>
      <c r="B2106" s="12">
        <v>2400000</v>
      </c>
      <c r="C2106" s="12">
        <v>978908</v>
      </c>
      <c r="D2106" s="12">
        <v>2006</v>
      </c>
      <c r="E2106" s="12" t="str">
        <f>VLOOKUP(A2106, Currency!$A$2:$B$100, 2, FALSE)</f>
        <v>PLN</v>
      </c>
      <c r="F2106" s="12">
        <f ca="1">IFERROR(__xludf.DUMMYFUNCTION("IF(E2106=""USD"",B2106,B2106 * GOOGLEFINANCE(""CURRENCY:"" &amp; E2106 &amp; ""USD""))
"),607187.999999999)</f>
        <v>607187.99999999895</v>
      </c>
      <c r="G2106" s="13">
        <f ca="1">IFERROR(__xludf.DUMMYFUNCTION("IF(E2106=""USD"",C2106,C2106 * GOOGLEFINANCE(""CURRENCY:"" &amp; E2106 &amp; ""USD""))
"),247658.829459999)</f>
        <v>247658.82945999899</v>
      </c>
    </row>
    <row r="2107" spans="1:7" ht="15.75" customHeight="1" x14ac:dyDescent="0.25">
      <c r="A2107" s="14" t="s">
        <v>133</v>
      </c>
      <c r="B2107" s="15">
        <v>10000000</v>
      </c>
      <c r="C2107" s="15">
        <v>449558</v>
      </c>
      <c r="D2107" s="15">
        <v>2009</v>
      </c>
      <c r="E2107" s="15" t="str">
        <f>VLOOKUP(A2107, Currency!$A$2:$B$100, 2, FALSE)</f>
        <v>GBP</v>
      </c>
      <c r="F2107" s="15">
        <f ca="1">IFERROR(__xludf.DUMMYFUNCTION("IF(E2107=""USD"",B2107,B2107 * GOOGLEFINANCE(""CURRENCY:"" &amp; E2107 &amp; ""USD""))
"),12853999.9999999)</f>
        <v>12853999.999999899</v>
      </c>
      <c r="G2107" s="16">
        <f ca="1">IFERROR(__xludf.DUMMYFUNCTION("IF(E2107=""USD"",C2107,C2107 * GOOGLEFINANCE(""CURRENCY:"" &amp; E2107 &amp; ""USD""))
"),577861.853199999)</f>
        <v>577861.85319999896</v>
      </c>
    </row>
    <row r="2108" spans="1:7" ht="15.75" customHeight="1" x14ac:dyDescent="0.25">
      <c r="A2108" s="11" t="s">
        <v>611</v>
      </c>
      <c r="B2108" s="12">
        <v>45000000</v>
      </c>
      <c r="C2108" s="12">
        <v>24520892</v>
      </c>
      <c r="D2108" s="12">
        <v>2005</v>
      </c>
      <c r="E2108" s="12" t="str">
        <f>VLOOKUP(A2108, Currency!$A$2:$B$100, 2, FALSE)</f>
        <v>EUR</v>
      </c>
      <c r="F2108" s="12">
        <f ca="1">IFERROR(__xludf.DUMMYFUNCTION("IF(E2108=""USD"",B2108,B2108 * GOOGLEFINANCE(""CURRENCY:"" &amp; E2108 &amp; ""USD""))
"),48813300)</f>
        <v>48813300</v>
      </c>
      <c r="G2108" s="13">
        <f ca="1">IFERROR(__xludf.DUMMYFUNCTION("IF(E2108=""USD"",C2108,C2108 * GOOGLEFINANCE(""CURRENCY:"" &amp; E2108 &amp; ""USD""))
"),26598792.38808)</f>
        <v>26598792.388080001</v>
      </c>
    </row>
    <row r="2109" spans="1:7" ht="15.75" customHeight="1" x14ac:dyDescent="0.25">
      <c r="A2109" s="14" t="s">
        <v>24</v>
      </c>
      <c r="B2109" s="15">
        <v>225000000</v>
      </c>
      <c r="C2109" s="15">
        <v>258355354</v>
      </c>
      <c r="D2109" s="15">
        <v>2013</v>
      </c>
      <c r="E2109" s="15" t="str">
        <f>VLOOKUP(A2109, Currency!$A$2:$B$100, 2, FALSE)</f>
        <v>USD</v>
      </c>
      <c r="F2109" s="15">
        <f ca="1">IFERROR(__xludf.DUMMYFUNCTION("IF(E2109=""USD"",B2109,B2109 * GOOGLEFINANCE(""CURRENCY:"" &amp; E2109 &amp; ""USD""))
"),225000000)</f>
        <v>225000000</v>
      </c>
      <c r="G2109" s="16">
        <f ca="1">IFERROR(__xludf.DUMMYFUNCTION("IF(E2109=""USD"",C2109,C2109 * GOOGLEFINANCE(""CURRENCY:"" &amp; E2109 &amp; ""USD""))
"),258355354)</f>
        <v>258355354</v>
      </c>
    </row>
    <row r="2110" spans="1:7" ht="15.75" customHeight="1" x14ac:dyDescent="0.25">
      <c r="A2110" s="11" t="s">
        <v>24</v>
      </c>
      <c r="B2110" s="12">
        <v>6000000</v>
      </c>
      <c r="C2110" s="12">
        <v>2122561</v>
      </c>
      <c r="D2110" s="12">
        <v>1995</v>
      </c>
      <c r="E2110" s="12" t="str">
        <f>VLOOKUP(A2110, Currency!$A$2:$B$100, 2, FALSE)</f>
        <v>USD</v>
      </c>
      <c r="F2110" s="12">
        <f ca="1">IFERROR(__xludf.DUMMYFUNCTION("IF(E2110=""USD"",B2110,B2110 * GOOGLEFINANCE(""CURRENCY:"" &amp; E2110 &amp; ""USD""))
"),6000000)</f>
        <v>6000000</v>
      </c>
      <c r="G2110" s="13">
        <f ca="1">IFERROR(__xludf.DUMMYFUNCTION("IF(E2110=""USD"",C2110,C2110 * GOOGLEFINANCE(""CURRENCY:"" &amp; E2110 &amp; ""USD""))
"),2122561)</f>
        <v>2122561</v>
      </c>
    </row>
    <row r="2111" spans="1:7" ht="15.75" customHeight="1" x14ac:dyDescent="0.25">
      <c r="A2111" s="14" t="s">
        <v>133</v>
      </c>
      <c r="B2111" s="15">
        <v>2500000</v>
      </c>
      <c r="C2111" s="15">
        <v>92191</v>
      </c>
      <c r="D2111" s="15">
        <v>2001</v>
      </c>
      <c r="E2111" s="15" t="str">
        <f>VLOOKUP(A2111, Currency!$A$2:$B$100, 2, FALSE)</f>
        <v>GBP</v>
      </c>
      <c r="F2111" s="15">
        <f ca="1">IFERROR(__xludf.DUMMYFUNCTION("IF(E2111=""USD"",B2111,B2111 * GOOGLEFINANCE(""CURRENCY:"" &amp; E2111 &amp; ""USD""))
"),3213499.99999999)</f>
        <v>3213499.9999999902</v>
      </c>
      <c r="G2111" s="16">
        <f ca="1">IFERROR(__xludf.DUMMYFUNCTION("IF(E2111=""USD"",C2111,C2111 * GOOGLEFINANCE(""CURRENCY:"" &amp; E2111 &amp; ""USD""))
"),118502.311399999)</f>
        <v>118502.311399999</v>
      </c>
    </row>
    <row r="2112" spans="1:7" ht="15.75" customHeight="1" x14ac:dyDescent="0.25">
      <c r="A2112" s="11" t="s">
        <v>24</v>
      </c>
      <c r="B2112" s="12">
        <v>12000000</v>
      </c>
      <c r="C2112" s="12">
        <v>4922166</v>
      </c>
      <c r="D2112" s="12">
        <v>2003</v>
      </c>
      <c r="E2112" s="12" t="str">
        <f>VLOOKUP(A2112, Currency!$A$2:$B$100, 2, FALSE)</f>
        <v>USD</v>
      </c>
      <c r="F2112" s="12">
        <f ca="1">IFERROR(__xludf.DUMMYFUNCTION("IF(E2112=""USD"",B2112,B2112 * GOOGLEFINANCE(""CURRENCY:"" &amp; E2112 &amp; ""USD""))
"),12000000)</f>
        <v>12000000</v>
      </c>
      <c r="G2112" s="13">
        <f ca="1">IFERROR(__xludf.DUMMYFUNCTION("IF(E2112=""USD"",C2112,C2112 * GOOGLEFINANCE(""CURRENCY:"" &amp; E2112 &amp; ""USD""))
"),4922166)</f>
        <v>4922166</v>
      </c>
    </row>
    <row r="2113" spans="1:7" ht="15.75" customHeight="1" x14ac:dyDescent="0.25">
      <c r="A2113" s="14" t="s">
        <v>24</v>
      </c>
      <c r="B2113" s="15">
        <v>1000000</v>
      </c>
      <c r="C2113" s="15">
        <v>1950218</v>
      </c>
      <c r="D2113" s="15">
        <v>1997</v>
      </c>
      <c r="E2113" s="15" t="str">
        <f>VLOOKUP(A2113, Currency!$A$2:$B$100, 2, FALSE)</f>
        <v>USD</v>
      </c>
      <c r="F2113" s="15">
        <f ca="1">IFERROR(__xludf.DUMMYFUNCTION("IF(E2113=""USD"",B2113,B2113 * GOOGLEFINANCE(""CURRENCY:"" &amp; E2113 &amp; ""USD""))
"),1000000)</f>
        <v>1000000</v>
      </c>
      <c r="G2113" s="16">
        <f ca="1">IFERROR(__xludf.DUMMYFUNCTION("IF(E2113=""USD"",C2113,C2113 * GOOGLEFINANCE(""CURRENCY:"" &amp; E2113 &amp; ""USD""))
"),1950218)</f>
        <v>1950218</v>
      </c>
    </row>
    <row r="2114" spans="1:7" ht="15.75" customHeight="1" x14ac:dyDescent="0.25">
      <c r="A2114" s="11" t="s">
        <v>611</v>
      </c>
      <c r="B2114" s="12">
        <v>70000000</v>
      </c>
      <c r="C2114" s="12">
        <v>47379090</v>
      </c>
      <c r="D2114" s="12">
        <v>2005</v>
      </c>
      <c r="E2114" s="12" t="str">
        <f>VLOOKUP(A2114, Currency!$A$2:$B$100, 2, FALSE)</f>
        <v>EUR</v>
      </c>
      <c r="F2114" s="12">
        <f ca="1">IFERROR(__xludf.DUMMYFUNCTION("IF(E2114=""USD"",B2114,B2114 * GOOGLEFINANCE(""CURRENCY:"" &amp; E2114 &amp; ""USD""))
"),75931800)</f>
        <v>75931800</v>
      </c>
      <c r="G2114" s="13">
        <f ca="1">IFERROR(__xludf.DUMMYFUNCTION("IF(E2114=""USD"",C2114,C2114 * GOOGLEFINANCE(""CURRENCY:"" &amp; E2114 &amp; ""USD""))
"),51393994.0866)</f>
        <v>51393994.086599998</v>
      </c>
    </row>
    <row r="2115" spans="1:7" ht="15.75" customHeight="1" x14ac:dyDescent="0.25">
      <c r="A2115" s="14" t="s">
        <v>24</v>
      </c>
      <c r="B2115" s="15">
        <v>15500000</v>
      </c>
      <c r="C2115" s="15">
        <v>317040</v>
      </c>
      <c r="D2115" s="15">
        <v>2008</v>
      </c>
      <c r="E2115" s="15" t="str">
        <f>VLOOKUP(A2115, Currency!$A$2:$B$100, 2, FALSE)</f>
        <v>USD</v>
      </c>
      <c r="F2115" s="15">
        <f ca="1">IFERROR(__xludf.DUMMYFUNCTION("IF(E2115=""USD"",B2115,B2115 * GOOGLEFINANCE(""CURRENCY:"" &amp; E2115 &amp; ""USD""))
"),15500000)</f>
        <v>15500000</v>
      </c>
      <c r="G2115" s="16">
        <f ca="1">IFERROR(__xludf.DUMMYFUNCTION("IF(E2115=""USD"",C2115,C2115 * GOOGLEFINANCE(""CURRENCY:"" &amp; E2115 &amp; ""USD""))
"),317040)</f>
        <v>317040</v>
      </c>
    </row>
    <row r="2116" spans="1:7" ht="15.75" customHeight="1" x14ac:dyDescent="0.25">
      <c r="A2116" s="11" t="s">
        <v>24</v>
      </c>
      <c r="B2116" s="12">
        <v>200000000</v>
      </c>
      <c r="C2116" s="12">
        <v>116593191</v>
      </c>
      <c r="D2116" s="12">
        <v>2011</v>
      </c>
      <c r="E2116" s="12" t="str">
        <f>VLOOKUP(A2116, Currency!$A$2:$B$100, 2, FALSE)</f>
        <v>USD</v>
      </c>
      <c r="F2116" s="12">
        <f ca="1">IFERROR(__xludf.DUMMYFUNCTION("IF(E2116=""USD"",B2116,B2116 * GOOGLEFINANCE(""CURRENCY:"" &amp; E2116 &amp; ""USD""))
"),200000000)</f>
        <v>200000000</v>
      </c>
      <c r="G2116" s="13">
        <f ca="1">IFERROR(__xludf.DUMMYFUNCTION("IF(E2116=""USD"",C2116,C2116 * GOOGLEFINANCE(""CURRENCY:"" &amp; E2116 &amp; ""USD""))
"),116593191)</f>
        <v>116593191</v>
      </c>
    </row>
    <row r="2117" spans="1:7" ht="15.75" customHeight="1" x14ac:dyDescent="0.25">
      <c r="A2117" s="14" t="s">
        <v>24</v>
      </c>
      <c r="B2117" s="15">
        <v>12000000</v>
      </c>
      <c r="C2117" s="15">
        <v>22905674</v>
      </c>
      <c r="D2117" s="15">
        <v>1998</v>
      </c>
      <c r="E2117" s="15" t="str">
        <f>VLOOKUP(A2117, Currency!$A$2:$B$100, 2, FALSE)</f>
        <v>USD</v>
      </c>
      <c r="F2117" s="15">
        <f ca="1">IFERROR(__xludf.DUMMYFUNCTION("IF(E2117=""USD"",B2117,B2117 * GOOGLEFINANCE(""CURRENCY:"" &amp; E2117 &amp; ""USD""))
"),12000000)</f>
        <v>12000000</v>
      </c>
      <c r="G2117" s="16">
        <f ca="1">IFERROR(__xludf.DUMMYFUNCTION("IF(E2117=""USD"",C2117,C2117 * GOOGLEFINANCE(""CURRENCY:"" &amp; E2117 &amp; ""USD""))
"),22905674)</f>
        <v>22905674</v>
      </c>
    </row>
    <row r="2118" spans="1:7" ht="15.75" customHeight="1" x14ac:dyDescent="0.25">
      <c r="A2118" s="11" t="s">
        <v>24</v>
      </c>
      <c r="B2118" s="12">
        <v>65000000</v>
      </c>
      <c r="C2118" s="12">
        <v>33048353</v>
      </c>
      <c r="D2118" s="12">
        <v>2007</v>
      </c>
      <c r="E2118" s="12" t="str">
        <f>VLOOKUP(A2118, Currency!$A$2:$B$100, 2, FALSE)</f>
        <v>USD</v>
      </c>
      <c r="F2118" s="12">
        <f ca="1">IFERROR(__xludf.DUMMYFUNCTION("IF(E2118=""USD"",B2118,B2118 * GOOGLEFINANCE(""CURRENCY:"" &amp; E2118 &amp; ""USD""))
"),65000000)</f>
        <v>65000000</v>
      </c>
      <c r="G2118" s="13">
        <f ca="1">IFERROR(__xludf.DUMMYFUNCTION("IF(E2118=""USD"",C2118,C2118 * GOOGLEFINANCE(""CURRENCY:"" &amp; E2118 &amp; ""USD""))
"),33048353)</f>
        <v>33048353</v>
      </c>
    </row>
    <row r="2119" spans="1:7" ht="15.75" customHeight="1" x14ac:dyDescent="0.25">
      <c r="A2119" s="14" t="s">
        <v>24</v>
      </c>
      <c r="B2119" s="15">
        <v>11000000</v>
      </c>
      <c r="C2119" s="15">
        <v>2832826</v>
      </c>
      <c r="D2119" s="15">
        <v>1995</v>
      </c>
      <c r="E2119" s="15" t="str">
        <f>VLOOKUP(A2119, Currency!$A$2:$B$100, 2, FALSE)</f>
        <v>USD</v>
      </c>
      <c r="F2119" s="15">
        <f ca="1">IFERROR(__xludf.DUMMYFUNCTION("IF(E2119=""USD"",B2119,B2119 * GOOGLEFINANCE(""CURRENCY:"" &amp; E2119 &amp; ""USD""))
"),11000000)</f>
        <v>11000000</v>
      </c>
      <c r="G2119" s="16">
        <f ca="1">IFERROR(__xludf.DUMMYFUNCTION("IF(E2119=""USD"",C2119,C2119 * GOOGLEFINANCE(""CURRENCY:"" &amp; E2119 &amp; ""USD""))
"),2832826)</f>
        <v>2832826</v>
      </c>
    </row>
    <row r="2120" spans="1:7" ht="15.75" customHeight="1" x14ac:dyDescent="0.25">
      <c r="A2120" s="11" t="s">
        <v>24</v>
      </c>
      <c r="B2120" s="12">
        <v>68000000</v>
      </c>
      <c r="C2120" s="12">
        <v>85707116</v>
      </c>
      <c r="D2120" s="12">
        <v>2014</v>
      </c>
      <c r="E2120" s="12" t="str">
        <f>VLOOKUP(A2120, Currency!$A$2:$B$100, 2, FALSE)</f>
        <v>USD</v>
      </c>
      <c r="F2120" s="12">
        <f ca="1">IFERROR(__xludf.DUMMYFUNCTION("IF(E2120=""USD"",B2120,B2120 * GOOGLEFINANCE(""CURRENCY:"" &amp; E2120 &amp; ""USD""))
"),68000000)</f>
        <v>68000000</v>
      </c>
      <c r="G2120" s="13">
        <f ca="1">IFERROR(__xludf.DUMMYFUNCTION("IF(E2120=""USD"",C2120,C2120 * GOOGLEFINANCE(""CURRENCY:"" &amp; E2120 &amp; ""USD""))
"),85707116)</f>
        <v>85707116</v>
      </c>
    </row>
    <row r="2121" spans="1:7" ht="15.75" customHeight="1" x14ac:dyDescent="0.25">
      <c r="A2121" s="14" t="s">
        <v>24</v>
      </c>
      <c r="B2121" s="15">
        <v>30000000</v>
      </c>
      <c r="C2121" s="15">
        <v>11576087</v>
      </c>
      <c r="D2121" s="15">
        <v>1999</v>
      </c>
      <c r="E2121" s="15" t="str">
        <f>VLOOKUP(A2121, Currency!$A$2:$B$100, 2, FALSE)</f>
        <v>USD</v>
      </c>
      <c r="F2121" s="15">
        <f ca="1">IFERROR(__xludf.DUMMYFUNCTION("IF(E2121=""USD"",B2121,B2121 * GOOGLEFINANCE(""CURRENCY:"" &amp; E2121 &amp; ""USD""))
"),30000000)</f>
        <v>30000000</v>
      </c>
      <c r="G2121" s="16">
        <f ca="1">IFERROR(__xludf.DUMMYFUNCTION("IF(E2121=""USD"",C2121,C2121 * GOOGLEFINANCE(""CURRENCY:"" &amp; E2121 &amp; ""USD""))
"),11576087)</f>
        <v>11576087</v>
      </c>
    </row>
    <row r="2122" spans="1:7" ht="15.75" customHeight="1" x14ac:dyDescent="0.25">
      <c r="A2122" s="11" t="s">
        <v>24</v>
      </c>
      <c r="B2122" s="12">
        <v>35000000</v>
      </c>
      <c r="C2122" s="12">
        <v>30691439</v>
      </c>
      <c r="D2122" s="12">
        <v>2008</v>
      </c>
      <c r="E2122" s="12" t="str">
        <f>VLOOKUP(A2122, Currency!$A$2:$B$100, 2, FALSE)</f>
        <v>USD</v>
      </c>
      <c r="F2122" s="12">
        <f ca="1">IFERROR(__xludf.DUMMYFUNCTION("IF(E2122=""USD"",B2122,B2122 * GOOGLEFINANCE(""CURRENCY:"" &amp; E2122 &amp; ""USD""))
"),35000000)</f>
        <v>35000000</v>
      </c>
      <c r="G2122" s="13">
        <f ca="1">IFERROR(__xludf.DUMMYFUNCTION("IF(E2122=""USD"",C2122,C2122 * GOOGLEFINANCE(""CURRENCY:"" &amp; E2122 &amp; ""USD""))
"),30691439)</f>
        <v>30691439</v>
      </c>
    </row>
    <row r="2123" spans="1:7" ht="15.75" customHeight="1" x14ac:dyDescent="0.25">
      <c r="A2123" s="14" t="s">
        <v>611</v>
      </c>
      <c r="B2123" s="15">
        <v>35000000</v>
      </c>
      <c r="C2123" s="15">
        <v>6592103</v>
      </c>
      <c r="D2123" s="15">
        <v>2002</v>
      </c>
      <c r="E2123" s="15" t="str">
        <f>VLOOKUP(A2123, Currency!$A$2:$B$100, 2, FALSE)</f>
        <v>EUR</v>
      </c>
      <c r="F2123" s="15">
        <f ca="1">IFERROR(__xludf.DUMMYFUNCTION("IF(E2123=""USD"",B2123,B2123 * GOOGLEFINANCE(""CURRENCY:"" &amp; E2123 &amp; ""USD""))
"),37965900)</f>
        <v>37965900</v>
      </c>
      <c r="G2123" s="16">
        <f ca="1">IFERROR(__xludf.DUMMYFUNCTION("IF(E2123=""USD"",C2123,C2123 * GOOGLEFINANCE(""CURRENCY:"" &amp; E2123 &amp; ""USD""))
"),7150717.80822)</f>
        <v>7150717.80822</v>
      </c>
    </row>
    <row r="2124" spans="1:7" ht="15.75" customHeight="1" x14ac:dyDescent="0.25">
      <c r="A2124" s="11" t="s">
        <v>24</v>
      </c>
      <c r="B2124" s="12">
        <v>35000000</v>
      </c>
      <c r="C2124" s="12">
        <v>64604977</v>
      </c>
      <c r="D2124" s="12">
        <v>1997</v>
      </c>
      <c r="E2124" s="12" t="str">
        <f>VLOOKUP(A2124, Currency!$A$2:$B$100, 2, FALSE)</f>
        <v>USD</v>
      </c>
      <c r="F2124" s="12">
        <f ca="1">IFERROR(__xludf.DUMMYFUNCTION("IF(E2124=""USD"",B2124,B2124 * GOOGLEFINANCE(""CURRENCY:"" &amp; E2124 &amp; ""USD""))
"),35000000)</f>
        <v>35000000</v>
      </c>
      <c r="G2124" s="13">
        <f ca="1">IFERROR(__xludf.DUMMYFUNCTION("IF(E2124=""USD"",C2124,C2124 * GOOGLEFINANCE(""CURRENCY:"" &amp; E2124 &amp; ""USD""))
"),64604977)</f>
        <v>64604977</v>
      </c>
    </row>
    <row r="2125" spans="1:7" ht="15.75" customHeight="1" x14ac:dyDescent="0.25">
      <c r="A2125" s="14" t="s">
        <v>24</v>
      </c>
      <c r="B2125" s="15">
        <v>112000000</v>
      </c>
      <c r="C2125" s="15">
        <v>42776259</v>
      </c>
      <c r="D2125" s="15">
        <v>2010</v>
      </c>
      <c r="E2125" s="15" t="str">
        <f>VLOOKUP(A2125, Currency!$A$2:$B$100, 2, FALSE)</f>
        <v>USD</v>
      </c>
      <c r="F2125" s="15">
        <f ca="1">IFERROR(__xludf.DUMMYFUNCTION("IF(E2125=""USD"",B2125,B2125 * GOOGLEFINANCE(""CURRENCY:"" &amp; E2125 &amp; ""USD""))
"),112000000)</f>
        <v>112000000</v>
      </c>
      <c r="G2125" s="16">
        <f ca="1">IFERROR(__xludf.DUMMYFUNCTION("IF(E2125=""USD"",C2125,C2125 * GOOGLEFINANCE(""CURRENCY:"" &amp; E2125 &amp; ""USD""))
"),42776259)</f>
        <v>42776259</v>
      </c>
    </row>
    <row r="2126" spans="1:7" ht="15.75" customHeight="1" x14ac:dyDescent="0.25">
      <c r="A2126" s="11" t="s">
        <v>24</v>
      </c>
      <c r="B2126" s="12">
        <v>12000000</v>
      </c>
      <c r="C2126" s="12">
        <v>54724272</v>
      </c>
      <c r="D2126" s="12">
        <v>2012</v>
      </c>
      <c r="E2126" s="12" t="str">
        <f>VLOOKUP(A2126, Currency!$A$2:$B$100, 2, FALSE)</f>
        <v>USD</v>
      </c>
      <c r="F2126" s="12">
        <f ca="1">IFERROR(__xludf.DUMMYFUNCTION("IF(E2126=""USD"",B2126,B2126 * GOOGLEFINANCE(""CURRENCY:"" &amp; E2126 &amp; ""USD""))
"),12000000)</f>
        <v>12000000</v>
      </c>
      <c r="G2126" s="13">
        <f ca="1">IFERROR(__xludf.DUMMYFUNCTION("IF(E2126=""USD"",C2126,C2126 * GOOGLEFINANCE(""CURRENCY:"" &amp; E2126 &amp; ""USD""))
"),54724272)</f>
        <v>54724272</v>
      </c>
    </row>
    <row r="2127" spans="1:7" ht="15.75" customHeight="1" x14ac:dyDescent="0.25">
      <c r="A2127" s="14" t="s">
        <v>133</v>
      </c>
      <c r="B2127" s="15">
        <v>29000000</v>
      </c>
      <c r="C2127" s="15">
        <v>22359293</v>
      </c>
      <c r="D2127" s="15">
        <v>1997</v>
      </c>
      <c r="E2127" s="15" t="str">
        <f>VLOOKUP(A2127, Currency!$A$2:$B$100, 2, FALSE)</f>
        <v>GBP</v>
      </c>
      <c r="F2127" s="15">
        <f ca="1">IFERROR(__xludf.DUMMYFUNCTION("IF(E2127=""USD"",B2127,B2127 * GOOGLEFINANCE(""CURRENCY:"" &amp; E2127 &amp; ""USD""))
"),37276600)</f>
        <v>37276600</v>
      </c>
      <c r="G2127" s="16">
        <f ca="1">IFERROR(__xludf.DUMMYFUNCTION("IF(E2127=""USD"",C2127,C2127 * GOOGLEFINANCE(""CURRENCY:"" &amp; E2127 &amp; ""USD""))
"),28740635.2222)</f>
        <v>28740635.222199999</v>
      </c>
    </row>
    <row r="2128" spans="1:7" ht="15.75" customHeight="1" x14ac:dyDescent="0.25">
      <c r="A2128" s="11" t="s">
        <v>24</v>
      </c>
      <c r="B2128" s="12">
        <v>90000000</v>
      </c>
      <c r="C2128" s="12">
        <v>100012500</v>
      </c>
      <c r="D2128" s="12">
        <v>1995</v>
      </c>
      <c r="E2128" s="12" t="str">
        <f>VLOOKUP(A2128, Currency!$A$2:$B$100, 2, FALSE)</f>
        <v>USD</v>
      </c>
      <c r="F2128" s="12">
        <f ca="1">IFERROR(__xludf.DUMMYFUNCTION("IF(E2128=""USD"",B2128,B2128 * GOOGLEFINANCE(""CURRENCY:"" &amp; E2128 &amp; ""USD""))
"),90000000)</f>
        <v>90000000</v>
      </c>
      <c r="G2128" s="13">
        <f ca="1">IFERROR(__xludf.DUMMYFUNCTION("IF(E2128=""USD"",C2128,C2128 * GOOGLEFINANCE(""CURRENCY:"" &amp; E2128 &amp; ""USD""))
"),100012500)</f>
        <v>100012500</v>
      </c>
    </row>
    <row r="2129" spans="1:7" ht="15.75" customHeight="1" x14ac:dyDescent="0.25">
      <c r="A2129" s="14" t="s">
        <v>24</v>
      </c>
      <c r="B2129" s="15">
        <v>11000000</v>
      </c>
      <c r="C2129" s="15">
        <v>2807854</v>
      </c>
      <c r="D2129" s="15">
        <v>1991</v>
      </c>
      <c r="E2129" s="15" t="str">
        <f>VLOOKUP(A2129, Currency!$A$2:$B$100, 2, FALSE)</f>
        <v>USD</v>
      </c>
      <c r="F2129" s="15">
        <f ca="1">IFERROR(__xludf.DUMMYFUNCTION("IF(E2129=""USD"",B2129,B2129 * GOOGLEFINANCE(""CURRENCY:"" &amp; E2129 &amp; ""USD""))
"),11000000)</f>
        <v>11000000</v>
      </c>
      <c r="G2129" s="16">
        <f ca="1">IFERROR(__xludf.DUMMYFUNCTION("IF(E2129=""USD"",C2129,C2129 * GOOGLEFINANCE(""CURRENCY:"" &amp; E2129 &amp; ""USD""))
"),2807854)</f>
        <v>2807854</v>
      </c>
    </row>
    <row r="2130" spans="1:7" ht="15.75" customHeight="1" x14ac:dyDescent="0.25">
      <c r="A2130" s="11" t="s">
        <v>611</v>
      </c>
      <c r="B2130" s="12">
        <v>25000000</v>
      </c>
      <c r="C2130" s="12">
        <v>183662</v>
      </c>
      <c r="D2130" s="12">
        <v>2010</v>
      </c>
      <c r="E2130" s="12" t="str">
        <f>VLOOKUP(A2130, Currency!$A$2:$B$100, 2, FALSE)</f>
        <v>EUR</v>
      </c>
      <c r="F2130" s="12">
        <f ca="1">IFERROR(__xludf.DUMMYFUNCTION("IF(E2130=""USD"",B2130,B2130 * GOOGLEFINANCE(""CURRENCY:"" &amp; E2130 &amp; ""USD""))
"),27118500)</f>
        <v>27118500</v>
      </c>
      <c r="G2130" s="13">
        <f ca="1">IFERROR(__xludf.DUMMYFUNCTION("IF(E2130=""USD"",C2130,C2130 * GOOGLEFINANCE(""CURRENCY:"" &amp; E2130 &amp; ""USD""))
"),199225.51788)</f>
        <v>199225.51788</v>
      </c>
    </row>
    <row r="2131" spans="1:7" ht="15.75" customHeight="1" x14ac:dyDescent="0.25">
      <c r="A2131" s="14" t="s">
        <v>24</v>
      </c>
      <c r="B2131" s="15">
        <v>9000000</v>
      </c>
      <c r="C2131" s="15">
        <v>8579684</v>
      </c>
      <c r="D2131" s="15">
        <v>2007</v>
      </c>
      <c r="E2131" s="15" t="str">
        <f>VLOOKUP(A2131, Currency!$A$2:$B$100, 2, FALSE)</f>
        <v>USD</v>
      </c>
      <c r="F2131" s="15">
        <f ca="1">IFERROR(__xludf.DUMMYFUNCTION("IF(E2131=""USD"",B2131,B2131 * GOOGLEFINANCE(""CURRENCY:"" &amp; E2131 &amp; ""USD""))
"),9000000)</f>
        <v>9000000</v>
      </c>
      <c r="G2131" s="16">
        <f ca="1">IFERROR(__xludf.DUMMYFUNCTION("IF(E2131=""USD"",C2131,C2131 * GOOGLEFINANCE(""CURRENCY:"" &amp; E2131 &amp; ""USD""))
"),8579684)</f>
        <v>8579684</v>
      </c>
    </row>
    <row r="2132" spans="1:7" ht="15.75" customHeight="1" x14ac:dyDescent="0.25">
      <c r="A2132" s="11" t="s">
        <v>627</v>
      </c>
      <c r="B2132" s="12">
        <v>31000000</v>
      </c>
      <c r="C2132" s="12">
        <v>2840417</v>
      </c>
      <c r="D2132" s="12">
        <v>1999</v>
      </c>
      <c r="E2132" s="12" t="str">
        <f>VLOOKUP(A2132, Currency!$A$2:$B$100, 2, FALSE)</f>
        <v>CAD</v>
      </c>
      <c r="F2132" s="12">
        <f ca="1">IFERROR(__xludf.DUMMYFUNCTION("IF(E2132=""USD"",B2132,B2132 * GOOGLEFINANCE(""CURRENCY:"" &amp; E2132 &amp; ""USD""))
"),22425555)</f>
        <v>22425555</v>
      </c>
      <c r="G2132" s="13">
        <f ca="1">IFERROR(__xludf.DUMMYFUNCTION("IF(E2132=""USD"",C2132,C2132 * GOOGLEFINANCE(""CURRENCY:"" &amp; E2132 &amp; ""USD""))
"),2054771.859885)</f>
        <v>2054771.8598849999</v>
      </c>
    </row>
    <row r="2133" spans="1:7" ht="15.75" customHeight="1" x14ac:dyDescent="0.25">
      <c r="A2133" s="14" t="s">
        <v>24</v>
      </c>
      <c r="B2133" s="15">
        <v>150000000</v>
      </c>
      <c r="C2133" s="15">
        <v>134518390</v>
      </c>
      <c r="D2133" s="15">
        <v>2008</v>
      </c>
      <c r="E2133" s="15" t="str">
        <f>VLOOKUP(A2133, Currency!$A$2:$B$100, 2, FALSE)</f>
        <v>USD</v>
      </c>
      <c r="F2133" s="15">
        <f ca="1">IFERROR(__xludf.DUMMYFUNCTION("IF(E2133=""USD"",B2133,B2133 * GOOGLEFINANCE(""CURRENCY:"" &amp; E2133 &amp; ""USD""))
"),150000000)</f>
        <v>150000000</v>
      </c>
      <c r="G2133" s="16">
        <f ca="1">IFERROR(__xludf.DUMMYFUNCTION("IF(E2133=""USD"",C2133,C2133 * GOOGLEFINANCE(""CURRENCY:"" &amp; E2133 &amp; ""USD""))
"),134518390)</f>
        <v>134518390</v>
      </c>
    </row>
    <row r="2134" spans="1:7" ht="15.75" customHeight="1" x14ac:dyDescent="0.25">
      <c r="A2134" s="11" t="s">
        <v>24</v>
      </c>
      <c r="B2134" s="12">
        <v>190000000</v>
      </c>
      <c r="C2134" s="12">
        <v>350034110</v>
      </c>
      <c r="D2134" s="12">
        <v>2015</v>
      </c>
      <c r="E2134" s="12" t="str">
        <f>VLOOKUP(A2134, Currency!$A$2:$B$100, 2, FALSE)</f>
        <v>USD</v>
      </c>
      <c r="F2134" s="12">
        <f ca="1">IFERROR(__xludf.DUMMYFUNCTION("IF(E2134=""USD"",B2134,B2134 * GOOGLEFINANCE(""CURRENCY:"" &amp; E2134 &amp; ""USD""))
"),190000000)</f>
        <v>190000000</v>
      </c>
      <c r="G2134" s="13">
        <f ca="1">IFERROR(__xludf.DUMMYFUNCTION("IF(E2134=""USD"",C2134,C2134 * GOOGLEFINANCE(""CURRENCY:"" &amp; E2134 &amp; ""USD""))
"),350034110)</f>
        <v>350034110</v>
      </c>
    </row>
    <row r="2135" spans="1:7" ht="15.75" customHeight="1" x14ac:dyDescent="0.25">
      <c r="A2135" s="14" t="s">
        <v>24</v>
      </c>
      <c r="B2135" s="15">
        <v>170000000</v>
      </c>
      <c r="C2135" s="15">
        <v>155111815</v>
      </c>
      <c r="D2135" s="15">
        <v>2012</v>
      </c>
      <c r="E2135" s="15" t="str">
        <f>VLOOKUP(A2135, Currency!$A$2:$B$100, 2, FALSE)</f>
        <v>USD</v>
      </c>
      <c r="F2135" s="15">
        <f ca="1">IFERROR(__xludf.DUMMYFUNCTION("IF(E2135=""USD"",B2135,B2135 * GOOGLEFINANCE(""CURRENCY:"" &amp; E2135 &amp; ""USD""))
"),170000000)</f>
        <v>170000000</v>
      </c>
      <c r="G2135" s="16">
        <f ca="1">IFERROR(__xludf.DUMMYFUNCTION("IF(E2135=""USD"",C2135,C2135 * GOOGLEFINANCE(""CURRENCY:"" &amp; E2135 &amp; ""USD""))
"),155111815)</f>
        <v>155111815</v>
      </c>
    </row>
    <row r="2136" spans="1:7" ht="15.75" customHeight="1" x14ac:dyDescent="0.25">
      <c r="A2136" s="11" t="s">
        <v>24</v>
      </c>
      <c r="B2136" s="12">
        <v>150000</v>
      </c>
      <c r="C2136" s="12">
        <v>4914</v>
      </c>
      <c r="D2136" s="12">
        <v>2015</v>
      </c>
      <c r="E2136" s="12" t="str">
        <f>VLOOKUP(A2136, Currency!$A$2:$B$100, 2, FALSE)</f>
        <v>USD</v>
      </c>
      <c r="F2136" s="12">
        <f ca="1">IFERROR(__xludf.DUMMYFUNCTION("IF(E2136=""USD"",B2136,B2136 * GOOGLEFINANCE(""CURRENCY:"" &amp; E2136 &amp; ""USD""))
"),150000)</f>
        <v>150000</v>
      </c>
      <c r="G2136" s="13">
        <f ca="1">IFERROR(__xludf.DUMMYFUNCTION("IF(E2136=""USD"",C2136,C2136 * GOOGLEFINANCE(""CURRENCY:"" &amp; E2136 &amp; ""USD""))
"),4914)</f>
        <v>4914</v>
      </c>
    </row>
    <row r="2137" spans="1:7" ht="15.75" customHeight="1" x14ac:dyDescent="0.25">
      <c r="A2137" s="14" t="s">
        <v>24</v>
      </c>
      <c r="B2137" s="15">
        <v>63000000</v>
      </c>
      <c r="C2137" s="15">
        <v>171383253</v>
      </c>
      <c r="D2137" s="15">
        <v>1999</v>
      </c>
      <c r="E2137" s="15" t="str">
        <f>VLOOKUP(A2137, Currency!$A$2:$B$100, 2, FALSE)</f>
        <v>USD</v>
      </c>
      <c r="F2137" s="15">
        <f ca="1">IFERROR(__xludf.DUMMYFUNCTION("IF(E2137=""USD"",B2137,B2137 * GOOGLEFINANCE(""CURRENCY:"" &amp; E2137 &amp; ""USD""))
"),63000000)</f>
        <v>63000000</v>
      </c>
      <c r="G2137" s="16">
        <f ca="1">IFERROR(__xludf.DUMMYFUNCTION("IF(E2137=""USD"",C2137,C2137 * GOOGLEFINANCE(""CURRENCY:"" &amp; E2137 &amp; ""USD""))
"),171383253)</f>
        <v>171383253</v>
      </c>
    </row>
    <row r="2138" spans="1:7" ht="15.75" customHeight="1" x14ac:dyDescent="0.25">
      <c r="A2138" s="11" t="s">
        <v>133</v>
      </c>
      <c r="B2138" s="12">
        <v>7000000</v>
      </c>
      <c r="C2138" s="12">
        <v>23838</v>
      </c>
      <c r="D2138" s="12">
        <v>2013</v>
      </c>
      <c r="E2138" s="12" t="str">
        <f>VLOOKUP(A2138, Currency!$A$2:$B$100, 2, FALSE)</f>
        <v>GBP</v>
      </c>
      <c r="F2138" s="12">
        <f ca="1">IFERROR(__xludf.DUMMYFUNCTION("IF(E2138=""USD"",B2138,B2138 * GOOGLEFINANCE(""CURRENCY:"" &amp; E2138 &amp; ""USD""))
"),8997800)</f>
        <v>8997800</v>
      </c>
      <c r="G2138" s="13">
        <f ca="1">IFERROR(__xludf.DUMMYFUNCTION("IF(E2138=""USD"",C2138,C2138 * GOOGLEFINANCE(""CURRENCY:"" &amp; E2138 &amp; ""USD""))
"),30641.3651999999)</f>
        <v>30641.365199999898</v>
      </c>
    </row>
    <row r="2139" spans="1:7" ht="15.75" customHeight="1" x14ac:dyDescent="0.25">
      <c r="A2139" s="14" t="s">
        <v>24</v>
      </c>
      <c r="B2139" s="15">
        <v>13000000</v>
      </c>
      <c r="C2139" s="15">
        <v>3169424</v>
      </c>
      <c r="D2139" s="15">
        <v>2007</v>
      </c>
      <c r="E2139" s="15" t="str">
        <f>VLOOKUP(A2139, Currency!$A$2:$B$100, 2, FALSE)</f>
        <v>USD</v>
      </c>
      <c r="F2139" s="15">
        <f ca="1">IFERROR(__xludf.DUMMYFUNCTION("IF(E2139=""USD"",B2139,B2139 * GOOGLEFINANCE(""CURRENCY:"" &amp; E2139 &amp; ""USD""))
"),13000000)</f>
        <v>13000000</v>
      </c>
      <c r="G2139" s="16">
        <f ca="1">IFERROR(__xludf.DUMMYFUNCTION("IF(E2139=""USD"",C2139,C2139 * GOOGLEFINANCE(""CURRENCY:"" &amp; E2139 &amp; ""USD""))
"),3169424)</f>
        <v>3169424</v>
      </c>
    </row>
    <row r="2140" spans="1:7" ht="15.75" customHeight="1" x14ac:dyDescent="0.25">
      <c r="A2140" s="11" t="s">
        <v>24</v>
      </c>
      <c r="B2140" s="12">
        <v>1500000</v>
      </c>
      <c r="C2140" s="12">
        <v>53991137</v>
      </c>
      <c r="D2140" s="12">
        <v>2010</v>
      </c>
      <c r="E2140" s="12" t="str">
        <f>VLOOKUP(A2140, Currency!$A$2:$B$100, 2, FALSE)</f>
        <v>USD</v>
      </c>
      <c r="F2140" s="12">
        <f ca="1">IFERROR(__xludf.DUMMYFUNCTION("IF(E2140=""USD"",B2140,B2140 * GOOGLEFINANCE(""CURRENCY:"" &amp; E2140 &amp; ""USD""))
"),1500000)</f>
        <v>1500000</v>
      </c>
      <c r="G2140" s="13">
        <f ca="1">IFERROR(__xludf.DUMMYFUNCTION("IF(E2140=""USD"",C2140,C2140 * GOOGLEFINANCE(""CURRENCY:"" &amp; E2140 &amp; ""USD""))
"),53991137)</f>
        <v>53991137</v>
      </c>
    </row>
    <row r="2141" spans="1:7" ht="15.75" customHeight="1" x14ac:dyDescent="0.25">
      <c r="A2141" s="14" t="s">
        <v>149</v>
      </c>
      <c r="B2141" s="15">
        <v>8000000</v>
      </c>
      <c r="C2141" s="15">
        <v>6739141</v>
      </c>
      <c r="D2141" s="15">
        <v>1992</v>
      </c>
      <c r="E2141" s="15" t="str">
        <f>VLOOKUP(A2141, Currency!$A$2:$B$100, 2, FALSE)</f>
        <v>AUD</v>
      </c>
      <c r="F2141" s="15">
        <f ca="1">IFERROR(__xludf.DUMMYFUNCTION("IF(E2141=""USD"",B2141,B2141 * GOOGLEFINANCE(""CURRENCY:"" &amp; E2141 &amp; ""USD""))
"),5231040)</f>
        <v>5231040</v>
      </c>
      <c r="G2141" s="16">
        <f ca="1">IFERROR(__xludf.DUMMYFUNCTION("IF(E2141=""USD"",C2141,C2141 * GOOGLEFINANCE(""CURRENCY:"" &amp; E2141 &amp; ""USD""))
"),4406589.51708)</f>
        <v>4406589.5170799997</v>
      </c>
    </row>
    <row r="2142" spans="1:7" ht="15.75" customHeight="1" x14ac:dyDescent="0.25">
      <c r="A2142" s="11" t="s">
        <v>24</v>
      </c>
      <c r="B2142" s="12">
        <v>15000000</v>
      </c>
      <c r="C2142" s="12">
        <v>61400000</v>
      </c>
      <c r="D2142" s="12">
        <v>1983</v>
      </c>
      <c r="E2142" s="12" t="str">
        <f>VLOOKUP(A2142, Currency!$A$2:$B$100, 2, FALSE)</f>
        <v>USD</v>
      </c>
      <c r="F2142" s="12">
        <f ca="1">IFERROR(__xludf.DUMMYFUNCTION("IF(E2142=""USD"",B2142,B2142 * GOOGLEFINANCE(""CURRENCY:"" &amp; E2142 &amp; ""USD""))
"),15000000)</f>
        <v>15000000</v>
      </c>
      <c r="G2142" s="13">
        <f ca="1">IFERROR(__xludf.DUMMYFUNCTION("IF(E2142=""USD"",C2142,C2142 * GOOGLEFINANCE(""CURRENCY:"" &amp; E2142 &amp; ""USD""))
"),61400000)</f>
        <v>61400000</v>
      </c>
    </row>
    <row r="2143" spans="1:7" ht="15.75" customHeight="1" x14ac:dyDescent="0.25">
      <c r="A2143" s="14" t="s">
        <v>24</v>
      </c>
      <c r="B2143" s="15">
        <v>30000000</v>
      </c>
      <c r="C2143" s="15">
        <v>14208384</v>
      </c>
      <c r="D2143" s="15">
        <v>2003</v>
      </c>
      <c r="E2143" s="15" t="str">
        <f>VLOOKUP(A2143, Currency!$A$2:$B$100, 2, FALSE)</f>
        <v>USD</v>
      </c>
      <c r="F2143" s="15">
        <f ca="1">IFERROR(__xludf.DUMMYFUNCTION("IF(E2143=""USD"",B2143,B2143 * GOOGLEFINANCE(""CURRENCY:"" &amp; E2143 &amp; ""USD""))
"),30000000)</f>
        <v>30000000</v>
      </c>
      <c r="G2143" s="16">
        <f ca="1">IFERROR(__xludf.DUMMYFUNCTION("IF(E2143=""USD"",C2143,C2143 * GOOGLEFINANCE(""CURRENCY:"" &amp; E2143 &amp; ""USD""))
"),14208384)</f>
        <v>14208384</v>
      </c>
    </row>
    <row r="2144" spans="1:7" ht="15.75" customHeight="1" x14ac:dyDescent="0.25">
      <c r="A2144" s="11" t="s">
        <v>24</v>
      </c>
      <c r="B2144" s="12">
        <v>45000000</v>
      </c>
      <c r="C2144" s="12">
        <v>101702060</v>
      </c>
      <c r="D2144" s="12">
        <v>2008</v>
      </c>
      <c r="E2144" s="12" t="str">
        <f>VLOOKUP(A2144, Currency!$A$2:$B$100, 2, FALSE)</f>
        <v>USD</v>
      </c>
      <c r="F2144" s="12">
        <f ca="1">IFERROR(__xludf.DUMMYFUNCTION("IF(E2144=""USD"",B2144,B2144 * GOOGLEFINANCE(""CURRENCY:"" &amp; E2144 &amp; ""USD""))
"),45000000)</f>
        <v>45000000</v>
      </c>
      <c r="G2144" s="13">
        <f ca="1">IFERROR(__xludf.DUMMYFUNCTION("IF(E2144=""USD"",C2144,C2144 * GOOGLEFINANCE(""CURRENCY:"" &amp; E2144 &amp; ""USD""))
"),101702060)</f>
        <v>101702060</v>
      </c>
    </row>
    <row r="2145" spans="1:7" ht="15.75" customHeight="1" x14ac:dyDescent="0.25">
      <c r="A2145" s="14" t="s">
        <v>24</v>
      </c>
      <c r="B2145" s="15">
        <v>5000000</v>
      </c>
      <c r="C2145" s="15">
        <v>6755271</v>
      </c>
      <c r="D2145" s="15">
        <v>2001</v>
      </c>
      <c r="E2145" s="15" t="str">
        <f>VLOOKUP(A2145, Currency!$A$2:$B$100, 2, FALSE)</f>
        <v>USD</v>
      </c>
      <c r="F2145" s="15">
        <f ca="1">IFERROR(__xludf.DUMMYFUNCTION("IF(E2145=""USD"",B2145,B2145 * GOOGLEFINANCE(""CURRENCY:"" &amp; E2145 &amp; ""USD""))
"),5000000)</f>
        <v>5000000</v>
      </c>
      <c r="G2145" s="16">
        <f ca="1">IFERROR(__xludf.DUMMYFUNCTION("IF(E2145=""USD"",C2145,C2145 * GOOGLEFINANCE(""CURRENCY:"" &amp; E2145 &amp; ""USD""))
"),6755271)</f>
        <v>6755271</v>
      </c>
    </row>
    <row r="2146" spans="1:7" ht="15.75" customHeight="1" x14ac:dyDescent="0.25">
      <c r="A2146" s="11" t="s">
        <v>24</v>
      </c>
      <c r="B2146" s="12">
        <v>180000000</v>
      </c>
      <c r="C2146" s="12">
        <v>124051759</v>
      </c>
      <c r="D2146" s="12">
        <v>2016</v>
      </c>
      <c r="E2146" s="12" t="str">
        <f>VLOOKUP(A2146, Currency!$A$2:$B$100, 2, FALSE)</f>
        <v>USD</v>
      </c>
      <c r="F2146" s="12">
        <f ca="1">IFERROR(__xludf.DUMMYFUNCTION("IF(E2146=""USD"",B2146,B2146 * GOOGLEFINANCE(""CURRENCY:"" &amp; E2146 &amp; ""USD""))
"),180000000)</f>
        <v>180000000</v>
      </c>
      <c r="G2146" s="13">
        <f ca="1">IFERROR(__xludf.DUMMYFUNCTION("IF(E2146=""USD"",C2146,C2146 * GOOGLEFINANCE(""CURRENCY:"" &amp; E2146 &amp; ""USD""))
"),124051759)</f>
        <v>124051759</v>
      </c>
    </row>
    <row r="2147" spans="1:7" ht="15.75" customHeight="1" x14ac:dyDescent="0.25">
      <c r="A2147" s="14" t="s">
        <v>24</v>
      </c>
      <c r="B2147" s="15">
        <v>15000000</v>
      </c>
      <c r="C2147" s="15">
        <v>31585300</v>
      </c>
      <c r="D2147" s="15">
        <v>2005</v>
      </c>
      <c r="E2147" s="15" t="str">
        <f>VLOOKUP(A2147, Currency!$A$2:$B$100, 2, FALSE)</f>
        <v>USD</v>
      </c>
      <c r="F2147" s="15">
        <f ca="1">IFERROR(__xludf.DUMMYFUNCTION("IF(E2147=""USD"",B2147,B2147 * GOOGLEFINANCE(""CURRENCY:"" &amp; E2147 &amp; ""USD""))
"),15000000)</f>
        <v>15000000</v>
      </c>
      <c r="G2147" s="16">
        <f ca="1">IFERROR(__xludf.DUMMYFUNCTION("IF(E2147=""USD"",C2147,C2147 * GOOGLEFINANCE(""CURRENCY:"" &amp; E2147 &amp; ""USD""))
"),31585300)</f>
        <v>31585300</v>
      </c>
    </row>
    <row r="2148" spans="1:7" ht="15.75" customHeight="1" x14ac:dyDescent="0.25">
      <c r="A2148" s="11" t="s">
        <v>24</v>
      </c>
      <c r="B2148" s="12">
        <v>66000000</v>
      </c>
      <c r="C2148" s="12">
        <v>43568507</v>
      </c>
      <c r="D2148" s="12">
        <v>2014</v>
      </c>
      <c r="E2148" s="12" t="str">
        <f>VLOOKUP(A2148, Currency!$A$2:$B$100, 2, FALSE)</f>
        <v>USD</v>
      </c>
      <c r="F2148" s="12">
        <f ca="1">IFERROR(__xludf.DUMMYFUNCTION("IF(E2148=""USD"",B2148,B2148 * GOOGLEFINANCE(""CURRENCY:"" &amp; E2148 &amp; ""USD""))
"),66000000)</f>
        <v>66000000</v>
      </c>
      <c r="G2148" s="13">
        <f ca="1">IFERROR(__xludf.DUMMYFUNCTION("IF(E2148=""USD"",C2148,C2148 * GOOGLEFINANCE(""CURRENCY:"" &amp; E2148 &amp; ""USD""))
"),43568507)</f>
        <v>43568507</v>
      </c>
    </row>
    <row r="2149" spans="1:7" ht="15.75" customHeight="1" x14ac:dyDescent="0.25">
      <c r="A2149" s="14" t="s">
        <v>24</v>
      </c>
      <c r="B2149" s="15">
        <v>12000000</v>
      </c>
      <c r="C2149" s="15">
        <v>71502303</v>
      </c>
      <c r="D2149" s="15">
        <v>2004</v>
      </c>
      <c r="E2149" s="15" t="str">
        <f>VLOOKUP(A2149, Currency!$A$2:$B$100, 2, FALSE)</f>
        <v>USD</v>
      </c>
      <c r="F2149" s="15">
        <f ca="1">IFERROR(__xludf.DUMMYFUNCTION("IF(E2149=""USD"",B2149,B2149 * GOOGLEFINANCE(""CURRENCY:"" &amp; E2149 &amp; ""USD""))
"),12000000)</f>
        <v>12000000</v>
      </c>
      <c r="G2149" s="16">
        <f ca="1">IFERROR(__xludf.DUMMYFUNCTION("IF(E2149=""USD"",C2149,C2149 * GOOGLEFINANCE(""CURRENCY:"" &amp; E2149 &amp; ""USD""))
"),71502303)</f>
        <v>71502303</v>
      </c>
    </row>
    <row r="2150" spans="1:7" ht="15.75" customHeight="1" x14ac:dyDescent="0.25">
      <c r="A2150" s="11" t="s">
        <v>133</v>
      </c>
      <c r="B2150" s="12">
        <v>55000000</v>
      </c>
      <c r="C2150" s="12">
        <v>43247140</v>
      </c>
      <c r="D2150" s="12">
        <v>2015</v>
      </c>
      <c r="E2150" s="12" t="str">
        <f>VLOOKUP(A2150, Currency!$A$2:$B$100, 2, FALSE)</f>
        <v>GBP</v>
      </c>
      <c r="F2150" s="12">
        <f ca="1">IFERROR(__xludf.DUMMYFUNCTION("IF(E2150=""USD"",B2150,B2150 * GOOGLEFINANCE(""CURRENCY:"" &amp; E2150 &amp; ""USD""))
"),70697000)</f>
        <v>70697000</v>
      </c>
      <c r="G2150" s="13">
        <f ca="1">IFERROR(__xludf.DUMMYFUNCTION("IF(E2150=""USD"",C2150,C2150 * GOOGLEFINANCE(""CURRENCY:"" &amp; E2150 &amp; ""USD""))
"),55589873.756)</f>
        <v>55589873.755999997</v>
      </c>
    </row>
    <row r="2151" spans="1:7" ht="15.75" customHeight="1" x14ac:dyDescent="0.25">
      <c r="A2151" s="14" t="s">
        <v>24</v>
      </c>
      <c r="B2151" s="15">
        <v>22000000</v>
      </c>
      <c r="C2151" s="15">
        <v>54235441</v>
      </c>
      <c r="D2151" s="15">
        <v>2014</v>
      </c>
      <c r="E2151" s="15" t="str">
        <f>VLOOKUP(A2151, Currency!$A$2:$B$100, 2, FALSE)</f>
        <v>USD</v>
      </c>
      <c r="F2151" s="15">
        <f ca="1">IFERROR(__xludf.DUMMYFUNCTION("IF(E2151=""USD"",B2151,B2151 * GOOGLEFINANCE(""CURRENCY:"" &amp; E2151 &amp; ""USD""))
"),22000000)</f>
        <v>22000000</v>
      </c>
      <c r="G2151" s="16">
        <f ca="1">IFERROR(__xludf.DUMMYFUNCTION("IF(E2151=""USD"",C2151,C2151 * GOOGLEFINANCE(""CURRENCY:"" &amp; E2151 &amp; ""USD""))
"),54235441)</f>
        <v>54235441</v>
      </c>
    </row>
    <row r="2152" spans="1:7" ht="15.75" customHeight="1" x14ac:dyDescent="0.25">
      <c r="A2152" s="11" t="s">
        <v>627</v>
      </c>
      <c r="B2152" s="12">
        <v>22000000</v>
      </c>
      <c r="C2152" s="12">
        <v>6852144</v>
      </c>
      <c r="D2152" s="12">
        <v>2003</v>
      </c>
      <c r="E2152" s="12" t="str">
        <f>VLOOKUP(A2152, Currency!$A$2:$B$100, 2, FALSE)</f>
        <v>CAD</v>
      </c>
      <c r="F2152" s="12">
        <f ca="1">IFERROR(__xludf.DUMMYFUNCTION("IF(E2152=""USD"",B2152,B2152 * GOOGLEFINANCE(""CURRENCY:"" &amp; E2152 &amp; ""USD""))
"),15914910)</f>
        <v>15914910</v>
      </c>
      <c r="G2152" s="13">
        <f ca="1">IFERROR(__xludf.DUMMYFUNCTION("IF(E2152=""USD"",C2152,C2152 * GOOGLEFINANCE(""CURRENCY:"" &amp; E2152 &amp; ""USD""))
"),4956875.23032)</f>
        <v>4956875.2303200001</v>
      </c>
    </row>
    <row r="2153" spans="1:7" ht="15.75" customHeight="1" x14ac:dyDescent="0.25">
      <c r="A2153" s="14" t="s">
        <v>24</v>
      </c>
      <c r="B2153" s="15">
        <v>8000000</v>
      </c>
      <c r="C2153" s="15">
        <v>17427926</v>
      </c>
      <c r="D2153" s="15">
        <v>2008</v>
      </c>
      <c r="E2153" s="15" t="str">
        <f>VLOOKUP(A2153, Currency!$A$2:$B$100, 2, FALSE)</f>
        <v>USD</v>
      </c>
      <c r="F2153" s="15">
        <f ca="1">IFERROR(__xludf.DUMMYFUNCTION("IF(E2153=""USD"",B2153,B2153 * GOOGLEFINANCE(""CURRENCY:"" &amp; E2153 &amp; ""USD""))
"),8000000)</f>
        <v>8000000</v>
      </c>
      <c r="G2153" s="16">
        <f ca="1">IFERROR(__xludf.DUMMYFUNCTION("IF(E2153=""USD"",C2153,C2153 * GOOGLEFINANCE(""CURRENCY:"" &amp; E2153 &amp; ""USD""))
"),17427926)</f>
        <v>17427926</v>
      </c>
    </row>
    <row r="2154" spans="1:7" ht="15.75" customHeight="1" x14ac:dyDescent="0.25">
      <c r="A2154" s="11" t="s">
        <v>24</v>
      </c>
      <c r="B2154" s="12">
        <v>60000000</v>
      </c>
      <c r="C2154" s="12">
        <v>56702901</v>
      </c>
      <c r="D2154" s="12">
        <v>1998</v>
      </c>
      <c r="E2154" s="12" t="str">
        <f>VLOOKUP(A2154, Currency!$A$2:$B$100, 2, FALSE)</f>
        <v>USD</v>
      </c>
      <c r="F2154" s="12">
        <f ca="1">IFERROR(__xludf.DUMMYFUNCTION("IF(E2154=""USD"",B2154,B2154 * GOOGLEFINANCE(""CURRENCY:"" &amp; E2154 &amp; ""USD""))
"),60000000)</f>
        <v>60000000</v>
      </c>
      <c r="G2154" s="13">
        <f ca="1">IFERROR(__xludf.DUMMYFUNCTION("IF(E2154=""USD"",C2154,C2154 * GOOGLEFINANCE(""CURRENCY:"" &amp; E2154 &amp; ""USD""))
"),56702901)</f>
        <v>56702901</v>
      </c>
    </row>
    <row r="2155" spans="1:7" ht="15.75" customHeight="1" x14ac:dyDescent="0.25">
      <c r="A2155" s="14" t="s">
        <v>24</v>
      </c>
      <c r="B2155" s="15">
        <v>65000000</v>
      </c>
      <c r="C2155" s="15">
        <v>100003492</v>
      </c>
      <c r="D2155" s="15">
        <v>2004</v>
      </c>
      <c r="E2155" s="15" t="str">
        <f>VLOOKUP(A2155, Currency!$A$2:$B$100, 2, FALSE)</f>
        <v>USD</v>
      </c>
      <c r="F2155" s="15">
        <f ca="1">IFERROR(__xludf.DUMMYFUNCTION("IF(E2155=""USD"",B2155,B2155 * GOOGLEFINANCE(""CURRENCY:"" &amp; E2155 &amp; ""USD""))
"),65000000)</f>
        <v>65000000</v>
      </c>
      <c r="G2155" s="16">
        <f ca="1">IFERROR(__xludf.DUMMYFUNCTION("IF(E2155=""USD"",C2155,C2155 * GOOGLEFINANCE(""CURRENCY:"" &amp; E2155 &amp; ""USD""))
"),100003492)</f>
        <v>100003492</v>
      </c>
    </row>
    <row r="2156" spans="1:7" ht="15.75" customHeight="1" x14ac:dyDescent="0.25">
      <c r="A2156" s="11" t="s">
        <v>24</v>
      </c>
      <c r="B2156" s="12">
        <v>55000000</v>
      </c>
      <c r="C2156" s="12">
        <v>104354205</v>
      </c>
      <c r="D2156" s="12">
        <v>2003</v>
      </c>
      <c r="E2156" s="12" t="str">
        <f>VLOOKUP(A2156, Currency!$A$2:$B$100, 2, FALSE)</f>
        <v>USD</v>
      </c>
      <c r="F2156" s="12">
        <f ca="1">IFERROR(__xludf.DUMMYFUNCTION("IF(E2156=""USD"",B2156,B2156 * GOOGLEFINANCE(""CURRENCY:"" &amp; E2156 &amp; ""USD""))
"),55000000)</f>
        <v>55000000</v>
      </c>
      <c r="G2156" s="13">
        <f ca="1">IFERROR(__xludf.DUMMYFUNCTION("IF(E2156=""USD"",C2156,C2156 * GOOGLEFINANCE(""CURRENCY:"" &amp; E2156 &amp; ""USD""))
"),104354205)</f>
        <v>104354205</v>
      </c>
    </row>
    <row r="2157" spans="1:7" ht="15.75" customHeight="1" x14ac:dyDescent="0.25">
      <c r="A2157" s="14" t="s">
        <v>24</v>
      </c>
      <c r="B2157" s="15">
        <v>25000000</v>
      </c>
      <c r="C2157" s="15">
        <v>121945720</v>
      </c>
      <c r="D2157" s="15">
        <v>1992</v>
      </c>
      <c r="E2157" s="15" t="str">
        <f>VLOOKUP(A2157, Currency!$A$2:$B$100, 2, FALSE)</f>
        <v>USD</v>
      </c>
      <c r="F2157" s="15">
        <f ca="1">IFERROR(__xludf.DUMMYFUNCTION("IF(E2157=""USD"",B2157,B2157 * GOOGLEFINANCE(""CURRENCY:"" &amp; E2157 &amp; ""USD""))
"),25000000)</f>
        <v>25000000</v>
      </c>
      <c r="G2157" s="16">
        <f ca="1">IFERROR(__xludf.DUMMYFUNCTION("IF(E2157=""USD"",C2157,C2157 * GOOGLEFINANCE(""CURRENCY:"" &amp; E2157 &amp; ""USD""))
"),121945720)</f>
        <v>121945720</v>
      </c>
    </row>
    <row r="2158" spans="1:7" ht="15.75" customHeight="1" x14ac:dyDescent="0.25">
      <c r="A2158" s="11" t="s">
        <v>133</v>
      </c>
      <c r="B2158" s="12">
        <v>39000000</v>
      </c>
      <c r="C2158" s="12">
        <v>60000000</v>
      </c>
      <c r="D2158" s="12">
        <v>1983</v>
      </c>
      <c r="E2158" s="12" t="str">
        <f>VLOOKUP(A2158, Currency!$A$2:$B$100, 2, FALSE)</f>
        <v>GBP</v>
      </c>
      <c r="F2158" s="12">
        <f ca="1">IFERROR(__xludf.DUMMYFUNCTION("IF(E2158=""USD"",B2158,B2158 * GOOGLEFINANCE(""CURRENCY:"" &amp; E2158 &amp; ""USD""))
"),50130599.9999999)</f>
        <v>50130599.999999903</v>
      </c>
      <c r="G2158" s="13">
        <f ca="1">IFERROR(__xludf.DUMMYFUNCTION("IF(E2158=""USD"",C2158,C2158 * GOOGLEFINANCE(""CURRENCY:"" &amp; E2158 &amp; ""USD""))
"),77124000)</f>
        <v>77124000</v>
      </c>
    </row>
    <row r="2159" spans="1:7" ht="15.75" customHeight="1" x14ac:dyDescent="0.25">
      <c r="A2159" s="14" t="s">
        <v>24</v>
      </c>
      <c r="B2159" s="15">
        <v>55000000</v>
      </c>
      <c r="C2159" s="15">
        <v>7871693</v>
      </c>
      <c r="D2159" s="15">
        <v>2008</v>
      </c>
      <c r="E2159" s="15" t="str">
        <f>VLOOKUP(A2159, Currency!$A$2:$B$100, 2, FALSE)</f>
        <v>USD</v>
      </c>
      <c r="F2159" s="15">
        <f ca="1">IFERROR(__xludf.DUMMYFUNCTION("IF(E2159=""USD"",B2159,B2159 * GOOGLEFINANCE(""CURRENCY:"" &amp; E2159 &amp; ""USD""))
"),55000000)</f>
        <v>55000000</v>
      </c>
      <c r="G2159" s="16">
        <f ca="1">IFERROR(__xludf.DUMMYFUNCTION("IF(E2159=""USD"",C2159,C2159 * GOOGLEFINANCE(""CURRENCY:"" &amp; E2159 &amp; ""USD""))
"),7871693)</f>
        <v>7871693</v>
      </c>
    </row>
    <row r="2160" spans="1:7" ht="15.75" customHeight="1" x14ac:dyDescent="0.25">
      <c r="A2160" s="11" t="s">
        <v>24</v>
      </c>
      <c r="B2160" s="12">
        <v>20000000</v>
      </c>
      <c r="C2160" s="12">
        <v>9525276</v>
      </c>
      <c r="D2160" s="12">
        <v>2007</v>
      </c>
      <c r="E2160" s="12" t="str">
        <f>VLOOKUP(A2160, Currency!$A$2:$B$100, 2, FALSE)</f>
        <v>USD</v>
      </c>
      <c r="F2160" s="12">
        <f ca="1">IFERROR(__xludf.DUMMYFUNCTION("IF(E2160=""USD"",B2160,B2160 * GOOGLEFINANCE(""CURRENCY:"" &amp; E2160 &amp; ""USD""))
"),20000000)</f>
        <v>20000000</v>
      </c>
      <c r="G2160" s="13">
        <f ca="1">IFERROR(__xludf.DUMMYFUNCTION("IF(E2160=""USD"",C2160,C2160 * GOOGLEFINANCE(""CURRENCY:"" &amp; E2160 &amp; ""USD""))
"),9525276)</f>
        <v>9525276</v>
      </c>
    </row>
    <row r="2161" spans="1:7" ht="15.75" customHeight="1" x14ac:dyDescent="0.25">
      <c r="A2161" s="14" t="s">
        <v>24</v>
      </c>
      <c r="B2161" s="15">
        <v>215000000</v>
      </c>
      <c r="C2161" s="15">
        <v>89289910</v>
      </c>
      <c r="D2161" s="15">
        <v>2013</v>
      </c>
      <c r="E2161" s="15" t="str">
        <f>VLOOKUP(A2161, Currency!$A$2:$B$100, 2, FALSE)</f>
        <v>USD</v>
      </c>
      <c r="F2161" s="15">
        <f ca="1">IFERROR(__xludf.DUMMYFUNCTION("IF(E2161=""USD"",B2161,B2161 * GOOGLEFINANCE(""CURRENCY:"" &amp; E2161 &amp; ""USD""))
"),215000000)</f>
        <v>215000000</v>
      </c>
      <c r="G2161" s="16">
        <f ca="1">IFERROR(__xludf.DUMMYFUNCTION("IF(E2161=""USD"",C2161,C2161 * GOOGLEFINANCE(""CURRENCY:"" &amp; E2161 &amp; ""USD""))
"),89289910)</f>
        <v>89289910</v>
      </c>
    </row>
    <row r="2162" spans="1:7" ht="15.75" customHeight="1" x14ac:dyDescent="0.25">
      <c r="A2162" s="11" t="s">
        <v>24</v>
      </c>
      <c r="B2162" s="12">
        <v>9000000</v>
      </c>
      <c r="C2162" s="12">
        <v>25000000</v>
      </c>
      <c r="D2162" s="12">
        <v>1976</v>
      </c>
      <c r="E2162" s="12" t="str">
        <f>VLOOKUP(A2162, Currency!$A$2:$B$100, 2, FALSE)</f>
        <v>USD</v>
      </c>
      <c r="F2162" s="12">
        <f ca="1">IFERROR(__xludf.DUMMYFUNCTION("IF(E2162=""USD"",B2162,B2162 * GOOGLEFINANCE(""CURRENCY:"" &amp; E2162 &amp; ""USD""))
"),9000000)</f>
        <v>9000000</v>
      </c>
      <c r="G2162" s="13">
        <f ca="1">IFERROR(__xludf.DUMMYFUNCTION("IF(E2162=""USD"",C2162,C2162 * GOOGLEFINANCE(""CURRENCY:"" &amp; E2162 &amp; ""USD""))
"),25000000)</f>
        <v>25000000</v>
      </c>
    </row>
    <row r="2163" spans="1:7" ht="15.75" customHeight="1" x14ac:dyDescent="0.25">
      <c r="A2163" s="14" t="s">
        <v>24</v>
      </c>
      <c r="B2163" s="15">
        <v>22000000</v>
      </c>
      <c r="C2163" s="15">
        <v>1075288</v>
      </c>
      <c r="D2163" s="15">
        <v>1996</v>
      </c>
      <c r="E2163" s="15" t="str">
        <f>VLOOKUP(A2163, Currency!$A$2:$B$100, 2, FALSE)</f>
        <v>USD</v>
      </c>
      <c r="F2163" s="15">
        <f ca="1">IFERROR(__xludf.DUMMYFUNCTION("IF(E2163=""USD"",B2163,B2163 * GOOGLEFINANCE(""CURRENCY:"" &amp; E2163 &amp; ""USD""))
"),22000000)</f>
        <v>22000000</v>
      </c>
      <c r="G2163" s="16">
        <f ca="1">IFERROR(__xludf.DUMMYFUNCTION("IF(E2163=""USD"",C2163,C2163 * GOOGLEFINANCE(""CURRENCY:"" &amp; E2163 &amp; ""USD""))
"),1075288)</f>
        <v>1075288</v>
      </c>
    </row>
    <row r="2164" spans="1:7" ht="15.75" customHeight="1" x14ac:dyDescent="0.25">
      <c r="A2164" s="11" t="s">
        <v>24</v>
      </c>
      <c r="B2164" s="12">
        <v>60000</v>
      </c>
      <c r="C2164" s="12">
        <v>536767</v>
      </c>
      <c r="D2164" s="12">
        <v>1998</v>
      </c>
      <c r="E2164" s="12" t="str">
        <f>VLOOKUP(A2164, Currency!$A$2:$B$100, 2, FALSE)</f>
        <v>USD</v>
      </c>
      <c r="F2164" s="12">
        <f ca="1">IFERROR(__xludf.DUMMYFUNCTION("IF(E2164=""USD"",B2164,B2164 * GOOGLEFINANCE(""CURRENCY:"" &amp; E2164 &amp; ""USD""))
"),60000)</f>
        <v>60000</v>
      </c>
      <c r="G2164" s="13">
        <f ca="1">IFERROR(__xludf.DUMMYFUNCTION("IF(E2164=""USD"",C2164,C2164 * GOOGLEFINANCE(""CURRENCY:"" &amp; E2164 &amp; ""USD""))
"),536767)</f>
        <v>536767</v>
      </c>
    </row>
    <row r="2165" spans="1:7" ht="15.75" customHeight="1" x14ac:dyDescent="0.25">
      <c r="A2165" s="14" t="s">
        <v>24</v>
      </c>
      <c r="B2165" s="15">
        <v>27000000</v>
      </c>
      <c r="C2165" s="15">
        <v>87341380</v>
      </c>
      <c r="D2165" s="15">
        <v>2008</v>
      </c>
      <c r="E2165" s="15" t="str">
        <f>VLOOKUP(A2165, Currency!$A$2:$B$100, 2, FALSE)</f>
        <v>USD</v>
      </c>
      <c r="F2165" s="15">
        <f ca="1">IFERROR(__xludf.DUMMYFUNCTION("IF(E2165=""USD"",B2165,B2165 * GOOGLEFINANCE(""CURRENCY:"" &amp; E2165 &amp; ""USD""))
"),27000000)</f>
        <v>27000000</v>
      </c>
      <c r="G2165" s="16">
        <f ca="1">IFERROR(__xludf.DUMMYFUNCTION("IF(E2165=""USD"",C2165,C2165 * GOOGLEFINANCE(""CURRENCY:"" &amp; E2165 &amp; ""USD""))
"),87341380)</f>
        <v>87341380</v>
      </c>
    </row>
    <row r="2166" spans="1:7" ht="15.75" customHeight="1" x14ac:dyDescent="0.25">
      <c r="A2166" s="11" t="s">
        <v>1220</v>
      </c>
      <c r="B2166" s="12">
        <v>1300000</v>
      </c>
      <c r="C2166" s="12">
        <v>11278</v>
      </c>
      <c r="D2166" s="12">
        <v>2013</v>
      </c>
      <c r="E2166" s="12" t="str">
        <f>VLOOKUP(A2166, Currency!$A$2:$B$100, 2, FALSE)</f>
        <v>MXN</v>
      </c>
      <c r="F2166" s="12">
        <f ca="1">IFERROR(__xludf.DUMMYFUNCTION("IF(E2166=""USD"",B2166,B2166 * GOOGLEFINANCE(""CURRENCY:"" &amp; E2166 &amp; ""USD""))
"),70466.097)</f>
        <v>70466.096999999994</v>
      </c>
      <c r="G2166" s="13">
        <f ca="1">IFERROR(__xludf.DUMMYFUNCTION("IF(E2166=""USD"",C2166,C2166 * GOOGLEFINANCE(""CURRENCY:"" &amp; E2166 &amp; ""USD""))
"),611.32049382)</f>
        <v>611.32049382000002</v>
      </c>
    </row>
    <row r="2167" spans="1:7" ht="15.75" customHeight="1" x14ac:dyDescent="0.25">
      <c r="A2167" s="14" t="s">
        <v>24</v>
      </c>
      <c r="B2167" s="15">
        <v>38000000</v>
      </c>
      <c r="C2167" s="15">
        <v>41997790</v>
      </c>
      <c r="D2167" s="15">
        <v>2013</v>
      </c>
      <c r="E2167" s="15" t="str">
        <f>VLOOKUP(A2167, Currency!$A$2:$B$100, 2, FALSE)</f>
        <v>USD</v>
      </c>
      <c r="F2167" s="15">
        <f ca="1">IFERROR(__xludf.DUMMYFUNCTION("IF(E2167=""USD"",B2167,B2167 * GOOGLEFINANCE(""CURRENCY:"" &amp; E2167 &amp; ""USD""))
"),38000000)</f>
        <v>38000000</v>
      </c>
      <c r="G2167" s="16">
        <f ca="1">IFERROR(__xludf.DUMMYFUNCTION("IF(E2167=""USD"",C2167,C2167 * GOOGLEFINANCE(""CURRENCY:"" &amp; E2167 &amp; ""USD""))
"),41997790)</f>
        <v>41997790</v>
      </c>
    </row>
    <row r="2168" spans="1:7" ht="15.75" customHeight="1" x14ac:dyDescent="0.25">
      <c r="A2168" s="11" t="s">
        <v>24</v>
      </c>
      <c r="B2168" s="12">
        <v>90000000</v>
      </c>
      <c r="C2168" s="12">
        <v>100018837</v>
      </c>
      <c r="D2168" s="12">
        <v>2008</v>
      </c>
      <c r="E2168" s="12" t="str">
        <f>VLOOKUP(A2168, Currency!$A$2:$B$100, 2, FALSE)</f>
        <v>USD</v>
      </c>
      <c r="F2168" s="12">
        <f ca="1">IFERROR(__xludf.DUMMYFUNCTION("IF(E2168=""USD"",B2168,B2168 * GOOGLEFINANCE(""CURRENCY:"" &amp; E2168 &amp; ""USD""))
"),90000000)</f>
        <v>90000000</v>
      </c>
      <c r="G2168" s="13">
        <f ca="1">IFERROR(__xludf.DUMMYFUNCTION("IF(E2168=""USD"",C2168,C2168 * GOOGLEFINANCE(""CURRENCY:"" &amp; E2168 &amp; ""USD""))
"),100018837)</f>
        <v>100018837</v>
      </c>
    </row>
    <row r="2169" spans="1:7" ht="15.75" customHeight="1" x14ac:dyDescent="0.25">
      <c r="A2169" s="14" t="s">
        <v>24</v>
      </c>
      <c r="B2169" s="15">
        <v>15000000</v>
      </c>
      <c r="C2169" s="15">
        <v>9059588</v>
      </c>
      <c r="D2169" s="15">
        <v>2002</v>
      </c>
      <c r="E2169" s="15" t="str">
        <f>VLOOKUP(A2169, Currency!$A$2:$B$100, 2, FALSE)</f>
        <v>USD</v>
      </c>
      <c r="F2169" s="15">
        <f ca="1">IFERROR(__xludf.DUMMYFUNCTION("IF(E2169=""USD"",B2169,B2169 * GOOGLEFINANCE(""CURRENCY:"" &amp; E2169 &amp; ""USD""))
"),15000000)</f>
        <v>15000000</v>
      </c>
      <c r="G2169" s="16">
        <f ca="1">IFERROR(__xludf.DUMMYFUNCTION("IF(E2169=""USD"",C2169,C2169 * GOOGLEFINANCE(""CURRENCY:"" &amp; E2169 &amp; ""USD""))
"),9059588)</f>
        <v>9059588</v>
      </c>
    </row>
    <row r="2170" spans="1:7" ht="15.75" customHeight="1" x14ac:dyDescent="0.25">
      <c r="A2170" s="11" t="s">
        <v>24</v>
      </c>
      <c r="B2170" s="12">
        <v>8550000</v>
      </c>
      <c r="C2170" s="12">
        <v>4992159</v>
      </c>
      <c r="D2170" s="12">
        <v>2004</v>
      </c>
      <c r="E2170" s="12" t="str">
        <f>VLOOKUP(A2170, Currency!$A$2:$B$100, 2, FALSE)</f>
        <v>USD</v>
      </c>
      <c r="F2170" s="12">
        <f ca="1">IFERROR(__xludf.DUMMYFUNCTION("IF(E2170=""USD"",B2170,B2170 * GOOGLEFINANCE(""CURRENCY:"" &amp; E2170 &amp; ""USD""))
"),8550000)</f>
        <v>8550000</v>
      </c>
      <c r="G2170" s="13">
        <f ca="1">IFERROR(__xludf.DUMMYFUNCTION("IF(E2170=""USD"",C2170,C2170 * GOOGLEFINANCE(""CURRENCY:"" &amp; E2170 &amp; ""USD""))
"),4992159)</f>
        <v>4992159</v>
      </c>
    </row>
    <row r="2171" spans="1:7" ht="15.75" customHeight="1" x14ac:dyDescent="0.25">
      <c r="A2171" s="14" t="s">
        <v>160</v>
      </c>
      <c r="B2171" s="15">
        <v>41000000</v>
      </c>
      <c r="C2171" s="15">
        <v>22108977</v>
      </c>
      <c r="D2171" s="15">
        <v>2003</v>
      </c>
      <c r="E2171" s="15" t="str">
        <f>VLOOKUP(A2171, Currency!$A$2:$B$100, 2, FALSE)</f>
        <v>HKD</v>
      </c>
      <c r="F2171" s="15">
        <f ca="1">IFERROR(__xludf.DUMMYFUNCTION("IF(E2171=""USD"",B2171,B2171 * GOOGLEFINANCE(""CURRENCY:"" &amp; E2171 &amp; ""USD""))
"),5251866.3)</f>
        <v>5251866.3</v>
      </c>
      <c r="G2171" s="16">
        <f ca="1">IFERROR(__xludf.DUMMYFUNCTION("IF(E2171=""USD"",C2171,C2171 * GOOGLEFINANCE(""CURRENCY:"" &amp; E2171 &amp; ""USD""))
"),2832033.93253109)</f>
        <v>2832033.93253109</v>
      </c>
    </row>
    <row r="2172" spans="1:7" ht="15.75" customHeight="1" x14ac:dyDescent="0.25">
      <c r="A2172" s="11" t="s">
        <v>176</v>
      </c>
      <c r="B2172" s="12">
        <v>13000000</v>
      </c>
      <c r="C2172" s="12">
        <v>1172769</v>
      </c>
      <c r="D2172" s="12">
        <v>2006</v>
      </c>
      <c r="E2172" s="12" t="str">
        <f>VLOOKUP(A2172, Currency!$A$2:$B$100, 2, FALSE)</f>
        <v>EUR</v>
      </c>
      <c r="F2172" s="12">
        <f ca="1">IFERROR(__xludf.DUMMYFUNCTION("IF(E2172=""USD"",B2172,B2172 * GOOGLEFINANCE(""CURRENCY:"" &amp; E2172 &amp; ""USD""))
"),14101620)</f>
        <v>14101620</v>
      </c>
      <c r="G2172" s="13">
        <f ca="1">IFERROR(__xludf.DUMMYFUNCTION("IF(E2172=""USD"",C2172,C2172 * GOOGLEFINANCE(""CURRENCY:"" &amp; E2172 &amp; ""USD""))
"),1272149.44506)</f>
        <v>1272149.4450600001</v>
      </c>
    </row>
    <row r="2173" spans="1:7" ht="15.75" customHeight="1" x14ac:dyDescent="0.25">
      <c r="A2173" s="14" t="s">
        <v>24</v>
      </c>
      <c r="B2173" s="15">
        <v>40000000</v>
      </c>
      <c r="C2173" s="15">
        <v>41102171</v>
      </c>
      <c r="D2173" s="15">
        <v>2012</v>
      </c>
      <c r="E2173" s="15" t="str">
        <f>VLOOKUP(A2173, Currency!$A$2:$B$100, 2, FALSE)</f>
        <v>USD</v>
      </c>
      <c r="F2173" s="15">
        <f ca="1">IFERROR(__xludf.DUMMYFUNCTION("IF(E2173=""USD"",B2173,B2173 * GOOGLEFINANCE(""CURRENCY:"" &amp; E2173 &amp; ""USD""))
"),40000000)</f>
        <v>40000000</v>
      </c>
      <c r="G2173" s="16">
        <f ca="1">IFERROR(__xludf.DUMMYFUNCTION("IF(E2173=""USD"",C2173,C2173 * GOOGLEFINANCE(""CURRENCY:"" &amp; E2173 &amp; ""USD""))
"),41102171)</f>
        <v>41102171</v>
      </c>
    </row>
    <row r="2174" spans="1:7" ht="15.75" customHeight="1" x14ac:dyDescent="0.25">
      <c r="A2174" s="11" t="s">
        <v>24</v>
      </c>
      <c r="B2174" s="12">
        <v>85000000</v>
      </c>
      <c r="C2174" s="12">
        <v>64933670</v>
      </c>
      <c r="D2174" s="12">
        <v>2012</v>
      </c>
      <c r="E2174" s="12" t="str">
        <f>VLOOKUP(A2174, Currency!$A$2:$B$100, 2, FALSE)</f>
        <v>USD</v>
      </c>
      <c r="F2174" s="12">
        <f ca="1">IFERROR(__xludf.DUMMYFUNCTION("IF(E2174=""USD"",B2174,B2174 * GOOGLEFINANCE(""CURRENCY:"" &amp; E2174 &amp; ""USD""))
"),85000000)</f>
        <v>85000000</v>
      </c>
      <c r="G2174" s="13">
        <f ca="1">IFERROR(__xludf.DUMMYFUNCTION("IF(E2174=""USD"",C2174,C2174 * GOOGLEFINANCE(""CURRENCY:"" &amp; E2174 &amp; ""USD""))
"),64933670)</f>
        <v>64933670</v>
      </c>
    </row>
    <row r="2175" spans="1:7" ht="15.75" customHeight="1" x14ac:dyDescent="0.25">
      <c r="A2175" s="14" t="s">
        <v>176</v>
      </c>
      <c r="B2175" s="15">
        <v>27000000</v>
      </c>
      <c r="C2175" s="15">
        <v>22494487</v>
      </c>
      <c r="D2175" s="15">
        <v>2006</v>
      </c>
      <c r="E2175" s="15" t="str">
        <f>VLOOKUP(A2175, Currency!$A$2:$B$100, 2, FALSE)</f>
        <v>EUR</v>
      </c>
      <c r="F2175" s="15">
        <f ca="1">IFERROR(__xludf.DUMMYFUNCTION("IF(E2175=""USD"",B2175,B2175 * GOOGLEFINANCE(""CURRENCY:"" &amp; E2175 &amp; ""USD""))
"),29287980)</f>
        <v>29287980</v>
      </c>
      <c r="G2175" s="16">
        <f ca="1">IFERROR(__xludf.DUMMYFUNCTION("IF(E2175=""USD"",C2175,C2175 * GOOGLEFINANCE(""CURRENCY:"" &amp; E2175 &amp; ""USD""))
"),24400669.82838)</f>
        <v>24400669.82838</v>
      </c>
    </row>
    <row r="2176" spans="1:7" ht="15.75" customHeight="1" x14ac:dyDescent="0.25">
      <c r="A2176" s="11" t="s">
        <v>24</v>
      </c>
      <c r="B2176" s="12">
        <v>127000000</v>
      </c>
      <c r="C2176" s="12">
        <v>113733726</v>
      </c>
      <c r="D2176" s="12">
        <v>2014</v>
      </c>
      <c r="E2176" s="12" t="str">
        <f>VLOOKUP(A2176, Currency!$A$2:$B$100, 2, FALSE)</f>
        <v>USD</v>
      </c>
      <c r="F2176" s="12">
        <f ca="1">IFERROR(__xludf.DUMMYFUNCTION("IF(E2176=""USD"",B2176,B2176 * GOOGLEFINANCE(""CURRENCY:"" &amp; E2176 &amp; ""USD""))
"),127000000)</f>
        <v>127000000</v>
      </c>
      <c r="G2176" s="13">
        <f ca="1">IFERROR(__xludf.DUMMYFUNCTION("IF(E2176=""USD"",C2176,C2176 * GOOGLEFINANCE(""CURRENCY:"" &amp; E2176 &amp; ""USD""))
"),113733726)</f>
        <v>113733726</v>
      </c>
    </row>
    <row r="2177" spans="1:7" ht="15.75" customHeight="1" x14ac:dyDescent="0.25">
      <c r="A2177" s="14" t="s">
        <v>24</v>
      </c>
      <c r="B2177" s="15">
        <v>5000000</v>
      </c>
      <c r="C2177" s="15">
        <v>830210</v>
      </c>
      <c r="D2177" s="15">
        <v>2014</v>
      </c>
      <c r="E2177" s="15" t="str">
        <f>VLOOKUP(A2177, Currency!$A$2:$B$100, 2, FALSE)</f>
        <v>USD</v>
      </c>
      <c r="F2177" s="15">
        <f ca="1">IFERROR(__xludf.DUMMYFUNCTION("IF(E2177=""USD"",B2177,B2177 * GOOGLEFINANCE(""CURRENCY:"" &amp; E2177 &amp; ""USD""))
"),5000000)</f>
        <v>5000000</v>
      </c>
      <c r="G2177" s="16">
        <f ca="1">IFERROR(__xludf.DUMMYFUNCTION("IF(E2177=""USD"",C2177,C2177 * GOOGLEFINANCE(""CURRENCY:"" &amp; E2177 &amp; ""USD""))
"),830210)</f>
        <v>830210</v>
      </c>
    </row>
    <row r="2178" spans="1:7" ht="15.75" customHeight="1" x14ac:dyDescent="0.25">
      <c r="A2178" s="11" t="s">
        <v>24</v>
      </c>
      <c r="B2178" s="12">
        <v>23000000</v>
      </c>
      <c r="C2178" s="12">
        <v>50693162</v>
      </c>
      <c r="D2178" s="12">
        <v>1994</v>
      </c>
      <c r="E2178" s="12" t="str">
        <f>VLOOKUP(A2178, Currency!$A$2:$B$100, 2, FALSE)</f>
        <v>USD</v>
      </c>
      <c r="F2178" s="12">
        <f ca="1">IFERROR(__xludf.DUMMYFUNCTION("IF(E2178=""USD"",B2178,B2178 * GOOGLEFINANCE(""CURRENCY:"" &amp; E2178 &amp; ""USD""))
"),23000000)</f>
        <v>23000000</v>
      </c>
      <c r="G2178" s="13">
        <f ca="1">IFERROR(__xludf.DUMMYFUNCTION("IF(E2178=""USD"",C2178,C2178 * GOOGLEFINANCE(""CURRENCY:"" &amp; E2178 &amp; ""USD""))
"),50693162)</f>
        <v>50693162</v>
      </c>
    </row>
    <row r="2179" spans="1:7" ht="15.75" customHeight="1" x14ac:dyDescent="0.25">
      <c r="A2179" s="14" t="s">
        <v>24</v>
      </c>
      <c r="B2179" s="15">
        <v>500000</v>
      </c>
      <c r="C2179" s="15">
        <v>1250798</v>
      </c>
      <c r="D2179" s="15">
        <v>2002</v>
      </c>
      <c r="E2179" s="15" t="str">
        <f>VLOOKUP(A2179, Currency!$A$2:$B$100, 2, FALSE)</f>
        <v>USD</v>
      </c>
      <c r="F2179" s="15">
        <f ca="1">IFERROR(__xludf.DUMMYFUNCTION("IF(E2179=""USD"",B2179,B2179 * GOOGLEFINANCE(""CURRENCY:"" &amp; E2179 &amp; ""USD""))
"),500000)</f>
        <v>500000</v>
      </c>
      <c r="G2179" s="16">
        <f ca="1">IFERROR(__xludf.DUMMYFUNCTION("IF(E2179=""USD"",C2179,C2179 * GOOGLEFINANCE(""CURRENCY:"" &amp; E2179 &amp; ""USD""))
"),1250798)</f>
        <v>1250798</v>
      </c>
    </row>
    <row r="2180" spans="1:7" ht="15.75" customHeight="1" x14ac:dyDescent="0.25">
      <c r="A2180" s="11" t="s">
        <v>24</v>
      </c>
      <c r="B2180" s="12">
        <v>13000000</v>
      </c>
      <c r="C2180" s="12">
        <v>123922370</v>
      </c>
      <c r="D2180" s="12">
        <v>1987</v>
      </c>
      <c r="E2180" s="12" t="str">
        <f>VLOOKUP(A2180, Currency!$A$2:$B$100, 2, FALSE)</f>
        <v>USD</v>
      </c>
      <c r="F2180" s="12">
        <f ca="1">IFERROR(__xludf.DUMMYFUNCTION("IF(E2180=""USD"",B2180,B2180 * GOOGLEFINANCE(""CURRENCY:"" &amp; E2180 &amp; ""USD""))
"),13000000)</f>
        <v>13000000</v>
      </c>
      <c r="G2180" s="13">
        <f ca="1">IFERROR(__xludf.DUMMYFUNCTION("IF(E2180=""USD"",C2180,C2180 * GOOGLEFINANCE(""CURRENCY:"" &amp; E2180 &amp; ""USD""))
"),123922370)</f>
        <v>123922370</v>
      </c>
    </row>
    <row r="2181" spans="1:7" ht="15.75" customHeight="1" x14ac:dyDescent="0.25">
      <c r="A2181" s="14" t="s">
        <v>24</v>
      </c>
      <c r="B2181" s="15">
        <v>15000000</v>
      </c>
      <c r="C2181" s="15">
        <v>4235837</v>
      </c>
      <c r="D2181" s="15">
        <v>2005</v>
      </c>
      <c r="E2181" s="15" t="str">
        <f>VLOOKUP(A2181, Currency!$A$2:$B$100, 2, FALSE)</f>
        <v>USD</v>
      </c>
      <c r="F2181" s="15">
        <f ca="1">IFERROR(__xludf.DUMMYFUNCTION("IF(E2181=""USD"",B2181,B2181 * GOOGLEFINANCE(""CURRENCY:"" &amp; E2181 &amp; ""USD""))
"),15000000)</f>
        <v>15000000</v>
      </c>
      <c r="G2181" s="16">
        <f ca="1">IFERROR(__xludf.DUMMYFUNCTION("IF(E2181=""USD"",C2181,C2181 * GOOGLEFINANCE(""CURRENCY:"" &amp; E2181 &amp; ""USD""))
"),4235837)</f>
        <v>4235837</v>
      </c>
    </row>
    <row r="2182" spans="1:7" ht="15.75" customHeight="1" x14ac:dyDescent="0.25">
      <c r="A2182" s="11" t="s">
        <v>24</v>
      </c>
      <c r="B2182" s="12">
        <v>1500000</v>
      </c>
      <c r="C2182" s="12">
        <v>194568</v>
      </c>
      <c r="D2182" s="12">
        <v>2006</v>
      </c>
      <c r="E2182" s="12" t="str">
        <f>VLOOKUP(A2182, Currency!$A$2:$B$100, 2, FALSE)</f>
        <v>USD</v>
      </c>
      <c r="F2182" s="12">
        <f ca="1">IFERROR(__xludf.DUMMYFUNCTION("IF(E2182=""USD"",B2182,B2182 * GOOGLEFINANCE(""CURRENCY:"" &amp; E2182 &amp; ""USD""))
"),1500000)</f>
        <v>1500000</v>
      </c>
      <c r="G2182" s="13">
        <f ca="1">IFERROR(__xludf.DUMMYFUNCTION("IF(E2182=""USD"",C2182,C2182 * GOOGLEFINANCE(""CURRENCY:"" &amp; E2182 &amp; ""USD""))
"),194568)</f>
        <v>194568</v>
      </c>
    </row>
    <row r="2183" spans="1:7" ht="15.75" customHeight="1" x14ac:dyDescent="0.25">
      <c r="A2183" s="14" t="s">
        <v>24</v>
      </c>
      <c r="B2183" s="15">
        <v>15000000</v>
      </c>
      <c r="C2183" s="15">
        <v>43848100</v>
      </c>
      <c r="D2183" s="15">
        <v>1987</v>
      </c>
      <c r="E2183" s="15" t="str">
        <f>VLOOKUP(A2183, Currency!$A$2:$B$100, 2, FALSE)</f>
        <v>USD</v>
      </c>
      <c r="F2183" s="15">
        <f ca="1">IFERROR(__xludf.DUMMYFUNCTION("IF(E2183=""USD"",B2183,B2183 * GOOGLEFINANCE(""CURRENCY:"" &amp; E2183 &amp; ""USD""))
"),15000000)</f>
        <v>15000000</v>
      </c>
      <c r="G2183" s="16">
        <f ca="1">IFERROR(__xludf.DUMMYFUNCTION("IF(E2183=""USD"",C2183,C2183 * GOOGLEFINANCE(""CURRENCY:"" &amp; E2183 &amp; ""USD""))
"),43848100)</f>
        <v>43848100</v>
      </c>
    </row>
    <row r="2184" spans="1:7" ht="15.75" customHeight="1" x14ac:dyDescent="0.25">
      <c r="A2184" s="11" t="s">
        <v>24</v>
      </c>
      <c r="B2184" s="12">
        <v>100000</v>
      </c>
      <c r="C2184" s="12">
        <v>5228617</v>
      </c>
      <c r="D2184" s="12">
        <v>1987</v>
      </c>
      <c r="E2184" s="12" t="str">
        <f>VLOOKUP(A2184, Currency!$A$2:$B$100, 2, FALSE)</f>
        <v>USD</v>
      </c>
      <c r="F2184" s="12">
        <f ca="1">IFERROR(__xludf.DUMMYFUNCTION("IF(E2184=""USD"",B2184,B2184 * GOOGLEFINANCE(""CURRENCY:"" &amp; E2184 &amp; ""USD""))
"),100000)</f>
        <v>100000</v>
      </c>
      <c r="G2184" s="13">
        <f ca="1">IFERROR(__xludf.DUMMYFUNCTION("IF(E2184=""USD"",C2184,C2184 * GOOGLEFINANCE(""CURRENCY:"" &amp; E2184 &amp; ""USD""))
"),5228617)</f>
        <v>5228617</v>
      </c>
    </row>
    <row r="2185" spans="1:7" ht="15.75" customHeight="1" x14ac:dyDescent="0.25">
      <c r="A2185" s="14" t="s">
        <v>24</v>
      </c>
      <c r="B2185" s="15">
        <v>5000000</v>
      </c>
      <c r="C2185" s="15">
        <v>64267897</v>
      </c>
      <c r="D2185" s="15">
        <v>2002</v>
      </c>
      <c r="E2185" s="15" t="str">
        <f>VLOOKUP(A2185, Currency!$A$2:$B$100, 2, FALSE)</f>
        <v>USD</v>
      </c>
      <c r="F2185" s="15">
        <f ca="1">IFERROR(__xludf.DUMMYFUNCTION("IF(E2185=""USD"",B2185,B2185 * GOOGLEFINANCE(""CURRENCY:"" &amp; E2185 &amp; ""USD""))
"),5000000)</f>
        <v>5000000</v>
      </c>
      <c r="G2185" s="16">
        <f ca="1">IFERROR(__xludf.DUMMYFUNCTION("IF(E2185=""USD"",C2185,C2185 * GOOGLEFINANCE(""CURRENCY:"" &amp; E2185 &amp; ""USD""))
"),64267897)</f>
        <v>64267897</v>
      </c>
    </row>
    <row r="2186" spans="1:7" ht="15.75" customHeight="1" x14ac:dyDescent="0.25">
      <c r="A2186" s="11" t="s">
        <v>24</v>
      </c>
      <c r="B2186" s="12">
        <v>16000000</v>
      </c>
      <c r="C2186" s="12">
        <v>14792779</v>
      </c>
      <c r="D2186" s="12">
        <v>1987</v>
      </c>
      <c r="E2186" s="12" t="str">
        <f>VLOOKUP(A2186, Currency!$A$2:$B$100, 2, FALSE)</f>
        <v>USD</v>
      </c>
      <c r="F2186" s="12">
        <f ca="1">IFERROR(__xludf.DUMMYFUNCTION("IF(E2186=""USD"",B2186,B2186 * GOOGLEFINANCE(""CURRENCY:"" &amp; E2186 &amp; ""USD""))
"),16000000)</f>
        <v>16000000</v>
      </c>
      <c r="G2186" s="13">
        <f ca="1">IFERROR(__xludf.DUMMYFUNCTION("IF(E2186=""USD"",C2186,C2186 * GOOGLEFINANCE(""CURRENCY:"" &amp; E2186 &amp; ""USD""))
"),14792779)</f>
        <v>14792779</v>
      </c>
    </row>
    <row r="2187" spans="1:7" ht="15.75" customHeight="1" x14ac:dyDescent="0.25">
      <c r="A2187" s="14" t="s">
        <v>24</v>
      </c>
      <c r="B2187" s="15">
        <v>10000000</v>
      </c>
      <c r="C2187" s="15">
        <v>5348317</v>
      </c>
      <c r="D2187" s="15">
        <v>2015</v>
      </c>
      <c r="E2187" s="15" t="str">
        <f>VLOOKUP(A2187, Currency!$A$2:$B$100, 2, FALSE)</f>
        <v>USD</v>
      </c>
      <c r="F2187" s="15">
        <f ca="1">IFERROR(__xludf.DUMMYFUNCTION("IF(E2187=""USD"",B2187,B2187 * GOOGLEFINANCE(""CURRENCY:"" &amp; E2187 &amp; ""USD""))
"),10000000)</f>
        <v>10000000</v>
      </c>
      <c r="G2187" s="16">
        <f ca="1">IFERROR(__xludf.DUMMYFUNCTION("IF(E2187=""USD"",C2187,C2187 * GOOGLEFINANCE(""CURRENCY:"" &amp; E2187 &amp; ""USD""))
"),5348317)</f>
        <v>5348317</v>
      </c>
    </row>
    <row r="2188" spans="1:7" ht="15.75" customHeight="1" x14ac:dyDescent="0.25">
      <c r="A2188" s="11" t="s">
        <v>24</v>
      </c>
      <c r="B2188" s="12">
        <v>60000000</v>
      </c>
      <c r="C2188" s="12">
        <v>139225854</v>
      </c>
      <c r="D2188" s="12">
        <v>2002</v>
      </c>
      <c r="E2188" s="12" t="str">
        <f>VLOOKUP(A2188, Currency!$A$2:$B$100, 2, FALSE)</f>
        <v>USD</v>
      </c>
      <c r="F2188" s="12">
        <f ca="1">IFERROR(__xludf.DUMMYFUNCTION("IF(E2188=""USD"",B2188,B2188 * GOOGLEFINANCE(""CURRENCY:"" &amp; E2188 &amp; ""USD""))
"),60000000)</f>
        <v>60000000</v>
      </c>
      <c r="G2188" s="13">
        <f ca="1">IFERROR(__xludf.DUMMYFUNCTION("IF(E2188=""USD"",C2188,C2188 * GOOGLEFINANCE(""CURRENCY:"" &amp; E2188 &amp; ""USD""))
"),139225854)</f>
        <v>139225854</v>
      </c>
    </row>
    <row r="2189" spans="1:7" ht="15.75" customHeight="1" x14ac:dyDescent="0.25">
      <c r="A2189" s="14" t="s">
        <v>7191</v>
      </c>
      <c r="B2189" s="15">
        <v>12000000</v>
      </c>
      <c r="C2189" s="15">
        <v>2060953</v>
      </c>
      <c r="D2189" s="15">
        <v>1999</v>
      </c>
      <c r="E2189" s="15" t="str">
        <f>VLOOKUP(A2189, Currency!$A$2:$B$100, 2, FALSE)</f>
        <v>CZK</v>
      </c>
      <c r="F2189" s="15">
        <f ca="1">IFERROR(__xludf.DUMMYFUNCTION("IF(E2189=""USD"",B2189,B2189 * GOOGLEFINANCE(""CURRENCY:"" &amp; E2189 &amp; ""USD""))
"),512983.32)</f>
        <v>512983.32</v>
      </c>
      <c r="G2189" s="16">
        <f ca="1">IFERROR(__xludf.DUMMYFUNCTION("IF(E2189=""USD"",C2189,C2189 * GOOGLEFINANCE(""CURRENCY:"" &amp; E2189 &amp; ""USD""))
"),88102.87602533)</f>
        <v>88102.876025329999</v>
      </c>
    </row>
    <row r="2190" spans="1:7" ht="15.75" customHeight="1" x14ac:dyDescent="0.25">
      <c r="A2190" s="11" t="s">
        <v>24</v>
      </c>
      <c r="B2190" s="12">
        <v>22000000</v>
      </c>
      <c r="C2190" s="12">
        <v>217631306</v>
      </c>
      <c r="D2190" s="12">
        <v>1990</v>
      </c>
      <c r="E2190" s="12" t="str">
        <f>VLOOKUP(A2190, Currency!$A$2:$B$100, 2, FALSE)</f>
        <v>USD</v>
      </c>
      <c r="F2190" s="12">
        <f ca="1">IFERROR(__xludf.DUMMYFUNCTION("IF(E2190=""USD"",B2190,B2190 * GOOGLEFINANCE(""CURRENCY:"" &amp; E2190 &amp; ""USD""))
"),22000000)</f>
        <v>22000000</v>
      </c>
      <c r="G2190" s="13">
        <f ca="1">IFERROR(__xludf.DUMMYFUNCTION("IF(E2190=""USD"",C2190,C2190 * GOOGLEFINANCE(""CURRENCY:"" &amp; E2190 &amp; ""USD""))
"),217631306)</f>
        <v>217631306</v>
      </c>
    </row>
    <row r="2191" spans="1:7" ht="15.75" customHeight="1" x14ac:dyDescent="0.25">
      <c r="A2191" s="14" t="s">
        <v>24</v>
      </c>
      <c r="B2191" s="15">
        <v>26000000</v>
      </c>
      <c r="C2191" s="15">
        <v>16005978</v>
      </c>
      <c r="D2191" s="15">
        <v>2012</v>
      </c>
      <c r="E2191" s="15" t="str">
        <f>VLOOKUP(A2191, Currency!$A$2:$B$100, 2, FALSE)</f>
        <v>USD</v>
      </c>
      <c r="F2191" s="15">
        <f ca="1">IFERROR(__xludf.DUMMYFUNCTION("IF(E2191=""USD"",B2191,B2191 * GOOGLEFINANCE(""CURRENCY:"" &amp; E2191 &amp; ""USD""))
"),26000000)</f>
        <v>26000000</v>
      </c>
      <c r="G2191" s="16">
        <f ca="1">IFERROR(__xludf.DUMMYFUNCTION("IF(E2191=""USD"",C2191,C2191 * GOOGLEFINANCE(""CURRENCY:"" &amp; E2191 &amp; ""USD""))
"),16005978)</f>
        <v>16005978</v>
      </c>
    </row>
    <row r="2192" spans="1:7" ht="15.75" customHeight="1" x14ac:dyDescent="0.25">
      <c r="A2192" s="11" t="s">
        <v>24</v>
      </c>
      <c r="B2192" s="12">
        <v>50000000</v>
      </c>
      <c r="C2192" s="12">
        <v>24006726</v>
      </c>
      <c r="D2192" s="12">
        <v>2004</v>
      </c>
      <c r="E2192" s="12" t="str">
        <f>VLOOKUP(A2192, Currency!$A$2:$B$100, 2, FALSE)</f>
        <v>USD</v>
      </c>
      <c r="F2192" s="12">
        <f ca="1">IFERROR(__xludf.DUMMYFUNCTION("IF(E2192=""USD"",B2192,B2192 * GOOGLEFINANCE(""CURRENCY:"" &amp; E2192 &amp; ""USD""))
"),50000000)</f>
        <v>50000000</v>
      </c>
      <c r="G2192" s="13">
        <f ca="1">IFERROR(__xludf.DUMMYFUNCTION("IF(E2192=""USD"",C2192,C2192 * GOOGLEFINANCE(""CURRENCY:"" &amp; E2192 &amp; ""USD""))
"),24006726)</f>
        <v>24006726</v>
      </c>
    </row>
    <row r="2193" spans="1:7" ht="15.75" customHeight="1" x14ac:dyDescent="0.25">
      <c r="A2193" s="14" t="s">
        <v>1551</v>
      </c>
      <c r="B2193" s="15">
        <v>11900000</v>
      </c>
      <c r="C2193" s="15">
        <v>48856</v>
      </c>
      <c r="D2193" s="15">
        <v>1993</v>
      </c>
      <c r="E2193" s="15" t="str">
        <f>VLOOKUP(A2193, Currency!$A$2:$B$100, 2, FALSE)</f>
        <v>JPY</v>
      </c>
      <c r="F2193" s="15">
        <f ca="1">IFERROR(__xludf.DUMMYFUNCTION("IF(E2193=""USD"",B2193,B2193 * GOOGLEFINANCE(""CURRENCY:"" &amp; E2193 &amp; ""USD""))
"),77309.54)</f>
        <v>77309.539999999994</v>
      </c>
      <c r="G2193" s="16">
        <f ca="1">IFERROR(__xludf.DUMMYFUNCTION("IF(E2193=""USD"",C2193,C2193 * GOOGLEFINANCE(""CURRENCY:"" &amp; E2193 &amp; ""USD""))
"),317.3978896)</f>
        <v>317.39788959999998</v>
      </c>
    </row>
    <row r="2194" spans="1:7" ht="15.75" customHeight="1" x14ac:dyDescent="0.25">
      <c r="A2194" s="11" t="s">
        <v>24</v>
      </c>
      <c r="B2194" s="12">
        <v>95000000</v>
      </c>
      <c r="C2194" s="12">
        <v>201148159</v>
      </c>
      <c r="D2194" s="12">
        <v>2015</v>
      </c>
      <c r="E2194" s="12" t="str">
        <f>VLOOKUP(A2194, Currency!$A$2:$B$100, 2, FALSE)</f>
        <v>USD</v>
      </c>
      <c r="F2194" s="12">
        <f ca="1">IFERROR(__xludf.DUMMYFUNCTION("IF(E2194=""USD"",B2194,B2194 * GOOGLEFINANCE(""CURRENCY:"" &amp; E2194 &amp; ""USD""))
"),95000000)</f>
        <v>95000000</v>
      </c>
      <c r="G2194" s="13">
        <f ca="1">IFERROR(__xludf.DUMMYFUNCTION("IF(E2194=""USD"",C2194,C2194 * GOOGLEFINANCE(""CURRENCY:"" &amp; E2194 &amp; ""USD""))
"),201148159)</f>
        <v>201148159</v>
      </c>
    </row>
    <row r="2195" spans="1:7" ht="15.75" customHeight="1" x14ac:dyDescent="0.25">
      <c r="A2195" s="14" t="s">
        <v>611</v>
      </c>
      <c r="B2195" s="15">
        <v>45000000</v>
      </c>
      <c r="C2195" s="15">
        <v>50648679</v>
      </c>
      <c r="D2195" s="15">
        <v>2007</v>
      </c>
      <c r="E2195" s="15" t="str">
        <f>VLOOKUP(A2195, Currency!$A$2:$B$100, 2, FALSE)</f>
        <v>EUR</v>
      </c>
      <c r="F2195" s="15">
        <f ca="1">IFERROR(__xludf.DUMMYFUNCTION("IF(E2195=""USD"",B2195,B2195 * GOOGLEFINANCE(""CURRENCY:"" &amp; E2195 &amp; ""USD""))
"),48813300)</f>
        <v>48813300</v>
      </c>
      <c r="G2195" s="16">
        <f ca="1">IFERROR(__xludf.DUMMYFUNCTION("IF(E2195=""USD"",C2195,C2195 * GOOGLEFINANCE(""CURRENCY:"" &amp; E2195 &amp; ""USD""))
"),54940648.05846)</f>
        <v>54940648.058459997</v>
      </c>
    </row>
    <row r="2196" spans="1:7" ht="15.75" customHeight="1" x14ac:dyDescent="0.25">
      <c r="A2196" s="11" t="s">
        <v>24</v>
      </c>
      <c r="B2196" s="12">
        <v>15000000</v>
      </c>
      <c r="C2196" s="12">
        <v>33860010</v>
      </c>
      <c r="D2196" s="12">
        <v>2009</v>
      </c>
      <c r="E2196" s="12" t="str">
        <f>VLOOKUP(A2196, Currency!$A$2:$B$100, 2, FALSE)</f>
        <v>USD</v>
      </c>
      <c r="F2196" s="12">
        <f ca="1">IFERROR(__xludf.DUMMYFUNCTION("IF(E2196=""USD"",B2196,B2196 * GOOGLEFINANCE(""CURRENCY:"" &amp; E2196 &amp; ""USD""))
"),15000000)</f>
        <v>15000000</v>
      </c>
      <c r="G2196" s="13">
        <f ca="1">IFERROR(__xludf.DUMMYFUNCTION("IF(E2196=""USD"",C2196,C2196 * GOOGLEFINANCE(""CURRENCY:"" &amp; E2196 &amp; ""USD""))
"),33860010)</f>
        <v>33860010</v>
      </c>
    </row>
    <row r="2197" spans="1:7" ht="15.75" customHeight="1" x14ac:dyDescent="0.25">
      <c r="A2197" s="14" t="s">
        <v>24</v>
      </c>
      <c r="B2197" s="15">
        <v>35000000</v>
      </c>
      <c r="C2197" s="15">
        <v>4651977</v>
      </c>
      <c r="D2197" s="15">
        <v>1992</v>
      </c>
      <c r="E2197" s="15" t="str">
        <f>VLOOKUP(A2197, Currency!$A$2:$B$100, 2, FALSE)</f>
        <v>USD</v>
      </c>
      <c r="F2197" s="15">
        <f ca="1">IFERROR(__xludf.DUMMYFUNCTION("IF(E2197=""USD"",B2197,B2197 * GOOGLEFINANCE(""CURRENCY:"" &amp; E2197 &amp; ""USD""))
"),35000000)</f>
        <v>35000000</v>
      </c>
      <c r="G2197" s="16">
        <f ca="1">IFERROR(__xludf.DUMMYFUNCTION("IF(E2197=""USD"",C2197,C2197 * GOOGLEFINANCE(""CURRENCY:"" &amp; E2197 &amp; ""USD""))
"),4651977)</f>
        <v>4651977</v>
      </c>
    </row>
    <row r="2198" spans="1:7" ht="15.75" customHeight="1" x14ac:dyDescent="0.25">
      <c r="A2198" s="11" t="s">
        <v>176</v>
      </c>
      <c r="B2198" s="12">
        <v>28000000</v>
      </c>
      <c r="C2198" s="12">
        <v>45162741</v>
      </c>
      <c r="D2198" s="12">
        <v>2001</v>
      </c>
      <c r="E2198" s="12" t="str">
        <f>VLOOKUP(A2198, Currency!$A$2:$B$100, 2, FALSE)</f>
        <v>EUR</v>
      </c>
      <c r="F2198" s="12">
        <f ca="1">IFERROR(__xludf.DUMMYFUNCTION("IF(E2198=""USD"",B2198,B2198 * GOOGLEFINANCE(""CURRENCY:"" &amp; E2198 &amp; ""USD""))
"),30372720)</f>
        <v>30372720</v>
      </c>
      <c r="G2198" s="13">
        <f ca="1">IFERROR(__xludf.DUMMYFUNCTION("IF(E2198=""USD"",C2198,C2198 * GOOGLEFINANCE(""CURRENCY:"" &amp; E2198 &amp; ""USD""))
"),48989831.67234)</f>
        <v>48989831.672339998</v>
      </c>
    </row>
    <row r="2199" spans="1:7" ht="15.75" customHeight="1" x14ac:dyDescent="0.25">
      <c r="A2199" s="14" t="s">
        <v>24</v>
      </c>
      <c r="B2199" s="15">
        <v>16000000</v>
      </c>
      <c r="C2199" s="15">
        <v>9172810</v>
      </c>
      <c r="D2199" s="15">
        <v>2007</v>
      </c>
      <c r="E2199" s="15" t="str">
        <f>VLOOKUP(A2199, Currency!$A$2:$B$100, 2, FALSE)</f>
        <v>USD</v>
      </c>
      <c r="F2199" s="15">
        <f ca="1">IFERROR(__xludf.DUMMYFUNCTION("IF(E2199=""USD"",B2199,B2199 * GOOGLEFINANCE(""CURRENCY:"" &amp; E2199 &amp; ""USD""))
"),16000000)</f>
        <v>16000000</v>
      </c>
      <c r="G2199" s="16">
        <f ca="1">IFERROR(__xludf.DUMMYFUNCTION("IF(E2199=""USD"",C2199,C2199 * GOOGLEFINANCE(""CURRENCY:"" &amp; E2199 &amp; ""USD""))
"),9172810)</f>
        <v>9172810</v>
      </c>
    </row>
    <row r="2200" spans="1:7" ht="15.75" customHeight="1" x14ac:dyDescent="0.25">
      <c r="A2200" s="11" t="s">
        <v>24</v>
      </c>
      <c r="B2200" s="12">
        <v>40000000</v>
      </c>
      <c r="C2200" s="12">
        <v>74098862</v>
      </c>
      <c r="D2200" s="12">
        <v>2005</v>
      </c>
      <c r="E2200" s="12" t="str">
        <f>VLOOKUP(A2200, Currency!$A$2:$B$100, 2, FALSE)</f>
        <v>USD</v>
      </c>
      <c r="F2200" s="12">
        <f ca="1">IFERROR(__xludf.DUMMYFUNCTION("IF(E2200=""USD"",B2200,B2200 * GOOGLEFINANCE(""CURRENCY:"" &amp; E2200 &amp; ""USD""))
"),40000000)</f>
        <v>40000000</v>
      </c>
      <c r="G2200" s="13">
        <f ca="1">IFERROR(__xludf.DUMMYFUNCTION("IF(E2200=""USD"",C2200,C2200 * GOOGLEFINANCE(""CURRENCY:"" &amp; E2200 &amp; ""USD""))
"),74098862)</f>
        <v>74098862</v>
      </c>
    </row>
    <row r="2201" spans="1:7" ht="15.75" customHeight="1" x14ac:dyDescent="0.25">
      <c r="A2201" s="14" t="s">
        <v>133</v>
      </c>
      <c r="B2201" s="15">
        <v>17000000</v>
      </c>
      <c r="C2201" s="15">
        <v>16311763</v>
      </c>
      <c r="D2201" s="15">
        <v>1998</v>
      </c>
      <c r="E2201" s="15" t="str">
        <f>VLOOKUP(A2201, Currency!$A$2:$B$100, 2, FALSE)</f>
        <v>GBP</v>
      </c>
      <c r="F2201" s="15">
        <f ca="1">IFERROR(__xludf.DUMMYFUNCTION("IF(E2201=""USD"",B2201,B2201 * GOOGLEFINANCE(""CURRENCY:"" &amp; E2201 &amp; ""USD""))
"),21851799.9999999)</f>
        <v>21851799.999999899</v>
      </c>
      <c r="G2201" s="16">
        <f ca="1">IFERROR(__xludf.DUMMYFUNCTION("IF(E2201=""USD"",C2201,C2201 * GOOGLEFINANCE(""CURRENCY:"" &amp; E2201 &amp; ""USD""))
"),20967140.1602)</f>
        <v>20967140.1602</v>
      </c>
    </row>
    <row r="2202" spans="1:7" ht="15.75" customHeight="1" x14ac:dyDescent="0.25">
      <c r="A2202" s="11" t="s">
        <v>24</v>
      </c>
      <c r="B2202" s="12">
        <v>30250000</v>
      </c>
      <c r="C2202" s="12">
        <v>72077000</v>
      </c>
      <c r="D2202" s="12">
        <v>1995</v>
      </c>
      <c r="E2202" s="12" t="str">
        <f>VLOOKUP(A2202, Currency!$A$2:$B$100, 2, FALSE)</f>
        <v>USD</v>
      </c>
      <c r="F2202" s="12">
        <f ca="1">IFERROR(__xludf.DUMMYFUNCTION("IF(E2202=""USD"",B2202,B2202 * GOOGLEFINANCE(""CURRENCY:"" &amp; E2202 &amp; ""USD""))
"),30250000)</f>
        <v>30250000</v>
      </c>
      <c r="G2202" s="13">
        <f ca="1">IFERROR(__xludf.DUMMYFUNCTION("IF(E2202=""USD"",C2202,C2202 * GOOGLEFINANCE(""CURRENCY:"" &amp; E2202 &amp; ""USD""))
"),72077000)</f>
        <v>72077000</v>
      </c>
    </row>
    <row r="2203" spans="1:7" ht="15.75" customHeight="1" x14ac:dyDescent="0.25">
      <c r="A2203" s="14" t="s">
        <v>24</v>
      </c>
      <c r="B2203" s="15">
        <v>14000000</v>
      </c>
      <c r="C2203" s="15">
        <v>234760500</v>
      </c>
      <c r="D2203" s="15">
        <v>1984</v>
      </c>
      <c r="E2203" s="15" t="str">
        <f>VLOOKUP(A2203, Currency!$A$2:$B$100, 2, FALSE)</f>
        <v>USD</v>
      </c>
      <c r="F2203" s="15">
        <f ca="1">IFERROR(__xludf.DUMMYFUNCTION("IF(E2203=""USD"",B2203,B2203 * GOOGLEFINANCE(""CURRENCY:"" &amp; E2203 &amp; ""USD""))
"),14000000)</f>
        <v>14000000</v>
      </c>
      <c r="G2203" s="16">
        <f ca="1">IFERROR(__xludf.DUMMYFUNCTION("IF(E2203=""USD"",C2203,C2203 * GOOGLEFINANCE(""CURRENCY:"" &amp; E2203 &amp; ""USD""))
"),234760500)</f>
        <v>234760500</v>
      </c>
    </row>
    <row r="2204" spans="1:7" ht="15.75" customHeight="1" x14ac:dyDescent="0.25">
      <c r="A2204" s="11" t="s">
        <v>24</v>
      </c>
      <c r="B2204" s="12">
        <v>21000000</v>
      </c>
      <c r="C2204" s="12">
        <v>52353636</v>
      </c>
      <c r="D2204" s="12">
        <v>2001</v>
      </c>
      <c r="E2204" s="12" t="str">
        <f>VLOOKUP(A2204, Currency!$A$2:$B$100, 2, FALSE)</f>
        <v>USD</v>
      </c>
      <c r="F2204" s="12">
        <f ca="1">IFERROR(__xludf.DUMMYFUNCTION("IF(E2204=""USD"",B2204,B2204 * GOOGLEFINANCE(""CURRENCY:"" &amp; E2204 &amp; ""USD""))
"),21000000)</f>
        <v>21000000</v>
      </c>
      <c r="G2204" s="13">
        <f ca="1">IFERROR(__xludf.DUMMYFUNCTION("IF(E2204=""USD"",C2204,C2204 * GOOGLEFINANCE(""CURRENCY:"" &amp; E2204 &amp; ""USD""))
"),52353636)</f>
        <v>52353636</v>
      </c>
    </row>
    <row r="2205" spans="1:7" ht="15.75" customHeight="1" x14ac:dyDescent="0.25">
      <c r="A2205" s="14" t="s">
        <v>24</v>
      </c>
      <c r="B2205" s="15">
        <v>700000</v>
      </c>
      <c r="C2205" s="15">
        <v>7830611</v>
      </c>
      <c r="D2205" s="15">
        <v>1994</v>
      </c>
      <c r="E2205" s="15" t="str">
        <f>VLOOKUP(A2205, Currency!$A$2:$B$100, 2, FALSE)</f>
        <v>USD</v>
      </c>
      <c r="F2205" s="15">
        <f ca="1">IFERROR(__xludf.DUMMYFUNCTION("IF(E2205=""USD"",B2205,B2205 * GOOGLEFINANCE(""CURRENCY:"" &amp; E2205 &amp; ""USD""))
"),700000)</f>
        <v>700000</v>
      </c>
      <c r="G2205" s="16">
        <f ca="1">IFERROR(__xludf.DUMMYFUNCTION("IF(E2205=""USD"",C2205,C2205 * GOOGLEFINANCE(""CURRENCY:"" &amp; E2205 &amp; ""USD""))
"),7830611)</f>
        <v>7830611</v>
      </c>
    </row>
    <row r="2206" spans="1:7" ht="15.75" customHeight="1" x14ac:dyDescent="0.25">
      <c r="A2206" s="11" t="s">
        <v>24</v>
      </c>
      <c r="B2206" s="12">
        <v>15000000</v>
      </c>
      <c r="C2206" s="12">
        <v>73326666</v>
      </c>
      <c r="D2206" s="12">
        <v>1988</v>
      </c>
      <c r="E2206" s="12" t="str">
        <f>VLOOKUP(A2206, Currency!$A$2:$B$100, 2, FALSE)</f>
        <v>USD</v>
      </c>
      <c r="F2206" s="12">
        <f ca="1">IFERROR(__xludf.DUMMYFUNCTION("IF(E2206=""USD"",B2206,B2206 * GOOGLEFINANCE(""CURRENCY:"" &amp; E2206 &amp; ""USD""))
"),15000000)</f>
        <v>15000000</v>
      </c>
      <c r="G2206" s="13">
        <f ca="1">IFERROR(__xludf.DUMMYFUNCTION("IF(E2206=""USD"",C2206,C2206 * GOOGLEFINANCE(""CURRENCY:"" &amp; E2206 &amp; ""USD""))
"),73326666)</f>
        <v>73326666</v>
      </c>
    </row>
    <row r="2207" spans="1:7" ht="15.75" customHeight="1" x14ac:dyDescent="0.25">
      <c r="A2207" s="14" t="s">
        <v>24</v>
      </c>
      <c r="B2207" s="15">
        <v>23000</v>
      </c>
      <c r="C2207" s="15">
        <v>1227508</v>
      </c>
      <c r="D2207" s="15">
        <v>1991</v>
      </c>
      <c r="E2207" s="15" t="str">
        <f>VLOOKUP(A2207, Currency!$A$2:$B$100, 2, FALSE)</f>
        <v>USD</v>
      </c>
      <c r="F2207" s="15">
        <f ca="1">IFERROR(__xludf.DUMMYFUNCTION("IF(E2207=""USD"",B2207,B2207 * GOOGLEFINANCE(""CURRENCY:"" &amp; E2207 &amp; ""USD""))
"),23000)</f>
        <v>23000</v>
      </c>
      <c r="G2207" s="16">
        <f ca="1">IFERROR(__xludf.DUMMYFUNCTION("IF(E2207=""USD"",C2207,C2207 * GOOGLEFINANCE(""CURRENCY:"" &amp; E2207 &amp; ""USD""))
"),1227508)</f>
        <v>1227508</v>
      </c>
    </row>
    <row r="2208" spans="1:7" ht="15.75" customHeight="1" x14ac:dyDescent="0.25">
      <c r="A2208" s="11" t="s">
        <v>24</v>
      </c>
      <c r="B2208" s="12">
        <v>1200000</v>
      </c>
      <c r="C2208" s="12">
        <v>9180275</v>
      </c>
      <c r="D2208" s="12">
        <v>2000</v>
      </c>
      <c r="E2208" s="12" t="str">
        <f>VLOOKUP(A2208, Currency!$A$2:$B$100, 2, FALSE)</f>
        <v>USD</v>
      </c>
      <c r="F2208" s="12">
        <f ca="1">IFERROR(__xludf.DUMMYFUNCTION("IF(E2208=""USD"",B2208,B2208 * GOOGLEFINANCE(""CURRENCY:"" &amp; E2208 &amp; ""USD""))
"),1200000)</f>
        <v>1200000</v>
      </c>
      <c r="G2208" s="13">
        <f ca="1">IFERROR(__xludf.DUMMYFUNCTION("IF(E2208=""USD"",C2208,C2208 * GOOGLEFINANCE(""CURRENCY:"" &amp; E2208 &amp; ""USD""))
"),9180275)</f>
        <v>9180275</v>
      </c>
    </row>
    <row r="2209" spans="1:7" ht="15.75" customHeight="1" x14ac:dyDescent="0.25">
      <c r="A2209" s="14" t="s">
        <v>24</v>
      </c>
      <c r="B2209" s="15">
        <v>12000000</v>
      </c>
      <c r="C2209" s="15">
        <v>5032496</v>
      </c>
      <c r="D2209" s="15">
        <v>1998</v>
      </c>
      <c r="E2209" s="15" t="str">
        <f>VLOOKUP(A2209, Currency!$A$2:$B$100, 2, FALSE)</f>
        <v>USD</v>
      </c>
      <c r="F2209" s="15">
        <f ca="1">IFERROR(__xludf.DUMMYFUNCTION("IF(E2209=""USD"",B2209,B2209 * GOOGLEFINANCE(""CURRENCY:"" &amp; E2209 &amp; ""USD""))
"),12000000)</f>
        <v>12000000</v>
      </c>
      <c r="G2209" s="16">
        <f ca="1">IFERROR(__xludf.DUMMYFUNCTION("IF(E2209=""USD"",C2209,C2209 * GOOGLEFINANCE(""CURRENCY:"" &amp; E2209 &amp; ""USD""))
"),5032496)</f>
        <v>5032496</v>
      </c>
    </row>
    <row r="2210" spans="1:7" ht="15.75" customHeight="1" x14ac:dyDescent="0.25">
      <c r="A2210" s="11" t="s">
        <v>133</v>
      </c>
      <c r="B2210" s="12">
        <v>6400000</v>
      </c>
      <c r="C2210" s="12">
        <v>14597405</v>
      </c>
      <c r="D2210" s="12">
        <v>2011</v>
      </c>
      <c r="E2210" s="12" t="str">
        <f>VLOOKUP(A2210, Currency!$A$2:$B$100, 2, FALSE)</f>
        <v>GBP</v>
      </c>
      <c r="F2210" s="12">
        <f ca="1">IFERROR(__xludf.DUMMYFUNCTION("IF(E2210=""USD"",B2210,B2210 * GOOGLEFINANCE(""CURRENCY:"" &amp; E2210 &amp; ""USD""))
"),8226559.99999999)</f>
        <v>8226559.9999999898</v>
      </c>
      <c r="G2210" s="13">
        <f ca="1">IFERROR(__xludf.DUMMYFUNCTION("IF(E2210=""USD"",C2210,C2210 * GOOGLEFINANCE(""CURRENCY:"" &amp; E2210 &amp; ""USD""))
"),18763504.387)</f>
        <v>18763504.386999998</v>
      </c>
    </row>
    <row r="2211" spans="1:7" ht="15.75" customHeight="1" x14ac:dyDescent="0.25">
      <c r="A2211" s="14" t="s">
        <v>24</v>
      </c>
      <c r="B2211" s="15">
        <v>1200000</v>
      </c>
      <c r="C2211" s="15">
        <v>55153403</v>
      </c>
      <c r="D2211" s="15">
        <v>2004</v>
      </c>
      <c r="E2211" s="15" t="str">
        <f>VLOOKUP(A2211, Currency!$A$2:$B$100, 2, FALSE)</f>
        <v>USD</v>
      </c>
      <c r="F2211" s="15">
        <f ca="1">IFERROR(__xludf.DUMMYFUNCTION("IF(E2211=""USD"",B2211,B2211 * GOOGLEFINANCE(""CURRENCY:"" &amp; E2211 &amp; ""USD""))
"),1200000)</f>
        <v>1200000</v>
      </c>
      <c r="G2211" s="16">
        <f ca="1">IFERROR(__xludf.DUMMYFUNCTION("IF(E2211=""USD"",C2211,C2211 * GOOGLEFINANCE(""CURRENCY:"" &amp; E2211 &amp; ""USD""))
"),55153403)</f>
        <v>55153403</v>
      </c>
    </row>
    <row r="2212" spans="1:7" ht="15.75" customHeight="1" x14ac:dyDescent="0.25">
      <c r="A2212" s="11" t="s">
        <v>24</v>
      </c>
      <c r="B2212" s="12">
        <v>60000000</v>
      </c>
      <c r="C2212" s="12">
        <v>51045801</v>
      </c>
      <c r="D2212" s="12">
        <v>1996</v>
      </c>
      <c r="E2212" s="12" t="str">
        <f>VLOOKUP(A2212, Currency!$A$2:$B$100, 2, FALSE)</f>
        <v>USD</v>
      </c>
      <c r="F2212" s="12">
        <f ca="1">IFERROR(__xludf.DUMMYFUNCTION("IF(E2212=""USD"",B2212,B2212 * GOOGLEFINANCE(""CURRENCY:"" &amp; E2212 &amp; ""USD""))
"),60000000)</f>
        <v>60000000</v>
      </c>
      <c r="G2212" s="13">
        <f ca="1">IFERROR(__xludf.DUMMYFUNCTION("IF(E2212=""USD"",C2212,C2212 * GOOGLEFINANCE(""CURRENCY:"" &amp; E2212 &amp; ""USD""))
"),51045801)</f>
        <v>51045801</v>
      </c>
    </row>
    <row r="2213" spans="1:7" ht="15.75" customHeight="1" x14ac:dyDescent="0.25">
      <c r="A2213" s="14" t="s">
        <v>24</v>
      </c>
      <c r="B2213" s="15">
        <v>1900000</v>
      </c>
      <c r="C2213" s="15">
        <v>444044</v>
      </c>
      <c r="D2213" s="15">
        <v>2015</v>
      </c>
      <c r="E2213" s="15" t="str">
        <f>VLOOKUP(A2213, Currency!$A$2:$B$100, 2, FALSE)</f>
        <v>USD</v>
      </c>
      <c r="F2213" s="15">
        <f ca="1">IFERROR(__xludf.DUMMYFUNCTION("IF(E2213=""USD"",B2213,B2213 * GOOGLEFINANCE(""CURRENCY:"" &amp; E2213 &amp; ""USD""))
"),1900000)</f>
        <v>1900000</v>
      </c>
      <c r="G2213" s="16">
        <f ca="1">IFERROR(__xludf.DUMMYFUNCTION("IF(E2213=""USD"",C2213,C2213 * GOOGLEFINANCE(""CURRENCY:"" &amp; E2213 &amp; ""USD""))
"),444044)</f>
        <v>444044</v>
      </c>
    </row>
    <row r="2214" spans="1:7" ht="15.75" customHeight="1" x14ac:dyDescent="0.25">
      <c r="A2214" s="11" t="s">
        <v>24</v>
      </c>
      <c r="B2214" s="12">
        <v>115000000</v>
      </c>
      <c r="C2214" s="12">
        <v>310675583</v>
      </c>
      <c r="D2214" s="12">
        <v>2002</v>
      </c>
      <c r="E2214" s="12" t="str">
        <f>VLOOKUP(A2214, Currency!$A$2:$B$100, 2, FALSE)</f>
        <v>USD</v>
      </c>
      <c r="F2214" s="12">
        <f ca="1">IFERROR(__xludf.DUMMYFUNCTION("IF(E2214=""USD"",B2214,B2214 * GOOGLEFINANCE(""CURRENCY:"" &amp; E2214 &amp; ""USD""))
"),115000000)</f>
        <v>115000000</v>
      </c>
      <c r="G2214" s="13">
        <f ca="1">IFERROR(__xludf.DUMMYFUNCTION("IF(E2214=""USD"",C2214,C2214 * GOOGLEFINANCE(""CURRENCY:"" &amp; E2214 &amp; ""USD""))
"),310675583)</f>
        <v>310675583</v>
      </c>
    </row>
    <row r="2215" spans="1:7" ht="15.75" customHeight="1" x14ac:dyDescent="0.25">
      <c r="A2215" s="14" t="s">
        <v>24</v>
      </c>
      <c r="B2215" s="15">
        <v>55000000</v>
      </c>
      <c r="C2215" s="15">
        <v>329691196</v>
      </c>
      <c r="D2215" s="15">
        <v>1994</v>
      </c>
      <c r="E2215" s="15" t="str">
        <f>VLOOKUP(A2215, Currency!$A$2:$B$100, 2, FALSE)</f>
        <v>USD</v>
      </c>
      <c r="F2215" s="15">
        <f ca="1">IFERROR(__xludf.DUMMYFUNCTION("IF(E2215=""USD"",B2215,B2215 * GOOGLEFINANCE(""CURRENCY:"" &amp; E2215 &amp; ""USD""))
"),55000000)</f>
        <v>55000000</v>
      </c>
      <c r="G2215" s="16">
        <f ca="1">IFERROR(__xludf.DUMMYFUNCTION("IF(E2215=""USD"",C2215,C2215 * GOOGLEFINANCE(""CURRENCY:"" &amp; E2215 &amp; ""USD""))
"),329691196)</f>
        <v>329691196</v>
      </c>
    </row>
    <row r="2216" spans="1:7" ht="15.75" customHeight="1" x14ac:dyDescent="0.25">
      <c r="A2216" s="11" t="s">
        <v>24</v>
      </c>
      <c r="B2216" s="12">
        <v>6500000</v>
      </c>
      <c r="C2216" s="12">
        <v>24792061</v>
      </c>
      <c r="D2216" s="12">
        <v>2005</v>
      </c>
      <c r="E2216" s="12" t="str">
        <f>VLOOKUP(A2216, Currency!$A$2:$B$100, 2, FALSE)</f>
        <v>USD</v>
      </c>
      <c r="F2216" s="12">
        <f ca="1">IFERROR(__xludf.DUMMYFUNCTION("IF(E2216=""USD"",B2216,B2216 * GOOGLEFINANCE(""CURRENCY:"" &amp; E2216 &amp; ""USD""))
"),6500000)</f>
        <v>6500000</v>
      </c>
      <c r="G2216" s="13">
        <f ca="1">IFERROR(__xludf.DUMMYFUNCTION("IF(E2216=""USD"",C2216,C2216 * GOOGLEFINANCE(""CURRENCY:"" &amp; E2216 &amp; ""USD""))
"),24792061)</f>
        <v>24792061</v>
      </c>
    </row>
    <row r="2217" spans="1:7" ht="15.75" customHeight="1" x14ac:dyDescent="0.25">
      <c r="A2217" s="14" t="s">
        <v>24</v>
      </c>
      <c r="B2217" s="15">
        <v>10000000</v>
      </c>
      <c r="C2217" s="15">
        <v>18272447</v>
      </c>
      <c r="D2217" s="15">
        <v>1993</v>
      </c>
      <c r="E2217" s="15" t="str">
        <f>VLOOKUP(A2217, Currency!$A$2:$B$100, 2, FALSE)</f>
        <v>USD</v>
      </c>
      <c r="F2217" s="15">
        <f ca="1">IFERROR(__xludf.DUMMYFUNCTION("IF(E2217=""USD"",B2217,B2217 * GOOGLEFINANCE(""CURRENCY:"" &amp; E2217 &amp; ""USD""))
"),10000000)</f>
        <v>10000000</v>
      </c>
      <c r="G2217" s="16">
        <f ca="1">IFERROR(__xludf.DUMMYFUNCTION("IF(E2217=""USD"",C2217,C2217 * GOOGLEFINANCE(""CURRENCY:"" &amp; E2217 &amp; ""USD""))
"),18272447)</f>
        <v>18272447</v>
      </c>
    </row>
    <row r="2218" spans="1:7" ht="15.75" customHeight="1" x14ac:dyDescent="0.25">
      <c r="A2218" s="11" t="s">
        <v>24</v>
      </c>
      <c r="B2218" s="12">
        <v>115000000</v>
      </c>
      <c r="C2218" s="12">
        <v>474544677</v>
      </c>
      <c r="D2218" s="12">
        <v>1999</v>
      </c>
      <c r="E2218" s="12" t="str">
        <f>VLOOKUP(A2218, Currency!$A$2:$B$100, 2, FALSE)</f>
        <v>USD</v>
      </c>
      <c r="F2218" s="12">
        <f ca="1">IFERROR(__xludf.DUMMYFUNCTION("IF(E2218=""USD"",B2218,B2218 * GOOGLEFINANCE(""CURRENCY:"" &amp; E2218 &amp; ""USD""))
"),115000000)</f>
        <v>115000000</v>
      </c>
      <c r="G2218" s="13">
        <f ca="1">IFERROR(__xludf.DUMMYFUNCTION("IF(E2218=""USD"",C2218,C2218 * GOOGLEFINANCE(""CURRENCY:"" &amp; E2218 &amp; ""USD""))
"),474544677)</f>
        <v>474544677</v>
      </c>
    </row>
    <row r="2219" spans="1:7" ht="15.75" customHeight="1" x14ac:dyDescent="0.25">
      <c r="A2219" s="14" t="s">
        <v>24</v>
      </c>
      <c r="B2219" s="15">
        <v>3000000</v>
      </c>
      <c r="C2219" s="15">
        <v>11642254</v>
      </c>
      <c r="D2219" s="15">
        <v>1989</v>
      </c>
      <c r="E2219" s="15" t="str">
        <f>VLOOKUP(A2219, Currency!$A$2:$B$100, 2, FALSE)</f>
        <v>USD</v>
      </c>
      <c r="F2219" s="15">
        <f ca="1">IFERROR(__xludf.DUMMYFUNCTION("IF(E2219=""USD"",B2219,B2219 * GOOGLEFINANCE(""CURRENCY:"" &amp; E2219 &amp; ""USD""))
"),3000000)</f>
        <v>3000000</v>
      </c>
      <c r="G2219" s="16">
        <f ca="1">IFERROR(__xludf.DUMMYFUNCTION("IF(E2219=""USD"",C2219,C2219 * GOOGLEFINANCE(""CURRENCY:"" &amp; E2219 &amp; ""USD""))
"),11642254)</f>
        <v>11642254</v>
      </c>
    </row>
    <row r="2220" spans="1:7" ht="15.75" customHeight="1" x14ac:dyDescent="0.25">
      <c r="A2220" s="11" t="s">
        <v>176</v>
      </c>
      <c r="B2220" s="12">
        <v>60000000</v>
      </c>
      <c r="C2220" s="12">
        <v>17281832</v>
      </c>
      <c r="D2220" s="12">
        <v>2008</v>
      </c>
      <c r="E2220" s="12" t="str">
        <f>VLOOKUP(A2220, Currency!$A$2:$B$100, 2, FALSE)</f>
        <v>EUR</v>
      </c>
      <c r="F2220" s="12">
        <f ca="1">IFERROR(__xludf.DUMMYFUNCTION("IF(E2220=""USD"",B2220,B2220 * GOOGLEFINANCE(""CURRENCY:"" &amp; E2220 &amp; ""USD""))
"),65084400)</f>
        <v>65084400</v>
      </c>
      <c r="G2220" s="13">
        <f ca="1">IFERROR(__xludf.DUMMYFUNCTION("IF(E2220=""USD"",C2220,C2220 * GOOGLEFINANCE(""CURRENCY:"" &amp; E2220 &amp; ""USD""))
"),18746294.44368)</f>
        <v>18746294.44368</v>
      </c>
    </row>
    <row r="2221" spans="1:7" ht="15.75" customHeight="1" x14ac:dyDescent="0.25">
      <c r="A2221" s="14" t="s">
        <v>176</v>
      </c>
      <c r="B2221" s="15">
        <v>80000000</v>
      </c>
      <c r="C2221" s="15">
        <v>120136047</v>
      </c>
      <c r="D2221" s="15">
        <v>2008</v>
      </c>
      <c r="E2221" s="15" t="str">
        <f>VLOOKUP(A2221, Currency!$A$2:$B$100, 2, FALSE)</f>
        <v>EUR</v>
      </c>
      <c r="F2221" s="15">
        <f ca="1">IFERROR(__xludf.DUMMYFUNCTION("IF(E2221=""USD"",B2221,B2221 * GOOGLEFINANCE(""CURRENCY:"" &amp; E2221 &amp; ""USD""))
"),86779200)</f>
        <v>86779200</v>
      </c>
      <c r="G2221" s="16">
        <f ca="1">IFERROR(__xludf.DUMMYFUNCTION("IF(E2221=""USD"",C2221,C2221 * GOOGLEFINANCE(""CURRENCY:"" &amp; E2221 &amp; ""USD""))
"),130316375.62278)</f>
        <v>130316375.62278</v>
      </c>
    </row>
    <row r="2222" spans="1:7" ht="15.75" customHeight="1" x14ac:dyDescent="0.25">
      <c r="A2222" s="11" t="s">
        <v>24</v>
      </c>
      <c r="B2222" s="12">
        <v>110000000</v>
      </c>
      <c r="C2222" s="12">
        <v>102608827</v>
      </c>
      <c r="D2222" s="12">
        <v>2004</v>
      </c>
      <c r="E2222" s="12" t="str">
        <f>VLOOKUP(A2222, Currency!$A$2:$B$100, 2, FALSE)</f>
        <v>USD</v>
      </c>
      <c r="F2222" s="12">
        <f ca="1">IFERROR(__xludf.DUMMYFUNCTION("IF(E2222=""USD"",B2222,B2222 * GOOGLEFINANCE(""CURRENCY:"" &amp; E2222 &amp; ""USD""))
"),110000000)</f>
        <v>110000000</v>
      </c>
      <c r="G2222" s="13">
        <f ca="1">IFERROR(__xludf.DUMMYFUNCTION("IF(E2222=""USD"",C2222,C2222 * GOOGLEFINANCE(""CURRENCY:"" &amp; E2222 &amp; ""USD""))
"),102608827)</f>
        <v>102608827</v>
      </c>
    </row>
    <row r="2223" spans="1:7" ht="15.75" customHeight="1" x14ac:dyDescent="0.25">
      <c r="A2223" s="14" t="s">
        <v>24</v>
      </c>
      <c r="B2223" s="15">
        <v>29000000</v>
      </c>
      <c r="C2223" s="15">
        <v>63034755</v>
      </c>
      <c r="D2223" s="15">
        <v>2016</v>
      </c>
      <c r="E2223" s="15" t="str">
        <f>VLOOKUP(A2223, Currency!$A$2:$B$100, 2, FALSE)</f>
        <v>USD</v>
      </c>
      <c r="F2223" s="15">
        <f ca="1">IFERROR(__xludf.DUMMYFUNCTION("IF(E2223=""USD"",B2223,B2223 * GOOGLEFINANCE(""CURRENCY:"" &amp; E2223 &amp; ""USD""))
"),29000000)</f>
        <v>29000000</v>
      </c>
      <c r="G2223" s="16">
        <f ca="1">IFERROR(__xludf.DUMMYFUNCTION("IF(E2223=""USD"",C2223,C2223 * GOOGLEFINANCE(""CURRENCY:"" &amp; E2223 &amp; ""USD""))
"),63034755)</f>
        <v>63034755</v>
      </c>
    </row>
    <row r="2224" spans="1:7" ht="15.75" customHeight="1" x14ac:dyDescent="0.25">
      <c r="A2224" s="11" t="s">
        <v>24</v>
      </c>
      <c r="B2224" s="12">
        <v>115000000</v>
      </c>
      <c r="C2224" s="12">
        <v>47952020</v>
      </c>
      <c r="D2224" s="12">
        <v>2016</v>
      </c>
      <c r="E2224" s="12" t="str">
        <f>VLOOKUP(A2224, Currency!$A$2:$B$100, 2, FALSE)</f>
        <v>USD</v>
      </c>
      <c r="F2224" s="12">
        <f ca="1">IFERROR(__xludf.DUMMYFUNCTION("IF(E2224=""USD"",B2224,B2224 * GOOGLEFINANCE(""CURRENCY:"" &amp; E2224 &amp; ""USD""))
"),115000000)</f>
        <v>115000000</v>
      </c>
      <c r="G2224" s="13">
        <f ca="1">IFERROR(__xludf.DUMMYFUNCTION("IF(E2224=""USD"",C2224,C2224 * GOOGLEFINANCE(""CURRENCY:"" &amp; E2224 &amp; ""USD""))
"),47952020)</f>
        <v>47952020</v>
      </c>
    </row>
    <row r="2225" spans="1:7" ht="15.75" customHeight="1" x14ac:dyDescent="0.25">
      <c r="A2225" s="14" t="s">
        <v>24</v>
      </c>
      <c r="B2225" s="15">
        <v>37000000</v>
      </c>
      <c r="C2225" s="15">
        <v>191449475</v>
      </c>
      <c r="D2225" s="15">
        <v>2008</v>
      </c>
      <c r="E2225" s="15" t="str">
        <f>VLOOKUP(A2225, Currency!$A$2:$B$100, 2, FALSE)</f>
        <v>USD</v>
      </c>
      <c r="F2225" s="15">
        <f ca="1">IFERROR(__xludf.DUMMYFUNCTION("IF(E2225=""USD"",B2225,B2225 * GOOGLEFINANCE(""CURRENCY:"" &amp; E2225 &amp; ""USD""))
"),37000000)</f>
        <v>37000000</v>
      </c>
      <c r="G2225" s="16">
        <f ca="1">IFERROR(__xludf.DUMMYFUNCTION("IF(E2225=""USD"",C2225,C2225 * GOOGLEFINANCE(""CURRENCY:"" &amp; E2225 &amp; ""USD""))
"),191449475)</f>
        <v>191449475</v>
      </c>
    </row>
    <row r="2226" spans="1:7" ht="15.75" customHeight="1" x14ac:dyDescent="0.25">
      <c r="A2226" s="11" t="s">
        <v>24</v>
      </c>
      <c r="B2226" s="12">
        <v>40000000</v>
      </c>
      <c r="C2226" s="12">
        <v>72306065</v>
      </c>
      <c r="D2226" s="12">
        <v>2015</v>
      </c>
      <c r="E2226" s="12" t="str">
        <f>VLOOKUP(A2226, Currency!$A$2:$B$100, 2, FALSE)</f>
        <v>USD</v>
      </c>
      <c r="F2226" s="12">
        <f ca="1">IFERROR(__xludf.DUMMYFUNCTION("IF(E2226=""USD"",B2226,B2226 * GOOGLEFINANCE(""CURRENCY:"" &amp; E2226 &amp; ""USD""))
"),40000000)</f>
        <v>40000000</v>
      </c>
      <c r="G2226" s="13">
        <f ca="1">IFERROR(__xludf.DUMMYFUNCTION("IF(E2226=""USD"",C2226,C2226 * GOOGLEFINANCE(""CURRENCY:"" &amp; E2226 &amp; ""USD""))
"),72306065)</f>
        <v>72306065</v>
      </c>
    </row>
    <row r="2227" spans="1:7" ht="15.75" customHeight="1" x14ac:dyDescent="0.25">
      <c r="A2227" s="14" t="s">
        <v>611</v>
      </c>
      <c r="B2227" s="15">
        <v>5000000</v>
      </c>
      <c r="C2227" s="15">
        <v>15152879</v>
      </c>
      <c r="D2227" s="15">
        <v>2013</v>
      </c>
      <c r="E2227" s="15" t="str">
        <f>VLOOKUP(A2227, Currency!$A$2:$B$100, 2, FALSE)</f>
        <v>EUR</v>
      </c>
      <c r="F2227" s="15">
        <f ca="1">IFERROR(__xludf.DUMMYFUNCTION("IF(E2227=""USD"",B2227,B2227 * GOOGLEFINANCE(""CURRENCY:"" &amp; E2227 &amp; ""USD""))
"),5423700)</f>
        <v>5423700</v>
      </c>
      <c r="G2227" s="16">
        <f ca="1">IFERROR(__xludf.DUMMYFUNCTION("IF(E2227=""USD"",C2227,C2227 * GOOGLEFINANCE(""CURRENCY:"" &amp; E2227 &amp; ""USD""))
"),16436933.96646)</f>
        <v>16436933.966460001</v>
      </c>
    </row>
    <row r="2228" spans="1:7" ht="15.75" customHeight="1" x14ac:dyDescent="0.25">
      <c r="A2228" s="11" t="s">
        <v>24</v>
      </c>
      <c r="B2228" s="12">
        <v>65000000</v>
      </c>
      <c r="C2228" s="12">
        <v>36830057</v>
      </c>
      <c r="D2228" s="12">
        <v>1999</v>
      </c>
      <c r="E2228" s="12" t="str">
        <f>VLOOKUP(A2228, Currency!$A$2:$B$100, 2, FALSE)</f>
        <v>USD</v>
      </c>
      <c r="F2228" s="12">
        <f ca="1">IFERROR(__xludf.DUMMYFUNCTION("IF(E2228=""USD"",B2228,B2228 * GOOGLEFINANCE(""CURRENCY:"" &amp; E2228 &amp; ""USD""))
"),65000000)</f>
        <v>65000000</v>
      </c>
      <c r="G2228" s="13">
        <f ca="1">IFERROR(__xludf.DUMMYFUNCTION("IF(E2228=""USD"",C2228,C2228 * GOOGLEFINANCE(""CURRENCY:"" &amp; E2228 &amp; ""USD""))
"),36830057)</f>
        <v>36830057</v>
      </c>
    </row>
    <row r="2229" spans="1:7" ht="15.75" customHeight="1" x14ac:dyDescent="0.25">
      <c r="A2229" s="14" t="s">
        <v>24</v>
      </c>
      <c r="B2229" s="15">
        <v>80000000</v>
      </c>
      <c r="C2229" s="15">
        <v>104054514</v>
      </c>
      <c r="D2229" s="15">
        <v>2002</v>
      </c>
      <c r="E2229" s="15" t="str">
        <f>VLOOKUP(A2229, Currency!$A$2:$B$100, 2, FALSE)</f>
        <v>USD</v>
      </c>
      <c r="F2229" s="15">
        <f ca="1">IFERROR(__xludf.DUMMYFUNCTION("IF(E2229=""USD"",B2229,B2229 * GOOGLEFINANCE(""CURRENCY:"" &amp; E2229 &amp; ""USD""))
"),80000000)</f>
        <v>80000000</v>
      </c>
      <c r="G2229" s="16">
        <f ca="1">IFERROR(__xludf.DUMMYFUNCTION("IF(E2229=""USD"",C2229,C2229 * GOOGLEFINANCE(""CURRENCY:"" &amp; E2229 &amp; ""USD""))
"),104054514)</f>
        <v>104054514</v>
      </c>
    </row>
    <row r="2230" spans="1:7" ht="15.75" customHeight="1" x14ac:dyDescent="0.25">
      <c r="A2230" s="11" t="s">
        <v>24</v>
      </c>
      <c r="B2230" s="12">
        <v>15000000</v>
      </c>
      <c r="C2230" s="12">
        <v>12549485</v>
      </c>
      <c r="D2230" s="12">
        <v>2006</v>
      </c>
      <c r="E2230" s="12" t="str">
        <f>VLOOKUP(A2230, Currency!$A$2:$B$100, 2, FALSE)</f>
        <v>USD</v>
      </c>
      <c r="F2230" s="12">
        <f ca="1">IFERROR(__xludf.DUMMYFUNCTION("IF(E2230=""USD"",B2230,B2230 * GOOGLEFINANCE(""CURRENCY:"" &amp; E2230 &amp; ""USD""))
"),15000000)</f>
        <v>15000000</v>
      </c>
      <c r="G2230" s="13">
        <f ca="1">IFERROR(__xludf.DUMMYFUNCTION("IF(E2230=""USD"",C2230,C2230 * GOOGLEFINANCE(""CURRENCY:"" &amp; E2230 &amp; ""USD""))
"),12549485)</f>
        <v>12549485</v>
      </c>
    </row>
    <row r="2231" spans="1:7" ht="15.75" customHeight="1" x14ac:dyDescent="0.25">
      <c r="A2231" s="14" t="s">
        <v>24</v>
      </c>
      <c r="B2231" s="15">
        <v>70000000</v>
      </c>
      <c r="C2231" s="15">
        <v>23159305</v>
      </c>
      <c r="D2231" s="15">
        <v>1999</v>
      </c>
      <c r="E2231" s="15" t="str">
        <f>VLOOKUP(A2231, Currency!$A$2:$B$100, 2, FALSE)</f>
        <v>USD</v>
      </c>
      <c r="F2231" s="15">
        <f ca="1">IFERROR(__xludf.DUMMYFUNCTION("IF(E2231=""USD"",B2231,B2231 * GOOGLEFINANCE(""CURRENCY:"" &amp; E2231 &amp; ""USD""))
"),70000000)</f>
        <v>70000000</v>
      </c>
      <c r="G2231" s="16">
        <f ca="1">IFERROR(__xludf.DUMMYFUNCTION("IF(E2231=""USD"",C2231,C2231 * GOOGLEFINANCE(""CURRENCY:"" &amp; E2231 &amp; ""USD""))
"),23159305)</f>
        <v>23159305</v>
      </c>
    </row>
    <row r="2232" spans="1:7" ht="15.75" customHeight="1" x14ac:dyDescent="0.25">
      <c r="A2232" s="11" t="s">
        <v>24</v>
      </c>
      <c r="B2232" s="12">
        <v>5000000</v>
      </c>
      <c r="C2232" s="12">
        <v>65087</v>
      </c>
      <c r="D2232" s="12">
        <v>2007</v>
      </c>
      <c r="E2232" s="12" t="str">
        <f>VLOOKUP(A2232, Currency!$A$2:$B$100, 2, FALSE)</f>
        <v>USD</v>
      </c>
      <c r="F2232" s="12">
        <f ca="1">IFERROR(__xludf.DUMMYFUNCTION("IF(E2232=""USD"",B2232,B2232 * GOOGLEFINANCE(""CURRENCY:"" &amp; E2232 &amp; ""USD""))
"),5000000)</f>
        <v>5000000</v>
      </c>
      <c r="G2232" s="13">
        <f ca="1">IFERROR(__xludf.DUMMYFUNCTION("IF(E2232=""USD"",C2232,C2232 * GOOGLEFINANCE(""CURRENCY:"" &amp; E2232 &amp; ""USD""))
"),65087)</f>
        <v>65087</v>
      </c>
    </row>
    <row r="2233" spans="1:7" ht="15.75" customHeight="1" x14ac:dyDescent="0.25">
      <c r="A2233" s="14" t="s">
        <v>24</v>
      </c>
      <c r="B2233" s="15">
        <v>37000000</v>
      </c>
      <c r="C2233" s="15">
        <v>92173235</v>
      </c>
      <c r="D2233" s="15">
        <v>2010</v>
      </c>
      <c r="E2233" s="15" t="str">
        <f>VLOOKUP(A2233, Currency!$A$2:$B$100, 2, FALSE)</f>
        <v>USD</v>
      </c>
      <c r="F2233" s="15">
        <f ca="1">IFERROR(__xludf.DUMMYFUNCTION("IF(E2233=""USD"",B2233,B2233 * GOOGLEFINANCE(""CURRENCY:"" &amp; E2233 &amp; ""USD""))
"),37000000)</f>
        <v>37000000</v>
      </c>
      <c r="G2233" s="16">
        <f ca="1">IFERROR(__xludf.DUMMYFUNCTION("IF(E2233=""USD"",C2233,C2233 * GOOGLEFINANCE(""CURRENCY:"" &amp; E2233 &amp; ""USD""))
"),92173235)</f>
        <v>92173235</v>
      </c>
    </row>
    <row r="2234" spans="1:7" ht="15.75" customHeight="1" x14ac:dyDescent="0.25">
      <c r="A2234" s="11" t="s">
        <v>24</v>
      </c>
      <c r="B2234" s="12">
        <v>12500000</v>
      </c>
      <c r="C2234" s="12">
        <v>10725228</v>
      </c>
      <c r="D2234" s="12">
        <v>1992</v>
      </c>
      <c r="E2234" s="12" t="str">
        <f>VLOOKUP(A2234, Currency!$A$2:$B$100, 2, FALSE)</f>
        <v>USD</v>
      </c>
      <c r="F2234" s="12">
        <f ca="1">IFERROR(__xludf.DUMMYFUNCTION("IF(E2234=""USD"",B2234,B2234 * GOOGLEFINANCE(""CURRENCY:"" &amp; E2234 &amp; ""USD""))
"),12500000)</f>
        <v>12500000</v>
      </c>
      <c r="G2234" s="13">
        <f ca="1">IFERROR(__xludf.DUMMYFUNCTION("IF(E2234=""USD"",C2234,C2234 * GOOGLEFINANCE(""CURRENCY:"" &amp; E2234 &amp; ""USD""))
"),10725228)</f>
        <v>10725228</v>
      </c>
    </row>
    <row r="2235" spans="1:7" ht="15.75" customHeight="1" x14ac:dyDescent="0.25">
      <c r="A2235" s="14" t="s">
        <v>24</v>
      </c>
      <c r="B2235" s="15">
        <v>35000000</v>
      </c>
      <c r="C2235" s="15">
        <v>81257845</v>
      </c>
      <c r="D2235" s="15">
        <v>2003</v>
      </c>
      <c r="E2235" s="15" t="str">
        <f>VLOOKUP(A2235, Currency!$A$2:$B$100, 2, FALSE)</f>
        <v>USD</v>
      </c>
      <c r="F2235" s="15">
        <f ca="1">IFERROR(__xludf.DUMMYFUNCTION("IF(E2235=""USD"",B2235,B2235 * GOOGLEFINANCE(""CURRENCY:"" &amp; E2235 &amp; ""USD""))
"),35000000)</f>
        <v>35000000</v>
      </c>
      <c r="G2235" s="16">
        <f ca="1">IFERROR(__xludf.DUMMYFUNCTION("IF(E2235=""USD"",C2235,C2235 * GOOGLEFINANCE(""CURRENCY:"" &amp; E2235 &amp; ""USD""))
"),81257845)</f>
        <v>81257845</v>
      </c>
    </row>
    <row r="2236" spans="1:7" ht="15.75" customHeight="1" x14ac:dyDescent="0.25">
      <c r="A2236" s="11" t="s">
        <v>24</v>
      </c>
      <c r="B2236" s="12">
        <v>8000000</v>
      </c>
      <c r="C2236" s="12">
        <v>58401464</v>
      </c>
      <c r="D2236" s="12">
        <v>2010</v>
      </c>
      <c r="E2236" s="12" t="str">
        <f>VLOOKUP(A2236, Currency!$A$2:$B$100, 2, FALSE)</f>
        <v>USD</v>
      </c>
      <c r="F2236" s="12">
        <f ca="1">IFERROR(__xludf.DUMMYFUNCTION("IF(E2236=""USD"",B2236,B2236 * GOOGLEFINANCE(""CURRENCY:"" &amp; E2236 &amp; ""USD""))
"),8000000)</f>
        <v>8000000</v>
      </c>
      <c r="G2236" s="13">
        <f ca="1">IFERROR(__xludf.DUMMYFUNCTION("IF(E2236=""USD"",C2236,C2236 * GOOGLEFINANCE(""CURRENCY:"" &amp; E2236 &amp; ""USD""))
"),58401464)</f>
        <v>58401464</v>
      </c>
    </row>
    <row r="2237" spans="1:7" ht="15.75" customHeight="1" x14ac:dyDescent="0.25">
      <c r="A2237" s="14" t="s">
        <v>24</v>
      </c>
      <c r="B2237" s="15">
        <v>40000000</v>
      </c>
      <c r="C2237" s="15">
        <v>59588068</v>
      </c>
      <c r="D2237" s="15">
        <v>2003</v>
      </c>
      <c r="E2237" s="15" t="str">
        <f>VLOOKUP(A2237, Currency!$A$2:$B$100, 2, FALSE)</f>
        <v>USD</v>
      </c>
      <c r="F2237" s="15">
        <f ca="1">IFERROR(__xludf.DUMMYFUNCTION("IF(E2237=""USD"",B2237,B2237 * GOOGLEFINANCE(""CURRENCY:"" &amp; E2237 &amp; ""USD""))
"),40000000)</f>
        <v>40000000</v>
      </c>
      <c r="G2237" s="16">
        <f ca="1">IFERROR(__xludf.DUMMYFUNCTION("IF(E2237=""USD"",C2237,C2237 * GOOGLEFINANCE(""CURRENCY:"" &amp; E2237 &amp; ""USD""))
"),59588068)</f>
        <v>59588068</v>
      </c>
    </row>
    <row r="2238" spans="1:7" ht="15.75" customHeight="1" x14ac:dyDescent="0.25">
      <c r="A2238" s="11" t="s">
        <v>24</v>
      </c>
      <c r="B2238" s="12">
        <v>60000000</v>
      </c>
      <c r="C2238" s="12">
        <v>35096190</v>
      </c>
      <c r="D2238" s="12">
        <v>2003</v>
      </c>
      <c r="E2238" s="12" t="str">
        <f>VLOOKUP(A2238, Currency!$A$2:$B$100, 2, FALSE)</f>
        <v>USD</v>
      </c>
      <c r="F2238" s="12">
        <f ca="1">IFERROR(__xludf.DUMMYFUNCTION("IF(E2238=""USD"",B2238,B2238 * GOOGLEFINANCE(""CURRENCY:"" &amp; E2238 &amp; ""USD""))
"),60000000)</f>
        <v>60000000</v>
      </c>
      <c r="G2238" s="13">
        <f ca="1">IFERROR(__xludf.DUMMYFUNCTION("IF(E2238=""USD"",C2238,C2238 * GOOGLEFINANCE(""CURRENCY:"" &amp; E2238 &amp; ""USD""))
"),35096190)</f>
        <v>35096190</v>
      </c>
    </row>
    <row r="2239" spans="1:7" ht="15.75" customHeight="1" x14ac:dyDescent="0.25">
      <c r="A2239" s="14" t="s">
        <v>24</v>
      </c>
      <c r="B2239" s="15">
        <v>64000000</v>
      </c>
      <c r="C2239" s="15">
        <v>58255287</v>
      </c>
      <c r="D2239" s="15">
        <v>2006</v>
      </c>
      <c r="E2239" s="15" t="str">
        <f>VLOOKUP(A2239, Currency!$A$2:$B$100, 2, FALSE)</f>
        <v>USD</v>
      </c>
      <c r="F2239" s="15">
        <f ca="1">IFERROR(__xludf.DUMMYFUNCTION("IF(E2239=""USD"",B2239,B2239 * GOOGLEFINANCE(""CURRENCY:"" &amp; E2239 &amp; ""USD""))
"),64000000)</f>
        <v>64000000</v>
      </c>
      <c r="G2239" s="16">
        <f ca="1">IFERROR(__xludf.DUMMYFUNCTION("IF(E2239=""USD"",C2239,C2239 * GOOGLEFINANCE(""CURRENCY:"" &amp; E2239 &amp; ""USD""))
"),58255287)</f>
        <v>58255287</v>
      </c>
    </row>
    <row r="2240" spans="1:7" ht="15.75" customHeight="1" x14ac:dyDescent="0.25">
      <c r="A2240" s="11" t="s">
        <v>24</v>
      </c>
      <c r="B2240" s="12">
        <v>2500000</v>
      </c>
      <c r="C2240" s="12">
        <v>6851969</v>
      </c>
      <c r="D2240" s="12">
        <v>2013</v>
      </c>
      <c r="E2240" s="12" t="str">
        <f>VLOOKUP(A2240, Currency!$A$2:$B$100, 2, FALSE)</f>
        <v>USD</v>
      </c>
      <c r="F2240" s="12">
        <f ca="1">IFERROR(__xludf.DUMMYFUNCTION("IF(E2240=""USD"",B2240,B2240 * GOOGLEFINANCE(""CURRENCY:"" &amp; E2240 &amp; ""USD""))
"),2500000)</f>
        <v>2500000</v>
      </c>
      <c r="G2240" s="13">
        <f ca="1">IFERROR(__xludf.DUMMYFUNCTION("IF(E2240=""USD"",C2240,C2240 * GOOGLEFINANCE(""CURRENCY:"" &amp; E2240 &amp; ""USD""))
"),6851969)</f>
        <v>6851969</v>
      </c>
    </row>
    <row r="2241" spans="1:7" ht="15.75" customHeight="1" x14ac:dyDescent="0.25">
      <c r="A2241" s="14" t="s">
        <v>24</v>
      </c>
      <c r="B2241" s="15">
        <v>8000000</v>
      </c>
      <c r="C2241" s="15">
        <v>100503</v>
      </c>
      <c r="D2241" s="15">
        <v>2009</v>
      </c>
      <c r="E2241" s="15" t="str">
        <f>VLOOKUP(A2241, Currency!$A$2:$B$100, 2, FALSE)</f>
        <v>USD</v>
      </c>
      <c r="F2241" s="15">
        <f ca="1">IFERROR(__xludf.DUMMYFUNCTION("IF(E2241=""USD"",B2241,B2241 * GOOGLEFINANCE(""CURRENCY:"" &amp; E2241 &amp; ""USD""))
"),8000000)</f>
        <v>8000000</v>
      </c>
      <c r="G2241" s="16">
        <f ca="1">IFERROR(__xludf.DUMMYFUNCTION("IF(E2241=""USD"",C2241,C2241 * GOOGLEFINANCE(""CURRENCY:"" &amp; E2241 &amp; ""USD""))
"),100503)</f>
        <v>100503</v>
      </c>
    </row>
    <row r="2242" spans="1:7" ht="15.75" customHeight="1" x14ac:dyDescent="0.25">
      <c r="A2242" s="11" t="s">
        <v>24</v>
      </c>
      <c r="B2242" s="12">
        <v>150000000</v>
      </c>
      <c r="C2242" s="12">
        <v>227946274</v>
      </c>
      <c r="D2242" s="12">
        <v>2008</v>
      </c>
      <c r="E2242" s="12" t="str">
        <f>VLOOKUP(A2242, Currency!$A$2:$B$100, 2, FALSE)</f>
        <v>USD</v>
      </c>
      <c r="F2242" s="12">
        <f ca="1">IFERROR(__xludf.DUMMYFUNCTION("IF(E2242=""USD"",B2242,B2242 * GOOGLEFINANCE(""CURRENCY:"" &amp; E2242 &amp; ""USD""))
"),150000000)</f>
        <v>150000000</v>
      </c>
      <c r="G2242" s="13">
        <f ca="1">IFERROR(__xludf.DUMMYFUNCTION("IF(E2242=""USD"",C2242,C2242 * GOOGLEFINANCE(""CURRENCY:"" &amp; E2242 &amp; ""USD""))
"),227946274)</f>
        <v>227946274</v>
      </c>
    </row>
    <row r="2243" spans="1:7" ht="15.75" customHeight="1" x14ac:dyDescent="0.25">
      <c r="A2243" s="14" t="s">
        <v>24</v>
      </c>
      <c r="B2243" s="15">
        <v>33000000</v>
      </c>
      <c r="C2243" s="15">
        <v>28927720</v>
      </c>
      <c r="D2243" s="15">
        <v>2000</v>
      </c>
      <c r="E2243" s="15" t="str">
        <f>VLOOKUP(A2243, Currency!$A$2:$B$100, 2, FALSE)</f>
        <v>USD</v>
      </c>
      <c r="F2243" s="15">
        <f ca="1">IFERROR(__xludf.DUMMYFUNCTION("IF(E2243=""USD"",B2243,B2243 * GOOGLEFINANCE(""CURRENCY:"" &amp; E2243 &amp; ""USD""))
"),33000000)</f>
        <v>33000000</v>
      </c>
      <c r="G2243" s="16">
        <f ca="1">IFERROR(__xludf.DUMMYFUNCTION("IF(E2243=""USD"",C2243,C2243 * GOOGLEFINANCE(""CURRENCY:"" &amp; E2243 &amp; ""USD""))
"),28927720)</f>
        <v>28927720</v>
      </c>
    </row>
    <row r="2244" spans="1:7" ht="15.75" customHeight="1" x14ac:dyDescent="0.25">
      <c r="A2244" s="11" t="s">
        <v>24</v>
      </c>
      <c r="B2244" s="12">
        <v>1000000</v>
      </c>
      <c r="C2244" s="12">
        <v>582024</v>
      </c>
      <c r="D2244" s="12">
        <v>1997</v>
      </c>
      <c r="E2244" s="12" t="str">
        <f>VLOOKUP(A2244, Currency!$A$2:$B$100, 2, FALSE)</f>
        <v>USD</v>
      </c>
      <c r="F2244" s="12">
        <f ca="1">IFERROR(__xludf.DUMMYFUNCTION("IF(E2244=""USD"",B2244,B2244 * GOOGLEFINANCE(""CURRENCY:"" &amp; E2244 &amp; ""USD""))
"),1000000)</f>
        <v>1000000</v>
      </c>
      <c r="G2244" s="13">
        <f ca="1">IFERROR(__xludf.DUMMYFUNCTION("IF(E2244=""USD"",C2244,C2244 * GOOGLEFINANCE(""CURRENCY:"" &amp; E2244 &amp; ""USD""))
"),582024)</f>
        <v>582024</v>
      </c>
    </row>
    <row r="2245" spans="1:7" ht="15.75" customHeight="1" x14ac:dyDescent="0.25">
      <c r="A2245" s="14" t="s">
        <v>24</v>
      </c>
      <c r="B2245" s="15">
        <v>50000000</v>
      </c>
      <c r="C2245" s="15">
        <v>66002004</v>
      </c>
      <c r="D2245" s="15">
        <v>2005</v>
      </c>
      <c r="E2245" s="15" t="str">
        <f>VLOOKUP(A2245, Currency!$A$2:$B$100, 2, FALSE)</f>
        <v>USD</v>
      </c>
      <c r="F2245" s="15">
        <f ca="1">IFERROR(__xludf.DUMMYFUNCTION("IF(E2245=""USD"",B2245,B2245 * GOOGLEFINANCE(""CURRENCY:"" &amp; E2245 &amp; ""USD""))
"),50000000)</f>
        <v>50000000</v>
      </c>
      <c r="G2245" s="16">
        <f ca="1">IFERROR(__xludf.DUMMYFUNCTION("IF(E2245=""USD"",C2245,C2245 * GOOGLEFINANCE(""CURRENCY:"" &amp; E2245 &amp; ""USD""))
"),66002004)</f>
        <v>66002004</v>
      </c>
    </row>
    <row r="2246" spans="1:7" ht="15.75" customHeight="1" x14ac:dyDescent="0.25">
      <c r="A2246" s="11" t="s">
        <v>24</v>
      </c>
      <c r="B2246" s="12">
        <v>25000000</v>
      </c>
      <c r="C2246" s="12">
        <v>5000000</v>
      </c>
      <c r="D2246" s="12">
        <v>1970</v>
      </c>
      <c r="E2246" s="12" t="str">
        <f>VLOOKUP(A2246, Currency!$A$2:$B$100, 2, FALSE)</f>
        <v>USD</v>
      </c>
      <c r="F2246" s="12">
        <f ca="1">IFERROR(__xludf.DUMMYFUNCTION("IF(E2246=""USD"",B2246,B2246 * GOOGLEFINANCE(""CURRENCY:"" &amp; E2246 &amp; ""USD""))
"),25000000)</f>
        <v>25000000</v>
      </c>
      <c r="G2246" s="13">
        <f ca="1">IFERROR(__xludf.DUMMYFUNCTION("IF(E2246=""USD"",C2246,C2246 * GOOGLEFINANCE(""CURRENCY:"" &amp; E2246 &amp; ""USD""))
"),5000000)</f>
        <v>5000000</v>
      </c>
    </row>
    <row r="2247" spans="1:7" ht="15.75" customHeight="1" x14ac:dyDescent="0.25">
      <c r="A2247" s="14" t="s">
        <v>24</v>
      </c>
      <c r="B2247" s="15">
        <v>50000000</v>
      </c>
      <c r="C2247" s="15">
        <v>40905277</v>
      </c>
      <c r="D2247" s="15">
        <v>2003</v>
      </c>
      <c r="E2247" s="15" t="str">
        <f>VLOOKUP(A2247, Currency!$A$2:$B$100, 2, FALSE)</f>
        <v>USD</v>
      </c>
      <c r="F2247" s="15">
        <f ca="1">IFERROR(__xludf.DUMMYFUNCTION("IF(E2247=""USD"",B2247,B2247 * GOOGLEFINANCE(""CURRENCY:"" &amp; E2247 &amp; ""USD""))
"),50000000)</f>
        <v>50000000</v>
      </c>
      <c r="G2247" s="16">
        <f ca="1">IFERROR(__xludf.DUMMYFUNCTION("IF(E2247=""USD"",C2247,C2247 * GOOGLEFINANCE(""CURRENCY:"" &amp; E2247 &amp; ""USD""))
"),40905277)</f>
        <v>40905277</v>
      </c>
    </row>
    <row r="2248" spans="1:7" ht="15.75" customHeight="1" x14ac:dyDescent="0.25">
      <c r="A2248" s="11" t="s">
        <v>24</v>
      </c>
      <c r="B2248" s="12">
        <v>13000000</v>
      </c>
      <c r="C2248" s="12">
        <v>5871603</v>
      </c>
      <c r="D2248" s="12">
        <v>1999</v>
      </c>
      <c r="E2248" s="12" t="str">
        <f>VLOOKUP(A2248, Currency!$A$2:$B$100, 2, FALSE)</f>
        <v>USD</v>
      </c>
      <c r="F2248" s="12">
        <f ca="1">IFERROR(__xludf.DUMMYFUNCTION("IF(E2248=""USD"",B2248,B2248 * GOOGLEFINANCE(""CURRENCY:"" &amp; E2248 &amp; ""USD""))
"),13000000)</f>
        <v>13000000</v>
      </c>
      <c r="G2248" s="13">
        <f ca="1">IFERROR(__xludf.DUMMYFUNCTION("IF(E2248=""USD"",C2248,C2248 * GOOGLEFINANCE(""CURRENCY:"" &amp; E2248 &amp; ""USD""))
"),5871603)</f>
        <v>5871603</v>
      </c>
    </row>
    <row r="2249" spans="1:7" ht="15.75" customHeight="1" x14ac:dyDescent="0.25">
      <c r="A2249" s="14" t="s">
        <v>133</v>
      </c>
      <c r="B2249" s="15">
        <v>50000000</v>
      </c>
      <c r="C2249" s="15">
        <v>91439400</v>
      </c>
      <c r="D2249" s="15">
        <v>2014</v>
      </c>
      <c r="E2249" s="15" t="str">
        <f>VLOOKUP(A2249, Currency!$A$2:$B$100, 2, FALSE)</f>
        <v>GBP</v>
      </c>
      <c r="F2249" s="15">
        <f ca="1">IFERROR(__xludf.DUMMYFUNCTION("IF(E2249=""USD"",B2249,B2249 * GOOGLEFINANCE(""CURRENCY:"" &amp; E2249 &amp; ""USD""))
"),64269999.9999999)</f>
        <v>64269999.999999903</v>
      </c>
      <c r="G2249" s="16">
        <f ca="1">IFERROR(__xludf.DUMMYFUNCTION("IF(E2249=""USD"",C2249,C2249 * GOOGLEFINANCE(""CURRENCY:"" &amp; E2249 &amp; ""USD""))
"),117536204.759999)</f>
        <v>117536204.75999901</v>
      </c>
    </row>
    <row r="2250" spans="1:7" ht="15.75" customHeight="1" x14ac:dyDescent="0.25">
      <c r="A2250" s="11" t="s">
        <v>24</v>
      </c>
      <c r="B2250" s="12">
        <v>2000000</v>
      </c>
      <c r="C2250" s="12">
        <v>184925485</v>
      </c>
      <c r="D2250" s="12">
        <v>1937</v>
      </c>
      <c r="E2250" s="12" t="str">
        <f>VLOOKUP(A2250, Currency!$A$2:$B$100, 2, FALSE)</f>
        <v>USD</v>
      </c>
      <c r="F2250" s="12">
        <f ca="1">IFERROR(__xludf.DUMMYFUNCTION("IF(E2250=""USD"",B2250,B2250 * GOOGLEFINANCE(""CURRENCY:"" &amp; E2250 &amp; ""USD""))
"),2000000)</f>
        <v>2000000</v>
      </c>
      <c r="G2250" s="13">
        <f ca="1">IFERROR(__xludf.DUMMYFUNCTION("IF(E2250=""USD"",C2250,C2250 * GOOGLEFINANCE(""CURRENCY:"" &amp; E2250 &amp; ""USD""))
"),184925485)</f>
        <v>184925485</v>
      </c>
    </row>
    <row r="2251" spans="1:7" ht="15.75" customHeight="1" x14ac:dyDescent="0.25">
      <c r="A2251" s="14" t="s">
        <v>24</v>
      </c>
      <c r="B2251" s="15">
        <v>65000000</v>
      </c>
      <c r="C2251" s="15">
        <v>119412921</v>
      </c>
      <c r="D2251" s="15">
        <v>1990</v>
      </c>
      <c r="E2251" s="15" t="str">
        <f>VLOOKUP(A2251, Currency!$A$2:$B$100, 2, FALSE)</f>
        <v>USD</v>
      </c>
      <c r="F2251" s="15">
        <f ca="1">IFERROR(__xludf.DUMMYFUNCTION("IF(E2251=""USD"",B2251,B2251 * GOOGLEFINANCE(""CURRENCY:"" &amp; E2251 &amp; ""USD""))
"),65000000)</f>
        <v>65000000</v>
      </c>
      <c r="G2251" s="16">
        <f ca="1">IFERROR(__xludf.DUMMYFUNCTION("IF(E2251=""USD"",C2251,C2251 * GOOGLEFINANCE(""CURRENCY:"" &amp; E2251 &amp; ""USD""))
"),119412921)</f>
        <v>119412921</v>
      </c>
    </row>
    <row r="2252" spans="1:7" ht="15.75" customHeight="1" x14ac:dyDescent="0.25">
      <c r="A2252" s="11" t="s">
        <v>24</v>
      </c>
      <c r="B2252" s="12">
        <v>35000000</v>
      </c>
      <c r="C2252" s="12">
        <v>183125</v>
      </c>
      <c r="D2252" s="12">
        <v>2012</v>
      </c>
      <c r="E2252" s="12" t="str">
        <f>VLOOKUP(A2252, Currency!$A$2:$B$100, 2, FALSE)</f>
        <v>USD</v>
      </c>
      <c r="F2252" s="12">
        <f ca="1">IFERROR(__xludf.DUMMYFUNCTION("IF(E2252=""USD"",B2252,B2252 * GOOGLEFINANCE(""CURRENCY:"" &amp; E2252 &amp; ""USD""))
"),35000000)</f>
        <v>35000000</v>
      </c>
      <c r="G2252" s="13">
        <f ca="1">IFERROR(__xludf.DUMMYFUNCTION("IF(E2252=""USD"",C2252,C2252 * GOOGLEFINANCE(""CURRENCY:"" &amp; E2252 &amp; ""USD""))
"),183125)</f>
        <v>183125</v>
      </c>
    </row>
    <row r="2253" spans="1:7" ht="15.75" customHeight="1" x14ac:dyDescent="0.25">
      <c r="A2253" s="14" t="s">
        <v>7358</v>
      </c>
      <c r="B2253" s="15">
        <v>3000000</v>
      </c>
      <c r="C2253" s="15">
        <v>6517198</v>
      </c>
      <c r="D2253" s="15">
        <v>2004</v>
      </c>
      <c r="E2253" s="15" t="str">
        <f>VLOOKUP(A2253, Currency!$A$2:$B$100, 2, FALSE)</f>
        <v>COP</v>
      </c>
      <c r="F2253" s="15">
        <f ca="1">IFERROR(__xludf.DUMMYFUNCTION("IF(E2253=""USD"",B2253,B2253 * GOOGLEFINANCE(""CURRENCY:"" &amp; E2253 &amp; ""USD""))
"),741.7383)</f>
        <v>741.73829999999998</v>
      </c>
      <c r="G2253" s="16">
        <f ca="1">IFERROR(__xludf.DUMMYFUNCTION("IF(E2253=""USD"",C2253,C2253 * GOOGLEFINANCE(""CURRENCY:"" &amp; E2253 &amp; ""USD""))
"),1611.35178842779)</f>
        <v>1611.3517884277901</v>
      </c>
    </row>
    <row r="2254" spans="1:7" ht="15.75" customHeight="1" x14ac:dyDescent="0.25">
      <c r="A2254" s="11" t="s">
        <v>133</v>
      </c>
      <c r="B2254" s="12">
        <v>5000000</v>
      </c>
      <c r="C2254" s="12">
        <v>21994911</v>
      </c>
      <c r="D2254" s="12">
        <v>2000</v>
      </c>
      <c r="E2254" s="12" t="str">
        <f>VLOOKUP(A2254, Currency!$A$2:$B$100, 2, FALSE)</f>
        <v>GBP</v>
      </c>
      <c r="F2254" s="12">
        <f ca="1">IFERROR(__xludf.DUMMYFUNCTION("IF(E2254=""USD"",B2254,B2254 * GOOGLEFINANCE(""CURRENCY:"" &amp; E2254 &amp; ""USD""))
"),6426999.99999999)</f>
        <v>6426999.9999999898</v>
      </c>
      <c r="G2254" s="13">
        <f ca="1">IFERROR(__xludf.DUMMYFUNCTION("IF(E2254=""USD"",C2254,C2254 * GOOGLEFINANCE(""CURRENCY:"" &amp; E2254 &amp; ""USD""))
"),28272258.5994)</f>
        <v>28272258.599399999</v>
      </c>
    </row>
    <row r="2255" spans="1:7" ht="15.75" customHeight="1" x14ac:dyDescent="0.25">
      <c r="A2255" s="14" t="s">
        <v>24</v>
      </c>
      <c r="B2255" s="15">
        <v>40000000</v>
      </c>
      <c r="C2255" s="15">
        <v>13838130</v>
      </c>
      <c r="D2255" s="15">
        <v>2009</v>
      </c>
      <c r="E2255" s="15" t="str">
        <f>VLOOKUP(A2255, Currency!$A$2:$B$100, 2, FALSE)</f>
        <v>USD</v>
      </c>
      <c r="F2255" s="15">
        <f ca="1">IFERROR(__xludf.DUMMYFUNCTION("IF(E2255=""USD"",B2255,B2255 * GOOGLEFINANCE(""CURRENCY:"" &amp; E2255 &amp; ""USD""))
"),40000000)</f>
        <v>40000000</v>
      </c>
      <c r="G2255" s="16">
        <f ca="1">IFERROR(__xludf.DUMMYFUNCTION("IF(E2255=""USD"",C2255,C2255 * GOOGLEFINANCE(""CURRENCY:"" &amp; E2255 &amp; ""USD""))
"),13838130)</f>
        <v>13838130</v>
      </c>
    </row>
    <row r="2256" spans="1:7" ht="15.75" customHeight="1" x14ac:dyDescent="0.25">
      <c r="A2256" s="11" t="s">
        <v>24</v>
      </c>
      <c r="B2256" s="12">
        <v>55000000</v>
      </c>
      <c r="C2256" s="12">
        <v>74540762</v>
      </c>
      <c r="D2256" s="12">
        <v>2004</v>
      </c>
      <c r="E2256" s="12" t="str">
        <f>VLOOKUP(A2256, Currency!$A$2:$B$100, 2, FALSE)</f>
        <v>USD</v>
      </c>
      <c r="F2256" s="12">
        <f ca="1">IFERROR(__xludf.DUMMYFUNCTION("IF(E2256=""USD"",B2256,B2256 * GOOGLEFINANCE(""CURRENCY:"" &amp; E2256 &amp; ""USD""))
"),55000000)</f>
        <v>55000000</v>
      </c>
      <c r="G2256" s="13">
        <f ca="1">IFERROR(__xludf.DUMMYFUNCTION("IF(E2256=""USD"",C2256,C2256 * GOOGLEFINANCE(""CURRENCY:"" &amp; E2256 &amp; ""USD""))
"),74540762)</f>
        <v>74540762</v>
      </c>
    </row>
    <row r="2257" spans="1:7" ht="15.75" customHeight="1" x14ac:dyDescent="0.25">
      <c r="A2257" s="14" t="s">
        <v>24</v>
      </c>
      <c r="B2257" s="15">
        <v>30000000</v>
      </c>
      <c r="C2257" s="15">
        <v>37617947</v>
      </c>
      <c r="D2257" s="15">
        <v>2006</v>
      </c>
      <c r="E2257" s="15" t="str">
        <f>VLOOKUP(A2257, Currency!$A$2:$B$100, 2, FALSE)</f>
        <v>USD</v>
      </c>
      <c r="F2257" s="15">
        <f ca="1">IFERROR(__xludf.DUMMYFUNCTION("IF(E2257=""USD"",B2257,B2257 * GOOGLEFINANCE(""CURRENCY:"" &amp; E2257 &amp; ""USD""))
"),30000000)</f>
        <v>30000000</v>
      </c>
      <c r="G2257" s="16">
        <f ca="1">IFERROR(__xludf.DUMMYFUNCTION("IF(E2257=""USD"",C2257,C2257 * GOOGLEFINANCE(""CURRENCY:"" &amp; E2257 &amp; ""USD""))
"),37617947)</f>
        <v>37617947</v>
      </c>
    </row>
    <row r="2258" spans="1:7" ht="15.75" customHeight="1" x14ac:dyDescent="0.25">
      <c r="A2258" s="11" t="s">
        <v>24</v>
      </c>
      <c r="B2258" s="12">
        <v>15000000</v>
      </c>
      <c r="C2258" s="12">
        <v>8080116</v>
      </c>
      <c r="D2258" s="12">
        <v>2006</v>
      </c>
      <c r="E2258" s="12" t="str">
        <f>VLOOKUP(A2258, Currency!$A$2:$B$100, 2, FALSE)</f>
        <v>USD</v>
      </c>
      <c r="F2258" s="12">
        <f ca="1">IFERROR(__xludf.DUMMYFUNCTION("IF(E2258=""USD"",B2258,B2258 * GOOGLEFINANCE(""CURRENCY:"" &amp; E2258 &amp; ""USD""))
"),15000000)</f>
        <v>15000000</v>
      </c>
      <c r="G2258" s="13">
        <f ca="1">IFERROR(__xludf.DUMMYFUNCTION("IF(E2258=""USD"",C2258,C2258 * GOOGLEFINANCE(""CURRENCY:"" &amp; E2258 &amp; ""USD""))
"),8080116)</f>
        <v>8080116</v>
      </c>
    </row>
    <row r="2259" spans="1:7" ht="15.75" customHeight="1" x14ac:dyDescent="0.25">
      <c r="A2259" s="14" t="s">
        <v>24</v>
      </c>
      <c r="B2259" s="15">
        <v>40000000</v>
      </c>
      <c r="C2259" s="15">
        <v>38087756</v>
      </c>
      <c r="D2259" s="15">
        <v>1994</v>
      </c>
      <c r="E2259" s="15" t="str">
        <f>VLOOKUP(A2259, Currency!$A$2:$B$100, 2, FALSE)</f>
        <v>USD</v>
      </c>
      <c r="F2259" s="15">
        <f ca="1">IFERROR(__xludf.DUMMYFUNCTION("IF(E2259=""USD"",B2259,B2259 * GOOGLEFINANCE(""CURRENCY:"" &amp; E2259 &amp; ""USD""))
"),40000000)</f>
        <v>40000000</v>
      </c>
      <c r="G2259" s="16">
        <f ca="1">IFERROR(__xludf.DUMMYFUNCTION("IF(E2259=""USD"",C2259,C2259 * GOOGLEFINANCE(""CURRENCY:"" &amp; E2259 &amp; ""USD""))
"),38087756)</f>
        <v>38087756</v>
      </c>
    </row>
    <row r="2260" spans="1:7" ht="15.75" customHeight="1" x14ac:dyDescent="0.25">
      <c r="A2260" s="11" t="s">
        <v>24</v>
      </c>
      <c r="B2260" s="12">
        <v>43000000</v>
      </c>
      <c r="C2260" s="12">
        <v>159578352</v>
      </c>
      <c r="D2260" s="12">
        <v>2013</v>
      </c>
      <c r="E2260" s="12" t="str">
        <f>VLOOKUP(A2260, Currency!$A$2:$B$100, 2, FALSE)</f>
        <v>USD</v>
      </c>
      <c r="F2260" s="12">
        <f ca="1">IFERROR(__xludf.DUMMYFUNCTION("IF(E2260=""USD"",B2260,B2260 * GOOGLEFINANCE(""CURRENCY:"" &amp; E2260 &amp; ""USD""))
"),43000000)</f>
        <v>43000000</v>
      </c>
      <c r="G2260" s="13">
        <f ca="1">IFERROR(__xludf.DUMMYFUNCTION("IF(E2260=""USD"",C2260,C2260 * GOOGLEFINANCE(""CURRENCY:"" &amp; E2260 &amp; ""USD""))
"),159578352)</f>
        <v>159578352</v>
      </c>
    </row>
    <row r="2261" spans="1:7" ht="15.75" customHeight="1" x14ac:dyDescent="0.25">
      <c r="A2261" s="14" t="s">
        <v>24</v>
      </c>
      <c r="B2261" s="15">
        <v>9000000</v>
      </c>
      <c r="C2261" s="15">
        <v>1530535</v>
      </c>
      <c r="D2261" s="15">
        <v>2005</v>
      </c>
      <c r="E2261" s="15" t="str">
        <f>VLOOKUP(A2261, Currency!$A$2:$B$100, 2, FALSE)</f>
        <v>USD</v>
      </c>
      <c r="F2261" s="15">
        <f ca="1">IFERROR(__xludf.DUMMYFUNCTION("IF(E2261=""USD"",B2261,B2261 * GOOGLEFINANCE(""CURRENCY:"" &amp; E2261 &amp; ""USD""))
"),9000000)</f>
        <v>9000000</v>
      </c>
      <c r="G2261" s="16">
        <f ca="1">IFERROR(__xludf.DUMMYFUNCTION("IF(E2261=""USD"",C2261,C2261 * GOOGLEFINANCE(""CURRENCY:"" &amp; E2261 &amp; ""USD""))
"),1530535)</f>
        <v>1530535</v>
      </c>
    </row>
    <row r="2262" spans="1:7" ht="15.75" customHeight="1" x14ac:dyDescent="0.25">
      <c r="A2262" s="11" t="s">
        <v>24</v>
      </c>
      <c r="B2262" s="12">
        <v>15000000</v>
      </c>
      <c r="C2262" s="12">
        <v>13766014</v>
      </c>
      <c r="D2262" s="12">
        <v>2011</v>
      </c>
      <c r="E2262" s="12" t="str">
        <f>VLOOKUP(A2262, Currency!$A$2:$B$100, 2, FALSE)</f>
        <v>USD</v>
      </c>
      <c r="F2262" s="12">
        <f ca="1">IFERROR(__xludf.DUMMYFUNCTION("IF(E2262=""USD"",B2262,B2262 * GOOGLEFINANCE(""CURRENCY:"" &amp; E2262 &amp; ""USD""))
"),15000000)</f>
        <v>15000000</v>
      </c>
      <c r="G2262" s="13">
        <f ca="1">IFERROR(__xludf.DUMMYFUNCTION("IF(E2262=""USD"",C2262,C2262 * GOOGLEFINANCE(""CURRENCY:"" &amp; E2262 &amp; ""USD""))
"),13766014)</f>
        <v>13766014</v>
      </c>
    </row>
    <row r="2263" spans="1:7" ht="15.75" customHeight="1" x14ac:dyDescent="0.25">
      <c r="A2263" s="14" t="s">
        <v>24</v>
      </c>
      <c r="B2263" s="15">
        <v>19000000</v>
      </c>
      <c r="C2263" s="15">
        <v>25753840</v>
      </c>
      <c r="D2263" s="15">
        <v>1996</v>
      </c>
      <c r="E2263" s="15" t="str">
        <f>VLOOKUP(A2263, Currency!$A$2:$B$100, 2, FALSE)</f>
        <v>USD</v>
      </c>
      <c r="F2263" s="15">
        <f ca="1">IFERROR(__xludf.DUMMYFUNCTION("IF(E2263=""USD"",B2263,B2263 * GOOGLEFINANCE(""CURRENCY:"" &amp; E2263 &amp; ""USD""))
"),19000000)</f>
        <v>19000000</v>
      </c>
      <c r="G2263" s="16">
        <f ca="1">IFERROR(__xludf.DUMMYFUNCTION("IF(E2263=""USD"",C2263,C2263 * GOOGLEFINANCE(""CURRENCY:"" &amp; E2263 &amp; ""USD""))
"),25753840)</f>
        <v>25753840</v>
      </c>
    </row>
    <row r="2264" spans="1:7" ht="15.75" customHeight="1" x14ac:dyDescent="0.25">
      <c r="A2264" s="11" t="s">
        <v>24</v>
      </c>
      <c r="B2264" s="12">
        <v>1000000</v>
      </c>
      <c r="C2264" s="12">
        <v>982214</v>
      </c>
      <c r="D2264" s="12">
        <v>1998</v>
      </c>
      <c r="E2264" s="12" t="str">
        <f>VLOOKUP(A2264, Currency!$A$2:$B$100, 2, FALSE)</f>
        <v>USD</v>
      </c>
      <c r="F2264" s="12">
        <f ca="1">IFERROR(__xludf.DUMMYFUNCTION("IF(E2264=""USD"",B2264,B2264 * GOOGLEFINANCE(""CURRENCY:"" &amp; E2264 &amp; ""USD""))
"),1000000)</f>
        <v>1000000</v>
      </c>
      <c r="G2264" s="13">
        <f ca="1">IFERROR(__xludf.DUMMYFUNCTION("IF(E2264=""USD"",C2264,C2264 * GOOGLEFINANCE(""CURRENCY:"" &amp; E2264 &amp; ""USD""))
"),982214)</f>
        <v>982214</v>
      </c>
    </row>
    <row r="2265" spans="1:7" ht="15.75" customHeight="1" x14ac:dyDescent="0.25">
      <c r="A2265" s="14" t="s">
        <v>24</v>
      </c>
      <c r="B2265" s="15">
        <v>35000000</v>
      </c>
      <c r="C2265" s="15">
        <v>75668868</v>
      </c>
      <c r="D2265" s="15">
        <v>1994</v>
      </c>
      <c r="E2265" s="15" t="str">
        <f>VLOOKUP(A2265, Currency!$A$2:$B$100, 2, FALSE)</f>
        <v>USD</v>
      </c>
      <c r="F2265" s="15">
        <f ca="1">IFERROR(__xludf.DUMMYFUNCTION("IF(E2265=""USD"",B2265,B2265 * GOOGLEFINANCE(""CURRENCY:"" &amp; E2265 &amp; ""USD""))
"),35000000)</f>
        <v>35000000</v>
      </c>
      <c r="G2265" s="16">
        <f ca="1">IFERROR(__xludf.DUMMYFUNCTION("IF(E2265=""USD"",C2265,C2265 * GOOGLEFINANCE(""CURRENCY:"" &amp; E2265 &amp; ""USD""))
"),75668868)</f>
        <v>75668868</v>
      </c>
    </row>
    <row r="2266" spans="1:7" ht="15.75" customHeight="1" x14ac:dyDescent="0.25">
      <c r="A2266" s="11" t="s">
        <v>133</v>
      </c>
      <c r="B2266" s="12">
        <v>10000000</v>
      </c>
      <c r="C2266" s="12">
        <v>33071558</v>
      </c>
      <c r="D2266" s="12">
        <v>2015</v>
      </c>
      <c r="E2266" s="12" t="str">
        <f>VLOOKUP(A2266, Currency!$A$2:$B$100, 2, FALSE)</f>
        <v>GBP</v>
      </c>
      <c r="F2266" s="12">
        <f ca="1">IFERROR(__xludf.DUMMYFUNCTION("IF(E2266=""USD"",B2266,B2266 * GOOGLEFINANCE(""CURRENCY:"" &amp; E2266 &amp; ""USD""))
"),12853999.9999999)</f>
        <v>12853999.999999899</v>
      </c>
      <c r="G2266" s="13">
        <f ca="1">IFERROR(__xludf.DUMMYFUNCTION("IF(E2266=""USD"",C2266,C2266 * GOOGLEFINANCE(""CURRENCY:"" &amp; E2266 &amp; ""USD""))
"),42510180.6531999)</f>
        <v>42510180.653199904</v>
      </c>
    </row>
    <row r="2267" spans="1:7" ht="15.75" customHeight="1" x14ac:dyDescent="0.25">
      <c r="A2267" s="14" t="s">
        <v>24</v>
      </c>
      <c r="B2267" s="15">
        <v>110000000</v>
      </c>
      <c r="C2267" s="15">
        <v>227137090</v>
      </c>
      <c r="D2267" s="15">
        <v>2007</v>
      </c>
      <c r="E2267" s="15" t="str">
        <f>VLOOKUP(A2267, Currency!$A$2:$B$100, 2, FALSE)</f>
        <v>USD</v>
      </c>
      <c r="F2267" s="15">
        <f ca="1">IFERROR(__xludf.DUMMYFUNCTION("IF(E2267=""USD"",B2267,B2267 * GOOGLEFINANCE(""CURRENCY:"" &amp; E2267 &amp; ""USD""))
"),110000000)</f>
        <v>110000000</v>
      </c>
      <c r="G2267" s="16">
        <f ca="1">IFERROR(__xludf.DUMMYFUNCTION("IF(E2267=""USD"",C2267,C2267 * GOOGLEFINANCE(""CURRENCY:"" &amp; E2267 &amp; ""USD""))
"),227137090)</f>
        <v>227137090</v>
      </c>
    </row>
    <row r="2268" spans="1:7" ht="15.75" customHeight="1" x14ac:dyDescent="0.25">
      <c r="A2268" s="11" t="s">
        <v>24</v>
      </c>
      <c r="B2268" s="12">
        <v>20000000</v>
      </c>
      <c r="C2268" s="12">
        <v>32051917</v>
      </c>
      <c r="D2268" s="12">
        <v>1995</v>
      </c>
      <c r="E2268" s="12" t="str">
        <f>VLOOKUP(A2268, Currency!$A$2:$B$100, 2, FALSE)</f>
        <v>USD</v>
      </c>
      <c r="F2268" s="12">
        <f ca="1">IFERROR(__xludf.DUMMYFUNCTION("IF(E2268=""USD"",B2268,B2268 * GOOGLEFINANCE(""CURRENCY:"" &amp; E2268 &amp; ""USD""))
"),20000000)</f>
        <v>20000000</v>
      </c>
      <c r="G2268" s="13">
        <f ca="1">IFERROR(__xludf.DUMMYFUNCTION("IF(E2268=""USD"",C2268,C2268 * GOOGLEFINANCE(""CURRENCY:"" &amp; E2268 &amp; ""USD""))
"),32051917)</f>
        <v>32051917</v>
      </c>
    </row>
    <row r="2269" spans="1:7" ht="15.75" customHeight="1" x14ac:dyDescent="0.25">
      <c r="A2269" s="14" t="s">
        <v>24</v>
      </c>
      <c r="B2269" s="15">
        <v>42000</v>
      </c>
      <c r="C2269" s="15">
        <v>241816</v>
      </c>
      <c r="D2269" s="15">
        <v>2000</v>
      </c>
      <c r="E2269" s="15" t="str">
        <f>VLOOKUP(A2269, Currency!$A$2:$B$100, 2, FALSE)</f>
        <v>USD</v>
      </c>
      <c r="F2269" s="15">
        <f ca="1">IFERROR(__xludf.DUMMYFUNCTION("IF(E2269=""USD"",B2269,B2269 * GOOGLEFINANCE(""CURRENCY:"" &amp; E2269 &amp; ""USD""))
"),42000)</f>
        <v>42000</v>
      </c>
      <c r="G2269" s="16">
        <f ca="1">IFERROR(__xludf.DUMMYFUNCTION("IF(E2269=""USD"",C2269,C2269 * GOOGLEFINANCE(""CURRENCY:"" &amp; E2269 &amp; ""USD""))
"),241816)</f>
        <v>241816</v>
      </c>
    </row>
    <row r="2270" spans="1:7" ht="15.75" customHeight="1" x14ac:dyDescent="0.25">
      <c r="A2270" s="11" t="s">
        <v>24</v>
      </c>
      <c r="B2270" s="12">
        <v>50000000</v>
      </c>
      <c r="C2270" s="12">
        <v>50815288</v>
      </c>
      <c r="D2270" s="12">
        <v>2005</v>
      </c>
      <c r="E2270" s="12" t="str">
        <f>VLOOKUP(A2270, Currency!$A$2:$B$100, 2, FALSE)</f>
        <v>USD</v>
      </c>
      <c r="F2270" s="12">
        <f ca="1">IFERROR(__xludf.DUMMYFUNCTION("IF(E2270=""USD"",B2270,B2270 * GOOGLEFINANCE(""CURRENCY:"" &amp; E2270 &amp; ""USD""))
"),50000000)</f>
        <v>50000000</v>
      </c>
      <c r="G2270" s="13">
        <f ca="1">IFERROR(__xludf.DUMMYFUNCTION("IF(E2270=""USD"",C2270,C2270 * GOOGLEFINANCE(""CURRENCY:"" &amp; E2270 &amp; ""USD""))
"),50815288)</f>
        <v>50815288</v>
      </c>
    </row>
    <row r="2271" spans="1:7" ht="15.75" customHeight="1" x14ac:dyDescent="0.25">
      <c r="A2271" s="14" t="s">
        <v>24</v>
      </c>
      <c r="B2271" s="15">
        <v>70000000</v>
      </c>
      <c r="C2271" s="15">
        <v>37754208</v>
      </c>
      <c r="D2271" s="15">
        <v>1996</v>
      </c>
      <c r="E2271" s="15" t="str">
        <f>VLOOKUP(A2271, Currency!$A$2:$B$100, 2, FALSE)</f>
        <v>USD</v>
      </c>
      <c r="F2271" s="15">
        <f ca="1">IFERROR(__xludf.DUMMYFUNCTION("IF(E2271=""USD"",B2271,B2271 * GOOGLEFINANCE(""CURRENCY:"" &amp; E2271 &amp; ""USD""))
"),70000000)</f>
        <v>70000000</v>
      </c>
      <c r="G2271" s="16">
        <f ca="1">IFERROR(__xludf.DUMMYFUNCTION("IF(E2271=""USD"",C2271,C2271 * GOOGLEFINANCE(""CURRENCY:"" &amp; E2271 &amp; ""USD""))
"),37754208)</f>
        <v>37754208</v>
      </c>
    </row>
    <row r="2272" spans="1:7" ht="15.75" customHeight="1" x14ac:dyDescent="0.25">
      <c r="A2272" s="11" t="s">
        <v>24</v>
      </c>
      <c r="B2272" s="12">
        <v>20000000</v>
      </c>
      <c r="C2272" s="12">
        <v>56398162</v>
      </c>
      <c r="D2272" s="12">
        <v>2002</v>
      </c>
      <c r="E2272" s="12" t="str">
        <f>VLOOKUP(A2272, Currency!$A$2:$B$100, 2, FALSE)</f>
        <v>USD</v>
      </c>
      <c r="F2272" s="12">
        <f ca="1">IFERROR(__xludf.DUMMYFUNCTION("IF(E2272=""USD"",B2272,B2272 * GOOGLEFINANCE(""CURRENCY:"" &amp; E2272 &amp; ""USD""))
"),20000000)</f>
        <v>20000000</v>
      </c>
      <c r="G2272" s="13">
        <f ca="1">IFERROR(__xludf.DUMMYFUNCTION("IF(E2272=""USD"",C2272,C2272 * GOOGLEFINANCE(""CURRENCY:"" &amp; E2272 &amp; ""USD""))
"),56398162)</f>
        <v>56398162</v>
      </c>
    </row>
    <row r="2273" spans="1:7" ht="15.75" customHeight="1" x14ac:dyDescent="0.25">
      <c r="A2273" s="14" t="s">
        <v>24</v>
      </c>
      <c r="B2273" s="15">
        <v>8000000</v>
      </c>
      <c r="C2273" s="15">
        <v>25926543</v>
      </c>
      <c r="D2273" s="15">
        <v>2008</v>
      </c>
      <c r="E2273" s="15" t="str">
        <f>VLOOKUP(A2273, Currency!$A$2:$B$100, 2, FALSE)</f>
        <v>USD</v>
      </c>
      <c r="F2273" s="15">
        <f ca="1">IFERROR(__xludf.DUMMYFUNCTION("IF(E2273=""USD"",B2273,B2273 * GOOGLEFINANCE(""CURRENCY:"" &amp; E2273 &amp; ""USD""))
"),8000000)</f>
        <v>8000000</v>
      </c>
      <c r="G2273" s="16">
        <f ca="1">IFERROR(__xludf.DUMMYFUNCTION("IF(E2273=""USD"",C2273,C2273 * GOOGLEFINANCE(""CURRENCY:"" &amp; E2273 &amp; ""USD""))
"),25926543)</f>
        <v>25926543</v>
      </c>
    </row>
    <row r="2274" spans="1:7" ht="15.75" customHeight="1" x14ac:dyDescent="0.25">
      <c r="A2274" s="11" t="s">
        <v>24</v>
      </c>
      <c r="B2274" s="12">
        <v>10000000</v>
      </c>
      <c r="C2274" s="12">
        <v>900926</v>
      </c>
      <c r="D2274" s="12">
        <v>2007</v>
      </c>
      <c r="E2274" s="12" t="str">
        <f>VLOOKUP(A2274, Currency!$A$2:$B$100, 2, FALSE)</f>
        <v>USD</v>
      </c>
      <c r="F2274" s="12">
        <f ca="1">IFERROR(__xludf.DUMMYFUNCTION("IF(E2274=""USD"",B2274,B2274 * GOOGLEFINANCE(""CURRENCY:"" &amp; E2274 &amp; ""USD""))
"),10000000)</f>
        <v>10000000</v>
      </c>
      <c r="G2274" s="13">
        <f ca="1">IFERROR(__xludf.DUMMYFUNCTION("IF(E2274=""USD"",C2274,C2274 * GOOGLEFINANCE(""CURRENCY:"" &amp; E2274 &amp; ""USD""))
"),900926)</f>
        <v>900926</v>
      </c>
    </row>
    <row r="2275" spans="1:7" ht="15.75" customHeight="1" x14ac:dyDescent="0.25">
      <c r="A2275" s="14" t="s">
        <v>24</v>
      </c>
      <c r="B2275" s="15">
        <v>137000000</v>
      </c>
      <c r="C2275" s="15">
        <v>132122995</v>
      </c>
      <c r="D2275" s="15">
        <v>2003</v>
      </c>
      <c r="E2275" s="15" t="str">
        <f>VLOOKUP(A2275, Currency!$A$2:$B$100, 2, FALSE)</f>
        <v>USD</v>
      </c>
      <c r="F2275" s="15">
        <f ca="1">IFERROR(__xludf.DUMMYFUNCTION("IF(E2275=""USD"",B2275,B2275 * GOOGLEFINANCE(""CURRENCY:"" &amp; E2275 &amp; ""USD""))
"),137000000)</f>
        <v>137000000</v>
      </c>
      <c r="G2275" s="16">
        <f ca="1">IFERROR(__xludf.DUMMYFUNCTION("IF(E2275=""USD"",C2275,C2275 * GOOGLEFINANCE(""CURRENCY:"" &amp; E2275 &amp; ""USD""))
"),132122995)</f>
        <v>132122995</v>
      </c>
    </row>
    <row r="2276" spans="1:7" ht="15.75" customHeight="1" x14ac:dyDescent="0.25">
      <c r="A2276" s="11" t="s">
        <v>176</v>
      </c>
      <c r="B2276" s="12">
        <v>102000000</v>
      </c>
      <c r="C2276" s="12">
        <v>27098580</v>
      </c>
      <c r="D2276" s="12">
        <v>2012</v>
      </c>
      <c r="E2276" s="12" t="str">
        <f>VLOOKUP(A2276, Currency!$A$2:$B$100, 2, FALSE)</f>
        <v>EUR</v>
      </c>
      <c r="F2276" s="12">
        <f ca="1">IFERROR(__xludf.DUMMYFUNCTION("IF(E2276=""USD"",B2276,B2276 * GOOGLEFINANCE(""CURRENCY:"" &amp; E2276 &amp; ""USD""))
"),110643480)</f>
        <v>110643480</v>
      </c>
      <c r="G2276" s="13">
        <f ca="1">IFERROR(__xludf.DUMMYFUNCTION("IF(E2276=""USD"",C2276,C2276 * GOOGLEFINANCE(""CURRENCY:"" &amp; E2276 &amp; ""USD""))
"),29394913.6692)</f>
        <v>29394913.669199999</v>
      </c>
    </row>
    <row r="2277" spans="1:7" ht="15.75" customHeight="1" x14ac:dyDescent="0.25">
      <c r="A2277" s="14" t="s">
        <v>24</v>
      </c>
      <c r="B2277" s="15">
        <v>8000000</v>
      </c>
      <c r="C2277" s="15">
        <v>10269307</v>
      </c>
      <c r="D2277" s="15">
        <v>2009</v>
      </c>
      <c r="E2277" s="15" t="str">
        <f>VLOOKUP(A2277, Currency!$A$2:$B$100, 2, FALSE)</f>
        <v>USD</v>
      </c>
      <c r="F2277" s="15">
        <f ca="1">IFERROR(__xludf.DUMMYFUNCTION("IF(E2277=""USD"",B2277,B2277 * GOOGLEFINANCE(""CURRENCY:"" &amp; E2277 &amp; ""USD""))
"),8000000)</f>
        <v>8000000</v>
      </c>
      <c r="G2277" s="16">
        <f ca="1">IFERROR(__xludf.DUMMYFUNCTION("IF(E2277=""USD"",C2277,C2277 * GOOGLEFINANCE(""CURRENCY:"" &amp; E2277 &amp; ""USD""))
"),10269307)</f>
        <v>10269307</v>
      </c>
    </row>
    <row r="2278" spans="1:7" ht="15.75" customHeight="1" x14ac:dyDescent="0.25">
      <c r="A2278" s="11" t="s">
        <v>24</v>
      </c>
      <c r="B2278" s="12">
        <v>80000000</v>
      </c>
      <c r="C2278" s="12">
        <v>92969824</v>
      </c>
      <c r="D2278" s="12">
        <v>1997</v>
      </c>
      <c r="E2278" s="12" t="str">
        <f>VLOOKUP(A2278, Currency!$A$2:$B$100, 2, FALSE)</f>
        <v>USD</v>
      </c>
      <c r="F2278" s="12">
        <f ca="1">IFERROR(__xludf.DUMMYFUNCTION("IF(E2278=""USD"",B2278,B2278 * GOOGLEFINANCE(""CURRENCY:"" &amp; E2278 &amp; ""USD""))
"),80000000)</f>
        <v>80000000</v>
      </c>
      <c r="G2278" s="13">
        <f ca="1">IFERROR(__xludf.DUMMYFUNCTION("IF(E2278=""USD"",C2278,C2278 * GOOGLEFINANCE(""CURRENCY:"" &amp; E2278 &amp; ""USD""))
"),92969824)</f>
        <v>92969824</v>
      </c>
    </row>
    <row r="2279" spans="1:7" ht="15.75" customHeight="1" x14ac:dyDescent="0.25">
      <c r="A2279" s="14" t="s">
        <v>24</v>
      </c>
      <c r="B2279" s="15">
        <v>44000000</v>
      </c>
      <c r="C2279" s="15">
        <v>150415432</v>
      </c>
      <c r="D2279" s="15">
        <v>1985</v>
      </c>
      <c r="E2279" s="15" t="str">
        <f>VLOOKUP(A2279, Currency!$A$2:$B$100, 2, FALSE)</f>
        <v>USD</v>
      </c>
      <c r="F2279" s="15">
        <f ca="1">IFERROR(__xludf.DUMMYFUNCTION("IF(E2279=""USD"",B2279,B2279 * GOOGLEFINANCE(""CURRENCY:"" &amp; E2279 &amp; ""USD""))
"),44000000)</f>
        <v>44000000</v>
      </c>
      <c r="G2279" s="16">
        <f ca="1">IFERROR(__xludf.DUMMYFUNCTION("IF(E2279=""USD"",C2279,C2279 * GOOGLEFINANCE(""CURRENCY:"" &amp; E2279 &amp; ""USD""))
"),150415432)</f>
        <v>150415432</v>
      </c>
    </row>
    <row r="2280" spans="1:7" ht="15.75" customHeight="1" x14ac:dyDescent="0.25">
      <c r="A2280" s="11" t="s">
        <v>3634</v>
      </c>
      <c r="B2280" s="12">
        <v>20000000</v>
      </c>
      <c r="C2280" s="12">
        <v>23179303</v>
      </c>
      <c r="D2280" s="12">
        <v>2011</v>
      </c>
      <c r="E2280" s="12" t="str">
        <f>VLOOKUP(A2280, Currency!$A$2:$B$100, 2, FALSE)</f>
        <v>HUF</v>
      </c>
      <c r="F2280" s="12">
        <f ca="1">IFERROR(__xludf.DUMMYFUNCTION("IF(E2280=""USD"",B2280,B2280 * GOOGLEFINANCE(""CURRENCY:"" &amp; E2280 &amp; ""USD""))
"),55271.48)</f>
        <v>55271.48</v>
      </c>
      <c r="G2280" s="13">
        <f ca="1">IFERROR(__xludf.DUMMYFUNCTION("IF(E2280=""USD"",C2280,C2280 * GOOGLEFINANCE(""CURRENCY:"" &amp; E2280 &amp; ""USD""))
"),64057.719108922)</f>
        <v>64057.719108922</v>
      </c>
    </row>
    <row r="2281" spans="1:7" ht="15.75" customHeight="1" x14ac:dyDescent="0.25">
      <c r="A2281" s="14" t="s">
        <v>133</v>
      </c>
      <c r="B2281" s="15">
        <v>20000000</v>
      </c>
      <c r="C2281" s="15">
        <v>2319187</v>
      </c>
      <c r="D2281" s="15">
        <v>2013</v>
      </c>
      <c r="E2281" s="15" t="str">
        <f>VLOOKUP(A2281, Currency!$A$2:$B$100, 2, FALSE)</f>
        <v>GBP</v>
      </c>
      <c r="F2281" s="15">
        <f ca="1">IFERROR(__xludf.DUMMYFUNCTION("IF(E2281=""USD"",B2281,B2281 * GOOGLEFINANCE(""CURRENCY:"" &amp; E2281 &amp; ""USD""))
"),25707999.9999999)</f>
        <v>25707999.999999899</v>
      </c>
      <c r="G2281" s="16">
        <f ca="1">IFERROR(__xludf.DUMMYFUNCTION("IF(E2281=""USD"",C2281,C2281 * GOOGLEFINANCE(""CURRENCY:"" &amp; E2281 &amp; ""USD""))
"),2981082.96979999)</f>
        <v>2981082.9697999898</v>
      </c>
    </row>
    <row r="2282" spans="1:7" ht="15.75" customHeight="1" x14ac:dyDescent="0.25">
      <c r="A2282" s="11" t="s">
        <v>24</v>
      </c>
      <c r="B2282" s="12">
        <v>68000000</v>
      </c>
      <c r="C2282" s="12">
        <v>61355436</v>
      </c>
      <c r="D2282" s="12">
        <v>1997</v>
      </c>
      <c r="E2282" s="12" t="str">
        <f>VLOOKUP(A2282, Currency!$A$2:$B$100, 2, FALSE)</f>
        <v>USD</v>
      </c>
      <c r="F2282" s="12">
        <f ca="1">IFERROR(__xludf.DUMMYFUNCTION("IF(E2282=""USD"",B2282,B2282 * GOOGLEFINANCE(""CURRENCY:"" &amp; E2282 &amp; ""USD""))
"),68000000)</f>
        <v>68000000</v>
      </c>
      <c r="G2282" s="13">
        <f ca="1">IFERROR(__xludf.DUMMYFUNCTION("IF(E2282=""USD"",C2282,C2282 * GOOGLEFINANCE(""CURRENCY:"" &amp; E2282 &amp; ""USD""))
"),61355436)</f>
        <v>61355436</v>
      </c>
    </row>
    <row r="2283" spans="1:7" ht="15.75" customHeight="1" x14ac:dyDescent="0.25">
      <c r="A2283" s="14" t="s">
        <v>24</v>
      </c>
      <c r="B2283" s="15">
        <v>50000000</v>
      </c>
      <c r="C2283" s="15">
        <v>80270227</v>
      </c>
      <c r="D2283" s="15">
        <v>2005</v>
      </c>
      <c r="E2283" s="15" t="str">
        <f>VLOOKUP(A2283, Currency!$A$2:$B$100, 2, FALSE)</f>
        <v>USD</v>
      </c>
      <c r="F2283" s="15">
        <f ca="1">IFERROR(__xludf.DUMMYFUNCTION("IF(E2283=""USD"",B2283,B2283 * GOOGLEFINANCE(""CURRENCY:"" &amp; E2283 &amp; ""USD""))
"),50000000)</f>
        <v>50000000</v>
      </c>
      <c r="G2283" s="16">
        <f ca="1">IFERROR(__xludf.DUMMYFUNCTION("IF(E2283=""USD"",C2283,C2283 * GOOGLEFINANCE(""CURRENCY:"" &amp; E2283 &amp; ""USD""))
"),80270227)</f>
        <v>80270227</v>
      </c>
    </row>
    <row r="2284" spans="1:7" ht="15.75" customHeight="1" x14ac:dyDescent="0.25">
      <c r="A2284" s="11" t="s">
        <v>24</v>
      </c>
      <c r="B2284" s="12">
        <v>6000000</v>
      </c>
      <c r="C2284" s="12">
        <v>371081</v>
      </c>
      <c r="D2284" s="12">
        <v>2004</v>
      </c>
      <c r="E2284" s="12" t="str">
        <f>VLOOKUP(A2284, Currency!$A$2:$B$100, 2, FALSE)</f>
        <v>USD</v>
      </c>
      <c r="F2284" s="12">
        <f ca="1">IFERROR(__xludf.DUMMYFUNCTION("IF(E2284=""USD"",B2284,B2284 * GOOGLEFINANCE(""CURRENCY:"" &amp; E2284 &amp; ""USD""))
"),6000000)</f>
        <v>6000000</v>
      </c>
      <c r="G2284" s="13">
        <f ca="1">IFERROR(__xludf.DUMMYFUNCTION("IF(E2284=""USD"",C2284,C2284 * GOOGLEFINANCE(""CURRENCY:"" &amp; E2284 &amp; ""USD""))
"),371081)</f>
        <v>371081</v>
      </c>
    </row>
    <row r="2285" spans="1:7" ht="15.75" customHeight="1" x14ac:dyDescent="0.25">
      <c r="A2285" s="14" t="s">
        <v>133</v>
      </c>
      <c r="B2285" s="15">
        <v>35000000</v>
      </c>
      <c r="C2285" s="15">
        <v>27972410</v>
      </c>
      <c r="D2285" s="15">
        <v>2003</v>
      </c>
      <c r="E2285" s="15" t="str">
        <f>VLOOKUP(A2285, Currency!$A$2:$B$100, 2, FALSE)</f>
        <v>GBP</v>
      </c>
      <c r="F2285" s="15">
        <f ca="1">IFERROR(__xludf.DUMMYFUNCTION("IF(E2285=""USD"",B2285,B2285 * GOOGLEFINANCE(""CURRENCY:"" &amp; E2285 &amp; ""USD""))
"),44988999.9999999)</f>
        <v>44988999.999999903</v>
      </c>
      <c r="G2285" s="16">
        <f ca="1">IFERROR(__xludf.DUMMYFUNCTION("IF(E2285=""USD"",C2285,C2285 * GOOGLEFINANCE(""CURRENCY:"" &amp; E2285 &amp; ""USD""))
"),35955735.8139999)</f>
        <v>35955735.813999899</v>
      </c>
    </row>
    <row r="2286" spans="1:7" ht="15.75" customHeight="1" x14ac:dyDescent="0.25">
      <c r="A2286" s="11" t="s">
        <v>24</v>
      </c>
      <c r="B2286" s="12">
        <v>140000000</v>
      </c>
      <c r="C2286" s="12">
        <v>111110575</v>
      </c>
      <c r="D2286" s="12">
        <v>2003</v>
      </c>
      <c r="E2286" s="12" t="str">
        <f>VLOOKUP(A2286, Currency!$A$2:$B$100, 2, FALSE)</f>
        <v>USD</v>
      </c>
      <c r="F2286" s="12">
        <f ca="1">IFERROR(__xludf.DUMMYFUNCTION("IF(E2286=""USD"",B2286,B2286 * GOOGLEFINANCE(""CURRENCY:"" &amp; E2286 &amp; ""USD""))
"),140000000)</f>
        <v>140000000</v>
      </c>
      <c r="G2286" s="13">
        <f ca="1">IFERROR(__xludf.DUMMYFUNCTION("IF(E2286=""USD"",C2286,C2286 * GOOGLEFINANCE(""CURRENCY:"" &amp; E2286 &amp; ""USD""))
"),111110575)</f>
        <v>111110575</v>
      </c>
    </row>
    <row r="2287" spans="1:7" ht="15.75" customHeight="1" x14ac:dyDescent="0.25">
      <c r="A2287" s="14" t="s">
        <v>24</v>
      </c>
      <c r="B2287" s="15">
        <v>50000000</v>
      </c>
      <c r="C2287" s="15">
        <v>41814863</v>
      </c>
      <c r="D2287" s="15">
        <v>2004</v>
      </c>
      <c r="E2287" s="15" t="str">
        <f>VLOOKUP(A2287, Currency!$A$2:$B$100, 2, FALSE)</f>
        <v>USD</v>
      </c>
      <c r="F2287" s="15">
        <f ca="1">IFERROR(__xludf.DUMMYFUNCTION("IF(E2287=""USD"",B2287,B2287 * GOOGLEFINANCE(""CURRENCY:"" &amp; E2287 &amp; ""USD""))
"),50000000)</f>
        <v>50000000</v>
      </c>
      <c r="G2287" s="16">
        <f ca="1">IFERROR(__xludf.DUMMYFUNCTION("IF(E2287=""USD"",C2287,C2287 * GOOGLEFINANCE(""CURRENCY:"" &amp; E2287 &amp; ""USD""))
"),41814863)</f>
        <v>41814863</v>
      </c>
    </row>
    <row r="2288" spans="1:7" ht="15.75" customHeight="1" x14ac:dyDescent="0.25">
      <c r="A2288" s="11" t="s">
        <v>24</v>
      </c>
      <c r="B2288" s="12">
        <v>20000000</v>
      </c>
      <c r="C2288" s="12">
        <v>28876924</v>
      </c>
      <c r="D2288" s="12">
        <v>2016</v>
      </c>
      <c r="E2288" s="12" t="str">
        <f>VLOOKUP(A2288, Currency!$A$2:$B$100, 2, FALSE)</f>
        <v>USD</v>
      </c>
      <c r="F2288" s="12">
        <f ca="1">IFERROR(__xludf.DUMMYFUNCTION("IF(E2288=""USD"",B2288,B2288 * GOOGLEFINANCE(""CURRENCY:"" &amp; E2288 &amp; ""USD""))
"),20000000)</f>
        <v>20000000</v>
      </c>
      <c r="G2288" s="13">
        <f ca="1">IFERROR(__xludf.DUMMYFUNCTION("IF(E2288=""USD"",C2288,C2288 * GOOGLEFINANCE(""CURRENCY:"" &amp; E2288 &amp; ""USD""))
"),28876924)</f>
        <v>28876924</v>
      </c>
    </row>
    <row r="2289" spans="1:7" ht="15.75" customHeight="1" x14ac:dyDescent="0.25">
      <c r="A2289" s="14" t="s">
        <v>24</v>
      </c>
      <c r="B2289" s="15">
        <v>60000000</v>
      </c>
      <c r="C2289" s="15">
        <v>43337279</v>
      </c>
      <c r="D2289" s="15">
        <v>2009</v>
      </c>
      <c r="E2289" s="15" t="str">
        <f>VLOOKUP(A2289, Currency!$A$2:$B$100, 2, FALSE)</f>
        <v>USD</v>
      </c>
      <c r="F2289" s="15">
        <f ca="1">IFERROR(__xludf.DUMMYFUNCTION("IF(E2289=""USD"",B2289,B2289 * GOOGLEFINANCE(""CURRENCY:"" &amp; E2289 &amp; ""USD""))
"),60000000)</f>
        <v>60000000</v>
      </c>
      <c r="G2289" s="16">
        <f ca="1">IFERROR(__xludf.DUMMYFUNCTION("IF(E2289=""USD"",C2289,C2289 * GOOGLEFINANCE(""CURRENCY:"" &amp; E2289 &amp; ""USD""))
"),43337279)</f>
        <v>43337279</v>
      </c>
    </row>
    <row r="2290" spans="1:7" ht="15.75" customHeight="1" x14ac:dyDescent="0.25">
      <c r="A2290" s="11" t="s">
        <v>5268</v>
      </c>
      <c r="B2290" s="12">
        <v>300000000</v>
      </c>
      <c r="C2290" s="12">
        <v>102055</v>
      </c>
      <c r="D2290" s="12">
        <v>2008</v>
      </c>
      <c r="E2290" s="12" t="str">
        <f>VLOOKUP(A2290, Currency!$A$2:$B$100, 2, FALSE)</f>
        <v>THB</v>
      </c>
      <c r="F2290" s="12">
        <f ca="1">IFERROR(__xludf.DUMMYFUNCTION("IF(E2290=""USD"",B2290,B2290 * GOOGLEFINANCE(""CURRENCY:"" &amp; E2290 &amp; ""USD""))
"),8278146)</f>
        <v>8278146</v>
      </c>
      <c r="G2290" s="13">
        <f ca="1">IFERROR(__xludf.DUMMYFUNCTION("IF(E2290=""USD"",C2290,C2290 * GOOGLEFINANCE(""CURRENCY:"" &amp; E2290 &amp; ""USD""))
"),2816.0873001)</f>
        <v>2816.0873001</v>
      </c>
    </row>
    <row r="2291" spans="1:7" ht="15.75" customHeight="1" x14ac:dyDescent="0.25">
      <c r="A2291" s="14" t="s">
        <v>24</v>
      </c>
      <c r="B2291" s="15">
        <v>1500000</v>
      </c>
      <c r="C2291" s="15">
        <v>7362100</v>
      </c>
      <c r="D2291" s="15">
        <v>2005</v>
      </c>
      <c r="E2291" s="15" t="str">
        <f>VLOOKUP(A2291, Currency!$A$2:$B$100, 2, FALSE)</f>
        <v>USD</v>
      </c>
      <c r="F2291" s="15">
        <f ca="1">IFERROR(__xludf.DUMMYFUNCTION("IF(E2291=""USD"",B2291,B2291 * GOOGLEFINANCE(""CURRENCY:"" &amp; E2291 &amp; ""USD""))
"),1500000)</f>
        <v>1500000</v>
      </c>
      <c r="G2291" s="16">
        <f ca="1">IFERROR(__xludf.DUMMYFUNCTION("IF(E2291=""USD"",C2291,C2291 * GOOGLEFINANCE(""CURRENCY:"" &amp; E2291 &amp; ""USD""))
"),7362100)</f>
        <v>7362100</v>
      </c>
    </row>
    <row r="2292" spans="1:7" ht="15.75" customHeight="1" x14ac:dyDescent="0.25">
      <c r="A2292" s="11" t="s">
        <v>24</v>
      </c>
      <c r="B2292" s="12">
        <v>30000000</v>
      </c>
      <c r="C2292" s="12">
        <v>80920948</v>
      </c>
      <c r="D2292" s="12">
        <v>2001</v>
      </c>
      <c r="E2292" s="12" t="str">
        <f>VLOOKUP(A2292, Currency!$A$2:$B$100, 2, FALSE)</f>
        <v>USD</v>
      </c>
      <c r="F2292" s="12">
        <f ca="1">IFERROR(__xludf.DUMMYFUNCTION("IF(E2292=""USD"",B2292,B2292 * GOOGLEFINANCE(""CURRENCY:"" &amp; E2292 &amp; ""USD""))
"),30000000)</f>
        <v>30000000</v>
      </c>
      <c r="G2292" s="13">
        <f ca="1">IFERROR(__xludf.DUMMYFUNCTION("IF(E2292=""USD"",C2292,C2292 * GOOGLEFINANCE(""CURRENCY:"" &amp; E2292 &amp; ""USD""))
"),80920948)</f>
        <v>80920948</v>
      </c>
    </row>
    <row r="2293" spans="1:7" ht="15.75" customHeight="1" x14ac:dyDescent="0.25">
      <c r="A2293" s="14" t="s">
        <v>24</v>
      </c>
      <c r="B2293" s="15">
        <v>19000000</v>
      </c>
      <c r="C2293" s="15">
        <v>22245861</v>
      </c>
      <c r="D2293" s="15">
        <v>2002</v>
      </c>
      <c r="E2293" s="15" t="str">
        <f>VLOOKUP(A2293, Currency!$A$2:$B$100, 2, FALSE)</f>
        <v>USD</v>
      </c>
      <c r="F2293" s="15">
        <f ca="1">IFERROR(__xludf.DUMMYFUNCTION("IF(E2293=""USD"",B2293,B2293 * GOOGLEFINANCE(""CURRENCY:"" &amp; E2293 &amp; ""USD""))
"),19000000)</f>
        <v>19000000</v>
      </c>
      <c r="G2293" s="16">
        <f ca="1">IFERROR(__xludf.DUMMYFUNCTION("IF(E2293=""USD"",C2293,C2293 * GOOGLEFINANCE(""CURRENCY:"" &amp; E2293 &amp; ""USD""))
"),22245861)</f>
        <v>22245861</v>
      </c>
    </row>
    <row r="2294" spans="1:7" ht="15.75" customHeight="1" x14ac:dyDescent="0.25">
      <c r="A2294" s="11" t="s">
        <v>24</v>
      </c>
      <c r="B2294" s="12">
        <v>6200000</v>
      </c>
      <c r="C2294" s="12">
        <v>126247</v>
      </c>
      <c r="D2294" s="12">
        <v>1994</v>
      </c>
      <c r="E2294" s="12" t="str">
        <f>VLOOKUP(A2294, Currency!$A$2:$B$100, 2, FALSE)</f>
        <v>USD</v>
      </c>
      <c r="F2294" s="12">
        <f ca="1">IFERROR(__xludf.DUMMYFUNCTION("IF(E2294=""USD"",B2294,B2294 * GOOGLEFINANCE(""CURRENCY:"" &amp; E2294 &amp; ""USD""))
"),6200000)</f>
        <v>6200000</v>
      </c>
      <c r="G2294" s="13">
        <f ca="1">IFERROR(__xludf.DUMMYFUNCTION("IF(E2294=""USD"",C2294,C2294 * GOOGLEFINANCE(""CURRENCY:"" &amp; E2294 &amp; ""USD""))
"),126247)</f>
        <v>126247</v>
      </c>
    </row>
    <row r="2295" spans="1:7" ht="15.75" customHeight="1" x14ac:dyDescent="0.25">
      <c r="A2295" s="14" t="s">
        <v>24</v>
      </c>
      <c r="B2295" s="15">
        <v>5000000</v>
      </c>
      <c r="C2295" s="15">
        <v>53884821</v>
      </c>
      <c r="D2295" s="15">
        <v>2012</v>
      </c>
      <c r="E2295" s="15" t="str">
        <f>VLOOKUP(A2295, Currency!$A$2:$B$100, 2, FALSE)</f>
        <v>USD</v>
      </c>
      <c r="F2295" s="15">
        <f ca="1">IFERROR(__xludf.DUMMYFUNCTION("IF(E2295=""USD"",B2295,B2295 * GOOGLEFINANCE(""CURRENCY:"" &amp; E2295 &amp; ""USD""))
"),5000000)</f>
        <v>5000000</v>
      </c>
      <c r="G2295" s="16">
        <f ca="1">IFERROR(__xludf.DUMMYFUNCTION("IF(E2295=""USD"",C2295,C2295 * GOOGLEFINANCE(""CURRENCY:"" &amp; E2295 &amp; ""USD""))
"),53884821)</f>
        <v>53884821</v>
      </c>
    </row>
    <row r="2296" spans="1:7" ht="15.75" customHeight="1" x14ac:dyDescent="0.25">
      <c r="A2296" s="11" t="s">
        <v>24</v>
      </c>
      <c r="B2296" s="12">
        <v>40000000</v>
      </c>
      <c r="C2296" s="12">
        <v>32800000</v>
      </c>
      <c r="D2296" s="12">
        <v>1996</v>
      </c>
      <c r="E2296" s="12" t="str">
        <f>VLOOKUP(A2296, Currency!$A$2:$B$100, 2, FALSE)</f>
        <v>USD</v>
      </c>
      <c r="F2296" s="12">
        <f ca="1">IFERROR(__xludf.DUMMYFUNCTION("IF(E2296=""USD"",B2296,B2296 * GOOGLEFINANCE(""CURRENCY:"" &amp; E2296 &amp; ""USD""))
"),40000000)</f>
        <v>40000000</v>
      </c>
      <c r="G2296" s="13">
        <f ca="1">IFERROR(__xludf.DUMMYFUNCTION("IF(E2296=""USD"",C2296,C2296 * GOOGLEFINANCE(""CURRENCY:"" &amp; E2296 &amp; ""USD""))
"),32800000)</f>
        <v>32800000</v>
      </c>
    </row>
    <row r="2297" spans="1:7" ht="15.75" customHeight="1" x14ac:dyDescent="0.25">
      <c r="A2297" s="14" t="s">
        <v>24</v>
      </c>
      <c r="B2297" s="15">
        <v>5000000</v>
      </c>
      <c r="C2297" s="15">
        <v>92900</v>
      </c>
      <c r="D2297" s="15">
        <v>2009</v>
      </c>
      <c r="E2297" s="15" t="str">
        <f>VLOOKUP(A2297, Currency!$A$2:$B$100, 2, FALSE)</f>
        <v>USD</v>
      </c>
      <c r="F2297" s="15">
        <f ca="1">IFERROR(__xludf.DUMMYFUNCTION("IF(E2297=""USD"",B2297,B2297 * GOOGLEFINANCE(""CURRENCY:"" &amp; E2297 &amp; ""USD""))
"),5000000)</f>
        <v>5000000</v>
      </c>
      <c r="G2297" s="16">
        <f ca="1">IFERROR(__xludf.DUMMYFUNCTION("IF(E2297=""USD"",C2297,C2297 * GOOGLEFINANCE(""CURRENCY:"" &amp; E2297 &amp; ""USD""))
"),92900)</f>
        <v>92900</v>
      </c>
    </row>
    <row r="2298" spans="1:7" ht="15.75" customHeight="1" x14ac:dyDescent="0.25">
      <c r="A2298" s="11" t="s">
        <v>7490</v>
      </c>
      <c r="B2298" s="12">
        <v>46000</v>
      </c>
      <c r="C2298" s="12">
        <v>1127331</v>
      </c>
      <c r="D2298" s="12">
        <v>2003</v>
      </c>
      <c r="E2298" s="12" t="str">
        <f>VLOOKUP(A2298, Currency!$A$2:$B$100, 2, FALSE)</f>
        <v>AFN</v>
      </c>
      <c r="F2298" s="12">
        <f ca="1">IFERROR(__xludf.DUMMYFUNCTION("IF(E2298=""USD"",B2298,B2298 * GOOGLEFINANCE(""CURRENCY:"" &amp; E2298 &amp; ""USD""))
"),649.516504)</f>
        <v>649.51650400000005</v>
      </c>
      <c r="G2298" s="13">
        <f ca="1">IFERROR(__xludf.DUMMYFUNCTION("IF(E2298=""USD"",C2298,C2298 * GOOGLEFINANCE(""CURRENCY:"" &amp; E2298 &amp; ""USD""))
"),15917.828042844)</f>
        <v>15917.828042843999</v>
      </c>
    </row>
    <row r="2299" spans="1:7" ht="15.75" customHeight="1" x14ac:dyDescent="0.25">
      <c r="A2299" s="14" t="s">
        <v>24</v>
      </c>
      <c r="B2299" s="15">
        <v>12000000</v>
      </c>
      <c r="C2299" s="15">
        <v>38087366</v>
      </c>
      <c r="D2299" s="15">
        <v>2008</v>
      </c>
      <c r="E2299" s="15" t="str">
        <f>VLOOKUP(A2299, Currency!$A$2:$B$100, 2, FALSE)</f>
        <v>USD</v>
      </c>
      <c r="F2299" s="15">
        <f ca="1">IFERROR(__xludf.DUMMYFUNCTION("IF(E2299=""USD"",B2299,B2299 * GOOGLEFINANCE(""CURRENCY:"" &amp; E2299 &amp; ""USD""))
"),12000000)</f>
        <v>12000000</v>
      </c>
      <c r="G2299" s="16">
        <f ca="1">IFERROR(__xludf.DUMMYFUNCTION("IF(E2299=""USD"",C2299,C2299 * GOOGLEFINANCE(""CURRENCY:"" &amp; E2299 &amp; ""USD""))
"),38087366)</f>
        <v>38087366</v>
      </c>
    </row>
    <row r="2300" spans="1:7" ht="15.75" customHeight="1" x14ac:dyDescent="0.25">
      <c r="A2300" s="11" t="s">
        <v>133</v>
      </c>
      <c r="B2300" s="12">
        <v>6000000</v>
      </c>
      <c r="C2300" s="12">
        <v>30093107</v>
      </c>
      <c r="D2300" s="12">
        <v>2000</v>
      </c>
      <c r="E2300" s="12" t="str">
        <f>VLOOKUP(A2300, Currency!$A$2:$B$100, 2, FALSE)</f>
        <v>GBP</v>
      </c>
      <c r="F2300" s="12">
        <f ca="1">IFERROR(__xludf.DUMMYFUNCTION("IF(E2300=""USD"",B2300,B2300 * GOOGLEFINANCE(""CURRENCY:"" &amp; E2300 &amp; ""USD""))
"),7712399.99999999)</f>
        <v>7712399.9999999898</v>
      </c>
      <c r="G2300" s="13">
        <f ca="1">IFERROR(__xludf.DUMMYFUNCTION("IF(E2300=""USD"",C2300,C2300 * GOOGLEFINANCE(""CURRENCY:"" &amp; E2300 &amp; ""USD""))
"),38681679.7377999)</f>
        <v>38681679.737799898</v>
      </c>
    </row>
    <row r="2301" spans="1:7" ht="15.75" customHeight="1" x14ac:dyDescent="0.25">
      <c r="A2301" s="14" t="s">
        <v>24</v>
      </c>
      <c r="B2301" s="15">
        <v>75000000</v>
      </c>
      <c r="C2301" s="15">
        <v>157299717</v>
      </c>
      <c r="D2301" s="15">
        <v>2000</v>
      </c>
      <c r="E2301" s="15" t="str">
        <f>VLOOKUP(A2301, Currency!$A$2:$B$100, 2, FALSE)</f>
        <v>USD</v>
      </c>
      <c r="F2301" s="15">
        <f ca="1">IFERROR(__xludf.DUMMYFUNCTION("IF(E2301=""USD"",B2301,B2301 * GOOGLEFINANCE(""CURRENCY:"" &amp; E2301 &amp; ""USD""))
"),75000000)</f>
        <v>75000000</v>
      </c>
      <c r="G2301" s="16">
        <f ca="1">IFERROR(__xludf.DUMMYFUNCTION("IF(E2301=""USD"",C2301,C2301 * GOOGLEFINANCE(""CURRENCY:"" &amp; E2301 &amp; ""USD""))
"),157299717)</f>
        <v>157299717</v>
      </c>
    </row>
    <row r="2302" spans="1:7" ht="15.75" customHeight="1" x14ac:dyDescent="0.25">
      <c r="A2302" s="11" t="s">
        <v>24</v>
      </c>
      <c r="B2302" s="12">
        <v>209000000</v>
      </c>
      <c r="C2302" s="12">
        <v>65173160</v>
      </c>
      <c r="D2302" s="12">
        <v>2012</v>
      </c>
      <c r="E2302" s="12" t="str">
        <f>VLOOKUP(A2302, Currency!$A$2:$B$100, 2, FALSE)</f>
        <v>USD</v>
      </c>
      <c r="F2302" s="12">
        <f ca="1">IFERROR(__xludf.DUMMYFUNCTION("IF(E2302=""USD"",B2302,B2302 * GOOGLEFINANCE(""CURRENCY:"" &amp; E2302 &amp; ""USD""))
"),209000000)</f>
        <v>209000000</v>
      </c>
      <c r="G2302" s="13">
        <f ca="1">IFERROR(__xludf.DUMMYFUNCTION("IF(E2302=""USD"",C2302,C2302 * GOOGLEFINANCE(""CURRENCY:"" &amp; E2302 &amp; ""USD""))
"),65173160)</f>
        <v>65173160</v>
      </c>
    </row>
    <row r="2303" spans="1:7" ht="15.75" customHeight="1" x14ac:dyDescent="0.25">
      <c r="A2303" s="14" t="s">
        <v>24</v>
      </c>
      <c r="B2303" s="15">
        <v>8000000</v>
      </c>
      <c r="C2303" s="15">
        <v>108662</v>
      </c>
      <c r="D2303" s="15">
        <v>2008</v>
      </c>
      <c r="E2303" s="15" t="str">
        <f>VLOOKUP(A2303, Currency!$A$2:$B$100, 2, FALSE)</f>
        <v>USD</v>
      </c>
      <c r="F2303" s="15">
        <f ca="1">IFERROR(__xludf.DUMMYFUNCTION("IF(E2303=""USD"",B2303,B2303 * GOOGLEFINANCE(""CURRENCY:"" &amp; E2303 &amp; ""USD""))
"),8000000)</f>
        <v>8000000</v>
      </c>
      <c r="G2303" s="16">
        <f ca="1">IFERROR(__xludf.DUMMYFUNCTION("IF(E2303=""USD"",C2303,C2303 * GOOGLEFINANCE(""CURRENCY:"" &amp; E2303 &amp; ""USD""))
"),108662)</f>
        <v>108662</v>
      </c>
    </row>
    <row r="2304" spans="1:7" ht="15.75" customHeight="1" x14ac:dyDescent="0.25">
      <c r="A2304" s="11" t="s">
        <v>24</v>
      </c>
      <c r="B2304" s="12">
        <v>30000000</v>
      </c>
      <c r="C2304" s="12">
        <v>25078937</v>
      </c>
      <c r="D2304" s="12">
        <v>1997</v>
      </c>
      <c r="E2304" s="12" t="str">
        <f>VLOOKUP(A2304, Currency!$A$2:$B$100, 2, FALSE)</f>
        <v>USD</v>
      </c>
      <c r="F2304" s="12">
        <f ca="1">IFERROR(__xludf.DUMMYFUNCTION("IF(E2304=""USD"",B2304,B2304 * GOOGLEFINANCE(""CURRENCY:"" &amp; E2304 &amp; ""USD""))
"),30000000)</f>
        <v>30000000</v>
      </c>
      <c r="G2304" s="13">
        <f ca="1">IFERROR(__xludf.DUMMYFUNCTION("IF(E2304=""USD"",C2304,C2304 * GOOGLEFINANCE(""CURRENCY:"" &amp; E2304 &amp; ""USD""))
"),25078937)</f>
        <v>25078937</v>
      </c>
    </row>
    <row r="2305" spans="1:7" ht="15.75" customHeight="1" x14ac:dyDescent="0.25">
      <c r="A2305" s="14" t="s">
        <v>24</v>
      </c>
      <c r="B2305" s="15">
        <v>130000000</v>
      </c>
      <c r="C2305" s="15">
        <v>126464904</v>
      </c>
      <c r="D2305" s="15">
        <v>2012</v>
      </c>
      <c r="E2305" s="15" t="str">
        <f>VLOOKUP(A2305, Currency!$A$2:$B$100, 2, FALSE)</f>
        <v>USD</v>
      </c>
      <c r="F2305" s="15">
        <f ca="1">IFERROR(__xludf.DUMMYFUNCTION("IF(E2305=""USD"",B2305,B2305 * GOOGLEFINANCE(""CURRENCY:"" &amp; E2305 &amp; ""USD""))
"),130000000)</f>
        <v>130000000</v>
      </c>
      <c r="G2305" s="16">
        <f ca="1">IFERROR(__xludf.DUMMYFUNCTION("IF(E2305=""USD"",C2305,C2305 * GOOGLEFINANCE(""CURRENCY:"" &amp; E2305 &amp; ""USD""))
"),126464904)</f>
        <v>126464904</v>
      </c>
    </row>
    <row r="2306" spans="1:7" ht="15.75" customHeight="1" x14ac:dyDescent="0.25">
      <c r="A2306" s="11" t="s">
        <v>24</v>
      </c>
      <c r="B2306" s="12">
        <v>22000000</v>
      </c>
      <c r="C2306" s="12">
        <v>9694105</v>
      </c>
      <c r="D2306" s="12">
        <v>1999</v>
      </c>
      <c r="E2306" s="12" t="str">
        <f>VLOOKUP(A2306, Currency!$A$2:$B$100, 2, FALSE)</f>
        <v>USD</v>
      </c>
      <c r="F2306" s="12">
        <f ca="1">IFERROR(__xludf.DUMMYFUNCTION("IF(E2306=""USD"",B2306,B2306 * GOOGLEFINANCE(""CURRENCY:"" &amp; E2306 &amp; ""USD""))
"),22000000)</f>
        <v>22000000</v>
      </c>
      <c r="G2306" s="13">
        <f ca="1">IFERROR(__xludf.DUMMYFUNCTION("IF(E2306=""USD"",C2306,C2306 * GOOGLEFINANCE(""CURRENCY:"" &amp; E2306 &amp; ""USD""))
"),9694105)</f>
        <v>9694105</v>
      </c>
    </row>
    <row r="2307" spans="1:7" ht="15.75" customHeight="1" x14ac:dyDescent="0.25">
      <c r="A2307" s="14" t="s">
        <v>24</v>
      </c>
      <c r="B2307" s="15">
        <v>20000000</v>
      </c>
      <c r="C2307" s="15">
        <v>94497271</v>
      </c>
      <c r="D2307" s="15">
        <v>2008</v>
      </c>
      <c r="E2307" s="15" t="str">
        <f>VLOOKUP(A2307, Currency!$A$2:$B$100, 2, FALSE)</f>
        <v>USD</v>
      </c>
      <c r="F2307" s="15">
        <f ca="1">IFERROR(__xludf.DUMMYFUNCTION("IF(E2307=""USD"",B2307,B2307 * GOOGLEFINANCE(""CURRENCY:"" &amp; E2307 &amp; ""USD""))
"),20000000)</f>
        <v>20000000</v>
      </c>
      <c r="G2307" s="16">
        <f ca="1">IFERROR(__xludf.DUMMYFUNCTION("IF(E2307=""USD"",C2307,C2307 * GOOGLEFINANCE(""CURRENCY:"" &amp; E2307 &amp; ""USD""))
"),94497271)</f>
        <v>94497271</v>
      </c>
    </row>
    <row r="2308" spans="1:7" ht="15.75" customHeight="1" x14ac:dyDescent="0.25">
      <c r="A2308" s="11" t="s">
        <v>24</v>
      </c>
      <c r="B2308" s="12">
        <v>60000000</v>
      </c>
      <c r="C2308" s="12">
        <v>11802056</v>
      </c>
      <c r="D2308" s="12">
        <v>2008</v>
      </c>
      <c r="E2308" s="12" t="str">
        <f>VLOOKUP(A2308, Currency!$A$2:$B$100, 2, FALSE)</f>
        <v>USD</v>
      </c>
      <c r="F2308" s="12">
        <f ca="1">IFERROR(__xludf.DUMMYFUNCTION("IF(E2308=""USD"",B2308,B2308 * GOOGLEFINANCE(""CURRENCY:"" &amp; E2308 &amp; ""USD""))
"),60000000)</f>
        <v>60000000</v>
      </c>
      <c r="G2308" s="13">
        <f ca="1">IFERROR(__xludf.DUMMYFUNCTION("IF(E2308=""USD"",C2308,C2308 * GOOGLEFINANCE(""CURRENCY:"" &amp; E2308 &amp; ""USD""))
"),11802056)</f>
        <v>11802056</v>
      </c>
    </row>
    <row r="2309" spans="1:7" ht="15.75" customHeight="1" x14ac:dyDescent="0.25">
      <c r="A2309" s="14" t="s">
        <v>1551</v>
      </c>
      <c r="B2309" s="15">
        <v>5500000</v>
      </c>
      <c r="C2309" s="15">
        <v>22770</v>
      </c>
      <c r="D2309" s="15">
        <v>2013</v>
      </c>
      <c r="E2309" s="15" t="str">
        <f>VLOOKUP(A2309, Currency!$A$2:$B$100, 2, FALSE)</f>
        <v>JPY</v>
      </c>
      <c r="F2309" s="15">
        <f ca="1">IFERROR(__xludf.DUMMYFUNCTION("IF(E2309=""USD"",B2309,B2309 * GOOGLEFINANCE(""CURRENCY:"" &amp; E2309 &amp; ""USD""))
"),35731.3)</f>
        <v>35731.300000000003</v>
      </c>
      <c r="G2309" s="16">
        <f ca="1">IFERROR(__xludf.DUMMYFUNCTION("IF(E2309=""USD"",C2309,C2309 * GOOGLEFINANCE(""CURRENCY:"" &amp; E2309 &amp; ""USD""))
"),147.927582)</f>
        <v>147.927582</v>
      </c>
    </row>
    <row r="2310" spans="1:7" ht="15.75" customHeight="1" x14ac:dyDescent="0.25">
      <c r="A2310" s="11" t="s">
        <v>24</v>
      </c>
      <c r="B2310" s="12">
        <v>10000000</v>
      </c>
      <c r="C2310" s="12">
        <v>7563670</v>
      </c>
      <c r="D2310" s="12">
        <v>2008</v>
      </c>
      <c r="E2310" s="12" t="str">
        <f>VLOOKUP(A2310, Currency!$A$2:$B$100, 2, FALSE)</f>
        <v>USD</v>
      </c>
      <c r="F2310" s="12">
        <f ca="1">IFERROR(__xludf.DUMMYFUNCTION("IF(E2310=""USD"",B2310,B2310 * GOOGLEFINANCE(""CURRENCY:"" &amp; E2310 &amp; ""USD""))
"),10000000)</f>
        <v>10000000</v>
      </c>
      <c r="G2310" s="13">
        <f ca="1">IFERROR(__xludf.DUMMYFUNCTION("IF(E2310=""USD"",C2310,C2310 * GOOGLEFINANCE(""CURRENCY:"" &amp; E2310 &amp; ""USD""))
"),7563670)</f>
        <v>7563670</v>
      </c>
    </row>
    <row r="2311" spans="1:7" ht="15.75" customHeight="1" x14ac:dyDescent="0.25">
      <c r="A2311" s="14" t="s">
        <v>24</v>
      </c>
      <c r="B2311" s="15">
        <v>35000000</v>
      </c>
      <c r="C2311" s="15">
        <v>19294901</v>
      </c>
      <c r="D2311" s="15">
        <v>2005</v>
      </c>
      <c r="E2311" s="15" t="str">
        <f>VLOOKUP(A2311, Currency!$A$2:$B$100, 2, FALSE)</f>
        <v>USD</v>
      </c>
      <c r="F2311" s="15">
        <f ca="1">IFERROR(__xludf.DUMMYFUNCTION("IF(E2311=""USD"",B2311,B2311 * GOOGLEFINANCE(""CURRENCY:"" &amp; E2311 &amp; ""USD""))
"),35000000)</f>
        <v>35000000</v>
      </c>
      <c r="G2311" s="16">
        <f ca="1">IFERROR(__xludf.DUMMYFUNCTION("IF(E2311=""USD"",C2311,C2311 * GOOGLEFINANCE(""CURRENCY:"" &amp; E2311 &amp; ""USD""))
"),19294901)</f>
        <v>19294901</v>
      </c>
    </row>
    <row r="2312" spans="1:7" ht="15.75" customHeight="1" x14ac:dyDescent="0.25">
      <c r="A2312" s="11" t="s">
        <v>24</v>
      </c>
      <c r="B2312" s="12">
        <v>10500000</v>
      </c>
      <c r="C2312" s="12">
        <v>26589953</v>
      </c>
      <c r="D2312" s="12">
        <v>2010</v>
      </c>
      <c r="E2312" s="12" t="str">
        <f>VLOOKUP(A2312, Currency!$A$2:$B$100, 2, FALSE)</f>
        <v>USD</v>
      </c>
      <c r="F2312" s="12">
        <f ca="1">IFERROR(__xludf.DUMMYFUNCTION("IF(E2312=""USD"",B2312,B2312 * GOOGLEFINANCE(""CURRENCY:"" &amp; E2312 &amp; ""USD""))
"),10500000)</f>
        <v>10500000</v>
      </c>
      <c r="G2312" s="13">
        <f ca="1">IFERROR(__xludf.DUMMYFUNCTION("IF(E2312=""USD"",C2312,C2312 * GOOGLEFINANCE(""CURRENCY:"" &amp; E2312 &amp; ""USD""))
"),26589953)</f>
        <v>26589953</v>
      </c>
    </row>
    <row r="2313" spans="1:7" ht="15.75" customHeight="1" x14ac:dyDescent="0.25">
      <c r="A2313" s="14" t="s">
        <v>24</v>
      </c>
      <c r="B2313" s="15">
        <v>80000000</v>
      </c>
      <c r="C2313" s="15">
        <v>195329763</v>
      </c>
      <c r="D2313" s="15">
        <v>2006</v>
      </c>
      <c r="E2313" s="15" t="str">
        <f>VLOOKUP(A2313, Currency!$A$2:$B$100, 2, FALSE)</f>
        <v>USD</v>
      </c>
      <c r="F2313" s="15">
        <f ca="1">IFERROR(__xludf.DUMMYFUNCTION("IF(E2313=""USD"",B2313,B2313 * GOOGLEFINANCE(""CURRENCY:"" &amp; E2313 &amp; ""USD""))
"),80000000)</f>
        <v>80000000</v>
      </c>
      <c r="G2313" s="16">
        <f ca="1">IFERROR(__xludf.DUMMYFUNCTION("IF(E2313=""USD"",C2313,C2313 * GOOGLEFINANCE(""CURRENCY:"" &amp; E2313 &amp; ""USD""))
"),195329763)</f>
        <v>195329763</v>
      </c>
    </row>
    <row r="2314" spans="1:7" ht="15.75" customHeight="1" x14ac:dyDescent="0.25">
      <c r="A2314" s="11" t="s">
        <v>24</v>
      </c>
      <c r="B2314" s="12">
        <v>3500000</v>
      </c>
      <c r="C2314" s="12">
        <v>5354039</v>
      </c>
      <c r="D2314" s="12">
        <v>2011</v>
      </c>
      <c r="E2314" s="12" t="str">
        <f>VLOOKUP(A2314, Currency!$A$2:$B$100, 2, FALSE)</f>
        <v>USD</v>
      </c>
      <c r="F2314" s="12">
        <f ca="1">IFERROR(__xludf.DUMMYFUNCTION("IF(E2314=""USD"",B2314,B2314 * GOOGLEFINANCE(""CURRENCY:"" &amp; E2314 &amp; ""USD""))
"),3500000)</f>
        <v>3500000</v>
      </c>
      <c r="G2314" s="13">
        <f ca="1">IFERROR(__xludf.DUMMYFUNCTION("IF(E2314=""USD"",C2314,C2314 * GOOGLEFINANCE(""CURRENCY:"" &amp; E2314 &amp; ""USD""))
"),5354039)</f>
        <v>5354039</v>
      </c>
    </row>
    <row r="2315" spans="1:7" ht="15.75" customHeight="1" x14ac:dyDescent="0.25">
      <c r="A2315" s="14" t="s">
        <v>24</v>
      </c>
      <c r="B2315" s="15">
        <v>3000000</v>
      </c>
      <c r="C2315" s="15">
        <v>8114507</v>
      </c>
      <c r="D2315" s="15">
        <v>2013</v>
      </c>
      <c r="E2315" s="15" t="str">
        <f>VLOOKUP(A2315, Currency!$A$2:$B$100, 2, FALSE)</f>
        <v>USD</v>
      </c>
      <c r="F2315" s="15">
        <f ca="1">IFERROR(__xludf.DUMMYFUNCTION("IF(E2315=""USD"",B2315,B2315 * GOOGLEFINANCE(""CURRENCY:"" &amp; E2315 &amp; ""USD""))
"),3000000)</f>
        <v>3000000</v>
      </c>
      <c r="G2315" s="16">
        <f ca="1">IFERROR(__xludf.DUMMYFUNCTION("IF(E2315=""USD"",C2315,C2315 * GOOGLEFINANCE(""CURRENCY:"" &amp; E2315 &amp; ""USD""))
"),8114507)</f>
        <v>8114507</v>
      </c>
    </row>
    <row r="2316" spans="1:7" ht="15.75" customHeight="1" x14ac:dyDescent="0.25">
      <c r="A2316" s="11" t="s">
        <v>24</v>
      </c>
      <c r="B2316" s="12">
        <v>35000000</v>
      </c>
      <c r="C2316" s="12">
        <v>251188924</v>
      </c>
      <c r="D2316" s="12">
        <v>1989</v>
      </c>
      <c r="E2316" s="12" t="str">
        <f>VLOOKUP(A2316, Currency!$A$2:$B$100, 2, FALSE)</f>
        <v>USD</v>
      </c>
      <c r="F2316" s="12">
        <f ca="1">IFERROR(__xludf.DUMMYFUNCTION("IF(E2316=""USD"",B2316,B2316 * GOOGLEFINANCE(""CURRENCY:"" &amp; E2316 &amp; ""USD""))
"),35000000)</f>
        <v>35000000</v>
      </c>
      <c r="G2316" s="13">
        <f ca="1">IFERROR(__xludf.DUMMYFUNCTION("IF(E2316=""USD"",C2316,C2316 * GOOGLEFINANCE(""CURRENCY:"" &amp; E2316 &amp; ""USD""))
"),251188924)</f>
        <v>251188924</v>
      </c>
    </row>
    <row r="2317" spans="1:7" ht="15.75" customHeight="1" x14ac:dyDescent="0.25">
      <c r="A2317" s="14" t="s">
        <v>24</v>
      </c>
      <c r="B2317" s="15">
        <v>25000000</v>
      </c>
      <c r="C2317" s="15">
        <v>83813460</v>
      </c>
      <c r="D2317" s="15">
        <v>2009</v>
      </c>
      <c r="E2317" s="15" t="str">
        <f>VLOOKUP(A2317, Currency!$A$2:$B$100, 2, FALSE)</f>
        <v>USD</v>
      </c>
      <c r="F2317" s="15">
        <f ca="1">IFERROR(__xludf.DUMMYFUNCTION("IF(E2317=""USD"",B2317,B2317 * GOOGLEFINANCE(""CURRENCY:"" &amp; E2317 &amp; ""USD""))
"),25000000)</f>
        <v>25000000</v>
      </c>
      <c r="G2317" s="16">
        <f ca="1">IFERROR(__xludf.DUMMYFUNCTION("IF(E2317=""USD"",C2317,C2317 * GOOGLEFINANCE(""CURRENCY:"" &amp; E2317 &amp; ""USD""))
"),83813460)</f>
        <v>83813460</v>
      </c>
    </row>
    <row r="2318" spans="1:7" ht="15.75" customHeight="1" x14ac:dyDescent="0.25">
      <c r="A2318" s="11" t="s">
        <v>24</v>
      </c>
      <c r="B2318" s="12">
        <v>10000000</v>
      </c>
      <c r="C2318" s="12">
        <v>578527</v>
      </c>
      <c r="D2318" s="12">
        <v>2008</v>
      </c>
      <c r="E2318" s="12" t="str">
        <f>VLOOKUP(A2318, Currency!$A$2:$B$100, 2, FALSE)</f>
        <v>USD</v>
      </c>
      <c r="F2318" s="12">
        <f ca="1">IFERROR(__xludf.DUMMYFUNCTION("IF(E2318=""USD"",B2318,B2318 * GOOGLEFINANCE(""CURRENCY:"" &amp; E2318 &amp; ""USD""))
"),10000000)</f>
        <v>10000000</v>
      </c>
      <c r="G2318" s="13">
        <f ca="1">IFERROR(__xludf.DUMMYFUNCTION("IF(E2318=""USD"",C2318,C2318 * GOOGLEFINANCE(""CURRENCY:"" &amp; E2318 &amp; ""USD""))
"),578527)</f>
        <v>578527</v>
      </c>
    </row>
    <row r="2319" spans="1:7" ht="15.75" customHeight="1" x14ac:dyDescent="0.25">
      <c r="A2319" s="14" t="s">
        <v>24</v>
      </c>
      <c r="B2319" s="15">
        <v>30000000</v>
      </c>
      <c r="C2319" s="15">
        <v>42043633</v>
      </c>
      <c r="D2319" s="15">
        <v>2012</v>
      </c>
      <c r="E2319" s="15" t="str">
        <f>VLOOKUP(A2319, Currency!$A$2:$B$100, 2, FALSE)</f>
        <v>USD</v>
      </c>
      <c r="F2319" s="15">
        <f ca="1">IFERROR(__xludf.DUMMYFUNCTION("IF(E2319=""USD"",B2319,B2319 * GOOGLEFINANCE(""CURRENCY:"" &amp; E2319 &amp; ""USD""))
"),30000000)</f>
        <v>30000000</v>
      </c>
      <c r="G2319" s="16">
        <f ca="1">IFERROR(__xludf.DUMMYFUNCTION("IF(E2319=""USD"",C2319,C2319 * GOOGLEFINANCE(""CURRENCY:"" &amp; E2319 &amp; ""USD""))
"),42043633)</f>
        <v>42043633</v>
      </c>
    </row>
    <row r="2320" spans="1:7" ht="15.75" customHeight="1" x14ac:dyDescent="0.25">
      <c r="A2320" s="11" t="s">
        <v>24</v>
      </c>
      <c r="B2320" s="12">
        <v>175000000</v>
      </c>
      <c r="C2320" s="12">
        <v>161087183</v>
      </c>
      <c r="D2320" s="12">
        <v>2016</v>
      </c>
      <c r="E2320" s="12" t="str">
        <f>VLOOKUP(A2320, Currency!$A$2:$B$100, 2, FALSE)</f>
        <v>USD</v>
      </c>
      <c r="F2320" s="12">
        <f ca="1">IFERROR(__xludf.DUMMYFUNCTION("IF(E2320=""USD"",B2320,B2320 * GOOGLEFINANCE(""CURRENCY:"" &amp; E2320 &amp; ""USD""))
"),175000000)</f>
        <v>175000000</v>
      </c>
      <c r="G2320" s="13">
        <f ca="1">IFERROR(__xludf.DUMMYFUNCTION("IF(E2320=""USD"",C2320,C2320 * GOOGLEFINANCE(""CURRENCY:"" &amp; E2320 &amp; ""USD""))
"),161087183)</f>
        <v>161087183</v>
      </c>
    </row>
    <row r="2321" spans="1:7" ht="15.75" customHeight="1" x14ac:dyDescent="0.25">
      <c r="A2321" s="14" t="s">
        <v>24</v>
      </c>
      <c r="B2321" s="15">
        <v>100000000</v>
      </c>
      <c r="C2321" s="15">
        <v>78616689</v>
      </c>
      <c r="D2321" s="15">
        <v>2001</v>
      </c>
      <c r="E2321" s="15" t="str">
        <f>VLOOKUP(A2321, Currency!$A$2:$B$100, 2, FALSE)</f>
        <v>USD</v>
      </c>
      <c r="F2321" s="15">
        <f ca="1">IFERROR(__xludf.DUMMYFUNCTION("IF(E2321=""USD"",B2321,B2321 * GOOGLEFINANCE(""CURRENCY:"" &amp; E2321 &amp; ""USD""))
"),100000000)</f>
        <v>100000000</v>
      </c>
      <c r="G2321" s="16">
        <f ca="1">IFERROR(__xludf.DUMMYFUNCTION("IF(E2321=""USD"",C2321,C2321 * GOOGLEFINANCE(""CURRENCY:"" &amp; E2321 &amp; ""USD""))
"),78616689)</f>
        <v>78616689</v>
      </c>
    </row>
    <row r="2322" spans="1:7" ht="15.75" customHeight="1" x14ac:dyDescent="0.25">
      <c r="A2322" s="11" t="s">
        <v>24</v>
      </c>
      <c r="B2322" s="12">
        <v>82000000</v>
      </c>
      <c r="C2322" s="12">
        <v>36381716</v>
      </c>
      <c r="D2322" s="12">
        <v>2011</v>
      </c>
      <c r="E2322" s="12" t="str">
        <f>VLOOKUP(A2322, Currency!$A$2:$B$100, 2, FALSE)</f>
        <v>USD</v>
      </c>
      <c r="F2322" s="12">
        <f ca="1">IFERROR(__xludf.DUMMYFUNCTION("IF(E2322=""USD"",B2322,B2322 * GOOGLEFINANCE(""CURRENCY:"" &amp; E2322 &amp; ""USD""))
"),82000000)</f>
        <v>82000000</v>
      </c>
      <c r="G2322" s="13">
        <f ca="1">IFERROR(__xludf.DUMMYFUNCTION("IF(E2322=""USD"",C2322,C2322 * GOOGLEFINANCE(""CURRENCY:"" &amp; E2322 &amp; ""USD""))
"),36381716)</f>
        <v>36381716</v>
      </c>
    </row>
    <row r="2323" spans="1:7" ht="15.75" customHeight="1" x14ac:dyDescent="0.25">
      <c r="A2323" s="14" t="s">
        <v>24</v>
      </c>
      <c r="B2323" s="15">
        <v>75000000</v>
      </c>
      <c r="C2323" s="15">
        <v>133103929</v>
      </c>
      <c r="D2323" s="15">
        <v>2011</v>
      </c>
      <c r="E2323" s="15" t="str">
        <f>VLOOKUP(A2323, Currency!$A$2:$B$100, 2, FALSE)</f>
        <v>USD</v>
      </c>
      <c r="F2323" s="15">
        <f ca="1">IFERROR(__xludf.DUMMYFUNCTION("IF(E2323=""USD"",B2323,B2323 * GOOGLEFINANCE(""CURRENCY:"" &amp; E2323 &amp; ""USD""))
"),75000000)</f>
        <v>75000000</v>
      </c>
      <c r="G2323" s="16">
        <f ca="1">IFERROR(__xludf.DUMMYFUNCTION("IF(E2323=""USD"",C2323,C2323 * GOOGLEFINANCE(""CURRENCY:"" &amp; E2323 &amp; ""USD""))
"),133103929)</f>
        <v>133103929</v>
      </c>
    </row>
    <row r="2324" spans="1:7" ht="15.75" customHeight="1" x14ac:dyDescent="0.25">
      <c r="A2324" s="11" t="s">
        <v>24</v>
      </c>
      <c r="B2324" s="12">
        <v>140000000</v>
      </c>
      <c r="C2324" s="12">
        <v>201573391</v>
      </c>
      <c r="D2324" s="12">
        <v>1998</v>
      </c>
      <c r="E2324" s="12" t="str">
        <f>VLOOKUP(A2324, Currency!$A$2:$B$100, 2, FALSE)</f>
        <v>USD</v>
      </c>
      <c r="F2324" s="12">
        <f ca="1">IFERROR(__xludf.DUMMYFUNCTION("IF(E2324=""USD"",B2324,B2324 * GOOGLEFINANCE(""CURRENCY:"" &amp; E2324 &amp; ""USD""))
"),140000000)</f>
        <v>140000000</v>
      </c>
      <c r="G2324" s="13">
        <f ca="1">IFERROR(__xludf.DUMMYFUNCTION("IF(E2324=""USD"",C2324,C2324 * GOOGLEFINANCE(""CURRENCY:"" &amp; E2324 &amp; ""USD""))
"),201573391)</f>
        <v>201573391</v>
      </c>
    </row>
    <row r="2325" spans="1:7" ht="15.75" customHeight="1" x14ac:dyDescent="0.25">
      <c r="A2325" s="14" t="s">
        <v>24</v>
      </c>
      <c r="B2325" s="15">
        <v>15000000</v>
      </c>
      <c r="C2325" s="15">
        <v>30102717</v>
      </c>
      <c r="D2325" s="15">
        <v>1991</v>
      </c>
      <c r="E2325" s="15" t="str">
        <f>VLOOKUP(A2325, Currency!$A$2:$B$100, 2, FALSE)</f>
        <v>USD</v>
      </c>
      <c r="F2325" s="15">
        <f ca="1">IFERROR(__xludf.DUMMYFUNCTION("IF(E2325=""USD"",B2325,B2325 * GOOGLEFINANCE(""CURRENCY:"" &amp; E2325 &amp; ""USD""))
"),15000000)</f>
        <v>15000000</v>
      </c>
      <c r="G2325" s="16">
        <f ca="1">IFERROR(__xludf.DUMMYFUNCTION("IF(E2325=""USD"",C2325,C2325 * GOOGLEFINANCE(""CURRENCY:"" &amp; E2325 &amp; ""USD""))
"),30102717)</f>
        <v>30102717</v>
      </c>
    </row>
    <row r="2326" spans="1:7" ht="15.75" customHeight="1" x14ac:dyDescent="0.25">
      <c r="A2326" s="11" t="s">
        <v>24</v>
      </c>
      <c r="B2326" s="12">
        <v>55000000</v>
      </c>
      <c r="C2326" s="12">
        <v>162586036</v>
      </c>
      <c r="D2326" s="12">
        <v>2006</v>
      </c>
      <c r="E2326" s="12" t="str">
        <f>VLOOKUP(A2326, Currency!$A$2:$B$100, 2, FALSE)</f>
        <v>USD</v>
      </c>
      <c r="F2326" s="12">
        <f ca="1">IFERROR(__xludf.DUMMYFUNCTION("IF(E2326=""USD"",B2326,B2326 * GOOGLEFINANCE(""CURRENCY:"" &amp; E2326 &amp; ""USD""))
"),55000000)</f>
        <v>55000000</v>
      </c>
      <c r="G2326" s="13">
        <f ca="1">IFERROR(__xludf.DUMMYFUNCTION("IF(E2326=""USD"",C2326,C2326 * GOOGLEFINANCE(""CURRENCY:"" &amp; E2326 &amp; ""USD""))
"),162586036)</f>
        <v>162586036</v>
      </c>
    </row>
    <row r="2327" spans="1:7" ht="15.75" customHeight="1" x14ac:dyDescent="0.25">
      <c r="A2327" s="14" t="s">
        <v>24</v>
      </c>
      <c r="B2327" s="15">
        <v>6600000</v>
      </c>
      <c r="C2327" s="15">
        <v>37295394</v>
      </c>
      <c r="D2327" s="15">
        <v>2011</v>
      </c>
      <c r="E2327" s="15" t="str">
        <f>VLOOKUP(A2327, Currency!$A$2:$B$100, 2, FALSE)</f>
        <v>USD</v>
      </c>
      <c r="F2327" s="15">
        <f ca="1">IFERROR(__xludf.DUMMYFUNCTION("IF(E2327=""USD"",B2327,B2327 * GOOGLEFINANCE(""CURRENCY:"" &amp; E2327 &amp; ""USD""))
"),6600000)</f>
        <v>6600000</v>
      </c>
      <c r="G2327" s="16">
        <f ca="1">IFERROR(__xludf.DUMMYFUNCTION("IF(E2327=""USD"",C2327,C2327 * GOOGLEFINANCE(""CURRENCY:"" &amp; E2327 &amp; ""USD""))
"),37295394)</f>
        <v>37295394</v>
      </c>
    </row>
    <row r="2328" spans="1:7" ht="15.75" customHeight="1" x14ac:dyDescent="0.25">
      <c r="A2328" s="11" t="s">
        <v>24</v>
      </c>
      <c r="B2328" s="12">
        <v>5250000</v>
      </c>
      <c r="C2328" s="12">
        <v>766487</v>
      </c>
      <c r="D2328" s="12">
        <v>2007</v>
      </c>
      <c r="E2328" s="12" t="str">
        <f>VLOOKUP(A2328, Currency!$A$2:$B$100, 2, FALSE)</f>
        <v>USD</v>
      </c>
      <c r="F2328" s="12">
        <f ca="1">IFERROR(__xludf.DUMMYFUNCTION("IF(E2328=""USD"",B2328,B2328 * GOOGLEFINANCE(""CURRENCY:"" &amp; E2328 &amp; ""USD""))
"),5250000)</f>
        <v>5250000</v>
      </c>
      <c r="G2328" s="13">
        <f ca="1">IFERROR(__xludf.DUMMYFUNCTION("IF(E2328=""USD"",C2328,C2328 * GOOGLEFINANCE(""CURRENCY:"" &amp; E2328 &amp; ""USD""))
"),766487)</f>
        <v>766487</v>
      </c>
    </row>
    <row r="2329" spans="1:7" ht="15.75" customHeight="1" x14ac:dyDescent="0.25">
      <c r="A2329" s="14" t="s">
        <v>24</v>
      </c>
      <c r="B2329" s="15">
        <v>20000000</v>
      </c>
      <c r="C2329" s="15">
        <v>39103378</v>
      </c>
      <c r="D2329" s="15">
        <v>2010</v>
      </c>
      <c r="E2329" s="15" t="str">
        <f>VLOOKUP(A2329, Currency!$A$2:$B$100, 2, FALSE)</f>
        <v>USD</v>
      </c>
      <c r="F2329" s="15">
        <f ca="1">IFERROR(__xludf.DUMMYFUNCTION("IF(E2329=""USD"",B2329,B2329 * GOOGLEFINANCE(""CURRENCY:"" &amp; E2329 &amp; ""USD""))
"),20000000)</f>
        <v>20000000</v>
      </c>
      <c r="G2329" s="16">
        <f ca="1">IFERROR(__xludf.DUMMYFUNCTION("IF(E2329=""USD"",C2329,C2329 * GOOGLEFINANCE(""CURRENCY:"" &amp; E2329 &amp; ""USD""))
"),39103378)</f>
        <v>39103378</v>
      </c>
    </row>
    <row r="2330" spans="1:7" ht="15.75" customHeight="1" x14ac:dyDescent="0.25">
      <c r="A2330" s="11" t="s">
        <v>24</v>
      </c>
      <c r="B2330" s="12">
        <v>18500000</v>
      </c>
      <c r="C2330" s="12">
        <v>6462576</v>
      </c>
      <c r="D2330" s="12">
        <v>2016</v>
      </c>
      <c r="E2330" s="12" t="str">
        <f>VLOOKUP(A2330, Currency!$A$2:$B$100, 2, FALSE)</f>
        <v>USD</v>
      </c>
      <c r="F2330" s="12">
        <f ca="1">IFERROR(__xludf.DUMMYFUNCTION("IF(E2330=""USD"",B2330,B2330 * GOOGLEFINANCE(""CURRENCY:"" &amp; E2330 &amp; ""USD""))
"),18500000)</f>
        <v>18500000</v>
      </c>
      <c r="G2330" s="13">
        <f ca="1">IFERROR(__xludf.DUMMYFUNCTION("IF(E2330=""USD"",C2330,C2330 * GOOGLEFINANCE(""CURRENCY:"" &amp; E2330 &amp; ""USD""))
"),6462576)</f>
        <v>6462576</v>
      </c>
    </row>
    <row r="2331" spans="1:7" ht="15.75" customHeight="1" x14ac:dyDescent="0.25">
      <c r="A2331" s="14" t="s">
        <v>24</v>
      </c>
      <c r="B2331" s="15">
        <v>62000000</v>
      </c>
      <c r="C2331" s="15">
        <v>122012710</v>
      </c>
      <c r="D2331" s="15">
        <v>1994</v>
      </c>
      <c r="E2331" s="15" t="str">
        <f>VLOOKUP(A2331, Currency!$A$2:$B$100, 2, FALSE)</f>
        <v>USD</v>
      </c>
      <c r="F2331" s="15">
        <f ca="1">IFERROR(__xludf.DUMMYFUNCTION("IF(E2331=""USD"",B2331,B2331 * GOOGLEFINANCE(""CURRENCY:"" &amp; E2331 &amp; ""USD""))
"),62000000)</f>
        <v>62000000</v>
      </c>
      <c r="G2331" s="16">
        <f ca="1">IFERROR(__xludf.DUMMYFUNCTION("IF(E2331=""USD"",C2331,C2331 * GOOGLEFINANCE(""CURRENCY:"" &amp; E2331 &amp; ""USD""))
"),122012710)</f>
        <v>122012710</v>
      </c>
    </row>
    <row r="2332" spans="1:7" ht="15.75" customHeight="1" x14ac:dyDescent="0.25">
      <c r="A2332" s="11" t="s">
        <v>24</v>
      </c>
      <c r="B2332" s="12">
        <v>58800000</v>
      </c>
      <c r="C2332" s="12">
        <v>350123553</v>
      </c>
      <c r="D2332" s="12">
        <v>2014</v>
      </c>
      <c r="E2332" s="12" t="str">
        <f>VLOOKUP(A2332, Currency!$A$2:$B$100, 2, FALSE)</f>
        <v>USD</v>
      </c>
      <c r="F2332" s="12">
        <f ca="1">IFERROR(__xludf.DUMMYFUNCTION("IF(E2332=""USD"",B2332,B2332 * GOOGLEFINANCE(""CURRENCY:"" &amp; E2332 &amp; ""USD""))
"),58800000)</f>
        <v>58800000</v>
      </c>
      <c r="G2332" s="13">
        <f ca="1">IFERROR(__xludf.DUMMYFUNCTION("IF(E2332=""USD"",C2332,C2332 * GOOGLEFINANCE(""CURRENCY:"" &amp; E2332 &amp; ""USD""))
"),350123553)</f>
        <v>350123553</v>
      </c>
    </row>
    <row r="2333" spans="1:7" ht="15.75" customHeight="1" x14ac:dyDescent="0.25">
      <c r="A2333" s="14" t="s">
        <v>24</v>
      </c>
      <c r="B2333" s="15">
        <v>69000000</v>
      </c>
      <c r="C2333" s="15">
        <v>251501645</v>
      </c>
      <c r="D2333" s="15">
        <v>2010</v>
      </c>
      <c r="E2333" s="15" t="str">
        <f>VLOOKUP(A2333, Currency!$A$2:$B$100, 2, FALSE)</f>
        <v>USD</v>
      </c>
      <c r="F2333" s="15">
        <f ca="1">IFERROR(__xludf.DUMMYFUNCTION("IF(E2333=""USD"",B2333,B2333 * GOOGLEFINANCE(""CURRENCY:"" &amp; E2333 &amp; ""USD""))
"),69000000)</f>
        <v>69000000</v>
      </c>
      <c r="G2333" s="16">
        <f ca="1">IFERROR(__xludf.DUMMYFUNCTION("IF(E2333=""USD"",C2333,C2333 * GOOGLEFINANCE(""CURRENCY:"" &amp; E2333 &amp; ""USD""))
"),251501645)</f>
        <v>251501645</v>
      </c>
    </row>
    <row r="2334" spans="1:7" ht="15.75" customHeight="1" x14ac:dyDescent="0.25">
      <c r="A2334" s="11" t="s">
        <v>133</v>
      </c>
      <c r="B2334" s="12">
        <v>30000000</v>
      </c>
      <c r="C2334" s="12">
        <v>61094903</v>
      </c>
      <c r="D2334" s="12">
        <v>2011</v>
      </c>
      <c r="E2334" s="12" t="str">
        <f>VLOOKUP(A2334, Currency!$A$2:$B$100, 2, FALSE)</f>
        <v>GBP</v>
      </c>
      <c r="F2334" s="12">
        <f ca="1">IFERROR(__xludf.DUMMYFUNCTION("IF(E2334=""USD"",B2334,B2334 * GOOGLEFINANCE(""CURRENCY:"" &amp; E2334 &amp; ""USD""))
"),38562000)</f>
        <v>38562000</v>
      </c>
      <c r="G2334" s="13">
        <f ca="1">IFERROR(__xludf.DUMMYFUNCTION("IF(E2334=""USD"",C2334,C2334 * GOOGLEFINANCE(""CURRENCY:"" &amp; E2334 &amp; ""USD""))
"),78531388.3161999)</f>
        <v>78531388.316199899</v>
      </c>
    </row>
    <row r="2335" spans="1:7" ht="15.75" customHeight="1" x14ac:dyDescent="0.25">
      <c r="A2335" s="14" t="s">
        <v>24</v>
      </c>
      <c r="B2335" s="15">
        <v>115000000</v>
      </c>
      <c r="C2335" s="15">
        <v>93050117</v>
      </c>
      <c r="D2335" s="15">
        <v>2013</v>
      </c>
      <c r="E2335" s="15" t="str">
        <f>VLOOKUP(A2335, Currency!$A$2:$B$100, 2, FALSE)</f>
        <v>USD</v>
      </c>
      <c r="F2335" s="15">
        <f ca="1">IFERROR(__xludf.DUMMYFUNCTION("IF(E2335=""USD"",B2335,B2335 * GOOGLEFINANCE(""CURRENCY:"" &amp; E2335 &amp; ""USD""))
"),115000000)</f>
        <v>115000000</v>
      </c>
      <c r="G2335" s="16">
        <f ca="1">IFERROR(__xludf.DUMMYFUNCTION("IF(E2335=""USD"",C2335,C2335 * GOOGLEFINANCE(""CURRENCY:"" &amp; E2335 &amp; ""USD""))
"),93050117)</f>
        <v>93050117</v>
      </c>
    </row>
    <row r="2336" spans="1:7" ht="15.75" customHeight="1" x14ac:dyDescent="0.25">
      <c r="A2336" s="11" t="s">
        <v>24</v>
      </c>
      <c r="B2336" s="12">
        <v>7000000</v>
      </c>
      <c r="C2336" s="12">
        <v>46451</v>
      </c>
      <c r="D2336" s="12">
        <v>2010</v>
      </c>
      <c r="E2336" s="12" t="str">
        <f>VLOOKUP(A2336, Currency!$A$2:$B$100, 2, FALSE)</f>
        <v>USD</v>
      </c>
      <c r="F2336" s="12">
        <f ca="1">IFERROR(__xludf.DUMMYFUNCTION("IF(E2336=""USD"",B2336,B2336 * GOOGLEFINANCE(""CURRENCY:"" &amp; E2336 &amp; ""USD""))
"),7000000)</f>
        <v>7000000</v>
      </c>
      <c r="G2336" s="13">
        <f ca="1">IFERROR(__xludf.DUMMYFUNCTION("IF(E2336=""USD"",C2336,C2336 * GOOGLEFINANCE(""CURRENCY:"" &amp; E2336 &amp; ""USD""))
"),46451)</f>
        <v>46451</v>
      </c>
    </row>
    <row r="2337" spans="1:7" ht="15.75" customHeight="1" x14ac:dyDescent="0.25">
      <c r="A2337" s="14" t="s">
        <v>24</v>
      </c>
      <c r="B2337" s="15">
        <v>25000000</v>
      </c>
      <c r="C2337" s="15">
        <v>56692</v>
      </c>
      <c r="D2337" s="15">
        <v>2009</v>
      </c>
      <c r="E2337" s="15" t="str">
        <f>VLOOKUP(A2337, Currency!$A$2:$B$100, 2, FALSE)</f>
        <v>USD</v>
      </c>
      <c r="F2337" s="15">
        <f ca="1">IFERROR(__xludf.DUMMYFUNCTION("IF(E2337=""USD"",B2337,B2337 * GOOGLEFINANCE(""CURRENCY:"" &amp; E2337 &amp; ""USD""))
"),25000000)</f>
        <v>25000000</v>
      </c>
      <c r="G2337" s="16">
        <f ca="1">IFERROR(__xludf.DUMMYFUNCTION("IF(E2337=""USD"",C2337,C2337 * GOOGLEFINANCE(""CURRENCY:"" &amp; E2337 &amp; ""USD""))
"),56692)</f>
        <v>56692</v>
      </c>
    </row>
    <row r="2338" spans="1:7" ht="15.75" customHeight="1" x14ac:dyDescent="0.25">
      <c r="A2338" s="11" t="s">
        <v>24</v>
      </c>
      <c r="B2338" s="12">
        <v>150000000</v>
      </c>
      <c r="C2338" s="12">
        <v>126597121</v>
      </c>
      <c r="D2338" s="12">
        <v>2007</v>
      </c>
      <c r="E2338" s="12" t="str">
        <f>VLOOKUP(A2338, Currency!$A$2:$B$100, 2, FALSE)</f>
        <v>USD</v>
      </c>
      <c r="F2338" s="12">
        <f ca="1">IFERROR(__xludf.DUMMYFUNCTION("IF(E2338=""USD"",B2338,B2338 * GOOGLEFINANCE(""CURRENCY:"" &amp; E2338 &amp; ""USD""))
"),150000000)</f>
        <v>150000000</v>
      </c>
      <c r="G2338" s="13">
        <f ca="1">IFERROR(__xludf.DUMMYFUNCTION("IF(E2338=""USD"",C2338,C2338 * GOOGLEFINANCE(""CURRENCY:"" &amp; E2338 &amp; ""USD""))
"),126597121)</f>
        <v>126597121</v>
      </c>
    </row>
    <row r="2339" spans="1:7" ht="15.75" customHeight="1" x14ac:dyDescent="0.25">
      <c r="A2339" s="14" t="s">
        <v>24</v>
      </c>
      <c r="B2339" s="15">
        <v>135000000</v>
      </c>
      <c r="C2339" s="15">
        <v>123207194</v>
      </c>
      <c r="D2339" s="15">
        <v>2011</v>
      </c>
      <c r="E2339" s="15" t="str">
        <f>VLOOKUP(A2339, Currency!$A$2:$B$100, 2, FALSE)</f>
        <v>USD</v>
      </c>
      <c r="F2339" s="15">
        <f ca="1">IFERROR(__xludf.DUMMYFUNCTION("IF(E2339=""USD"",B2339,B2339 * GOOGLEFINANCE(""CURRENCY:"" &amp; E2339 &amp; ""USD""))
"),135000000)</f>
        <v>135000000</v>
      </c>
      <c r="G2339" s="16">
        <f ca="1">IFERROR(__xludf.DUMMYFUNCTION("IF(E2339=""USD"",C2339,C2339 * GOOGLEFINANCE(""CURRENCY:"" &amp; E2339 &amp; ""USD""))
"),123207194)</f>
        <v>123207194</v>
      </c>
    </row>
    <row r="2340" spans="1:7" ht="15.75" customHeight="1" x14ac:dyDescent="0.25">
      <c r="A2340" s="11" t="s">
        <v>24</v>
      </c>
      <c r="B2340" s="12">
        <v>18000000</v>
      </c>
      <c r="C2340" s="12">
        <v>15281286</v>
      </c>
      <c r="D2340" s="12">
        <v>2009</v>
      </c>
      <c r="E2340" s="12" t="str">
        <f>VLOOKUP(A2340, Currency!$A$2:$B$100, 2, FALSE)</f>
        <v>USD</v>
      </c>
      <c r="F2340" s="12">
        <f ca="1">IFERROR(__xludf.DUMMYFUNCTION("IF(E2340=""USD"",B2340,B2340 * GOOGLEFINANCE(""CURRENCY:"" &amp; E2340 &amp; ""USD""))
"),18000000)</f>
        <v>18000000</v>
      </c>
      <c r="G2340" s="13">
        <f ca="1">IFERROR(__xludf.DUMMYFUNCTION("IF(E2340=""USD"",C2340,C2340 * GOOGLEFINANCE(""CURRENCY:"" &amp; E2340 &amp; ""USD""))
"),15281286)</f>
        <v>15281286</v>
      </c>
    </row>
    <row r="2341" spans="1:7" ht="15.75" customHeight="1" x14ac:dyDescent="0.25">
      <c r="A2341" s="14" t="s">
        <v>24</v>
      </c>
      <c r="B2341" s="15">
        <v>30000000</v>
      </c>
      <c r="C2341" s="15">
        <v>35266619</v>
      </c>
      <c r="D2341" s="15">
        <v>2013</v>
      </c>
      <c r="E2341" s="15" t="str">
        <f>VLOOKUP(A2341, Currency!$A$2:$B$100, 2, FALSE)</f>
        <v>USD</v>
      </c>
      <c r="F2341" s="15">
        <f ca="1">IFERROR(__xludf.DUMMYFUNCTION("IF(E2341=""USD"",B2341,B2341 * GOOGLEFINANCE(""CURRENCY:"" &amp; E2341 &amp; ""USD""))
"),30000000)</f>
        <v>30000000</v>
      </c>
      <c r="G2341" s="16">
        <f ca="1">IFERROR(__xludf.DUMMYFUNCTION("IF(E2341=""USD"",C2341,C2341 * GOOGLEFINANCE(""CURRENCY:"" &amp; E2341 &amp; ""USD""))
"),35266619)</f>
        <v>35266619</v>
      </c>
    </row>
    <row r="2342" spans="1:7" ht="15.75" customHeight="1" x14ac:dyDescent="0.25">
      <c r="A2342" s="11" t="s">
        <v>176</v>
      </c>
      <c r="B2342" s="12">
        <v>4000000</v>
      </c>
      <c r="C2342" s="12">
        <v>274385</v>
      </c>
      <c r="D2342" s="12">
        <v>2009</v>
      </c>
      <c r="E2342" s="12" t="str">
        <f>VLOOKUP(A2342, Currency!$A$2:$B$100, 2, FALSE)</f>
        <v>EUR</v>
      </c>
      <c r="F2342" s="12">
        <f ca="1">IFERROR(__xludf.DUMMYFUNCTION("IF(E2342=""USD"",B2342,B2342 * GOOGLEFINANCE(""CURRENCY:"" &amp; E2342 &amp; ""USD""))
"),4338960)</f>
        <v>4338960</v>
      </c>
      <c r="G2342" s="13">
        <f ca="1">IFERROR(__xludf.DUMMYFUNCTION("IF(E2342=""USD"",C2342,C2342 * GOOGLEFINANCE(""CURRENCY:"" &amp; E2342 &amp; ""USD""))
"),297636.3849)</f>
        <v>297636.3849</v>
      </c>
    </row>
    <row r="2343" spans="1:7" ht="15.75" customHeight="1" x14ac:dyDescent="0.25">
      <c r="A2343" s="14" t="s">
        <v>24</v>
      </c>
      <c r="B2343" s="15">
        <v>28000000</v>
      </c>
      <c r="C2343" s="15">
        <v>10907291</v>
      </c>
      <c r="D2343" s="15">
        <v>2016</v>
      </c>
      <c r="E2343" s="15" t="str">
        <f>VLOOKUP(A2343, Currency!$A$2:$B$100, 2, FALSE)</f>
        <v>USD</v>
      </c>
      <c r="F2343" s="15">
        <f ca="1">IFERROR(__xludf.DUMMYFUNCTION("IF(E2343=""USD"",B2343,B2343 * GOOGLEFINANCE(""CURRENCY:"" &amp; E2343 &amp; ""USD""))
"),28000000)</f>
        <v>28000000</v>
      </c>
      <c r="G2343" s="16">
        <f ca="1">IFERROR(__xludf.DUMMYFUNCTION("IF(E2343=""USD"",C2343,C2343 * GOOGLEFINANCE(""CURRENCY:"" &amp; E2343 &amp; ""USD""))
"),10907291)</f>
        <v>10907291</v>
      </c>
    </row>
    <row r="2344" spans="1:7" ht="15.75" customHeight="1" x14ac:dyDescent="0.25">
      <c r="A2344" s="11" t="s">
        <v>24</v>
      </c>
      <c r="B2344" s="12">
        <v>15000000</v>
      </c>
      <c r="C2344" s="12">
        <v>17439163</v>
      </c>
      <c r="D2344" s="12">
        <v>1998</v>
      </c>
      <c r="E2344" s="12" t="str">
        <f>VLOOKUP(A2344, Currency!$A$2:$B$100, 2, FALSE)</f>
        <v>USD</v>
      </c>
      <c r="F2344" s="12">
        <f ca="1">IFERROR(__xludf.DUMMYFUNCTION("IF(E2344=""USD"",B2344,B2344 * GOOGLEFINANCE(""CURRENCY:"" &amp; E2344 &amp; ""USD""))
"),15000000)</f>
        <v>15000000</v>
      </c>
      <c r="G2344" s="13">
        <f ca="1">IFERROR(__xludf.DUMMYFUNCTION("IF(E2344=""USD"",C2344,C2344 * GOOGLEFINANCE(""CURRENCY:"" &amp; E2344 &amp; ""USD""))
"),17439163)</f>
        <v>17439163</v>
      </c>
    </row>
    <row r="2345" spans="1:7" ht="15.75" customHeight="1" x14ac:dyDescent="0.25">
      <c r="A2345" s="14" t="s">
        <v>1111</v>
      </c>
      <c r="B2345" s="15">
        <v>13500000</v>
      </c>
      <c r="C2345" s="15">
        <v>37623143</v>
      </c>
      <c r="D2345" s="15">
        <v>2006</v>
      </c>
      <c r="E2345" s="15" t="str">
        <f>VLOOKUP(A2345, Currency!$A$2:$B$100, 2, FALSE)</f>
        <v>EUR</v>
      </c>
      <c r="F2345" s="15">
        <f ca="1">IFERROR(__xludf.DUMMYFUNCTION("IF(E2345=""USD"",B2345,B2345 * GOOGLEFINANCE(""CURRENCY:"" &amp; E2345 &amp; ""USD""))
"),14643990)</f>
        <v>14643990</v>
      </c>
      <c r="G2345" s="16">
        <f ca="1">IFERROR(__xludf.DUMMYFUNCTION("IF(E2345=""USD"",C2345,C2345 * GOOGLEFINANCE(""CURRENCY:"" &amp; E2345 &amp; ""USD""))
"),40811328.13782)</f>
        <v>40811328.137819998</v>
      </c>
    </row>
    <row r="2346" spans="1:7" ht="15.75" customHeight="1" x14ac:dyDescent="0.25">
      <c r="A2346" s="11" t="s">
        <v>24</v>
      </c>
      <c r="B2346" s="12">
        <v>100000</v>
      </c>
      <c r="C2346" s="12">
        <v>1316074</v>
      </c>
      <c r="D2346" s="12">
        <v>2011</v>
      </c>
      <c r="E2346" s="12" t="str">
        <f>VLOOKUP(A2346, Currency!$A$2:$B$100, 2, FALSE)</f>
        <v>USD</v>
      </c>
      <c r="F2346" s="12">
        <f ca="1">IFERROR(__xludf.DUMMYFUNCTION("IF(E2346=""USD"",B2346,B2346 * GOOGLEFINANCE(""CURRENCY:"" &amp; E2346 &amp; ""USD""))
"),100000)</f>
        <v>100000</v>
      </c>
      <c r="G2346" s="13">
        <f ca="1">IFERROR(__xludf.DUMMYFUNCTION("IF(E2346=""USD"",C2346,C2346 * GOOGLEFINANCE(""CURRENCY:"" &amp; E2346 &amp; ""USD""))
"),1316074)</f>
        <v>1316074</v>
      </c>
    </row>
    <row r="2347" spans="1:7" ht="15.75" customHeight="1" x14ac:dyDescent="0.25">
      <c r="A2347" s="14" t="s">
        <v>24</v>
      </c>
      <c r="B2347" s="15">
        <v>60000000</v>
      </c>
      <c r="C2347" s="15">
        <v>53789313</v>
      </c>
      <c r="D2347" s="15">
        <v>2003</v>
      </c>
      <c r="E2347" s="15" t="str">
        <f>VLOOKUP(A2347, Currency!$A$2:$B$100, 2, FALSE)</f>
        <v>USD</v>
      </c>
      <c r="F2347" s="15">
        <f ca="1">IFERROR(__xludf.DUMMYFUNCTION("IF(E2347=""USD"",B2347,B2347 * GOOGLEFINANCE(""CURRENCY:"" &amp; E2347 &amp; ""USD""))
"),60000000)</f>
        <v>60000000</v>
      </c>
      <c r="G2347" s="16">
        <f ca="1">IFERROR(__xludf.DUMMYFUNCTION("IF(E2347=""USD"",C2347,C2347 * GOOGLEFINANCE(""CURRENCY:"" &amp; E2347 &amp; ""USD""))
"),53789313)</f>
        <v>53789313</v>
      </c>
    </row>
    <row r="2348" spans="1:7" ht="15.75" customHeight="1" x14ac:dyDescent="0.25">
      <c r="A2348" s="11" t="s">
        <v>24</v>
      </c>
      <c r="B2348" s="12">
        <v>6500000</v>
      </c>
      <c r="C2348" s="12">
        <v>10149779</v>
      </c>
      <c r="D2348" s="12">
        <v>1999</v>
      </c>
      <c r="E2348" s="12" t="str">
        <f>VLOOKUP(A2348, Currency!$A$2:$B$100, 2, FALSE)</f>
        <v>USD</v>
      </c>
      <c r="F2348" s="12">
        <f ca="1">IFERROR(__xludf.DUMMYFUNCTION("IF(E2348=""USD"",B2348,B2348 * GOOGLEFINANCE(""CURRENCY:"" &amp; E2348 &amp; ""USD""))
"),6500000)</f>
        <v>6500000</v>
      </c>
      <c r="G2348" s="13">
        <f ca="1">IFERROR(__xludf.DUMMYFUNCTION("IF(E2348=""USD"",C2348,C2348 * GOOGLEFINANCE(""CURRENCY:"" &amp; E2348 &amp; ""USD""))
"),10149779)</f>
        <v>10149779</v>
      </c>
    </row>
    <row r="2349" spans="1:7" ht="15.75" customHeight="1" x14ac:dyDescent="0.25">
      <c r="A2349" s="14" t="s">
        <v>24</v>
      </c>
      <c r="B2349" s="15">
        <v>10000000</v>
      </c>
      <c r="C2349" s="15">
        <v>1754319</v>
      </c>
      <c r="D2349" s="15">
        <v>2011</v>
      </c>
      <c r="E2349" s="15" t="str">
        <f>VLOOKUP(A2349, Currency!$A$2:$B$100, 2, FALSE)</f>
        <v>USD</v>
      </c>
      <c r="F2349" s="15">
        <f ca="1">IFERROR(__xludf.DUMMYFUNCTION("IF(E2349=""USD"",B2349,B2349 * GOOGLEFINANCE(""CURRENCY:"" &amp; E2349 &amp; ""USD""))
"),10000000)</f>
        <v>10000000</v>
      </c>
      <c r="G2349" s="16">
        <f ca="1">IFERROR(__xludf.DUMMYFUNCTION("IF(E2349=""USD"",C2349,C2349 * GOOGLEFINANCE(""CURRENCY:"" &amp; E2349 &amp; ""USD""))
"),1754319)</f>
        <v>1754319</v>
      </c>
    </row>
    <row r="2350" spans="1:7" ht="15.75" customHeight="1" x14ac:dyDescent="0.25">
      <c r="A2350" s="11" t="s">
        <v>24</v>
      </c>
      <c r="B2350" s="12">
        <v>50000000</v>
      </c>
      <c r="C2350" s="12">
        <v>54997476</v>
      </c>
      <c r="D2350" s="12">
        <v>2001</v>
      </c>
      <c r="E2350" s="12" t="str">
        <f>VLOOKUP(A2350, Currency!$A$2:$B$100, 2, FALSE)</f>
        <v>USD</v>
      </c>
      <c r="F2350" s="12">
        <f ca="1">IFERROR(__xludf.DUMMYFUNCTION("IF(E2350=""USD"",B2350,B2350 * GOOGLEFINANCE(""CURRENCY:"" &amp; E2350 &amp; ""USD""))
"),50000000)</f>
        <v>50000000</v>
      </c>
      <c r="G2350" s="13">
        <f ca="1">IFERROR(__xludf.DUMMYFUNCTION("IF(E2350=""USD"",C2350,C2350 * GOOGLEFINANCE(""CURRENCY:"" &amp; E2350 &amp; ""USD""))
"),54997476)</f>
        <v>54997476</v>
      </c>
    </row>
    <row r="2351" spans="1:7" ht="15.75" customHeight="1" x14ac:dyDescent="0.25">
      <c r="A2351" s="14" t="s">
        <v>24</v>
      </c>
      <c r="B2351" s="15">
        <v>25000000</v>
      </c>
      <c r="C2351" s="15">
        <v>28831145</v>
      </c>
      <c r="D2351" s="15">
        <v>2014</v>
      </c>
      <c r="E2351" s="15" t="str">
        <f>VLOOKUP(A2351, Currency!$A$2:$B$100, 2, FALSE)</f>
        <v>USD</v>
      </c>
      <c r="F2351" s="15">
        <f ca="1">IFERROR(__xludf.DUMMYFUNCTION("IF(E2351=""USD"",B2351,B2351 * GOOGLEFINANCE(""CURRENCY:"" &amp; E2351 &amp; ""USD""))
"),25000000)</f>
        <v>25000000</v>
      </c>
      <c r="G2351" s="16">
        <f ca="1">IFERROR(__xludf.DUMMYFUNCTION("IF(E2351=""USD"",C2351,C2351 * GOOGLEFINANCE(""CURRENCY:"" &amp; E2351 &amp; ""USD""))
"),28831145)</f>
        <v>28831145</v>
      </c>
    </row>
    <row r="2352" spans="1:7" ht="15.75" customHeight="1" x14ac:dyDescent="0.25">
      <c r="A2352" s="11" t="s">
        <v>24</v>
      </c>
      <c r="B2352" s="12">
        <v>8000000</v>
      </c>
      <c r="C2352" s="12">
        <v>1997807</v>
      </c>
      <c r="D2352" s="12">
        <v>1999</v>
      </c>
      <c r="E2352" s="12" t="str">
        <f>VLOOKUP(A2352, Currency!$A$2:$B$100, 2, FALSE)</f>
        <v>USD</v>
      </c>
      <c r="F2352" s="12">
        <f ca="1">IFERROR(__xludf.DUMMYFUNCTION("IF(E2352=""USD"",B2352,B2352 * GOOGLEFINANCE(""CURRENCY:"" &amp; E2352 &amp; ""USD""))
"),8000000)</f>
        <v>8000000</v>
      </c>
      <c r="G2352" s="13">
        <f ca="1">IFERROR(__xludf.DUMMYFUNCTION("IF(E2352=""USD"",C2352,C2352 * GOOGLEFINANCE(""CURRENCY:"" &amp; E2352 &amp; ""USD""))
"),1997807)</f>
        <v>1997807</v>
      </c>
    </row>
    <row r="2353" spans="1:7" ht="15.75" customHeight="1" x14ac:dyDescent="0.25">
      <c r="A2353" s="14" t="s">
        <v>24</v>
      </c>
      <c r="B2353" s="15">
        <v>125000000</v>
      </c>
      <c r="C2353" s="15">
        <v>113165635</v>
      </c>
      <c r="D2353" s="15">
        <v>2012</v>
      </c>
      <c r="E2353" s="15" t="str">
        <f>VLOOKUP(A2353, Currency!$A$2:$B$100, 2, FALSE)</f>
        <v>USD</v>
      </c>
      <c r="F2353" s="15">
        <f ca="1">IFERROR(__xludf.DUMMYFUNCTION("IF(E2353=""USD"",B2353,B2353 * GOOGLEFINANCE(""CURRENCY:"" &amp; E2353 &amp; ""USD""))
"),125000000)</f>
        <v>125000000</v>
      </c>
      <c r="G2353" s="16">
        <f ca="1">IFERROR(__xludf.DUMMYFUNCTION("IF(E2353=""USD"",C2353,C2353 * GOOGLEFINANCE(""CURRENCY:"" &amp; E2353 &amp; ""USD""))
"),113165635)</f>
        <v>113165635</v>
      </c>
    </row>
    <row r="2354" spans="1:7" ht="15.75" customHeight="1" x14ac:dyDescent="0.25">
      <c r="A2354" s="11" t="s">
        <v>24</v>
      </c>
      <c r="B2354" s="12">
        <v>25000000</v>
      </c>
      <c r="C2354" s="12">
        <v>11008432</v>
      </c>
      <c r="D2354" s="12">
        <v>2005</v>
      </c>
      <c r="E2354" s="12" t="str">
        <f>VLOOKUP(A2354, Currency!$A$2:$B$100, 2, FALSE)</f>
        <v>USD</v>
      </c>
      <c r="F2354" s="12">
        <f ca="1">IFERROR(__xludf.DUMMYFUNCTION("IF(E2354=""USD"",B2354,B2354 * GOOGLEFINANCE(""CURRENCY:"" &amp; E2354 &amp; ""USD""))
"),25000000)</f>
        <v>25000000</v>
      </c>
      <c r="G2354" s="13">
        <f ca="1">IFERROR(__xludf.DUMMYFUNCTION("IF(E2354=""USD"",C2354,C2354 * GOOGLEFINANCE(""CURRENCY:"" &amp; E2354 &amp; ""USD""))
"),11008432)</f>
        <v>11008432</v>
      </c>
    </row>
    <row r="2355" spans="1:7" ht="15.75" customHeight="1" x14ac:dyDescent="0.25">
      <c r="A2355" s="14" t="s">
        <v>24</v>
      </c>
      <c r="B2355" s="15">
        <v>58000000</v>
      </c>
      <c r="C2355" s="15">
        <v>170708996</v>
      </c>
      <c r="D2355" s="15">
        <v>2001</v>
      </c>
      <c r="E2355" s="15" t="str">
        <f>VLOOKUP(A2355, Currency!$A$2:$B$100, 2, FALSE)</f>
        <v>USD</v>
      </c>
      <c r="F2355" s="15">
        <f ca="1">IFERROR(__xludf.DUMMYFUNCTION("IF(E2355=""USD"",B2355,B2355 * GOOGLEFINANCE(""CURRENCY:"" &amp; E2355 &amp; ""USD""))
"),58000000)</f>
        <v>58000000</v>
      </c>
      <c r="G2355" s="16">
        <f ca="1">IFERROR(__xludf.DUMMYFUNCTION("IF(E2355=""USD"",C2355,C2355 * GOOGLEFINANCE(""CURRENCY:"" &amp; E2355 &amp; ""USD""))
"),170708996)</f>
        <v>170708996</v>
      </c>
    </row>
    <row r="2356" spans="1:7" ht="15.75" customHeight="1" x14ac:dyDescent="0.25">
      <c r="A2356" s="11" t="s">
        <v>24</v>
      </c>
      <c r="B2356" s="12">
        <v>15000000</v>
      </c>
      <c r="C2356" s="12">
        <v>5306447</v>
      </c>
      <c r="D2356" s="12">
        <v>2009</v>
      </c>
      <c r="E2356" s="12" t="str">
        <f>VLOOKUP(A2356, Currency!$A$2:$B$100, 2, FALSE)</f>
        <v>USD</v>
      </c>
      <c r="F2356" s="12">
        <f ca="1">IFERROR(__xludf.DUMMYFUNCTION("IF(E2356=""USD"",B2356,B2356 * GOOGLEFINANCE(""CURRENCY:"" &amp; E2356 &amp; ""USD""))
"),15000000)</f>
        <v>15000000</v>
      </c>
      <c r="G2356" s="13">
        <f ca="1">IFERROR(__xludf.DUMMYFUNCTION("IF(E2356=""USD"",C2356,C2356 * GOOGLEFINANCE(""CURRENCY:"" &amp; E2356 &amp; ""USD""))
"),5306447)</f>
        <v>5306447</v>
      </c>
    </row>
    <row r="2357" spans="1:7" ht="15.75" customHeight="1" x14ac:dyDescent="0.25">
      <c r="A2357" s="14" t="s">
        <v>24</v>
      </c>
      <c r="B2357" s="15">
        <v>8500000</v>
      </c>
      <c r="C2357" s="15">
        <v>131175</v>
      </c>
      <c r="D2357" s="15">
        <v>2015</v>
      </c>
      <c r="E2357" s="15" t="str">
        <f>VLOOKUP(A2357, Currency!$A$2:$B$100, 2, FALSE)</f>
        <v>USD</v>
      </c>
      <c r="F2357" s="15">
        <f ca="1">IFERROR(__xludf.DUMMYFUNCTION("IF(E2357=""USD"",B2357,B2357 * GOOGLEFINANCE(""CURRENCY:"" &amp; E2357 &amp; ""USD""))
"),8500000)</f>
        <v>8500000</v>
      </c>
      <c r="G2357" s="16">
        <f ca="1">IFERROR(__xludf.DUMMYFUNCTION("IF(E2357=""USD"",C2357,C2357 * GOOGLEFINANCE(""CURRENCY:"" &amp; E2357 &amp; ""USD""))
"),131175)</f>
        <v>131175</v>
      </c>
    </row>
    <row r="2358" spans="1:7" ht="15.75" customHeight="1" x14ac:dyDescent="0.25">
      <c r="A2358" s="11" t="s">
        <v>133</v>
      </c>
      <c r="B2358" s="12">
        <v>3500000</v>
      </c>
      <c r="C2358" s="12">
        <v>16501785</v>
      </c>
      <c r="D2358" s="12">
        <v>1996</v>
      </c>
      <c r="E2358" s="12" t="str">
        <f>VLOOKUP(A2358, Currency!$A$2:$B$100, 2, FALSE)</f>
        <v>GBP</v>
      </c>
      <c r="F2358" s="12">
        <f ca="1">IFERROR(__xludf.DUMMYFUNCTION("IF(E2358=""USD"",B2358,B2358 * GOOGLEFINANCE(""CURRENCY:"" &amp; E2358 &amp; ""USD""))
"),4498900)</f>
        <v>4498900</v>
      </c>
      <c r="G2358" s="13">
        <f ca="1">IFERROR(__xludf.DUMMYFUNCTION("IF(E2358=""USD"",C2358,C2358 * GOOGLEFINANCE(""CURRENCY:"" &amp; E2358 &amp; ""USD""))
"),21211394.439)</f>
        <v>21211394.438999999</v>
      </c>
    </row>
    <row r="2359" spans="1:7" ht="15.75" customHeight="1" x14ac:dyDescent="0.25">
      <c r="A2359" s="14" t="s">
        <v>24</v>
      </c>
      <c r="B2359" s="15">
        <v>16000000</v>
      </c>
      <c r="C2359" s="15">
        <v>2964</v>
      </c>
      <c r="D2359" s="15">
        <v>2012</v>
      </c>
      <c r="E2359" s="15" t="str">
        <f>VLOOKUP(A2359, Currency!$A$2:$B$100, 2, FALSE)</f>
        <v>USD</v>
      </c>
      <c r="F2359" s="15">
        <f ca="1">IFERROR(__xludf.DUMMYFUNCTION("IF(E2359=""USD"",B2359,B2359 * GOOGLEFINANCE(""CURRENCY:"" &amp; E2359 &amp; ""USD""))
"),16000000)</f>
        <v>16000000</v>
      </c>
      <c r="G2359" s="16">
        <f ca="1">IFERROR(__xludf.DUMMYFUNCTION("IF(E2359=""USD"",C2359,C2359 * GOOGLEFINANCE(""CURRENCY:"" &amp; E2359 &amp; ""USD""))
"),2964)</f>
        <v>2964</v>
      </c>
    </row>
    <row r="2360" spans="1:7" ht="15.75" customHeight="1" x14ac:dyDescent="0.25">
      <c r="A2360" s="11" t="s">
        <v>24</v>
      </c>
      <c r="B2360" s="12">
        <v>5000000</v>
      </c>
      <c r="C2360" s="12">
        <v>20773070</v>
      </c>
      <c r="D2360" s="12">
        <v>2016</v>
      </c>
      <c r="E2360" s="12" t="str">
        <f>VLOOKUP(A2360, Currency!$A$2:$B$100, 2, FALSE)</f>
        <v>USD</v>
      </c>
      <c r="F2360" s="12">
        <f ca="1">IFERROR(__xludf.DUMMYFUNCTION("IF(E2360=""USD"",B2360,B2360 * GOOGLEFINANCE(""CURRENCY:"" &amp; E2360 &amp; ""USD""))
"),5000000)</f>
        <v>5000000</v>
      </c>
      <c r="G2360" s="13">
        <f ca="1">IFERROR(__xludf.DUMMYFUNCTION("IF(E2360=""USD"",C2360,C2360 * GOOGLEFINANCE(""CURRENCY:"" &amp; E2360 &amp; ""USD""))
"),20773070)</f>
        <v>20773070</v>
      </c>
    </row>
    <row r="2361" spans="1:7" ht="15.75" customHeight="1" x14ac:dyDescent="0.25">
      <c r="A2361" s="14" t="s">
        <v>24</v>
      </c>
      <c r="B2361" s="15">
        <v>700000</v>
      </c>
      <c r="C2361" s="15">
        <v>1141829</v>
      </c>
      <c r="D2361" s="15">
        <v>2001</v>
      </c>
      <c r="E2361" s="15" t="str">
        <f>VLOOKUP(A2361, Currency!$A$2:$B$100, 2, FALSE)</f>
        <v>USD</v>
      </c>
      <c r="F2361" s="15">
        <f ca="1">IFERROR(__xludf.DUMMYFUNCTION("IF(E2361=""USD"",B2361,B2361 * GOOGLEFINANCE(""CURRENCY:"" &amp; E2361 &amp; ""USD""))
"),700000)</f>
        <v>700000</v>
      </c>
      <c r="G2361" s="16">
        <f ca="1">IFERROR(__xludf.DUMMYFUNCTION("IF(E2361=""USD"",C2361,C2361 * GOOGLEFINANCE(""CURRENCY:"" &amp; E2361 &amp; ""USD""))
"),1141829)</f>
        <v>1141829</v>
      </c>
    </row>
    <row r="2362" spans="1:7" ht="15.75" customHeight="1" x14ac:dyDescent="0.25">
      <c r="A2362" s="11" t="s">
        <v>24</v>
      </c>
      <c r="B2362" s="12">
        <v>60000000</v>
      </c>
      <c r="C2362" s="12">
        <v>43119879</v>
      </c>
      <c r="D2362" s="12">
        <v>2002</v>
      </c>
      <c r="E2362" s="12" t="str">
        <f>VLOOKUP(A2362, Currency!$A$2:$B$100, 2, FALSE)</f>
        <v>USD</v>
      </c>
      <c r="F2362" s="12">
        <f ca="1">IFERROR(__xludf.DUMMYFUNCTION("IF(E2362=""USD"",B2362,B2362 * GOOGLEFINANCE(""CURRENCY:"" &amp; E2362 &amp; ""USD""))
"),60000000)</f>
        <v>60000000</v>
      </c>
      <c r="G2362" s="13">
        <f ca="1">IFERROR(__xludf.DUMMYFUNCTION("IF(E2362=""USD"",C2362,C2362 * GOOGLEFINANCE(""CURRENCY:"" &amp; E2362 &amp; ""USD""))
"),43119879)</f>
        <v>43119879</v>
      </c>
    </row>
    <row r="2363" spans="1:7" ht="15.75" customHeight="1" x14ac:dyDescent="0.25">
      <c r="A2363" s="14" t="s">
        <v>24</v>
      </c>
      <c r="B2363" s="15">
        <v>780000</v>
      </c>
      <c r="C2363" s="15">
        <v>1310270</v>
      </c>
      <c r="D2363" s="15">
        <v>2003</v>
      </c>
      <c r="E2363" s="15" t="str">
        <f>VLOOKUP(A2363, Currency!$A$2:$B$100, 2, FALSE)</f>
        <v>USD</v>
      </c>
      <c r="F2363" s="15">
        <f ca="1">IFERROR(__xludf.DUMMYFUNCTION("IF(E2363=""USD"",B2363,B2363 * GOOGLEFINANCE(""CURRENCY:"" &amp; E2363 &amp; ""USD""))
"),780000)</f>
        <v>780000</v>
      </c>
      <c r="G2363" s="16">
        <f ca="1">IFERROR(__xludf.DUMMYFUNCTION("IF(E2363=""USD"",C2363,C2363 * GOOGLEFINANCE(""CURRENCY:"" &amp; E2363 &amp; ""USD""))
"),1310270)</f>
        <v>1310270</v>
      </c>
    </row>
    <row r="2364" spans="1:7" ht="15.75" customHeight="1" x14ac:dyDescent="0.25">
      <c r="A2364" s="11" t="s">
        <v>24</v>
      </c>
      <c r="B2364" s="12">
        <v>10500000</v>
      </c>
      <c r="C2364" s="12">
        <v>38201895</v>
      </c>
      <c r="D2364" s="12">
        <v>1999</v>
      </c>
      <c r="E2364" s="12" t="str">
        <f>VLOOKUP(A2364, Currency!$A$2:$B$100, 2, FALSE)</f>
        <v>USD</v>
      </c>
      <c r="F2364" s="12">
        <f ca="1">IFERROR(__xludf.DUMMYFUNCTION("IF(E2364=""USD"",B2364,B2364 * GOOGLEFINANCE(""CURRENCY:"" &amp; E2364 &amp; ""USD""))
"),10500000)</f>
        <v>10500000</v>
      </c>
      <c r="G2364" s="13">
        <f ca="1">IFERROR(__xludf.DUMMYFUNCTION("IF(E2364=""USD"",C2364,C2364 * GOOGLEFINANCE(""CURRENCY:"" &amp; E2364 &amp; ""USD""))
"),38201895)</f>
        <v>38201895</v>
      </c>
    </row>
    <row r="2365" spans="1:7" ht="15.75" customHeight="1" x14ac:dyDescent="0.25">
      <c r="A2365" s="14" t="s">
        <v>133</v>
      </c>
      <c r="B2365" s="15">
        <v>12000000</v>
      </c>
      <c r="C2365" s="15">
        <v>30400000</v>
      </c>
      <c r="D2365" s="15">
        <v>1983</v>
      </c>
      <c r="E2365" s="15" t="str">
        <f>VLOOKUP(A2365, Currency!$A$2:$B$100, 2, FALSE)</f>
        <v>GBP</v>
      </c>
      <c r="F2365" s="15">
        <f ca="1">IFERROR(__xludf.DUMMYFUNCTION("IF(E2365=""USD"",B2365,B2365 * GOOGLEFINANCE(""CURRENCY:"" &amp; E2365 &amp; ""USD""))
"),15424799.9999999)</f>
        <v>15424799.999999899</v>
      </c>
      <c r="G2365" s="16">
        <f ca="1">IFERROR(__xludf.DUMMYFUNCTION("IF(E2365=""USD"",C2365,C2365 * GOOGLEFINANCE(""CURRENCY:"" &amp; E2365 &amp; ""USD""))
"),39076159.9999999)</f>
        <v>39076159.999999903</v>
      </c>
    </row>
    <row r="2366" spans="1:7" ht="15.75" customHeight="1" x14ac:dyDescent="0.25">
      <c r="A2366" s="11" t="s">
        <v>24</v>
      </c>
      <c r="B2366" s="12">
        <v>15000000</v>
      </c>
      <c r="C2366" s="12">
        <v>14249005</v>
      </c>
      <c r="D2366" s="12">
        <v>2001</v>
      </c>
      <c r="E2366" s="12" t="str">
        <f>VLOOKUP(A2366, Currency!$A$2:$B$100, 2, FALSE)</f>
        <v>USD</v>
      </c>
      <c r="F2366" s="12">
        <f ca="1">IFERROR(__xludf.DUMMYFUNCTION("IF(E2366=""USD"",B2366,B2366 * GOOGLEFINANCE(""CURRENCY:"" &amp; E2366 &amp; ""USD""))
"),15000000)</f>
        <v>15000000</v>
      </c>
      <c r="G2366" s="13">
        <f ca="1">IFERROR(__xludf.DUMMYFUNCTION("IF(E2366=""USD"",C2366,C2366 * GOOGLEFINANCE(""CURRENCY:"" &amp; E2366 &amp; ""USD""))
"),14249005)</f>
        <v>14249005</v>
      </c>
    </row>
    <row r="2367" spans="1:7" ht="15.75" customHeight="1" x14ac:dyDescent="0.25">
      <c r="A2367" s="14" t="s">
        <v>160</v>
      </c>
      <c r="B2367" s="15">
        <v>38600000</v>
      </c>
      <c r="C2367" s="15">
        <v>6594136</v>
      </c>
      <c r="D2367" s="15">
        <v>2013</v>
      </c>
      <c r="E2367" s="15" t="str">
        <f>VLOOKUP(A2367, Currency!$A$2:$B$100, 2, FALSE)</f>
        <v>HKD</v>
      </c>
      <c r="F2367" s="15">
        <f ca="1">IFERROR(__xludf.DUMMYFUNCTION("IF(E2367=""USD"",B2367,B2367 * GOOGLEFINANCE(""CURRENCY:"" &amp; E2367 &amp; ""USD""))
"),4944439.97999999)</f>
        <v>4944439.9799999902</v>
      </c>
      <c r="G2367" s="16">
        <f ca="1">IFERROR(__xludf.DUMMYFUNCTION("IF(E2367=""USD"",C2367,C2367 * GOOGLEFINANCE(""CURRENCY:"" &amp; E2367 &amp; ""USD""))
"),844671.2350248)</f>
        <v>844671.23502479994</v>
      </c>
    </row>
    <row r="2368" spans="1:7" ht="15.75" customHeight="1" x14ac:dyDescent="0.25">
      <c r="A2368" s="11" t="s">
        <v>24</v>
      </c>
      <c r="B2368" s="12">
        <v>19800000</v>
      </c>
      <c r="C2368" s="12">
        <v>34290142</v>
      </c>
      <c r="D2368" s="12">
        <v>2014</v>
      </c>
      <c r="E2368" s="12" t="str">
        <f>VLOOKUP(A2368, Currency!$A$2:$B$100, 2, FALSE)</f>
        <v>USD</v>
      </c>
      <c r="F2368" s="12">
        <f ca="1">IFERROR(__xludf.DUMMYFUNCTION("IF(E2368=""USD"",B2368,B2368 * GOOGLEFINANCE(""CURRENCY:"" &amp; E2368 &amp; ""USD""))
"),19800000)</f>
        <v>19800000</v>
      </c>
      <c r="G2368" s="13">
        <f ca="1">IFERROR(__xludf.DUMMYFUNCTION("IF(E2368=""USD"",C2368,C2368 * GOOGLEFINANCE(""CURRENCY:"" &amp; E2368 &amp; ""USD""))
"),34290142)</f>
        <v>34290142</v>
      </c>
    </row>
    <row r="2369" spans="1:7" ht="15.75" customHeight="1" x14ac:dyDescent="0.25">
      <c r="A2369" s="14" t="s">
        <v>4041</v>
      </c>
      <c r="B2369" s="15">
        <v>3800000</v>
      </c>
      <c r="C2369" s="15">
        <v>610968</v>
      </c>
      <c r="D2369" s="15">
        <v>2012</v>
      </c>
      <c r="E2369" s="15" t="str">
        <f>VLOOKUP(A2369, Currency!$A$2:$B$100, 2, FALSE)</f>
        <v>DKK</v>
      </c>
      <c r="F2369" s="15">
        <f ca="1">IFERROR(__xludf.DUMMYFUNCTION("IF(E2369=""USD"",B2369,B2369 * GOOGLEFINANCE(""CURRENCY:"" &amp; E2369 &amp; ""USD""))
"),552301.5)</f>
        <v>552301.5</v>
      </c>
      <c r="G2369" s="16">
        <f ca="1">IFERROR(__xludf.DUMMYFUNCTION("IF(E2369=""USD"",C2369,C2369 * GOOGLEFINANCE(""CURRENCY:"" &amp; E2369 &amp; ""USD""))
"),88799.6165399999)</f>
        <v>88799.616539999901</v>
      </c>
    </row>
    <row r="2370" spans="1:7" ht="15.75" customHeight="1" x14ac:dyDescent="0.25">
      <c r="A2370" s="11" t="s">
        <v>133</v>
      </c>
      <c r="B2370" s="12">
        <v>12500000</v>
      </c>
      <c r="C2370" s="12">
        <v>9030581</v>
      </c>
      <c r="D2370" s="12">
        <v>2008</v>
      </c>
      <c r="E2370" s="12" t="str">
        <f>VLOOKUP(A2370, Currency!$A$2:$B$100, 2, FALSE)</f>
        <v>GBP</v>
      </c>
      <c r="F2370" s="12">
        <f ca="1">IFERROR(__xludf.DUMMYFUNCTION("IF(E2370=""USD"",B2370,B2370 * GOOGLEFINANCE(""CURRENCY:"" &amp; E2370 &amp; ""USD""))
"),16067499.9999999)</f>
        <v>16067499.999999899</v>
      </c>
      <c r="G2370" s="13">
        <f ca="1">IFERROR(__xludf.DUMMYFUNCTION("IF(E2370=""USD"",C2370,C2370 * GOOGLEFINANCE(""CURRENCY:"" &amp; E2370 &amp; ""USD""))
"),11607908.8174)</f>
        <v>11607908.817399999</v>
      </c>
    </row>
    <row r="2371" spans="1:7" ht="15.75" customHeight="1" x14ac:dyDescent="0.25">
      <c r="A2371" s="14" t="s">
        <v>24</v>
      </c>
      <c r="B2371" s="15">
        <v>65000000</v>
      </c>
      <c r="C2371" s="15">
        <v>100448498</v>
      </c>
      <c r="D2371" s="15">
        <v>2010</v>
      </c>
      <c r="E2371" s="15" t="str">
        <f>VLOOKUP(A2371, Currency!$A$2:$B$100, 2, FALSE)</f>
        <v>USD</v>
      </c>
      <c r="F2371" s="15">
        <f ca="1">IFERROR(__xludf.DUMMYFUNCTION("IF(E2371=""USD"",B2371,B2371 * GOOGLEFINANCE(""CURRENCY:"" &amp; E2371 &amp; ""USD""))
"),65000000)</f>
        <v>65000000</v>
      </c>
      <c r="G2371" s="16">
        <f ca="1">IFERROR(__xludf.DUMMYFUNCTION("IF(E2371=""USD"",C2371,C2371 * GOOGLEFINANCE(""CURRENCY:"" &amp; E2371 &amp; ""USD""))
"),100448498)</f>
        <v>100448498</v>
      </c>
    </row>
    <row r="2372" spans="1:7" ht="15.75" customHeight="1" x14ac:dyDescent="0.25">
      <c r="A2372" s="11" t="s">
        <v>24</v>
      </c>
      <c r="B2372" s="12">
        <v>1500000</v>
      </c>
      <c r="C2372" s="12">
        <v>3447339</v>
      </c>
      <c r="D2372" s="12">
        <v>2013</v>
      </c>
      <c r="E2372" s="12" t="str">
        <f>VLOOKUP(A2372, Currency!$A$2:$B$100, 2, FALSE)</f>
        <v>USD</v>
      </c>
      <c r="F2372" s="12">
        <f ca="1">IFERROR(__xludf.DUMMYFUNCTION("IF(E2372=""USD"",B2372,B2372 * GOOGLEFINANCE(""CURRENCY:"" &amp; E2372 &amp; ""USD""))
"),1500000)</f>
        <v>1500000</v>
      </c>
      <c r="G2372" s="13">
        <f ca="1">IFERROR(__xludf.DUMMYFUNCTION("IF(E2372=""USD"",C2372,C2372 * GOOGLEFINANCE(""CURRENCY:"" &amp; E2372 &amp; ""USD""))
"),3447339)</f>
        <v>3447339</v>
      </c>
    </row>
    <row r="2373" spans="1:7" ht="15.75" customHeight="1" x14ac:dyDescent="0.25">
      <c r="A2373" s="14" t="s">
        <v>24</v>
      </c>
      <c r="B2373" s="15">
        <v>13000000</v>
      </c>
      <c r="C2373" s="15">
        <v>51872378</v>
      </c>
      <c r="D2373" s="15">
        <v>2013</v>
      </c>
      <c r="E2373" s="15" t="str">
        <f>VLOOKUP(A2373, Currency!$A$2:$B$100, 2, FALSE)</f>
        <v>USD</v>
      </c>
      <c r="F2373" s="15">
        <f ca="1">IFERROR(__xludf.DUMMYFUNCTION("IF(E2373=""USD"",B2373,B2373 * GOOGLEFINANCE(""CURRENCY:"" &amp; E2373 &amp; ""USD""))
"),13000000)</f>
        <v>13000000</v>
      </c>
      <c r="G2373" s="16">
        <f ca="1">IFERROR(__xludf.DUMMYFUNCTION("IF(E2373=""USD"",C2373,C2373 * GOOGLEFINANCE(""CURRENCY:"" &amp; E2373 &amp; ""USD""))
"),51872378)</f>
        <v>51872378</v>
      </c>
    </row>
    <row r="2374" spans="1:7" ht="15.75" customHeight="1" x14ac:dyDescent="0.25">
      <c r="A2374" s="11" t="s">
        <v>24</v>
      </c>
      <c r="B2374" s="12">
        <v>28000000</v>
      </c>
      <c r="C2374" s="12">
        <v>25977365</v>
      </c>
      <c r="D2374" s="12">
        <v>2014</v>
      </c>
      <c r="E2374" s="12" t="str">
        <f>VLOOKUP(A2374, Currency!$A$2:$B$100, 2, FALSE)</f>
        <v>USD</v>
      </c>
      <c r="F2374" s="12">
        <f ca="1">IFERROR(__xludf.DUMMYFUNCTION("IF(E2374=""USD"",B2374,B2374 * GOOGLEFINANCE(""CURRENCY:"" &amp; E2374 &amp; ""USD""))
"),28000000)</f>
        <v>28000000</v>
      </c>
      <c r="G2374" s="13">
        <f ca="1">IFERROR(__xludf.DUMMYFUNCTION("IF(E2374=""USD"",C2374,C2374 * GOOGLEFINANCE(""CURRENCY:"" &amp; E2374 &amp; ""USD""))
"),25977365)</f>
        <v>25977365</v>
      </c>
    </row>
    <row r="2375" spans="1:7" ht="15.75" customHeight="1" x14ac:dyDescent="0.25">
      <c r="A2375" s="14" t="s">
        <v>24</v>
      </c>
      <c r="B2375" s="15">
        <v>25000000</v>
      </c>
      <c r="C2375" s="15">
        <v>17100000</v>
      </c>
      <c r="D2375" s="15">
        <v>1996</v>
      </c>
      <c r="E2375" s="15" t="str">
        <f>VLOOKUP(A2375, Currency!$A$2:$B$100, 2, FALSE)</f>
        <v>USD</v>
      </c>
      <c r="F2375" s="15">
        <f ca="1">IFERROR(__xludf.DUMMYFUNCTION("IF(E2375=""USD"",B2375,B2375 * GOOGLEFINANCE(""CURRENCY:"" &amp; E2375 &amp; ""USD""))
"),25000000)</f>
        <v>25000000</v>
      </c>
      <c r="G2375" s="16">
        <f ca="1">IFERROR(__xludf.DUMMYFUNCTION("IF(E2375=""USD"",C2375,C2375 * GOOGLEFINANCE(""CURRENCY:"" &amp; E2375 &amp; ""USD""))
"),17100000)</f>
        <v>17100000</v>
      </c>
    </row>
    <row r="2376" spans="1:7" ht="15.75" customHeight="1" x14ac:dyDescent="0.25">
      <c r="A2376" s="11" t="s">
        <v>24</v>
      </c>
      <c r="B2376" s="12">
        <v>237000000</v>
      </c>
      <c r="C2376" s="12">
        <v>760505847</v>
      </c>
      <c r="D2376" s="12">
        <v>2009</v>
      </c>
      <c r="E2376" s="12" t="str">
        <f>VLOOKUP(A2376, Currency!$A$2:$B$100, 2, FALSE)</f>
        <v>USD</v>
      </c>
      <c r="F2376" s="12">
        <f ca="1">IFERROR(__xludf.DUMMYFUNCTION("IF(E2376=""USD"",B2376,B2376 * GOOGLEFINANCE(""CURRENCY:"" &amp; E2376 &amp; ""USD""))
"),237000000)</f>
        <v>237000000</v>
      </c>
      <c r="G2376" s="13">
        <f ca="1">IFERROR(__xludf.DUMMYFUNCTION("IF(E2376=""USD"",C2376,C2376 * GOOGLEFINANCE(""CURRENCY:"" &amp; E2376 &amp; ""USD""))
"),760505847)</f>
        <v>760505847</v>
      </c>
    </row>
    <row r="2377" spans="1:7" ht="15.75" customHeight="1" x14ac:dyDescent="0.25">
      <c r="A2377" s="14" t="s">
        <v>24</v>
      </c>
      <c r="B2377" s="15">
        <v>125000000</v>
      </c>
      <c r="C2377" s="15">
        <v>186830669</v>
      </c>
      <c r="D2377" s="15">
        <v>2011</v>
      </c>
      <c r="E2377" s="15" t="str">
        <f>VLOOKUP(A2377, Currency!$A$2:$B$100, 2, FALSE)</f>
        <v>USD</v>
      </c>
      <c r="F2377" s="15">
        <f ca="1">IFERROR(__xludf.DUMMYFUNCTION("IF(E2377=""USD"",B2377,B2377 * GOOGLEFINANCE(""CURRENCY:"" &amp; E2377 &amp; ""USD""))
"),125000000)</f>
        <v>125000000</v>
      </c>
      <c r="G2377" s="16">
        <f ca="1">IFERROR(__xludf.DUMMYFUNCTION("IF(E2377=""USD"",C2377,C2377 * GOOGLEFINANCE(""CURRENCY:"" &amp; E2377 &amp; ""USD""))
"),186830669)</f>
        <v>186830669</v>
      </c>
    </row>
    <row r="2378" spans="1:7" ht="15.75" customHeight="1" x14ac:dyDescent="0.25">
      <c r="A2378" s="11" t="s">
        <v>24</v>
      </c>
      <c r="B2378" s="12">
        <v>15000000</v>
      </c>
      <c r="C2378" s="12">
        <v>20218921</v>
      </c>
      <c r="D2378" s="12">
        <v>2010</v>
      </c>
      <c r="E2378" s="12" t="str">
        <f>VLOOKUP(A2378, Currency!$A$2:$B$100, 2, FALSE)</f>
        <v>USD</v>
      </c>
      <c r="F2378" s="12">
        <f ca="1">IFERROR(__xludf.DUMMYFUNCTION("IF(E2378=""USD"",B2378,B2378 * GOOGLEFINANCE(""CURRENCY:"" &amp; E2378 &amp; ""USD""))
"),15000000)</f>
        <v>15000000</v>
      </c>
      <c r="G2378" s="13">
        <f ca="1">IFERROR(__xludf.DUMMYFUNCTION("IF(E2378=""USD"",C2378,C2378 * GOOGLEFINANCE(""CURRENCY:"" &amp; E2378 &amp; ""USD""))
"),20218921)</f>
        <v>20218921</v>
      </c>
    </row>
    <row r="2379" spans="1:7" ht="15.75" customHeight="1" x14ac:dyDescent="0.25">
      <c r="A2379" s="14" t="s">
        <v>133</v>
      </c>
      <c r="B2379" s="15">
        <v>9000000</v>
      </c>
      <c r="C2379" s="15">
        <v>63600000</v>
      </c>
      <c r="D2379" s="15">
        <v>1965</v>
      </c>
      <c r="E2379" s="15" t="str">
        <f>VLOOKUP(A2379, Currency!$A$2:$B$100, 2, FALSE)</f>
        <v>GBP</v>
      </c>
      <c r="F2379" s="15">
        <f ca="1">IFERROR(__xludf.DUMMYFUNCTION("IF(E2379=""USD"",B2379,B2379 * GOOGLEFINANCE(""CURRENCY:"" &amp; E2379 &amp; ""USD""))
"),11568599.9999999)</f>
        <v>11568599.999999899</v>
      </c>
      <c r="G2379" s="16">
        <f ca="1">IFERROR(__xludf.DUMMYFUNCTION("IF(E2379=""USD"",C2379,C2379 * GOOGLEFINANCE(""CURRENCY:"" &amp; E2379 &amp; ""USD""))
"),81751439.9999999)</f>
        <v>81751439.999999896</v>
      </c>
    </row>
    <row r="2380" spans="1:7" ht="15.75" customHeight="1" x14ac:dyDescent="0.25">
      <c r="A2380" s="11" t="s">
        <v>24</v>
      </c>
      <c r="B2380" s="12">
        <v>9600000</v>
      </c>
      <c r="C2380" s="12">
        <v>2483955</v>
      </c>
      <c r="D2380" s="12">
        <v>2005</v>
      </c>
      <c r="E2380" s="12" t="str">
        <f>VLOOKUP(A2380, Currency!$A$2:$B$100, 2, FALSE)</f>
        <v>USD</v>
      </c>
      <c r="F2380" s="12">
        <f ca="1">IFERROR(__xludf.DUMMYFUNCTION("IF(E2380=""USD"",B2380,B2380 * GOOGLEFINANCE(""CURRENCY:"" &amp; E2380 &amp; ""USD""))
"),9600000)</f>
        <v>9600000</v>
      </c>
      <c r="G2380" s="13">
        <f ca="1">IFERROR(__xludf.DUMMYFUNCTION("IF(E2380=""USD"",C2380,C2380 * GOOGLEFINANCE(""CURRENCY:"" &amp; E2380 &amp; ""USD""))
"),2483955)</f>
        <v>2483955</v>
      </c>
    </row>
    <row r="2381" spans="1:7" ht="15.75" customHeight="1" x14ac:dyDescent="0.25">
      <c r="A2381" s="14" t="s">
        <v>24</v>
      </c>
      <c r="B2381" s="15">
        <v>5000000</v>
      </c>
      <c r="C2381" s="15">
        <v>9628751</v>
      </c>
      <c r="D2381" s="15">
        <v>2000</v>
      </c>
      <c r="E2381" s="15" t="str">
        <f>VLOOKUP(A2381, Currency!$A$2:$B$100, 2, FALSE)</f>
        <v>USD</v>
      </c>
      <c r="F2381" s="15">
        <f ca="1">IFERROR(__xludf.DUMMYFUNCTION("IF(E2381=""USD"",B2381,B2381 * GOOGLEFINANCE(""CURRENCY:"" &amp; E2381 &amp; ""USD""))
"),5000000)</f>
        <v>5000000</v>
      </c>
      <c r="G2381" s="16">
        <f ca="1">IFERROR(__xludf.DUMMYFUNCTION("IF(E2381=""USD"",C2381,C2381 * GOOGLEFINANCE(""CURRENCY:"" &amp; E2381 &amp; ""USD""))
"),9628751)</f>
        <v>9628751</v>
      </c>
    </row>
    <row r="2382" spans="1:7" ht="15.75" customHeight="1" x14ac:dyDescent="0.25">
      <c r="A2382" s="11" t="s">
        <v>133</v>
      </c>
      <c r="B2382" s="12">
        <v>31000000</v>
      </c>
      <c r="C2382" s="12">
        <v>16831505</v>
      </c>
      <c r="D2382" s="12">
        <v>2004</v>
      </c>
      <c r="E2382" s="12" t="str">
        <f>VLOOKUP(A2382, Currency!$A$2:$B$100, 2, FALSE)</f>
        <v>GBP</v>
      </c>
      <c r="F2382" s="12">
        <f ca="1">IFERROR(__xludf.DUMMYFUNCTION("IF(E2382=""USD"",B2382,B2382 * GOOGLEFINANCE(""CURRENCY:"" &amp; E2382 &amp; ""USD""))
"),39847399.9999999)</f>
        <v>39847399.999999903</v>
      </c>
      <c r="G2382" s="13">
        <f ca="1">IFERROR(__xludf.DUMMYFUNCTION("IF(E2382=""USD"",C2382,C2382 * GOOGLEFINANCE(""CURRENCY:"" &amp; E2382 &amp; ""USD""))
"),21635216.527)</f>
        <v>21635216.526999999</v>
      </c>
    </row>
    <row r="2383" spans="1:7" ht="15.75" customHeight="1" x14ac:dyDescent="0.25">
      <c r="A2383" s="14" t="s">
        <v>24</v>
      </c>
      <c r="B2383" s="15">
        <v>33000000</v>
      </c>
      <c r="C2383" s="15">
        <v>100125340</v>
      </c>
      <c r="D2383" s="15">
        <v>1995</v>
      </c>
      <c r="E2383" s="15" t="str">
        <f>VLOOKUP(A2383, Currency!$A$2:$B$100, 2, FALSE)</f>
        <v>USD</v>
      </c>
      <c r="F2383" s="15">
        <f ca="1">IFERROR(__xludf.DUMMYFUNCTION("IF(E2383=""USD"",B2383,B2383 * GOOGLEFINANCE(""CURRENCY:"" &amp; E2383 &amp; ""USD""))
"),33000000)</f>
        <v>33000000</v>
      </c>
      <c r="G2383" s="16">
        <f ca="1">IFERROR(__xludf.DUMMYFUNCTION("IF(E2383=""USD"",C2383,C2383 * GOOGLEFINANCE(""CURRENCY:"" &amp; E2383 &amp; ""USD""))
"),100125340)</f>
        <v>100125340</v>
      </c>
    </row>
    <row r="2384" spans="1:7" ht="15.75" customHeight="1" x14ac:dyDescent="0.25">
      <c r="A2384" s="11" t="s">
        <v>24</v>
      </c>
      <c r="B2384" s="12">
        <v>15000000</v>
      </c>
      <c r="C2384" s="12">
        <v>29106737</v>
      </c>
      <c r="D2384" s="12">
        <v>1998</v>
      </c>
      <c r="E2384" s="12" t="str">
        <f>VLOOKUP(A2384, Currency!$A$2:$B$100, 2, FALSE)</f>
        <v>USD</v>
      </c>
      <c r="F2384" s="12">
        <f ca="1">IFERROR(__xludf.DUMMYFUNCTION("IF(E2384=""USD"",B2384,B2384 * GOOGLEFINANCE(""CURRENCY:"" &amp; E2384 &amp; ""USD""))
"),15000000)</f>
        <v>15000000</v>
      </c>
      <c r="G2384" s="13">
        <f ca="1">IFERROR(__xludf.DUMMYFUNCTION("IF(E2384=""USD"",C2384,C2384 * GOOGLEFINANCE(""CURRENCY:"" &amp; E2384 &amp; ""USD""))
"),29106737)</f>
        <v>29106737</v>
      </c>
    </row>
    <row r="2385" spans="1:7" ht="15.75" customHeight="1" x14ac:dyDescent="0.25">
      <c r="A2385" s="14" t="s">
        <v>24</v>
      </c>
      <c r="B2385" s="15">
        <v>25000000</v>
      </c>
      <c r="C2385" s="15">
        <v>1089365</v>
      </c>
      <c r="D2385" s="15">
        <v>2008</v>
      </c>
      <c r="E2385" s="15" t="str">
        <f>VLOOKUP(A2385, Currency!$A$2:$B$100, 2, FALSE)</f>
        <v>USD</v>
      </c>
      <c r="F2385" s="15">
        <f ca="1">IFERROR(__xludf.DUMMYFUNCTION("IF(E2385=""USD"",B2385,B2385 * GOOGLEFINANCE(""CURRENCY:"" &amp; E2385 &amp; ""USD""))
"),25000000)</f>
        <v>25000000</v>
      </c>
      <c r="G2385" s="16">
        <f ca="1">IFERROR(__xludf.DUMMYFUNCTION("IF(E2385=""USD"",C2385,C2385 * GOOGLEFINANCE(""CURRENCY:"" &amp; E2385 &amp; ""USD""))
"),1089365)</f>
        <v>1089365</v>
      </c>
    </row>
    <row r="2386" spans="1:7" ht="15.75" customHeight="1" x14ac:dyDescent="0.25">
      <c r="A2386" s="11" t="s">
        <v>24</v>
      </c>
      <c r="B2386" s="12">
        <v>38000000</v>
      </c>
      <c r="C2386" s="12">
        <v>144512310</v>
      </c>
      <c r="D2386" s="12">
        <v>2001</v>
      </c>
      <c r="E2386" s="12" t="str">
        <f>VLOOKUP(A2386, Currency!$A$2:$B$100, 2, FALSE)</f>
        <v>USD</v>
      </c>
      <c r="F2386" s="12">
        <f ca="1">IFERROR(__xludf.DUMMYFUNCTION("IF(E2386=""USD"",B2386,B2386 * GOOGLEFINANCE(""CURRENCY:"" &amp; E2386 &amp; ""USD""))
"),38000000)</f>
        <v>38000000</v>
      </c>
      <c r="G2386" s="13">
        <f ca="1">IFERROR(__xludf.DUMMYFUNCTION("IF(E2386=""USD"",C2386,C2386 * GOOGLEFINANCE(""CURRENCY:"" &amp; E2386 &amp; ""USD""))
"),144512310)</f>
        <v>144512310</v>
      </c>
    </row>
    <row r="2387" spans="1:7" ht="15.75" customHeight="1" x14ac:dyDescent="0.25">
      <c r="A2387" s="14" t="s">
        <v>24</v>
      </c>
      <c r="B2387" s="15">
        <v>5000000</v>
      </c>
      <c r="C2387" s="15">
        <v>17382982</v>
      </c>
      <c r="D2387" s="15">
        <v>2014</v>
      </c>
      <c r="E2387" s="15" t="str">
        <f>VLOOKUP(A2387, Currency!$A$2:$B$100, 2, FALSE)</f>
        <v>USD</v>
      </c>
      <c r="F2387" s="15">
        <f ca="1">IFERROR(__xludf.DUMMYFUNCTION("IF(E2387=""USD"",B2387,B2387 * GOOGLEFINANCE(""CURRENCY:"" &amp; E2387 &amp; ""USD""))
"),5000000)</f>
        <v>5000000</v>
      </c>
      <c r="G2387" s="16">
        <f ca="1">IFERROR(__xludf.DUMMYFUNCTION("IF(E2387=""USD"",C2387,C2387 * GOOGLEFINANCE(""CURRENCY:"" &amp; E2387 &amp; ""USD""))
"),17382982)</f>
        <v>17382982</v>
      </c>
    </row>
    <row r="2388" spans="1:7" ht="15.75" customHeight="1" x14ac:dyDescent="0.25">
      <c r="A2388" s="11" t="s">
        <v>24</v>
      </c>
      <c r="B2388" s="12">
        <v>46000000</v>
      </c>
      <c r="C2388" s="12">
        <v>67263182</v>
      </c>
      <c r="D2388" s="12">
        <v>2002</v>
      </c>
      <c r="E2388" s="12" t="str">
        <f>VLOOKUP(A2388, Currency!$A$2:$B$100, 2, FALSE)</f>
        <v>USD</v>
      </c>
      <c r="F2388" s="12">
        <f ca="1">IFERROR(__xludf.DUMMYFUNCTION("IF(E2388=""USD"",B2388,B2388 * GOOGLEFINANCE(""CURRENCY:"" &amp; E2388 &amp; ""USD""))
"),46000000)</f>
        <v>46000000</v>
      </c>
      <c r="G2388" s="13">
        <f ca="1">IFERROR(__xludf.DUMMYFUNCTION("IF(E2388=""USD"",C2388,C2388 * GOOGLEFINANCE(""CURRENCY:"" &amp; E2388 &amp; ""USD""))
"),67263182)</f>
        <v>67263182</v>
      </c>
    </row>
    <row r="2389" spans="1:7" ht="15.75" customHeight="1" x14ac:dyDescent="0.25">
      <c r="A2389" s="14" t="s">
        <v>24</v>
      </c>
      <c r="B2389" s="15">
        <v>23000000</v>
      </c>
      <c r="C2389" s="15">
        <v>13019253</v>
      </c>
      <c r="D2389" s="15">
        <v>2000</v>
      </c>
      <c r="E2389" s="15" t="str">
        <f>VLOOKUP(A2389, Currency!$A$2:$B$100, 2, FALSE)</f>
        <v>USD</v>
      </c>
      <c r="F2389" s="15">
        <f ca="1">IFERROR(__xludf.DUMMYFUNCTION("IF(E2389=""USD"",B2389,B2389 * GOOGLEFINANCE(""CURRENCY:"" &amp; E2389 &amp; ""USD""))
"),23000000)</f>
        <v>23000000</v>
      </c>
      <c r="G2389" s="16">
        <f ca="1">IFERROR(__xludf.DUMMYFUNCTION("IF(E2389=""USD"",C2389,C2389 * GOOGLEFINANCE(""CURRENCY:"" &amp; E2389 &amp; ""USD""))
"),13019253)</f>
        <v>13019253</v>
      </c>
    </row>
    <row r="2390" spans="1:7" ht="15.75" customHeight="1" x14ac:dyDescent="0.25">
      <c r="A2390" s="11" t="s">
        <v>24</v>
      </c>
      <c r="B2390" s="12">
        <v>60000000</v>
      </c>
      <c r="C2390" s="12">
        <v>90341670</v>
      </c>
      <c r="D2390" s="12">
        <v>2002</v>
      </c>
      <c r="E2390" s="12" t="str">
        <f>VLOOKUP(A2390, Currency!$A$2:$B$100, 2, FALSE)</f>
        <v>USD</v>
      </c>
      <c r="F2390" s="12">
        <f ca="1">IFERROR(__xludf.DUMMYFUNCTION("IF(E2390=""USD"",B2390,B2390 * GOOGLEFINANCE(""CURRENCY:"" &amp; E2390 &amp; ""USD""))
"),60000000)</f>
        <v>60000000</v>
      </c>
      <c r="G2390" s="13">
        <f ca="1">IFERROR(__xludf.DUMMYFUNCTION("IF(E2390=""USD"",C2390,C2390 * GOOGLEFINANCE(""CURRENCY:"" &amp; E2390 &amp; ""USD""))
"),90341670)</f>
        <v>90341670</v>
      </c>
    </row>
    <row r="2391" spans="1:7" ht="15.75" customHeight="1" x14ac:dyDescent="0.25">
      <c r="A2391" s="14" t="s">
        <v>24</v>
      </c>
      <c r="B2391" s="15">
        <v>25000000</v>
      </c>
      <c r="C2391" s="15">
        <v>79817937</v>
      </c>
      <c r="D2391" s="15">
        <v>1986</v>
      </c>
      <c r="E2391" s="15" t="str">
        <f>VLOOKUP(A2391, Currency!$A$2:$B$100, 2, FALSE)</f>
        <v>USD</v>
      </c>
      <c r="F2391" s="15">
        <f ca="1">IFERROR(__xludf.DUMMYFUNCTION("IF(E2391=""USD"",B2391,B2391 * GOOGLEFINANCE(""CURRENCY:"" &amp; E2391 &amp; ""USD""))
"),25000000)</f>
        <v>25000000</v>
      </c>
      <c r="G2391" s="16">
        <f ca="1">IFERROR(__xludf.DUMMYFUNCTION("IF(E2391=""USD"",C2391,C2391 * GOOGLEFINANCE(""CURRENCY:"" &amp; E2391 &amp; ""USD""))
"),79817937)</f>
        <v>79817937</v>
      </c>
    </row>
    <row r="2392" spans="1:7" ht="15.75" customHeight="1" x14ac:dyDescent="0.25">
      <c r="A2392" s="11" t="s">
        <v>133</v>
      </c>
      <c r="B2392" s="12">
        <v>40000000</v>
      </c>
      <c r="C2392" s="12">
        <v>4835968</v>
      </c>
      <c r="D2392" s="12">
        <v>2002</v>
      </c>
      <c r="E2392" s="12" t="str">
        <f>VLOOKUP(A2392, Currency!$A$2:$B$100, 2, FALSE)</f>
        <v>GBP</v>
      </c>
      <c r="F2392" s="12">
        <f ca="1">IFERROR(__xludf.DUMMYFUNCTION("IF(E2392=""USD"",B2392,B2392 * GOOGLEFINANCE(""CURRENCY:"" &amp; E2392 &amp; ""USD""))
"),51415999.9999999)</f>
        <v>51415999.999999903</v>
      </c>
      <c r="G2392" s="13">
        <f ca="1">IFERROR(__xludf.DUMMYFUNCTION("IF(E2392=""USD"",C2392,C2392 * GOOGLEFINANCE(""CURRENCY:"" &amp; E2392 &amp; ""USD""))
"),6216153.2672)</f>
        <v>6216153.2671999997</v>
      </c>
    </row>
    <row r="2393" spans="1:7" ht="15.75" customHeight="1" x14ac:dyDescent="0.25">
      <c r="A2393" s="14" t="s">
        <v>24</v>
      </c>
      <c r="B2393" s="15">
        <v>75000000</v>
      </c>
      <c r="C2393" s="15">
        <v>160762022</v>
      </c>
      <c r="D2393" s="15">
        <v>2004</v>
      </c>
      <c r="E2393" s="15" t="str">
        <f>VLOOKUP(A2393, Currency!$A$2:$B$100, 2, FALSE)</f>
        <v>USD</v>
      </c>
      <c r="F2393" s="15">
        <f ca="1">IFERROR(__xludf.DUMMYFUNCTION("IF(E2393=""USD"",B2393,B2393 * GOOGLEFINANCE(""CURRENCY:"" &amp; E2393 &amp; ""USD""))
"),75000000)</f>
        <v>75000000</v>
      </c>
      <c r="G2393" s="16">
        <f ca="1">IFERROR(__xludf.DUMMYFUNCTION("IF(E2393=""USD"",C2393,C2393 * GOOGLEFINANCE(""CURRENCY:"" &amp; E2393 &amp; ""USD""))
"),160762022)</f>
        <v>160762022</v>
      </c>
    </row>
    <row r="2394" spans="1:7" ht="15.75" customHeight="1" x14ac:dyDescent="0.25">
      <c r="A2394" s="11" t="s">
        <v>24</v>
      </c>
      <c r="B2394" s="12">
        <v>40000000</v>
      </c>
      <c r="C2394" s="12">
        <v>150117807</v>
      </c>
      <c r="D2394" s="12">
        <v>2013</v>
      </c>
      <c r="E2394" s="12" t="str">
        <f>VLOOKUP(A2394, Currency!$A$2:$B$100, 2, FALSE)</f>
        <v>USD</v>
      </c>
      <c r="F2394" s="12">
        <f ca="1">IFERROR(__xludf.DUMMYFUNCTION("IF(E2394=""USD"",B2394,B2394 * GOOGLEFINANCE(""CURRENCY:"" &amp; E2394 &amp; ""USD""))
"),40000000)</f>
        <v>40000000</v>
      </c>
      <c r="G2394" s="13">
        <f ca="1">IFERROR(__xludf.DUMMYFUNCTION("IF(E2394=""USD"",C2394,C2394 * GOOGLEFINANCE(""CURRENCY:"" &amp; E2394 &amp; ""USD""))
"),150117807)</f>
        <v>150117807</v>
      </c>
    </row>
    <row r="2395" spans="1:7" ht="15.75" customHeight="1" x14ac:dyDescent="0.25">
      <c r="A2395" s="14" t="s">
        <v>24</v>
      </c>
      <c r="B2395" s="15">
        <v>4500000</v>
      </c>
      <c r="C2395" s="15">
        <v>3798532</v>
      </c>
      <c r="D2395" s="15">
        <v>1996</v>
      </c>
      <c r="E2395" s="15" t="str">
        <f>VLOOKUP(A2395, Currency!$A$2:$B$100, 2, FALSE)</f>
        <v>USD</v>
      </c>
      <c r="F2395" s="15">
        <f ca="1">IFERROR(__xludf.DUMMYFUNCTION("IF(E2395=""USD"",B2395,B2395 * GOOGLEFINANCE(""CURRENCY:"" &amp; E2395 &amp; ""USD""))
"),4500000)</f>
        <v>4500000</v>
      </c>
      <c r="G2395" s="16">
        <f ca="1">IFERROR(__xludf.DUMMYFUNCTION("IF(E2395=""USD"",C2395,C2395 * GOOGLEFINANCE(""CURRENCY:"" &amp; E2395 &amp; ""USD""))
"),3798532)</f>
        <v>3798532</v>
      </c>
    </row>
    <row r="2396" spans="1:7" ht="15.75" customHeight="1" x14ac:dyDescent="0.25">
      <c r="A2396" s="11" t="s">
        <v>133</v>
      </c>
      <c r="B2396" s="12">
        <v>9000000</v>
      </c>
      <c r="C2396" s="12">
        <v>11883495</v>
      </c>
      <c r="D2396" s="12">
        <v>1998</v>
      </c>
      <c r="E2396" s="12" t="str">
        <f>VLOOKUP(A2396, Currency!$A$2:$B$100, 2, FALSE)</f>
        <v>GBP</v>
      </c>
      <c r="F2396" s="12">
        <f ca="1">IFERROR(__xludf.DUMMYFUNCTION("IF(E2396=""USD"",B2396,B2396 * GOOGLEFINANCE(""CURRENCY:"" &amp; E2396 &amp; ""USD""))
"),11568599.9999999)</f>
        <v>11568599.999999899</v>
      </c>
      <c r="G2396" s="13">
        <f ca="1">IFERROR(__xludf.DUMMYFUNCTION("IF(E2396=""USD"",C2396,C2396 * GOOGLEFINANCE(""CURRENCY:"" &amp; E2396 &amp; ""USD""))
"),15275044.473)</f>
        <v>15275044.472999999</v>
      </c>
    </row>
    <row r="2397" spans="1:7" ht="15.75" customHeight="1" x14ac:dyDescent="0.25">
      <c r="A2397" s="14" t="s">
        <v>24</v>
      </c>
      <c r="B2397" s="15">
        <v>185000000</v>
      </c>
      <c r="C2397" s="15">
        <v>130468626</v>
      </c>
      <c r="D2397" s="15">
        <v>2016</v>
      </c>
      <c r="E2397" s="15" t="str">
        <f>VLOOKUP(A2397, Currency!$A$2:$B$100, 2, FALSE)</f>
        <v>USD</v>
      </c>
      <c r="F2397" s="15">
        <f ca="1">IFERROR(__xludf.DUMMYFUNCTION("IF(E2397=""USD"",B2397,B2397 * GOOGLEFINANCE(""CURRENCY:"" &amp; E2397 &amp; ""USD""))
"),185000000)</f>
        <v>185000000</v>
      </c>
      <c r="G2397" s="16">
        <f ca="1">IFERROR(__xludf.DUMMYFUNCTION("IF(E2397=""USD"",C2397,C2397 * GOOGLEFINANCE(""CURRENCY:"" &amp; E2397 &amp; ""USD""))
"),130468626)</f>
        <v>130468626</v>
      </c>
    </row>
    <row r="2398" spans="1:7" ht="15.75" customHeight="1" x14ac:dyDescent="0.25">
      <c r="A2398" s="11" t="s">
        <v>24</v>
      </c>
      <c r="B2398" s="12">
        <v>12000000</v>
      </c>
      <c r="C2398" s="12">
        <v>18595716</v>
      </c>
      <c r="D2398" s="12">
        <v>2006</v>
      </c>
      <c r="E2398" s="12" t="str">
        <f>VLOOKUP(A2398, Currency!$A$2:$B$100, 2, FALSE)</f>
        <v>USD</v>
      </c>
      <c r="F2398" s="12">
        <f ca="1">IFERROR(__xludf.DUMMYFUNCTION("IF(E2398=""USD"",B2398,B2398 * GOOGLEFINANCE(""CURRENCY:"" &amp; E2398 &amp; ""USD""))
"),12000000)</f>
        <v>12000000</v>
      </c>
      <c r="G2398" s="13">
        <f ca="1">IFERROR(__xludf.DUMMYFUNCTION("IF(E2398=""USD"",C2398,C2398 * GOOGLEFINANCE(""CURRENCY:"" &amp; E2398 &amp; ""USD""))
"),18595716)</f>
        <v>18595716</v>
      </c>
    </row>
    <row r="2399" spans="1:7" ht="15.75" customHeight="1" x14ac:dyDescent="0.25">
      <c r="A2399" s="14" t="s">
        <v>24</v>
      </c>
      <c r="B2399" s="15">
        <v>190000000</v>
      </c>
      <c r="C2399" s="15">
        <v>228756232</v>
      </c>
      <c r="D2399" s="15">
        <v>2013</v>
      </c>
      <c r="E2399" s="15" t="str">
        <f>VLOOKUP(A2399, Currency!$A$2:$B$100, 2, FALSE)</f>
        <v>USD</v>
      </c>
      <c r="F2399" s="15">
        <f ca="1">IFERROR(__xludf.DUMMYFUNCTION("IF(E2399=""USD"",B2399,B2399 * GOOGLEFINANCE(""CURRENCY:"" &amp; E2399 &amp; ""USD""))
"),190000000)</f>
        <v>190000000</v>
      </c>
      <c r="G2399" s="16">
        <f ca="1">IFERROR(__xludf.DUMMYFUNCTION("IF(E2399=""USD"",C2399,C2399 * GOOGLEFINANCE(""CURRENCY:"" &amp; E2399 &amp; ""USD""))
"),228756232)</f>
        <v>228756232</v>
      </c>
    </row>
    <row r="2400" spans="1:7" ht="15.75" customHeight="1" x14ac:dyDescent="0.25">
      <c r="A2400" s="11" t="s">
        <v>24</v>
      </c>
      <c r="B2400" s="12">
        <v>40000000</v>
      </c>
      <c r="C2400" s="12">
        <v>45500797</v>
      </c>
      <c r="D2400" s="12">
        <v>1992</v>
      </c>
      <c r="E2400" s="12" t="str">
        <f>VLOOKUP(A2400, Currency!$A$2:$B$100, 2, FALSE)</f>
        <v>USD</v>
      </c>
      <c r="F2400" s="12">
        <f ca="1">IFERROR(__xludf.DUMMYFUNCTION("IF(E2400=""USD"",B2400,B2400 * GOOGLEFINANCE(""CURRENCY:"" &amp; E2400 &amp; ""USD""))
"),40000000)</f>
        <v>40000000</v>
      </c>
      <c r="G2400" s="13">
        <f ca="1">IFERROR(__xludf.DUMMYFUNCTION("IF(E2400=""USD"",C2400,C2400 * GOOGLEFINANCE(""CURRENCY:"" &amp; E2400 &amp; ""USD""))
"),45500797)</f>
        <v>45500797</v>
      </c>
    </row>
    <row r="2401" spans="1:7" ht="15.75" customHeight="1" x14ac:dyDescent="0.25">
      <c r="A2401" s="14" t="s">
        <v>24</v>
      </c>
      <c r="B2401" s="15">
        <v>15000000</v>
      </c>
      <c r="C2401" s="15">
        <v>42592530</v>
      </c>
      <c r="D2401" s="15">
        <v>2015</v>
      </c>
      <c r="E2401" s="15" t="str">
        <f>VLOOKUP(A2401, Currency!$A$2:$B$100, 2, FALSE)</f>
        <v>USD</v>
      </c>
      <c r="F2401" s="15">
        <f ca="1">IFERROR(__xludf.DUMMYFUNCTION("IF(E2401=""USD"",B2401,B2401 * GOOGLEFINANCE(""CURRENCY:"" &amp; E2401 &amp; ""USD""))
"),15000000)</f>
        <v>15000000</v>
      </c>
      <c r="G2401" s="16">
        <f ca="1">IFERROR(__xludf.DUMMYFUNCTION("IF(E2401=""USD"",C2401,C2401 * GOOGLEFINANCE(""CURRENCY:"" &amp; E2401 &amp; ""USD""))
"),42592530)</f>
        <v>42592530</v>
      </c>
    </row>
    <row r="2402" spans="1:7" ht="15.75" customHeight="1" x14ac:dyDescent="0.25">
      <c r="A2402" s="11" t="s">
        <v>133</v>
      </c>
      <c r="B2402" s="12">
        <v>7000000</v>
      </c>
      <c r="C2402" s="12">
        <v>233103</v>
      </c>
      <c r="D2402" s="12">
        <v>2005</v>
      </c>
      <c r="E2402" s="12" t="str">
        <f>VLOOKUP(A2402, Currency!$A$2:$B$100, 2, FALSE)</f>
        <v>GBP</v>
      </c>
      <c r="F2402" s="12">
        <f ca="1">IFERROR(__xludf.DUMMYFUNCTION("IF(E2402=""USD"",B2402,B2402 * GOOGLEFINANCE(""CURRENCY:"" &amp; E2402 &amp; ""USD""))
"),8997800)</f>
        <v>8997800</v>
      </c>
      <c r="G2402" s="13">
        <f ca="1">IFERROR(__xludf.DUMMYFUNCTION("IF(E2402=""USD"",C2402,C2402 * GOOGLEFINANCE(""CURRENCY:"" &amp; E2402 &amp; ""USD""))
"),299630.596199999)</f>
        <v>299630.59619999898</v>
      </c>
    </row>
    <row r="2403" spans="1:7" ht="15.75" customHeight="1" x14ac:dyDescent="0.25">
      <c r="A2403" s="14" t="s">
        <v>611</v>
      </c>
      <c r="B2403" s="15">
        <v>12000000</v>
      </c>
      <c r="C2403" s="15">
        <v>1197786</v>
      </c>
      <c r="D2403" s="15">
        <v>2004</v>
      </c>
      <c r="E2403" s="15" t="str">
        <f>VLOOKUP(A2403, Currency!$A$2:$B$100, 2, FALSE)</f>
        <v>EUR</v>
      </c>
      <c r="F2403" s="15">
        <f ca="1">IFERROR(__xludf.DUMMYFUNCTION("IF(E2403=""USD"",B2403,B2403 * GOOGLEFINANCE(""CURRENCY:"" &amp; E2403 &amp; ""USD""))
"),13016880)</f>
        <v>13016880</v>
      </c>
      <c r="G2403" s="16">
        <f ca="1">IFERROR(__xludf.DUMMYFUNCTION("IF(E2403=""USD"",C2403,C2403 * GOOGLEFINANCE(""CURRENCY:"" &amp; E2403 &amp; ""USD""))
"),1299286.38564)</f>
        <v>1299286.38564</v>
      </c>
    </row>
    <row r="2404" spans="1:7" ht="15.75" customHeight="1" x14ac:dyDescent="0.25">
      <c r="A2404" s="11" t="s">
        <v>133</v>
      </c>
      <c r="B2404" s="12">
        <v>55000000</v>
      </c>
      <c r="C2404" s="12">
        <v>31051126</v>
      </c>
      <c r="D2404" s="12">
        <v>2012</v>
      </c>
      <c r="E2404" s="12" t="str">
        <f>VLOOKUP(A2404, Currency!$A$2:$B$100, 2, FALSE)</f>
        <v>GBP</v>
      </c>
      <c r="F2404" s="12">
        <f ca="1">IFERROR(__xludf.DUMMYFUNCTION("IF(E2404=""USD"",B2404,B2404 * GOOGLEFINANCE(""CURRENCY:"" &amp; E2404 &amp; ""USD""))
"),70697000)</f>
        <v>70697000</v>
      </c>
      <c r="G2404" s="13">
        <f ca="1">IFERROR(__xludf.DUMMYFUNCTION("IF(E2404=""USD"",C2404,C2404 * GOOGLEFINANCE(""CURRENCY:"" &amp; E2404 &amp; ""USD""))
"),39913117.3604)</f>
        <v>39913117.360399999</v>
      </c>
    </row>
    <row r="2405" spans="1:7" ht="15.75" customHeight="1" x14ac:dyDescent="0.25">
      <c r="A2405" s="14" t="s">
        <v>133</v>
      </c>
      <c r="B2405" s="15">
        <v>24000000</v>
      </c>
      <c r="C2405" s="15">
        <v>42880</v>
      </c>
      <c r="D2405" s="15">
        <v>2004</v>
      </c>
      <c r="E2405" s="15" t="str">
        <f>VLOOKUP(A2405, Currency!$A$2:$B$100, 2, FALSE)</f>
        <v>GBP</v>
      </c>
      <c r="F2405" s="15">
        <f ca="1">IFERROR(__xludf.DUMMYFUNCTION("IF(E2405=""USD"",B2405,B2405 * GOOGLEFINANCE(""CURRENCY:"" &amp; E2405 &amp; ""USD""))
"),30849599.9999999)</f>
        <v>30849599.999999899</v>
      </c>
      <c r="G2405" s="16">
        <f ca="1">IFERROR(__xludf.DUMMYFUNCTION("IF(E2405=""USD"",C2405,C2405 * GOOGLEFINANCE(""CURRENCY:"" &amp; E2405 &amp; ""USD""))
"),55117.952)</f>
        <v>55117.951999999997</v>
      </c>
    </row>
    <row r="2406" spans="1:7" ht="15.75" customHeight="1" x14ac:dyDescent="0.25">
      <c r="A2406" s="11" t="s">
        <v>24</v>
      </c>
      <c r="B2406" s="12">
        <v>30000000</v>
      </c>
      <c r="C2406" s="12">
        <v>11900000</v>
      </c>
      <c r="D2406" s="12">
        <v>1999</v>
      </c>
      <c r="E2406" s="12" t="str">
        <f>VLOOKUP(A2406, Currency!$A$2:$B$100, 2, FALSE)</f>
        <v>USD</v>
      </c>
      <c r="F2406" s="12">
        <f ca="1">IFERROR(__xludf.DUMMYFUNCTION("IF(E2406=""USD"",B2406,B2406 * GOOGLEFINANCE(""CURRENCY:"" &amp; E2406 &amp; ""USD""))
"),30000000)</f>
        <v>30000000</v>
      </c>
      <c r="G2406" s="13">
        <f ca="1">IFERROR(__xludf.DUMMYFUNCTION("IF(E2406=""USD"",C2406,C2406 * GOOGLEFINANCE(""CURRENCY:"" &amp; E2406 &amp; ""USD""))
"),11900000)</f>
        <v>11900000</v>
      </c>
    </row>
    <row r="2407" spans="1:7" ht="15.75" customHeight="1" x14ac:dyDescent="0.25">
      <c r="A2407" s="14" t="s">
        <v>627</v>
      </c>
      <c r="B2407" s="15">
        <v>26000000</v>
      </c>
      <c r="C2407" s="15">
        <v>13829734</v>
      </c>
      <c r="D2407" s="15">
        <v>1994</v>
      </c>
      <c r="E2407" s="15" t="str">
        <f>VLOOKUP(A2407, Currency!$A$2:$B$100, 2, FALSE)</f>
        <v>CAD</v>
      </c>
      <c r="F2407" s="15">
        <f ca="1">IFERROR(__xludf.DUMMYFUNCTION("IF(E2407=""USD"",B2407,B2407 * GOOGLEFINANCE(""CURRENCY:"" &amp; E2407 &amp; ""USD""))
"),18808530)</f>
        <v>18808530</v>
      </c>
      <c r="G2407" s="16">
        <f ca="1">IFERROR(__xludf.DUMMYFUNCTION("IF(E2407=""USD"",C2407,C2407 * GOOGLEFINANCE(""CURRENCY:"" &amp; E2407 &amp; ""USD""))
"),10004498.72427)</f>
        <v>10004498.724269999</v>
      </c>
    </row>
    <row r="2408" spans="1:7" ht="15.75" customHeight="1" x14ac:dyDescent="0.25">
      <c r="A2408" s="11" t="s">
        <v>24</v>
      </c>
      <c r="B2408" s="12">
        <v>200000000</v>
      </c>
      <c r="C2408" s="12">
        <v>312057433</v>
      </c>
      <c r="D2408" s="12">
        <v>2010</v>
      </c>
      <c r="E2408" s="12" t="str">
        <f>VLOOKUP(A2408, Currency!$A$2:$B$100, 2, FALSE)</f>
        <v>USD</v>
      </c>
      <c r="F2408" s="12">
        <f ca="1">IFERROR(__xludf.DUMMYFUNCTION("IF(E2408=""USD"",B2408,B2408 * GOOGLEFINANCE(""CURRENCY:"" &amp; E2408 &amp; ""USD""))
"),200000000)</f>
        <v>200000000</v>
      </c>
      <c r="G2408" s="13">
        <f ca="1">IFERROR(__xludf.DUMMYFUNCTION("IF(E2408=""USD"",C2408,C2408 * GOOGLEFINANCE(""CURRENCY:"" &amp; E2408 &amp; ""USD""))
"),312057433)</f>
        <v>312057433</v>
      </c>
    </row>
    <row r="2409" spans="1:7" ht="15.75" customHeight="1" x14ac:dyDescent="0.25">
      <c r="A2409" s="14" t="s">
        <v>24</v>
      </c>
      <c r="B2409" s="15">
        <v>25000000</v>
      </c>
      <c r="C2409" s="15">
        <v>56505065</v>
      </c>
      <c r="D2409" s="15">
        <v>1993</v>
      </c>
      <c r="E2409" s="15" t="str">
        <f>VLOOKUP(A2409, Currency!$A$2:$B$100, 2, FALSE)</f>
        <v>USD</v>
      </c>
      <c r="F2409" s="15">
        <f ca="1">IFERROR(__xludf.DUMMYFUNCTION("IF(E2409=""USD"",B2409,B2409 * GOOGLEFINANCE(""CURRENCY:"" &amp; E2409 &amp; ""USD""))
"),25000000)</f>
        <v>25000000</v>
      </c>
      <c r="G2409" s="16">
        <f ca="1">IFERROR(__xludf.DUMMYFUNCTION("IF(E2409=""USD"",C2409,C2409 * GOOGLEFINANCE(""CURRENCY:"" &amp; E2409 &amp; ""USD""))
"),56505065)</f>
        <v>56505065</v>
      </c>
    </row>
    <row r="2410" spans="1:7" ht="15.75" customHeight="1" x14ac:dyDescent="0.25">
      <c r="A2410" s="11" t="s">
        <v>24</v>
      </c>
      <c r="B2410" s="12">
        <v>11000000</v>
      </c>
      <c r="C2410" s="12">
        <v>52929168</v>
      </c>
      <c r="D2410" s="12">
        <v>1992</v>
      </c>
      <c r="E2410" s="12" t="str">
        <f>VLOOKUP(A2410, Currency!$A$2:$B$100, 2, FALSE)</f>
        <v>USD</v>
      </c>
      <c r="F2410" s="12">
        <f ca="1">IFERROR(__xludf.DUMMYFUNCTION("IF(E2410=""USD"",B2410,B2410 * GOOGLEFINANCE(""CURRENCY:"" &amp; E2410 &amp; ""USD""))
"),11000000)</f>
        <v>11000000</v>
      </c>
      <c r="G2410" s="13">
        <f ca="1">IFERROR(__xludf.DUMMYFUNCTION("IF(E2410=""USD"",C2410,C2410 * GOOGLEFINANCE(""CURRENCY:"" &amp; E2410 &amp; ""USD""))
"),52929168)</f>
        <v>52929168</v>
      </c>
    </row>
    <row r="2411" spans="1:7" ht="15.75" customHeight="1" x14ac:dyDescent="0.25">
      <c r="A2411" s="14" t="s">
        <v>24</v>
      </c>
      <c r="B2411" s="15">
        <v>19000000</v>
      </c>
      <c r="C2411" s="15">
        <v>2119994</v>
      </c>
      <c r="D2411" s="15">
        <v>1993</v>
      </c>
      <c r="E2411" s="15" t="str">
        <f>VLOOKUP(A2411, Currency!$A$2:$B$100, 2, FALSE)</f>
        <v>USD</v>
      </c>
      <c r="F2411" s="15">
        <f ca="1">IFERROR(__xludf.DUMMYFUNCTION("IF(E2411=""USD"",B2411,B2411 * GOOGLEFINANCE(""CURRENCY:"" &amp; E2411 &amp; ""USD""))
"),19000000)</f>
        <v>19000000</v>
      </c>
      <c r="G2411" s="16">
        <f ca="1">IFERROR(__xludf.DUMMYFUNCTION("IF(E2411=""USD"",C2411,C2411 * GOOGLEFINANCE(""CURRENCY:"" &amp; E2411 &amp; ""USD""))
"),2119994)</f>
        <v>2119994</v>
      </c>
    </row>
    <row r="2412" spans="1:7" ht="15.75" customHeight="1" x14ac:dyDescent="0.25">
      <c r="A2412" s="11" t="s">
        <v>24</v>
      </c>
      <c r="B2412" s="12">
        <v>14800000</v>
      </c>
      <c r="C2412" s="12">
        <v>66009973</v>
      </c>
      <c r="D2412" s="12">
        <v>2015</v>
      </c>
      <c r="E2412" s="12" t="str">
        <f>VLOOKUP(A2412, Currency!$A$2:$B$100, 2, FALSE)</f>
        <v>USD</v>
      </c>
      <c r="F2412" s="12">
        <f ca="1">IFERROR(__xludf.DUMMYFUNCTION("IF(E2412=""USD"",B2412,B2412 * GOOGLEFINANCE(""CURRENCY:"" &amp; E2412 &amp; ""USD""))
"),14800000)</f>
        <v>14800000</v>
      </c>
      <c r="G2412" s="13">
        <f ca="1">IFERROR(__xludf.DUMMYFUNCTION("IF(E2412=""USD"",C2412,C2412 * GOOGLEFINANCE(""CURRENCY:"" &amp; E2412 &amp; ""USD""))
"),66009973)</f>
        <v>66009973</v>
      </c>
    </row>
    <row r="2413" spans="1:7" ht="15.75" customHeight="1" x14ac:dyDescent="0.25">
      <c r="A2413" s="14" t="s">
        <v>24</v>
      </c>
      <c r="B2413" s="15">
        <v>9000000</v>
      </c>
      <c r="C2413" s="15">
        <v>27445</v>
      </c>
      <c r="D2413" s="15">
        <v>2011</v>
      </c>
      <c r="E2413" s="15" t="str">
        <f>VLOOKUP(A2413, Currency!$A$2:$B$100, 2, FALSE)</f>
        <v>USD</v>
      </c>
      <c r="F2413" s="15">
        <f ca="1">IFERROR(__xludf.DUMMYFUNCTION("IF(E2413=""USD"",B2413,B2413 * GOOGLEFINANCE(""CURRENCY:"" &amp; E2413 &amp; ""USD""))
"),9000000)</f>
        <v>9000000</v>
      </c>
      <c r="G2413" s="16">
        <f ca="1">IFERROR(__xludf.DUMMYFUNCTION("IF(E2413=""USD"",C2413,C2413 * GOOGLEFINANCE(""CURRENCY:"" &amp; E2413 &amp; ""USD""))
"),27445)</f>
        <v>27445</v>
      </c>
    </row>
    <row r="2414" spans="1:7" ht="15.75" customHeight="1" x14ac:dyDescent="0.25">
      <c r="A2414" s="11" t="s">
        <v>24</v>
      </c>
      <c r="B2414" s="12">
        <v>25000000</v>
      </c>
      <c r="C2414" s="12">
        <v>22200000</v>
      </c>
      <c r="D2414" s="12">
        <v>1994</v>
      </c>
      <c r="E2414" s="12" t="str">
        <f>VLOOKUP(A2414, Currency!$A$2:$B$100, 2, FALSE)</f>
        <v>USD</v>
      </c>
      <c r="F2414" s="12">
        <f ca="1">IFERROR(__xludf.DUMMYFUNCTION("IF(E2414=""USD"",B2414,B2414 * GOOGLEFINANCE(""CURRENCY:"" &amp; E2414 &amp; ""USD""))
"),25000000)</f>
        <v>25000000</v>
      </c>
      <c r="G2414" s="13">
        <f ca="1">IFERROR(__xludf.DUMMYFUNCTION("IF(E2414=""USD"",C2414,C2414 * GOOGLEFINANCE(""CURRENCY:"" &amp; E2414 &amp; ""USD""))
"),22200000)</f>
        <v>22200000</v>
      </c>
    </row>
    <row r="2415" spans="1:7" ht="15.75" customHeight="1" x14ac:dyDescent="0.25">
      <c r="A2415" s="14" t="s">
        <v>176</v>
      </c>
      <c r="B2415" s="15">
        <v>60000000</v>
      </c>
      <c r="C2415" s="15">
        <v>60128566</v>
      </c>
      <c r="D2415" s="15">
        <v>2010</v>
      </c>
      <c r="E2415" s="15" t="str">
        <f>VLOOKUP(A2415, Currency!$A$2:$B$100, 2, FALSE)</f>
        <v>EUR</v>
      </c>
      <c r="F2415" s="15">
        <f ca="1">IFERROR(__xludf.DUMMYFUNCTION("IF(E2415=""USD"",B2415,B2415 * GOOGLEFINANCE(""CURRENCY:"" &amp; E2415 &amp; ""USD""))
"),65084400)</f>
        <v>65084400</v>
      </c>
      <c r="G2415" s="16">
        <f ca="1">IFERROR(__xludf.DUMMYFUNCTION("IF(E2415=""USD"",C2415,C2415 * GOOGLEFINANCE(""CURRENCY:"" &amp; E2415 &amp; ""USD""))
"),65223860.68284)</f>
        <v>65223860.682839997</v>
      </c>
    </row>
    <row r="2416" spans="1:7" ht="15.75" customHeight="1" x14ac:dyDescent="0.25">
      <c r="A2416" s="11" t="s">
        <v>24</v>
      </c>
      <c r="B2416" s="12">
        <v>30000000</v>
      </c>
      <c r="C2416" s="12">
        <v>12712093</v>
      </c>
      <c r="D2416" s="12">
        <v>2005</v>
      </c>
      <c r="E2416" s="12" t="str">
        <f>VLOOKUP(A2416, Currency!$A$2:$B$100, 2, FALSE)</f>
        <v>USD</v>
      </c>
      <c r="F2416" s="12">
        <f ca="1">IFERROR(__xludf.DUMMYFUNCTION("IF(E2416=""USD"",B2416,B2416 * GOOGLEFINANCE(""CURRENCY:"" &amp; E2416 &amp; ""USD""))
"),30000000)</f>
        <v>30000000</v>
      </c>
      <c r="G2416" s="13">
        <f ca="1">IFERROR(__xludf.DUMMYFUNCTION("IF(E2416=""USD"",C2416,C2416 * GOOGLEFINANCE(""CURRENCY:"" &amp; E2416 &amp; ""USD""))
"),12712093)</f>
        <v>12712093</v>
      </c>
    </row>
    <row r="2417" spans="1:7" ht="15.75" customHeight="1" x14ac:dyDescent="0.25">
      <c r="A2417" s="14" t="s">
        <v>24</v>
      </c>
      <c r="B2417" s="15">
        <v>125000000</v>
      </c>
      <c r="C2417" s="15">
        <v>101160529</v>
      </c>
      <c r="D2417" s="15">
        <v>2014</v>
      </c>
      <c r="E2417" s="15" t="str">
        <f>VLOOKUP(A2417, Currency!$A$2:$B$100, 2, FALSE)</f>
        <v>USD</v>
      </c>
      <c r="F2417" s="15">
        <f ca="1">IFERROR(__xludf.DUMMYFUNCTION("IF(E2417=""USD"",B2417,B2417 * GOOGLEFINANCE(""CURRENCY:"" &amp; E2417 &amp; ""USD""))
"),125000000)</f>
        <v>125000000</v>
      </c>
      <c r="G2417" s="16">
        <f ca="1">IFERROR(__xludf.DUMMYFUNCTION("IF(E2417=""USD"",C2417,C2417 * GOOGLEFINANCE(""CURRENCY:"" &amp; E2417 &amp; ""USD""))
"),101160529)</f>
        <v>101160529</v>
      </c>
    </row>
    <row r="2418" spans="1:7" ht="15.75" customHeight="1" x14ac:dyDescent="0.25">
      <c r="A2418" s="11" t="s">
        <v>149</v>
      </c>
      <c r="B2418" s="12">
        <v>6500000</v>
      </c>
      <c r="C2418" s="12">
        <v>110029</v>
      </c>
      <c r="D2418" s="12">
        <v>2009</v>
      </c>
      <c r="E2418" s="12" t="str">
        <f>VLOOKUP(A2418, Currency!$A$2:$B$100, 2, FALSE)</f>
        <v>AUD</v>
      </c>
      <c r="F2418" s="12">
        <f ca="1">IFERROR(__xludf.DUMMYFUNCTION("IF(E2418=""USD"",B2418,B2418 * GOOGLEFINANCE(""CURRENCY:"" &amp; E2418 &amp; ""USD""))
"),4250220)</f>
        <v>4250220</v>
      </c>
      <c r="G2418" s="13">
        <f ca="1">IFERROR(__xludf.DUMMYFUNCTION("IF(E2418=""USD"",C2418,C2418 * GOOGLEFINANCE(""CURRENCY:"" &amp; E2418 &amp; ""USD""))
"),71945.76252)</f>
        <v>71945.762520000004</v>
      </c>
    </row>
    <row r="2419" spans="1:7" ht="15.75" customHeight="1" x14ac:dyDescent="0.25">
      <c r="A2419" s="14" t="s">
        <v>24</v>
      </c>
      <c r="B2419" s="15">
        <v>55000000</v>
      </c>
      <c r="C2419" s="15">
        <v>75530832</v>
      </c>
      <c r="D2419" s="15">
        <v>1999</v>
      </c>
      <c r="E2419" s="15" t="str">
        <f>VLOOKUP(A2419, Currency!$A$2:$B$100, 2, FALSE)</f>
        <v>USD</v>
      </c>
      <c r="F2419" s="15">
        <f ca="1">IFERROR(__xludf.DUMMYFUNCTION("IF(E2419=""USD"",B2419,B2419 * GOOGLEFINANCE(""CURRENCY:"" &amp; E2419 &amp; ""USD""))
"),55000000)</f>
        <v>55000000</v>
      </c>
      <c r="G2419" s="16">
        <f ca="1">IFERROR(__xludf.DUMMYFUNCTION("IF(E2419=""USD"",C2419,C2419 * GOOGLEFINANCE(""CURRENCY:"" &amp; E2419 &amp; ""USD""))
"),75530832)</f>
        <v>75530832</v>
      </c>
    </row>
    <row r="2420" spans="1:7" ht="15.75" customHeight="1" x14ac:dyDescent="0.25">
      <c r="A2420" s="11" t="s">
        <v>24</v>
      </c>
      <c r="B2420" s="12">
        <v>1300000</v>
      </c>
      <c r="C2420" s="12">
        <v>354704</v>
      </c>
      <c r="D2420" s="12">
        <v>1987</v>
      </c>
      <c r="E2420" s="12" t="str">
        <f>VLOOKUP(A2420, Currency!$A$2:$B$100, 2, FALSE)</f>
        <v>USD</v>
      </c>
      <c r="F2420" s="12">
        <f ca="1">IFERROR(__xludf.DUMMYFUNCTION("IF(E2420=""USD"",B2420,B2420 * GOOGLEFINANCE(""CURRENCY:"" &amp; E2420 &amp; ""USD""))
"),1300000)</f>
        <v>1300000</v>
      </c>
      <c r="G2420" s="13">
        <f ca="1">IFERROR(__xludf.DUMMYFUNCTION("IF(E2420=""USD"",C2420,C2420 * GOOGLEFINANCE(""CURRENCY:"" &amp; E2420 &amp; ""USD""))
"),354704)</f>
        <v>354704</v>
      </c>
    </row>
    <row r="2421" spans="1:7" ht="15.75" customHeight="1" x14ac:dyDescent="0.25">
      <c r="A2421" s="14" t="s">
        <v>24</v>
      </c>
      <c r="B2421" s="15">
        <v>10000000</v>
      </c>
      <c r="C2421" s="15">
        <v>7574066</v>
      </c>
      <c r="D2421" s="15">
        <v>2014</v>
      </c>
      <c r="E2421" s="15" t="str">
        <f>VLOOKUP(A2421, Currency!$A$2:$B$100, 2, FALSE)</f>
        <v>USD</v>
      </c>
      <c r="F2421" s="15">
        <f ca="1">IFERROR(__xludf.DUMMYFUNCTION("IF(E2421=""USD"",B2421,B2421 * GOOGLEFINANCE(""CURRENCY:"" &amp; E2421 &amp; ""USD""))
"),10000000)</f>
        <v>10000000</v>
      </c>
      <c r="G2421" s="16">
        <f ca="1">IFERROR(__xludf.DUMMYFUNCTION("IF(E2421=""USD"",C2421,C2421 * GOOGLEFINANCE(""CURRENCY:"" &amp; E2421 &amp; ""USD""))
"),7574066)</f>
        <v>7574066</v>
      </c>
    </row>
    <row r="2422" spans="1:7" ht="15.75" customHeight="1" x14ac:dyDescent="0.25">
      <c r="A2422" s="11" t="s">
        <v>24</v>
      </c>
      <c r="B2422" s="12">
        <v>50000000</v>
      </c>
      <c r="C2422" s="12">
        <v>20389967</v>
      </c>
      <c r="D2422" s="12">
        <v>2016</v>
      </c>
      <c r="E2422" s="12" t="str">
        <f>VLOOKUP(A2422, Currency!$A$2:$B$100, 2, FALSE)</f>
        <v>USD</v>
      </c>
      <c r="F2422" s="12">
        <f ca="1">IFERROR(__xludf.DUMMYFUNCTION("IF(E2422=""USD"",B2422,B2422 * GOOGLEFINANCE(""CURRENCY:"" &amp; E2422 &amp; ""USD""))
"),50000000)</f>
        <v>50000000</v>
      </c>
      <c r="G2422" s="13">
        <f ca="1">IFERROR(__xludf.DUMMYFUNCTION("IF(E2422=""USD"",C2422,C2422 * GOOGLEFINANCE(""CURRENCY:"" &amp; E2422 &amp; ""USD""))
"),20389967)</f>
        <v>20389967</v>
      </c>
    </row>
    <row r="2423" spans="1:7" ht="15.75" customHeight="1" x14ac:dyDescent="0.25">
      <c r="A2423" s="14" t="s">
        <v>24</v>
      </c>
      <c r="B2423" s="15">
        <v>1000000</v>
      </c>
      <c r="C2423" s="15">
        <v>2508841</v>
      </c>
      <c r="D2423" s="15">
        <v>2008</v>
      </c>
      <c r="E2423" s="15" t="str">
        <f>VLOOKUP(A2423, Currency!$A$2:$B$100, 2, FALSE)</f>
        <v>USD</v>
      </c>
      <c r="F2423" s="15">
        <f ca="1">IFERROR(__xludf.DUMMYFUNCTION("IF(E2423=""USD"",B2423,B2423 * GOOGLEFINANCE(""CURRENCY:"" &amp; E2423 &amp; ""USD""))
"),1000000)</f>
        <v>1000000</v>
      </c>
      <c r="G2423" s="16">
        <f ca="1">IFERROR(__xludf.DUMMYFUNCTION("IF(E2423=""USD"",C2423,C2423 * GOOGLEFINANCE(""CURRENCY:"" &amp; E2423 &amp; ""USD""))
"),2508841)</f>
        <v>2508841</v>
      </c>
    </row>
    <row r="2424" spans="1:7" ht="15.75" customHeight="1" x14ac:dyDescent="0.25">
      <c r="A2424" s="11" t="s">
        <v>1111</v>
      </c>
      <c r="B2424" s="12">
        <v>5600000</v>
      </c>
      <c r="C2424" s="12">
        <v>27024</v>
      </c>
      <c r="D2424" s="12">
        <v>2009</v>
      </c>
      <c r="E2424" s="12" t="str">
        <f>VLOOKUP(A2424, Currency!$A$2:$B$100, 2, FALSE)</f>
        <v>EUR</v>
      </c>
      <c r="F2424" s="12">
        <f ca="1">IFERROR(__xludf.DUMMYFUNCTION("IF(E2424=""USD"",B2424,B2424 * GOOGLEFINANCE(""CURRENCY:"" &amp; E2424 &amp; ""USD""))
"),6074544)</f>
        <v>6074544</v>
      </c>
      <c r="G2424" s="13">
        <f ca="1">IFERROR(__xludf.DUMMYFUNCTION("IF(E2424=""USD"",C2424,C2424 * GOOGLEFINANCE(""CURRENCY:"" &amp; E2424 &amp; ""USD""))
"),29314.01376)</f>
        <v>29314.013760000002</v>
      </c>
    </row>
    <row r="2425" spans="1:7" ht="15.75" customHeight="1" x14ac:dyDescent="0.25">
      <c r="A2425" s="14" t="s">
        <v>24</v>
      </c>
      <c r="B2425" s="15">
        <v>20000000</v>
      </c>
      <c r="C2425" s="15">
        <v>114324072</v>
      </c>
      <c r="D2425" s="15">
        <v>2004</v>
      </c>
      <c r="E2425" s="15" t="str">
        <f>VLOOKUP(A2425, Currency!$A$2:$B$100, 2, FALSE)</f>
        <v>USD</v>
      </c>
      <c r="F2425" s="15">
        <f ca="1">IFERROR(__xludf.DUMMYFUNCTION("IF(E2425=""USD"",B2425,B2425 * GOOGLEFINANCE(""CURRENCY:"" &amp; E2425 &amp; ""USD""))
"),20000000)</f>
        <v>20000000</v>
      </c>
      <c r="G2425" s="16">
        <f ca="1">IFERROR(__xludf.DUMMYFUNCTION("IF(E2425=""USD"",C2425,C2425 * GOOGLEFINANCE(""CURRENCY:"" &amp; E2425 &amp; ""USD""))
"),114324072)</f>
        <v>114324072</v>
      </c>
    </row>
    <row r="2426" spans="1:7" ht="15.75" customHeight="1" x14ac:dyDescent="0.25">
      <c r="A2426" s="11" t="s">
        <v>24</v>
      </c>
      <c r="B2426" s="12">
        <v>9000000</v>
      </c>
      <c r="C2426" s="12">
        <v>34074895</v>
      </c>
      <c r="D2426" s="12">
        <v>1999</v>
      </c>
      <c r="E2426" s="12" t="str">
        <f>VLOOKUP(A2426, Currency!$A$2:$B$100, 2, FALSE)</f>
        <v>USD</v>
      </c>
      <c r="F2426" s="12">
        <f ca="1">IFERROR(__xludf.DUMMYFUNCTION("IF(E2426=""USD"",B2426,B2426 * GOOGLEFINANCE(""CURRENCY:"" &amp; E2426 &amp; ""USD""))
"),9000000)</f>
        <v>9000000</v>
      </c>
      <c r="G2426" s="13">
        <f ca="1">IFERROR(__xludf.DUMMYFUNCTION("IF(E2426=""USD"",C2426,C2426 * GOOGLEFINANCE(""CURRENCY:"" &amp; E2426 &amp; ""USD""))
"),34074895)</f>
        <v>34074895</v>
      </c>
    </row>
    <row r="2427" spans="1:7" ht="15.75" customHeight="1" x14ac:dyDescent="0.25">
      <c r="A2427" s="14" t="s">
        <v>24</v>
      </c>
      <c r="B2427" s="15">
        <v>61000000</v>
      </c>
      <c r="C2427" s="15">
        <v>46975183</v>
      </c>
      <c r="D2427" s="15">
        <v>2007</v>
      </c>
      <c r="E2427" s="15" t="str">
        <f>VLOOKUP(A2427, Currency!$A$2:$B$100, 2, FALSE)</f>
        <v>USD</v>
      </c>
      <c r="F2427" s="15">
        <f ca="1">IFERROR(__xludf.DUMMYFUNCTION("IF(E2427=""USD"",B2427,B2427 * GOOGLEFINANCE(""CURRENCY:"" &amp; E2427 &amp; ""USD""))
"),61000000)</f>
        <v>61000000</v>
      </c>
      <c r="G2427" s="16">
        <f ca="1">IFERROR(__xludf.DUMMYFUNCTION("IF(E2427=""USD"",C2427,C2427 * GOOGLEFINANCE(""CURRENCY:"" &amp; E2427 &amp; ""USD""))
"),46975183)</f>
        <v>46975183</v>
      </c>
    </row>
    <row r="2428" spans="1:7" ht="15.75" customHeight="1" x14ac:dyDescent="0.25">
      <c r="A2428" s="11" t="s">
        <v>24</v>
      </c>
      <c r="B2428" s="12">
        <v>500000</v>
      </c>
      <c r="C2428" s="12">
        <v>21199</v>
      </c>
      <c r="D2428" s="12">
        <v>2014</v>
      </c>
      <c r="E2428" s="12" t="str">
        <f>VLOOKUP(A2428, Currency!$A$2:$B$100, 2, FALSE)</f>
        <v>USD</v>
      </c>
      <c r="F2428" s="12">
        <f ca="1">IFERROR(__xludf.DUMMYFUNCTION("IF(E2428=""USD"",B2428,B2428 * GOOGLEFINANCE(""CURRENCY:"" &amp; E2428 &amp; ""USD""))
"),500000)</f>
        <v>500000</v>
      </c>
      <c r="G2428" s="13">
        <f ca="1">IFERROR(__xludf.DUMMYFUNCTION("IF(E2428=""USD"",C2428,C2428 * GOOGLEFINANCE(""CURRENCY:"" &amp; E2428 &amp; ""USD""))
"),21199)</f>
        <v>21199</v>
      </c>
    </row>
    <row r="2429" spans="1:7" ht="15.75" customHeight="1" x14ac:dyDescent="0.25">
      <c r="A2429" s="14" t="s">
        <v>24</v>
      </c>
      <c r="B2429" s="15">
        <v>24000000</v>
      </c>
      <c r="C2429" s="15">
        <v>32662299</v>
      </c>
      <c r="D2429" s="15">
        <v>2000</v>
      </c>
      <c r="E2429" s="15" t="str">
        <f>VLOOKUP(A2429, Currency!$A$2:$B$100, 2, FALSE)</f>
        <v>USD</v>
      </c>
      <c r="F2429" s="15">
        <f ca="1">IFERROR(__xludf.DUMMYFUNCTION("IF(E2429=""USD"",B2429,B2429 * GOOGLEFINANCE(""CURRENCY:"" &amp; E2429 &amp; ""USD""))
"),24000000)</f>
        <v>24000000</v>
      </c>
      <c r="G2429" s="16">
        <f ca="1">IFERROR(__xludf.DUMMYFUNCTION("IF(E2429=""USD"",C2429,C2429 * GOOGLEFINANCE(""CURRENCY:"" &amp; E2429 &amp; ""USD""))
"),32662299)</f>
        <v>32662299</v>
      </c>
    </row>
    <row r="2430" spans="1:7" ht="15.75" customHeight="1" x14ac:dyDescent="0.25">
      <c r="A2430" s="11" t="s">
        <v>24</v>
      </c>
      <c r="B2430" s="12">
        <v>10000000</v>
      </c>
      <c r="C2430" s="12">
        <v>15447</v>
      </c>
      <c r="D2430" s="12">
        <v>1997</v>
      </c>
      <c r="E2430" s="12" t="str">
        <f>VLOOKUP(A2430, Currency!$A$2:$B$100, 2, FALSE)</f>
        <v>USD</v>
      </c>
      <c r="F2430" s="12">
        <f ca="1">IFERROR(__xludf.DUMMYFUNCTION("IF(E2430=""USD"",B2430,B2430 * GOOGLEFINANCE(""CURRENCY:"" &amp; E2430 &amp; ""USD""))
"),10000000)</f>
        <v>10000000</v>
      </c>
      <c r="G2430" s="13">
        <f ca="1">IFERROR(__xludf.DUMMYFUNCTION("IF(E2430=""USD"",C2430,C2430 * GOOGLEFINANCE(""CURRENCY:"" &amp; E2430 &amp; ""USD""))
"),15447)</f>
        <v>15447</v>
      </c>
    </row>
    <row r="2431" spans="1:7" ht="15.75" customHeight="1" x14ac:dyDescent="0.25">
      <c r="A2431" s="14" t="s">
        <v>24</v>
      </c>
      <c r="B2431" s="15">
        <v>70000000</v>
      </c>
      <c r="C2431" s="15">
        <v>18990542</v>
      </c>
      <c r="D2431" s="15">
        <v>2002</v>
      </c>
      <c r="E2431" s="15" t="str">
        <f>VLOOKUP(A2431, Currency!$A$2:$B$100, 2, FALSE)</f>
        <v>USD</v>
      </c>
      <c r="F2431" s="15">
        <f ca="1">IFERROR(__xludf.DUMMYFUNCTION("IF(E2431=""USD"",B2431,B2431 * GOOGLEFINANCE(""CURRENCY:"" &amp; E2431 &amp; ""USD""))
"),70000000)</f>
        <v>70000000</v>
      </c>
      <c r="G2431" s="16">
        <f ca="1">IFERROR(__xludf.DUMMYFUNCTION("IF(E2431=""USD"",C2431,C2431 * GOOGLEFINANCE(""CURRENCY:"" &amp; E2431 &amp; ""USD""))
"),18990542)</f>
        <v>18990542</v>
      </c>
    </row>
    <row r="2432" spans="1:7" ht="15.75" customHeight="1" x14ac:dyDescent="0.25">
      <c r="A2432" s="11" t="s">
        <v>133</v>
      </c>
      <c r="B2432" s="12">
        <v>3000000</v>
      </c>
      <c r="C2432" s="12">
        <v>51100000</v>
      </c>
      <c r="D2432" s="12">
        <v>1964</v>
      </c>
      <c r="E2432" s="12" t="str">
        <f>VLOOKUP(A2432, Currency!$A$2:$B$100, 2, FALSE)</f>
        <v>GBP</v>
      </c>
      <c r="F2432" s="12">
        <f ca="1">IFERROR(__xludf.DUMMYFUNCTION("IF(E2432=""USD"",B2432,B2432 * GOOGLEFINANCE(""CURRENCY:"" &amp; E2432 &amp; ""USD""))
"),3856199.99999999)</f>
        <v>3856199.9999999902</v>
      </c>
      <c r="G2432" s="13">
        <f ca="1">IFERROR(__xludf.DUMMYFUNCTION("IF(E2432=""USD"",C2432,C2432 * GOOGLEFINANCE(""CURRENCY:"" &amp; E2432 &amp; ""USD""))
"),65683939.9999999)</f>
        <v>65683939.999999903</v>
      </c>
    </row>
    <row r="2433" spans="1:7" ht="15.75" customHeight="1" x14ac:dyDescent="0.25">
      <c r="A2433" s="14" t="s">
        <v>24</v>
      </c>
      <c r="B2433" s="15">
        <v>9000000</v>
      </c>
      <c r="C2433" s="15">
        <v>20035310</v>
      </c>
      <c r="D2433" s="15">
        <v>2000</v>
      </c>
      <c r="E2433" s="15" t="str">
        <f>VLOOKUP(A2433, Currency!$A$2:$B$100, 2, FALSE)</f>
        <v>USD</v>
      </c>
      <c r="F2433" s="15">
        <f ca="1">IFERROR(__xludf.DUMMYFUNCTION("IF(E2433=""USD"",B2433,B2433 * GOOGLEFINANCE(""CURRENCY:"" &amp; E2433 &amp; ""USD""))
"),9000000)</f>
        <v>9000000</v>
      </c>
      <c r="G2433" s="16">
        <f ca="1">IFERROR(__xludf.DUMMYFUNCTION("IF(E2433=""USD"",C2433,C2433 * GOOGLEFINANCE(""CURRENCY:"" &amp; E2433 &amp; ""USD""))
"),20035310)</f>
        <v>20035310</v>
      </c>
    </row>
    <row r="2434" spans="1:7" ht="15.75" customHeight="1" x14ac:dyDescent="0.25">
      <c r="A2434" s="11" t="s">
        <v>133</v>
      </c>
      <c r="B2434" s="12">
        <v>16500000</v>
      </c>
      <c r="C2434" s="12">
        <v>18663911</v>
      </c>
      <c r="D2434" s="12">
        <v>2007</v>
      </c>
      <c r="E2434" s="12" t="str">
        <f>VLOOKUP(A2434, Currency!$A$2:$B$100, 2, FALSE)</f>
        <v>GBP</v>
      </c>
      <c r="F2434" s="12">
        <f ca="1">IFERROR(__xludf.DUMMYFUNCTION("IF(E2434=""USD"",B2434,B2434 * GOOGLEFINANCE(""CURRENCY:"" &amp; E2434 &amp; ""USD""))
"),21209099.9999999)</f>
        <v>21209099.999999899</v>
      </c>
      <c r="G2434" s="13">
        <f ca="1">IFERROR(__xludf.DUMMYFUNCTION("IF(E2434=""USD"",C2434,C2434 * GOOGLEFINANCE(""CURRENCY:"" &amp; E2434 &amp; ""USD""))
"),23990591.1993999)</f>
        <v>23990591.1993999</v>
      </c>
    </row>
    <row r="2435" spans="1:7" ht="15.75" customHeight="1" x14ac:dyDescent="0.25">
      <c r="A2435" s="14" t="s">
        <v>24</v>
      </c>
      <c r="B2435" s="15">
        <v>1200000</v>
      </c>
      <c r="C2435" s="15">
        <v>110720</v>
      </c>
      <c r="D2435" s="15">
        <v>1999</v>
      </c>
      <c r="E2435" s="15" t="str">
        <f>VLOOKUP(A2435, Currency!$A$2:$B$100, 2, FALSE)</f>
        <v>USD</v>
      </c>
      <c r="F2435" s="15">
        <f ca="1">IFERROR(__xludf.DUMMYFUNCTION("IF(E2435=""USD"",B2435,B2435 * GOOGLEFINANCE(""CURRENCY:"" &amp; E2435 &amp; ""USD""))
"),1200000)</f>
        <v>1200000</v>
      </c>
      <c r="G2435" s="16">
        <f ca="1">IFERROR(__xludf.DUMMYFUNCTION("IF(E2435=""USD"",C2435,C2435 * GOOGLEFINANCE(""CURRENCY:"" &amp; E2435 &amp; ""USD""))
"),110720)</f>
        <v>110720</v>
      </c>
    </row>
    <row r="2436" spans="1:7" ht="15.75" customHeight="1" x14ac:dyDescent="0.25">
      <c r="A2436" s="11" t="s">
        <v>24</v>
      </c>
      <c r="B2436" s="12">
        <v>6500000</v>
      </c>
      <c r="C2436" s="12">
        <v>13367101</v>
      </c>
      <c r="D2436" s="12">
        <v>2006</v>
      </c>
      <c r="E2436" s="12" t="str">
        <f>VLOOKUP(A2436, Currency!$A$2:$B$100, 2, FALSE)</f>
        <v>USD</v>
      </c>
      <c r="F2436" s="12">
        <f ca="1">IFERROR(__xludf.DUMMYFUNCTION("IF(E2436=""USD"",B2436,B2436 * GOOGLEFINANCE(""CURRENCY:"" &amp; E2436 &amp; ""USD""))
"),6500000)</f>
        <v>6500000</v>
      </c>
      <c r="G2436" s="13">
        <f ca="1">IFERROR(__xludf.DUMMYFUNCTION("IF(E2436=""USD"",C2436,C2436 * GOOGLEFINANCE(""CURRENCY:"" &amp; E2436 &amp; ""USD""))
"),13367101)</f>
        <v>13367101</v>
      </c>
    </row>
    <row r="2437" spans="1:7" ht="15.75" customHeight="1" x14ac:dyDescent="0.25">
      <c r="A2437" s="14" t="s">
        <v>24</v>
      </c>
      <c r="B2437" s="15">
        <v>35000000</v>
      </c>
      <c r="C2437" s="15">
        <v>75274748</v>
      </c>
      <c r="D2437" s="15">
        <v>2015</v>
      </c>
      <c r="E2437" s="15" t="str">
        <f>VLOOKUP(A2437, Currency!$A$2:$B$100, 2, FALSE)</f>
        <v>USD</v>
      </c>
      <c r="F2437" s="15">
        <f ca="1">IFERROR(__xludf.DUMMYFUNCTION("IF(E2437=""USD"",B2437,B2437 * GOOGLEFINANCE(""CURRENCY:"" &amp; E2437 &amp; ""USD""))
"),35000000)</f>
        <v>35000000</v>
      </c>
      <c r="G2437" s="16">
        <f ca="1">IFERROR(__xludf.DUMMYFUNCTION("IF(E2437=""USD"",C2437,C2437 * GOOGLEFINANCE(""CURRENCY:"" &amp; E2437 &amp; ""USD""))
"),75274748)</f>
        <v>75274748</v>
      </c>
    </row>
    <row r="2438" spans="1:7" ht="15.75" customHeight="1" x14ac:dyDescent="0.25">
      <c r="A2438" s="11" t="s">
        <v>24</v>
      </c>
      <c r="B2438" s="12">
        <v>22000000</v>
      </c>
      <c r="C2438" s="12">
        <v>58328680</v>
      </c>
      <c r="D2438" s="12">
        <v>2003</v>
      </c>
      <c r="E2438" s="12" t="str">
        <f>VLOOKUP(A2438, Currency!$A$2:$B$100, 2, FALSE)</f>
        <v>USD</v>
      </c>
      <c r="F2438" s="12">
        <f ca="1">IFERROR(__xludf.DUMMYFUNCTION("IF(E2438=""USD"",B2438,B2438 * GOOGLEFINANCE(""CURRENCY:"" &amp; E2438 &amp; ""USD""))
"),22000000)</f>
        <v>22000000</v>
      </c>
      <c r="G2438" s="13">
        <f ca="1">IFERROR(__xludf.DUMMYFUNCTION("IF(E2438=""USD"",C2438,C2438 * GOOGLEFINANCE(""CURRENCY:"" &amp; E2438 &amp; ""USD""))
"),58328680)</f>
        <v>58328680</v>
      </c>
    </row>
    <row r="2439" spans="1:7" ht="15.75" customHeight="1" x14ac:dyDescent="0.25">
      <c r="A2439" s="14" t="s">
        <v>133</v>
      </c>
      <c r="B2439" s="15">
        <v>60000000</v>
      </c>
      <c r="C2439" s="15">
        <v>13082288</v>
      </c>
      <c r="D2439" s="15">
        <v>2006</v>
      </c>
      <c r="E2439" s="15" t="str">
        <f>VLOOKUP(A2439, Currency!$A$2:$B$100, 2, FALSE)</f>
        <v>GBP</v>
      </c>
      <c r="F2439" s="15">
        <f ca="1">IFERROR(__xludf.DUMMYFUNCTION("IF(E2439=""USD"",B2439,B2439 * GOOGLEFINANCE(""CURRENCY:"" &amp; E2439 &amp; ""USD""))
"),77124000)</f>
        <v>77124000</v>
      </c>
      <c r="G2439" s="16">
        <f ca="1">IFERROR(__xludf.DUMMYFUNCTION("IF(E2439=""USD"",C2439,C2439 * GOOGLEFINANCE(""CURRENCY:"" &amp; E2439 &amp; ""USD""))
"),16815972.9951999)</f>
        <v>16815972.9951999</v>
      </c>
    </row>
    <row r="2440" spans="1:7" ht="15.75" customHeight="1" x14ac:dyDescent="0.25">
      <c r="A2440" s="11" t="s">
        <v>24</v>
      </c>
      <c r="B2440" s="12">
        <v>5000000</v>
      </c>
      <c r="C2440" s="12">
        <v>20733485</v>
      </c>
      <c r="D2440" s="12">
        <v>1997</v>
      </c>
      <c r="E2440" s="12" t="str">
        <f>VLOOKUP(A2440, Currency!$A$2:$B$100, 2, FALSE)</f>
        <v>USD</v>
      </c>
      <c r="F2440" s="12">
        <f ca="1">IFERROR(__xludf.DUMMYFUNCTION("IF(E2440=""USD"",B2440,B2440 * GOOGLEFINANCE(""CURRENCY:"" &amp; E2440 &amp; ""USD""))
"),5000000)</f>
        <v>5000000</v>
      </c>
      <c r="G2440" s="13">
        <f ca="1">IFERROR(__xludf.DUMMYFUNCTION("IF(E2440=""USD"",C2440,C2440 * GOOGLEFINANCE(""CURRENCY:"" &amp; E2440 &amp; ""USD""))
"),20733485)</f>
        <v>20733485</v>
      </c>
    </row>
    <row r="2441" spans="1:7" ht="15.75" customHeight="1" x14ac:dyDescent="0.25">
      <c r="A2441" s="14" t="s">
        <v>1220</v>
      </c>
      <c r="B2441" s="15">
        <v>5000000</v>
      </c>
      <c r="C2441" s="15">
        <v>44456509</v>
      </c>
      <c r="D2441" s="15">
        <v>2013</v>
      </c>
      <c r="E2441" s="15" t="str">
        <f>VLOOKUP(A2441, Currency!$A$2:$B$100, 2, FALSE)</f>
        <v>MXN</v>
      </c>
      <c r="F2441" s="15">
        <f ca="1">IFERROR(__xludf.DUMMYFUNCTION("IF(E2441=""USD"",B2441,B2441 * GOOGLEFINANCE(""CURRENCY:"" &amp; E2441 &amp; ""USD""))
"),271023.45)</f>
        <v>271023.45</v>
      </c>
      <c r="G2441" s="16">
        <f ca="1">IFERROR(__xludf.DUMMYFUNCTION("IF(E2441=""USD"",C2441,C2441 * GOOGLEFINANCE(""CURRENCY:"" &amp; E2441 &amp; ""USD""))
"),2409751.28882721)</f>
        <v>2409751.2888272102</v>
      </c>
    </row>
    <row r="2442" spans="1:7" ht="15.75" customHeight="1" x14ac:dyDescent="0.25">
      <c r="A2442" s="11" t="s">
        <v>176</v>
      </c>
      <c r="B2442" s="12">
        <v>29000000</v>
      </c>
      <c r="C2442" s="12">
        <v>16930185</v>
      </c>
      <c r="D2442" s="12">
        <v>2002</v>
      </c>
      <c r="E2442" s="12" t="str">
        <f>VLOOKUP(A2442, Currency!$A$2:$B$100, 2, FALSE)</f>
        <v>EUR</v>
      </c>
      <c r="F2442" s="12">
        <f ca="1">IFERROR(__xludf.DUMMYFUNCTION("IF(E2442=""USD"",B2442,B2442 * GOOGLEFINANCE(""CURRENCY:"" &amp; E2442 &amp; ""USD""))
"),31457460)</f>
        <v>31457460</v>
      </c>
      <c r="G2442" s="13">
        <f ca="1">IFERROR(__xludf.DUMMYFUNCTION("IF(E2442=""USD"",C2442,C2442 * GOOGLEFINANCE(""CURRENCY:"" &amp; E2442 &amp; ""USD""))
"),18364848.8769)</f>
        <v>18364848.876899999</v>
      </c>
    </row>
    <row r="2443" spans="1:7" ht="15.75" customHeight="1" x14ac:dyDescent="0.25">
      <c r="A2443" s="14" t="s">
        <v>24</v>
      </c>
      <c r="B2443" s="15">
        <v>12000000</v>
      </c>
      <c r="C2443" s="15">
        <v>28435406</v>
      </c>
      <c r="D2443" s="15">
        <v>2006</v>
      </c>
      <c r="E2443" s="15" t="str">
        <f>VLOOKUP(A2443, Currency!$A$2:$B$100, 2, FALSE)</f>
        <v>USD</v>
      </c>
      <c r="F2443" s="15">
        <f ca="1">IFERROR(__xludf.DUMMYFUNCTION("IF(E2443=""USD"",B2443,B2443 * GOOGLEFINANCE(""CURRENCY:"" &amp; E2443 &amp; ""USD""))
"),12000000)</f>
        <v>12000000</v>
      </c>
      <c r="G2443" s="16">
        <f ca="1">IFERROR(__xludf.DUMMYFUNCTION("IF(E2443=""USD"",C2443,C2443 * GOOGLEFINANCE(""CURRENCY:"" &amp; E2443 &amp; ""USD""))
"),28435406)</f>
        <v>28435406</v>
      </c>
    </row>
    <row r="2444" spans="1:7" ht="15.75" customHeight="1" x14ac:dyDescent="0.25">
      <c r="A2444" s="11" t="s">
        <v>1491</v>
      </c>
      <c r="B2444" s="12">
        <v>12800000</v>
      </c>
      <c r="C2444" s="12">
        <v>1110186</v>
      </c>
      <c r="D2444" s="12">
        <v>2004</v>
      </c>
      <c r="E2444" s="12" t="str">
        <f>VLOOKUP(A2444, Currency!$A$2:$B$100, 2, FALSE)</f>
        <v>KRW</v>
      </c>
      <c r="F2444" s="12">
        <f ca="1">IFERROR(__xludf.DUMMYFUNCTION("IF(E2444=""USD"",B2444,B2444 * GOOGLEFINANCE(""CURRENCY:"" &amp; E2444 &amp; ""USD""))
"),9265.4976)</f>
        <v>9265.4976000000006</v>
      </c>
      <c r="G2444" s="13">
        <f ca="1">IFERROR(__xludf.DUMMYFUNCTION("IF(E2444=""USD"",C2444,C2444 * GOOGLEFINANCE(""CURRENCY:"" &amp; E2444 &amp; ""USD""))
"),803.627009262)</f>
        <v>803.627009262</v>
      </c>
    </row>
    <row r="2445" spans="1:7" ht="15.75" customHeight="1" x14ac:dyDescent="0.25">
      <c r="A2445" s="14" t="s">
        <v>24</v>
      </c>
      <c r="B2445" s="15">
        <v>45000000</v>
      </c>
      <c r="C2445" s="15">
        <v>88504640</v>
      </c>
      <c r="D2445" s="15">
        <v>2006</v>
      </c>
      <c r="E2445" s="15" t="str">
        <f>VLOOKUP(A2445, Currency!$A$2:$B$100, 2, FALSE)</f>
        <v>USD</v>
      </c>
      <c r="F2445" s="15">
        <f ca="1">IFERROR(__xludf.DUMMYFUNCTION("IF(E2445=""USD"",B2445,B2445 * GOOGLEFINANCE(""CURRENCY:"" &amp; E2445 &amp; ""USD""))
"),45000000)</f>
        <v>45000000</v>
      </c>
      <c r="G2445" s="16">
        <f ca="1">IFERROR(__xludf.DUMMYFUNCTION("IF(E2445=""USD"",C2445,C2445 * GOOGLEFINANCE(""CURRENCY:"" &amp; E2445 &amp; ""USD""))
"),88504640)</f>
        <v>88504640</v>
      </c>
    </row>
    <row r="2446" spans="1:7" ht="15.75" customHeight="1" x14ac:dyDescent="0.25">
      <c r="A2446" s="11" t="s">
        <v>24</v>
      </c>
      <c r="B2446" s="12">
        <v>8000000</v>
      </c>
      <c r="C2446" s="12">
        <v>16938179</v>
      </c>
      <c r="D2446" s="12">
        <v>2000</v>
      </c>
      <c r="E2446" s="12" t="str">
        <f>VLOOKUP(A2446, Currency!$A$2:$B$100, 2, FALSE)</f>
        <v>USD</v>
      </c>
      <c r="F2446" s="12">
        <f ca="1">IFERROR(__xludf.DUMMYFUNCTION("IF(E2446=""USD"",B2446,B2446 * GOOGLEFINANCE(""CURRENCY:"" &amp; E2446 &amp; ""USD""))
"),8000000)</f>
        <v>8000000</v>
      </c>
      <c r="G2446" s="13">
        <f ca="1">IFERROR(__xludf.DUMMYFUNCTION("IF(E2446=""USD"",C2446,C2446 * GOOGLEFINANCE(""CURRENCY:"" &amp; E2446 &amp; ""USD""))
"),16938179)</f>
        <v>16938179</v>
      </c>
    </row>
    <row r="2447" spans="1:7" ht="15.75" customHeight="1" x14ac:dyDescent="0.25">
      <c r="A2447" s="14" t="s">
        <v>24</v>
      </c>
      <c r="B2447" s="15">
        <v>60000000</v>
      </c>
      <c r="C2447" s="15">
        <v>54910560</v>
      </c>
      <c r="D2447" s="15">
        <v>1997</v>
      </c>
      <c r="E2447" s="15" t="str">
        <f>VLOOKUP(A2447, Currency!$A$2:$B$100, 2, FALSE)</f>
        <v>USD</v>
      </c>
      <c r="F2447" s="15">
        <f ca="1">IFERROR(__xludf.DUMMYFUNCTION("IF(E2447=""USD"",B2447,B2447 * GOOGLEFINANCE(""CURRENCY:"" &amp; E2447 &amp; ""USD""))
"),60000000)</f>
        <v>60000000</v>
      </c>
      <c r="G2447" s="16">
        <f ca="1">IFERROR(__xludf.DUMMYFUNCTION("IF(E2447=""USD"",C2447,C2447 * GOOGLEFINANCE(""CURRENCY:"" &amp; E2447 &amp; ""USD""))
"),54910560)</f>
        <v>54910560</v>
      </c>
    </row>
    <row r="2448" spans="1:7" ht="15.75" customHeight="1" x14ac:dyDescent="0.25">
      <c r="A2448" s="11" t="s">
        <v>24</v>
      </c>
      <c r="B2448" s="12">
        <v>4000000</v>
      </c>
      <c r="C2448" s="12">
        <v>4046737</v>
      </c>
      <c r="D2448" s="12">
        <v>2002</v>
      </c>
      <c r="E2448" s="12" t="str">
        <f>VLOOKUP(A2448, Currency!$A$2:$B$100, 2, FALSE)</f>
        <v>USD</v>
      </c>
      <c r="F2448" s="12">
        <f ca="1">IFERROR(__xludf.DUMMYFUNCTION("IF(E2448=""USD"",B2448,B2448 * GOOGLEFINANCE(""CURRENCY:"" &amp; E2448 &amp; ""USD""))
"),4000000)</f>
        <v>4000000</v>
      </c>
      <c r="G2448" s="13">
        <f ca="1">IFERROR(__xludf.DUMMYFUNCTION("IF(E2448=""USD"",C2448,C2448 * GOOGLEFINANCE(""CURRENCY:"" &amp; E2448 &amp; ""USD""))
"),4046737)</f>
        <v>4046737</v>
      </c>
    </row>
    <row r="2449" spans="1:7" ht="15.75" customHeight="1" x14ac:dyDescent="0.25">
      <c r="A2449" s="14" t="s">
        <v>24</v>
      </c>
      <c r="B2449" s="15">
        <v>7000000</v>
      </c>
      <c r="C2449" s="15">
        <v>382946</v>
      </c>
      <c r="D2449" s="15">
        <v>2010</v>
      </c>
      <c r="E2449" s="15" t="str">
        <f>VLOOKUP(A2449, Currency!$A$2:$B$100, 2, FALSE)</f>
        <v>USD</v>
      </c>
      <c r="F2449" s="15">
        <f ca="1">IFERROR(__xludf.DUMMYFUNCTION("IF(E2449=""USD"",B2449,B2449 * GOOGLEFINANCE(""CURRENCY:"" &amp; E2449 &amp; ""USD""))
"),7000000)</f>
        <v>7000000</v>
      </c>
      <c r="G2449" s="16">
        <f ca="1">IFERROR(__xludf.DUMMYFUNCTION("IF(E2449=""USD"",C2449,C2449 * GOOGLEFINANCE(""CURRENCY:"" &amp; E2449 &amp; ""USD""))
"),382946)</f>
        <v>382946</v>
      </c>
    </row>
    <row r="2450" spans="1:7" ht="15.75" customHeight="1" x14ac:dyDescent="0.25">
      <c r="A2450" s="11" t="s">
        <v>133</v>
      </c>
      <c r="B2450" s="12">
        <v>100000000</v>
      </c>
      <c r="C2450" s="12">
        <v>46440491</v>
      </c>
      <c r="D2450" s="12">
        <v>2011</v>
      </c>
      <c r="E2450" s="12" t="str">
        <f>VLOOKUP(A2450, Currency!$A$2:$B$100, 2, FALSE)</f>
        <v>GBP</v>
      </c>
      <c r="F2450" s="12">
        <f ca="1">IFERROR(__xludf.DUMMYFUNCTION("IF(E2450=""USD"",B2450,B2450 * GOOGLEFINANCE(""CURRENCY:"" &amp; E2450 &amp; ""USD""))
"),128539999.999999)</f>
        <v>128539999.999999</v>
      </c>
      <c r="G2450" s="13">
        <f ca="1">IFERROR(__xludf.DUMMYFUNCTION("IF(E2450=""USD"",C2450,C2450 * GOOGLEFINANCE(""CURRENCY:"" &amp; E2450 &amp; ""USD""))
"),59694607.1314)</f>
        <v>59694607.131399997</v>
      </c>
    </row>
    <row r="2451" spans="1:7" ht="15.75" customHeight="1" x14ac:dyDescent="0.25">
      <c r="A2451" s="14" t="s">
        <v>24</v>
      </c>
      <c r="B2451" s="15">
        <v>52000000</v>
      </c>
      <c r="C2451" s="15">
        <v>42438300</v>
      </c>
      <c r="D2451" s="15">
        <v>1995</v>
      </c>
      <c r="E2451" s="15" t="str">
        <f>VLOOKUP(A2451, Currency!$A$2:$B$100, 2, FALSE)</f>
        <v>USD</v>
      </c>
      <c r="F2451" s="15">
        <f ca="1">IFERROR(__xludf.DUMMYFUNCTION("IF(E2451=""USD"",B2451,B2451 * GOOGLEFINANCE(""CURRENCY:"" &amp; E2451 &amp; ""USD""))
"),52000000)</f>
        <v>52000000</v>
      </c>
      <c r="G2451" s="16">
        <f ca="1">IFERROR(__xludf.DUMMYFUNCTION("IF(E2451=""USD"",C2451,C2451 * GOOGLEFINANCE(""CURRENCY:"" &amp; E2451 &amp; ""USD""))
"),42438300)</f>
        <v>42438300</v>
      </c>
    </row>
    <row r="2452" spans="1:7" ht="15.75" customHeight="1" x14ac:dyDescent="0.25">
      <c r="A2452" s="11" t="s">
        <v>7917</v>
      </c>
      <c r="B2452" s="12">
        <v>4200000</v>
      </c>
      <c r="C2452" s="12">
        <v>1487477</v>
      </c>
      <c r="D2452" s="12">
        <v>2004</v>
      </c>
      <c r="E2452" s="12" t="str">
        <f>VLOOKUP(A2452, Currency!$A$2:$B$100, 2, FALSE)</f>
        <v>RUB</v>
      </c>
      <c r="F2452" s="12">
        <f ca="1">IFERROR(__xludf.DUMMYFUNCTION("IF(E2452=""USD"",B2452,B2452 * GOOGLEFINANCE(""CURRENCY:"" &amp; E2452 &amp; ""USD""))
"),49411.5342)</f>
        <v>49411.534200000002</v>
      </c>
      <c r="G2452" s="13">
        <f ca="1">IFERROR(__xludf.DUMMYFUNCTION("IF(E2452=""USD"",C2452,C2452 * GOOGLEFINANCE(""CURRENCY:"" &amp; E2452 &amp; ""USD""))
"),17499.647775527)</f>
        <v>17499.647775526999</v>
      </c>
    </row>
    <row r="2453" spans="1:7" ht="15.75" customHeight="1" x14ac:dyDescent="0.25">
      <c r="A2453" s="14" t="s">
        <v>24</v>
      </c>
      <c r="B2453" s="15">
        <v>31000000</v>
      </c>
      <c r="C2453" s="15">
        <v>87100000</v>
      </c>
      <c r="D2453" s="15">
        <v>1985</v>
      </c>
      <c r="E2453" s="15" t="str">
        <f>VLOOKUP(A2453, Currency!$A$2:$B$100, 2, FALSE)</f>
        <v>USD</v>
      </c>
      <c r="F2453" s="15">
        <f ca="1">IFERROR(__xludf.DUMMYFUNCTION("IF(E2453=""USD"",B2453,B2453 * GOOGLEFINANCE(""CURRENCY:"" &amp; E2453 &amp; ""USD""))
"),31000000)</f>
        <v>31000000</v>
      </c>
      <c r="G2453" s="16">
        <f ca="1">IFERROR(__xludf.DUMMYFUNCTION("IF(E2453=""USD"",C2453,C2453 * GOOGLEFINANCE(""CURRENCY:"" &amp; E2453 &amp; ""USD""))
"),87100000)</f>
        <v>87100000</v>
      </c>
    </row>
    <row r="2454" spans="1:7" ht="15.75" customHeight="1" x14ac:dyDescent="0.25">
      <c r="A2454" s="11" t="s">
        <v>149</v>
      </c>
      <c r="B2454" s="12">
        <v>10000000</v>
      </c>
      <c r="C2454" s="12">
        <v>882290</v>
      </c>
      <c r="D2454" s="12">
        <v>1989</v>
      </c>
      <c r="E2454" s="12" t="str">
        <f>VLOOKUP(A2454, Currency!$A$2:$B$100, 2, FALSE)</f>
        <v>AUD</v>
      </c>
      <c r="F2454" s="12">
        <f ca="1">IFERROR(__xludf.DUMMYFUNCTION("IF(E2454=""USD"",B2454,B2454 * GOOGLEFINANCE(""CURRENCY:"" &amp; E2454 &amp; ""USD""))
"),6538800)</f>
        <v>6538800</v>
      </c>
      <c r="G2454" s="13">
        <f ca="1">IFERROR(__xludf.DUMMYFUNCTION("IF(E2454=""USD"",C2454,C2454 * GOOGLEFINANCE(""CURRENCY:"" &amp; E2454 &amp; ""USD""))
"),576911.7852)</f>
        <v>576911.78520000004</v>
      </c>
    </row>
    <row r="2455" spans="1:7" ht="15.75" customHeight="1" x14ac:dyDescent="0.25">
      <c r="A2455" s="14" t="s">
        <v>24</v>
      </c>
      <c r="B2455" s="15">
        <v>25000000</v>
      </c>
      <c r="C2455" s="15">
        <v>13038660</v>
      </c>
      <c r="D2455" s="15">
        <v>1999</v>
      </c>
      <c r="E2455" s="15" t="str">
        <f>VLOOKUP(A2455, Currency!$A$2:$B$100, 2, FALSE)</f>
        <v>USD</v>
      </c>
      <c r="F2455" s="15">
        <f ca="1">IFERROR(__xludf.DUMMYFUNCTION("IF(E2455=""USD"",B2455,B2455 * GOOGLEFINANCE(""CURRENCY:"" &amp; E2455 &amp; ""USD""))
"),25000000)</f>
        <v>25000000</v>
      </c>
      <c r="G2455" s="16">
        <f ca="1">IFERROR(__xludf.DUMMYFUNCTION("IF(E2455=""USD"",C2455,C2455 * GOOGLEFINANCE(""CURRENCY:"" &amp; E2455 &amp; ""USD""))
"),13038660)</f>
        <v>13038660</v>
      </c>
    </row>
    <row r="2456" spans="1:7" ht="15.75" customHeight="1" x14ac:dyDescent="0.25">
      <c r="A2456" s="11" t="s">
        <v>24</v>
      </c>
      <c r="B2456" s="12">
        <v>35000000</v>
      </c>
      <c r="C2456" s="12">
        <v>52277485</v>
      </c>
      <c r="D2456" s="12">
        <v>2003</v>
      </c>
      <c r="E2456" s="12" t="str">
        <f>VLOOKUP(A2456, Currency!$A$2:$B$100, 2, FALSE)</f>
        <v>USD</v>
      </c>
      <c r="F2456" s="12">
        <f ca="1">IFERROR(__xludf.DUMMYFUNCTION("IF(E2456=""USD"",B2456,B2456 * GOOGLEFINANCE(""CURRENCY:"" &amp; E2456 &amp; ""USD""))
"),35000000)</f>
        <v>35000000</v>
      </c>
      <c r="G2456" s="13">
        <f ca="1">IFERROR(__xludf.DUMMYFUNCTION("IF(E2456=""USD"",C2456,C2456 * GOOGLEFINANCE(""CURRENCY:"" &amp; E2456 &amp; ""USD""))
"),52277485)</f>
        <v>52277485</v>
      </c>
    </row>
    <row r="2457" spans="1:7" ht="15.75" customHeight="1" x14ac:dyDescent="0.25">
      <c r="A2457" s="14" t="s">
        <v>133</v>
      </c>
      <c r="B2457" s="15">
        <v>4000000</v>
      </c>
      <c r="C2457" s="15">
        <v>13464388</v>
      </c>
      <c r="D2457" s="15">
        <v>2004</v>
      </c>
      <c r="E2457" s="15" t="str">
        <f>VLOOKUP(A2457, Currency!$A$2:$B$100, 2, FALSE)</f>
        <v>GBP</v>
      </c>
      <c r="F2457" s="15">
        <f ca="1">IFERROR(__xludf.DUMMYFUNCTION("IF(E2457=""USD"",B2457,B2457 * GOOGLEFINANCE(""CURRENCY:"" &amp; E2457 &amp; ""USD""))
"),5141599.99999999)</f>
        <v>5141599.9999999898</v>
      </c>
      <c r="G2457" s="16">
        <f ca="1">IFERROR(__xludf.DUMMYFUNCTION("IF(E2457=""USD"",C2457,C2457 * GOOGLEFINANCE(""CURRENCY:"" &amp; E2457 &amp; ""USD""))
"),17307124.3351999)</f>
        <v>17307124.3351999</v>
      </c>
    </row>
    <row r="2458" spans="1:7" ht="15.75" customHeight="1" x14ac:dyDescent="0.25">
      <c r="A2458" s="11" t="s">
        <v>24</v>
      </c>
      <c r="B2458" s="12">
        <v>15000000</v>
      </c>
      <c r="C2458" s="12">
        <v>4006906</v>
      </c>
      <c r="D2458" s="12">
        <v>2005</v>
      </c>
      <c r="E2458" s="12" t="str">
        <f>VLOOKUP(A2458, Currency!$A$2:$B$100, 2, FALSE)</f>
        <v>USD</v>
      </c>
      <c r="F2458" s="12">
        <f ca="1">IFERROR(__xludf.DUMMYFUNCTION("IF(E2458=""USD"",B2458,B2458 * GOOGLEFINANCE(""CURRENCY:"" &amp; E2458 &amp; ""USD""))
"),15000000)</f>
        <v>15000000</v>
      </c>
      <c r="G2458" s="13">
        <f ca="1">IFERROR(__xludf.DUMMYFUNCTION("IF(E2458=""USD"",C2458,C2458 * GOOGLEFINANCE(""CURRENCY:"" &amp; E2458 &amp; ""USD""))
"),4006906)</f>
        <v>4006906</v>
      </c>
    </row>
    <row r="2459" spans="1:7" ht="15.75" customHeight="1" x14ac:dyDescent="0.25">
      <c r="A2459" s="14" t="s">
        <v>627</v>
      </c>
      <c r="B2459" s="15">
        <v>6000000</v>
      </c>
      <c r="C2459" s="15">
        <v>795126</v>
      </c>
      <c r="D2459" s="15">
        <v>2004</v>
      </c>
      <c r="E2459" s="15" t="str">
        <f>VLOOKUP(A2459, Currency!$A$2:$B$100, 2, FALSE)</f>
        <v>CAD</v>
      </c>
      <c r="F2459" s="15">
        <f ca="1">IFERROR(__xludf.DUMMYFUNCTION("IF(E2459=""USD"",B2459,B2459 * GOOGLEFINANCE(""CURRENCY:"" &amp; E2459 &amp; ""USD""))
"),4340430)</f>
        <v>4340430</v>
      </c>
      <c r="G2459" s="16">
        <f ca="1">IFERROR(__xludf.DUMMYFUNCTION("IF(E2459=""USD"",C2459,C2459 * GOOGLEFINANCE(""CURRENCY:"" &amp; E2459 &amp; ""USD""))
"),575198.12403)</f>
        <v>575198.12402999995</v>
      </c>
    </row>
    <row r="2460" spans="1:7" ht="15.75" customHeight="1" x14ac:dyDescent="0.25">
      <c r="A2460" s="11" t="s">
        <v>24</v>
      </c>
      <c r="B2460" s="12">
        <v>16000000</v>
      </c>
      <c r="C2460" s="12">
        <v>16346122</v>
      </c>
      <c r="D2460" s="12">
        <v>2002</v>
      </c>
      <c r="E2460" s="12" t="str">
        <f>VLOOKUP(A2460, Currency!$A$2:$B$100, 2, FALSE)</f>
        <v>USD</v>
      </c>
      <c r="F2460" s="12">
        <f ca="1">IFERROR(__xludf.DUMMYFUNCTION("IF(E2460=""USD"",B2460,B2460 * GOOGLEFINANCE(""CURRENCY:"" &amp; E2460 &amp; ""USD""))
"),16000000)</f>
        <v>16000000</v>
      </c>
      <c r="G2460" s="13">
        <f ca="1">IFERROR(__xludf.DUMMYFUNCTION("IF(E2460=""USD"",C2460,C2460 * GOOGLEFINANCE(""CURRENCY:"" &amp; E2460 &amp; ""USD""))
"),16346122)</f>
        <v>16346122</v>
      </c>
    </row>
    <row r="2461" spans="1:7" ht="15.75" customHeight="1" x14ac:dyDescent="0.25">
      <c r="A2461" s="14" t="s">
        <v>133</v>
      </c>
      <c r="B2461" s="15">
        <v>15000000</v>
      </c>
      <c r="C2461" s="15">
        <v>33565375</v>
      </c>
      <c r="D2461" s="15">
        <v>2005</v>
      </c>
      <c r="E2461" s="15" t="str">
        <f>VLOOKUP(A2461, Currency!$A$2:$B$100, 2, FALSE)</f>
        <v>GBP</v>
      </c>
      <c r="F2461" s="15">
        <f ca="1">IFERROR(__xludf.DUMMYFUNCTION("IF(E2461=""USD"",B2461,B2461 * GOOGLEFINANCE(""CURRENCY:"" &amp; E2461 &amp; ""USD""))
"),19281000)</f>
        <v>19281000</v>
      </c>
      <c r="G2461" s="16">
        <f ca="1">IFERROR(__xludf.DUMMYFUNCTION("IF(E2461=""USD"",C2461,C2461 * GOOGLEFINANCE(""CURRENCY:"" &amp; E2461 &amp; ""USD""))
"),43144933.025)</f>
        <v>43144933.024999999</v>
      </c>
    </row>
    <row r="2462" spans="1:7" ht="15.75" customHeight="1" x14ac:dyDescent="0.25">
      <c r="A2462" s="11" t="s">
        <v>24</v>
      </c>
      <c r="B2462" s="12">
        <v>18000000</v>
      </c>
      <c r="C2462" s="12">
        <v>26906039</v>
      </c>
      <c r="D2462" s="12">
        <v>1996</v>
      </c>
      <c r="E2462" s="12" t="str">
        <f>VLOOKUP(A2462, Currency!$A$2:$B$100, 2, FALSE)</f>
        <v>USD</v>
      </c>
      <c r="F2462" s="12">
        <f ca="1">IFERROR(__xludf.DUMMYFUNCTION("IF(E2462=""USD"",B2462,B2462 * GOOGLEFINANCE(""CURRENCY:"" &amp; E2462 &amp; ""USD""))
"),18000000)</f>
        <v>18000000</v>
      </c>
      <c r="G2462" s="13">
        <f ca="1">IFERROR(__xludf.DUMMYFUNCTION("IF(E2462=""USD"",C2462,C2462 * GOOGLEFINANCE(""CURRENCY:"" &amp; E2462 &amp; ""USD""))
"),26906039)</f>
        <v>26906039</v>
      </c>
    </row>
    <row r="2463" spans="1:7" ht="15.75" customHeight="1" x14ac:dyDescent="0.25">
      <c r="A2463" s="14" t="s">
        <v>133</v>
      </c>
      <c r="B2463" s="15">
        <v>12000000</v>
      </c>
      <c r="C2463" s="15">
        <v>1702277</v>
      </c>
      <c r="D2463" s="15">
        <v>2013</v>
      </c>
      <c r="E2463" s="15" t="str">
        <f>VLOOKUP(A2463, Currency!$A$2:$B$100, 2, FALSE)</f>
        <v>GBP</v>
      </c>
      <c r="F2463" s="15">
        <f ca="1">IFERROR(__xludf.DUMMYFUNCTION("IF(E2463=""USD"",B2463,B2463 * GOOGLEFINANCE(""CURRENCY:"" &amp; E2463 &amp; ""USD""))
"),15424799.9999999)</f>
        <v>15424799.999999899</v>
      </c>
      <c r="G2463" s="16">
        <f ca="1">IFERROR(__xludf.DUMMYFUNCTION("IF(E2463=""USD"",C2463,C2463 * GOOGLEFINANCE(""CURRENCY:"" &amp; E2463 &amp; ""USD""))
"),2188106.8558)</f>
        <v>2188106.8558</v>
      </c>
    </row>
    <row r="2464" spans="1:7" ht="15.75" customHeight="1" x14ac:dyDescent="0.25">
      <c r="A2464" s="11" t="s">
        <v>7956</v>
      </c>
      <c r="B2464" s="12">
        <v>45000000</v>
      </c>
      <c r="C2464" s="12">
        <v>57362581</v>
      </c>
      <c r="D2464" s="12">
        <v>1994</v>
      </c>
      <c r="E2464" s="12" t="str">
        <f>VLOOKUP(A2464, Currency!$A$2:$B$100, 2, FALSE)</f>
        <v>PEN</v>
      </c>
      <c r="F2464" s="12">
        <f ca="1">IFERROR(__xludf.DUMMYFUNCTION("IF(E2464=""USD"",B2464,B2464 * GOOGLEFINANCE(""CURRENCY:"" &amp; E2464 &amp; ""USD""))
"),12029229)</f>
        <v>12029229</v>
      </c>
      <c r="G2464" s="13">
        <f ca="1">IFERROR(__xludf.DUMMYFUNCTION("IF(E2464=""USD"",C2464,C2464 * GOOGLEFINANCE(""CURRENCY:"" &amp; E2464 &amp; ""USD""))
"),15333947.1751122)</f>
        <v>15333947.175112201</v>
      </c>
    </row>
    <row r="2465" spans="1:7" ht="15.75" customHeight="1" x14ac:dyDescent="0.25">
      <c r="A2465" s="14" t="s">
        <v>24</v>
      </c>
      <c r="B2465" s="15">
        <v>32000000</v>
      </c>
      <c r="C2465" s="15">
        <v>1304837</v>
      </c>
      <c r="D2465" s="15">
        <v>2006</v>
      </c>
      <c r="E2465" s="15" t="str">
        <f>VLOOKUP(A2465, Currency!$A$2:$B$100, 2, FALSE)</f>
        <v>USD</v>
      </c>
      <c r="F2465" s="15">
        <f ca="1">IFERROR(__xludf.DUMMYFUNCTION("IF(E2465=""USD"",B2465,B2465 * GOOGLEFINANCE(""CURRENCY:"" &amp; E2465 &amp; ""USD""))
"),32000000)</f>
        <v>32000000</v>
      </c>
      <c r="G2465" s="16">
        <f ca="1">IFERROR(__xludf.DUMMYFUNCTION("IF(E2465=""USD"",C2465,C2465 * GOOGLEFINANCE(""CURRENCY:"" &amp; E2465 &amp; ""USD""))
"),1304837)</f>
        <v>1304837</v>
      </c>
    </row>
    <row r="2466" spans="1:7" ht="15.75" customHeight="1" x14ac:dyDescent="0.25">
      <c r="A2466" s="11" t="s">
        <v>24</v>
      </c>
      <c r="B2466" s="12">
        <v>80000000</v>
      </c>
      <c r="C2466" s="12">
        <v>34566746</v>
      </c>
      <c r="D2466" s="12">
        <v>2000</v>
      </c>
      <c r="E2466" s="12" t="str">
        <f>VLOOKUP(A2466, Currency!$A$2:$B$100, 2, FALSE)</f>
        <v>USD</v>
      </c>
      <c r="F2466" s="12">
        <f ca="1">IFERROR(__xludf.DUMMYFUNCTION("IF(E2466=""USD"",B2466,B2466 * GOOGLEFINANCE(""CURRENCY:"" &amp; E2466 &amp; ""USD""))
"),80000000)</f>
        <v>80000000</v>
      </c>
      <c r="G2466" s="13">
        <f ca="1">IFERROR(__xludf.DUMMYFUNCTION("IF(E2466=""USD"",C2466,C2466 * GOOGLEFINANCE(""CURRENCY:"" &amp; E2466 &amp; ""USD""))
"),34566746)</f>
        <v>34566746</v>
      </c>
    </row>
    <row r="2467" spans="1:7" ht="15.75" customHeight="1" x14ac:dyDescent="0.25">
      <c r="A2467" s="14" t="s">
        <v>24</v>
      </c>
      <c r="B2467" s="15">
        <v>13000000</v>
      </c>
      <c r="C2467" s="15">
        <v>57300000</v>
      </c>
      <c r="D2467" s="15">
        <v>1974</v>
      </c>
      <c r="E2467" s="15" t="str">
        <f>VLOOKUP(A2467, Currency!$A$2:$B$100, 2, FALSE)</f>
        <v>USD</v>
      </c>
      <c r="F2467" s="15">
        <f ca="1">IFERROR(__xludf.DUMMYFUNCTION("IF(E2467=""USD"",B2467,B2467 * GOOGLEFINANCE(""CURRENCY:"" &amp; E2467 &amp; ""USD""))
"),13000000)</f>
        <v>13000000</v>
      </c>
      <c r="G2467" s="16">
        <f ca="1">IFERROR(__xludf.DUMMYFUNCTION("IF(E2467=""USD"",C2467,C2467 * GOOGLEFINANCE(""CURRENCY:"" &amp; E2467 &amp; ""USD""))
"),57300000)</f>
        <v>57300000</v>
      </c>
    </row>
    <row r="2468" spans="1:7" ht="15.75" customHeight="1" x14ac:dyDescent="0.25">
      <c r="A2468" s="11" t="s">
        <v>7968</v>
      </c>
      <c r="B2468" s="12">
        <v>25000000</v>
      </c>
      <c r="C2468" s="12">
        <v>9910</v>
      </c>
      <c r="D2468" s="12">
        <v>2004</v>
      </c>
      <c r="E2468" s="12" t="str">
        <f>VLOOKUP(A2468, Currency!$A$2:$B$100, 2, FALSE)</f>
        <v>SEK</v>
      </c>
      <c r="F2468" s="12">
        <f ca="1">IFERROR(__xludf.DUMMYFUNCTION("IF(E2468=""USD"",B2468,B2468 * GOOGLEFINANCE(""CURRENCY:"" &amp; E2468 &amp; ""USD""))
"),2308225)</f>
        <v>2308225</v>
      </c>
      <c r="G2468" s="13">
        <f ca="1">IFERROR(__xludf.DUMMYFUNCTION("IF(E2468=""USD"",C2468,C2468 * GOOGLEFINANCE(""CURRENCY:"" &amp; E2468 &amp; ""USD""))
"),914.98039)</f>
        <v>914.98039000000006</v>
      </c>
    </row>
    <row r="2469" spans="1:7" ht="15.75" customHeight="1" x14ac:dyDescent="0.25">
      <c r="A2469" s="14" t="s">
        <v>24</v>
      </c>
      <c r="B2469" s="15">
        <v>22000000</v>
      </c>
      <c r="C2469" s="15">
        <v>19283782</v>
      </c>
      <c r="D2469" s="15">
        <v>1999</v>
      </c>
      <c r="E2469" s="15" t="str">
        <f>VLOOKUP(A2469, Currency!$A$2:$B$100, 2, FALSE)</f>
        <v>USD</v>
      </c>
      <c r="F2469" s="15">
        <f ca="1">IFERROR(__xludf.DUMMYFUNCTION("IF(E2469=""USD"",B2469,B2469 * GOOGLEFINANCE(""CURRENCY:"" &amp; E2469 &amp; ""USD""))
"),22000000)</f>
        <v>22000000</v>
      </c>
      <c r="G2469" s="16">
        <f ca="1">IFERROR(__xludf.DUMMYFUNCTION("IF(E2469=""USD"",C2469,C2469 * GOOGLEFINANCE(""CURRENCY:"" &amp; E2469 &amp; ""USD""))
"),19283782)</f>
        <v>19283782</v>
      </c>
    </row>
    <row r="2470" spans="1:7" ht="15.75" customHeight="1" x14ac:dyDescent="0.25">
      <c r="A2470" s="11" t="s">
        <v>627</v>
      </c>
      <c r="B2470" s="12">
        <v>1500000</v>
      </c>
      <c r="C2470" s="12">
        <v>3478</v>
      </c>
      <c r="D2470" s="12">
        <v>2008</v>
      </c>
      <c r="E2470" s="12" t="str">
        <f>VLOOKUP(A2470, Currency!$A$2:$B$100, 2, FALSE)</f>
        <v>CAD</v>
      </c>
      <c r="F2470" s="12">
        <f ca="1">IFERROR(__xludf.DUMMYFUNCTION("IF(E2470=""USD"",B2470,B2470 * GOOGLEFINANCE(""CURRENCY:"" &amp; E2470 &amp; ""USD""))
"),1085107.5)</f>
        <v>1085107.5</v>
      </c>
      <c r="G2470" s="13">
        <f ca="1">IFERROR(__xludf.DUMMYFUNCTION("IF(E2470=""USD"",C2470,C2470 * GOOGLEFINANCE(""CURRENCY:"" &amp; E2470 &amp; ""USD""))
"),2516.00259)</f>
        <v>2516.0025900000001</v>
      </c>
    </row>
    <row r="2471" spans="1:7" ht="15.75" customHeight="1" x14ac:dyDescent="0.25">
      <c r="A2471" s="14" t="s">
        <v>7917</v>
      </c>
      <c r="B2471" s="15">
        <v>20000000</v>
      </c>
      <c r="C2471" s="15">
        <v>7268659</v>
      </c>
      <c r="D2471" s="15">
        <v>2013</v>
      </c>
      <c r="E2471" s="15" t="str">
        <f>VLOOKUP(A2471, Currency!$A$2:$B$100, 2, FALSE)</f>
        <v>RUB</v>
      </c>
      <c r="F2471" s="15">
        <f ca="1">IFERROR(__xludf.DUMMYFUNCTION("IF(E2471=""USD"",B2471,B2471 * GOOGLEFINANCE(""CURRENCY:"" &amp; E2471 &amp; ""USD""))
"),235293.02)</f>
        <v>235293.02</v>
      </c>
      <c r="G2471" s="16">
        <f ca="1">IFERROR(__xludf.DUMMYFUNCTION("IF(E2471=""USD"",C2471,C2471 * GOOGLEFINANCE(""CURRENCY:"" &amp; E2471 &amp; ""USD""))
"),85513.236373009)</f>
        <v>85513.236373009</v>
      </c>
    </row>
    <row r="2472" spans="1:7" ht="15.75" customHeight="1" x14ac:dyDescent="0.25">
      <c r="A2472" s="11" t="s">
        <v>24</v>
      </c>
      <c r="B2472" s="12">
        <v>20000000</v>
      </c>
      <c r="C2472" s="12">
        <v>18843314</v>
      </c>
      <c r="D2472" s="12">
        <v>2006</v>
      </c>
      <c r="E2472" s="12" t="str">
        <f>VLOOKUP(A2472, Currency!$A$2:$B$100, 2, FALSE)</f>
        <v>USD</v>
      </c>
      <c r="F2472" s="12">
        <f ca="1">IFERROR(__xludf.DUMMYFUNCTION("IF(E2472=""USD"",B2472,B2472 * GOOGLEFINANCE(""CURRENCY:"" &amp; E2472 &amp; ""USD""))
"),20000000)</f>
        <v>20000000</v>
      </c>
      <c r="G2472" s="13">
        <f ca="1">IFERROR(__xludf.DUMMYFUNCTION("IF(E2472=""USD"",C2472,C2472 * GOOGLEFINANCE(""CURRENCY:"" &amp; E2472 &amp; ""USD""))
"),18843314)</f>
        <v>18843314</v>
      </c>
    </row>
    <row r="2473" spans="1:7" ht="15.75" customHeight="1" x14ac:dyDescent="0.25">
      <c r="A2473" s="14" t="s">
        <v>133</v>
      </c>
      <c r="B2473" s="15">
        <v>27500000</v>
      </c>
      <c r="C2473" s="15">
        <v>67900000</v>
      </c>
      <c r="D2473" s="15">
        <v>1983</v>
      </c>
      <c r="E2473" s="15" t="str">
        <f>VLOOKUP(A2473, Currency!$A$2:$B$100, 2, FALSE)</f>
        <v>GBP</v>
      </c>
      <c r="F2473" s="15">
        <f ca="1">IFERROR(__xludf.DUMMYFUNCTION("IF(E2473=""USD"",B2473,B2473 * GOOGLEFINANCE(""CURRENCY:"" &amp; E2473 &amp; ""USD""))
"),35348500)</f>
        <v>35348500</v>
      </c>
      <c r="G2473" s="16">
        <f ca="1">IFERROR(__xludf.DUMMYFUNCTION("IF(E2473=""USD"",C2473,C2473 * GOOGLEFINANCE(""CURRENCY:"" &amp; E2473 &amp; ""USD""))
"),87278659.9999999)</f>
        <v>87278659.999999896</v>
      </c>
    </row>
    <row r="2474" spans="1:7" ht="15.75" customHeight="1" x14ac:dyDescent="0.25">
      <c r="A2474" s="11" t="s">
        <v>24</v>
      </c>
      <c r="B2474" s="12">
        <v>170000000</v>
      </c>
      <c r="C2474" s="12">
        <v>259746958</v>
      </c>
      <c r="D2474" s="12">
        <v>2014</v>
      </c>
      <c r="E2474" s="12" t="str">
        <f>VLOOKUP(A2474, Currency!$A$2:$B$100, 2, FALSE)</f>
        <v>USD</v>
      </c>
      <c r="F2474" s="12">
        <f ca="1">IFERROR(__xludf.DUMMYFUNCTION("IF(E2474=""USD"",B2474,B2474 * GOOGLEFINANCE(""CURRENCY:"" &amp; E2474 &amp; ""USD""))
"),170000000)</f>
        <v>170000000</v>
      </c>
      <c r="G2474" s="13">
        <f ca="1">IFERROR(__xludf.DUMMYFUNCTION("IF(E2474=""USD"",C2474,C2474 * GOOGLEFINANCE(""CURRENCY:"" &amp; E2474 &amp; ""USD""))
"),259746958)</f>
        <v>259746958</v>
      </c>
    </row>
    <row r="2475" spans="1:7" ht="15.75" customHeight="1" x14ac:dyDescent="0.25">
      <c r="A2475" s="14" t="s">
        <v>24</v>
      </c>
      <c r="B2475" s="15">
        <v>1500000</v>
      </c>
      <c r="C2475" s="15">
        <v>17580</v>
      </c>
      <c r="D2475" s="15">
        <v>2009</v>
      </c>
      <c r="E2475" s="15" t="str">
        <f>VLOOKUP(A2475, Currency!$A$2:$B$100, 2, FALSE)</f>
        <v>USD</v>
      </c>
      <c r="F2475" s="15">
        <f ca="1">IFERROR(__xludf.DUMMYFUNCTION("IF(E2475=""USD"",B2475,B2475 * GOOGLEFINANCE(""CURRENCY:"" &amp; E2475 &amp; ""USD""))
"),1500000)</f>
        <v>1500000</v>
      </c>
      <c r="G2475" s="16">
        <f ca="1">IFERROR(__xludf.DUMMYFUNCTION("IF(E2475=""USD"",C2475,C2475 * GOOGLEFINANCE(""CURRENCY:"" &amp; E2475 &amp; ""USD""))
"),17580)</f>
        <v>17580</v>
      </c>
    </row>
    <row r="2476" spans="1:7" ht="15.75" customHeight="1" x14ac:dyDescent="0.25">
      <c r="A2476" s="11" t="s">
        <v>24</v>
      </c>
      <c r="B2476" s="12">
        <v>8000000</v>
      </c>
      <c r="C2476" s="12">
        <v>90800000</v>
      </c>
      <c r="D2476" s="12">
        <v>1984</v>
      </c>
      <c r="E2476" s="12" t="str">
        <f>VLOOKUP(A2476, Currency!$A$2:$B$100, 2, FALSE)</f>
        <v>USD</v>
      </c>
      <c r="F2476" s="12">
        <f ca="1">IFERROR(__xludf.DUMMYFUNCTION("IF(E2476=""USD"",B2476,B2476 * GOOGLEFINANCE(""CURRENCY:"" &amp; E2476 &amp; ""USD""))
"),8000000)</f>
        <v>8000000</v>
      </c>
      <c r="G2476" s="13">
        <f ca="1">IFERROR(__xludf.DUMMYFUNCTION("IF(E2476=""USD"",C2476,C2476 * GOOGLEFINANCE(""CURRENCY:"" &amp; E2476 &amp; ""USD""))
"),90800000)</f>
        <v>90800000</v>
      </c>
    </row>
    <row r="2477" spans="1:7" ht="15.75" customHeight="1" x14ac:dyDescent="0.25">
      <c r="A2477" s="14" t="s">
        <v>24</v>
      </c>
      <c r="B2477" s="15">
        <v>40000</v>
      </c>
      <c r="C2477" s="15">
        <v>110536</v>
      </c>
      <c r="D2477" s="15">
        <v>2001</v>
      </c>
      <c r="E2477" s="15" t="str">
        <f>VLOOKUP(A2477, Currency!$A$2:$B$100, 2, FALSE)</f>
        <v>USD</v>
      </c>
      <c r="F2477" s="15">
        <f ca="1">IFERROR(__xludf.DUMMYFUNCTION("IF(E2477=""USD"",B2477,B2477 * GOOGLEFINANCE(""CURRENCY:"" &amp; E2477 &amp; ""USD""))
"),40000)</f>
        <v>40000</v>
      </c>
      <c r="G2477" s="16">
        <f ca="1">IFERROR(__xludf.DUMMYFUNCTION("IF(E2477=""USD"",C2477,C2477 * GOOGLEFINANCE(""CURRENCY:"" &amp; E2477 &amp; ""USD""))
"),110536)</f>
        <v>110536</v>
      </c>
    </row>
    <row r="2478" spans="1:7" ht="15.75" customHeight="1" x14ac:dyDescent="0.25">
      <c r="A2478" s="11" t="s">
        <v>24</v>
      </c>
      <c r="B2478" s="12">
        <v>60000000</v>
      </c>
      <c r="C2478" s="12">
        <v>66734992</v>
      </c>
      <c r="D2478" s="12">
        <v>2003</v>
      </c>
      <c r="E2478" s="12" t="str">
        <f>VLOOKUP(A2478, Currency!$A$2:$B$100, 2, FALSE)</f>
        <v>USD</v>
      </c>
      <c r="F2478" s="12">
        <f ca="1">IFERROR(__xludf.DUMMYFUNCTION("IF(E2478=""USD"",B2478,B2478 * GOOGLEFINANCE(""CURRENCY:"" &amp; E2478 &amp; ""USD""))
"),60000000)</f>
        <v>60000000</v>
      </c>
      <c r="G2478" s="13">
        <f ca="1">IFERROR(__xludf.DUMMYFUNCTION("IF(E2478=""USD"",C2478,C2478 * GOOGLEFINANCE(""CURRENCY:"" &amp; E2478 &amp; ""USD""))
"),66734992)</f>
        <v>66734992</v>
      </c>
    </row>
    <row r="2479" spans="1:7" ht="15.75" customHeight="1" x14ac:dyDescent="0.25">
      <c r="A2479" s="14" t="s">
        <v>24</v>
      </c>
      <c r="B2479" s="15">
        <v>6000000</v>
      </c>
      <c r="C2479" s="15">
        <v>26236603</v>
      </c>
      <c r="D2479" s="15">
        <v>2008</v>
      </c>
      <c r="E2479" s="15" t="str">
        <f>VLOOKUP(A2479, Currency!$A$2:$B$100, 2, FALSE)</f>
        <v>USD</v>
      </c>
      <c r="F2479" s="15">
        <f ca="1">IFERROR(__xludf.DUMMYFUNCTION("IF(E2479=""USD"",B2479,B2479 * GOOGLEFINANCE(""CURRENCY:"" &amp; E2479 &amp; ""USD""))
"),6000000)</f>
        <v>6000000</v>
      </c>
      <c r="G2479" s="16">
        <f ca="1">IFERROR(__xludf.DUMMYFUNCTION("IF(E2479=""USD"",C2479,C2479 * GOOGLEFINANCE(""CURRENCY:"" &amp; E2479 &amp; ""USD""))
"),26236603)</f>
        <v>26236603</v>
      </c>
    </row>
    <row r="2480" spans="1:7" ht="15.75" customHeight="1" x14ac:dyDescent="0.25">
      <c r="A2480" s="11" t="s">
        <v>24</v>
      </c>
      <c r="B2480" s="12">
        <v>45000000</v>
      </c>
      <c r="C2480" s="12">
        <v>93452056</v>
      </c>
      <c r="D2480" s="12">
        <v>2007</v>
      </c>
      <c r="E2480" s="12" t="str">
        <f>VLOOKUP(A2480, Currency!$A$2:$B$100, 2, FALSE)</f>
        <v>USD</v>
      </c>
      <c r="F2480" s="12">
        <f ca="1">IFERROR(__xludf.DUMMYFUNCTION("IF(E2480=""USD"",B2480,B2480 * GOOGLEFINANCE(""CURRENCY:"" &amp; E2480 &amp; ""USD""))
"),45000000)</f>
        <v>45000000</v>
      </c>
      <c r="G2480" s="13">
        <f ca="1">IFERROR(__xludf.DUMMYFUNCTION("IF(E2480=""USD"",C2480,C2480 * GOOGLEFINANCE(""CURRENCY:"" &amp; E2480 &amp; ""USD""))
"),93452056)</f>
        <v>93452056</v>
      </c>
    </row>
    <row r="2481" spans="1:7" ht="15.75" customHeight="1" x14ac:dyDescent="0.25">
      <c r="A2481" s="14" t="s">
        <v>24</v>
      </c>
      <c r="B2481" s="15">
        <v>250000</v>
      </c>
      <c r="C2481" s="15">
        <v>12006514</v>
      </c>
      <c r="D2481" s="15">
        <v>1997</v>
      </c>
      <c r="E2481" s="15" t="str">
        <f>VLOOKUP(A2481, Currency!$A$2:$B$100, 2, FALSE)</f>
        <v>USD</v>
      </c>
      <c r="F2481" s="15">
        <f ca="1">IFERROR(__xludf.DUMMYFUNCTION("IF(E2481=""USD"",B2481,B2481 * GOOGLEFINANCE(""CURRENCY:"" &amp; E2481 &amp; ""USD""))
"),250000)</f>
        <v>250000</v>
      </c>
      <c r="G2481" s="16">
        <f ca="1">IFERROR(__xludf.DUMMYFUNCTION("IF(E2481=""USD"",C2481,C2481 * GOOGLEFINANCE(""CURRENCY:"" &amp; E2481 &amp; ""USD""))
"),12006514)</f>
        <v>12006514</v>
      </c>
    </row>
    <row r="2482" spans="1:7" ht="15.75" customHeight="1" x14ac:dyDescent="0.25">
      <c r="A2482" s="11" t="s">
        <v>24</v>
      </c>
      <c r="B2482" s="12">
        <v>15000000</v>
      </c>
      <c r="C2482" s="12">
        <v>13005485</v>
      </c>
      <c r="D2482" s="12">
        <v>2003</v>
      </c>
      <c r="E2482" s="12" t="str">
        <f>VLOOKUP(A2482, Currency!$A$2:$B$100, 2, FALSE)</f>
        <v>USD</v>
      </c>
      <c r="F2482" s="12">
        <f ca="1">IFERROR(__xludf.DUMMYFUNCTION("IF(E2482=""USD"",B2482,B2482 * GOOGLEFINANCE(""CURRENCY:"" &amp; E2482 &amp; ""USD""))
"),15000000)</f>
        <v>15000000</v>
      </c>
      <c r="G2482" s="13">
        <f ca="1">IFERROR(__xludf.DUMMYFUNCTION("IF(E2482=""USD"",C2482,C2482 * GOOGLEFINANCE(""CURRENCY:"" &amp; E2482 &amp; ""USD""))
"),13005485)</f>
        <v>13005485</v>
      </c>
    </row>
    <row r="2483" spans="1:7" ht="15.75" customHeight="1" x14ac:dyDescent="0.25">
      <c r="A2483" s="14" t="s">
        <v>24</v>
      </c>
      <c r="B2483" s="15">
        <v>170000000</v>
      </c>
      <c r="C2483" s="15">
        <v>208543795</v>
      </c>
      <c r="D2483" s="15">
        <v>2014</v>
      </c>
      <c r="E2483" s="15" t="str">
        <f>VLOOKUP(A2483, Currency!$A$2:$B$100, 2, FALSE)</f>
        <v>USD</v>
      </c>
      <c r="F2483" s="15">
        <f ca="1">IFERROR(__xludf.DUMMYFUNCTION("IF(E2483=""USD"",B2483,B2483 * GOOGLEFINANCE(""CURRENCY:"" &amp; E2483 &amp; ""USD""))
"),170000000)</f>
        <v>170000000</v>
      </c>
      <c r="G2483" s="16">
        <f ca="1">IFERROR(__xludf.DUMMYFUNCTION("IF(E2483=""USD"",C2483,C2483 * GOOGLEFINANCE(""CURRENCY:"" &amp; E2483 &amp; ""USD""))
"),208543795)</f>
        <v>208543795</v>
      </c>
    </row>
    <row r="2484" spans="1:7" ht="15.75" customHeight="1" x14ac:dyDescent="0.25">
      <c r="A2484" s="11" t="s">
        <v>220</v>
      </c>
      <c r="B2484" s="12">
        <v>60000000</v>
      </c>
      <c r="C2484" s="12">
        <v>668171</v>
      </c>
      <c r="D2484" s="12">
        <v>2005</v>
      </c>
      <c r="E2484" s="12" t="str">
        <f>VLOOKUP(A2484, Currency!$A$2:$B$100, 2, FALSE)</f>
        <v>CNY</v>
      </c>
      <c r="F2484" s="12">
        <f ca="1">IFERROR(__xludf.DUMMYFUNCTION("IF(E2484=""USD"",B2484,B2484 * GOOGLEFINANCE(""CURRENCY:"" &amp; E2484 &amp; ""USD""))
"),8297033.99999999)</f>
        <v>8297033.9999999898</v>
      </c>
      <c r="G2484" s="13">
        <f ca="1">IFERROR(__xludf.DUMMYFUNCTION("IF(E2484=""USD"",C2484,C2484 * GOOGLEFINANCE(""CURRENCY:"" &amp; E2484 &amp; ""USD""))
"),92397.2917469)</f>
        <v>92397.291746899995</v>
      </c>
    </row>
    <row r="2485" spans="1:7" ht="15.75" customHeight="1" x14ac:dyDescent="0.25">
      <c r="A2485" s="14" t="s">
        <v>133</v>
      </c>
      <c r="B2485" s="15">
        <v>200000000</v>
      </c>
      <c r="C2485" s="15">
        <v>304360277</v>
      </c>
      <c r="D2485" s="15">
        <v>2012</v>
      </c>
      <c r="E2485" s="15" t="str">
        <f>VLOOKUP(A2485, Currency!$A$2:$B$100, 2, FALSE)</f>
        <v>GBP</v>
      </c>
      <c r="F2485" s="15">
        <f ca="1">IFERROR(__xludf.DUMMYFUNCTION("IF(E2485=""USD"",B2485,B2485 * GOOGLEFINANCE(""CURRENCY:"" &amp; E2485 &amp; ""USD""))
"),257079999.999999)</f>
        <v>257079999.99999899</v>
      </c>
      <c r="G2485" s="16">
        <f ca="1">IFERROR(__xludf.DUMMYFUNCTION("IF(E2485=""USD"",C2485,C2485 * GOOGLEFINANCE(""CURRENCY:"" &amp; E2485 &amp; ""USD""))
"),391224700.055799)</f>
        <v>391224700.05579901</v>
      </c>
    </row>
    <row r="2486" spans="1:7" ht="15.75" customHeight="1" x14ac:dyDescent="0.25">
      <c r="A2486" s="11" t="s">
        <v>24</v>
      </c>
      <c r="B2486" s="12">
        <v>75000000</v>
      </c>
      <c r="C2486" s="12">
        <v>39251128</v>
      </c>
      <c r="D2486" s="12">
        <v>1999</v>
      </c>
      <c r="E2486" s="12" t="str">
        <f>VLOOKUP(A2486, Currency!$A$2:$B$100, 2, FALSE)</f>
        <v>USD</v>
      </c>
      <c r="F2486" s="12">
        <f ca="1">IFERROR(__xludf.DUMMYFUNCTION("IF(E2486=""USD"",B2486,B2486 * GOOGLEFINANCE(""CURRENCY:"" &amp; E2486 &amp; ""USD""))
"),75000000)</f>
        <v>75000000</v>
      </c>
      <c r="G2486" s="13">
        <f ca="1">IFERROR(__xludf.DUMMYFUNCTION("IF(E2486=""USD"",C2486,C2486 * GOOGLEFINANCE(""CURRENCY:"" &amp; E2486 &amp; ""USD""))
"),39251128)</f>
        <v>39251128</v>
      </c>
    </row>
    <row r="2487" spans="1:7" ht="15.75" customHeight="1" x14ac:dyDescent="0.25">
      <c r="A2487" s="14" t="s">
        <v>24</v>
      </c>
      <c r="B2487" s="15">
        <v>170000000</v>
      </c>
      <c r="C2487" s="15">
        <v>73820094</v>
      </c>
      <c r="D2487" s="15">
        <v>2011</v>
      </c>
      <c r="E2487" s="15" t="str">
        <f>VLOOKUP(A2487, Currency!$A$2:$B$100, 2, FALSE)</f>
        <v>USD</v>
      </c>
      <c r="F2487" s="15">
        <f ca="1">IFERROR(__xludf.DUMMYFUNCTION("IF(E2487=""USD"",B2487,B2487 * GOOGLEFINANCE(""CURRENCY:"" &amp; E2487 &amp; ""USD""))
"),170000000)</f>
        <v>170000000</v>
      </c>
      <c r="G2487" s="16">
        <f ca="1">IFERROR(__xludf.DUMMYFUNCTION("IF(E2487=""USD"",C2487,C2487 * GOOGLEFINANCE(""CURRENCY:"" &amp; E2487 &amp; ""USD""))
"),73820094)</f>
        <v>73820094</v>
      </c>
    </row>
    <row r="2488" spans="1:7" ht="15.75" customHeight="1" x14ac:dyDescent="0.25">
      <c r="A2488" s="11" t="s">
        <v>611</v>
      </c>
      <c r="B2488" s="12">
        <v>48000000</v>
      </c>
      <c r="C2488" s="12">
        <v>89253340</v>
      </c>
      <c r="D2488" s="12">
        <v>2014</v>
      </c>
      <c r="E2488" s="12" t="str">
        <f>VLOOKUP(A2488, Currency!$A$2:$B$100, 2, FALSE)</f>
        <v>EUR</v>
      </c>
      <c r="F2488" s="12">
        <f ca="1">IFERROR(__xludf.DUMMYFUNCTION("IF(E2488=""USD"",B2488,B2488 * GOOGLEFINANCE(""CURRENCY:"" &amp; E2488 &amp; ""USD""))
"),52067520)</f>
        <v>52067520</v>
      </c>
      <c r="G2488" s="13">
        <f ca="1">IFERROR(__xludf.DUMMYFUNCTION("IF(E2488=""USD"",C2488,C2488 * GOOGLEFINANCE(""CURRENCY:"" &amp; E2488 &amp; ""USD""))
"),96816668.0316)</f>
        <v>96816668.031599998</v>
      </c>
    </row>
    <row r="2489" spans="1:7" ht="15.75" customHeight="1" x14ac:dyDescent="0.25">
      <c r="A2489" s="14" t="s">
        <v>24</v>
      </c>
      <c r="B2489" s="15">
        <v>3200000</v>
      </c>
      <c r="C2489" s="15">
        <v>5776314</v>
      </c>
      <c r="D2489" s="15">
        <v>2010</v>
      </c>
      <c r="E2489" s="15" t="str">
        <f>VLOOKUP(A2489, Currency!$A$2:$B$100, 2, FALSE)</f>
        <v>USD</v>
      </c>
      <c r="F2489" s="15">
        <f ca="1">IFERROR(__xludf.DUMMYFUNCTION("IF(E2489=""USD"",B2489,B2489 * GOOGLEFINANCE(""CURRENCY:"" &amp; E2489 &amp; ""USD""))
"),3200000)</f>
        <v>3200000</v>
      </c>
      <c r="G2489" s="16">
        <f ca="1">IFERROR(__xludf.DUMMYFUNCTION("IF(E2489=""USD"",C2489,C2489 * GOOGLEFINANCE(""CURRENCY:"" &amp; E2489 &amp; ""USD""))
"),5776314)</f>
        <v>5776314</v>
      </c>
    </row>
    <row r="2490" spans="1:7" ht="15.75" customHeight="1" x14ac:dyDescent="0.25">
      <c r="A2490" s="11" t="s">
        <v>24</v>
      </c>
      <c r="B2490" s="12">
        <v>60000000</v>
      </c>
      <c r="C2490" s="12">
        <v>19445217</v>
      </c>
      <c r="D2490" s="12">
        <v>2013</v>
      </c>
      <c r="E2490" s="12" t="str">
        <f>VLOOKUP(A2490, Currency!$A$2:$B$100, 2, FALSE)</f>
        <v>USD</v>
      </c>
      <c r="F2490" s="12">
        <f ca="1">IFERROR(__xludf.DUMMYFUNCTION("IF(E2490=""USD"",B2490,B2490 * GOOGLEFINANCE(""CURRENCY:"" &amp; E2490 &amp; ""USD""))
"),60000000)</f>
        <v>60000000</v>
      </c>
      <c r="G2490" s="13">
        <f ca="1">IFERROR(__xludf.DUMMYFUNCTION("IF(E2490=""USD"",C2490,C2490 * GOOGLEFINANCE(""CURRENCY:"" &amp; E2490 &amp; ""USD""))
"),19445217)</f>
        <v>19445217</v>
      </c>
    </row>
    <row r="2491" spans="1:7" ht="15.75" customHeight="1" x14ac:dyDescent="0.25">
      <c r="A2491" s="14" t="s">
        <v>24</v>
      </c>
      <c r="B2491" s="15">
        <v>15000000</v>
      </c>
      <c r="C2491" s="15">
        <v>33771174</v>
      </c>
      <c r="D2491" s="15">
        <v>2000</v>
      </c>
      <c r="E2491" s="15" t="str">
        <f>VLOOKUP(A2491, Currency!$A$2:$B$100, 2, FALSE)</f>
        <v>USD</v>
      </c>
      <c r="F2491" s="15">
        <f ca="1">IFERROR(__xludf.DUMMYFUNCTION("IF(E2491=""USD"",B2491,B2491 * GOOGLEFINANCE(""CURRENCY:"" &amp; E2491 &amp; ""USD""))
"),15000000)</f>
        <v>15000000</v>
      </c>
      <c r="G2491" s="16">
        <f ca="1">IFERROR(__xludf.DUMMYFUNCTION("IF(E2491=""USD"",C2491,C2491 * GOOGLEFINANCE(""CURRENCY:"" &amp; E2491 &amp; ""USD""))
"),33771174)</f>
        <v>33771174</v>
      </c>
    </row>
    <row r="2492" spans="1:7" ht="15.75" customHeight="1" x14ac:dyDescent="0.25">
      <c r="A2492" s="11" t="s">
        <v>24</v>
      </c>
      <c r="B2492" s="12">
        <v>8600000</v>
      </c>
      <c r="C2492" s="12">
        <v>14373825</v>
      </c>
      <c r="D2492" s="12">
        <v>2007</v>
      </c>
      <c r="E2492" s="12" t="str">
        <f>VLOOKUP(A2492, Currency!$A$2:$B$100, 2, FALSE)</f>
        <v>USD</v>
      </c>
      <c r="F2492" s="12">
        <f ca="1">IFERROR(__xludf.DUMMYFUNCTION("IF(E2492=""USD"",B2492,B2492 * GOOGLEFINANCE(""CURRENCY:"" &amp; E2492 &amp; ""USD""))
"),8600000)</f>
        <v>8600000</v>
      </c>
      <c r="G2492" s="13">
        <f ca="1">IFERROR(__xludf.DUMMYFUNCTION("IF(E2492=""USD"",C2492,C2492 * GOOGLEFINANCE(""CURRENCY:"" &amp; E2492 &amp; ""USD""))
"),14373825)</f>
        <v>14373825</v>
      </c>
    </row>
    <row r="2493" spans="1:7" ht="15.75" customHeight="1" x14ac:dyDescent="0.25">
      <c r="A2493" s="14" t="s">
        <v>24</v>
      </c>
      <c r="B2493" s="15">
        <v>60000000</v>
      </c>
      <c r="C2493" s="15">
        <v>31494270</v>
      </c>
      <c r="D2493" s="15">
        <v>2010</v>
      </c>
      <c r="E2493" s="15" t="str">
        <f>VLOOKUP(A2493, Currency!$A$2:$B$100, 2, FALSE)</f>
        <v>USD</v>
      </c>
      <c r="F2493" s="15">
        <f ca="1">IFERROR(__xludf.DUMMYFUNCTION("IF(E2493=""USD"",B2493,B2493 * GOOGLEFINANCE(""CURRENCY:"" &amp; E2493 &amp; ""USD""))
"),60000000)</f>
        <v>60000000</v>
      </c>
      <c r="G2493" s="16">
        <f ca="1">IFERROR(__xludf.DUMMYFUNCTION("IF(E2493=""USD"",C2493,C2493 * GOOGLEFINANCE(""CURRENCY:"" &amp; E2493 &amp; ""USD""))
"),31494270)</f>
        <v>31494270</v>
      </c>
    </row>
    <row r="2494" spans="1:7" ht="15.75" customHeight="1" x14ac:dyDescent="0.25">
      <c r="A2494" s="11" t="s">
        <v>24</v>
      </c>
      <c r="B2494" s="12">
        <v>30000000</v>
      </c>
      <c r="C2494" s="12">
        <v>49185998</v>
      </c>
      <c r="D2494" s="12">
        <v>2009</v>
      </c>
      <c r="E2494" s="12" t="str">
        <f>VLOOKUP(A2494, Currency!$A$2:$B$100, 2, FALSE)</f>
        <v>USD</v>
      </c>
      <c r="F2494" s="12">
        <f ca="1">IFERROR(__xludf.DUMMYFUNCTION("IF(E2494=""USD"",B2494,B2494 * GOOGLEFINANCE(""CURRENCY:"" &amp; E2494 &amp; ""USD""))
"),30000000)</f>
        <v>30000000</v>
      </c>
      <c r="G2494" s="13">
        <f ca="1">IFERROR(__xludf.DUMMYFUNCTION("IF(E2494=""USD"",C2494,C2494 * GOOGLEFINANCE(""CURRENCY:"" &amp; E2494 &amp; ""USD""))
"),49185998)</f>
        <v>49185998</v>
      </c>
    </row>
    <row r="2495" spans="1:7" ht="15.75" customHeight="1" x14ac:dyDescent="0.25">
      <c r="A2495" s="14" t="s">
        <v>24</v>
      </c>
      <c r="B2495" s="15">
        <v>75000000</v>
      </c>
      <c r="C2495" s="15">
        <v>118823091</v>
      </c>
      <c r="D2495" s="15">
        <v>2007</v>
      </c>
      <c r="E2495" s="15" t="str">
        <f>VLOOKUP(A2495, Currency!$A$2:$B$100, 2, FALSE)</f>
        <v>USD</v>
      </c>
      <c r="F2495" s="15">
        <f ca="1">IFERROR(__xludf.DUMMYFUNCTION("IF(E2495=""USD"",B2495,B2495 * GOOGLEFINANCE(""CURRENCY:"" &amp; E2495 &amp; ""USD""))
"),75000000)</f>
        <v>75000000</v>
      </c>
      <c r="G2495" s="16">
        <f ca="1">IFERROR(__xludf.DUMMYFUNCTION("IF(E2495=""USD"",C2495,C2495 * GOOGLEFINANCE(""CURRENCY:"" &amp; E2495 &amp; ""USD""))
"),118823091)</f>
        <v>118823091</v>
      </c>
    </row>
    <row r="2496" spans="1:7" ht="15.75" customHeight="1" x14ac:dyDescent="0.25">
      <c r="A2496" s="11" t="s">
        <v>8048</v>
      </c>
      <c r="B2496" s="12">
        <v>20000000</v>
      </c>
      <c r="C2496" s="12">
        <v>17149</v>
      </c>
      <c r="D2496" s="12">
        <v>2011</v>
      </c>
      <c r="E2496" s="12" t="str">
        <f>VLOOKUP(A2496, Currency!$A$2:$B$100, 2, FALSE)</f>
        <v>GEL</v>
      </c>
      <c r="F2496" s="12">
        <f ca="1">IFERROR(__xludf.DUMMYFUNCTION("IF(E2496=""USD"",B2496,B2496 * GOOGLEFINANCE(""CURRENCY:"" &amp; E2496 &amp; ""USD""))
"),7380977.99999999)</f>
        <v>7380977.9999999898</v>
      </c>
      <c r="G2496" s="13">
        <f ca="1">IFERROR(__xludf.DUMMYFUNCTION("IF(E2496=""USD"",C2496,C2496 * GOOGLEFINANCE(""CURRENCY:"" &amp; E2496 &amp; ""USD""))
"),6328.81958609999)</f>
        <v>6328.8195860999904</v>
      </c>
    </row>
    <row r="2497" spans="1:7" ht="15.75" customHeight="1" x14ac:dyDescent="0.25">
      <c r="A2497" s="14" t="s">
        <v>24</v>
      </c>
      <c r="B2497" s="15">
        <v>35000000</v>
      </c>
      <c r="C2497" s="15">
        <v>11405825</v>
      </c>
      <c r="D2497" s="15">
        <v>2001</v>
      </c>
      <c r="E2497" s="15" t="str">
        <f>VLOOKUP(A2497, Currency!$A$2:$B$100, 2, FALSE)</f>
        <v>USD</v>
      </c>
      <c r="F2497" s="15">
        <f ca="1">IFERROR(__xludf.DUMMYFUNCTION("IF(E2497=""USD"",B2497,B2497 * GOOGLEFINANCE(""CURRENCY:"" &amp; E2497 &amp; ""USD""))
"),35000000)</f>
        <v>35000000</v>
      </c>
      <c r="G2497" s="16">
        <f ca="1">IFERROR(__xludf.DUMMYFUNCTION("IF(E2497=""USD"",C2497,C2497 * GOOGLEFINANCE(""CURRENCY:"" &amp; E2497 &amp; ""USD""))
"),11405825)</f>
        <v>11405825</v>
      </c>
    </row>
    <row r="2498" spans="1:7" ht="15.75" customHeight="1" x14ac:dyDescent="0.25">
      <c r="A2498" s="11" t="s">
        <v>24</v>
      </c>
      <c r="B2498" s="12">
        <v>32000000</v>
      </c>
      <c r="C2498" s="12">
        <v>36733909</v>
      </c>
      <c r="D2498" s="12">
        <v>1993</v>
      </c>
      <c r="E2498" s="12" t="str">
        <f>VLOOKUP(A2498, Currency!$A$2:$B$100, 2, FALSE)</f>
        <v>USD</v>
      </c>
      <c r="F2498" s="12">
        <f ca="1">IFERROR(__xludf.DUMMYFUNCTION("IF(E2498=""USD"",B2498,B2498 * GOOGLEFINANCE(""CURRENCY:"" &amp; E2498 &amp; ""USD""))
"),32000000)</f>
        <v>32000000</v>
      </c>
      <c r="G2498" s="13">
        <f ca="1">IFERROR(__xludf.DUMMYFUNCTION("IF(E2498=""USD"",C2498,C2498 * GOOGLEFINANCE(""CURRENCY:"" &amp; E2498 &amp; ""USD""))
"),36733909)</f>
        <v>36733909</v>
      </c>
    </row>
    <row r="2499" spans="1:7" ht="15.75" customHeight="1" x14ac:dyDescent="0.25">
      <c r="A2499" s="14" t="s">
        <v>24</v>
      </c>
      <c r="B2499" s="15">
        <v>100000000</v>
      </c>
      <c r="C2499" s="15">
        <v>81557479</v>
      </c>
      <c r="D2499" s="15">
        <v>2010</v>
      </c>
      <c r="E2499" s="15" t="str">
        <f>VLOOKUP(A2499, Currency!$A$2:$B$100, 2, FALSE)</f>
        <v>USD</v>
      </c>
      <c r="F2499" s="15">
        <f ca="1">IFERROR(__xludf.DUMMYFUNCTION("IF(E2499=""USD"",B2499,B2499 * GOOGLEFINANCE(""CURRENCY:"" &amp; E2499 &amp; ""USD""))
"),100000000)</f>
        <v>100000000</v>
      </c>
      <c r="G2499" s="16">
        <f ca="1">IFERROR(__xludf.DUMMYFUNCTION("IF(E2499=""USD"",C2499,C2499 * GOOGLEFINANCE(""CURRENCY:"" &amp; E2499 &amp; ""USD""))
"),81557479)</f>
        <v>81557479</v>
      </c>
    </row>
    <row r="2500" spans="1:7" ht="15.75" customHeight="1" x14ac:dyDescent="0.25">
      <c r="A2500" s="11" t="s">
        <v>24</v>
      </c>
      <c r="B2500" s="12">
        <v>1900000</v>
      </c>
      <c r="C2500" s="12">
        <v>4600000</v>
      </c>
      <c r="D2500" s="12">
        <v>1986</v>
      </c>
      <c r="E2500" s="12" t="str">
        <f>VLOOKUP(A2500, Currency!$A$2:$B$100, 2, FALSE)</f>
        <v>USD</v>
      </c>
      <c r="F2500" s="12">
        <f ca="1">IFERROR(__xludf.DUMMYFUNCTION("IF(E2500=""USD"",B2500,B2500 * GOOGLEFINANCE(""CURRENCY:"" &amp; E2500 &amp; ""USD""))
"),1900000)</f>
        <v>1900000</v>
      </c>
      <c r="G2500" s="13">
        <f ca="1">IFERROR(__xludf.DUMMYFUNCTION("IF(E2500=""USD"",C2500,C2500 * GOOGLEFINANCE(""CURRENCY:"" &amp; E2500 &amp; ""USD""))
"),4600000)</f>
        <v>4600000</v>
      </c>
    </row>
    <row r="2501" spans="1:7" ht="15.75" customHeight="1" x14ac:dyDescent="0.25">
      <c r="A2501" s="14" t="s">
        <v>24</v>
      </c>
      <c r="B2501" s="15">
        <v>70000000</v>
      </c>
      <c r="C2501" s="15">
        <v>177575142</v>
      </c>
      <c r="D2501" s="15">
        <v>2005</v>
      </c>
      <c r="E2501" s="15" t="str">
        <f>VLOOKUP(A2501, Currency!$A$2:$B$100, 2, FALSE)</f>
        <v>USD</v>
      </c>
      <c r="F2501" s="15">
        <f ca="1">IFERROR(__xludf.DUMMYFUNCTION("IF(E2501=""USD"",B2501,B2501 * GOOGLEFINANCE(""CURRENCY:"" &amp; E2501 &amp; ""USD""))
"),70000000)</f>
        <v>70000000</v>
      </c>
      <c r="G2501" s="16">
        <f ca="1">IFERROR(__xludf.DUMMYFUNCTION("IF(E2501=""USD"",C2501,C2501 * GOOGLEFINANCE(""CURRENCY:"" &amp; E2501 &amp; ""USD""))
"),177575142)</f>
        <v>177575142</v>
      </c>
    </row>
    <row r="2502" spans="1:7" ht="15.75" customHeight="1" x14ac:dyDescent="0.25">
      <c r="A2502" s="11" t="s">
        <v>24</v>
      </c>
      <c r="B2502" s="12">
        <v>20000000</v>
      </c>
      <c r="C2502" s="12">
        <v>75597042</v>
      </c>
      <c r="D2502" s="12">
        <v>2002</v>
      </c>
      <c r="E2502" s="12" t="str">
        <f>VLOOKUP(A2502, Currency!$A$2:$B$100, 2, FALSE)</f>
        <v>USD</v>
      </c>
      <c r="F2502" s="12">
        <f ca="1">IFERROR(__xludf.DUMMYFUNCTION("IF(E2502=""USD"",B2502,B2502 * GOOGLEFINANCE(""CURRENCY:"" &amp; E2502 &amp; ""USD""))
"),20000000)</f>
        <v>20000000</v>
      </c>
      <c r="G2502" s="13">
        <f ca="1">IFERROR(__xludf.DUMMYFUNCTION("IF(E2502=""USD"",C2502,C2502 * GOOGLEFINANCE(""CURRENCY:"" &amp; E2502 &amp; ""USD""))
"),75597042)</f>
        <v>75597042</v>
      </c>
    </row>
    <row r="2503" spans="1:7" ht="15.75" customHeight="1" x14ac:dyDescent="0.25">
      <c r="A2503" s="14" t="s">
        <v>24</v>
      </c>
      <c r="B2503" s="15">
        <v>500000</v>
      </c>
      <c r="C2503" s="15">
        <v>1114943</v>
      </c>
      <c r="D2503" s="15">
        <v>2000</v>
      </c>
      <c r="E2503" s="15" t="str">
        <f>VLOOKUP(A2503, Currency!$A$2:$B$100, 2, FALSE)</f>
        <v>USD</v>
      </c>
      <c r="F2503" s="15">
        <f ca="1">IFERROR(__xludf.DUMMYFUNCTION("IF(E2503=""USD"",B2503,B2503 * GOOGLEFINANCE(""CURRENCY:"" &amp; E2503 &amp; ""USD""))
"),500000)</f>
        <v>500000</v>
      </c>
      <c r="G2503" s="16">
        <f ca="1">IFERROR(__xludf.DUMMYFUNCTION("IF(E2503=""USD"",C2503,C2503 * GOOGLEFINANCE(""CURRENCY:"" &amp; E2503 &amp; ""USD""))
"),1114943)</f>
        <v>1114943</v>
      </c>
    </row>
    <row r="2504" spans="1:7" ht="15.75" customHeight="1" x14ac:dyDescent="0.25">
      <c r="A2504" s="11" t="s">
        <v>24</v>
      </c>
      <c r="B2504" s="12">
        <v>150000</v>
      </c>
      <c r="C2504" s="12">
        <v>191309</v>
      </c>
      <c r="D2504" s="12">
        <v>2004</v>
      </c>
      <c r="E2504" s="12" t="str">
        <f>VLOOKUP(A2504, Currency!$A$2:$B$100, 2, FALSE)</f>
        <v>USD</v>
      </c>
      <c r="F2504" s="12">
        <f ca="1">IFERROR(__xludf.DUMMYFUNCTION("IF(E2504=""USD"",B2504,B2504 * GOOGLEFINANCE(""CURRENCY:"" &amp; E2504 &amp; ""USD""))
"),150000)</f>
        <v>150000</v>
      </c>
      <c r="G2504" s="13">
        <f ca="1">IFERROR(__xludf.DUMMYFUNCTION("IF(E2504=""USD"",C2504,C2504 * GOOGLEFINANCE(""CURRENCY:"" &amp; E2504 &amp; ""USD""))
"),191309)</f>
        <v>191309</v>
      </c>
    </row>
    <row r="2505" spans="1:7" ht="15.75" customHeight="1" x14ac:dyDescent="0.25">
      <c r="A2505" s="14" t="s">
        <v>2546</v>
      </c>
      <c r="B2505" s="15">
        <v>180000</v>
      </c>
      <c r="C2505" s="15">
        <v>925402</v>
      </c>
      <c r="D2505" s="15">
        <v>1997</v>
      </c>
      <c r="E2505" s="15" t="str">
        <f>VLOOKUP(A2505, Currency!$A$2:$B$100, 2, FALSE)</f>
        <v>IRR</v>
      </c>
      <c r="F2505" s="15">
        <f ca="1">IFERROR(__xludf.DUMMYFUNCTION("IF(E2505=""USD"",B2505,B2505 * GOOGLEFINANCE(""CURRENCY:"" &amp; E2505 &amp; ""USD""))
"),4.27502664)</f>
        <v>4.2750266400000001</v>
      </c>
      <c r="G2505" s="16">
        <f ca="1">IFERROR(__xludf.DUMMYFUNCTION("IF(E2505=""USD"",C2505,C2505 * GOOGLEFINANCE(""CURRENCY:"" &amp; E2505 &amp; ""USD""))
"),21.978434459496)</f>
        <v>21.978434459496</v>
      </c>
    </row>
    <row r="2506" spans="1:7" ht="15.75" customHeight="1" x14ac:dyDescent="0.25">
      <c r="A2506" s="11" t="s">
        <v>24</v>
      </c>
      <c r="B2506" s="12">
        <v>15000000</v>
      </c>
      <c r="C2506" s="12">
        <v>10494147</v>
      </c>
      <c r="D2506" s="12">
        <v>2000</v>
      </c>
      <c r="E2506" s="12" t="str">
        <f>VLOOKUP(A2506, Currency!$A$2:$B$100, 2, FALSE)</f>
        <v>USD</v>
      </c>
      <c r="F2506" s="12">
        <f ca="1">IFERROR(__xludf.DUMMYFUNCTION("IF(E2506=""USD"",B2506,B2506 * GOOGLEFINANCE(""CURRENCY:"" &amp; E2506 &amp; ""USD""))
"),15000000)</f>
        <v>15000000</v>
      </c>
      <c r="G2506" s="13">
        <f ca="1">IFERROR(__xludf.DUMMYFUNCTION("IF(E2506=""USD"",C2506,C2506 * GOOGLEFINANCE(""CURRENCY:"" &amp; E2506 &amp; ""USD""))
"),10494147)</f>
        <v>10494147</v>
      </c>
    </row>
    <row r="2507" spans="1:7" ht="15.75" customHeight="1" x14ac:dyDescent="0.25">
      <c r="A2507" s="14" t="s">
        <v>24</v>
      </c>
      <c r="B2507" s="15">
        <v>55000000</v>
      </c>
      <c r="C2507" s="15">
        <v>18573791</v>
      </c>
      <c r="D2507" s="15">
        <v>1996</v>
      </c>
      <c r="E2507" s="15" t="str">
        <f>VLOOKUP(A2507, Currency!$A$2:$B$100, 2, FALSE)</f>
        <v>USD</v>
      </c>
      <c r="F2507" s="15">
        <f ca="1">IFERROR(__xludf.DUMMYFUNCTION("IF(E2507=""USD"",B2507,B2507 * GOOGLEFINANCE(""CURRENCY:"" &amp; E2507 &amp; ""USD""))
"),55000000)</f>
        <v>55000000</v>
      </c>
      <c r="G2507" s="16">
        <f ca="1">IFERROR(__xludf.DUMMYFUNCTION("IF(E2507=""USD"",C2507,C2507 * GOOGLEFINANCE(""CURRENCY:"" &amp; E2507 &amp; ""USD""))
"),18573791)</f>
        <v>18573791</v>
      </c>
    </row>
    <row r="2508" spans="1:7" ht="15.75" customHeight="1" x14ac:dyDescent="0.25">
      <c r="A2508" s="11" t="s">
        <v>24</v>
      </c>
      <c r="B2508" s="12">
        <v>3000000</v>
      </c>
      <c r="C2508" s="12">
        <v>200803</v>
      </c>
      <c r="D2508" s="12">
        <v>2012</v>
      </c>
      <c r="E2508" s="12" t="str">
        <f>VLOOKUP(A2508, Currency!$A$2:$B$100, 2, FALSE)</f>
        <v>USD</v>
      </c>
      <c r="F2508" s="12">
        <f ca="1">IFERROR(__xludf.DUMMYFUNCTION("IF(E2508=""USD"",B2508,B2508 * GOOGLEFINANCE(""CURRENCY:"" &amp; E2508 &amp; ""USD""))
"),3000000)</f>
        <v>3000000</v>
      </c>
      <c r="G2508" s="13">
        <f ca="1">IFERROR(__xludf.DUMMYFUNCTION("IF(E2508=""USD"",C2508,C2508 * GOOGLEFINANCE(""CURRENCY:"" &amp; E2508 &amp; ""USD""))
"),200803)</f>
        <v>200803</v>
      </c>
    </row>
    <row r="2509" spans="1:7" ht="15.75" customHeight="1" x14ac:dyDescent="0.25">
      <c r="A2509" s="14" t="s">
        <v>149</v>
      </c>
      <c r="B2509" s="15">
        <v>22500000</v>
      </c>
      <c r="C2509" s="15">
        <v>4190530</v>
      </c>
      <c r="D2509" s="15">
        <v>2014</v>
      </c>
      <c r="E2509" s="15" t="str">
        <f>VLOOKUP(A2509, Currency!$A$2:$B$100, 2, FALSE)</f>
        <v>AUD</v>
      </c>
      <c r="F2509" s="15">
        <f ca="1">IFERROR(__xludf.DUMMYFUNCTION("IF(E2509=""USD"",B2509,B2509 * GOOGLEFINANCE(""CURRENCY:"" &amp; E2509 &amp; ""USD""))
"),14712300)</f>
        <v>14712300</v>
      </c>
      <c r="G2509" s="16">
        <f ca="1">IFERROR(__xludf.DUMMYFUNCTION("IF(E2509=""USD"",C2509,C2509 * GOOGLEFINANCE(""CURRENCY:"" &amp; E2509 &amp; ""USD""))
"),2740103.7564)</f>
        <v>2740103.7563999998</v>
      </c>
    </row>
    <row r="2510" spans="1:7" ht="15.75" customHeight="1" x14ac:dyDescent="0.25">
      <c r="A2510" s="11" t="s">
        <v>24</v>
      </c>
      <c r="B2510" s="12">
        <v>20000000</v>
      </c>
      <c r="C2510" s="12">
        <v>375474</v>
      </c>
      <c r="D2510" s="12">
        <v>2005</v>
      </c>
      <c r="E2510" s="12" t="str">
        <f>VLOOKUP(A2510, Currency!$A$2:$B$100, 2, FALSE)</f>
        <v>USD</v>
      </c>
      <c r="F2510" s="12">
        <f ca="1">IFERROR(__xludf.DUMMYFUNCTION("IF(E2510=""USD"",B2510,B2510 * GOOGLEFINANCE(""CURRENCY:"" &amp; E2510 &amp; ""USD""))
"),20000000)</f>
        <v>20000000</v>
      </c>
      <c r="G2510" s="13">
        <f ca="1">IFERROR(__xludf.DUMMYFUNCTION("IF(E2510=""USD"",C2510,C2510 * GOOGLEFINANCE(""CURRENCY:"" &amp; E2510 &amp; ""USD""))
"),375474)</f>
        <v>375474</v>
      </c>
    </row>
    <row r="2511" spans="1:7" ht="15.75" customHeight="1" x14ac:dyDescent="0.25">
      <c r="A2511" s="14" t="s">
        <v>24</v>
      </c>
      <c r="B2511" s="15">
        <v>55000000</v>
      </c>
      <c r="C2511" s="15">
        <v>37600435</v>
      </c>
      <c r="D2511" s="15">
        <v>1995</v>
      </c>
      <c r="E2511" s="15" t="str">
        <f>VLOOKUP(A2511, Currency!$A$2:$B$100, 2, FALSE)</f>
        <v>USD</v>
      </c>
      <c r="F2511" s="15">
        <f ca="1">IFERROR(__xludf.DUMMYFUNCTION("IF(E2511=""USD"",B2511,B2511 * GOOGLEFINANCE(""CURRENCY:"" &amp; E2511 &amp; ""USD""))
"),55000000)</f>
        <v>55000000</v>
      </c>
      <c r="G2511" s="16">
        <f ca="1">IFERROR(__xludf.DUMMYFUNCTION("IF(E2511=""USD"",C2511,C2511 * GOOGLEFINANCE(""CURRENCY:"" &amp; E2511 &amp; ""USD""))
"),37600435)</f>
        <v>37600435</v>
      </c>
    </row>
    <row r="2512" spans="1:7" ht="15.75" customHeight="1" x14ac:dyDescent="0.25">
      <c r="A2512" s="11" t="s">
        <v>24</v>
      </c>
      <c r="B2512" s="12">
        <v>200000</v>
      </c>
      <c r="C2512" s="12">
        <v>381225</v>
      </c>
      <c r="D2512" s="12">
        <v>2004</v>
      </c>
      <c r="E2512" s="12" t="str">
        <f>VLOOKUP(A2512, Currency!$A$2:$B$100, 2, FALSE)</f>
        <v>USD</v>
      </c>
      <c r="F2512" s="12">
        <f ca="1">IFERROR(__xludf.DUMMYFUNCTION("IF(E2512=""USD"",B2512,B2512 * GOOGLEFINANCE(""CURRENCY:"" &amp; E2512 &amp; ""USD""))
"),200000)</f>
        <v>200000</v>
      </c>
      <c r="G2512" s="13">
        <f ca="1">IFERROR(__xludf.DUMMYFUNCTION("IF(E2512=""USD"",C2512,C2512 * GOOGLEFINANCE(""CURRENCY:"" &amp; E2512 &amp; ""USD""))
"),381225)</f>
        <v>381225</v>
      </c>
    </row>
    <row r="2513" spans="1:7" ht="15.75" customHeight="1" x14ac:dyDescent="0.25">
      <c r="A2513" s="14" t="s">
        <v>133</v>
      </c>
      <c r="B2513" s="15">
        <v>23000000</v>
      </c>
      <c r="C2513" s="15">
        <v>2708188</v>
      </c>
      <c r="D2513" s="15">
        <v>2009</v>
      </c>
      <c r="E2513" s="15" t="str">
        <f>VLOOKUP(A2513, Currency!$A$2:$B$100, 2, FALSE)</f>
        <v>GBP</v>
      </c>
      <c r="F2513" s="15">
        <f ca="1">IFERROR(__xludf.DUMMYFUNCTION("IF(E2513=""USD"",B2513,B2513 * GOOGLEFINANCE(""CURRENCY:"" &amp; E2513 &amp; ""USD""))
"),29564199.9999999)</f>
        <v>29564199.999999899</v>
      </c>
      <c r="G2513" s="16">
        <f ca="1">IFERROR(__xludf.DUMMYFUNCTION("IF(E2513=""USD"",C2513,C2513 * GOOGLEFINANCE(""CURRENCY:"" &amp; E2513 &amp; ""USD""))
"),3481104.85519999)</f>
        <v>3481104.8551999899</v>
      </c>
    </row>
    <row r="2514" spans="1:7" ht="15.75" customHeight="1" x14ac:dyDescent="0.25">
      <c r="A2514" s="11" t="s">
        <v>24</v>
      </c>
      <c r="B2514" s="12">
        <v>20000000</v>
      </c>
      <c r="C2514" s="12">
        <v>67325559</v>
      </c>
      <c r="D2514" s="12">
        <v>2003</v>
      </c>
      <c r="E2514" s="12" t="str">
        <f>VLOOKUP(A2514, Currency!$A$2:$B$100, 2, FALSE)</f>
        <v>USD</v>
      </c>
      <c r="F2514" s="12">
        <f ca="1">IFERROR(__xludf.DUMMYFUNCTION("IF(E2514=""USD"",B2514,B2514 * GOOGLEFINANCE(""CURRENCY:"" &amp; E2514 &amp; ""USD""))
"),20000000)</f>
        <v>20000000</v>
      </c>
      <c r="G2514" s="13">
        <f ca="1">IFERROR(__xludf.DUMMYFUNCTION("IF(E2514=""USD"",C2514,C2514 * GOOGLEFINANCE(""CURRENCY:"" &amp; E2514 &amp; ""USD""))
"),67325559)</f>
        <v>67325559</v>
      </c>
    </row>
    <row r="2515" spans="1:7" ht="15.75" customHeight="1" x14ac:dyDescent="0.25">
      <c r="A2515" s="14" t="s">
        <v>24</v>
      </c>
      <c r="B2515" s="15">
        <v>40000000</v>
      </c>
      <c r="C2515" s="15">
        <v>29077547</v>
      </c>
      <c r="D2515" s="15">
        <v>2005</v>
      </c>
      <c r="E2515" s="15" t="str">
        <f>VLOOKUP(A2515, Currency!$A$2:$B$100, 2, FALSE)</f>
        <v>USD</v>
      </c>
      <c r="F2515" s="15">
        <f ca="1">IFERROR(__xludf.DUMMYFUNCTION("IF(E2515=""USD"",B2515,B2515 * GOOGLEFINANCE(""CURRENCY:"" &amp; E2515 &amp; ""USD""))
"),40000000)</f>
        <v>40000000</v>
      </c>
      <c r="G2515" s="16">
        <f ca="1">IFERROR(__xludf.DUMMYFUNCTION("IF(E2515=""USD"",C2515,C2515 * GOOGLEFINANCE(""CURRENCY:"" &amp; E2515 &amp; ""USD""))
"),29077547)</f>
        <v>29077547</v>
      </c>
    </row>
    <row r="2516" spans="1:7" ht="15.75" customHeight="1" x14ac:dyDescent="0.25">
      <c r="A2516" s="11" t="s">
        <v>24</v>
      </c>
      <c r="B2516" s="12">
        <v>70000000</v>
      </c>
      <c r="C2516" s="12">
        <v>84049211</v>
      </c>
      <c r="D2516" s="12">
        <v>1993</v>
      </c>
      <c r="E2516" s="12" t="str">
        <f>VLOOKUP(A2516, Currency!$A$2:$B$100, 2, FALSE)</f>
        <v>USD</v>
      </c>
      <c r="F2516" s="12">
        <f ca="1">IFERROR(__xludf.DUMMYFUNCTION("IF(E2516=""USD"",B2516,B2516 * GOOGLEFINANCE(""CURRENCY:"" &amp; E2516 &amp; ""USD""))
"),70000000)</f>
        <v>70000000</v>
      </c>
      <c r="G2516" s="13">
        <f ca="1">IFERROR(__xludf.DUMMYFUNCTION("IF(E2516=""USD"",C2516,C2516 * GOOGLEFINANCE(""CURRENCY:"" &amp; E2516 &amp; ""USD""))
"),84049211)</f>
        <v>84049211</v>
      </c>
    </row>
    <row r="2517" spans="1:7" ht="15.75" customHeight="1" x14ac:dyDescent="0.25">
      <c r="A2517" s="14" t="s">
        <v>24</v>
      </c>
      <c r="B2517" s="15">
        <v>60000000</v>
      </c>
      <c r="C2517" s="15">
        <v>55994557</v>
      </c>
      <c r="D2517" s="15">
        <v>2012</v>
      </c>
      <c r="E2517" s="15" t="str">
        <f>VLOOKUP(A2517, Currency!$A$2:$B$100, 2, FALSE)</f>
        <v>USD</v>
      </c>
      <c r="F2517" s="15">
        <f ca="1">IFERROR(__xludf.DUMMYFUNCTION("IF(E2517=""USD"",B2517,B2517 * GOOGLEFINANCE(""CURRENCY:"" &amp; E2517 &amp; ""USD""))
"),60000000)</f>
        <v>60000000</v>
      </c>
      <c r="G2517" s="16">
        <f ca="1">IFERROR(__xludf.DUMMYFUNCTION("IF(E2517=""USD"",C2517,C2517 * GOOGLEFINANCE(""CURRENCY:"" &amp; E2517 &amp; ""USD""))
"),55994557)</f>
        <v>55994557</v>
      </c>
    </row>
    <row r="2518" spans="1:7" ht="15.75" customHeight="1" x14ac:dyDescent="0.25">
      <c r="A2518" s="11" t="s">
        <v>24</v>
      </c>
      <c r="B2518" s="12">
        <v>55000000</v>
      </c>
      <c r="C2518" s="12">
        <v>19389454</v>
      </c>
      <c r="D2518" s="12">
        <v>2000</v>
      </c>
      <c r="E2518" s="12" t="str">
        <f>VLOOKUP(A2518, Currency!$A$2:$B$100, 2, FALSE)</f>
        <v>USD</v>
      </c>
      <c r="F2518" s="12">
        <f ca="1">IFERROR(__xludf.DUMMYFUNCTION("IF(E2518=""USD"",B2518,B2518 * GOOGLEFINANCE(""CURRENCY:"" &amp; E2518 &amp; ""USD""))
"),55000000)</f>
        <v>55000000</v>
      </c>
      <c r="G2518" s="13">
        <f ca="1">IFERROR(__xludf.DUMMYFUNCTION("IF(E2518=""USD"",C2518,C2518 * GOOGLEFINANCE(""CURRENCY:"" &amp; E2518 &amp; ""USD""))
"),19389454)</f>
        <v>19389454</v>
      </c>
    </row>
    <row r="2519" spans="1:7" ht="15.75" customHeight="1" x14ac:dyDescent="0.25">
      <c r="A2519" s="14" t="s">
        <v>24</v>
      </c>
      <c r="B2519" s="15">
        <v>14400000</v>
      </c>
      <c r="C2519" s="15">
        <v>101157447</v>
      </c>
      <c r="D2519" s="15">
        <v>1992</v>
      </c>
      <c r="E2519" s="15" t="str">
        <f>VLOOKUP(A2519, Currency!$A$2:$B$100, 2, FALSE)</f>
        <v>USD</v>
      </c>
      <c r="F2519" s="15">
        <f ca="1">IFERROR(__xludf.DUMMYFUNCTION("IF(E2519=""USD"",B2519,B2519 * GOOGLEFINANCE(""CURRENCY:"" &amp; E2519 &amp; ""USD""))
"),14400000)</f>
        <v>14400000</v>
      </c>
      <c r="G2519" s="16">
        <f ca="1">IFERROR(__xludf.DUMMYFUNCTION("IF(E2519=""USD"",C2519,C2519 * GOOGLEFINANCE(""CURRENCY:"" &amp; E2519 &amp; ""USD""))
"),101157447)</f>
        <v>101157447</v>
      </c>
    </row>
    <row r="2520" spans="1:7" ht="15.75" customHeight="1" x14ac:dyDescent="0.25">
      <c r="A2520" s="11" t="s">
        <v>149</v>
      </c>
      <c r="B2520" s="12">
        <v>15800000</v>
      </c>
      <c r="C2520" s="12">
        <v>109306210</v>
      </c>
      <c r="D2520" s="12">
        <v>1988</v>
      </c>
      <c r="E2520" s="12" t="str">
        <f>VLOOKUP(A2520, Currency!$A$2:$B$100, 2, FALSE)</f>
        <v>AUD</v>
      </c>
      <c r="F2520" s="12">
        <f ca="1">IFERROR(__xludf.DUMMYFUNCTION("IF(E2520=""USD"",B2520,B2520 * GOOGLEFINANCE(""CURRENCY:"" &amp; E2520 &amp; ""USD""))
"),10331304)</f>
        <v>10331304</v>
      </c>
      <c r="G2520" s="13">
        <f ca="1">IFERROR(__xludf.DUMMYFUNCTION("IF(E2520=""USD"",C2520,C2520 * GOOGLEFINANCE(""CURRENCY:"" &amp; E2520 &amp; ""USD""))
"),71473144.5948)</f>
        <v>71473144.594799995</v>
      </c>
    </row>
    <row r="2521" spans="1:7" ht="15.75" customHeight="1" x14ac:dyDescent="0.25">
      <c r="A2521" s="14" t="s">
        <v>24</v>
      </c>
      <c r="B2521" s="15">
        <v>20000000</v>
      </c>
      <c r="C2521" s="15">
        <v>31146570</v>
      </c>
      <c r="D2521" s="15">
        <v>2010</v>
      </c>
      <c r="E2521" s="15" t="str">
        <f>VLOOKUP(A2521, Currency!$A$2:$B$100, 2, FALSE)</f>
        <v>USD</v>
      </c>
      <c r="F2521" s="15">
        <f ca="1">IFERROR(__xludf.DUMMYFUNCTION("IF(E2521=""USD"",B2521,B2521 * GOOGLEFINANCE(""CURRENCY:"" &amp; E2521 &amp; ""USD""))
"),20000000)</f>
        <v>20000000</v>
      </c>
      <c r="G2521" s="16">
        <f ca="1">IFERROR(__xludf.DUMMYFUNCTION("IF(E2521=""USD"",C2521,C2521 * GOOGLEFINANCE(""CURRENCY:"" &amp; E2521 &amp; ""USD""))
"),31146570)</f>
        <v>31146570</v>
      </c>
    </row>
    <row r="2522" spans="1:7" ht="15.75" customHeight="1" x14ac:dyDescent="0.25">
      <c r="A2522" s="11" t="s">
        <v>133</v>
      </c>
      <c r="B2522" s="12">
        <v>12000000</v>
      </c>
      <c r="C2522" s="12">
        <v>2326407</v>
      </c>
      <c r="D2522" s="12">
        <v>2001</v>
      </c>
      <c r="E2522" s="12" t="str">
        <f>VLOOKUP(A2522, Currency!$A$2:$B$100, 2, FALSE)</f>
        <v>GBP</v>
      </c>
      <c r="F2522" s="12">
        <f ca="1">IFERROR(__xludf.DUMMYFUNCTION("IF(E2522=""USD"",B2522,B2522 * GOOGLEFINANCE(""CURRENCY:"" &amp; E2522 &amp; ""USD""))
"),15424799.9999999)</f>
        <v>15424799.999999899</v>
      </c>
      <c r="G2522" s="13">
        <f ca="1">IFERROR(__xludf.DUMMYFUNCTION("IF(E2522=""USD"",C2522,C2522 * GOOGLEFINANCE(""CURRENCY:"" &amp; E2522 &amp; ""USD""))
"),2990363.55779999)</f>
        <v>2990363.5577999898</v>
      </c>
    </row>
    <row r="2523" spans="1:7" ht="15.75" customHeight="1" x14ac:dyDescent="0.25">
      <c r="A2523" s="14" t="s">
        <v>133</v>
      </c>
      <c r="B2523" s="15">
        <v>35000000</v>
      </c>
      <c r="C2523" s="15">
        <v>26814957</v>
      </c>
      <c r="D2523" s="15">
        <v>2008</v>
      </c>
      <c r="E2523" s="15" t="str">
        <f>VLOOKUP(A2523, Currency!$A$2:$B$100, 2, FALSE)</f>
        <v>GBP</v>
      </c>
      <c r="F2523" s="15">
        <f ca="1">IFERROR(__xludf.DUMMYFUNCTION("IF(E2523=""USD"",B2523,B2523 * GOOGLEFINANCE(""CURRENCY:"" &amp; E2523 &amp; ""USD""))
"),44988999.9999999)</f>
        <v>44988999.999999903</v>
      </c>
      <c r="G2523" s="16">
        <f ca="1">IFERROR(__xludf.DUMMYFUNCTION("IF(E2523=""USD"",C2523,C2523 * GOOGLEFINANCE(""CURRENCY:"" &amp; E2523 &amp; ""USD""))
"),34467945.7278)</f>
        <v>34467945.727799997</v>
      </c>
    </row>
    <row r="2524" spans="1:7" ht="15.75" customHeight="1" x14ac:dyDescent="0.25">
      <c r="A2524" s="11" t="s">
        <v>24</v>
      </c>
      <c r="B2524" s="12">
        <v>30000000</v>
      </c>
      <c r="C2524" s="12">
        <v>71038190</v>
      </c>
      <c r="D2524" s="12">
        <v>2015</v>
      </c>
      <c r="E2524" s="12" t="str">
        <f>VLOOKUP(A2524, Currency!$A$2:$B$100, 2, FALSE)</f>
        <v>USD</v>
      </c>
      <c r="F2524" s="12">
        <f ca="1">IFERROR(__xludf.DUMMYFUNCTION("IF(E2524=""USD"",B2524,B2524 * GOOGLEFINANCE(""CURRENCY:"" &amp; E2524 &amp; ""USD""))
"),30000000)</f>
        <v>30000000</v>
      </c>
      <c r="G2524" s="13">
        <f ca="1">IFERROR(__xludf.DUMMYFUNCTION("IF(E2524=""USD"",C2524,C2524 * GOOGLEFINANCE(""CURRENCY:"" &amp; E2524 &amp; ""USD""))
"),71038190)</f>
        <v>71038190</v>
      </c>
    </row>
    <row r="2525" spans="1:7" ht="15.75" customHeight="1" x14ac:dyDescent="0.25">
      <c r="A2525" s="14" t="s">
        <v>24</v>
      </c>
      <c r="B2525" s="15">
        <v>38000000</v>
      </c>
      <c r="C2525" s="15">
        <v>22770864</v>
      </c>
      <c r="D2525" s="15">
        <v>2001</v>
      </c>
      <c r="E2525" s="15" t="str">
        <f>VLOOKUP(A2525, Currency!$A$2:$B$100, 2, FALSE)</f>
        <v>USD</v>
      </c>
      <c r="F2525" s="15">
        <f ca="1">IFERROR(__xludf.DUMMYFUNCTION("IF(E2525=""USD"",B2525,B2525 * GOOGLEFINANCE(""CURRENCY:"" &amp; E2525 &amp; ""USD""))
"),38000000)</f>
        <v>38000000</v>
      </c>
      <c r="G2525" s="16">
        <f ca="1">IFERROR(__xludf.DUMMYFUNCTION("IF(E2525=""USD"",C2525,C2525 * GOOGLEFINANCE(""CURRENCY:"" &amp; E2525 &amp; ""USD""))
"),22770864)</f>
        <v>22770864</v>
      </c>
    </row>
    <row r="2526" spans="1:7" ht="15.75" customHeight="1" x14ac:dyDescent="0.25">
      <c r="A2526" s="11" t="s">
        <v>176</v>
      </c>
      <c r="B2526" s="12">
        <v>78000000</v>
      </c>
      <c r="C2526" s="12">
        <v>92930005</v>
      </c>
      <c r="D2526" s="12">
        <v>2002</v>
      </c>
      <c r="E2526" s="12" t="str">
        <f>VLOOKUP(A2526, Currency!$A$2:$B$100, 2, FALSE)</f>
        <v>EUR</v>
      </c>
      <c r="F2526" s="12">
        <f ca="1">IFERROR(__xludf.DUMMYFUNCTION("IF(E2526=""USD"",B2526,B2526 * GOOGLEFINANCE(""CURRENCY:"" &amp; E2526 &amp; ""USD""))
"),84609720)</f>
        <v>84609720</v>
      </c>
      <c r="G2526" s="13">
        <f ca="1">IFERROR(__xludf.DUMMYFUNCTION("IF(E2526=""USD"",C2526,C2526 * GOOGLEFINANCE(""CURRENCY:"" &amp; E2526 &amp; ""USD""))
"),100804893.6237)</f>
        <v>100804893.62369999</v>
      </c>
    </row>
    <row r="2527" spans="1:7" ht="15.75" customHeight="1" x14ac:dyDescent="0.25">
      <c r="A2527" s="14" t="s">
        <v>24</v>
      </c>
      <c r="B2527" s="15">
        <v>30000000</v>
      </c>
      <c r="C2527" s="15">
        <v>40118420</v>
      </c>
      <c r="D2527" s="15">
        <v>2002</v>
      </c>
      <c r="E2527" s="15" t="str">
        <f>VLOOKUP(A2527, Currency!$A$2:$B$100, 2, FALSE)</f>
        <v>USD</v>
      </c>
      <c r="F2527" s="15">
        <f ca="1">IFERROR(__xludf.DUMMYFUNCTION("IF(E2527=""USD"",B2527,B2527 * GOOGLEFINANCE(""CURRENCY:"" &amp; E2527 &amp; ""USD""))
"),30000000)</f>
        <v>30000000</v>
      </c>
      <c r="G2527" s="16">
        <f ca="1">IFERROR(__xludf.DUMMYFUNCTION("IF(E2527=""USD"",C2527,C2527 * GOOGLEFINANCE(""CURRENCY:"" &amp; E2527 &amp; ""USD""))
"),40118420)</f>
        <v>40118420</v>
      </c>
    </row>
    <row r="2528" spans="1:7" ht="15.75" customHeight="1" x14ac:dyDescent="0.25">
      <c r="A2528" s="11" t="s">
        <v>24</v>
      </c>
      <c r="B2528" s="12">
        <v>5000000</v>
      </c>
      <c r="C2528" s="12">
        <v>9203192</v>
      </c>
      <c r="D2528" s="12">
        <v>2011</v>
      </c>
      <c r="E2528" s="12" t="str">
        <f>VLOOKUP(A2528, Currency!$A$2:$B$100, 2, FALSE)</f>
        <v>USD</v>
      </c>
      <c r="F2528" s="12">
        <f ca="1">IFERROR(__xludf.DUMMYFUNCTION("IF(E2528=""USD"",B2528,B2528 * GOOGLEFINANCE(""CURRENCY:"" &amp; E2528 &amp; ""USD""))
"),5000000)</f>
        <v>5000000</v>
      </c>
      <c r="G2528" s="13">
        <f ca="1">IFERROR(__xludf.DUMMYFUNCTION("IF(E2528=""USD"",C2528,C2528 * GOOGLEFINANCE(""CURRENCY:"" &amp; E2528 &amp; ""USD""))
"),9203192)</f>
        <v>9203192</v>
      </c>
    </row>
    <row r="2529" spans="1:7" ht="15.75" customHeight="1" x14ac:dyDescent="0.25">
      <c r="A2529" s="14" t="s">
        <v>24</v>
      </c>
      <c r="B2529" s="15">
        <v>3000000</v>
      </c>
      <c r="C2529" s="15">
        <v>19184015</v>
      </c>
      <c r="D2529" s="15">
        <v>2002</v>
      </c>
      <c r="E2529" s="15" t="str">
        <f>VLOOKUP(A2529, Currency!$A$2:$B$100, 2, FALSE)</f>
        <v>USD</v>
      </c>
      <c r="F2529" s="15">
        <f ca="1">IFERROR(__xludf.DUMMYFUNCTION("IF(E2529=""USD"",B2529,B2529 * GOOGLEFINANCE(""CURRENCY:"" &amp; E2529 &amp; ""USD""))
"),3000000)</f>
        <v>3000000</v>
      </c>
      <c r="G2529" s="16">
        <f ca="1">IFERROR(__xludf.DUMMYFUNCTION("IF(E2529=""USD"",C2529,C2529 * GOOGLEFINANCE(""CURRENCY:"" &amp; E2529 &amp; ""USD""))
"),19184015)</f>
        <v>19184015</v>
      </c>
    </row>
    <row r="2530" spans="1:7" ht="15.75" customHeight="1" x14ac:dyDescent="0.25">
      <c r="A2530" s="11" t="s">
        <v>24</v>
      </c>
      <c r="B2530" s="12">
        <v>108000000</v>
      </c>
      <c r="C2530" s="12">
        <v>228430993</v>
      </c>
      <c r="D2530" s="12">
        <v>2015</v>
      </c>
      <c r="E2530" s="12" t="str">
        <f>VLOOKUP(A2530, Currency!$A$2:$B$100, 2, FALSE)</f>
        <v>USD</v>
      </c>
      <c r="F2530" s="12">
        <f ca="1">IFERROR(__xludf.DUMMYFUNCTION("IF(E2530=""USD"",B2530,B2530 * GOOGLEFINANCE(""CURRENCY:"" &amp; E2530 &amp; ""USD""))
"),108000000)</f>
        <v>108000000</v>
      </c>
      <c r="G2530" s="13">
        <f ca="1">IFERROR(__xludf.DUMMYFUNCTION("IF(E2530=""USD"",C2530,C2530 * GOOGLEFINANCE(""CURRENCY:"" &amp; E2530 &amp; ""USD""))
"),228430993)</f>
        <v>228430993</v>
      </c>
    </row>
    <row r="2531" spans="1:7" ht="15.75" customHeight="1" x14ac:dyDescent="0.25">
      <c r="A2531" s="14" t="s">
        <v>24</v>
      </c>
      <c r="B2531" s="15">
        <v>16000000</v>
      </c>
      <c r="C2531" s="15">
        <v>4356743</v>
      </c>
      <c r="D2531" s="15">
        <v>2001</v>
      </c>
      <c r="E2531" s="15" t="str">
        <f>VLOOKUP(A2531, Currency!$A$2:$B$100, 2, FALSE)</f>
        <v>USD</v>
      </c>
      <c r="F2531" s="15">
        <f ca="1">IFERROR(__xludf.DUMMYFUNCTION("IF(E2531=""USD"",B2531,B2531 * GOOGLEFINANCE(""CURRENCY:"" &amp; E2531 &amp; ""USD""))
"),16000000)</f>
        <v>16000000</v>
      </c>
      <c r="G2531" s="16">
        <f ca="1">IFERROR(__xludf.DUMMYFUNCTION("IF(E2531=""USD"",C2531,C2531 * GOOGLEFINANCE(""CURRENCY:"" &amp; E2531 &amp; ""USD""))
"),4356743)</f>
        <v>4356743</v>
      </c>
    </row>
    <row r="2532" spans="1:7" ht="15.75" customHeight="1" x14ac:dyDescent="0.25">
      <c r="A2532" s="11" t="s">
        <v>627</v>
      </c>
      <c r="B2532" s="12">
        <v>1600000</v>
      </c>
      <c r="C2532" s="12">
        <v>39659</v>
      </c>
      <c r="D2532" s="12">
        <v>2002</v>
      </c>
      <c r="E2532" s="12" t="str">
        <f>VLOOKUP(A2532, Currency!$A$2:$B$100, 2, FALSE)</f>
        <v>CAD</v>
      </c>
      <c r="F2532" s="12">
        <f ca="1">IFERROR(__xludf.DUMMYFUNCTION("IF(E2532=""USD"",B2532,B2532 * GOOGLEFINANCE(""CURRENCY:"" &amp; E2532 &amp; ""USD""))
"),1157448)</f>
        <v>1157448</v>
      </c>
      <c r="G2532" s="13">
        <f ca="1">IFERROR(__xludf.DUMMYFUNCTION("IF(E2532=""USD"",C2532,C2532 * GOOGLEFINANCE(""CURRENCY:"" &amp; E2532 &amp; ""USD""))
"),28689.5188949999)</f>
        <v>28689.518894999899</v>
      </c>
    </row>
    <row r="2533" spans="1:7" ht="15.75" customHeight="1" x14ac:dyDescent="0.25">
      <c r="A2533" s="14" t="s">
        <v>24</v>
      </c>
      <c r="B2533" s="15">
        <v>11000000</v>
      </c>
      <c r="C2533" s="15">
        <v>13103828</v>
      </c>
      <c r="D2533" s="15">
        <v>2001</v>
      </c>
      <c r="E2533" s="15" t="str">
        <f>VLOOKUP(A2533, Currency!$A$2:$B$100, 2, FALSE)</f>
        <v>USD</v>
      </c>
      <c r="F2533" s="15">
        <f ca="1">IFERROR(__xludf.DUMMYFUNCTION("IF(E2533=""USD"",B2533,B2533 * GOOGLEFINANCE(""CURRENCY:"" &amp; E2533 &amp; ""USD""))
"),11000000)</f>
        <v>11000000</v>
      </c>
      <c r="G2533" s="16">
        <f ca="1">IFERROR(__xludf.DUMMYFUNCTION("IF(E2533=""USD"",C2533,C2533 * GOOGLEFINANCE(""CURRENCY:"" &amp; E2533 &amp; ""USD""))
"),13103828)</f>
        <v>13103828</v>
      </c>
    </row>
    <row r="2534" spans="1:7" ht="15.75" customHeight="1" x14ac:dyDescent="0.25">
      <c r="A2534" s="11" t="s">
        <v>24</v>
      </c>
      <c r="B2534" s="12">
        <v>250000000</v>
      </c>
      <c r="C2534" s="12">
        <v>241063875</v>
      </c>
      <c r="D2534" s="12">
        <v>2011</v>
      </c>
      <c r="E2534" s="12" t="str">
        <f>VLOOKUP(A2534, Currency!$A$2:$B$100, 2, FALSE)</f>
        <v>USD</v>
      </c>
      <c r="F2534" s="12">
        <f ca="1">IFERROR(__xludf.DUMMYFUNCTION("IF(E2534=""USD"",B2534,B2534 * GOOGLEFINANCE(""CURRENCY:"" &amp; E2534 &amp; ""USD""))
"),250000000)</f>
        <v>250000000</v>
      </c>
      <c r="G2534" s="13">
        <f ca="1">IFERROR(__xludf.DUMMYFUNCTION("IF(E2534=""USD"",C2534,C2534 * GOOGLEFINANCE(""CURRENCY:"" &amp; E2534 &amp; ""USD""))
"),241063875)</f>
        <v>241063875</v>
      </c>
    </row>
    <row r="2535" spans="1:7" ht="15.75" customHeight="1" x14ac:dyDescent="0.25">
      <c r="A2535" s="14" t="s">
        <v>24</v>
      </c>
      <c r="B2535" s="15">
        <v>5000000</v>
      </c>
      <c r="C2535" s="15">
        <v>83574831</v>
      </c>
      <c r="D2535" s="15">
        <v>2013</v>
      </c>
      <c r="E2535" s="15" t="str">
        <f>VLOOKUP(A2535, Currency!$A$2:$B$100, 2, FALSE)</f>
        <v>USD</v>
      </c>
      <c r="F2535" s="15">
        <f ca="1">IFERROR(__xludf.DUMMYFUNCTION("IF(E2535=""USD"",B2535,B2535 * GOOGLEFINANCE(""CURRENCY:"" &amp; E2535 &amp; ""USD""))
"),5000000)</f>
        <v>5000000</v>
      </c>
      <c r="G2535" s="16">
        <f ca="1">IFERROR(__xludf.DUMMYFUNCTION("IF(E2535=""USD"",C2535,C2535 * GOOGLEFINANCE(""CURRENCY:"" &amp; E2535 &amp; ""USD""))
"),83574831)</f>
        <v>83574831</v>
      </c>
    </row>
    <row r="2536" spans="1:7" ht="15.75" customHeight="1" x14ac:dyDescent="0.25">
      <c r="A2536" s="11" t="s">
        <v>24</v>
      </c>
      <c r="B2536" s="12">
        <v>20000000</v>
      </c>
      <c r="C2536" s="12">
        <v>9714482</v>
      </c>
      <c r="D2536" s="12">
        <v>1996</v>
      </c>
      <c r="E2536" s="12" t="str">
        <f>VLOOKUP(A2536, Currency!$A$2:$B$100, 2, FALSE)</f>
        <v>USD</v>
      </c>
      <c r="F2536" s="12">
        <f ca="1">IFERROR(__xludf.DUMMYFUNCTION("IF(E2536=""USD"",B2536,B2536 * GOOGLEFINANCE(""CURRENCY:"" &amp; E2536 &amp; ""USD""))
"),20000000)</f>
        <v>20000000</v>
      </c>
      <c r="G2536" s="13">
        <f ca="1">IFERROR(__xludf.DUMMYFUNCTION("IF(E2536=""USD"",C2536,C2536 * GOOGLEFINANCE(""CURRENCY:"" &amp; E2536 &amp; ""USD""))
"),9714482)</f>
        <v>9714482</v>
      </c>
    </row>
    <row r="2537" spans="1:7" ht="15.75" customHeight="1" x14ac:dyDescent="0.25">
      <c r="A2537" s="14" t="s">
        <v>149</v>
      </c>
      <c r="B2537" s="15">
        <v>5500000</v>
      </c>
      <c r="C2537" s="15">
        <v>35811509</v>
      </c>
      <c r="D2537" s="15">
        <v>1996</v>
      </c>
      <c r="E2537" s="15" t="str">
        <f>VLOOKUP(A2537, Currency!$A$2:$B$100, 2, FALSE)</f>
        <v>AUD</v>
      </c>
      <c r="F2537" s="15">
        <f ca="1">IFERROR(__xludf.DUMMYFUNCTION("IF(E2537=""USD"",B2537,B2537 * GOOGLEFINANCE(""CURRENCY:"" &amp; E2537 &amp; ""USD""))
"),3596340)</f>
        <v>3596340</v>
      </c>
      <c r="G2537" s="16">
        <f ca="1">IFERROR(__xludf.DUMMYFUNCTION("IF(E2537=""USD"",C2537,C2537 * GOOGLEFINANCE(""CURRENCY:"" &amp; E2537 &amp; ""USD""))
"),23416429.50492)</f>
        <v>23416429.504919998</v>
      </c>
    </row>
    <row r="2538" spans="1:7" ht="15.75" customHeight="1" x14ac:dyDescent="0.25">
      <c r="A2538" s="11" t="s">
        <v>24</v>
      </c>
      <c r="B2538" s="12">
        <v>130000000</v>
      </c>
      <c r="C2538" s="12">
        <v>424645577</v>
      </c>
      <c r="D2538" s="12">
        <v>2013</v>
      </c>
      <c r="E2538" s="12" t="str">
        <f>VLOOKUP(A2538, Currency!$A$2:$B$100, 2, FALSE)</f>
        <v>USD</v>
      </c>
      <c r="F2538" s="12">
        <f ca="1">IFERROR(__xludf.DUMMYFUNCTION("IF(E2538=""USD"",B2538,B2538 * GOOGLEFINANCE(""CURRENCY:"" &amp; E2538 &amp; ""USD""))
"),130000000)</f>
        <v>130000000</v>
      </c>
      <c r="G2538" s="13">
        <f ca="1">IFERROR(__xludf.DUMMYFUNCTION("IF(E2538=""USD"",C2538,C2538 * GOOGLEFINANCE(""CURRENCY:"" &amp; E2538 &amp; ""USD""))
"),424645577)</f>
        <v>424645577</v>
      </c>
    </row>
    <row r="2539" spans="1:7" ht="15.75" customHeight="1" x14ac:dyDescent="0.25">
      <c r="A2539" s="14" t="s">
        <v>24</v>
      </c>
      <c r="B2539" s="15">
        <v>30000000</v>
      </c>
      <c r="C2539" s="15">
        <v>74888996</v>
      </c>
      <c r="D2539" s="15">
        <v>1991</v>
      </c>
      <c r="E2539" s="15" t="str">
        <f>VLOOKUP(A2539, Currency!$A$2:$B$100, 2, FALSE)</f>
        <v>USD</v>
      </c>
      <c r="F2539" s="15">
        <f ca="1">IFERROR(__xludf.DUMMYFUNCTION("IF(E2539=""USD"",B2539,B2539 * GOOGLEFINANCE(""CURRENCY:"" &amp; E2539 &amp; ""USD""))
"),30000000)</f>
        <v>30000000</v>
      </c>
      <c r="G2539" s="16">
        <f ca="1">IFERROR(__xludf.DUMMYFUNCTION("IF(E2539=""USD"",C2539,C2539 * GOOGLEFINANCE(""CURRENCY:"" &amp; E2539 &amp; ""USD""))
"),74888996)</f>
        <v>74888996</v>
      </c>
    </row>
    <row r="2540" spans="1:7" ht="15.75" customHeight="1" x14ac:dyDescent="0.25">
      <c r="A2540" s="11" t="s">
        <v>24</v>
      </c>
      <c r="B2540" s="12">
        <v>210000</v>
      </c>
      <c r="C2540" s="12">
        <v>5000000</v>
      </c>
      <c r="D2540" s="12">
        <v>1953</v>
      </c>
      <c r="E2540" s="12" t="str">
        <f>VLOOKUP(A2540, Currency!$A$2:$B$100, 2, FALSE)</f>
        <v>USD</v>
      </c>
      <c r="F2540" s="12">
        <f ca="1">IFERROR(__xludf.DUMMYFUNCTION("IF(E2540=""USD"",B2540,B2540 * GOOGLEFINANCE(""CURRENCY:"" &amp; E2540 &amp; ""USD""))
"),210000)</f>
        <v>210000</v>
      </c>
      <c r="G2540" s="13">
        <f ca="1">IFERROR(__xludf.DUMMYFUNCTION("IF(E2540=""USD"",C2540,C2540 * GOOGLEFINANCE(""CURRENCY:"" &amp; E2540 &amp; ""USD""))
"),5000000)</f>
        <v>5000000</v>
      </c>
    </row>
    <row r="2541" spans="1:7" ht="15.75" customHeight="1" x14ac:dyDescent="0.25">
      <c r="A2541" s="14" t="s">
        <v>24</v>
      </c>
      <c r="B2541" s="15">
        <v>25000000</v>
      </c>
      <c r="C2541" s="15">
        <v>10719367</v>
      </c>
      <c r="D2541" s="15">
        <v>2002</v>
      </c>
      <c r="E2541" s="15" t="str">
        <f>VLOOKUP(A2541, Currency!$A$2:$B$100, 2, FALSE)</f>
        <v>USD</v>
      </c>
      <c r="F2541" s="15">
        <f ca="1">IFERROR(__xludf.DUMMYFUNCTION("IF(E2541=""USD"",B2541,B2541 * GOOGLEFINANCE(""CURRENCY:"" &amp; E2541 &amp; ""USD""))
"),25000000)</f>
        <v>25000000</v>
      </c>
      <c r="G2541" s="16">
        <f ca="1">IFERROR(__xludf.DUMMYFUNCTION("IF(E2541=""USD"",C2541,C2541 * GOOGLEFINANCE(""CURRENCY:"" &amp; E2541 &amp; ""USD""))
"),10719367)</f>
        <v>10719367</v>
      </c>
    </row>
    <row r="2542" spans="1:7" ht="15.75" customHeight="1" x14ac:dyDescent="0.25">
      <c r="A2542" s="11" t="s">
        <v>24</v>
      </c>
      <c r="B2542" s="12">
        <v>20000000</v>
      </c>
      <c r="C2542" s="12">
        <v>8093318</v>
      </c>
      <c r="D2542" s="12">
        <v>2014</v>
      </c>
      <c r="E2542" s="12" t="str">
        <f>VLOOKUP(A2542, Currency!$A$2:$B$100, 2, FALSE)</f>
        <v>USD</v>
      </c>
      <c r="F2542" s="12">
        <f ca="1">IFERROR(__xludf.DUMMYFUNCTION("IF(E2542=""USD"",B2542,B2542 * GOOGLEFINANCE(""CURRENCY:"" &amp; E2542 &amp; ""USD""))
"),20000000)</f>
        <v>20000000</v>
      </c>
      <c r="G2542" s="13">
        <f ca="1">IFERROR(__xludf.DUMMYFUNCTION("IF(E2542=""USD"",C2542,C2542 * GOOGLEFINANCE(""CURRENCY:"" &amp; E2542 &amp; ""USD""))
"),8093318)</f>
        <v>8093318</v>
      </c>
    </row>
    <row r="2543" spans="1:7" ht="15.75" customHeight="1" x14ac:dyDescent="0.25">
      <c r="A2543" s="14" t="s">
        <v>133</v>
      </c>
      <c r="B2543" s="15">
        <v>100000000</v>
      </c>
      <c r="C2543" s="15">
        <v>261970615</v>
      </c>
      <c r="D2543" s="15">
        <v>2002</v>
      </c>
      <c r="E2543" s="15" t="str">
        <f>VLOOKUP(A2543, Currency!$A$2:$B$100, 2, FALSE)</f>
        <v>GBP</v>
      </c>
      <c r="F2543" s="15">
        <f ca="1">IFERROR(__xludf.DUMMYFUNCTION("IF(E2543=""USD"",B2543,B2543 * GOOGLEFINANCE(""CURRENCY:"" &amp; E2543 &amp; ""USD""))
"),128539999.999999)</f>
        <v>128539999.999999</v>
      </c>
      <c r="G2543" s="16">
        <f ca="1">IFERROR(__xludf.DUMMYFUNCTION("IF(E2543=""USD"",C2543,C2543 * GOOGLEFINANCE(""CURRENCY:"" &amp; E2543 &amp; ""USD""))
"),336737028.520999)</f>
        <v>336737028.52099901</v>
      </c>
    </row>
    <row r="2544" spans="1:7" ht="15.75" customHeight="1" x14ac:dyDescent="0.25">
      <c r="A2544" s="11" t="s">
        <v>24</v>
      </c>
      <c r="B2544" s="12">
        <v>78000000</v>
      </c>
      <c r="C2544" s="12">
        <v>66462600</v>
      </c>
      <c r="D2544" s="12">
        <v>2003</v>
      </c>
      <c r="E2544" s="12" t="str">
        <f>VLOOKUP(A2544, Currency!$A$2:$B$100, 2, FALSE)</f>
        <v>USD</v>
      </c>
      <c r="F2544" s="12">
        <f ca="1">IFERROR(__xludf.DUMMYFUNCTION("IF(E2544=""USD"",B2544,B2544 * GOOGLEFINANCE(""CURRENCY:"" &amp; E2544 &amp; ""USD""))
"),78000000)</f>
        <v>78000000</v>
      </c>
      <c r="G2544" s="13">
        <f ca="1">IFERROR(__xludf.DUMMYFUNCTION("IF(E2544=""USD"",C2544,C2544 * GOOGLEFINANCE(""CURRENCY:"" &amp; E2544 &amp; ""USD""))
"),66462600)</f>
        <v>66462600</v>
      </c>
    </row>
    <row r="2545" spans="1:7" ht="15.75" customHeight="1" x14ac:dyDescent="0.25">
      <c r="A2545" s="14" t="s">
        <v>24</v>
      </c>
      <c r="B2545" s="15">
        <v>6500000</v>
      </c>
      <c r="C2545" s="15">
        <v>31899000</v>
      </c>
      <c r="D2545" s="15">
        <v>1980</v>
      </c>
      <c r="E2545" s="15" t="str">
        <f>VLOOKUP(A2545, Currency!$A$2:$B$100, 2, FALSE)</f>
        <v>USD</v>
      </c>
      <c r="F2545" s="15">
        <f ca="1">IFERROR(__xludf.DUMMYFUNCTION("IF(E2545=""USD"",B2545,B2545 * GOOGLEFINANCE(""CURRENCY:"" &amp; E2545 &amp; ""USD""))
"),6500000)</f>
        <v>6500000</v>
      </c>
      <c r="G2545" s="16">
        <f ca="1">IFERROR(__xludf.DUMMYFUNCTION("IF(E2545=""USD"",C2545,C2545 * GOOGLEFINANCE(""CURRENCY:"" &amp; E2545 &amp; ""USD""))
"),31899000)</f>
        <v>31899000</v>
      </c>
    </row>
    <row r="2546" spans="1:7" ht="15.75" customHeight="1" x14ac:dyDescent="0.25">
      <c r="A2546" s="11" t="s">
        <v>24</v>
      </c>
      <c r="B2546" s="12">
        <v>105000000</v>
      </c>
      <c r="C2546" s="12">
        <v>28772222</v>
      </c>
      <c r="D2546" s="12">
        <v>2015</v>
      </c>
      <c r="E2546" s="12" t="str">
        <f>VLOOKUP(A2546, Currency!$A$2:$B$100, 2, FALSE)</f>
        <v>USD</v>
      </c>
      <c r="F2546" s="12">
        <f ca="1">IFERROR(__xludf.DUMMYFUNCTION("IF(E2546=""USD"",B2546,B2546 * GOOGLEFINANCE(""CURRENCY:"" &amp; E2546 &amp; ""USD""))
"),105000000)</f>
        <v>105000000</v>
      </c>
      <c r="G2546" s="13">
        <f ca="1">IFERROR(__xludf.DUMMYFUNCTION("IF(E2546=""USD"",C2546,C2546 * GOOGLEFINANCE(""CURRENCY:"" &amp; E2546 &amp; ""USD""))
"),28772222)</f>
        <v>28772222</v>
      </c>
    </row>
    <row r="2547" spans="1:7" ht="15.75" customHeight="1" x14ac:dyDescent="0.25">
      <c r="A2547" s="14" t="s">
        <v>133</v>
      </c>
      <c r="B2547" s="15">
        <v>19000000</v>
      </c>
      <c r="C2547" s="15">
        <v>15911333</v>
      </c>
      <c r="D2547" s="15">
        <v>2000</v>
      </c>
      <c r="E2547" s="15" t="str">
        <f>VLOOKUP(A2547, Currency!$A$2:$B$100, 2, FALSE)</f>
        <v>GBP</v>
      </c>
      <c r="F2547" s="15">
        <f ca="1">IFERROR(__xludf.DUMMYFUNCTION("IF(E2547=""USD"",B2547,B2547 * GOOGLEFINANCE(""CURRENCY:"" &amp; E2547 &amp; ""USD""))
"),24422599.9999999)</f>
        <v>24422599.999999899</v>
      </c>
      <c r="G2547" s="16">
        <f ca="1">IFERROR(__xludf.DUMMYFUNCTION("IF(E2547=""USD"",C2547,C2547 * GOOGLEFINANCE(""CURRENCY:"" &amp; E2547 &amp; ""USD""))
"),20452427.4381999)</f>
        <v>20452427.4381999</v>
      </c>
    </row>
    <row r="2548" spans="1:7" ht="15.75" customHeight="1" x14ac:dyDescent="0.25">
      <c r="A2548" s="11" t="s">
        <v>24</v>
      </c>
      <c r="B2548" s="12">
        <v>40000000</v>
      </c>
      <c r="C2548" s="12">
        <v>42615685</v>
      </c>
      <c r="D2548" s="12">
        <v>2014</v>
      </c>
      <c r="E2548" s="12" t="str">
        <f>VLOOKUP(A2548, Currency!$A$2:$B$100, 2, FALSE)</f>
        <v>USD</v>
      </c>
      <c r="F2548" s="12">
        <f ca="1">IFERROR(__xludf.DUMMYFUNCTION("IF(E2548=""USD"",B2548,B2548 * GOOGLEFINANCE(""CURRENCY:"" &amp; E2548 &amp; ""USD""))
"),40000000)</f>
        <v>40000000</v>
      </c>
      <c r="G2548" s="13">
        <f ca="1">IFERROR(__xludf.DUMMYFUNCTION("IF(E2548=""USD"",C2548,C2548 * GOOGLEFINANCE(""CURRENCY:"" &amp; E2548 &amp; ""USD""))
"),42615685)</f>
        <v>42615685</v>
      </c>
    </row>
    <row r="2549" spans="1:7" ht="15.75" customHeight="1" x14ac:dyDescent="0.25">
      <c r="A2549" s="14" t="s">
        <v>133</v>
      </c>
      <c r="B2549" s="15">
        <v>2500000</v>
      </c>
      <c r="C2549" s="15">
        <v>64359</v>
      </c>
      <c r="D2549" s="15">
        <v>1998</v>
      </c>
      <c r="E2549" s="15" t="str">
        <f>VLOOKUP(A2549, Currency!$A$2:$B$100, 2, FALSE)</f>
        <v>GBP</v>
      </c>
      <c r="F2549" s="15">
        <f ca="1">IFERROR(__xludf.DUMMYFUNCTION("IF(E2549=""USD"",B2549,B2549 * GOOGLEFINANCE(""CURRENCY:"" &amp; E2549 &amp; ""USD""))
"),3213499.99999999)</f>
        <v>3213499.9999999902</v>
      </c>
      <c r="G2549" s="16">
        <f ca="1">IFERROR(__xludf.DUMMYFUNCTION("IF(E2549=""USD"",C2549,C2549 * GOOGLEFINANCE(""CURRENCY:"" &amp; E2549 &amp; ""USD""))
"),82727.0585999999)</f>
        <v>82727.058599999902</v>
      </c>
    </row>
    <row r="2550" spans="1:7" ht="15.75" customHeight="1" x14ac:dyDescent="0.25">
      <c r="A2550" s="11" t="s">
        <v>133</v>
      </c>
      <c r="B2550" s="12">
        <v>29000000</v>
      </c>
      <c r="C2550" s="12">
        <v>5899797</v>
      </c>
      <c r="D2550" s="12">
        <v>1987</v>
      </c>
      <c r="E2550" s="12" t="str">
        <f>VLOOKUP(A2550, Currency!$A$2:$B$100, 2, FALSE)</f>
        <v>GBP</v>
      </c>
      <c r="F2550" s="12">
        <f ca="1">IFERROR(__xludf.DUMMYFUNCTION("IF(E2550=""USD"",B2550,B2550 * GOOGLEFINANCE(""CURRENCY:"" &amp; E2550 &amp; ""USD""))
"),37276600)</f>
        <v>37276600</v>
      </c>
      <c r="G2550" s="13">
        <f ca="1">IFERROR(__xludf.DUMMYFUNCTION("IF(E2550=""USD"",C2550,C2550 * GOOGLEFINANCE(""CURRENCY:"" &amp; E2550 &amp; ""USD""))
"),7583599.0638)</f>
        <v>7583599.0637999997</v>
      </c>
    </row>
    <row r="2551" spans="1:7" ht="15.75" customHeight="1" x14ac:dyDescent="0.25">
      <c r="A2551" s="14" t="s">
        <v>24</v>
      </c>
      <c r="B2551" s="15">
        <v>200000</v>
      </c>
      <c r="C2551" s="15">
        <v>2428241</v>
      </c>
      <c r="D2551" s="15">
        <v>2010</v>
      </c>
      <c r="E2551" s="15" t="str">
        <f>VLOOKUP(A2551, Currency!$A$2:$B$100, 2, FALSE)</f>
        <v>USD</v>
      </c>
      <c r="F2551" s="15">
        <f ca="1">IFERROR(__xludf.DUMMYFUNCTION("IF(E2551=""USD"",B2551,B2551 * GOOGLEFINANCE(""CURRENCY:"" &amp; E2551 &amp; ""USD""))
"),200000)</f>
        <v>200000</v>
      </c>
      <c r="G2551" s="16">
        <f ca="1">IFERROR(__xludf.DUMMYFUNCTION("IF(E2551=""USD"",C2551,C2551 * GOOGLEFINANCE(""CURRENCY:"" &amp; E2551 &amp; ""USD""))
"),2428241)</f>
        <v>2428241</v>
      </c>
    </row>
    <row r="2552" spans="1:7" ht="15.75" customHeight="1" x14ac:dyDescent="0.25">
      <c r="A2552" s="11" t="s">
        <v>24</v>
      </c>
      <c r="B2552" s="12">
        <v>18000000</v>
      </c>
      <c r="C2552" s="12">
        <v>8000000</v>
      </c>
      <c r="D2552" s="12">
        <v>1981</v>
      </c>
      <c r="E2552" s="12" t="str">
        <f>VLOOKUP(A2552, Currency!$A$2:$B$100, 2, FALSE)</f>
        <v>USD</v>
      </c>
      <c r="F2552" s="12">
        <f ca="1">IFERROR(__xludf.DUMMYFUNCTION("IF(E2552=""USD"",B2552,B2552 * GOOGLEFINANCE(""CURRENCY:"" &amp; E2552 &amp; ""USD""))
"),18000000)</f>
        <v>18000000</v>
      </c>
      <c r="G2552" s="13">
        <f ca="1">IFERROR(__xludf.DUMMYFUNCTION("IF(E2552=""USD"",C2552,C2552 * GOOGLEFINANCE(""CURRENCY:"" &amp; E2552 &amp; ""USD""))
"),8000000)</f>
        <v>8000000</v>
      </c>
    </row>
    <row r="2553" spans="1:7" ht="15.75" customHeight="1" x14ac:dyDescent="0.25">
      <c r="A2553" s="14" t="s">
        <v>24</v>
      </c>
      <c r="B2553" s="15">
        <v>45000000</v>
      </c>
      <c r="C2553" s="15">
        <v>71277420</v>
      </c>
      <c r="D2553" s="15">
        <v>2001</v>
      </c>
      <c r="E2553" s="15" t="str">
        <f>VLOOKUP(A2553, Currency!$A$2:$B$100, 2, FALSE)</f>
        <v>USD</v>
      </c>
      <c r="F2553" s="15">
        <f ca="1">IFERROR(__xludf.DUMMYFUNCTION("IF(E2553=""USD"",B2553,B2553 * GOOGLEFINANCE(""CURRENCY:"" &amp; E2553 &amp; ""USD""))
"),45000000)</f>
        <v>45000000</v>
      </c>
      <c r="G2553" s="16">
        <f ca="1">IFERROR(__xludf.DUMMYFUNCTION("IF(E2553=""USD"",C2553,C2553 * GOOGLEFINANCE(""CURRENCY:"" &amp; E2553 &amp; ""USD""))
"),71277420)</f>
        <v>71277420</v>
      </c>
    </row>
    <row r="2554" spans="1:7" ht="15.75" customHeight="1" x14ac:dyDescent="0.25">
      <c r="A2554" s="11" t="s">
        <v>24</v>
      </c>
      <c r="B2554" s="12">
        <v>120000000</v>
      </c>
      <c r="C2554" s="12">
        <v>144795350</v>
      </c>
      <c r="D2554" s="12">
        <v>2004</v>
      </c>
      <c r="E2554" s="12" t="str">
        <f>VLOOKUP(A2554, Currency!$A$2:$B$100, 2, FALSE)</f>
        <v>USD</v>
      </c>
      <c r="F2554" s="12">
        <f ca="1">IFERROR(__xludf.DUMMYFUNCTION("IF(E2554=""USD"",B2554,B2554 * GOOGLEFINANCE(""CURRENCY:"" &amp; E2554 &amp; ""USD""))
"),120000000)</f>
        <v>120000000</v>
      </c>
      <c r="G2554" s="13">
        <f ca="1">IFERROR(__xludf.DUMMYFUNCTION("IF(E2554=""USD"",C2554,C2554 * GOOGLEFINANCE(""CURRENCY:"" &amp; E2554 &amp; ""USD""))
"),144795350)</f>
        <v>144795350</v>
      </c>
    </row>
    <row r="2555" spans="1:7" ht="15.75" customHeight="1" x14ac:dyDescent="0.25">
      <c r="A2555" s="14" t="s">
        <v>596</v>
      </c>
      <c r="B2555" s="15">
        <v>28000000</v>
      </c>
      <c r="C2555" s="15">
        <v>17848322</v>
      </c>
      <c r="D2555" s="15">
        <v>2004</v>
      </c>
      <c r="E2555" s="15" t="str">
        <f>VLOOKUP(A2555, Currency!$A$2:$B$100, 2, FALSE)</f>
        <v>EUR</v>
      </c>
      <c r="F2555" s="15">
        <f ca="1">IFERROR(__xludf.DUMMYFUNCTION("IF(E2555=""USD"",B2555,B2555 * GOOGLEFINANCE(""CURRENCY:"" &amp; E2555 &amp; ""USD""))
"),30372720)</f>
        <v>30372720</v>
      </c>
      <c r="G2555" s="16">
        <f ca="1">IFERROR(__xludf.DUMMYFUNCTION("IF(E2555=""USD"",C2555,C2555 * GOOGLEFINANCE(""CURRENCY:"" &amp; E2555 &amp; ""USD""))
"),19360788.80628)</f>
        <v>19360788.806279998</v>
      </c>
    </row>
    <row r="2556" spans="1:7" ht="15.75" customHeight="1" x14ac:dyDescent="0.25">
      <c r="A2556" s="11" t="s">
        <v>24</v>
      </c>
      <c r="B2556" s="12">
        <v>3300000</v>
      </c>
      <c r="C2556" s="12">
        <v>8108247</v>
      </c>
      <c r="D2556" s="12">
        <v>2006</v>
      </c>
      <c r="E2556" s="12" t="str">
        <f>VLOOKUP(A2556, Currency!$A$2:$B$100, 2, FALSE)</f>
        <v>USD</v>
      </c>
      <c r="F2556" s="12">
        <f ca="1">IFERROR(__xludf.DUMMYFUNCTION("IF(E2556=""USD"",B2556,B2556 * GOOGLEFINANCE(""CURRENCY:"" &amp; E2556 &amp; ""USD""))
"),3300000)</f>
        <v>3300000</v>
      </c>
      <c r="G2556" s="13">
        <f ca="1">IFERROR(__xludf.DUMMYFUNCTION("IF(E2556=""USD"",C2556,C2556 * GOOGLEFINANCE(""CURRENCY:"" &amp; E2556 &amp; ""USD""))
"),8108247)</f>
        <v>8108247</v>
      </c>
    </row>
    <row r="2557" spans="1:7" ht="15.75" customHeight="1" x14ac:dyDescent="0.25">
      <c r="A2557" s="14" t="s">
        <v>24</v>
      </c>
      <c r="B2557" s="15">
        <v>8000000</v>
      </c>
      <c r="C2557" s="15">
        <v>22168359</v>
      </c>
      <c r="D2557" s="15">
        <v>1989</v>
      </c>
      <c r="E2557" s="15" t="str">
        <f>VLOOKUP(A2557, Currency!$A$2:$B$100, 2, FALSE)</f>
        <v>USD</v>
      </c>
      <c r="F2557" s="15">
        <f ca="1">IFERROR(__xludf.DUMMYFUNCTION("IF(E2557=""USD"",B2557,B2557 * GOOGLEFINANCE(""CURRENCY:"" &amp; E2557 &amp; ""USD""))
"),8000000)</f>
        <v>8000000</v>
      </c>
      <c r="G2557" s="16">
        <f ca="1">IFERROR(__xludf.DUMMYFUNCTION("IF(E2557=""USD"",C2557,C2557 * GOOGLEFINANCE(""CURRENCY:"" &amp; E2557 &amp; ""USD""))
"),22168359)</f>
        <v>22168359</v>
      </c>
    </row>
    <row r="2558" spans="1:7" ht="15.75" customHeight="1" x14ac:dyDescent="0.25">
      <c r="A2558" s="11" t="s">
        <v>24</v>
      </c>
      <c r="B2558" s="12">
        <v>80000000</v>
      </c>
      <c r="C2558" s="12">
        <v>55673333</v>
      </c>
      <c r="D2558" s="12">
        <v>2010</v>
      </c>
      <c r="E2558" s="12" t="str">
        <f>VLOOKUP(A2558, Currency!$A$2:$B$100, 2, FALSE)</f>
        <v>USD</v>
      </c>
      <c r="F2558" s="12">
        <f ca="1">IFERROR(__xludf.DUMMYFUNCTION("IF(E2558=""USD"",B2558,B2558 * GOOGLEFINANCE(""CURRENCY:"" &amp; E2558 &amp; ""USD""))
"),80000000)</f>
        <v>80000000</v>
      </c>
      <c r="G2558" s="13">
        <f ca="1">IFERROR(__xludf.DUMMYFUNCTION("IF(E2558=""USD"",C2558,C2558 * GOOGLEFINANCE(""CURRENCY:"" &amp; E2558 &amp; ""USD""))
"),55673333)</f>
        <v>55673333</v>
      </c>
    </row>
    <row r="2559" spans="1:7" ht="15.75" customHeight="1" x14ac:dyDescent="0.25">
      <c r="A2559" s="14" t="s">
        <v>1111</v>
      </c>
      <c r="B2559" s="15">
        <v>8000000</v>
      </c>
      <c r="C2559" s="15">
        <v>52961</v>
      </c>
      <c r="D2559" s="15">
        <v>2014</v>
      </c>
      <c r="E2559" s="15" t="str">
        <f>VLOOKUP(A2559, Currency!$A$2:$B$100, 2, FALSE)</f>
        <v>EUR</v>
      </c>
      <c r="F2559" s="15">
        <f ca="1">IFERROR(__xludf.DUMMYFUNCTION("IF(E2559=""USD"",B2559,B2559 * GOOGLEFINANCE(""CURRENCY:"" &amp; E2559 &amp; ""USD""))
"),8677920)</f>
        <v>8677920</v>
      </c>
      <c r="G2559" s="16">
        <f ca="1">IFERROR(__xludf.DUMMYFUNCTION("IF(E2559=""USD"",C2559,C2559 * GOOGLEFINANCE(""CURRENCY:"" &amp; E2559 &amp; ""USD""))
"),57448.91514)</f>
        <v>57448.915139999997</v>
      </c>
    </row>
    <row r="2560" spans="1:7" ht="15.75" customHeight="1" x14ac:dyDescent="0.25">
      <c r="A2560" s="11" t="s">
        <v>627</v>
      </c>
      <c r="B2560" s="12">
        <v>22000000</v>
      </c>
      <c r="C2560" s="12">
        <v>14252830</v>
      </c>
      <c r="D2560" s="12">
        <v>2001</v>
      </c>
      <c r="E2560" s="12" t="str">
        <f>VLOOKUP(A2560, Currency!$A$2:$B$100, 2, FALSE)</f>
        <v>CAD</v>
      </c>
      <c r="F2560" s="12">
        <f ca="1">IFERROR(__xludf.DUMMYFUNCTION("IF(E2560=""USD"",B2560,B2560 * GOOGLEFINANCE(""CURRENCY:"" &amp; E2560 &amp; ""USD""))
"),15914910)</f>
        <v>15914910</v>
      </c>
      <c r="G2560" s="13">
        <f ca="1">IFERROR(__xludf.DUMMYFUNCTION("IF(E2560=""USD"",C2560,C2560 * GOOGLEFINANCE(""CURRENCY:"" &amp; E2560 &amp; ""USD""))
"),10310568.48615)</f>
        <v>10310568.48615</v>
      </c>
    </row>
    <row r="2561" spans="1:7" ht="15.75" customHeight="1" x14ac:dyDescent="0.25">
      <c r="A2561" s="14" t="s">
        <v>24</v>
      </c>
      <c r="B2561" s="15">
        <v>21000000</v>
      </c>
      <c r="C2561" s="15">
        <v>52691009</v>
      </c>
      <c r="D2561" s="15">
        <v>2011</v>
      </c>
      <c r="E2561" s="15" t="str">
        <f>VLOOKUP(A2561, Currency!$A$2:$B$100, 2, FALSE)</f>
        <v>USD</v>
      </c>
      <c r="F2561" s="15">
        <f ca="1">IFERROR(__xludf.DUMMYFUNCTION("IF(E2561=""USD"",B2561,B2561 * GOOGLEFINANCE(""CURRENCY:"" &amp; E2561 &amp; ""USD""))
"),21000000)</f>
        <v>21000000</v>
      </c>
      <c r="G2561" s="16">
        <f ca="1">IFERROR(__xludf.DUMMYFUNCTION("IF(E2561=""USD"",C2561,C2561 * GOOGLEFINANCE(""CURRENCY:"" &amp; E2561 &amp; ""USD""))
"),52691009)</f>
        <v>52691009</v>
      </c>
    </row>
    <row r="2562" spans="1:7" ht="15.75" customHeight="1" x14ac:dyDescent="0.25">
      <c r="A2562" s="11" t="s">
        <v>24</v>
      </c>
      <c r="B2562" s="12">
        <v>35000000</v>
      </c>
      <c r="C2562" s="12">
        <v>39692139</v>
      </c>
      <c r="D2562" s="12">
        <v>2004</v>
      </c>
      <c r="E2562" s="12" t="str">
        <f>VLOOKUP(A2562, Currency!$A$2:$B$100, 2, FALSE)</f>
        <v>USD</v>
      </c>
      <c r="F2562" s="12">
        <f ca="1">IFERROR(__xludf.DUMMYFUNCTION("IF(E2562=""USD"",B2562,B2562 * GOOGLEFINANCE(""CURRENCY:"" &amp; E2562 &amp; ""USD""))
"),35000000)</f>
        <v>35000000</v>
      </c>
      <c r="G2562" s="13">
        <f ca="1">IFERROR(__xludf.DUMMYFUNCTION("IF(E2562=""USD"",C2562,C2562 * GOOGLEFINANCE(""CURRENCY:"" &amp; E2562 &amp; ""USD""))
"),39692139)</f>
        <v>39692139</v>
      </c>
    </row>
    <row r="2563" spans="1:7" ht="15.75" customHeight="1" x14ac:dyDescent="0.25">
      <c r="A2563" s="14" t="s">
        <v>24</v>
      </c>
      <c r="B2563" s="15">
        <v>22000000</v>
      </c>
      <c r="C2563" s="15">
        <v>40270895</v>
      </c>
      <c r="D2563" s="15">
        <v>2001</v>
      </c>
      <c r="E2563" s="15" t="str">
        <f>VLOOKUP(A2563, Currency!$A$2:$B$100, 2, FALSE)</f>
        <v>USD</v>
      </c>
      <c r="F2563" s="15">
        <f ca="1">IFERROR(__xludf.DUMMYFUNCTION("IF(E2563=""USD"",B2563,B2563 * GOOGLEFINANCE(""CURRENCY:"" &amp; E2563 &amp; ""USD""))
"),22000000)</f>
        <v>22000000</v>
      </c>
      <c r="G2563" s="16">
        <f ca="1">IFERROR(__xludf.DUMMYFUNCTION("IF(E2563=""USD"",C2563,C2563 * GOOGLEFINANCE(""CURRENCY:"" &amp; E2563 &amp; ""USD""))
"),40270895)</f>
        <v>40270895</v>
      </c>
    </row>
    <row r="2564" spans="1:7" ht="15.75" customHeight="1" x14ac:dyDescent="0.25">
      <c r="A2564" s="11" t="s">
        <v>24</v>
      </c>
      <c r="B2564" s="12">
        <v>63000000</v>
      </c>
      <c r="C2564" s="12">
        <v>53715611</v>
      </c>
      <c r="D2564" s="12">
        <v>1988</v>
      </c>
      <c r="E2564" s="12" t="str">
        <f>VLOOKUP(A2564, Currency!$A$2:$B$100, 2, FALSE)</f>
        <v>USD</v>
      </c>
      <c r="F2564" s="12">
        <f ca="1">IFERROR(__xludf.DUMMYFUNCTION("IF(E2564=""USD"",B2564,B2564 * GOOGLEFINANCE(""CURRENCY:"" &amp; E2564 &amp; ""USD""))
"),63000000)</f>
        <v>63000000</v>
      </c>
      <c r="G2564" s="13">
        <f ca="1">IFERROR(__xludf.DUMMYFUNCTION("IF(E2564=""USD"",C2564,C2564 * GOOGLEFINANCE(""CURRENCY:"" &amp; E2564 &amp; ""USD""))
"),53715611)</f>
        <v>53715611</v>
      </c>
    </row>
    <row r="2565" spans="1:7" ht="15.75" customHeight="1" x14ac:dyDescent="0.25">
      <c r="A2565" s="14" t="s">
        <v>611</v>
      </c>
      <c r="B2565" s="15">
        <v>27000000</v>
      </c>
      <c r="C2565" s="15">
        <v>1260917</v>
      </c>
      <c r="D2565" s="15">
        <v>2009</v>
      </c>
      <c r="E2565" s="15" t="str">
        <f>VLOOKUP(A2565, Currency!$A$2:$B$100, 2, FALSE)</f>
        <v>EUR</v>
      </c>
      <c r="F2565" s="15">
        <f ca="1">IFERROR(__xludf.DUMMYFUNCTION("IF(E2565=""USD"",B2565,B2565 * GOOGLEFINANCE(""CURRENCY:"" &amp; E2565 &amp; ""USD""))
"),29287980)</f>
        <v>29287980</v>
      </c>
      <c r="G2565" s="16">
        <f ca="1">IFERROR(__xludf.DUMMYFUNCTION("IF(E2565=""USD"",C2565,C2565 * GOOGLEFINANCE(""CURRENCY:"" &amp; E2565 &amp; ""USD""))
"),1367767.10658)</f>
        <v>1367767.1065799999</v>
      </c>
    </row>
    <row r="2566" spans="1:7" ht="15.75" customHeight="1" x14ac:dyDescent="0.25">
      <c r="A2566" s="11" t="s">
        <v>24</v>
      </c>
      <c r="B2566" s="12">
        <v>22000000</v>
      </c>
      <c r="C2566" s="12">
        <v>1796024</v>
      </c>
      <c r="D2566" s="12">
        <v>2010</v>
      </c>
      <c r="E2566" s="12" t="str">
        <f>VLOOKUP(A2566, Currency!$A$2:$B$100, 2, FALSE)</f>
        <v>USD</v>
      </c>
      <c r="F2566" s="12">
        <f ca="1">IFERROR(__xludf.DUMMYFUNCTION("IF(E2566=""USD"",B2566,B2566 * GOOGLEFINANCE(""CURRENCY:"" &amp; E2566 &amp; ""USD""))
"),22000000)</f>
        <v>22000000</v>
      </c>
      <c r="G2566" s="13">
        <f ca="1">IFERROR(__xludf.DUMMYFUNCTION("IF(E2566=""USD"",C2566,C2566 * GOOGLEFINANCE(""CURRENCY:"" &amp; E2566 &amp; ""USD""))
"),1796024)</f>
        <v>1796024</v>
      </c>
    </row>
    <row r="2567" spans="1:7" ht="15.75" customHeight="1" x14ac:dyDescent="0.25">
      <c r="A2567" s="14" t="s">
        <v>24</v>
      </c>
      <c r="B2567" s="15">
        <v>25000000</v>
      </c>
      <c r="C2567" s="15">
        <v>42478175</v>
      </c>
      <c r="D2567" s="15">
        <v>2015</v>
      </c>
      <c r="E2567" s="15" t="str">
        <f>VLOOKUP(A2567, Currency!$A$2:$B$100, 2, FALSE)</f>
        <v>USD</v>
      </c>
      <c r="F2567" s="15">
        <f ca="1">IFERROR(__xludf.DUMMYFUNCTION("IF(E2567=""USD"",B2567,B2567 * GOOGLEFINANCE(""CURRENCY:"" &amp; E2567 &amp; ""USD""))
"),25000000)</f>
        <v>25000000</v>
      </c>
      <c r="G2567" s="16">
        <f ca="1">IFERROR(__xludf.DUMMYFUNCTION("IF(E2567=""USD"",C2567,C2567 * GOOGLEFINANCE(""CURRENCY:"" &amp; E2567 &amp; ""USD""))
"),42478175)</f>
        <v>42478175</v>
      </c>
    </row>
    <row r="2568" spans="1:7" ht="15.75" customHeight="1" x14ac:dyDescent="0.25">
      <c r="A2568" s="11" t="s">
        <v>149</v>
      </c>
      <c r="B2568" s="12">
        <v>80000000</v>
      </c>
      <c r="C2568" s="12">
        <v>18318000</v>
      </c>
      <c r="D2568" s="12">
        <v>1998</v>
      </c>
      <c r="E2568" s="12" t="str">
        <f>VLOOKUP(A2568, Currency!$A$2:$B$100, 2, FALSE)</f>
        <v>AUD</v>
      </c>
      <c r="F2568" s="12">
        <f ca="1">IFERROR(__xludf.DUMMYFUNCTION("IF(E2568=""USD"",B2568,B2568 * GOOGLEFINANCE(""CURRENCY:"" &amp; E2568 &amp; ""USD""))
"),52310400)</f>
        <v>52310400</v>
      </c>
      <c r="G2568" s="13">
        <f ca="1">IFERROR(__xludf.DUMMYFUNCTION("IF(E2568=""USD"",C2568,C2568 * GOOGLEFINANCE(""CURRENCY:"" &amp; E2568 &amp; ""USD""))
"),11977773.84)</f>
        <v>11977773.84</v>
      </c>
    </row>
    <row r="2569" spans="1:7" ht="15.75" customHeight="1" x14ac:dyDescent="0.25">
      <c r="A2569" s="14" t="s">
        <v>24</v>
      </c>
      <c r="B2569" s="15">
        <v>37000000</v>
      </c>
      <c r="C2569" s="15">
        <v>72279690</v>
      </c>
      <c r="D2569" s="15">
        <v>2011</v>
      </c>
      <c r="E2569" s="15" t="str">
        <f>VLOOKUP(A2569, Currency!$A$2:$B$100, 2, FALSE)</f>
        <v>USD</v>
      </c>
      <c r="F2569" s="15">
        <f ca="1">IFERROR(__xludf.DUMMYFUNCTION("IF(E2569=""USD"",B2569,B2569 * GOOGLEFINANCE(""CURRENCY:"" &amp; E2569 &amp; ""USD""))
"),37000000)</f>
        <v>37000000</v>
      </c>
      <c r="G2569" s="16">
        <f ca="1">IFERROR(__xludf.DUMMYFUNCTION("IF(E2569=""USD"",C2569,C2569 * GOOGLEFINANCE(""CURRENCY:"" &amp; E2569 &amp; ""USD""))
"),72279690)</f>
        <v>72279690</v>
      </c>
    </row>
    <row r="2570" spans="1:7" ht="15.75" customHeight="1" x14ac:dyDescent="0.25">
      <c r="A2570" s="11" t="s">
        <v>24</v>
      </c>
      <c r="B2570" s="12">
        <v>8000000</v>
      </c>
      <c r="C2570" s="12">
        <v>10572742</v>
      </c>
      <c r="D2570" s="12">
        <v>2009</v>
      </c>
      <c r="E2570" s="12" t="str">
        <f>VLOOKUP(A2570, Currency!$A$2:$B$100, 2, FALSE)</f>
        <v>USD</v>
      </c>
      <c r="F2570" s="12">
        <f ca="1">IFERROR(__xludf.DUMMYFUNCTION("IF(E2570=""USD"",B2570,B2570 * GOOGLEFINANCE(""CURRENCY:"" &amp; E2570 &amp; ""USD""))
"),8000000)</f>
        <v>8000000</v>
      </c>
      <c r="G2570" s="13">
        <f ca="1">IFERROR(__xludf.DUMMYFUNCTION("IF(E2570=""USD"",C2570,C2570 * GOOGLEFINANCE(""CURRENCY:"" &amp; E2570 &amp; ""USD""))
"),10572742)</f>
        <v>10572742</v>
      </c>
    </row>
    <row r="2571" spans="1:7" ht="15.75" customHeight="1" x14ac:dyDescent="0.25">
      <c r="A2571" s="14" t="s">
        <v>24</v>
      </c>
      <c r="B2571" s="15">
        <v>500000</v>
      </c>
      <c r="C2571" s="15">
        <v>2047570</v>
      </c>
      <c r="D2571" s="15">
        <v>1999</v>
      </c>
      <c r="E2571" s="15" t="str">
        <f>VLOOKUP(A2571, Currency!$A$2:$B$100, 2, FALSE)</f>
        <v>USD</v>
      </c>
      <c r="F2571" s="15">
        <f ca="1">IFERROR(__xludf.DUMMYFUNCTION("IF(E2571=""USD"",B2571,B2571 * GOOGLEFINANCE(""CURRENCY:"" &amp; E2571 &amp; ""USD""))
"),500000)</f>
        <v>500000</v>
      </c>
      <c r="G2571" s="16">
        <f ca="1">IFERROR(__xludf.DUMMYFUNCTION("IF(E2571=""USD"",C2571,C2571 * GOOGLEFINANCE(""CURRENCY:"" &amp; E2571 &amp; ""USD""))
"),2047570)</f>
        <v>2047570</v>
      </c>
    </row>
    <row r="2572" spans="1:7" ht="15.75" customHeight="1" x14ac:dyDescent="0.25">
      <c r="A2572" s="11" t="s">
        <v>24</v>
      </c>
      <c r="B2572" s="12">
        <v>70000000</v>
      </c>
      <c r="C2572" s="12">
        <v>40932372</v>
      </c>
      <c r="D2572" s="12">
        <v>1998</v>
      </c>
      <c r="E2572" s="12" t="str">
        <f>VLOOKUP(A2572, Currency!$A$2:$B$100, 2, FALSE)</f>
        <v>USD</v>
      </c>
      <c r="F2572" s="12">
        <f ca="1">IFERROR(__xludf.DUMMYFUNCTION("IF(E2572=""USD"",B2572,B2572 * GOOGLEFINANCE(""CURRENCY:"" &amp; E2572 &amp; ""USD""))
"),70000000)</f>
        <v>70000000</v>
      </c>
      <c r="G2572" s="13">
        <f ca="1">IFERROR(__xludf.DUMMYFUNCTION("IF(E2572=""USD"",C2572,C2572 * GOOGLEFINANCE(""CURRENCY:"" &amp; E2572 &amp; ""USD""))
"),40932372)</f>
        <v>40932372</v>
      </c>
    </row>
    <row r="2573" spans="1:7" ht="15.75" customHeight="1" x14ac:dyDescent="0.25">
      <c r="A2573" s="14" t="s">
        <v>24</v>
      </c>
      <c r="B2573" s="15">
        <v>2500000</v>
      </c>
      <c r="C2573" s="15">
        <v>548712</v>
      </c>
      <c r="D2573" s="15">
        <v>2003</v>
      </c>
      <c r="E2573" s="15" t="str">
        <f>VLOOKUP(A2573, Currency!$A$2:$B$100, 2, FALSE)</f>
        <v>USD</v>
      </c>
      <c r="F2573" s="15">
        <f ca="1">IFERROR(__xludf.DUMMYFUNCTION("IF(E2573=""USD"",B2573,B2573 * GOOGLEFINANCE(""CURRENCY:"" &amp; E2573 &amp; ""USD""))
"),2500000)</f>
        <v>2500000</v>
      </c>
      <c r="G2573" s="16">
        <f ca="1">IFERROR(__xludf.DUMMYFUNCTION("IF(E2573=""USD"",C2573,C2573 * GOOGLEFINANCE(""CURRENCY:"" &amp; E2573 &amp; ""USD""))
"),548712)</f>
        <v>548712</v>
      </c>
    </row>
    <row r="2574" spans="1:7" ht="15.75" customHeight="1" x14ac:dyDescent="0.25">
      <c r="A2574" s="11" t="s">
        <v>24</v>
      </c>
      <c r="B2574" s="12">
        <v>60000000</v>
      </c>
      <c r="C2574" s="12">
        <v>37479778</v>
      </c>
      <c r="D2574" s="12">
        <v>2009</v>
      </c>
      <c r="E2574" s="12" t="str">
        <f>VLOOKUP(A2574, Currency!$A$2:$B$100, 2, FALSE)</f>
        <v>USD</v>
      </c>
      <c r="F2574" s="12">
        <f ca="1">IFERROR(__xludf.DUMMYFUNCTION("IF(E2574=""USD"",B2574,B2574 * GOOGLEFINANCE(""CURRENCY:"" &amp; E2574 &amp; ""USD""))
"),60000000)</f>
        <v>60000000</v>
      </c>
      <c r="G2574" s="13">
        <f ca="1">IFERROR(__xludf.DUMMYFUNCTION("IF(E2574=""USD"",C2574,C2574 * GOOGLEFINANCE(""CURRENCY:"" &amp; E2574 &amp; ""USD""))
"),37479778)</f>
        <v>37479778</v>
      </c>
    </row>
    <row r="2575" spans="1:7" ht="15.75" customHeight="1" x14ac:dyDescent="0.25">
      <c r="A2575" s="14" t="s">
        <v>24</v>
      </c>
      <c r="B2575" s="15">
        <v>6000000</v>
      </c>
      <c r="C2575" s="15">
        <v>7186670</v>
      </c>
      <c r="D2575" s="15">
        <v>2013</v>
      </c>
      <c r="E2575" s="15" t="str">
        <f>VLOOKUP(A2575, Currency!$A$2:$B$100, 2, FALSE)</f>
        <v>USD</v>
      </c>
      <c r="F2575" s="15">
        <f ca="1">IFERROR(__xludf.DUMMYFUNCTION("IF(E2575=""USD"",B2575,B2575 * GOOGLEFINANCE(""CURRENCY:"" &amp; E2575 &amp; ""USD""))
"),6000000)</f>
        <v>6000000</v>
      </c>
      <c r="G2575" s="16">
        <f ca="1">IFERROR(__xludf.DUMMYFUNCTION("IF(E2575=""USD"",C2575,C2575 * GOOGLEFINANCE(""CURRENCY:"" &amp; E2575 &amp; ""USD""))
"),7186670)</f>
        <v>7186670</v>
      </c>
    </row>
    <row r="2576" spans="1:7" ht="15.75" customHeight="1" x14ac:dyDescent="0.25">
      <c r="A2576" s="11" t="s">
        <v>24</v>
      </c>
      <c r="B2576" s="12">
        <v>16000000</v>
      </c>
      <c r="C2576" s="12">
        <v>2428883</v>
      </c>
      <c r="D2576" s="12">
        <v>2014</v>
      </c>
      <c r="E2576" s="12" t="str">
        <f>VLOOKUP(A2576, Currency!$A$2:$B$100, 2, FALSE)</f>
        <v>USD</v>
      </c>
      <c r="F2576" s="12">
        <f ca="1">IFERROR(__xludf.DUMMYFUNCTION("IF(E2576=""USD"",B2576,B2576 * GOOGLEFINANCE(""CURRENCY:"" &amp; E2576 &amp; ""USD""))
"),16000000)</f>
        <v>16000000</v>
      </c>
      <c r="G2576" s="13">
        <f ca="1">IFERROR(__xludf.DUMMYFUNCTION("IF(E2576=""USD"",C2576,C2576 * GOOGLEFINANCE(""CURRENCY:"" &amp; E2576 &amp; ""USD""))
"),2428883)</f>
        <v>2428883</v>
      </c>
    </row>
    <row r="2577" spans="1:7" ht="15.75" customHeight="1" x14ac:dyDescent="0.25">
      <c r="A2577" s="14" t="s">
        <v>24</v>
      </c>
      <c r="B2577" s="15">
        <v>60000000</v>
      </c>
      <c r="C2577" s="15">
        <v>136801374</v>
      </c>
      <c r="D2577" s="15">
        <v>1999</v>
      </c>
      <c r="E2577" s="15" t="str">
        <f>VLOOKUP(A2577, Currency!$A$2:$B$100, 2, FALSE)</f>
        <v>USD</v>
      </c>
      <c r="F2577" s="15">
        <f ca="1">IFERROR(__xludf.DUMMYFUNCTION("IF(E2577=""USD"",B2577,B2577 * GOOGLEFINANCE(""CURRENCY:"" &amp; E2577 &amp; ""USD""))
"),60000000)</f>
        <v>60000000</v>
      </c>
      <c r="G2577" s="16">
        <f ca="1">IFERROR(__xludf.DUMMYFUNCTION("IF(E2577=""USD"",C2577,C2577 * GOOGLEFINANCE(""CURRENCY:"" &amp; E2577 &amp; ""USD""))
"),136801374)</f>
        <v>136801374</v>
      </c>
    </row>
    <row r="2578" spans="1:7" ht="15.75" customHeight="1" x14ac:dyDescent="0.25">
      <c r="A2578" s="11" t="s">
        <v>24</v>
      </c>
      <c r="B2578" s="12">
        <v>200000</v>
      </c>
      <c r="C2578" s="12">
        <v>174682</v>
      </c>
      <c r="D2578" s="12">
        <v>2002</v>
      </c>
      <c r="E2578" s="12" t="str">
        <f>VLOOKUP(A2578, Currency!$A$2:$B$100, 2, FALSE)</f>
        <v>USD</v>
      </c>
      <c r="F2578" s="12">
        <f ca="1">IFERROR(__xludf.DUMMYFUNCTION("IF(E2578=""USD"",B2578,B2578 * GOOGLEFINANCE(""CURRENCY:"" &amp; E2578 &amp; ""USD""))
"),200000)</f>
        <v>200000</v>
      </c>
      <c r="G2578" s="13">
        <f ca="1">IFERROR(__xludf.DUMMYFUNCTION("IF(E2578=""USD"",C2578,C2578 * GOOGLEFINANCE(""CURRENCY:"" &amp; E2578 &amp; ""USD""))
"),174682)</f>
        <v>174682</v>
      </c>
    </row>
    <row r="2579" spans="1:7" ht="15.75" customHeight="1" x14ac:dyDescent="0.25">
      <c r="A2579" s="14" t="s">
        <v>149</v>
      </c>
      <c r="B2579" s="15">
        <v>40000000</v>
      </c>
      <c r="C2579" s="15">
        <v>1027749</v>
      </c>
      <c r="D2579" s="15">
        <v>2008</v>
      </c>
      <c r="E2579" s="15" t="str">
        <f>VLOOKUP(A2579, Currency!$A$2:$B$100, 2, FALSE)</f>
        <v>AUD</v>
      </c>
      <c r="F2579" s="15">
        <f ca="1">IFERROR(__xludf.DUMMYFUNCTION("IF(E2579=""USD"",B2579,B2579 * GOOGLEFINANCE(""CURRENCY:"" &amp; E2579 &amp; ""USD""))
"),26155200)</f>
        <v>26155200</v>
      </c>
      <c r="G2579" s="16">
        <f ca="1">IFERROR(__xludf.DUMMYFUNCTION("IF(E2579=""USD"",C2579,C2579 * GOOGLEFINANCE(""CURRENCY:"" &amp; E2579 &amp; ""USD""))
"),672024.51612)</f>
        <v>672024.51612000004</v>
      </c>
    </row>
    <row r="2580" spans="1:7" ht="15.75" customHeight="1" x14ac:dyDescent="0.25">
      <c r="A2580" s="11" t="s">
        <v>24</v>
      </c>
      <c r="B2580" s="12">
        <v>60000000</v>
      </c>
      <c r="C2580" s="12">
        <v>40559930</v>
      </c>
      <c r="D2580" s="12">
        <v>2009</v>
      </c>
      <c r="E2580" s="12" t="str">
        <f>VLOOKUP(A2580, Currency!$A$2:$B$100, 2, FALSE)</f>
        <v>USD</v>
      </c>
      <c r="F2580" s="12">
        <f ca="1">IFERROR(__xludf.DUMMYFUNCTION("IF(E2580=""USD"",B2580,B2580 * GOOGLEFINANCE(""CURRENCY:"" &amp; E2580 &amp; ""USD""))
"),60000000)</f>
        <v>60000000</v>
      </c>
      <c r="G2580" s="13">
        <f ca="1">IFERROR(__xludf.DUMMYFUNCTION("IF(E2580=""USD"",C2580,C2580 * GOOGLEFINANCE(""CURRENCY:"" &amp; E2580 &amp; ""USD""))
"),40559930)</f>
        <v>40559930</v>
      </c>
    </row>
    <row r="2581" spans="1:7" ht="15.75" customHeight="1" x14ac:dyDescent="0.25">
      <c r="A2581" s="14" t="s">
        <v>176</v>
      </c>
      <c r="B2581" s="15">
        <v>28000000</v>
      </c>
      <c r="C2581" s="15">
        <v>37053924</v>
      </c>
      <c r="D2581" s="15">
        <v>2011</v>
      </c>
      <c r="E2581" s="15" t="str">
        <f>VLOOKUP(A2581, Currency!$A$2:$B$100, 2, FALSE)</f>
        <v>EUR</v>
      </c>
      <c r="F2581" s="15">
        <f ca="1">IFERROR(__xludf.DUMMYFUNCTION("IF(E2581=""USD"",B2581,B2581 * GOOGLEFINANCE(""CURRENCY:"" &amp; E2581 &amp; ""USD""))
"),30372720)</f>
        <v>30372720</v>
      </c>
      <c r="G2581" s="16">
        <f ca="1">IFERROR(__xludf.DUMMYFUNCTION("IF(E2581=""USD"",C2581,C2581 * GOOGLEFINANCE(""CURRENCY:"" &amp; E2581 &amp; ""USD""))
"),40193873.51976)</f>
        <v>40193873.519759998</v>
      </c>
    </row>
    <row r="2582" spans="1:7" ht="15.75" customHeight="1" x14ac:dyDescent="0.25">
      <c r="A2582" s="11" t="s">
        <v>24</v>
      </c>
      <c r="B2582" s="12">
        <v>2500000</v>
      </c>
      <c r="C2582" s="12">
        <v>99851</v>
      </c>
      <c r="D2582" s="12">
        <v>2010</v>
      </c>
      <c r="E2582" s="12" t="str">
        <f>VLOOKUP(A2582, Currency!$A$2:$B$100, 2, FALSE)</f>
        <v>USD</v>
      </c>
      <c r="F2582" s="12">
        <f ca="1">IFERROR(__xludf.DUMMYFUNCTION("IF(E2582=""USD"",B2582,B2582 * GOOGLEFINANCE(""CURRENCY:"" &amp; E2582 &amp; ""USD""))
"),2500000)</f>
        <v>2500000</v>
      </c>
      <c r="G2582" s="13">
        <f ca="1">IFERROR(__xludf.DUMMYFUNCTION("IF(E2582=""USD"",C2582,C2582 * GOOGLEFINANCE(""CURRENCY:"" &amp; E2582 &amp; ""USD""))
"),99851)</f>
        <v>99851</v>
      </c>
    </row>
    <row r="2583" spans="1:7" ht="15.75" customHeight="1" x14ac:dyDescent="0.25">
      <c r="A2583" s="14" t="s">
        <v>24</v>
      </c>
      <c r="B2583" s="15">
        <v>21000000</v>
      </c>
      <c r="C2583" s="15">
        <v>33313582</v>
      </c>
      <c r="D2583" s="15">
        <v>2009</v>
      </c>
      <c r="E2583" s="15" t="str">
        <f>VLOOKUP(A2583, Currency!$A$2:$B$100, 2, FALSE)</f>
        <v>USD</v>
      </c>
      <c r="F2583" s="15">
        <f ca="1">IFERROR(__xludf.DUMMYFUNCTION("IF(E2583=""USD"",B2583,B2583 * GOOGLEFINANCE(""CURRENCY:"" &amp; E2583 &amp; ""USD""))
"),21000000)</f>
        <v>21000000</v>
      </c>
      <c r="G2583" s="16">
        <f ca="1">IFERROR(__xludf.DUMMYFUNCTION("IF(E2583=""USD"",C2583,C2583 * GOOGLEFINANCE(""CURRENCY:"" &amp; E2583 &amp; ""USD""))
"),33313582)</f>
        <v>33313582</v>
      </c>
    </row>
    <row r="2584" spans="1:7" ht="15.75" customHeight="1" x14ac:dyDescent="0.25">
      <c r="A2584" s="11" t="s">
        <v>24</v>
      </c>
      <c r="B2584" s="12">
        <v>200000000</v>
      </c>
      <c r="C2584" s="12">
        <v>137850096</v>
      </c>
      <c r="D2584" s="12">
        <v>2009</v>
      </c>
      <c r="E2584" s="12" t="str">
        <f>VLOOKUP(A2584, Currency!$A$2:$B$100, 2, FALSE)</f>
        <v>USD</v>
      </c>
      <c r="F2584" s="12">
        <f ca="1">IFERROR(__xludf.DUMMYFUNCTION("IF(E2584=""USD"",B2584,B2584 * GOOGLEFINANCE(""CURRENCY:"" &amp; E2584 &amp; ""USD""))
"),200000000)</f>
        <v>200000000</v>
      </c>
      <c r="G2584" s="13">
        <f ca="1">IFERROR(__xludf.DUMMYFUNCTION("IF(E2584=""USD"",C2584,C2584 * GOOGLEFINANCE(""CURRENCY:"" &amp; E2584 &amp; ""USD""))
"),137850096)</f>
        <v>137850096</v>
      </c>
    </row>
    <row r="2585" spans="1:7" ht="15.75" customHeight="1" x14ac:dyDescent="0.25">
      <c r="A2585" s="14" t="s">
        <v>24</v>
      </c>
      <c r="B2585" s="15">
        <v>20000000</v>
      </c>
      <c r="C2585" s="15">
        <v>26415649</v>
      </c>
      <c r="D2585" s="15">
        <v>2008</v>
      </c>
      <c r="E2585" s="15" t="str">
        <f>VLOOKUP(A2585, Currency!$A$2:$B$100, 2, FALSE)</f>
        <v>USD</v>
      </c>
      <c r="F2585" s="15">
        <f ca="1">IFERROR(__xludf.DUMMYFUNCTION("IF(E2585=""USD"",B2585,B2585 * GOOGLEFINANCE(""CURRENCY:"" &amp; E2585 &amp; ""USD""))
"),20000000)</f>
        <v>20000000</v>
      </c>
      <c r="G2585" s="16">
        <f ca="1">IFERROR(__xludf.DUMMYFUNCTION("IF(E2585=""USD"",C2585,C2585 * GOOGLEFINANCE(""CURRENCY:"" &amp; E2585 &amp; ""USD""))
"),26415649)</f>
        <v>26415649</v>
      </c>
    </row>
    <row r="2586" spans="1:7" ht="15.75" customHeight="1" x14ac:dyDescent="0.25">
      <c r="A2586" s="11" t="s">
        <v>149</v>
      </c>
      <c r="B2586" s="12">
        <v>15000000</v>
      </c>
      <c r="C2586" s="12">
        <v>17411331</v>
      </c>
      <c r="D2586" s="12">
        <v>1998</v>
      </c>
      <c r="E2586" s="12" t="str">
        <f>VLOOKUP(A2586, Currency!$A$2:$B$100, 2, FALSE)</f>
        <v>AUD</v>
      </c>
      <c r="F2586" s="12">
        <f ca="1">IFERROR(__xludf.DUMMYFUNCTION("IF(E2586=""USD"",B2586,B2586 * GOOGLEFINANCE(""CURRENCY:"" &amp; E2586 &amp; ""USD""))
"),9808200)</f>
        <v>9808200</v>
      </c>
      <c r="G2586" s="13">
        <f ca="1">IFERROR(__xludf.DUMMYFUNCTION("IF(E2586=""USD"",C2586,C2586 * GOOGLEFINANCE(""CURRENCY:"" &amp; E2586 &amp; ""USD""))
"),11384921.11428)</f>
        <v>11384921.11428</v>
      </c>
    </row>
    <row r="2587" spans="1:7" ht="15.75" customHeight="1" x14ac:dyDescent="0.25">
      <c r="A2587" s="14" t="s">
        <v>7917</v>
      </c>
      <c r="B2587" s="15">
        <v>20000000</v>
      </c>
      <c r="C2587" s="15">
        <v>5701643</v>
      </c>
      <c r="D2587" s="15">
        <v>2007</v>
      </c>
      <c r="E2587" s="15" t="str">
        <f>VLOOKUP(A2587, Currency!$A$2:$B$100, 2, FALSE)</f>
        <v>RUB</v>
      </c>
      <c r="F2587" s="15">
        <f ca="1">IFERROR(__xludf.DUMMYFUNCTION("IF(E2587=""USD"",B2587,B2587 * GOOGLEFINANCE(""CURRENCY:"" &amp; E2587 &amp; ""USD""))
"),235293.02)</f>
        <v>235293.02</v>
      </c>
      <c r="G2587" s="16">
        <f ca="1">IFERROR(__xludf.DUMMYFUNCTION("IF(E2587=""USD"",C2587,C2587 * GOOGLEFINANCE(""CURRENCY:"" &amp; E2587 &amp; ""USD""))
"),67077.840021593)</f>
        <v>67077.840021593001</v>
      </c>
    </row>
    <row r="2588" spans="1:7" ht="15.75" customHeight="1" x14ac:dyDescent="0.25">
      <c r="A2588" s="11" t="s">
        <v>24</v>
      </c>
      <c r="B2588" s="12">
        <v>135000000</v>
      </c>
      <c r="C2588" s="12">
        <v>77564037</v>
      </c>
      <c r="D2588" s="12">
        <v>2011</v>
      </c>
      <c r="E2588" s="12" t="str">
        <f>VLOOKUP(A2588, Currency!$A$2:$B$100, 2, FALSE)</f>
        <v>USD</v>
      </c>
      <c r="F2588" s="12">
        <f ca="1">IFERROR(__xludf.DUMMYFUNCTION("IF(E2588=""USD"",B2588,B2588 * GOOGLEFINANCE(""CURRENCY:"" &amp; E2588 &amp; ""USD""))
"),135000000)</f>
        <v>135000000</v>
      </c>
      <c r="G2588" s="13">
        <f ca="1">IFERROR(__xludf.DUMMYFUNCTION("IF(E2588=""USD"",C2588,C2588 * GOOGLEFINANCE(""CURRENCY:"" &amp; E2588 &amp; ""USD""))
"),77564037)</f>
        <v>77564037</v>
      </c>
    </row>
    <row r="2589" spans="1:7" ht="15.75" customHeight="1" x14ac:dyDescent="0.25">
      <c r="A2589" s="14" t="s">
        <v>24</v>
      </c>
      <c r="B2589" s="15">
        <v>40000000</v>
      </c>
      <c r="C2589" s="15">
        <v>46280507</v>
      </c>
      <c r="D2589" s="15">
        <v>2014</v>
      </c>
      <c r="E2589" s="15" t="str">
        <f>VLOOKUP(A2589, Currency!$A$2:$B$100, 2, FALSE)</f>
        <v>USD</v>
      </c>
      <c r="F2589" s="15">
        <f ca="1">IFERROR(__xludf.DUMMYFUNCTION("IF(E2589=""USD"",B2589,B2589 * GOOGLEFINANCE(""CURRENCY:"" &amp; E2589 &amp; ""USD""))
"),40000000)</f>
        <v>40000000</v>
      </c>
      <c r="G2589" s="16">
        <f ca="1">IFERROR(__xludf.DUMMYFUNCTION("IF(E2589=""USD"",C2589,C2589 * GOOGLEFINANCE(""CURRENCY:"" &amp; E2589 &amp; ""USD""))
"),46280507)</f>
        <v>46280507</v>
      </c>
    </row>
    <row r="2590" spans="1:7" ht="15.75" customHeight="1" x14ac:dyDescent="0.25">
      <c r="A2590" s="11" t="s">
        <v>24</v>
      </c>
      <c r="B2590" s="12">
        <v>180000000</v>
      </c>
      <c r="C2590" s="12">
        <v>223806889</v>
      </c>
      <c r="D2590" s="12">
        <v>2008</v>
      </c>
      <c r="E2590" s="12" t="str">
        <f>VLOOKUP(A2590, Currency!$A$2:$B$100, 2, FALSE)</f>
        <v>USD</v>
      </c>
      <c r="F2590" s="12">
        <f ca="1">IFERROR(__xludf.DUMMYFUNCTION("IF(E2590=""USD"",B2590,B2590 * GOOGLEFINANCE(""CURRENCY:"" &amp; E2590 &amp; ""USD""))
"),180000000)</f>
        <v>180000000</v>
      </c>
      <c r="G2590" s="13">
        <f ca="1">IFERROR(__xludf.DUMMYFUNCTION("IF(E2590=""USD"",C2590,C2590 * GOOGLEFINANCE(""CURRENCY:"" &amp; E2590 &amp; ""USD""))
"),223806889)</f>
        <v>223806889</v>
      </c>
    </row>
    <row r="2591" spans="1:7" ht="15.75" customHeight="1" x14ac:dyDescent="0.25">
      <c r="A2591" s="14" t="s">
        <v>24</v>
      </c>
      <c r="B2591" s="15">
        <v>2450000</v>
      </c>
      <c r="C2591" s="15">
        <v>178739</v>
      </c>
      <c r="D2591" s="15">
        <v>2011</v>
      </c>
      <c r="E2591" s="15" t="str">
        <f>VLOOKUP(A2591, Currency!$A$2:$B$100, 2, FALSE)</f>
        <v>USD</v>
      </c>
      <c r="F2591" s="15">
        <f ca="1">IFERROR(__xludf.DUMMYFUNCTION("IF(E2591=""USD"",B2591,B2591 * GOOGLEFINANCE(""CURRENCY:"" &amp; E2591 &amp; ""USD""))
"),2450000)</f>
        <v>2450000</v>
      </c>
      <c r="G2591" s="16">
        <f ca="1">IFERROR(__xludf.DUMMYFUNCTION("IF(E2591=""USD"",C2591,C2591 * GOOGLEFINANCE(""CURRENCY:"" &amp; E2591 &amp; ""USD""))
"),178739)</f>
        <v>178739</v>
      </c>
    </row>
    <row r="2592" spans="1:7" ht="15.75" customHeight="1" x14ac:dyDescent="0.25">
      <c r="A2592" s="11" t="s">
        <v>24</v>
      </c>
      <c r="B2592" s="12">
        <v>7000000</v>
      </c>
      <c r="C2592" s="12">
        <v>12583510</v>
      </c>
      <c r="D2592" s="12">
        <v>2003</v>
      </c>
      <c r="E2592" s="12" t="str">
        <f>VLOOKUP(A2592, Currency!$A$2:$B$100, 2, FALSE)</f>
        <v>USD</v>
      </c>
      <c r="F2592" s="12">
        <f ca="1">IFERROR(__xludf.DUMMYFUNCTION("IF(E2592=""USD"",B2592,B2592 * GOOGLEFINANCE(""CURRENCY:"" &amp; E2592 &amp; ""USD""))
"),7000000)</f>
        <v>7000000</v>
      </c>
      <c r="G2592" s="13">
        <f ca="1">IFERROR(__xludf.DUMMYFUNCTION("IF(E2592=""USD"",C2592,C2592 * GOOGLEFINANCE(""CURRENCY:"" &amp; E2592 &amp; ""USD""))
"),12583510)</f>
        <v>12583510</v>
      </c>
    </row>
    <row r="2593" spans="1:7" ht="15.75" customHeight="1" x14ac:dyDescent="0.25">
      <c r="A2593" s="14" t="s">
        <v>24</v>
      </c>
      <c r="B2593" s="15">
        <v>107000000</v>
      </c>
      <c r="C2593" s="15">
        <v>22406362</v>
      </c>
      <c r="D2593" s="15">
        <v>2004</v>
      </c>
      <c r="E2593" s="15" t="str">
        <f>VLOOKUP(A2593, Currency!$A$2:$B$100, 2, FALSE)</f>
        <v>USD</v>
      </c>
      <c r="F2593" s="15">
        <f ca="1">IFERROR(__xludf.DUMMYFUNCTION("IF(E2593=""USD"",B2593,B2593 * GOOGLEFINANCE(""CURRENCY:"" &amp; E2593 &amp; ""USD""))
"),107000000)</f>
        <v>107000000</v>
      </c>
      <c r="G2593" s="16">
        <f ca="1">IFERROR(__xludf.DUMMYFUNCTION("IF(E2593=""USD"",C2593,C2593 * GOOGLEFINANCE(""CURRENCY:"" &amp; E2593 &amp; ""USD""))
"),22406362)</f>
        <v>22406362</v>
      </c>
    </row>
    <row r="2594" spans="1:7" ht="15.75" customHeight="1" x14ac:dyDescent="0.25">
      <c r="A2594" s="11" t="s">
        <v>133</v>
      </c>
      <c r="B2594" s="12">
        <v>35000000</v>
      </c>
      <c r="C2594" s="12">
        <v>19447478</v>
      </c>
      <c r="D2594" s="12">
        <v>2005</v>
      </c>
      <c r="E2594" s="12" t="str">
        <f>VLOOKUP(A2594, Currency!$A$2:$B$100, 2, FALSE)</f>
        <v>GBP</v>
      </c>
      <c r="F2594" s="12">
        <f ca="1">IFERROR(__xludf.DUMMYFUNCTION("IF(E2594=""USD"",B2594,B2594 * GOOGLEFINANCE(""CURRENCY:"" &amp; E2594 &amp; ""USD""))
"),44988999.9999999)</f>
        <v>44988999.999999903</v>
      </c>
      <c r="G2594" s="13">
        <f ca="1">IFERROR(__xludf.DUMMYFUNCTION("IF(E2594=""USD"",C2594,C2594 * GOOGLEFINANCE(""CURRENCY:"" &amp; E2594 &amp; ""USD""))
"),24997788.2211999)</f>
        <v>24997788.2211999</v>
      </c>
    </row>
    <row r="2595" spans="1:7" ht="15.75" customHeight="1" x14ac:dyDescent="0.25">
      <c r="A2595" s="14" t="s">
        <v>611</v>
      </c>
      <c r="B2595" s="15">
        <v>25000000</v>
      </c>
      <c r="C2595" s="15">
        <v>34300771</v>
      </c>
      <c r="D2595" s="15">
        <v>2006</v>
      </c>
      <c r="E2595" s="15" t="str">
        <f>VLOOKUP(A2595, Currency!$A$2:$B$100, 2, FALSE)</f>
        <v>EUR</v>
      </c>
      <c r="F2595" s="15">
        <f ca="1">IFERROR(__xludf.DUMMYFUNCTION("IF(E2595=""USD"",B2595,B2595 * GOOGLEFINANCE(""CURRENCY:"" &amp; E2595 &amp; ""USD""))
"),27118500)</f>
        <v>27118500</v>
      </c>
      <c r="G2595" s="16">
        <f ca="1">IFERROR(__xludf.DUMMYFUNCTION("IF(E2595=""USD"",C2595,C2595 * GOOGLEFINANCE(""CURRENCY:"" &amp; E2595 &amp; ""USD""))
"),37207418.33454)</f>
        <v>37207418.334540002</v>
      </c>
    </row>
    <row r="2596" spans="1:7" ht="15.75" customHeight="1" x14ac:dyDescent="0.25">
      <c r="A2596" s="11" t="s">
        <v>24</v>
      </c>
      <c r="B2596" s="12">
        <v>100000000</v>
      </c>
      <c r="C2596" s="12">
        <v>75030163</v>
      </c>
      <c r="D2596" s="12">
        <v>2006</v>
      </c>
      <c r="E2596" s="12" t="str">
        <f>VLOOKUP(A2596, Currency!$A$2:$B$100, 2, FALSE)</f>
        <v>USD</v>
      </c>
      <c r="F2596" s="12">
        <f ca="1">IFERROR(__xludf.DUMMYFUNCTION("IF(E2596=""USD"",B2596,B2596 * GOOGLEFINANCE(""CURRENCY:"" &amp; E2596 &amp; ""USD""))
"),100000000)</f>
        <v>100000000</v>
      </c>
      <c r="G2596" s="13">
        <f ca="1">IFERROR(__xludf.DUMMYFUNCTION("IF(E2596=""USD"",C2596,C2596 * GOOGLEFINANCE(""CURRENCY:"" &amp; E2596 &amp; ""USD""))
"),75030163)</f>
        <v>75030163</v>
      </c>
    </row>
    <row r="2597" spans="1:7" ht="15.75" customHeight="1" x14ac:dyDescent="0.25">
      <c r="A2597" s="14" t="s">
        <v>24</v>
      </c>
      <c r="B2597" s="15">
        <v>14000000</v>
      </c>
      <c r="C2597" s="15">
        <v>11204499</v>
      </c>
      <c r="D2597" s="15">
        <v>2006</v>
      </c>
      <c r="E2597" s="15" t="str">
        <f>VLOOKUP(A2597, Currency!$A$2:$B$100, 2, FALSE)</f>
        <v>USD</v>
      </c>
      <c r="F2597" s="15">
        <f ca="1">IFERROR(__xludf.DUMMYFUNCTION("IF(E2597=""USD"",B2597,B2597 * GOOGLEFINANCE(""CURRENCY:"" &amp; E2597 &amp; ""USD""))
"),14000000)</f>
        <v>14000000</v>
      </c>
      <c r="G2597" s="16">
        <f ca="1">IFERROR(__xludf.DUMMYFUNCTION("IF(E2597=""USD"",C2597,C2597 * GOOGLEFINANCE(""CURRENCY:"" &amp; E2597 &amp; ""USD""))
"),11204499)</f>
        <v>11204499</v>
      </c>
    </row>
    <row r="2598" spans="1:7" ht="15.75" customHeight="1" x14ac:dyDescent="0.25">
      <c r="A2598" s="11" t="s">
        <v>24</v>
      </c>
      <c r="B2598" s="12">
        <v>2500000</v>
      </c>
      <c r="C2598" s="12">
        <v>173783</v>
      </c>
      <c r="D2598" s="12">
        <v>2008</v>
      </c>
      <c r="E2598" s="12" t="str">
        <f>VLOOKUP(A2598, Currency!$A$2:$B$100, 2, FALSE)</f>
        <v>USD</v>
      </c>
      <c r="F2598" s="12">
        <f ca="1">IFERROR(__xludf.DUMMYFUNCTION("IF(E2598=""USD"",B2598,B2598 * GOOGLEFINANCE(""CURRENCY:"" &amp; E2598 &amp; ""USD""))
"),2500000)</f>
        <v>2500000</v>
      </c>
      <c r="G2598" s="13">
        <f ca="1">IFERROR(__xludf.DUMMYFUNCTION("IF(E2598=""USD"",C2598,C2598 * GOOGLEFINANCE(""CURRENCY:"" &amp; E2598 &amp; ""USD""))
"),173783)</f>
        <v>173783</v>
      </c>
    </row>
    <row r="2599" spans="1:7" ht="15.75" customHeight="1" x14ac:dyDescent="0.25">
      <c r="A2599" s="14" t="s">
        <v>24</v>
      </c>
      <c r="B2599" s="15">
        <v>22000000</v>
      </c>
      <c r="C2599" s="15">
        <v>49002815</v>
      </c>
      <c r="D2599" s="15">
        <v>2012</v>
      </c>
      <c r="E2599" s="15" t="str">
        <f>VLOOKUP(A2599, Currency!$A$2:$B$100, 2, FALSE)</f>
        <v>USD</v>
      </c>
      <c r="F2599" s="15">
        <f ca="1">IFERROR(__xludf.DUMMYFUNCTION("IF(E2599=""USD"",B2599,B2599 * GOOGLEFINANCE(""CURRENCY:"" &amp; E2599 &amp; ""USD""))
"),22000000)</f>
        <v>22000000</v>
      </c>
      <c r="G2599" s="16">
        <f ca="1">IFERROR(__xludf.DUMMYFUNCTION("IF(E2599=""USD"",C2599,C2599 * GOOGLEFINANCE(""CURRENCY:"" &amp; E2599 &amp; ""USD""))
"),49002815)</f>
        <v>49002815</v>
      </c>
    </row>
    <row r="2600" spans="1:7" ht="15.75" customHeight="1" x14ac:dyDescent="0.25">
      <c r="A2600" s="11" t="s">
        <v>133</v>
      </c>
      <c r="B2600" s="12">
        <v>3000000</v>
      </c>
      <c r="C2600" s="12">
        <v>302204</v>
      </c>
      <c r="D2600" s="12">
        <v>1997</v>
      </c>
      <c r="E2600" s="12" t="str">
        <f>VLOOKUP(A2600, Currency!$A$2:$B$100, 2, FALSE)</f>
        <v>GBP</v>
      </c>
      <c r="F2600" s="12">
        <f ca="1">IFERROR(__xludf.DUMMYFUNCTION("IF(E2600=""USD"",B2600,B2600 * GOOGLEFINANCE(""CURRENCY:"" &amp; E2600 &amp; ""USD""))
"),3856199.99999999)</f>
        <v>3856199.9999999902</v>
      </c>
      <c r="G2600" s="13">
        <f ca="1">IFERROR(__xludf.DUMMYFUNCTION("IF(E2600=""USD"",C2600,C2600 * GOOGLEFINANCE(""CURRENCY:"" &amp; E2600 &amp; ""USD""))
"),388453.0216)</f>
        <v>388453.02159999998</v>
      </c>
    </row>
    <row r="2601" spans="1:7" ht="15.75" customHeight="1" x14ac:dyDescent="0.25">
      <c r="A2601" s="14" t="s">
        <v>611</v>
      </c>
      <c r="B2601" s="15">
        <v>500000</v>
      </c>
      <c r="C2601" s="15">
        <v>98017</v>
      </c>
      <c r="D2601" s="15">
        <v>2010</v>
      </c>
      <c r="E2601" s="15" t="str">
        <f>VLOOKUP(A2601, Currency!$A$2:$B$100, 2, FALSE)</f>
        <v>EUR</v>
      </c>
      <c r="F2601" s="15">
        <f ca="1">IFERROR(__xludf.DUMMYFUNCTION("IF(E2601=""USD"",B2601,B2601 * GOOGLEFINANCE(""CURRENCY:"" &amp; E2601 &amp; ""USD""))
"),542370)</f>
        <v>542370</v>
      </c>
      <c r="G2601" s="16">
        <f ca="1">IFERROR(__xludf.DUMMYFUNCTION("IF(E2601=""USD"",C2601,C2601 * GOOGLEFINANCE(""CURRENCY:"" &amp; E2601 &amp; ""USD""))
"),106322.96058)</f>
        <v>106322.96058</v>
      </c>
    </row>
    <row r="2602" spans="1:7" ht="15.75" customHeight="1" x14ac:dyDescent="0.25">
      <c r="A2602" s="11" t="s">
        <v>24</v>
      </c>
      <c r="B2602" s="12">
        <v>20000000</v>
      </c>
      <c r="C2602" s="12">
        <v>8500000</v>
      </c>
      <c r="D2602" s="12">
        <v>1981</v>
      </c>
      <c r="E2602" s="12" t="str">
        <f>VLOOKUP(A2602, Currency!$A$2:$B$100, 2, FALSE)</f>
        <v>USD</v>
      </c>
      <c r="F2602" s="12">
        <f ca="1">IFERROR(__xludf.DUMMYFUNCTION("IF(E2602=""USD"",B2602,B2602 * GOOGLEFINANCE(""CURRENCY:"" &amp; E2602 &amp; ""USD""))
"),20000000)</f>
        <v>20000000</v>
      </c>
      <c r="G2602" s="13">
        <f ca="1">IFERROR(__xludf.DUMMYFUNCTION("IF(E2602=""USD"",C2602,C2602 * GOOGLEFINANCE(""CURRENCY:"" &amp; E2602 &amp; ""USD""))
"),8500000)</f>
        <v>8500000</v>
      </c>
    </row>
    <row r="2603" spans="1:7" ht="15.75" customHeight="1" x14ac:dyDescent="0.25">
      <c r="A2603" s="14" t="s">
        <v>176</v>
      </c>
      <c r="B2603" s="15">
        <v>4000000</v>
      </c>
      <c r="C2603" s="15">
        <v>21244913</v>
      </c>
      <c r="D2603" s="15">
        <v>2002</v>
      </c>
      <c r="E2603" s="15" t="str">
        <f>VLOOKUP(A2603, Currency!$A$2:$B$100, 2, FALSE)</f>
        <v>EUR</v>
      </c>
      <c r="F2603" s="15">
        <f ca="1">IFERROR(__xludf.DUMMYFUNCTION("IF(E2603=""USD"",B2603,B2603 * GOOGLEFINANCE(""CURRENCY:"" &amp; E2603 &amp; ""USD""))
"),4338960)</f>
        <v>4338960</v>
      </c>
      <c r="G2603" s="16">
        <f ca="1">IFERROR(__xludf.DUMMYFUNCTION("IF(E2603=""USD"",C2603,C2603 * GOOGLEFINANCE(""CURRENCY:"" &amp; E2603 &amp; ""USD""))
"),23045206.92762)</f>
        <v>23045206.927620001</v>
      </c>
    </row>
    <row r="2604" spans="1:7" ht="15.75" customHeight="1" x14ac:dyDescent="0.25">
      <c r="A2604" s="11" t="s">
        <v>611</v>
      </c>
      <c r="B2604" s="12">
        <v>25000000</v>
      </c>
      <c r="C2604" s="12">
        <v>145000989</v>
      </c>
      <c r="D2604" s="12">
        <v>2008</v>
      </c>
      <c r="E2604" s="12" t="str">
        <f>VLOOKUP(A2604, Currency!$A$2:$B$100, 2, FALSE)</f>
        <v>EUR</v>
      </c>
      <c r="F2604" s="12">
        <f ca="1">IFERROR(__xludf.DUMMYFUNCTION("IF(E2604=""USD"",B2604,B2604 * GOOGLEFINANCE(""CURRENCY:"" &amp; E2604 &amp; ""USD""))
"),27118500)</f>
        <v>27118500</v>
      </c>
      <c r="G2604" s="13">
        <f ca="1">IFERROR(__xludf.DUMMYFUNCTION("IF(E2604=""USD"",C2604,C2604 * GOOGLEFINANCE(""CURRENCY:"" &amp; E2604 &amp; ""USD""))
"),157288372.80786)</f>
        <v>157288372.80785999</v>
      </c>
    </row>
    <row r="2605" spans="1:7" ht="15.75" customHeight="1" x14ac:dyDescent="0.25">
      <c r="A2605" s="14" t="s">
        <v>24</v>
      </c>
      <c r="B2605" s="15">
        <v>5000000</v>
      </c>
      <c r="C2605" s="15">
        <v>12947763</v>
      </c>
      <c r="D2605" s="15">
        <v>1986</v>
      </c>
      <c r="E2605" s="15" t="str">
        <f>VLOOKUP(A2605, Currency!$A$2:$B$100, 2, FALSE)</f>
        <v>USD</v>
      </c>
      <c r="F2605" s="15">
        <f ca="1">IFERROR(__xludf.DUMMYFUNCTION("IF(E2605=""USD"",B2605,B2605 * GOOGLEFINANCE(""CURRENCY:"" &amp; E2605 &amp; ""USD""))
"),5000000)</f>
        <v>5000000</v>
      </c>
      <c r="G2605" s="16">
        <f ca="1">IFERROR(__xludf.DUMMYFUNCTION("IF(E2605=""USD"",C2605,C2605 * GOOGLEFINANCE(""CURRENCY:"" &amp; E2605 &amp; ""USD""))
"),12947763)</f>
        <v>12947763</v>
      </c>
    </row>
    <row r="2606" spans="1:7" ht="15.75" customHeight="1" x14ac:dyDescent="0.25">
      <c r="A2606" s="11" t="s">
        <v>24</v>
      </c>
      <c r="B2606" s="12">
        <v>85000000</v>
      </c>
      <c r="C2606" s="12">
        <v>84303558</v>
      </c>
      <c r="D2606" s="12">
        <v>2006</v>
      </c>
      <c r="E2606" s="12" t="str">
        <f>VLOOKUP(A2606, Currency!$A$2:$B$100, 2, FALSE)</f>
        <v>USD</v>
      </c>
      <c r="F2606" s="12">
        <f ca="1">IFERROR(__xludf.DUMMYFUNCTION("IF(E2606=""USD"",B2606,B2606 * GOOGLEFINANCE(""CURRENCY:"" &amp; E2606 &amp; ""USD""))
"),85000000)</f>
        <v>85000000</v>
      </c>
      <c r="G2606" s="13">
        <f ca="1">IFERROR(__xludf.DUMMYFUNCTION("IF(E2606=""USD"",C2606,C2606 * GOOGLEFINANCE(""CURRENCY:"" &amp; E2606 &amp; ""USD""))
"),84303558)</f>
        <v>84303558</v>
      </c>
    </row>
    <row r="2607" spans="1:7" ht="15.75" customHeight="1" x14ac:dyDescent="0.25">
      <c r="A2607" s="14" t="s">
        <v>24</v>
      </c>
      <c r="B2607" s="15">
        <v>34000000</v>
      </c>
      <c r="C2607" s="15">
        <v>23360779</v>
      </c>
      <c r="D2607" s="15">
        <v>2000</v>
      </c>
      <c r="E2607" s="15" t="str">
        <f>VLOOKUP(A2607, Currency!$A$2:$B$100, 2, FALSE)</f>
        <v>USD</v>
      </c>
      <c r="F2607" s="15">
        <f ca="1">IFERROR(__xludf.DUMMYFUNCTION("IF(E2607=""USD"",B2607,B2607 * GOOGLEFINANCE(""CURRENCY:"" &amp; E2607 &amp; ""USD""))
"),34000000)</f>
        <v>34000000</v>
      </c>
      <c r="G2607" s="16">
        <f ca="1">IFERROR(__xludf.DUMMYFUNCTION("IF(E2607=""USD"",C2607,C2607 * GOOGLEFINANCE(""CURRENCY:"" &amp; E2607 &amp; ""USD""))
"),23360779)</f>
        <v>23360779</v>
      </c>
    </row>
    <row r="2608" spans="1:7" ht="15.75" customHeight="1" x14ac:dyDescent="0.25">
      <c r="A2608" s="11" t="s">
        <v>24</v>
      </c>
      <c r="B2608" s="12">
        <v>100000000</v>
      </c>
      <c r="C2608" s="12">
        <v>197992827</v>
      </c>
      <c r="D2608" s="12">
        <v>2006</v>
      </c>
      <c r="E2608" s="12" t="str">
        <f>VLOOKUP(A2608, Currency!$A$2:$B$100, 2, FALSE)</f>
        <v>USD</v>
      </c>
      <c r="F2608" s="12">
        <f ca="1">IFERROR(__xludf.DUMMYFUNCTION("IF(E2608=""USD"",B2608,B2608 * GOOGLEFINANCE(""CURRENCY:"" &amp; E2608 &amp; ""USD""))
"),100000000)</f>
        <v>100000000</v>
      </c>
      <c r="G2608" s="13">
        <f ca="1">IFERROR(__xludf.DUMMYFUNCTION("IF(E2608=""USD"",C2608,C2608 * GOOGLEFINANCE(""CURRENCY:"" &amp; E2608 &amp; ""USD""))
"),197992827)</f>
        <v>197992827</v>
      </c>
    </row>
    <row r="2609" spans="1:7" ht="15.75" customHeight="1" x14ac:dyDescent="0.25">
      <c r="A2609" s="14" t="s">
        <v>611</v>
      </c>
      <c r="B2609" s="15">
        <v>8000000</v>
      </c>
      <c r="C2609" s="15">
        <v>77413017</v>
      </c>
      <c r="D2609" s="15">
        <v>2005</v>
      </c>
      <c r="E2609" s="15" t="str">
        <f>VLOOKUP(A2609, Currency!$A$2:$B$100, 2, FALSE)</f>
        <v>EUR</v>
      </c>
      <c r="F2609" s="15">
        <f ca="1">IFERROR(__xludf.DUMMYFUNCTION("IF(E2609=""USD"",B2609,B2609 * GOOGLEFINANCE(""CURRENCY:"" &amp; E2609 &amp; ""USD""))
"),8677920)</f>
        <v>8677920</v>
      </c>
      <c r="G2609" s="16">
        <f ca="1">IFERROR(__xludf.DUMMYFUNCTION("IF(E2609=""USD"",C2609,C2609 * GOOGLEFINANCE(""CURRENCY:"" &amp; E2609 &amp; ""USD""))
"),83972996.06058)</f>
        <v>83972996.06058</v>
      </c>
    </row>
    <row r="2610" spans="1:7" ht="15.75" customHeight="1" x14ac:dyDescent="0.25">
      <c r="A2610" s="11" t="s">
        <v>133</v>
      </c>
      <c r="B2610" s="12">
        <v>3500159</v>
      </c>
      <c r="C2610" s="12">
        <v>32541719</v>
      </c>
      <c r="D2610" s="12">
        <v>2002</v>
      </c>
      <c r="E2610" s="12" t="str">
        <f>VLOOKUP(A2610, Currency!$A$2:$B$100, 2, FALSE)</f>
        <v>GBP</v>
      </c>
      <c r="F2610" s="12">
        <f ca="1">IFERROR(__xludf.DUMMYFUNCTION("IF(E2610=""USD"",B2610,B2610 * GOOGLEFINANCE(""CURRENCY:"" &amp; E2610 &amp; ""USD""))
"),4499104.37859999)</f>
        <v>4499104.3785999902</v>
      </c>
      <c r="G2610" s="13">
        <f ca="1">IFERROR(__xludf.DUMMYFUNCTION("IF(E2610=""USD"",C2610,C2610 * GOOGLEFINANCE(""CURRENCY:"" &amp; E2610 &amp; ""USD""))
"),41829125.6025999)</f>
        <v>41829125.602599896</v>
      </c>
    </row>
    <row r="2611" spans="1:7" ht="15.75" customHeight="1" x14ac:dyDescent="0.25">
      <c r="A2611" s="14" t="s">
        <v>24</v>
      </c>
      <c r="B2611" s="15">
        <v>92000000</v>
      </c>
      <c r="C2611" s="15">
        <v>125305545</v>
      </c>
      <c r="D2611" s="15">
        <v>2000</v>
      </c>
      <c r="E2611" s="15" t="str">
        <f>VLOOKUP(A2611, Currency!$A$2:$B$100, 2, FALSE)</f>
        <v>USD</v>
      </c>
      <c r="F2611" s="15">
        <f ca="1">IFERROR(__xludf.DUMMYFUNCTION("IF(E2611=""USD"",B2611,B2611 * GOOGLEFINANCE(""CURRENCY:"" &amp; E2611 &amp; ""USD""))
"),92000000)</f>
        <v>92000000</v>
      </c>
      <c r="G2611" s="16">
        <f ca="1">IFERROR(__xludf.DUMMYFUNCTION("IF(E2611=""USD"",C2611,C2611 * GOOGLEFINANCE(""CURRENCY:"" &amp; E2611 &amp; ""USD""))
"),125305545)</f>
        <v>125305545</v>
      </c>
    </row>
    <row r="2612" spans="1:7" ht="15.75" customHeight="1" x14ac:dyDescent="0.25">
      <c r="A2612" s="11" t="s">
        <v>24</v>
      </c>
      <c r="B2612" s="12">
        <v>33000000</v>
      </c>
      <c r="C2612" s="12">
        <v>173381405</v>
      </c>
      <c r="D2612" s="12">
        <v>2003</v>
      </c>
      <c r="E2612" s="12" t="str">
        <f>VLOOKUP(A2612, Currency!$A$2:$B$100, 2, FALSE)</f>
        <v>USD</v>
      </c>
      <c r="F2612" s="12">
        <f ca="1">IFERROR(__xludf.DUMMYFUNCTION("IF(E2612=""USD"",B2612,B2612 * GOOGLEFINANCE(""CURRENCY:"" &amp; E2612 &amp; ""USD""))
"),33000000)</f>
        <v>33000000</v>
      </c>
      <c r="G2612" s="13">
        <f ca="1">IFERROR(__xludf.DUMMYFUNCTION("IF(E2612=""USD"",C2612,C2612 * GOOGLEFINANCE(""CURRENCY:"" &amp; E2612 &amp; ""USD""))
"),173381405)</f>
        <v>173381405</v>
      </c>
    </row>
    <row r="2613" spans="1:7" ht="15.75" customHeight="1" x14ac:dyDescent="0.25">
      <c r="A2613" s="14" t="s">
        <v>24</v>
      </c>
      <c r="B2613" s="15">
        <v>90000000</v>
      </c>
      <c r="C2613" s="15">
        <v>143618384</v>
      </c>
      <c r="D2613" s="15">
        <v>2011</v>
      </c>
      <c r="E2613" s="15" t="str">
        <f>VLOOKUP(A2613, Currency!$A$2:$B$100, 2, FALSE)</f>
        <v>USD</v>
      </c>
      <c r="F2613" s="15">
        <f ca="1">IFERROR(__xludf.DUMMYFUNCTION("IF(E2613=""USD"",B2613,B2613 * GOOGLEFINANCE(""CURRENCY:"" &amp; E2613 &amp; ""USD""))
"),90000000)</f>
        <v>90000000</v>
      </c>
      <c r="G2613" s="16">
        <f ca="1">IFERROR(__xludf.DUMMYFUNCTION("IF(E2613=""USD"",C2613,C2613 * GOOGLEFINANCE(""CURRENCY:"" &amp; E2613 &amp; ""USD""))
"),143618384)</f>
        <v>143618384</v>
      </c>
    </row>
    <row r="2614" spans="1:7" ht="15.75" customHeight="1" x14ac:dyDescent="0.25">
      <c r="A2614" s="11" t="s">
        <v>24</v>
      </c>
      <c r="B2614" s="12">
        <v>20000000</v>
      </c>
      <c r="C2614" s="12">
        <v>46363118</v>
      </c>
      <c r="D2614" s="12">
        <v>2005</v>
      </c>
      <c r="E2614" s="12" t="str">
        <f>VLOOKUP(A2614, Currency!$A$2:$B$100, 2, FALSE)</f>
        <v>USD</v>
      </c>
      <c r="F2614" s="12">
        <f ca="1">IFERROR(__xludf.DUMMYFUNCTION("IF(E2614=""USD"",B2614,B2614 * GOOGLEFINANCE(""CURRENCY:"" &amp; E2614 &amp; ""USD""))
"),20000000)</f>
        <v>20000000</v>
      </c>
      <c r="G2614" s="13">
        <f ca="1">IFERROR(__xludf.DUMMYFUNCTION("IF(E2614=""USD"",C2614,C2614 * GOOGLEFINANCE(""CURRENCY:"" &amp; E2614 &amp; ""USD""))
"),46363118)</f>
        <v>46363118</v>
      </c>
    </row>
    <row r="2615" spans="1:7" ht="15.75" customHeight="1" x14ac:dyDescent="0.25">
      <c r="A2615" s="14" t="s">
        <v>133</v>
      </c>
      <c r="B2615" s="15">
        <v>9000000</v>
      </c>
      <c r="C2615" s="15">
        <v>10161099</v>
      </c>
      <c r="D2615" s="15">
        <v>1989</v>
      </c>
      <c r="E2615" s="15" t="str">
        <f>VLOOKUP(A2615, Currency!$A$2:$B$100, 2, FALSE)</f>
        <v>GBP</v>
      </c>
      <c r="F2615" s="15">
        <f ca="1">IFERROR(__xludf.DUMMYFUNCTION("IF(E2615=""USD"",B2615,B2615 * GOOGLEFINANCE(""CURRENCY:"" &amp; E2615 &amp; ""USD""))
"),11568599.9999999)</f>
        <v>11568599.999999899</v>
      </c>
      <c r="G2615" s="16">
        <f ca="1">IFERROR(__xludf.DUMMYFUNCTION("IF(E2615=""USD"",C2615,C2615 * GOOGLEFINANCE(""CURRENCY:"" &amp; E2615 &amp; ""USD""))
"),13061076.6545999)</f>
        <v>13061076.654599899</v>
      </c>
    </row>
    <row r="2616" spans="1:7" ht="15.75" customHeight="1" x14ac:dyDescent="0.25">
      <c r="A2616" s="11" t="s">
        <v>24</v>
      </c>
      <c r="B2616" s="12">
        <v>25000000</v>
      </c>
      <c r="C2616" s="12">
        <v>74273505</v>
      </c>
      <c r="D2616" s="12">
        <v>2007</v>
      </c>
      <c r="E2616" s="12" t="str">
        <f>VLOOKUP(A2616, Currency!$A$2:$B$100, 2, FALSE)</f>
        <v>USD</v>
      </c>
      <c r="F2616" s="12">
        <f ca="1">IFERROR(__xludf.DUMMYFUNCTION("IF(E2616=""USD"",B2616,B2616 * GOOGLEFINANCE(""CURRENCY:"" &amp; E2616 &amp; ""USD""))
"),25000000)</f>
        <v>25000000</v>
      </c>
      <c r="G2616" s="13">
        <f ca="1">IFERROR(__xludf.DUMMYFUNCTION("IF(E2616=""USD"",C2616,C2616 * GOOGLEFINANCE(""CURRENCY:"" &amp; E2616 &amp; ""USD""))
"),74273505)</f>
        <v>74273505</v>
      </c>
    </row>
    <row r="2617" spans="1:7" ht="15.75" customHeight="1" x14ac:dyDescent="0.25">
      <c r="A2617" s="14" t="s">
        <v>133</v>
      </c>
      <c r="B2617" s="15">
        <v>11000000</v>
      </c>
      <c r="C2617" s="15">
        <v>78900000</v>
      </c>
      <c r="D2617" s="15">
        <v>1979</v>
      </c>
      <c r="E2617" s="15" t="str">
        <f>VLOOKUP(A2617, Currency!$A$2:$B$100, 2, FALSE)</f>
        <v>GBP</v>
      </c>
      <c r="F2617" s="15">
        <f ca="1">IFERROR(__xludf.DUMMYFUNCTION("IF(E2617=""USD"",B2617,B2617 * GOOGLEFINANCE(""CURRENCY:"" &amp; E2617 &amp; ""USD""))
"),14139399.9999999)</f>
        <v>14139399.999999899</v>
      </c>
      <c r="G2617" s="16">
        <f ca="1">IFERROR(__xludf.DUMMYFUNCTION("IF(E2617=""USD"",C2617,C2617 * GOOGLEFINANCE(""CURRENCY:"" &amp; E2617 &amp; ""USD""))
"),101418059.999999)</f>
        <v>101418059.999999</v>
      </c>
    </row>
    <row r="2618" spans="1:7" ht="15.75" customHeight="1" x14ac:dyDescent="0.25">
      <c r="A2618" s="11" t="s">
        <v>24</v>
      </c>
      <c r="B2618" s="12">
        <v>10000000</v>
      </c>
      <c r="C2618" s="12">
        <v>12570442</v>
      </c>
      <c r="D2618" s="12">
        <v>2005</v>
      </c>
      <c r="E2618" s="12" t="str">
        <f>VLOOKUP(A2618, Currency!$A$2:$B$100, 2, FALSE)</f>
        <v>USD</v>
      </c>
      <c r="F2618" s="12">
        <f ca="1">IFERROR(__xludf.DUMMYFUNCTION("IF(E2618=""USD"",B2618,B2618 * GOOGLEFINANCE(""CURRENCY:"" &amp; E2618 &amp; ""USD""))
"),10000000)</f>
        <v>10000000</v>
      </c>
      <c r="G2618" s="13">
        <f ca="1">IFERROR(__xludf.DUMMYFUNCTION("IF(E2618=""USD"",C2618,C2618 * GOOGLEFINANCE(""CURRENCY:"" &amp; E2618 &amp; ""USD""))
"),12570442)</f>
        <v>12570442</v>
      </c>
    </row>
    <row r="2619" spans="1:7" ht="15.75" customHeight="1" x14ac:dyDescent="0.25">
      <c r="A2619" s="14" t="s">
        <v>24</v>
      </c>
      <c r="B2619" s="15">
        <v>20000000</v>
      </c>
      <c r="C2619" s="15">
        <v>82624961</v>
      </c>
      <c r="D2619" s="15">
        <v>2011</v>
      </c>
      <c r="E2619" s="15" t="str">
        <f>VLOOKUP(A2619, Currency!$A$2:$B$100, 2, FALSE)</f>
        <v>USD</v>
      </c>
      <c r="F2619" s="15">
        <f ca="1">IFERROR(__xludf.DUMMYFUNCTION("IF(E2619=""USD"",B2619,B2619 * GOOGLEFINANCE(""CURRENCY:"" &amp; E2619 &amp; ""USD""))
"),20000000)</f>
        <v>20000000</v>
      </c>
      <c r="G2619" s="16">
        <f ca="1">IFERROR(__xludf.DUMMYFUNCTION("IF(E2619=""USD"",C2619,C2619 * GOOGLEFINANCE(""CURRENCY:"" &amp; E2619 &amp; ""USD""))
"),82624961)</f>
        <v>82624961</v>
      </c>
    </row>
    <row r="2620" spans="1:7" ht="15.75" customHeight="1" x14ac:dyDescent="0.25">
      <c r="A2620" s="11" t="s">
        <v>8393</v>
      </c>
      <c r="B2620" s="12">
        <v>26000000</v>
      </c>
      <c r="C2620" s="12">
        <v>12188642</v>
      </c>
      <c r="D2620" s="12">
        <v>2015</v>
      </c>
      <c r="E2620" s="12" t="str">
        <f>VLOOKUP(A2620, Currency!$A$2:$B$100, 2, FALSE)</f>
        <v>CLP</v>
      </c>
      <c r="F2620" s="12">
        <f ca="1">IFERROR(__xludf.DUMMYFUNCTION("IF(E2620=""USD"",B2620,B2620 * GOOGLEFINANCE(""CURRENCY:"" &amp; E2620 &amp; ""USD""))
"),27300)</f>
        <v>27300</v>
      </c>
      <c r="G2620" s="13">
        <f ca="1">IFERROR(__xludf.DUMMYFUNCTION("IF(E2620=""USD"",C2620,C2620 * GOOGLEFINANCE(""CURRENCY:"" &amp; E2620 &amp; ""USD""))
"),12798.0741)</f>
        <v>12798.0741</v>
      </c>
    </row>
    <row r="2621" spans="1:7" ht="15.75" customHeight="1" x14ac:dyDescent="0.25">
      <c r="A2621" s="14" t="s">
        <v>24</v>
      </c>
      <c r="B2621" s="15">
        <v>30000000</v>
      </c>
      <c r="C2621" s="15">
        <v>45645204</v>
      </c>
      <c r="D2621" s="15">
        <v>1989</v>
      </c>
      <c r="E2621" s="15" t="str">
        <f>VLOOKUP(A2621, Currency!$A$2:$B$100, 2, FALSE)</f>
        <v>USD</v>
      </c>
      <c r="F2621" s="15">
        <f ca="1">IFERROR(__xludf.DUMMYFUNCTION("IF(E2621=""USD"",B2621,B2621 * GOOGLEFINANCE(""CURRENCY:"" &amp; E2621 &amp; ""USD""))
"),30000000)</f>
        <v>30000000</v>
      </c>
      <c r="G2621" s="16">
        <f ca="1">IFERROR(__xludf.DUMMYFUNCTION("IF(E2621=""USD"",C2621,C2621 * GOOGLEFINANCE(""CURRENCY:"" &amp; E2621 &amp; ""USD""))
"),45645204)</f>
        <v>45645204</v>
      </c>
    </row>
    <row r="2622" spans="1:7" ht="15.75" customHeight="1" x14ac:dyDescent="0.25">
      <c r="A2622" s="11" t="s">
        <v>24</v>
      </c>
      <c r="B2622" s="12">
        <v>150000000</v>
      </c>
      <c r="C2622" s="12">
        <v>93926386</v>
      </c>
      <c r="D2622" s="12">
        <v>2003</v>
      </c>
      <c r="E2622" s="12" t="str">
        <f>VLOOKUP(A2622, Currency!$A$2:$B$100, 2, FALSE)</f>
        <v>USD</v>
      </c>
      <c r="F2622" s="12">
        <f ca="1">IFERROR(__xludf.DUMMYFUNCTION("IF(E2622=""USD"",B2622,B2622 * GOOGLEFINANCE(""CURRENCY:"" &amp; E2622 &amp; ""USD""))
"),150000000)</f>
        <v>150000000</v>
      </c>
      <c r="G2622" s="13">
        <f ca="1">IFERROR(__xludf.DUMMYFUNCTION("IF(E2622=""USD"",C2622,C2622 * GOOGLEFINANCE(""CURRENCY:"" &amp; E2622 &amp; ""USD""))
"),93926386)</f>
        <v>93926386</v>
      </c>
    </row>
    <row r="2623" spans="1:7" ht="15.75" customHeight="1" x14ac:dyDescent="0.25">
      <c r="A2623" s="14" t="s">
        <v>24</v>
      </c>
      <c r="B2623" s="15">
        <v>45000000</v>
      </c>
      <c r="C2623" s="15">
        <v>38360195</v>
      </c>
      <c r="D2623" s="15">
        <v>2006</v>
      </c>
      <c r="E2623" s="15" t="str">
        <f>VLOOKUP(A2623, Currency!$A$2:$B$100, 2, FALSE)</f>
        <v>USD</v>
      </c>
      <c r="F2623" s="15">
        <f ca="1">IFERROR(__xludf.DUMMYFUNCTION("IF(E2623=""USD"",B2623,B2623 * GOOGLEFINANCE(""CURRENCY:"" &amp; E2623 &amp; ""USD""))
"),45000000)</f>
        <v>45000000</v>
      </c>
      <c r="G2623" s="16">
        <f ca="1">IFERROR(__xludf.DUMMYFUNCTION("IF(E2623=""USD"",C2623,C2623 * GOOGLEFINANCE(""CURRENCY:"" &amp; E2623 &amp; ""USD""))
"),38360195)</f>
        <v>38360195</v>
      </c>
    </row>
    <row r="2624" spans="1:7" ht="15.75" customHeight="1" x14ac:dyDescent="0.25">
      <c r="A2624" s="11" t="s">
        <v>24</v>
      </c>
      <c r="B2624" s="12">
        <v>17000000</v>
      </c>
      <c r="C2624" s="12">
        <v>54239856</v>
      </c>
      <c r="D2624" s="12">
        <v>2013</v>
      </c>
      <c r="E2624" s="12" t="str">
        <f>VLOOKUP(A2624, Currency!$A$2:$B$100, 2, FALSE)</f>
        <v>USD</v>
      </c>
      <c r="F2624" s="12">
        <f ca="1">IFERROR(__xludf.DUMMYFUNCTION("IF(E2624=""USD"",B2624,B2624 * GOOGLEFINANCE(""CURRENCY:"" &amp; E2624 &amp; ""USD""))
"),17000000)</f>
        <v>17000000</v>
      </c>
      <c r="G2624" s="13">
        <f ca="1">IFERROR(__xludf.DUMMYFUNCTION("IF(E2624=""USD"",C2624,C2624 * GOOGLEFINANCE(""CURRENCY:"" &amp; E2624 &amp; ""USD""))
"),54239856)</f>
        <v>54239856</v>
      </c>
    </row>
    <row r="2625" spans="1:7" ht="15.75" customHeight="1" x14ac:dyDescent="0.25">
      <c r="A2625" s="14" t="s">
        <v>1220</v>
      </c>
      <c r="B2625" s="15">
        <v>4000000</v>
      </c>
      <c r="C2625" s="15">
        <v>100412</v>
      </c>
      <c r="D2625" s="15">
        <v>2013</v>
      </c>
      <c r="E2625" s="15" t="str">
        <f>VLOOKUP(A2625, Currency!$A$2:$B$100, 2, FALSE)</f>
        <v>MXN</v>
      </c>
      <c r="F2625" s="15">
        <f ca="1">IFERROR(__xludf.DUMMYFUNCTION("IF(E2625=""USD"",B2625,B2625 * GOOGLEFINANCE(""CURRENCY:"" &amp; E2625 &amp; ""USD""))
"),216818.76)</f>
        <v>216818.76</v>
      </c>
      <c r="G2625" s="16">
        <f ca="1">IFERROR(__xludf.DUMMYFUNCTION("IF(E2625=""USD"",C2625,C2625 * GOOGLEFINANCE(""CURRENCY:"" &amp; E2625 &amp; ""USD""))
"),5442.80133228)</f>
        <v>5442.8013322799998</v>
      </c>
    </row>
    <row r="2626" spans="1:7" ht="15.75" customHeight="1" x14ac:dyDescent="0.25">
      <c r="A2626" s="11" t="s">
        <v>24</v>
      </c>
      <c r="B2626" s="12">
        <v>18000000</v>
      </c>
      <c r="C2626" s="12">
        <v>4250320</v>
      </c>
      <c r="D2626" s="12">
        <v>1985</v>
      </c>
      <c r="E2626" s="12" t="str">
        <f>VLOOKUP(A2626, Currency!$A$2:$B$100, 2, FALSE)</f>
        <v>USD</v>
      </c>
      <c r="F2626" s="12">
        <f ca="1">IFERROR(__xludf.DUMMYFUNCTION("IF(E2626=""USD"",B2626,B2626 * GOOGLEFINANCE(""CURRENCY:"" &amp; E2626 &amp; ""USD""))
"),18000000)</f>
        <v>18000000</v>
      </c>
      <c r="G2626" s="13">
        <f ca="1">IFERROR(__xludf.DUMMYFUNCTION("IF(E2626=""USD"",C2626,C2626 * GOOGLEFINANCE(""CURRENCY:"" &amp; E2626 &amp; ""USD""))
"),4250320)</f>
        <v>4250320</v>
      </c>
    </row>
    <row r="2627" spans="1:7" ht="15.75" customHeight="1" x14ac:dyDescent="0.25">
      <c r="A2627" s="14" t="s">
        <v>24</v>
      </c>
      <c r="B2627" s="15">
        <v>35000000</v>
      </c>
      <c r="C2627" s="15">
        <v>28687835</v>
      </c>
      <c r="D2627" s="15">
        <v>2008</v>
      </c>
      <c r="E2627" s="15" t="str">
        <f>VLOOKUP(A2627, Currency!$A$2:$B$100, 2, FALSE)</f>
        <v>USD</v>
      </c>
      <c r="F2627" s="15">
        <f ca="1">IFERROR(__xludf.DUMMYFUNCTION("IF(E2627=""USD"",B2627,B2627 * GOOGLEFINANCE(""CURRENCY:"" &amp; E2627 &amp; ""USD""))
"),35000000)</f>
        <v>35000000</v>
      </c>
      <c r="G2627" s="16">
        <f ca="1">IFERROR(__xludf.DUMMYFUNCTION("IF(E2627=""USD"",C2627,C2627 * GOOGLEFINANCE(""CURRENCY:"" &amp; E2627 &amp; ""USD""))
"),28687835)</f>
        <v>28687835</v>
      </c>
    </row>
    <row r="2628" spans="1:7" ht="15.75" customHeight="1" x14ac:dyDescent="0.25">
      <c r="A2628" s="11" t="s">
        <v>24</v>
      </c>
      <c r="B2628" s="12">
        <v>1100</v>
      </c>
      <c r="C2628" s="12">
        <v>85222</v>
      </c>
      <c r="D2628" s="12">
        <v>2004</v>
      </c>
      <c r="E2628" s="12" t="str">
        <f>VLOOKUP(A2628, Currency!$A$2:$B$100, 2, FALSE)</f>
        <v>USD</v>
      </c>
      <c r="F2628" s="12">
        <f ca="1">IFERROR(__xludf.DUMMYFUNCTION("IF(E2628=""USD"",B2628,B2628 * GOOGLEFINANCE(""CURRENCY:"" &amp; E2628 &amp; ""USD""))
"),1100)</f>
        <v>1100</v>
      </c>
      <c r="G2628" s="13">
        <f ca="1">IFERROR(__xludf.DUMMYFUNCTION("IF(E2628=""USD"",C2628,C2628 * GOOGLEFINANCE(""CURRENCY:"" &amp; E2628 &amp; ""USD""))
"),85222)</f>
        <v>85222</v>
      </c>
    </row>
    <row r="2629" spans="1:7" ht="15.75" customHeight="1" x14ac:dyDescent="0.25">
      <c r="A2629" s="14" t="s">
        <v>176</v>
      </c>
      <c r="B2629" s="15">
        <v>50000000</v>
      </c>
      <c r="C2629" s="15">
        <v>26536120</v>
      </c>
      <c r="D2629" s="15">
        <v>2003</v>
      </c>
      <c r="E2629" s="15" t="str">
        <f>VLOOKUP(A2629, Currency!$A$2:$B$100, 2, FALSE)</f>
        <v>EUR</v>
      </c>
      <c r="F2629" s="15">
        <f ca="1">IFERROR(__xludf.DUMMYFUNCTION("IF(E2629=""USD"",B2629,B2629 * GOOGLEFINANCE(""CURRENCY:"" &amp; E2629 &amp; ""USD""))
"),54237000)</f>
        <v>54237000</v>
      </c>
      <c r="G2629" s="16">
        <f ca="1">IFERROR(__xludf.DUMMYFUNCTION("IF(E2629=""USD"",C2629,C2629 * GOOGLEFINANCE(""CURRENCY:"" &amp; E2629 &amp; ""USD""))
"),28784790.8088)</f>
        <v>28784790.808800001</v>
      </c>
    </row>
    <row r="2630" spans="1:7" ht="15.75" customHeight="1" x14ac:dyDescent="0.25">
      <c r="A2630" s="11" t="s">
        <v>24</v>
      </c>
      <c r="B2630" s="12">
        <v>20000000</v>
      </c>
      <c r="C2630" s="12">
        <v>37672350</v>
      </c>
      <c r="D2630" s="12">
        <v>1998</v>
      </c>
      <c r="E2630" s="12" t="str">
        <f>VLOOKUP(A2630, Currency!$A$2:$B$100, 2, FALSE)</f>
        <v>USD</v>
      </c>
      <c r="F2630" s="12">
        <f ca="1">IFERROR(__xludf.DUMMYFUNCTION("IF(E2630=""USD"",B2630,B2630 * GOOGLEFINANCE(""CURRENCY:"" &amp; E2630 &amp; ""USD""))
"),20000000)</f>
        <v>20000000</v>
      </c>
      <c r="G2630" s="13">
        <f ca="1">IFERROR(__xludf.DUMMYFUNCTION("IF(E2630=""USD"",C2630,C2630 * GOOGLEFINANCE(""CURRENCY:"" &amp; E2630 &amp; ""USD""))
"),37672350)</f>
        <v>37672350</v>
      </c>
    </row>
    <row r="2631" spans="1:7" ht="15.75" customHeight="1" x14ac:dyDescent="0.25">
      <c r="A2631" s="14" t="s">
        <v>24</v>
      </c>
      <c r="B2631" s="15">
        <v>90000000</v>
      </c>
      <c r="C2631" s="15">
        <v>50628009</v>
      </c>
      <c r="D2631" s="15">
        <v>1998</v>
      </c>
      <c r="E2631" s="15" t="str">
        <f>VLOOKUP(A2631, Currency!$A$2:$B$100, 2, FALSE)</f>
        <v>USD</v>
      </c>
      <c r="F2631" s="15">
        <f ca="1">IFERROR(__xludf.DUMMYFUNCTION("IF(E2631=""USD"",B2631,B2631 * GOOGLEFINANCE(""CURRENCY:"" &amp; E2631 &amp; ""USD""))
"),90000000)</f>
        <v>90000000</v>
      </c>
      <c r="G2631" s="16">
        <f ca="1">IFERROR(__xludf.DUMMYFUNCTION("IF(E2631=""USD"",C2631,C2631 * GOOGLEFINANCE(""CURRENCY:"" &amp; E2631 &amp; ""USD""))
"),50628009)</f>
        <v>50628009</v>
      </c>
    </row>
    <row r="2632" spans="1:7" ht="15.75" customHeight="1" x14ac:dyDescent="0.25">
      <c r="A2632" s="11" t="s">
        <v>133</v>
      </c>
      <c r="B2632" s="12">
        <v>200000000</v>
      </c>
      <c r="C2632" s="12">
        <v>168368427</v>
      </c>
      <c r="D2632" s="12">
        <v>2008</v>
      </c>
      <c r="E2632" s="12" t="str">
        <f>VLOOKUP(A2632, Currency!$A$2:$B$100, 2, FALSE)</f>
        <v>GBP</v>
      </c>
      <c r="F2632" s="12">
        <f ca="1">IFERROR(__xludf.DUMMYFUNCTION("IF(E2632=""USD"",B2632,B2632 * GOOGLEFINANCE(""CURRENCY:"" &amp; E2632 &amp; ""USD""))
"),257079999.999999)</f>
        <v>257079999.99999899</v>
      </c>
      <c r="G2632" s="13">
        <f ca="1">IFERROR(__xludf.DUMMYFUNCTION("IF(E2632=""USD"",C2632,C2632 * GOOGLEFINANCE(""CURRENCY:"" &amp; E2632 &amp; ""USD""))
"),216420776.065799)</f>
        <v>216420776.065799</v>
      </c>
    </row>
    <row r="2633" spans="1:7" ht="15.75" customHeight="1" x14ac:dyDescent="0.25">
      <c r="A2633" s="14" t="s">
        <v>133</v>
      </c>
      <c r="B2633" s="15">
        <v>3000000</v>
      </c>
      <c r="C2633" s="15">
        <v>27200000</v>
      </c>
      <c r="D2633" s="15">
        <v>1957</v>
      </c>
      <c r="E2633" s="15" t="str">
        <f>VLOOKUP(A2633, Currency!$A$2:$B$100, 2, FALSE)</f>
        <v>GBP</v>
      </c>
      <c r="F2633" s="15">
        <f ca="1">IFERROR(__xludf.DUMMYFUNCTION("IF(E2633=""USD"",B2633,B2633 * GOOGLEFINANCE(""CURRENCY:"" &amp; E2633 &amp; ""USD""))
"),3856199.99999999)</f>
        <v>3856199.9999999902</v>
      </c>
      <c r="G2633" s="16">
        <f ca="1">IFERROR(__xludf.DUMMYFUNCTION("IF(E2633=""USD"",C2633,C2633 * GOOGLEFINANCE(""CURRENCY:"" &amp; E2633 &amp; ""USD""))
"),34962880)</f>
        <v>34962880</v>
      </c>
    </row>
    <row r="2634" spans="1:7" ht="15.75" customHeight="1" x14ac:dyDescent="0.25">
      <c r="A2634" s="11" t="s">
        <v>24</v>
      </c>
      <c r="B2634" s="12">
        <v>180000000</v>
      </c>
      <c r="C2634" s="12">
        <v>291709845</v>
      </c>
      <c r="D2634" s="12">
        <v>2005</v>
      </c>
      <c r="E2634" s="12" t="str">
        <f>VLOOKUP(A2634, Currency!$A$2:$B$100, 2, FALSE)</f>
        <v>USD</v>
      </c>
      <c r="F2634" s="12">
        <f ca="1">IFERROR(__xludf.DUMMYFUNCTION("IF(E2634=""USD"",B2634,B2634 * GOOGLEFINANCE(""CURRENCY:"" &amp; E2634 &amp; ""USD""))
"),180000000)</f>
        <v>180000000</v>
      </c>
      <c r="G2634" s="13">
        <f ca="1">IFERROR(__xludf.DUMMYFUNCTION("IF(E2634=""USD"",C2634,C2634 * GOOGLEFINANCE(""CURRENCY:"" &amp; E2634 &amp; ""USD""))
"),291709845)</f>
        <v>291709845</v>
      </c>
    </row>
    <row r="2635" spans="1:7" ht="15.75" customHeight="1" x14ac:dyDescent="0.25">
      <c r="A2635" s="14" t="s">
        <v>24</v>
      </c>
      <c r="B2635" s="15">
        <v>115000000</v>
      </c>
      <c r="C2635" s="15">
        <v>146282411</v>
      </c>
      <c r="D2635" s="15">
        <v>1994</v>
      </c>
      <c r="E2635" s="15" t="str">
        <f>VLOOKUP(A2635, Currency!$A$2:$B$100, 2, FALSE)</f>
        <v>USD</v>
      </c>
      <c r="F2635" s="15">
        <f ca="1">IFERROR(__xludf.DUMMYFUNCTION("IF(E2635=""USD"",B2635,B2635 * GOOGLEFINANCE(""CURRENCY:"" &amp; E2635 &amp; ""USD""))
"),115000000)</f>
        <v>115000000</v>
      </c>
      <c r="G2635" s="16">
        <f ca="1">IFERROR(__xludf.DUMMYFUNCTION("IF(E2635=""USD"",C2635,C2635 * GOOGLEFINANCE(""CURRENCY:"" &amp; E2635 &amp; ""USD""))
"),146282411)</f>
        <v>146282411</v>
      </c>
    </row>
    <row r="2636" spans="1:7" ht="15.75" customHeight="1" x14ac:dyDescent="0.25">
      <c r="A2636" s="11" t="s">
        <v>24</v>
      </c>
      <c r="B2636" s="12">
        <v>60000000</v>
      </c>
      <c r="C2636" s="12">
        <v>109176215</v>
      </c>
      <c r="D2636" s="12">
        <v>2009</v>
      </c>
      <c r="E2636" s="12" t="str">
        <f>VLOOKUP(A2636, Currency!$A$2:$B$100, 2, FALSE)</f>
        <v>USD</v>
      </c>
      <c r="F2636" s="12">
        <f ca="1">IFERROR(__xludf.DUMMYFUNCTION("IF(E2636=""USD"",B2636,B2636 * GOOGLEFINANCE(""CURRENCY:"" &amp; E2636 &amp; ""USD""))
"),60000000)</f>
        <v>60000000</v>
      </c>
      <c r="G2636" s="13">
        <f ca="1">IFERROR(__xludf.DUMMYFUNCTION("IF(E2636=""USD"",C2636,C2636 * GOOGLEFINANCE(""CURRENCY:"" &amp; E2636 &amp; ""USD""))
"),109176215)</f>
        <v>109176215</v>
      </c>
    </row>
    <row r="2637" spans="1:7" ht="15.75" customHeight="1" x14ac:dyDescent="0.25">
      <c r="A2637" s="14" t="s">
        <v>24</v>
      </c>
      <c r="B2637" s="15">
        <v>40000000</v>
      </c>
      <c r="C2637" s="15">
        <v>29113588</v>
      </c>
      <c r="D2637" s="15">
        <v>2011</v>
      </c>
      <c r="E2637" s="15" t="str">
        <f>VLOOKUP(A2637, Currency!$A$2:$B$100, 2, FALSE)</f>
        <v>USD</v>
      </c>
      <c r="F2637" s="15">
        <f ca="1">IFERROR(__xludf.DUMMYFUNCTION("IF(E2637=""USD"",B2637,B2637 * GOOGLEFINANCE(""CURRENCY:"" &amp; E2637 &amp; ""USD""))
"),40000000)</f>
        <v>40000000</v>
      </c>
      <c r="G2637" s="16">
        <f ca="1">IFERROR(__xludf.DUMMYFUNCTION("IF(E2637=""USD"",C2637,C2637 * GOOGLEFINANCE(""CURRENCY:"" &amp; E2637 &amp; ""USD""))
"),29113588)</f>
        <v>29113588</v>
      </c>
    </row>
    <row r="2638" spans="1:7" ht="15.75" customHeight="1" x14ac:dyDescent="0.25">
      <c r="A2638" s="11" t="s">
        <v>220</v>
      </c>
      <c r="B2638" s="12">
        <v>31000000</v>
      </c>
      <c r="C2638" s="12">
        <v>84961</v>
      </c>
      <c r="D2638" s="12">
        <v>2002</v>
      </c>
      <c r="E2638" s="12" t="str">
        <f>VLOOKUP(A2638, Currency!$A$2:$B$100, 2, FALSE)</f>
        <v>CNY</v>
      </c>
      <c r="F2638" s="12">
        <f ca="1">IFERROR(__xludf.DUMMYFUNCTION("IF(E2638=""USD"",B2638,B2638 * GOOGLEFINANCE(""CURRENCY:"" &amp; E2638 &amp; ""USD""))
"),4286800.89999999)</f>
        <v>4286800.8999999901</v>
      </c>
      <c r="G2638" s="13">
        <f ca="1">IFERROR(__xludf.DUMMYFUNCTION("IF(E2638=""USD"",C2638,C2638 * GOOGLEFINANCE(""CURRENCY:"" &amp; E2638 &amp; ""USD""))
"),11748.7384279)</f>
        <v>11748.7384279</v>
      </c>
    </row>
    <row r="2639" spans="1:7" ht="15.75" customHeight="1" x14ac:dyDescent="0.25">
      <c r="A2639" s="14" t="s">
        <v>133</v>
      </c>
      <c r="B2639" s="15">
        <v>23000000</v>
      </c>
      <c r="C2639" s="15">
        <v>15785632</v>
      </c>
      <c r="D2639" s="15">
        <v>2016</v>
      </c>
      <c r="E2639" s="15" t="str">
        <f>VLOOKUP(A2639, Currency!$A$2:$B$100, 2, FALSE)</f>
        <v>GBP</v>
      </c>
      <c r="F2639" s="15">
        <f ca="1">IFERROR(__xludf.DUMMYFUNCTION("IF(E2639=""USD"",B2639,B2639 * GOOGLEFINANCE(""CURRENCY:"" &amp; E2639 &amp; ""USD""))
"),29564199.9999999)</f>
        <v>29564199.999999899</v>
      </c>
      <c r="G2639" s="16">
        <f ca="1">IFERROR(__xludf.DUMMYFUNCTION("IF(E2639=""USD"",C2639,C2639 * GOOGLEFINANCE(""CURRENCY:"" &amp; E2639 &amp; ""USD""))
"),20290851.3727999)</f>
        <v>20290851.372799899</v>
      </c>
    </row>
    <row r="2640" spans="1:7" ht="15.75" customHeight="1" x14ac:dyDescent="0.25">
      <c r="A2640" s="11" t="s">
        <v>24</v>
      </c>
      <c r="B2640" s="12">
        <v>40000000</v>
      </c>
      <c r="C2640" s="12">
        <v>108706165</v>
      </c>
      <c r="D2640" s="12">
        <v>1996</v>
      </c>
      <c r="E2640" s="12" t="str">
        <f>VLOOKUP(A2640, Currency!$A$2:$B$100, 2, FALSE)</f>
        <v>USD</v>
      </c>
      <c r="F2640" s="12">
        <f ca="1">IFERROR(__xludf.DUMMYFUNCTION("IF(E2640=""USD"",B2640,B2640 * GOOGLEFINANCE(""CURRENCY:"" &amp; E2640 &amp; ""USD""))
"),40000000)</f>
        <v>40000000</v>
      </c>
      <c r="G2640" s="13">
        <f ca="1">IFERROR(__xludf.DUMMYFUNCTION("IF(E2640=""USD"",C2640,C2640 * GOOGLEFINANCE(""CURRENCY:"" &amp; E2640 &amp; ""USD""))
"),108706165)</f>
        <v>108706165</v>
      </c>
    </row>
    <row r="2641" spans="1:7" ht="15.75" customHeight="1" x14ac:dyDescent="0.25">
      <c r="A2641" s="14" t="s">
        <v>24</v>
      </c>
      <c r="B2641" s="15">
        <v>5000000</v>
      </c>
      <c r="C2641" s="15">
        <v>21501098</v>
      </c>
      <c r="D2641" s="15">
        <v>2013</v>
      </c>
      <c r="E2641" s="15" t="str">
        <f>VLOOKUP(A2641, Currency!$A$2:$B$100, 2, FALSE)</f>
        <v>USD</v>
      </c>
      <c r="F2641" s="15">
        <f ca="1">IFERROR(__xludf.DUMMYFUNCTION("IF(E2641=""USD"",B2641,B2641 * GOOGLEFINANCE(""CURRENCY:"" &amp; E2641 &amp; ""USD""))
"),5000000)</f>
        <v>5000000</v>
      </c>
      <c r="G2641" s="16">
        <f ca="1">IFERROR(__xludf.DUMMYFUNCTION("IF(E2641=""USD"",C2641,C2641 * GOOGLEFINANCE(""CURRENCY:"" &amp; E2641 &amp; ""USD""))
"),21501098)</f>
        <v>21501098</v>
      </c>
    </row>
    <row r="2642" spans="1:7" ht="15.75" customHeight="1" x14ac:dyDescent="0.25">
      <c r="A2642" s="11" t="s">
        <v>160</v>
      </c>
      <c r="B2642" s="12">
        <v>7500000</v>
      </c>
      <c r="C2642" s="12">
        <v>32333860</v>
      </c>
      <c r="D2642" s="12">
        <v>1995</v>
      </c>
      <c r="E2642" s="12" t="str">
        <f>VLOOKUP(A2642, Currency!$A$2:$B$100, 2, FALSE)</f>
        <v>HKD</v>
      </c>
      <c r="F2642" s="12">
        <f ca="1">IFERROR(__xludf.DUMMYFUNCTION("IF(E2642=""USD"",B2642,B2642 * GOOGLEFINANCE(""CURRENCY:"" &amp; E2642 &amp; ""USD""))
"),960707.25)</f>
        <v>960707.25</v>
      </c>
      <c r="G2642" s="13">
        <f ca="1">IFERROR(__xludf.DUMMYFUNCTION("IF(E2642=""USD"",C2642,C2642 * GOOGLEFINANCE(""CURRENCY:"" &amp; E2642 &amp; ""USD""))
"),4141783.16299799)</f>
        <v>4141783.1629979899</v>
      </c>
    </row>
    <row r="2643" spans="1:7" ht="15.75" customHeight="1" x14ac:dyDescent="0.25">
      <c r="A2643" s="14" t="s">
        <v>24</v>
      </c>
      <c r="B2643" s="15">
        <v>35000000</v>
      </c>
      <c r="C2643" s="15">
        <v>30307804</v>
      </c>
      <c r="D2643" s="15">
        <v>2002</v>
      </c>
      <c r="E2643" s="15" t="str">
        <f>VLOOKUP(A2643, Currency!$A$2:$B$100, 2, FALSE)</f>
        <v>USD</v>
      </c>
      <c r="F2643" s="15">
        <f ca="1">IFERROR(__xludf.DUMMYFUNCTION("IF(E2643=""USD"",B2643,B2643 * GOOGLEFINANCE(""CURRENCY:"" &amp; E2643 &amp; ""USD""))
"),35000000)</f>
        <v>35000000</v>
      </c>
      <c r="G2643" s="16">
        <f ca="1">IFERROR(__xludf.DUMMYFUNCTION("IF(E2643=""USD"",C2643,C2643 * GOOGLEFINANCE(""CURRENCY:"" &amp; E2643 &amp; ""USD""))
"),30307804)</f>
        <v>30307804</v>
      </c>
    </row>
    <row r="2644" spans="1:7" ht="15.75" customHeight="1" x14ac:dyDescent="0.25">
      <c r="A2644" s="11" t="s">
        <v>24</v>
      </c>
      <c r="B2644" s="12">
        <v>20000000</v>
      </c>
      <c r="C2644" s="12">
        <v>62933793</v>
      </c>
      <c r="D2644" s="12">
        <v>2010</v>
      </c>
      <c r="E2644" s="12" t="str">
        <f>VLOOKUP(A2644, Currency!$A$2:$B$100, 2, FALSE)</f>
        <v>USD</v>
      </c>
      <c r="F2644" s="12">
        <f ca="1">IFERROR(__xludf.DUMMYFUNCTION("IF(E2644=""USD"",B2644,B2644 * GOOGLEFINANCE(""CURRENCY:"" &amp; E2644 &amp; ""USD""))
"),20000000)</f>
        <v>20000000</v>
      </c>
      <c r="G2644" s="13">
        <f ca="1">IFERROR(__xludf.DUMMYFUNCTION("IF(E2644=""USD"",C2644,C2644 * GOOGLEFINANCE(""CURRENCY:"" &amp; E2644 &amp; ""USD""))
"),62933793)</f>
        <v>62933793</v>
      </c>
    </row>
    <row r="2645" spans="1:7" ht="15.75" customHeight="1" x14ac:dyDescent="0.25">
      <c r="A2645" s="14" t="s">
        <v>24</v>
      </c>
      <c r="B2645" s="15">
        <v>94000000</v>
      </c>
      <c r="C2645" s="15">
        <v>380838870</v>
      </c>
      <c r="D2645" s="15">
        <v>2003</v>
      </c>
      <c r="E2645" s="15" t="str">
        <f>VLOOKUP(A2645, Currency!$A$2:$B$100, 2, FALSE)</f>
        <v>USD</v>
      </c>
      <c r="F2645" s="15">
        <f ca="1">IFERROR(__xludf.DUMMYFUNCTION("IF(E2645=""USD"",B2645,B2645 * GOOGLEFINANCE(""CURRENCY:"" &amp; E2645 &amp; ""USD""))
"),94000000)</f>
        <v>94000000</v>
      </c>
      <c r="G2645" s="16">
        <f ca="1">IFERROR(__xludf.DUMMYFUNCTION("IF(E2645=""USD"",C2645,C2645 * GOOGLEFINANCE(""CURRENCY:"" &amp; E2645 &amp; ""USD""))
"),380838870)</f>
        <v>380838870</v>
      </c>
    </row>
    <row r="2646" spans="1:7" ht="15.75" customHeight="1" x14ac:dyDescent="0.25">
      <c r="A2646" s="11" t="s">
        <v>24</v>
      </c>
      <c r="B2646" s="12">
        <v>3000000</v>
      </c>
      <c r="C2646" s="12">
        <v>141600000</v>
      </c>
      <c r="D2646" s="12">
        <v>1978</v>
      </c>
      <c r="E2646" s="12" t="str">
        <f>VLOOKUP(A2646, Currency!$A$2:$B$100, 2, FALSE)</f>
        <v>USD</v>
      </c>
      <c r="F2646" s="12">
        <f ca="1">IFERROR(__xludf.DUMMYFUNCTION("IF(E2646=""USD"",B2646,B2646 * GOOGLEFINANCE(""CURRENCY:"" &amp; E2646 &amp; ""USD""))
"),3000000)</f>
        <v>3000000</v>
      </c>
      <c r="G2646" s="13">
        <f ca="1">IFERROR(__xludf.DUMMYFUNCTION("IF(E2646=""USD"",C2646,C2646 * GOOGLEFINANCE(""CURRENCY:"" &amp; E2646 &amp; ""USD""))
"),141600000)</f>
        <v>141600000</v>
      </c>
    </row>
    <row r="2647" spans="1:7" ht="15.75" customHeight="1" x14ac:dyDescent="0.25">
      <c r="A2647" s="14" t="s">
        <v>24</v>
      </c>
      <c r="B2647" s="15">
        <v>15000000</v>
      </c>
      <c r="C2647" s="15">
        <v>4193025</v>
      </c>
      <c r="D2647" s="15">
        <v>1999</v>
      </c>
      <c r="E2647" s="15" t="str">
        <f>VLOOKUP(A2647, Currency!$A$2:$B$100, 2, FALSE)</f>
        <v>USD</v>
      </c>
      <c r="F2647" s="15">
        <f ca="1">IFERROR(__xludf.DUMMYFUNCTION("IF(E2647=""USD"",B2647,B2647 * GOOGLEFINANCE(""CURRENCY:"" &amp; E2647 &amp; ""USD""))
"),15000000)</f>
        <v>15000000</v>
      </c>
      <c r="G2647" s="16">
        <f ca="1">IFERROR(__xludf.DUMMYFUNCTION("IF(E2647=""USD"",C2647,C2647 * GOOGLEFINANCE(""CURRENCY:"" &amp; E2647 &amp; ""USD""))
"),4193025)</f>
        <v>4193025</v>
      </c>
    </row>
    <row r="2648" spans="1:7" ht="15.75" customHeight="1" x14ac:dyDescent="0.25">
      <c r="A2648" s="11" t="s">
        <v>24</v>
      </c>
      <c r="B2648" s="12">
        <v>30000000</v>
      </c>
      <c r="C2648" s="12">
        <v>10965209</v>
      </c>
      <c r="D2648" s="12">
        <v>2001</v>
      </c>
      <c r="E2648" s="12" t="str">
        <f>VLOOKUP(A2648, Currency!$A$2:$B$100, 2, FALSE)</f>
        <v>USD</v>
      </c>
      <c r="F2648" s="12">
        <f ca="1">IFERROR(__xludf.DUMMYFUNCTION("IF(E2648=""USD"",B2648,B2648 * GOOGLEFINANCE(""CURRENCY:"" &amp; E2648 &amp; ""USD""))
"),30000000)</f>
        <v>30000000</v>
      </c>
      <c r="G2648" s="13">
        <f ca="1">IFERROR(__xludf.DUMMYFUNCTION("IF(E2648=""USD"",C2648,C2648 * GOOGLEFINANCE(""CURRENCY:"" &amp; E2648 &amp; ""USD""))
"),10965209)</f>
        <v>10965209</v>
      </c>
    </row>
    <row r="2649" spans="1:7" ht="15.75" customHeight="1" x14ac:dyDescent="0.25">
      <c r="A2649" s="14" t="s">
        <v>24</v>
      </c>
      <c r="B2649" s="15">
        <v>110000000</v>
      </c>
      <c r="C2649" s="15">
        <v>50026353</v>
      </c>
      <c r="D2649" s="15">
        <v>2004</v>
      </c>
      <c r="E2649" s="15" t="str">
        <f>VLOOKUP(A2649, Currency!$A$2:$B$100, 2, FALSE)</f>
        <v>USD</v>
      </c>
      <c r="F2649" s="15">
        <f ca="1">IFERROR(__xludf.DUMMYFUNCTION("IF(E2649=""USD"",B2649,B2649 * GOOGLEFINANCE(""CURRENCY:"" &amp; E2649 &amp; ""USD""))
"),110000000)</f>
        <v>110000000</v>
      </c>
      <c r="G2649" s="16">
        <f ca="1">IFERROR(__xludf.DUMMYFUNCTION("IF(E2649=""USD"",C2649,C2649 * GOOGLEFINANCE(""CURRENCY:"" &amp; E2649 &amp; ""USD""))
"),50026353)</f>
        <v>50026353</v>
      </c>
    </row>
    <row r="2650" spans="1:7" ht="15.75" customHeight="1" x14ac:dyDescent="0.25">
      <c r="A2650" s="11" t="s">
        <v>24</v>
      </c>
      <c r="B2650" s="12">
        <v>60000000</v>
      </c>
      <c r="C2650" s="12">
        <v>73701902</v>
      </c>
      <c r="D2650" s="12">
        <v>2004</v>
      </c>
      <c r="E2650" s="12" t="str">
        <f>VLOOKUP(A2650, Currency!$A$2:$B$100, 2, FALSE)</f>
        <v>USD</v>
      </c>
      <c r="F2650" s="12">
        <f ca="1">IFERROR(__xludf.DUMMYFUNCTION("IF(E2650=""USD"",B2650,B2650 * GOOGLEFINANCE(""CURRENCY:"" &amp; E2650 &amp; ""USD""))
"),60000000)</f>
        <v>60000000</v>
      </c>
      <c r="G2650" s="13">
        <f ca="1">IFERROR(__xludf.DUMMYFUNCTION("IF(E2650=""USD"",C2650,C2650 * GOOGLEFINANCE(""CURRENCY:"" &amp; E2650 &amp; ""USD""))
"),73701902)</f>
        <v>73701902</v>
      </c>
    </row>
    <row r="2651" spans="1:7" ht="15.75" customHeight="1" x14ac:dyDescent="0.25">
      <c r="A2651" s="14" t="s">
        <v>24</v>
      </c>
      <c r="B2651" s="15">
        <v>10000000</v>
      </c>
      <c r="C2651" s="15">
        <v>20338609</v>
      </c>
      <c r="D2651" s="15">
        <v>2006</v>
      </c>
      <c r="E2651" s="15" t="str">
        <f>VLOOKUP(A2651, Currency!$A$2:$B$100, 2, FALSE)</f>
        <v>USD</v>
      </c>
      <c r="F2651" s="15">
        <f ca="1">IFERROR(__xludf.DUMMYFUNCTION("IF(E2651=""USD"",B2651,B2651 * GOOGLEFINANCE(""CURRENCY:"" &amp; E2651 &amp; ""USD""))
"),10000000)</f>
        <v>10000000</v>
      </c>
      <c r="G2651" s="16">
        <f ca="1">IFERROR(__xludf.DUMMYFUNCTION("IF(E2651=""USD"",C2651,C2651 * GOOGLEFINANCE(""CURRENCY:"" &amp; E2651 &amp; ""USD""))
"),20338609)</f>
        <v>20338609</v>
      </c>
    </row>
    <row r="2652" spans="1:7" ht="15.75" customHeight="1" x14ac:dyDescent="0.25">
      <c r="A2652" s="11" t="s">
        <v>24</v>
      </c>
      <c r="B2652" s="12">
        <v>1800000</v>
      </c>
      <c r="C2652" s="12">
        <v>32600000</v>
      </c>
      <c r="D2652" s="12">
        <v>1984</v>
      </c>
      <c r="E2652" s="12" t="str">
        <f>VLOOKUP(A2652, Currency!$A$2:$B$100, 2, FALSE)</f>
        <v>USD</v>
      </c>
      <c r="F2652" s="12">
        <f ca="1">IFERROR(__xludf.DUMMYFUNCTION("IF(E2652=""USD"",B2652,B2652 * GOOGLEFINANCE(""CURRENCY:"" &amp; E2652 &amp; ""USD""))
"),1800000)</f>
        <v>1800000</v>
      </c>
      <c r="G2652" s="13">
        <f ca="1">IFERROR(__xludf.DUMMYFUNCTION("IF(E2652=""USD"",C2652,C2652 * GOOGLEFINANCE(""CURRENCY:"" &amp; E2652 &amp; ""USD""))
"),32600000)</f>
        <v>32600000</v>
      </c>
    </row>
    <row r="2653" spans="1:7" ht="15.75" customHeight="1" x14ac:dyDescent="0.25">
      <c r="A2653" s="14" t="s">
        <v>24</v>
      </c>
      <c r="B2653" s="15">
        <v>18000000</v>
      </c>
      <c r="C2653" s="15">
        <v>17071230</v>
      </c>
      <c r="D2653" s="15">
        <v>2000</v>
      </c>
      <c r="E2653" s="15" t="str">
        <f>VLOOKUP(A2653, Currency!$A$2:$B$100, 2, FALSE)</f>
        <v>USD</v>
      </c>
      <c r="F2653" s="15">
        <f ca="1">IFERROR(__xludf.DUMMYFUNCTION("IF(E2653=""USD"",B2653,B2653 * GOOGLEFINANCE(""CURRENCY:"" &amp; E2653 &amp; ""USD""))
"),18000000)</f>
        <v>18000000</v>
      </c>
      <c r="G2653" s="16">
        <f ca="1">IFERROR(__xludf.DUMMYFUNCTION("IF(E2653=""USD"",C2653,C2653 * GOOGLEFINANCE(""CURRENCY:"" &amp; E2653 &amp; ""USD""))
"),17071230)</f>
        <v>17071230</v>
      </c>
    </row>
    <row r="2654" spans="1:7" ht="15.75" customHeight="1" x14ac:dyDescent="0.25">
      <c r="A2654" s="11" t="s">
        <v>611</v>
      </c>
      <c r="B2654" s="12">
        <v>20000000</v>
      </c>
      <c r="C2654" s="12">
        <v>17529157</v>
      </c>
      <c r="D2654" s="12">
        <v>2012</v>
      </c>
      <c r="E2654" s="12" t="str">
        <f>VLOOKUP(A2654, Currency!$A$2:$B$100, 2, FALSE)</f>
        <v>EUR</v>
      </c>
      <c r="F2654" s="12">
        <f ca="1">IFERROR(__xludf.DUMMYFUNCTION("IF(E2654=""USD"",B2654,B2654 * GOOGLEFINANCE(""CURRENCY:"" &amp; E2654 &amp; ""USD""))
"),21694800)</f>
        <v>21694800</v>
      </c>
      <c r="G2654" s="13">
        <f ca="1">IFERROR(__xludf.DUMMYFUNCTION("IF(E2654=""USD"",C2654,C2654 * GOOGLEFINANCE(""CURRENCY:"" &amp; E2654 &amp; ""USD""))
"),19014577.76418)</f>
        <v>19014577.764180001</v>
      </c>
    </row>
    <row r="2655" spans="1:7" ht="15.75" customHeight="1" x14ac:dyDescent="0.25">
      <c r="A2655" s="14" t="s">
        <v>24</v>
      </c>
      <c r="B2655" s="15">
        <v>3300000</v>
      </c>
      <c r="C2655" s="15">
        <v>2961991</v>
      </c>
      <c r="D2655" s="15">
        <v>1996</v>
      </c>
      <c r="E2655" s="15" t="str">
        <f>VLOOKUP(A2655, Currency!$A$2:$B$100, 2, FALSE)</f>
        <v>USD</v>
      </c>
      <c r="F2655" s="15">
        <f ca="1">IFERROR(__xludf.DUMMYFUNCTION("IF(E2655=""USD"",B2655,B2655 * GOOGLEFINANCE(""CURRENCY:"" &amp; E2655 &amp; ""USD""))
"),3300000)</f>
        <v>3300000</v>
      </c>
      <c r="G2655" s="16">
        <f ca="1">IFERROR(__xludf.DUMMYFUNCTION("IF(E2655=""USD"",C2655,C2655 * GOOGLEFINANCE(""CURRENCY:"" &amp; E2655 &amp; ""USD""))
"),2961991)</f>
        <v>2961991</v>
      </c>
    </row>
    <row r="2656" spans="1:7" ht="15.75" customHeight="1" x14ac:dyDescent="0.25">
      <c r="A2656" s="11" t="s">
        <v>24</v>
      </c>
      <c r="B2656" s="12">
        <v>5000000</v>
      </c>
      <c r="C2656" s="12">
        <v>14015786</v>
      </c>
      <c r="D2656" s="12">
        <v>2002</v>
      </c>
      <c r="E2656" s="12" t="str">
        <f>VLOOKUP(A2656, Currency!$A$2:$B$100, 2, FALSE)</f>
        <v>USD</v>
      </c>
      <c r="F2656" s="12">
        <f ca="1">IFERROR(__xludf.DUMMYFUNCTION("IF(E2656=""USD"",B2656,B2656 * GOOGLEFINANCE(""CURRENCY:"" &amp; E2656 &amp; ""USD""))
"),5000000)</f>
        <v>5000000</v>
      </c>
      <c r="G2656" s="13">
        <f ca="1">IFERROR(__xludf.DUMMYFUNCTION("IF(E2656=""USD"",C2656,C2656 * GOOGLEFINANCE(""CURRENCY:"" &amp; E2656 &amp; ""USD""))
"),14015786)</f>
        <v>14015786</v>
      </c>
    </row>
    <row r="2657" spans="1:7" ht="15.75" customHeight="1" x14ac:dyDescent="0.25">
      <c r="A2657" s="14" t="s">
        <v>24</v>
      </c>
      <c r="B2657" s="15">
        <v>50000000</v>
      </c>
      <c r="C2657" s="15">
        <v>127997349</v>
      </c>
      <c r="D2657" s="15">
        <v>2014</v>
      </c>
      <c r="E2657" s="15" t="str">
        <f>VLOOKUP(A2657, Currency!$A$2:$B$100, 2, FALSE)</f>
        <v>USD</v>
      </c>
      <c r="F2657" s="15">
        <f ca="1">IFERROR(__xludf.DUMMYFUNCTION("IF(E2657=""USD"",B2657,B2657 * GOOGLEFINANCE(""CURRENCY:"" &amp; E2657 &amp; ""USD""))
"),50000000)</f>
        <v>50000000</v>
      </c>
      <c r="G2657" s="16">
        <f ca="1">IFERROR(__xludf.DUMMYFUNCTION("IF(E2657=""USD"",C2657,C2657 * GOOGLEFINANCE(""CURRENCY:"" &amp; E2657 &amp; ""USD""))
"),127997349)</f>
        <v>127997349</v>
      </c>
    </row>
    <row r="2658" spans="1:7" ht="15.75" customHeight="1" x14ac:dyDescent="0.25">
      <c r="A2658" s="11" t="s">
        <v>24</v>
      </c>
      <c r="B2658" s="12">
        <v>50000000</v>
      </c>
      <c r="C2658" s="12">
        <v>91030827</v>
      </c>
      <c r="D2658" s="12">
        <v>1998</v>
      </c>
      <c r="E2658" s="12" t="str">
        <f>VLOOKUP(A2658, Currency!$A$2:$B$100, 2, FALSE)</f>
        <v>USD</v>
      </c>
      <c r="F2658" s="12">
        <f ca="1">IFERROR(__xludf.DUMMYFUNCTION("IF(E2658=""USD"",B2658,B2658 * GOOGLEFINANCE(""CURRENCY:"" &amp; E2658 &amp; ""USD""))
"),50000000)</f>
        <v>50000000</v>
      </c>
      <c r="G2658" s="13">
        <f ca="1">IFERROR(__xludf.DUMMYFUNCTION("IF(E2658=""USD"",C2658,C2658 * GOOGLEFINANCE(""CURRENCY:"" &amp; E2658 &amp; ""USD""))
"),91030827)</f>
        <v>91030827</v>
      </c>
    </row>
    <row r="2659" spans="1:7" ht="15.75" customHeight="1" x14ac:dyDescent="0.25">
      <c r="A2659" s="14" t="s">
        <v>24</v>
      </c>
      <c r="B2659" s="15">
        <v>22000000</v>
      </c>
      <c r="C2659" s="15">
        <v>55762229</v>
      </c>
      <c r="D2659" s="15">
        <v>2001</v>
      </c>
      <c r="E2659" s="15" t="str">
        <f>VLOOKUP(A2659, Currency!$A$2:$B$100, 2, FALSE)</f>
        <v>USD</v>
      </c>
      <c r="F2659" s="15">
        <f ca="1">IFERROR(__xludf.DUMMYFUNCTION("IF(E2659=""USD"",B2659,B2659 * GOOGLEFINANCE(""CURRENCY:"" &amp; E2659 &amp; ""USD""))
"),22000000)</f>
        <v>22000000</v>
      </c>
      <c r="G2659" s="16">
        <f ca="1">IFERROR(__xludf.DUMMYFUNCTION("IF(E2659=""USD"",C2659,C2659 * GOOGLEFINANCE(""CURRENCY:"" &amp; E2659 &amp; ""USD""))
"),55762229)</f>
        <v>55762229</v>
      </c>
    </row>
    <row r="2660" spans="1:7" ht="15.75" customHeight="1" x14ac:dyDescent="0.25">
      <c r="A2660" s="11" t="s">
        <v>24</v>
      </c>
      <c r="B2660" s="12">
        <v>35000000</v>
      </c>
      <c r="C2660" s="12">
        <v>69700000</v>
      </c>
      <c r="D2660" s="12">
        <v>1982</v>
      </c>
      <c r="E2660" s="12" t="str">
        <f>VLOOKUP(A2660, Currency!$A$2:$B$100, 2, FALSE)</f>
        <v>USD</v>
      </c>
      <c r="F2660" s="12">
        <f ca="1">IFERROR(__xludf.DUMMYFUNCTION("IF(E2660=""USD"",B2660,B2660 * GOOGLEFINANCE(""CURRENCY:"" &amp; E2660 &amp; ""USD""))
"),35000000)</f>
        <v>35000000</v>
      </c>
      <c r="G2660" s="13">
        <f ca="1">IFERROR(__xludf.DUMMYFUNCTION("IF(E2660=""USD"",C2660,C2660 * GOOGLEFINANCE(""CURRENCY:"" &amp; E2660 &amp; ""USD""))
"),69700000)</f>
        <v>69700000</v>
      </c>
    </row>
    <row r="2661" spans="1:7" ht="15.75" customHeight="1" x14ac:dyDescent="0.25">
      <c r="A2661" s="14" t="s">
        <v>24</v>
      </c>
      <c r="B2661" s="15">
        <v>13000000</v>
      </c>
      <c r="C2661" s="15">
        <v>46563158</v>
      </c>
      <c r="D2661" s="15">
        <v>2002</v>
      </c>
      <c r="E2661" s="15" t="str">
        <f>VLOOKUP(A2661, Currency!$A$2:$B$100, 2, FALSE)</f>
        <v>USD</v>
      </c>
      <c r="F2661" s="15">
        <f ca="1">IFERROR(__xludf.DUMMYFUNCTION("IF(E2661=""USD"",B2661,B2661 * GOOGLEFINANCE(""CURRENCY:"" &amp; E2661 &amp; ""USD""))
"),13000000)</f>
        <v>13000000</v>
      </c>
      <c r="G2661" s="16">
        <f ca="1">IFERROR(__xludf.DUMMYFUNCTION("IF(E2661=""USD"",C2661,C2661 * GOOGLEFINANCE(""CURRENCY:"" &amp; E2661 &amp; ""USD""))
"),46563158)</f>
        <v>46563158</v>
      </c>
    </row>
    <row r="2662" spans="1:7" ht="15.75" customHeight="1" x14ac:dyDescent="0.25">
      <c r="A2662" s="11" t="s">
        <v>24</v>
      </c>
      <c r="B2662" s="12">
        <v>23000000</v>
      </c>
      <c r="C2662" s="12">
        <v>27338033</v>
      </c>
      <c r="D2662" s="12">
        <v>2001</v>
      </c>
      <c r="E2662" s="12" t="str">
        <f>VLOOKUP(A2662, Currency!$A$2:$B$100, 2, FALSE)</f>
        <v>USD</v>
      </c>
      <c r="F2662" s="12">
        <f ca="1">IFERROR(__xludf.DUMMYFUNCTION("IF(E2662=""USD"",B2662,B2662 * GOOGLEFINANCE(""CURRENCY:"" &amp; E2662 &amp; ""USD""))
"),23000000)</f>
        <v>23000000</v>
      </c>
      <c r="G2662" s="13">
        <f ca="1">IFERROR(__xludf.DUMMYFUNCTION("IF(E2662=""USD"",C2662,C2662 * GOOGLEFINANCE(""CURRENCY:"" &amp; E2662 &amp; ""USD""))
"),27338033)</f>
        <v>27338033</v>
      </c>
    </row>
    <row r="2663" spans="1:7" ht="15.75" customHeight="1" x14ac:dyDescent="0.25">
      <c r="A2663" s="14" t="s">
        <v>24</v>
      </c>
      <c r="B2663" s="15">
        <v>10000000</v>
      </c>
      <c r="C2663" s="15">
        <v>4244155</v>
      </c>
      <c r="D2663" s="15">
        <v>2011</v>
      </c>
      <c r="E2663" s="15" t="str">
        <f>VLOOKUP(A2663, Currency!$A$2:$B$100, 2, FALSE)</f>
        <v>USD</v>
      </c>
      <c r="F2663" s="15">
        <f ca="1">IFERROR(__xludf.DUMMYFUNCTION("IF(E2663=""USD"",B2663,B2663 * GOOGLEFINANCE(""CURRENCY:"" &amp; E2663 &amp; ""USD""))
"),10000000)</f>
        <v>10000000</v>
      </c>
      <c r="G2663" s="16">
        <f ca="1">IFERROR(__xludf.DUMMYFUNCTION("IF(E2663=""USD"",C2663,C2663 * GOOGLEFINANCE(""CURRENCY:"" &amp; E2663 &amp; ""USD""))
"),4244155)</f>
        <v>4244155</v>
      </c>
    </row>
    <row r="2664" spans="1:7" ht="15.75" customHeight="1" x14ac:dyDescent="0.25">
      <c r="A2664" s="11" t="s">
        <v>24</v>
      </c>
      <c r="B2664" s="12">
        <v>60000000</v>
      </c>
      <c r="C2664" s="12">
        <v>30695227</v>
      </c>
      <c r="D2664" s="12">
        <v>2000</v>
      </c>
      <c r="E2664" s="12" t="str">
        <f>VLOOKUP(A2664, Currency!$A$2:$B$100, 2, FALSE)</f>
        <v>USD</v>
      </c>
      <c r="F2664" s="12">
        <f ca="1">IFERROR(__xludf.DUMMYFUNCTION("IF(E2664=""USD"",B2664,B2664 * GOOGLEFINANCE(""CURRENCY:"" &amp; E2664 &amp; ""USD""))
"),60000000)</f>
        <v>60000000</v>
      </c>
      <c r="G2664" s="13">
        <f ca="1">IFERROR(__xludf.DUMMYFUNCTION("IF(E2664=""USD"",C2664,C2664 * GOOGLEFINANCE(""CURRENCY:"" &amp; E2664 &amp; ""USD""))
"),30695227)</f>
        <v>30695227</v>
      </c>
    </row>
    <row r="2665" spans="1:7" ht="15.75" customHeight="1" x14ac:dyDescent="0.25">
      <c r="A2665" s="14" t="s">
        <v>133</v>
      </c>
      <c r="B2665" s="15">
        <v>30000000</v>
      </c>
      <c r="C2665" s="15">
        <v>2975649</v>
      </c>
      <c r="D2665" s="15">
        <v>2006</v>
      </c>
      <c r="E2665" s="15" t="str">
        <f>VLOOKUP(A2665, Currency!$A$2:$B$100, 2, FALSE)</f>
        <v>GBP</v>
      </c>
      <c r="F2665" s="15">
        <f ca="1">IFERROR(__xludf.DUMMYFUNCTION("IF(E2665=""USD"",B2665,B2665 * GOOGLEFINANCE(""CURRENCY:"" &amp; E2665 &amp; ""USD""))
"),38562000)</f>
        <v>38562000</v>
      </c>
      <c r="G2665" s="16">
        <f ca="1">IFERROR(__xludf.DUMMYFUNCTION("IF(E2665=""USD"",C2665,C2665 * GOOGLEFINANCE(""CURRENCY:"" &amp; E2665 &amp; ""USD""))
"),3824899.2246)</f>
        <v>3824899.2245999998</v>
      </c>
    </row>
    <row r="2666" spans="1:7" ht="15.75" customHeight="1" x14ac:dyDescent="0.25">
      <c r="A2666" s="11" t="s">
        <v>24</v>
      </c>
      <c r="B2666" s="12">
        <v>25000000</v>
      </c>
      <c r="C2666" s="12">
        <v>38747385</v>
      </c>
      <c r="D2666" s="12">
        <v>1986</v>
      </c>
      <c r="E2666" s="12" t="str">
        <f>VLOOKUP(A2666, Currency!$A$2:$B$100, 2, FALSE)</f>
        <v>USD</v>
      </c>
      <c r="F2666" s="12">
        <f ca="1">IFERROR(__xludf.DUMMYFUNCTION("IF(E2666=""USD"",B2666,B2666 * GOOGLEFINANCE(""CURRENCY:"" &amp; E2666 &amp; ""USD""))
"),25000000)</f>
        <v>25000000</v>
      </c>
      <c r="G2666" s="13">
        <f ca="1">IFERROR(__xludf.DUMMYFUNCTION("IF(E2666=""USD"",C2666,C2666 * GOOGLEFINANCE(""CURRENCY:"" &amp; E2666 &amp; ""USD""))
"),38747385)</f>
        <v>38747385</v>
      </c>
    </row>
    <row r="2667" spans="1:7" ht="15.75" customHeight="1" x14ac:dyDescent="0.25">
      <c r="A2667" s="14" t="s">
        <v>24</v>
      </c>
      <c r="B2667" s="15">
        <v>100000000</v>
      </c>
      <c r="C2667" s="15">
        <v>101228120</v>
      </c>
      <c r="D2667" s="15">
        <v>1996</v>
      </c>
      <c r="E2667" s="15" t="str">
        <f>VLOOKUP(A2667, Currency!$A$2:$B$100, 2, FALSE)</f>
        <v>USD</v>
      </c>
      <c r="F2667" s="15">
        <f ca="1">IFERROR(__xludf.DUMMYFUNCTION("IF(E2667=""USD"",B2667,B2667 * GOOGLEFINANCE(""CURRENCY:"" &amp; E2667 &amp; ""USD""))
"),100000000)</f>
        <v>100000000</v>
      </c>
      <c r="G2667" s="16">
        <f ca="1">IFERROR(__xludf.DUMMYFUNCTION("IF(E2667=""USD"",C2667,C2667 * GOOGLEFINANCE(""CURRENCY:"" &amp; E2667 &amp; ""USD""))
"),101228120)</f>
        <v>101228120</v>
      </c>
    </row>
    <row r="2668" spans="1:7" ht="15.75" customHeight="1" x14ac:dyDescent="0.25">
      <c r="A2668" s="11" t="s">
        <v>24</v>
      </c>
      <c r="B2668" s="12">
        <v>48000000</v>
      </c>
      <c r="C2668" s="12">
        <v>37339525</v>
      </c>
      <c r="D2668" s="12">
        <v>1998</v>
      </c>
      <c r="E2668" s="12" t="str">
        <f>VLOOKUP(A2668, Currency!$A$2:$B$100, 2, FALSE)</f>
        <v>USD</v>
      </c>
      <c r="F2668" s="12">
        <f ca="1">IFERROR(__xludf.DUMMYFUNCTION("IF(E2668=""USD"",B2668,B2668 * GOOGLEFINANCE(""CURRENCY:"" &amp; E2668 &amp; ""USD""))
"),48000000)</f>
        <v>48000000</v>
      </c>
      <c r="G2668" s="13">
        <f ca="1">IFERROR(__xludf.DUMMYFUNCTION("IF(E2668=""USD"",C2668,C2668 * GOOGLEFINANCE(""CURRENCY:"" &amp; E2668 &amp; ""USD""))
"),37339525)</f>
        <v>37339525</v>
      </c>
    </row>
    <row r="2669" spans="1:7" ht="15.75" customHeight="1" x14ac:dyDescent="0.25">
      <c r="A2669" s="14" t="s">
        <v>160</v>
      </c>
      <c r="B2669" s="15">
        <v>36000000</v>
      </c>
      <c r="C2669" s="15">
        <v>2126511</v>
      </c>
      <c r="D2669" s="15">
        <v>2015</v>
      </c>
      <c r="E2669" s="15" t="str">
        <f>VLOOKUP(A2669, Currency!$A$2:$B$100, 2, FALSE)</f>
        <v>HKD</v>
      </c>
      <c r="F2669" s="15">
        <f ca="1">IFERROR(__xludf.DUMMYFUNCTION("IF(E2669=""USD"",B2669,B2669 * GOOGLEFINANCE(""CURRENCY:"" &amp; E2669 &amp; ""USD""))
"),4611394.8)</f>
        <v>4611394.8</v>
      </c>
      <c r="G2669" s="16">
        <f ca="1">IFERROR(__xludf.DUMMYFUNCTION("IF(E2669=""USD"",C2669,C2669 * GOOGLEFINANCE(""CURRENCY:"" &amp; E2669 &amp; ""USD""))
"),272393.9379873)</f>
        <v>272393.93798729999</v>
      </c>
    </row>
    <row r="2670" spans="1:7" ht="15.75" customHeight="1" x14ac:dyDescent="0.25">
      <c r="A2670" s="11" t="s">
        <v>24</v>
      </c>
      <c r="B2670" s="12">
        <v>19000000</v>
      </c>
      <c r="C2670" s="12">
        <v>65807024</v>
      </c>
      <c r="D2670" s="12">
        <v>1995</v>
      </c>
      <c r="E2670" s="12" t="str">
        <f>VLOOKUP(A2670, Currency!$A$2:$B$100, 2, FALSE)</f>
        <v>USD</v>
      </c>
      <c r="F2670" s="12">
        <f ca="1">IFERROR(__xludf.DUMMYFUNCTION("IF(E2670=""USD"",B2670,B2670 * GOOGLEFINANCE(""CURRENCY:"" &amp; E2670 &amp; ""USD""))
"),19000000)</f>
        <v>19000000</v>
      </c>
      <c r="G2670" s="13">
        <f ca="1">IFERROR(__xludf.DUMMYFUNCTION("IF(E2670=""USD"",C2670,C2670 * GOOGLEFINANCE(""CURRENCY:"" &amp; E2670 &amp; ""USD""))
"),65807024)</f>
        <v>65807024</v>
      </c>
    </row>
    <row r="2671" spans="1:7" ht="15.75" customHeight="1" x14ac:dyDescent="0.25">
      <c r="A2671" s="14" t="s">
        <v>24</v>
      </c>
      <c r="B2671" s="15">
        <v>13000000</v>
      </c>
      <c r="C2671" s="15">
        <v>214966</v>
      </c>
      <c r="D2671" s="15">
        <v>2010</v>
      </c>
      <c r="E2671" s="15" t="str">
        <f>VLOOKUP(A2671, Currency!$A$2:$B$100, 2, FALSE)</f>
        <v>USD</v>
      </c>
      <c r="F2671" s="15">
        <f ca="1">IFERROR(__xludf.DUMMYFUNCTION("IF(E2671=""USD"",B2671,B2671 * GOOGLEFINANCE(""CURRENCY:"" &amp; E2671 &amp; ""USD""))
"),13000000)</f>
        <v>13000000</v>
      </c>
      <c r="G2671" s="16">
        <f ca="1">IFERROR(__xludf.DUMMYFUNCTION("IF(E2671=""USD"",C2671,C2671 * GOOGLEFINANCE(""CURRENCY:"" &amp; E2671 &amp; ""USD""))
"),214966)</f>
        <v>214966</v>
      </c>
    </row>
    <row r="2672" spans="1:7" ht="15.75" customHeight="1" x14ac:dyDescent="0.25">
      <c r="A2672" s="11" t="s">
        <v>24</v>
      </c>
      <c r="B2672" s="12">
        <v>15000000</v>
      </c>
      <c r="C2672" s="12">
        <v>31471430</v>
      </c>
      <c r="D2672" s="12">
        <v>2006</v>
      </c>
      <c r="E2672" s="12" t="str">
        <f>VLOOKUP(A2672, Currency!$A$2:$B$100, 2, FALSE)</f>
        <v>USD</v>
      </c>
      <c r="F2672" s="12">
        <f ca="1">IFERROR(__xludf.DUMMYFUNCTION("IF(E2672=""USD"",B2672,B2672 * GOOGLEFINANCE(""CURRENCY:"" &amp; E2672 &amp; ""USD""))
"),15000000)</f>
        <v>15000000</v>
      </c>
      <c r="G2672" s="13">
        <f ca="1">IFERROR(__xludf.DUMMYFUNCTION("IF(E2672=""USD"",C2672,C2672 * GOOGLEFINANCE(""CURRENCY:"" &amp; E2672 &amp; ""USD""))
"),31471430)</f>
        <v>31471430</v>
      </c>
    </row>
    <row r="2673" spans="1:7" ht="15.75" customHeight="1" x14ac:dyDescent="0.25">
      <c r="A2673" s="14" t="s">
        <v>24</v>
      </c>
      <c r="B2673" s="15">
        <v>25000000</v>
      </c>
      <c r="C2673" s="15">
        <v>49024969</v>
      </c>
      <c r="D2673" s="15">
        <v>2007</v>
      </c>
      <c r="E2673" s="15" t="str">
        <f>VLOOKUP(A2673, Currency!$A$2:$B$100, 2, FALSE)</f>
        <v>USD</v>
      </c>
      <c r="F2673" s="15">
        <f ca="1">IFERROR(__xludf.DUMMYFUNCTION("IF(E2673=""USD"",B2673,B2673 * GOOGLEFINANCE(""CURRENCY:"" &amp; E2673 &amp; ""USD""))
"),25000000)</f>
        <v>25000000</v>
      </c>
      <c r="G2673" s="16">
        <f ca="1">IFERROR(__xludf.DUMMYFUNCTION("IF(E2673=""USD"",C2673,C2673 * GOOGLEFINANCE(""CURRENCY:"" &amp; E2673 &amp; ""USD""))
"),49024969)</f>
        <v>49024969</v>
      </c>
    </row>
    <row r="2674" spans="1:7" ht="15.75" customHeight="1" x14ac:dyDescent="0.25">
      <c r="A2674" s="11" t="s">
        <v>24</v>
      </c>
      <c r="B2674" s="12">
        <v>1000000</v>
      </c>
      <c r="C2674" s="12">
        <v>279282</v>
      </c>
      <c r="D2674" s="12">
        <v>2003</v>
      </c>
      <c r="E2674" s="12" t="str">
        <f>VLOOKUP(A2674, Currency!$A$2:$B$100, 2, FALSE)</f>
        <v>USD</v>
      </c>
      <c r="F2674" s="12">
        <f ca="1">IFERROR(__xludf.DUMMYFUNCTION("IF(E2674=""USD"",B2674,B2674 * GOOGLEFINANCE(""CURRENCY:"" &amp; E2674 &amp; ""USD""))
"),1000000)</f>
        <v>1000000</v>
      </c>
      <c r="G2674" s="13">
        <f ca="1">IFERROR(__xludf.DUMMYFUNCTION("IF(E2674=""USD"",C2674,C2674 * GOOGLEFINANCE(""CURRENCY:"" &amp; E2674 &amp; ""USD""))
"),279282)</f>
        <v>279282</v>
      </c>
    </row>
    <row r="2675" spans="1:7" ht="15.75" customHeight="1" x14ac:dyDescent="0.25">
      <c r="A2675" s="14" t="s">
        <v>24</v>
      </c>
      <c r="B2675" s="15">
        <v>120000000</v>
      </c>
      <c r="C2675" s="15">
        <v>98780042</v>
      </c>
      <c r="D2675" s="15">
        <v>2011</v>
      </c>
      <c r="E2675" s="15" t="str">
        <f>VLOOKUP(A2675, Currency!$A$2:$B$100, 2, FALSE)</f>
        <v>USD</v>
      </c>
      <c r="F2675" s="15">
        <f ca="1">IFERROR(__xludf.DUMMYFUNCTION("IF(E2675=""USD"",B2675,B2675 * GOOGLEFINANCE(""CURRENCY:"" &amp; E2675 &amp; ""USD""))
"),120000000)</f>
        <v>120000000</v>
      </c>
      <c r="G2675" s="16">
        <f ca="1">IFERROR(__xludf.DUMMYFUNCTION("IF(E2675=""USD"",C2675,C2675 * GOOGLEFINANCE(""CURRENCY:"" &amp; E2675 &amp; ""USD""))
"),98780042)</f>
        <v>98780042</v>
      </c>
    </row>
    <row r="2676" spans="1:7" ht="15.75" customHeight="1" x14ac:dyDescent="0.25">
      <c r="A2676" s="11" t="s">
        <v>24</v>
      </c>
      <c r="B2676" s="12">
        <v>72000000</v>
      </c>
      <c r="C2676" s="12">
        <v>32616869</v>
      </c>
      <c r="D2676" s="12">
        <v>2001</v>
      </c>
      <c r="E2676" s="12" t="str">
        <f>VLOOKUP(A2676, Currency!$A$2:$B$100, 2, FALSE)</f>
        <v>USD</v>
      </c>
      <c r="F2676" s="12">
        <f ca="1">IFERROR(__xludf.DUMMYFUNCTION("IF(E2676=""USD"",B2676,B2676 * GOOGLEFINANCE(""CURRENCY:"" &amp; E2676 &amp; ""USD""))
"),72000000)</f>
        <v>72000000</v>
      </c>
      <c r="G2676" s="13">
        <f ca="1">IFERROR(__xludf.DUMMYFUNCTION("IF(E2676=""USD"",C2676,C2676 * GOOGLEFINANCE(""CURRENCY:"" &amp; E2676 &amp; ""USD""))
"),32616869)</f>
        <v>32616869</v>
      </c>
    </row>
    <row r="2677" spans="1:7" ht="15.75" customHeight="1" x14ac:dyDescent="0.25">
      <c r="A2677" s="14" t="s">
        <v>24</v>
      </c>
      <c r="B2677" s="15">
        <v>55000000</v>
      </c>
      <c r="C2677" s="15">
        <v>9483821</v>
      </c>
      <c r="D2677" s="15">
        <v>2012</v>
      </c>
      <c r="E2677" s="15" t="str">
        <f>VLOOKUP(A2677, Currency!$A$2:$B$100, 2, FALSE)</f>
        <v>USD</v>
      </c>
      <c r="F2677" s="15">
        <f ca="1">IFERROR(__xludf.DUMMYFUNCTION("IF(E2677=""USD"",B2677,B2677 * GOOGLEFINANCE(""CURRENCY:"" &amp; E2677 &amp; ""USD""))
"),55000000)</f>
        <v>55000000</v>
      </c>
      <c r="G2677" s="16">
        <f ca="1">IFERROR(__xludf.DUMMYFUNCTION("IF(E2677=""USD"",C2677,C2677 * GOOGLEFINANCE(""CURRENCY:"" &amp; E2677 &amp; ""USD""))
"),9483821)</f>
        <v>9483821</v>
      </c>
    </row>
    <row r="2678" spans="1:7" ht="15.75" customHeight="1" x14ac:dyDescent="0.25">
      <c r="A2678" s="11" t="s">
        <v>24</v>
      </c>
      <c r="B2678" s="12">
        <v>12000000</v>
      </c>
      <c r="C2678" s="12">
        <v>65500000</v>
      </c>
      <c r="D2678" s="12">
        <v>1985</v>
      </c>
      <c r="E2678" s="12" t="str">
        <f>VLOOKUP(A2678, Currency!$A$2:$B$100, 2, FALSE)</f>
        <v>USD</v>
      </c>
      <c r="F2678" s="12">
        <f ca="1">IFERROR(__xludf.DUMMYFUNCTION("IF(E2678=""USD"",B2678,B2678 * GOOGLEFINANCE(""CURRENCY:"" &amp; E2678 &amp; ""USD""))
"),12000000)</f>
        <v>12000000</v>
      </c>
      <c r="G2678" s="13">
        <f ca="1">IFERROR(__xludf.DUMMYFUNCTION("IF(E2678=""USD"",C2678,C2678 * GOOGLEFINANCE(""CURRENCY:"" &amp; E2678 &amp; ""USD""))
"),65500000)</f>
        <v>65500000</v>
      </c>
    </row>
    <row r="2679" spans="1:7" ht="15.75" customHeight="1" x14ac:dyDescent="0.25">
      <c r="A2679" s="14" t="s">
        <v>160</v>
      </c>
      <c r="B2679" s="15">
        <v>10000000</v>
      </c>
      <c r="C2679" s="15">
        <v>866778</v>
      </c>
      <c r="D2679" s="15">
        <v>2007</v>
      </c>
      <c r="E2679" s="15" t="str">
        <f>VLOOKUP(A2679, Currency!$A$2:$B$100, 2, FALSE)</f>
        <v>HKD</v>
      </c>
      <c r="F2679" s="15">
        <f ca="1">IFERROR(__xludf.DUMMYFUNCTION("IF(E2679=""USD"",B2679,B2679 * GOOGLEFINANCE(""CURRENCY:"" &amp; E2679 &amp; ""USD""))
"),1280943)</f>
        <v>1280943</v>
      </c>
      <c r="G2679" s="16">
        <f ca="1">IFERROR(__xludf.DUMMYFUNCTION("IF(E2679=""USD"",C2679,C2679 * GOOGLEFINANCE(""CURRENCY:"" &amp; E2679 &amp; ""USD""))
"),111029.321165399)</f>
        <v>111029.321165399</v>
      </c>
    </row>
    <row r="2680" spans="1:7" ht="15.75" customHeight="1" x14ac:dyDescent="0.25">
      <c r="A2680" s="11" t="s">
        <v>24</v>
      </c>
      <c r="B2680" s="12">
        <v>18000000</v>
      </c>
      <c r="C2680" s="12">
        <v>26400000</v>
      </c>
      <c r="D2680" s="12">
        <v>1984</v>
      </c>
      <c r="E2680" s="12" t="str">
        <f>VLOOKUP(A2680, Currency!$A$2:$B$100, 2, FALSE)</f>
        <v>USD</v>
      </c>
      <c r="F2680" s="12">
        <f ca="1">IFERROR(__xludf.DUMMYFUNCTION("IF(E2680=""USD"",B2680,B2680 * GOOGLEFINANCE(""CURRENCY:"" &amp; E2680 &amp; ""USD""))
"),18000000)</f>
        <v>18000000</v>
      </c>
      <c r="G2680" s="13">
        <f ca="1">IFERROR(__xludf.DUMMYFUNCTION("IF(E2680=""USD"",C2680,C2680 * GOOGLEFINANCE(""CURRENCY:"" &amp; E2680 &amp; ""USD""))
"),26400000)</f>
        <v>26400000</v>
      </c>
    </row>
    <row r="2681" spans="1:7" ht="15.75" customHeight="1" x14ac:dyDescent="0.25">
      <c r="A2681" s="14" t="s">
        <v>24</v>
      </c>
      <c r="B2681" s="15">
        <v>93000000</v>
      </c>
      <c r="C2681" s="15">
        <v>181166115</v>
      </c>
      <c r="D2681" s="15">
        <v>2001</v>
      </c>
      <c r="E2681" s="15" t="str">
        <f>VLOOKUP(A2681, Currency!$A$2:$B$100, 2, FALSE)</f>
        <v>USD</v>
      </c>
      <c r="F2681" s="15">
        <f ca="1">IFERROR(__xludf.DUMMYFUNCTION("IF(E2681=""USD"",B2681,B2681 * GOOGLEFINANCE(""CURRENCY:"" &amp; E2681 &amp; ""USD""))
"),93000000)</f>
        <v>93000000</v>
      </c>
      <c r="G2681" s="16">
        <f ca="1">IFERROR(__xludf.DUMMYFUNCTION("IF(E2681=""USD"",C2681,C2681 * GOOGLEFINANCE(""CURRENCY:"" &amp; E2681 &amp; ""USD""))
"),181166115)</f>
        <v>181166115</v>
      </c>
    </row>
    <row r="2682" spans="1:7" ht="15.75" customHeight="1" x14ac:dyDescent="0.25">
      <c r="A2682" s="11" t="s">
        <v>24</v>
      </c>
      <c r="B2682" s="12">
        <v>43000000</v>
      </c>
      <c r="C2682" s="12">
        <v>47806295</v>
      </c>
      <c r="D2682" s="12">
        <v>2005</v>
      </c>
      <c r="E2682" s="12" t="str">
        <f>VLOOKUP(A2682, Currency!$A$2:$B$100, 2, FALSE)</f>
        <v>USD</v>
      </c>
      <c r="F2682" s="12">
        <f ca="1">IFERROR(__xludf.DUMMYFUNCTION("IF(E2682=""USD"",B2682,B2682 * GOOGLEFINANCE(""CURRENCY:"" &amp; E2682 &amp; ""USD""))
"),43000000)</f>
        <v>43000000</v>
      </c>
      <c r="G2682" s="13">
        <f ca="1">IFERROR(__xludf.DUMMYFUNCTION("IF(E2682=""USD"",C2682,C2682 * GOOGLEFINANCE(""CURRENCY:"" &amp; E2682 &amp; ""USD""))
"),47806295)</f>
        <v>47806295</v>
      </c>
    </row>
    <row r="2683" spans="1:7" ht="15.75" customHeight="1" x14ac:dyDescent="0.25">
      <c r="A2683" s="14" t="s">
        <v>24</v>
      </c>
      <c r="B2683" s="15">
        <v>15000000</v>
      </c>
      <c r="C2683" s="15">
        <v>26384919</v>
      </c>
      <c r="D2683" s="15">
        <v>1997</v>
      </c>
      <c r="E2683" s="15" t="str">
        <f>VLOOKUP(A2683, Currency!$A$2:$B$100, 2, FALSE)</f>
        <v>USD</v>
      </c>
      <c r="F2683" s="15">
        <f ca="1">IFERROR(__xludf.DUMMYFUNCTION("IF(E2683=""USD"",B2683,B2683 * GOOGLEFINANCE(""CURRENCY:"" &amp; E2683 &amp; ""USD""))
"),15000000)</f>
        <v>15000000</v>
      </c>
      <c r="G2683" s="16">
        <f ca="1">IFERROR(__xludf.DUMMYFUNCTION("IF(E2683=""USD"",C2683,C2683 * GOOGLEFINANCE(""CURRENCY:"" &amp; E2683 &amp; ""USD""))
"),26384919)</f>
        <v>26384919</v>
      </c>
    </row>
    <row r="2684" spans="1:7" ht="15.75" customHeight="1" x14ac:dyDescent="0.25">
      <c r="A2684" s="11" t="s">
        <v>24</v>
      </c>
      <c r="B2684" s="12">
        <v>19000000</v>
      </c>
      <c r="C2684" s="12">
        <v>8396942</v>
      </c>
      <c r="D2684" s="12">
        <v>2008</v>
      </c>
      <c r="E2684" s="12" t="str">
        <f>VLOOKUP(A2684, Currency!$A$2:$B$100, 2, FALSE)</f>
        <v>USD</v>
      </c>
      <c r="F2684" s="12">
        <f ca="1">IFERROR(__xludf.DUMMYFUNCTION("IF(E2684=""USD"",B2684,B2684 * GOOGLEFINANCE(""CURRENCY:"" &amp; E2684 &amp; ""USD""))
"),19000000)</f>
        <v>19000000</v>
      </c>
      <c r="G2684" s="13">
        <f ca="1">IFERROR(__xludf.DUMMYFUNCTION("IF(E2684=""USD"",C2684,C2684 * GOOGLEFINANCE(""CURRENCY:"" &amp; E2684 &amp; ""USD""))
"),8396942)</f>
        <v>8396942</v>
      </c>
    </row>
    <row r="2685" spans="1:7" ht="15.75" customHeight="1" x14ac:dyDescent="0.25">
      <c r="A2685" s="14" t="s">
        <v>1220</v>
      </c>
      <c r="B2685" s="15">
        <v>3500000</v>
      </c>
      <c r="C2685" s="15">
        <v>886410</v>
      </c>
      <c r="D2685" s="15">
        <v>1998</v>
      </c>
      <c r="E2685" s="15" t="str">
        <f>VLOOKUP(A2685, Currency!$A$2:$B$100, 2, FALSE)</f>
        <v>MXN</v>
      </c>
      <c r="F2685" s="15">
        <f ca="1">IFERROR(__xludf.DUMMYFUNCTION("IF(E2685=""USD"",B2685,B2685 * GOOGLEFINANCE(""CURRENCY:"" &amp; E2685 &amp; ""USD""))
"),189716.415)</f>
        <v>189716.41500000001</v>
      </c>
      <c r="G2685" s="16">
        <f ca="1">IFERROR(__xludf.DUMMYFUNCTION("IF(E2685=""USD"",C2685,C2685 * GOOGLEFINANCE(""CURRENCY:"" &amp; E2685 &amp; ""USD""))
"),48047.5792629)</f>
        <v>48047.579262899999</v>
      </c>
    </row>
    <row r="2686" spans="1:7" ht="15.75" customHeight="1" x14ac:dyDescent="0.25">
      <c r="A2686" s="11" t="s">
        <v>611</v>
      </c>
      <c r="B2686" s="12">
        <v>2000000</v>
      </c>
      <c r="C2686" s="12">
        <v>12555230</v>
      </c>
      <c r="D2686" s="12">
        <v>2011</v>
      </c>
      <c r="E2686" s="12" t="str">
        <f>VLOOKUP(A2686, Currency!$A$2:$B$100, 2, FALSE)</f>
        <v>EUR</v>
      </c>
      <c r="F2686" s="12">
        <f ca="1">IFERROR(__xludf.DUMMYFUNCTION("IF(E2686=""USD"",B2686,B2686 * GOOGLEFINANCE(""CURRENCY:"" &amp; E2686 &amp; ""USD""))
"),2169480)</f>
        <v>2169480</v>
      </c>
      <c r="G2686" s="13">
        <f ca="1">IFERROR(__xludf.DUMMYFUNCTION("IF(E2686=""USD"",C2686,C2686 * GOOGLEFINANCE(""CURRENCY:"" &amp; E2686 &amp; ""USD""))
"),13619160.1902)</f>
        <v>13619160.190199999</v>
      </c>
    </row>
    <row r="2687" spans="1:7" ht="15.75" customHeight="1" x14ac:dyDescent="0.25">
      <c r="A2687" s="14" t="s">
        <v>24</v>
      </c>
      <c r="B2687" s="15">
        <v>7000</v>
      </c>
      <c r="C2687" s="15">
        <v>424760</v>
      </c>
      <c r="D2687" s="15">
        <v>2004</v>
      </c>
      <c r="E2687" s="15" t="str">
        <f>VLOOKUP(A2687, Currency!$A$2:$B$100, 2, FALSE)</f>
        <v>USD</v>
      </c>
      <c r="F2687" s="15">
        <f ca="1">IFERROR(__xludf.DUMMYFUNCTION("IF(E2687=""USD"",B2687,B2687 * GOOGLEFINANCE(""CURRENCY:"" &amp; E2687 &amp; ""USD""))
"),7000)</f>
        <v>7000</v>
      </c>
      <c r="G2687" s="16">
        <f ca="1">IFERROR(__xludf.DUMMYFUNCTION("IF(E2687=""USD"",C2687,C2687 * GOOGLEFINANCE(""CURRENCY:"" &amp; E2687 &amp; ""USD""))
"),424760)</f>
        <v>424760</v>
      </c>
    </row>
    <row r="2688" spans="1:7" ht="15.75" customHeight="1" x14ac:dyDescent="0.25">
      <c r="A2688" s="11" t="s">
        <v>24</v>
      </c>
      <c r="B2688" s="12">
        <v>20000000</v>
      </c>
      <c r="C2688" s="12">
        <v>53146000</v>
      </c>
      <c r="D2688" s="12">
        <v>1996</v>
      </c>
      <c r="E2688" s="12" t="str">
        <f>VLOOKUP(A2688, Currency!$A$2:$B$100, 2, FALSE)</f>
        <v>USD</v>
      </c>
      <c r="F2688" s="12">
        <f ca="1">IFERROR(__xludf.DUMMYFUNCTION("IF(E2688=""USD"",B2688,B2688 * GOOGLEFINANCE(""CURRENCY:"" &amp; E2688 &amp; ""USD""))
"),20000000)</f>
        <v>20000000</v>
      </c>
      <c r="G2688" s="13">
        <f ca="1">IFERROR(__xludf.DUMMYFUNCTION("IF(E2688=""USD"",C2688,C2688 * GOOGLEFINANCE(""CURRENCY:"" &amp; E2688 &amp; ""USD""))
"),53146000)</f>
        <v>53146000</v>
      </c>
    </row>
    <row r="2689" spans="1:7" ht="15.75" customHeight="1" x14ac:dyDescent="0.25">
      <c r="A2689" s="14" t="s">
        <v>176</v>
      </c>
      <c r="B2689" s="15">
        <v>13500000</v>
      </c>
      <c r="C2689" s="15">
        <v>5501940</v>
      </c>
      <c r="D2689" s="15">
        <v>2004</v>
      </c>
      <c r="E2689" s="15" t="str">
        <f>VLOOKUP(A2689, Currency!$A$2:$B$100, 2, FALSE)</f>
        <v>EUR</v>
      </c>
      <c r="F2689" s="15">
        <f ca="1">IFERROR(__xludf.DUMMYFUNCTION("IF(E2689=""USD"",B2689,B2689 * GOOGLEFINANCE(""CURRENCY:"" &amp; E2689 &amp; ""USD""))
"),14643990)</f>
        <v>14643990</v>
      </c>
      <c r="G2689" s="16">
        <f ca="1">IFERROR(__xludf.DUMMYFUNCTION("IF(E2689=""USD"",C2689,C2689 * GOOGLEFINANCE(""CURRENCY:"" &amp; E2689 &amp; ""USD""))
"),5968174.3956)</f>
        <v>5968174.3956000004</v>
      </c>
    </row>
    <row r="2690" spans="1:7" ht="15.75" customHeight="1" x14ac:dyDescent="0.25">
      <c r="A2690" s="11" t="s">
        <v>24</v>
      </c>
      <c r="B2690" s="12">
        <v>20000000</v>
      </c>
      <c r="C2690" s="12">
        <v>18882880</v>
      </c>
      <c r="D2690" s="12">
        <v>2007</v>
      </c>
      <c r="E2690" s="12" t="str">
        <f>VLOOKUP(A2690, Currency!$A$2:$B$100, 2, FALSE)</f>
        <v>USD</v>
      </c>
      <c r="F2690" s="12">
        <f ca="1">IFERROR(__xludf.DUMMYFUNCTION("IF(E2690=""USD"",B2690,B2690 * GOOGLEFINANCE(""CURRENCY:"" &amp; E2690 &amp; ""USD""))
"),20000000)</f>
        <v>20000000</v>
      </c>
      <c r="G2690" s="13">
        <f ca="1">IFERROR(__xludf.DUMMYFUNCTION("IF(E2690=""USD"",C2690,C2690 * GOOGLEFINANCE(""CURRENCY:"" &amp; E2690 &amp; ""USD""))
"),18882880)</f>
        <v>18882880</v>
      </c>
    </row>
    <row r="2691" spans="1:7" ht="15.75" customHeight="1" x14ac:dyDescent="0.25">
      <c r="A2691" s="14" t="s">
        <v>24</v>
      </c>
      <c r="B2691" s="15">
        <v>90000000</v>
      </c>
      <c r="C2691" s="15">
        <v>68558662</v>
      </c>
      <c r="D2691" s="15">
        <v>2013</v>
      </c>
      <c r="E2691" s="15" t="str">
        <f>VLOOKUP(A2691, Currency!$A$2:$B$100, 2, FALSE)</f>
        <v>USD</v>
      </c>
      <c r="F2691" s="15">
        <f ca="1">IFERROR(__xludf.DUMMYFUNCTION("IF(E2691=""USD"",B2691,B2691 * GOOGLEFINANCE(""CURRENCY:"" &amp; E2691 &amp; ""USD""))
"),90000000)</f>
        <v>90000000</v>
      </c>
      <c r="G2691" s="16">
        <f ca="1">IFERROR(__xludf.DUMMYFUNCTION("IF(E2691=""USD"",C2691,C2691 * GOOGLEFINANCE(""CURRENCY:"" &amp; E2691 &amp; ""USD""))
"),68558662)</f>
        <v>68558662</v>
      </c>
    </row>
    <row r="2692" spans="1:7" ht="15.75" customHeight="1" x14ac:dyDescent="0.25">
      <c r="A2692" s="11" t="s">
        <v>24</v>
      </c>
      <c r="B2692" s="12">
        <v>60000000</v>
      </c>
      <c r="C2692" s="12">
        <v>22451</v>
      </c>
      <c r="D2692" s="12">
        <v>2014</v>
      </c>
      <c r="E2692" s="12" t="str">
        <f>VLOOKUP(A2692, Currency!$A$2:$B$100, 2, FALSE)</f>
        <v>USD</v>
      </c>
      <c r="F2692" s="12">
        <f ca="1">IFERROR(__xludf.DUMMYFUNCTION("IF(E2692=""USD"",B2692,B2692 * GOOGLEFINANCE(""CURRENCY:"" &amp; E2692 &amp; ""USD""))
"),60000000)</f>
        <v>60000000</v>
      </c>
      <c r="G2692" s="13">
        <f ca="1">IFERROR(__xludf.DUMMYFUNCTION("IF(E2692=""USD"",C2692,C2692 * GOOGLEFINANCE(""CURRENCY:"" &amp; E2692 &amp; ""USD""))
"),22451)</f>
        <v>22451</v>
      </c>
    </row>
    <row r="2693" spans="1:7" ht="15.75" customHeight="1" x14ac:dyDescent="0.25">
      <c r="A2693" s="14" t="s">
        <v>24</v>
      </c>
      <c r="B2693" s="15">
        <v>8000000</v>
      </c>
      <c r="C2693" s="15">
        <v>52287414</v>
      </c>
      <c r="D2693" s="15">
        <v>1986</v>
      </c>
      <c r="E2693" s="15" t="str">
        <f>VLOOKUP(A2693, Currency!$A$2:$B$100, 2, FALSE)</f>
        <v>USD</v>
      </c>
      <c r="F2693" s="15">
        <f ca="1">IFERROR(__xludf.DUMMYFUNCTION("IF(E2693=""USD"",B2693,B2693 * GOOGLEFINANCE(""CURRENCY:"" &amp; E2693 &amp; ""USD""))
"),8000000)</f>
        <v>8000000</v>
      </c>
      <c r="G2693" s="16">
        <f ca="1">IFERROR(__xludf.DUMMYFUNCTION("IF(E2693=""USD"",C2693,C2693 * GOOGLEFINANCE(""CURRENCY:"" &amp; E2693 &amp; ""USD""))
"),52287414)</f>
        <v>52287414</v>
      </c>
    </row>
    <row r="2694" spans="1:7" ht="15.75" customHeight="1" x14ac:dyDescent="0.25">
      <c r="A2694" s="11" t="s">
        <v>41</v>
      </c>
      <c r="B2694" s="12">
        <v>10000000</v>
      </c>
      <c r="C2694" s="12">
        <v>5004648</v>
      </c>
      <c r="D2694" s="12">
        <v>2009</v>
      </c>
      <c r="E2694" s="12" t="str">
        <f>VLOOKUP(A2694, Currency!$A$2:$B$100, 2, FALSE)</f>
        <v>EUR</v>
      </c>
      <c r="F2694" s="12">
        <f ca="1">IFERROR(__xludf.DUMMYFUNCTION("IF(E2694=""USD"",B2694,B2694 * GOOGLEFINANCE(""CURRENCY:"" &amp; E2694 &amp; ""USD""))
"),10847400)</f>
        <v>10847400</v>
      </c>
      <c r="G2694" s="13">
        <f ca="1">IFERROR(__xludf.DUMMYFUNCTION("IF(E2694=""USD"",C2694,C2694 * GOOGLEFINANCE(""CURRENCY:"" &amp; E2694 &amp; ""USD""))
"),5428741.87152)</f>
        <v>5428741.8715199996</v>
      </c>
    </row>
    <row r="2695" spans="1:7" ht="15.75" customHeight="1" x14ac:dyDescent="0.25">
      <c r="A2695" s="14" t="s">
        <v>24</v>
      </c>
      <c r="B2695" s="15">
        <v>5000000</v>
      </c>
      <c r="C2695" s="15">
        <v>12200000</v>
      </c>
      <c r="D2695" s="15">
        <v>1983</v>
      </c>
      <c r="E2695" s="15" t="str">
        <f>VLOOKUP(A2695, Currency!$A$2:$B$100, 2, FALSE)</f>
        <v>USD</v>
      </c>
      <c r="F2695" s="15">
        <f ca="1">IFERROR(__xludf.DUMMYFUNCTION("IF(E2695=""USD"",B2695,B2695 * GOOGLEFINANCE(""CURRENCY:"" &amp; E2695 &amp; ""USD""))
"),5000000)</f>
        <v>5000000</v>
      </c>
      <c r="G2695" s="16">
        <f ca="1">IFERROR(__xludf.DUMMYFUNCTION("IF(E2695=""USD"",C2695,C2695 * GOOGLEFINANCE(""CURRENCY:"" &amp; E2695 &amp; ""USD""))
"),12200000)</f>
        <v>12200000</v>
      </c>
    </row>
    <row r="2696" spans="1:7" ht="15.75" customHeight="1" x14ac:dyDescent="0.25">
      <c r="A2696" s="11" t="s">
        <v>24</v>
      </c>
      <c r="B2696" s="12">
        <v>11000000</v>
      </c>
      <c r="C2696" s="12">
        <v>49797148</v>
      </c>
      <c r="D2696" s="12">
        <v>1989</v>
      </c>
      <c r="E2696" s="12" t="str">
        <f>VLOOKUP(A2696, Currency!$A$2:$B$100, 2, FALSE)</f>
        <v>USD</v>
      </c>
      <c r="F2696" s="12">
        <f ca="1">IFERROR(__xludf.DUMMYFUNCTION("IF(E2696=""USD"",B2696,B2696 * GOOGLEFINANCE(""CURRENCY:"" &amp; E2696 &amp; ""USD""))
"),11000000)</f>
        <v>11000000</v>
      </c>
      <c r="G2696" s="13">
        <f ca="1">IFERROR(__xludf.DUMMYFUNCTION("IF(E2696=""USD"",C2696,C2696 * GOOGLEFINANCE(""CURRENCY:"" &amp; E2696 &amp; ""USD""))
"),49797148)</f>
        <v>49797148</v>
      </c>
    </row>
    <row r="2697" spans="1:7" ht="15.75" customHeight="1" x14ac:dyDescent="0.25">
      <c r="A2697" s="14" t="s">
        <v>24</v>
      </c>
      <c r="B2697" s="15">
        <v>13000000</v>
      </c>
      <c r="C2697" s="15">
        <v>28972187</v>
      </c>
      <c r="D2697" s="15">
        <v>2002</v>
      </c>
      <c r="E2697" s="15" t="str">
        <f>VLOOKUP(A2697, Currency!$A$2:$B$100, 2, FALSE)</f>
        <v>USD</v>
      </c>
      <c r="F2697" s="15">
        <f ca="1">IFERROR(__xludf.DUMMYFUNCTION("IF(E2697=""USD"",B2697,B2697 * GOOGLEFINANCE(""CURRENCY:"" &amp; E2697 &amp; ""USD""))
"),13000000)</f>
        <v>13000000</v>
      </c>
      <c r="G2697" s="16">
        <f ca="1">IFERROR(__xludf.DUMMYFUNCTION("IF(E2697=""USD"",C2697,C2697 * GOOGLEFINANCE(""CURRENCY:"" &amp; E2697 &amp; ""USD""))
"),28972187)</f>
        <v>28972187</v>
      </c>
    </row>
    <row r="2698" spans="1:7" ht="15.75" customHeight="1" x14ac:dyDescent="0.25">
      <c r="A2698" s="11" t="s">
        <v>611</v>
      </c>
      <c r="B2698" s="12">
        <v>5500000</v>
      </c>
      <c r="C2698" s="12">
        <v>3629758</v>
      </c>
      <c r="D2698" s="12">
        <v>2004</v>
      </c>
      <c r="E2698" s="12" t="str">
        <f>VLOOKUP(A2698, Currency!$A$2:$B$100, 2, FALSE)</f>
        <v>EUR</v>
      </c>
      <c r="F2698" s="12">
        <f ca="1">IFERROR(__xludf.DUMMYFUNCTION("IF(E2698=""USD"",B2698,B2698 * GOOGLEFINANCE(""CURRENCY:"" &amp; E2698 &amp; ""USD""))
"),5966070)</f>
        <v>5966070</v>
      </c>
      <c r="G2698" s="13">
        <f ca="1">IFERROR(__xludf.DUMMYFUNCTION("IF(E2698=""USD"",C2698,C2698 * GOOGLEFINANCE(""CURRENCY:"" &amp; E2698 &amp; ""USD""))
"),3937343.69292)</f>
        <v>3937343.6929199998</v>
      </c>
    </row>
    <row r="2699" spans="1:7" ht="15.75" customHeight="1" x14ac:dyDescent="0.25">
      <c r="A2699" s="14" t="s">
        <v>24</v>
      </c>
      <c r="B2699" s="15">
        <v>6000000</v>
      </c>
      <c r="C2699" s="15">
        <v>13235267</v>
      </c>
      <c r="D2699" s="15">
        <v>2007</v>
      </c>
      <c r="E2699" s="15" t="str">
        <f>VLOOKUP(A2699, Currency!$A$2:$B$100, 2, FALSE)</f>
        <v>USD</v>
      </c>
      <c r="F2699" s="15">
        <f ca="1">IFERROR(__xludf.DUMMYFUNCTION("IF(E2699=""USD"",B2699,B2699 * GOOGLEFINANCE(""CURRENCY:"" &amp; E2699 &amp; ""USD""))
"),6000000)</f>
        <v>6000000</v>
      </c>
      <c r="G2699" s="16">
        <f ca="1">IFERROR(__xludf.DUMMYFUNCTION("IF(E2699=""USD"",C2699,C2699 * GOOGLEFINANCE(""CURRENCY:"" &amp; E2699 &amp; ""USD""))
"),13235267)</f>
        <v>13235267</v>
      </c>
    </row>
    <row r="2700" spans="1:7" ht="15.75" customHeight="1" x14ac:dyDescent="0.25">
      <c r="A2700" s="11" t="s">
        <v>24</v>
      </c>
      <c r="B2700" s="12">
        <v>4000000</v>
      </c>
      <c r="C2700" s="12">
        <v>399793</v>
      </c>
      <c r="D2700" s="12">
        <v>1999</v>
      </c>
      <c r="E2700" s="12" t="str">
        <f>VLOOKUP(A2700, Currency!$A$2:$B$100, 2, FALSE)</f>
        <v>USD</v>
      </c>
      <c r="F2700" s="12">
        <f ca="1">IFERROR(__xludf.DUMMYFUNCTION("IF(E2700=""USD"",B2700,B2700 * GOOGLEFINANCE(""CURRENCY:"" &amp; E2700 &amp; ""USD""))
"),4000000)</f>
        <v>4000000</v>
      </c>
      <c r="G2700" s="13">
        <f ca="1">IFERROR(__xludf.DUMMYFUNCTION("IF(E2700=""USD"",C2700,C2700 * GOOGLEFINANCE(""CURRENCY:"" &amp; E2700 &amp; ""USD""))
"),399793)</f>
        <v>399793</v>
      </c>
    </row>
    <row r="2701" spans="1:7" ht="15.75" customHeight="1" x14ac:dyDescent="0.25">
      <c r="A2701" s="14" t="s">
        <v>24</v>
      </c>
      <c r="B2701" s="15">
        <v>12000000</v>
      </c>
      <c r="C2701" s="15">
        <v>39647595</v>
      </c>
      <c r="D2701" s="15">
        <v>1997</v>
      </c>
      <c r="E2701" s="15" t="str">
        <f>VLOOKUP(A2701, Currency!$A$2:$B$100, 2, FALSE)</f>
        <v>USD</v>
      </c>
      <c r="F2701" s="15">
        <f ca="1">IFERROR(__xludf.DUMMYFUNCTION("IF(E2701=""USD"",B2701,B2701 * GOOGLEFINANCE(""CURRENCY:"" &amp; E2701 &amp; ""USD""))
"),12000000)</f>
        <v>12000000</v>
      </c>
      <c r="G2701" s="16">
        <f ca="1">IFERROR(__xludf.DUMMYFUNCTION("IF(E2701=""USD"",C2701,C2701 * GOOGLEFINANCE(""CURRENCY:"" &amp; E2701 &amp; ""USD""))
"),39647595)</f>
        <v>39647595</v>
      </c>
    </row>
    <row r="2702" spans="1:7" ht="15.75" customHeight="1" x14ac:dyDescent="0.25">
      <c r="A2702" s="11" t="s">
        <v>24</v>
      </c>
      <c r="B2702" s="12">
        <v>45000000</v>
      </c>
      <c r="C2702" s="12">
        <v>70001065</v>
      </c>
      <c r="D2702" s="12">
        <v>1998</v>
      </c>
      <c r="E2702" s="12" t="str">
        <f>VLOOKUP(A2702, Currency!$A$2:$B$100, 2, FALSE)</f>
        <v>USD</v>
      </c>
      <c r="F2702" s="12">
        <f ca="1">IFERROR(__xludf.DUMMYFUNCTION("IF(E2702=""USD"",B2702,B2702 * GOOGLEFINANCE(""CURRENCY:"" &amp; E2702 &amp; ""USD""))
"),45000000)</f>
        <v>45000000</v>
      </c>
      <c r="G2702" s="13">
        <f ca="1">IFERROR(__xludf.DUMMYFUNCTION("IF(E2702=""USD"",C2702,C2702 * GOOGLEFINANCE(""CURRENCY:"" &amp; E2702 &amp; ""USD""))
"),70001065)</f>
        <v>70001065</v>
      </c>
    </row>
    <row r="2703" spans="1:7" ht="15.75" customHeight="1" x14ac:dyDescent="0.25">
      <c r="A2703" s="14" t="s">
        <v>24</v>
      </c>
      <c r="B2703" s="15">
        <v>52000000</v>
      </c>
      <c r="C2703" s="15">
        <v>118683135</v>
      </c>
      <c r="D2703" s="15">
        <v>2006</v>
      </c>
      <c r="E2703" s="15" t="str">
        <f>VLOOKUP(A2703, Currency!$A$2:$B$100, 2, FALSE)</f>
        <v>USD</v>
      </c>
      <c r="F2703" s="15">
        <f ca="1">IFERROR(__xludf.DUMMYFUNCTION("IF(E2703=""USD"",B2703,B2703 * GOOGLEFINANCE(""CURRENCY:"" &amp; E2703 &amp; ""USD""))
"),52000000)</f>
        <v>52000000</v>
      </c>
      <c r="G2703" s="16">
        <f ca="1">IFERROR(__xludf.DUMMYFUNCTION("IF(E2703=""USD"",C2703,C2703 * GOOGLEFINANCE(""CURRENCY:"" &amp; E2703 &amp; ""USD""))
"),118683135)</f>
        <v>118683135</v>
      </c>
    </row>
    <row r="2704" spans="1:7" ht="15.75" customHeight="1" x14ac:dyDescent="0.25">
      <c r="A2704" s="11" t="s">
        <v>24</v>
      </c>
      <c r="B2704" s="12">
        <v>15000</v>
      </c>
      <c r="C2704" s="12">
        <v>192467</v>
      </c>
      <c r="D2704" s="12">
        <v>2005</v>
      </c>
      <c r="E2704" s="12" t="str">
        <f>VLOOKUP(A2704, Currency!$A$2:$B$100, 2, FALSE)</f>
        <v>USD</v>
      </c>
      <c r="F2704" s="12">
        <f ca="1">IFERROR(__xludf.DUMMYFUNCTION("IF(E2704=""USD"",B2704,B2704 * GOOGLEFINANCE(""CURRENCY:"" &amp; E2704 &amp; ""USD""))
"),15000)</f>
        <v>15000</v>
      </c>
      <c r="G2704" s="13">
        <f ca="1">IFERROR(__xludf.DUMMYFUNCTION("IF(E2704=""USD"",C2704,C2704 * GOOGLEFINANCE(""CURRENCY:"" &amp; E2704 &amp; ""USD""))
"),192467)</f>
        <v>192467</v>
      </c>
    </row>
    <row r="2705" spans="1:7" ht="15.75" customHeight="1" x14ac:dyDescent="0.25">
      <c r="A2705" s="14" t="s">
        <v>24</v>
      </c>
      <c r="B2705" s="15">
        <v>900000</v>
      </c>
      <c r="C2705" s="15">
        <v>100659</v>
      </c>
      <c r="D2705" s="15">
        <v>2009</v>
      </c>
      <c r="E2705" s="15" t="str">
        <f>VLOOKUP(A2705, Currency!$A$2:$B$100, 2, FALSE)</f>
        <v>USD</v>
      </c>
      <c r="F2705" s="15">
        <f ca="1">IFERROR(__xludf.DUMMYFUNCTION("IF(E2705=""USD"",B2705,B2705 * GOOGLEFINANCE(""CURRENCY:"" &amp; E2705 &amp; ""USD""))
"),900000)</f>
        <v>900000</v>
      </c>
      <c r="G2705" s="16">
        <f ca="1">IFERROR(__xludf.DUMMYFUNCTION("IF(E2705=""USD"",C2705,C2705 * GOOGLEFINANCE(""CURRENCY:"" &amp; E2705 &amp; ""USD""))
"),100659)</f>
        <v>100659</v>
      </c>
    </row>
    <row r="2706" spans="1:7" ht="15.75" customHeight="1" x14ac:dyDescent="0.25">
      <c r="A2706" s="11" t="s">
        <v>24</v>
      </c>
      <c r="B2706" s="12">
        <v>90000000</v>
      </c>
      <c r="C2706" s="12">
        <v>6712451</v>
      </c>
      <c r="D2706" s="12">
        <v>2001</v>
      </c>
      <c r="E2706" s="12" t="str">
        <f>VLOOKUP(A2706, Currency!$A$2:$B$100, 2, FALSE)</f>
        <v>USD</v>
      </c>
      <c r="F2706" s="12">
        <f ca="1">IFERROR(__xludf.DUMMYFUNCTION("IF(E2706=""USD"",B2706,B2706 * GOOGLEFINANCE(""CURRENCY:"" &amp; E2706 &amp; ""USD""))
"),90000000)</f>
        <v>90000000</v>
      </c>
      <c r="G2706" s="13">
        <f ca="1">IFERROR(__xludf.DUMMYFUNCTION("IF(E2706=""USD"",C2706,C2706 * GOOGLEFINANCE(""CURRENCY:"" &amp; E2706 &amp; ""USD""))
"),6712451)</f>
        <v>6712451</v>
      </c>
    </row>
    <row r="2707" spans="1:7" ht="15.75" customHeight="1" x14ac:dyDescent="0.25">
      <c r="A2707" s="14" t="s">
        <v>24</v>
      </c>
      <c r="B2707" s="15">
        <v>38000000</v>
      </c>
      <c r="C2707" s="15">
        <v>88915214</v>
      </c>
      <c r="D2707" s="15">
        <v>2009</v>
      </c>
      <c r="E2707" s="15" t="str">
        <f>VLOOKUP(A2707, Currency!$A$2:$B$100, 2, FALSE)</f>
        <v>USD</v>
      </c>
      <c r="F2707" s="15">
        <f ca="1">IFERROR(__xludf.DUMMYFUNCTION("IF(E2707=""USD"",B2707,B2707 * GOOGLEFINANCE(""CURRENCY:"" &amp; E2707 &amp; ""USD""))
"),38000000)</f>
        <v>38000000</v>
      </c>
      <c r="G2707" s="16">
        <f ca="1">IFERROR(__xludf.DUMMYFUNCTION("IF(E2707=""USD"",C2707,C2707 * GOOGLEFINANCE(""CURRENCY:"" &amp; E2707 &amp; ""USD""))
"),88915214)</f>
        <v>88915214</v>
      </c>
    </row>
    <row r="2708" spans="1:7" ht="15.75" customHeight="1" x14ac:dyDescent="0.25">
      <c r="A2708" s="11" t="s">
        <v>24</v>
      </c>
      <c r="B2708" s="12">
        <v>15000000</v>
      </c>
      <c r="C2708" s="12">
        <v>11614236</v>
      </c>
      <c r="D2708" s="12">
        <v>1999</v>
      </c>
      <c r="E2708" s="12" t="str">
        <f>VLOOKUP(A2708, Currency!$A$2:$B$100, 2, FALSE)</f>
        <v>USD</v>
      </c>
      <c r="F2708" s="12">
        <f ca="1">IFERROR(__xludf.DUMMYFUNCTION("IF(E2708=""USD"",B2708,B2708 * GOOGLEFINANCE(""CURRENCY:"" &amp; E2708 &amp; ""USD""))
"),15000000)</f>
        <v>15000000</v>
      </c>
      <c r="G2708" s="13">
        <f ca="1">IFERROR(__xludf.DUMMYFUNCTION("IF(E2708=""USD"",C2708,C2708 * GOOGLEFINANCE(""CURRENCY:"" &amp; E2708 &amp; ""USD""))
"),11614236)</f>
        <v>11614236</v>
      </c>
    </row>
    <row r="2709" spans="1:7" ht="15.75" customHeight="1" x14ac:dyDescent="0.25">
      <c r="A2709" s="14" t="s">
        <v>24</v>
      </c>
      <c r="B2709" s="15">
        <v>80000000</v>
      </c>
      <c r="C2709" s="15">
        <v>90443603</v>
      </c>
      <c r="D2709" s="15">
        <v>1996</v>
      </c>
      <c r="E2709" s="15" t="str">
        <f>VLOOKUP(A2709, Currency!$A$2:$B$100, 2, FALSE)</f>
        <v>USD</v>
      </c>
      <c r="F2709" s="15">
        <f ca="1">IFERROR(__xludf.DUMMYFUNCTION("IF(E2709=""USD"",B2709,B2709 * GOOGLEFINANCE(""CURRENCY:"" &amp; E2709 &amp; ""USD""))
"),80000000)</f>
        <v>80000000</v>
      </c>
      <c r="G2709" s="16">
        <f ca="1">IFERROR(__xludf.DUMMYFUNCTION("IF(E2709=""USD"",C2709,C2709 * GOOGLEFINANCE(""CURRENCY:"" &amp; E2709 &amp; ""USD""))
"),90443603)</f>
        <v>90443603</v>
      </c>
    </row>
    <row r="2710" spans="1:7" ht="15.75" customHeight="1" x14ac:dyDescent="0.25">
      <c r="A2710" s="11" t="s">
        <v>24</v>
      </c>
      <c r="B2710" s="12">
        <v>16000000</v>
      </c>
      <c r="C2710" s="12">
        <v>42638165</v>
      </c>
      <c r="D2710" s="12">
        <v>2009</v>
      </c>
      <c r="E2710" s="12" t="str">
        <f>VLOOKUP(A2710, Currency!$A$2:$B$100, 2, FALSE)</f>
        <v>USD</v>
      </c>
      <c r="F2710" s="12">
        <f ca="1">IFERROR(__xludf.DUMMYFUNCTION("IF(E2710=""USD"",B2710,B2710 * GOOGLEFINANCE(""CURRENCY:"" &amp; E2710 &amp; ""USD""))
"),16000000)</f>
        <v>16000000</v>
      </c>
      <c r="G2710" s="13">
        <f ca="1">IFERROR(__xludf.DUMMYFUNCTION("IF(E2710=""USD"",C2710,C2710 * GOOGLEFINANCE(""CURRENCY:"" &amp; E2710 &amp; ""USD""))
"),42638165)</f>
        <v>42638165</v>
      </c>
    </row>
    <row r="2711" spans="1:7" ht="15.75" customHeight="1" x14ac:dyDescent="0.25">
      <c r="A2711" s="14" t="s">
        <v>24</v>
      </c>
      <c r="B2711" s="15">
        <v>135000000</v>
      </c>
      <c r="C2711" s="15">
        <v>83024900</v>
      </c>
      <c r="D2711" s="15">
        <v>2013</v>
      </c>
      <c r="E2711" s="15" t="str">
        <f>VLOOKUP(A2711, Currency!$A$2:$B$100, 2, FALSE)</f>
        <v>USD</v>
      </c>
      <c r="F2711" s="15">
        <f ca="1">IFERROR(__xludf.DUMMYFUNCTION("IF(E2711=""USD"",B2711,B2711 * GOOGLEFINANCE(""CURRENCY:"" &amp; E2711 &amp; ""USD""))
"),135000000)</f>
        <v>135000000</v>
      </c>
      <c r="G2711" s="16">
        <f ca="1">IFERROR(__xludf.DUMMYFUNCTION("IF(E2711=""USD"",C2711,C2711 * GOOGLEFINANCE(""CURRENCY:"" &amp; E2711 &amp; ""USD""))
"),83024900)</f>
        <v>83024900</v>
      </c>
    </row>
    <row r="2712" spans="1:7" ht="15.75" customHeight="1" x14ac:dyDescent="0.25">
      <c r="A2712" s="11" t="s">
        <v>133</v>
      </c>
      <c r="B2712" s="12">
        <v>4000000</v>
      </c>
      <c r="C2712" s="12">
        <v>10515579</v>
      </c>
      <c r="D2712" s="12">
        <v>2006</v>
      </c>
      <c r="E2712" s="12" t="str">
        <f>VLOOKUP(A2712, Currency!$A$2:$B$100, 2, FALSE)</f>
        <v>GBP</v>
      </c>
      <c r="F2712" s="12">
        <f ca="1">IFERROR(__xludf.DUMMYFUNCTION("IF(E2712=""USD"",B2712,B2712 * GOOGLEFINANCE(""CURRENCY:"" &amp; E2712 &amp; ""USD""))
"),5141599.99999999)</f>
        <v>5141599.9999999898</v>
      </c>
      <c r="G2712" s="13">
        <f ca="1">IFERROR(__xludf.DUMMYFUNCTION("IF(E2712=""USD"",C2712,C2712 * GOOGLEFINANCE(""CURRENCY:"" &amp; E2712 &amp; ""USD""))
"),13516725.2465999)</f>
        <v>13516725.2465999</v>
      </c>
    </row>
    <row r="2713" spans="1:7" ht="15.75" customHeight="1" x14ac:dyDescent="0.25">
      <c r="A2713" s="14" t="s">
        <v>24</v>
      </c>
      <c r="B2713" s="15">
        <v>10000000</v>
      </c>
      <c r="C2713" s="15">
        <v>4280577</v>
      </c>
      <c r="D2713" s="15">
        <v>2005</v>
      </c>
      <c r="E2713" s="15" t="str">
        <f>VLOOKUP(A2713, Currency!$A$2:$B$100, 2, FALSE)</f>
        <v>USD</v>
      </c>
      <c r="F2713" s="15">
        <f ca="1">IFERROR(__xludf.DUMMYFUNCTION("IF(E2713=""USD"",B2713,B2713 * GOOGLEFINANCE(""CURRENCY:"" &amp; E2713 &amp; ""USD""))
"),10000000)</f>
        <v>10000000</v>
      </c>
      <c r="G2713" s="16">
        <f ca="1">IFERROR(__xludf.DUMMYFUNCTION("IF(E2713=""USD"",C2713,C2713 * GOOGLEFINANCE(""CURRENCY:"" &amp; E2713 &amp; ""USD""))
"),4280577)</f>
        <v>4280577</v>
      </c>
    </row>
    <row r="2714" spans="1:7" ht="15.75" customHeight="1" x14ac:dyDescent="0.25">
      <c r="A2714" s="11" t="s">
        <v>133</v>
      </c>
      <c r="B2714" s="12">
        <v>7000000</v>
      </c>
      <c r="C2714" s="12">
        <v>5430822</v>
      </c>
      <c r="D2714" s="12">
        <v>1992</v>
      </c>
      <c r="E2714" s="12" t="str">
        <f>VLOOKUP(A2714, Currency!$A$2:$B$100, 2, FALSE)</f>
        <v>GBP</v>
      </c>
      <c r="F2714" s="12">
        <f ca="1">IFERROR(__xludf.DUMMYFUNCTION("IF(E2714=""USD"",B2714,B2714 * GOOGLEFINANCE(""CURRENCY:"" &amp; E2714 &amp; ""USD""))
"),8997800)</f>
        <v>8997800</v>
      </c>
      <c r="G2714" s="13">
        <f ca="1">IFERROR(__xludf.DUMMYFUNCTION("IF(E2714=""USD"",C2714,C2714 * GOOGLEFINANCE(""CURRENCY:"" &amp; E2714 &amp; ""USD""))
"),6980778.59879999)</f>
        <v>6980778.5987999896</v>
      </c>
    </row>
    <row r="2715" spans="1:7" ht="15.75" customHeight="1" x14ac:dyDescent="0.25">
      <c r="A2715" s="14" t="s">
        <v>24</v>
      </c>
      <c r="B2715" s="15">
        <v>15000000</v>
      </c>
      <c r="C2715" s="15">
        <v>22189039</v>
      </c>
      <c r="D2715" s="15">
        <v>1993</v>
      </c>
      <c r="E2715" s="15" t="str">
        <f>VLOOKUP(A2715, Currency!$A$2:$B$100, 2, FALSE)</f>
        <v>USD</v>
      </c>
      <c r="F2715" s="15">
        <f ca="1">IFERROR(__xludf.DUMMYFUNCTION("IF(E2715=""USD"",B2715,B2715 * GOOGLEFINANCE(""CURRENCY:"" &amp; E2715 &amp; ""USD""))
"),15000000)</f>
        <v>15000000</v>
      </c>
      <c r="G2715" s="16">
        <f ca="1">IFERROR(__xludf.DUMMYFUNCTION("IF(E2715=""USD"",C2715,C2715 * GOOGLEFINANCE(""CURRENCY:"" &amp; E2715 &amp; ""USD""))
"),22189039)</f>
        <v>22189039</v>
      </c>
    </row>
    <row r="2716" spans="1:7" ht="15.75" customHeight="1" x14ac:dyDescent="0.25">
      <c r="A2716" s="11" t="s">
        <v>24</v>
      </c>
      <c r="B2716" s="12">
        <v>25000000</v>
      </c>
      <c r="C2716" s="12">
        <v>7156933</v>
      </c>
      <c r="D2716" s="12">
        <v>2006</v>
      </c>
      <c r="E2716" s="12" t="str">
        <f>VLOOKUP(A2716, Currency!$A$2:$B$100, 2, FALSE)</f>
        <v>USD</v>
      </c>
      <c r="F2716" s="12">
        <f ca="1">IFERROR(__xludf.DUMMYFUNCTION("IF(E2716=""USD"",B2716,B2716 * GOOGLEFINANCE(""CURRENCY:"" &amp; E2716 &amp; ""USD""))
"),25000000)</f>
        <v>25000000</v>
      </c>
      <c r="G2716" s="13">
        <f ca="1">IFERROR(__xludf.DUMMYFUNCTION("IF(E2716=""USD"",C2716,C2716 * GOOGLEFINANCE(""CURRENCY:"" &amp; E2716 &amp; ""USD""))
"),7156933)</f>
        <v>7156933</v>
      </c>
    </row>
    <row r="2717" spans="1:7" ht="15.75" customHeight="1" x14ac:dyDescent="0.25">
      <c r="A2717" s="14" t="s">
        <v>24</v>
      </c>
      <c r="B2717" s="15">
        <v>17000000</v>
      </c>
      <c r="C2717" s="15">
        <v>72000000</v>
      </c>
      <c r="D2717" s="15">
        <v>1964</v>
      </c>
      <c r="E2717" s="15" t="str">
        <f>VLOOKUP(A2717, Currency!$A$2:$B$100, 2, FALSE)</f>
        <v>USD</v>
      </c>
      <c r="F2717" s="15">
        <f ca="1">IFERROR(__xludf.DUMMYFUNCTION("IF(E2717=""USD"",B2717,B2717 * GOOGLEFINANCE(""CURRENCY:"" &amp; E2717 &amp; ""USD""))
"),17000000)</f>
        <v>17000000</v>
      </c>
      <c r="G2717" s="16">
        <f ca="1">IFERROR(__xludf.DUMMYFUNCTION("IF(E2717=""USD"",C2717,C2717 * GOOGLEFINANCE(""CURRENCY:"" &amp; E2717 &amp; ""USD""))
"),72000000)</f>
        <v>72000000</v>
      </c>
    </row>
    <row r="2718" spans="1:7" ht="15.75" customHeight="1" x14ac:dyDescent="0.25">
      <c r="A2718" s="11" t="s">
        <v>24</v>
      </c>
      <c r="B2718" s="12">
        <v>20000000</v>
      </c>
      <c r="C2718" s="12">
        <v>13987482</v>
      </c>
      <c r="D2718" s="12">
        <v>2011</v>
      </c>
      <c r="E2718" s="12" t="str">
        <f>VLOOKUP(A2718, Currency!$A$2:$B$100, 2, FALSE)</f>
        <v>USD</v>
      </c>
      <c r="F2718" s="12">
        <f ca="1">IFERROR(__xludf.DUMMYFUNCTION("IF(E2718=""USD"",B2718,B2718 * GOOGLEFINANCE(""CURRENCY:"" &amp; E2718 &amp; ""USD""))
"),20000000)</f>
        <v>20000000</v>
      </c>
      <c r="G2718" s="13">
        <f ca="1">IFERROR(__xludf.DUMMYFUNCTION("IF(E2718=""USD"",C2718,C2718 * GOOGLEFINANCE(""CURRENCY:"" &amp; E2718 &amp; ""USD""))
"),13987482)</f>
        <v>13987482</v>
      </c>
    </row>
    <row r="2719" spans="1:7" ht="15.75" customHeight="1" x14ac:dyDescent="0.25">
      <c r="A2719" s="14" t="s">
        <v>24</v>
      </c>
      <c r="B2719" s="15">
        <v>25000000</v>
      </c>
      <c r="C2719" s="15">
        <v>25615792</v>
      </c>
      <c r="D2719" s="15">
        <v>2009</v>
      </c>
      <c r="E2719" s="15" t="str">
        <f>VLOOKUP(A2719, Currency!$A$2:$B$100, 2, FALSE)</f>
        <v>USD</v>
      </c>
      <c r="F2719" s="15">
        <f ca="1">IFERROR(__xludf.DUMMYFUNCTION("IF(E2719=""USD"",B2719,B2719 * GOOGLEFINANCE(""CURRENCY:"" &amp; E2719 &amp; ""USD""))
"),25000000)</f>
        <v>25000000</v>
      </c>
      <c r="G2719" s="16">
        <f ca="1">IFERROR(__xludf.DUMMYFUNCTION("IF(E2719=""USD"",C2719,C2719 * GOOGLEFINANCE(""CURRENCY:"" &amp; E2719 &amp; ""USD""))
"),25615792)</f>
        <v>25615792</v>
      </c>
    </row>
    <row r="2720" spans="1:7" ht="15.75" customHeight="1" x14ac:dyDescent="0.25">
      <c r="A2720" s="11" t="s">
        <v>24</v>
      </c>
      <c r="B2720" s="12">
        <v>18000000</v>
      </c>
      <c r="C2720" s="12">
        <v>95001351</v>
      </c>
      <c r="D2720" s="12">
        <v>2001</v>
      </c>
      <c r="E2720" s="12" t="str">
        <f>VLOOKUP(A2720, Currency!$A$2:$B$100, 2, FALSE)</f>
        <v>USD</v>
      </c>
      <c r="F2720" s="12">
        <f ca="1">IFERROR(__xludf.DUMMYFUNCTION("IF(E2720=""USD"",B2720,B2720 * GOOGLEFINANCE(""CURRENCY:"" &amp; E2720 &amp; ""USD""))
"),18000000)</f>
        <v>18000000</v>
      </c>
      <c r="G2720" s="13">
        <f ca="1">IFERROR(__xludf.DUMMYFUNCTION("IF(E2720=""USD"",C2720,C2720 * GOOGLEFINANCE(""CURRENCY:"" &amp; E2720 &amp; ""USD""))
"),95001351)</f>
        <v>95001351</v>
      </c>
    </row>
    <row r="2721" spans="1:7" ht="15.75" customHeight="1" x14ac:dyDescent="0.25">
      <c r="A2721" s="14" t="s">
        <v>24</v>
      </c>
      <c r="B2721" s="15">
        <v>650000</v>
      </c>
      <c r="C2721" s="15">
        <v>18469</v>
      </c>
      <c r="D2721" s="15">
        <v>2010</v>
      </c>
      <c r="E2721" s="15" t="str">
        <f>VLOOKUP(A2721, Currency!$A$2:$B$100, 2, FALSE)</f>
        <v>USD</v>
      </c>
      <c r="F2721" s="15">
        <f ca="1">IFERROR(__xludf.DUMMYFUNCTION("IF(E2721=""USD"",B2721,B2721 * GOOGLEFINANCE(""CURRENCY:"" &amp; E2721 &amp; ""USD""))
"),650000)</f>
        <v>650000</v>
      </c>
      <c r="G2721" s="16">
        <f ca="1">IFERROR(__xludf.DUMMYFUNCTION("IF(E2721=""USD"",C2721,C2721 * GOOGLEFINANCE(""CURRENCY:"" &amp; E2721 &amp; ""USD""))
"),18469)</f>
        <v>18469</v>
      </c>
    </row>
    <row r="2722" spans="1:7" ht="15.75" customHeight="1" x14ac:dyDescent="0.25">
      <c r="A2722" s="11" t="s">
        <v>24</v>
      </c>
      <c r="B2722" s="12">
        <v>11000000</v>
      </c>
      <c r="C2722" s="12">
        <v>90556401</v>
      </c>
      <c r="D2722" s="12">
        <v>2008</v>
      </c>
      <c r="E2722" s="12" t="str">
        <f>VLOOKUP(A2722, Currency!$A$2:$B$100, 2, FALSE)</f>
        <v>USD</v>
      </c>
      <c r="F2722" s="12">
        <f ca="1">IFERROR(__xludf.DUMMYFUNCTION("IF(E2722=""USD"",B2722,B2722 * GOOGLEFINANCE(""CURRENCY:"" &amp; E2722 &amp; ""USD""))
"),11000000)</f>
        <v>11000000</v>
      </c>
      <c r="G2722" s="13">
        <f ca="1">IFERROR(__xludf.DUMMYFUNCTION("IF(E2722=""USD"",C2722,C2722 * GOOGLEFINANCE(""CURRENCY:"" &amp; E2722 &amp; ""USD""))
"),90556401)</f>
        <v>90556401</v>
      </c>
    </row>
    <row r="2723" spans="1:7" ht="15.75" customHeight="1" x14ac:dyDescent="0.25">
      <c r="A2723" s="14" t="s">
        <v>24</v>
      </c>
      <c r="B2723" s="15">
        <v>175000000</v>
      </c>
      <c r="C2723" s="15">
        <v>38297305</v>
      </c>
      <c r="D2723" s="15">
        <v>2013</v>
      </c>
      <c r="E2723" s="15" t="str">
        <f>VLOOKUP(A2723, Currency!$A$2:$B$100, 2, FALSE)</f>
        <v>USD</v>
      </c>
      <c r="F2723" s="15">
        <f ca="1">IFERROR(__xludf.DUMMYFUNCTION("IF(E2723=""USD"",B2723,B2723 * GOOGLEFINANCE(""CURRENCY:"" &amp; E2723 &amp; ""USD""))
"),175000000)</f>
        <v>175000000</v>
      </c>
      <c r="G2723" s="16">
        <f ca="1">IFERROR(__xludf.DUMMYFUNCTION("IF(E2723=""USD"",C2723,C2723 * GOOGLEFINANCE(""CURRENCY:"" &amp; E2723 &amp; ""USD""))
"),38297305)</f>
        <v>38297305</v>
      </c>
    </row>
    <row r="2724" spans="1:7" ht="15.75" customHeight="1" x14ac:dyDescent="0.25">
      <c r="A2724" s="11" t="s">
        <v>24</v>
      </c>
      <c r="B2724" s="12">
        <v>150000000</v>
      </c>
      <c r="C2724" s="12">
        <v>127490802</v>
      </c>
      <c r="D2724" s="12">
        <v>2008</v>
      </c>
      <c r="E2724" s="12" t="str">
        <f>VLOOKUP(A2724, Currency!$A$2:$B$100, 2, FALSE)</f>
        <v>USD</v>
      </c>
      <c r="F2724" s="12">
        <f ca="1">IFERROR(__xludf.DUMMYFUNCTION("IF(E2724=""USD"",B2724,B2724 * GOOGLEFINANCE(""CURRENCY:"" &amp; E2724 &amp; ""USD""))
"),150000000)</f>
        <v>150000000</v>
      </c>
      <c r="G2724" s="13">
        <f ca="1">IFERROR(__xludf.DUMMYFUNCTION("IF(E2724=""USD"",C2724,C2724 * GOOGLEFINANCE(""CURRENCY:"" &amp; E2724 &amp; ""USD""))
"),127490802)</f>
        <v>127490802</v>
      </c>
    </row>
    <row r="2725" spans="1:7" ht="15.75" customHeight="1" x14ac:dyDescent="0.25">
      <c r="A2725" s="14" t="s">
        <v>24</v>
      </c>
      <c r="B2725" s="15">
        <v>50000000</v>
      </c>
      <c r="C2725" s="15">
        <v>31874869</v>
      </c>
      <c r="D2725" s="15">
        <v>2002</v>
      </c>
      <c r="E2725" s="15" t="str">
        <f>VLOOKUP(A2725, Currency!$A$2:$B$100, 2, FALSE)</f>
        <v>USD</v>
      </c>
      <c r="F2725" s="15">
        <f ca="1">IFERROR(__xludf.DUMMYFUNCTION("IF(E2725=""USD"",B2725,B2725 * GOOGLEFINANCE(""CURRENCY:"" &amp; E2725 &amp; ""USD""))
"),50000000)</f>
        <v>50000000</v>
      </c>
      <c r="G2725" s="16">
        <f ca="1">IFERROR(__xludf.DUMMYFUNCTION("IF(E2725=""USD"",C2725,C2725 * GOOGLEFINANCE(""CURRENCY:"" &amp; E2725 &amp; ""USD""))
"),31874869)</f>
        <v>31874869</v>
      </c>
    </row>
    <row r="2726" spans="1:7" ht="15.75" customHeight="1" x14ac:dyDescent="0.25">
      <c r="A2726" s="11" t="s">
        <v>24</v>
      </c>
      <c r="B2726" s="12">
        <v>100000</v>
      </c>
      <c r="C2726" s="12">
        <v>11798</v>
      </c>
      <c r="D2726" s="12">
        <v>2003</v>
      </c>
      <c r="E2726" s="12" t="str">
        <f>VLOOKUP(A2726, Currency!$A$2:$B$100, 2, FALSE)</f>
        <v>USD</v>
      </c>
      <c r="F2726" s="12">
        <f ca="1">IFERROR(__xludf.DUMMYFUNCTION("IF(E2726=""USD"",B2726,B2726 * GOOGLEFINANCE(""CURRENCY:"" &amp; E2726 &amp; ""USD""))
"),100000)</f>
        <v>100000</v>
      </c>
      <c r="G2726" s="13">
        <f ca="1">IFERROR(__xludf.DUMMYFUNCTION("IF(E2726=""USD"",C2726,C2726 * GOOGLEFINANCE(""CURRENCY:"" &amp; E2726 &amp; ""USD""))
"),11798)</f>
        <v>11798</v>
      </c>
    </row>
    <row r="2727" spans="1:7" ht="15.75" customHeight="1" x14ac:dyDescent="0.25">
      <c r="A2727" s="14" t="s">
        <v>24</v>
      </c>
      <c r="B2727" s="15">
        <v>17000000</v>
      </c>
      <c r="C2727" s="15">
        <v>42660000</v>
      </c>
      <c r="D2727" s="15">
        <v>1993</v>
      </c>
      <c r="E2727" s="15" t="str">
        <f>VLOOKUP(A2727, Currency!$A$2:$B$100, 2, FALSE)</f>
        <v>USD</v>
      </c>
      <c r="F2727" s="15">
        <f ca="1">IFERROR(__xludf.DUMMYFUNCTION("IF(E2727=""USD"",B2727,B2727 * GOOGLEFINANCE(""CURRENCY:"" &amp; E2727 &amp; ""USD""))
"),17000000)</f>
        <v>17000000</v>
      </c>
      <c r="G2727" s="16">
        <f ca="1">IFERROR(__xludf.DUMMYFUNCTION("IF(E2727=""USD"",C2727,C2727 * GOOGLEFINANCE(""CURRENCY:"" &amp; E2727 &amp; ""USD""))
"),42660000)</f>
        <v>42660000</v>
      </c>
    </row>
    <row r="2728" spans="1:7" ht="15.75" customHeight="1" x14ac:dyDescent="0.25">
      <c r="A2728" s="11" t="s">
        <v>24</v>
      </c>
      <c r="B2728" s="12">
        <v>2500000</v>
      </c>
      <c r="C2728" s="12">
        <v>1163508</v>
      </c>
      <c r="D2728" s="12">
        <v>2012</v>
      </c>
      <c r="E2728" s="12" t="str">
        <f>VLOOKUP(A2728, Currency!$A$2:$B$100, 2, FALSE)</f>
        <v>USD</v>
      </c>
      <c r="F2728" s="12">
        <f ca="1">IFERROR(__xludf.DUMMYFUNCTION("IF(E2728=""USD"",B2728,B2728 * GOOGLEFINANCE(""CURRENCY:"" &amp; E2728 &amp; ""USD""))
"),2500000)</f>
        <v>2500000</v>
      </c>
      <c r="G2728" s="13">
        <f ca="1">IFERROR(__xludf.DUMMYFUNCTION("IF(E2728=""USD"",C2728,C2728 * GOOGLEFINANCE(""CURRENCY:"" &amp; E2728 &amp; ""USD""))
"),1163508)</f>
        <v>1163508</v>
      </c>
    </row>
    <row r="2729" spans="1:7" ht="15.75" customHeight="1" x14ac:dyDescent="0.25">
      <c r="A2729" s="14" t="s">
        <v>24</v>
      </c>
      <c r="B2729" s="15">
        <v>50000000</v>
      </c>
      <c r="C2729" s="15">
        <v>13560960</v>
      </c>
      <c r="D2729" s="15">
        <v>1995</v>
      </c>
      <c r="E2729" s="15" t="str">
        <f>VLOOKUP(A2729, Currency!$A$2:$B$100, 2, FALSE)</f>
        <v>USD</v>
      </c>
      <c r="F2729" s="15">
        <f ca="1">IFERROR(__xludf.DUMMYFUNCTION("IF(E2729=""USD"",B2729,B2729 * GOOGLEFINANCE(""CURRENCY:"" &amp; E2729 &amp; ""USD""))
"),50000000)</f>
        <v>50000000</v>
      </c>
      <c r="G2729" s="16">
        <f ca="1">IFERROR(__xludf.DUMMYFUNCTION("IF(E2729=""USD"",C2729,C2729 * GOOGLEFINANCE(""CURRENCY:"" &amp; E2729 &amp; ""USD""))
"),13560960)</f>
        <v>13560960</v>
      </c>
    </row>
    <row r="2730" spans="1:7" ht="15.75" customHeight="1" x14ac:dyDescent="0.25">
      <c r="A2730" s="11" t="s">
        <v>627</v>
      </c>
      <c r="B2730" s="12">
        <v>25000</v>
      </c>
      <c r="C2730" s="12">
        <v>2856622</v>
      </c>
      <c r="D2730" s="12">
        <v>1997</v>
      </c>
      <c r="E2730" s="12" t="str">
        <f>VLOOKUP(A2730, Currency!$A$2:$B$100, 2, FALSE)</f>
        <v>CAD</v>
      </c>
      <c r="F2730" s="12">
        <f ca="1">IFERROR(__xludf.DUMMYFUNCTION("IF(E2730=""USD"",B2730,B2730 * GOOGLEFINANCE(""CURRENCY:"" &amp; E2730 &amp; ""USD""))
"),18085.125)</f>
        <v>18085.125</v>
      </c>
      <c r="G2730" s="13">
        <f ca="1">IFERROR(__xludf.DUMMYFUNCTION("IF(E2730=""USD"",C2730,C2730 * GOOGLEFINANCE(""CURRENCY:"" &amp; E2730 &amp; ""USD""))
"),2066494.63790999)</f>
        <v>2066494.63790999</v>
      </c>
    </row>
    <row r="2731" spans="1:7" ht="15.75" customHeight="1" x14ac:dyDescent="0.25">
      <c r="A2731" s="14" t="s">
        <v>24</v>
      </c>
      <c r="B2731" s="15">
        <v>140000000</v>
      </c>
      <c r="C2731" s="15">
        <v>176636816</v>
      </c>
      <c r="D2731" s="15">
        <v>2011</v>
      </c>
      <c r="E2731" s="15" t="str">
        <f>VLOOKUP(A2731, Currency!$A$2:$B$100, 2, FALSE)</f>
        <v>USD</v>
      </c>
      <c r="F2731" s="15">
        <f ca="1">IFERROR(__xludf.DUMMYFUNCTION("IF(E2731=""USD"",B2731,B2731 * GOOGLEFINANCE(""CURRENCY:"" &amp; E2731 &amp; ""USD""))
"),140000000)</f>
        <v>140000000</v>
      </c>
      <c r="G2731" s="16">
        <f ca="1">IFERROR(__xludf.DUMMYFUNCTION("IF(E2731=""USD"",C2731,C2731 * GOOGLEFINANCE(""CURRENCY:"" &amp; E2731 &amp; ""USD""))
"),176636816)</f>
        <v>176636816</v>
      </c>
    </row>
    <row r="2732" spans="1:7" ht="15.75" customHeight="1" x14ac:dyDescent="0.25">
      <c r="A2732" s="11" t="s">
        <v>611</v>
      </c>
      <c r="B2732" s="12">
        <v>9500000</v>
      </c>
      <c r="C2732" s="12">
        <v>7002255</v>
      </c>
      <c r="D2732" s="12">
        <v>2003</v>
      </c>
      <c r="E2732" s="12" t="str">
        <f>VLOOKUP(A2732, Currency!$A$2:$B$100, 2, FALSE)</f>
        <v>EUR</v>
      </c>
      <c r="F2732" s="12">
        <f ca="1">IFERROR(__xludf.DUMMYFUNCTION("IF(E2732=""USD"",B2732,B2732 * GOOGLEFINANCE(""CURRENCY:"" &amp; E2732 &amp; ""USD""))
"),10305030)</f>
        <v>10305030</v>
      </c>
      <c r="G2732" s="13">
        <f ca="1">IFERROR(__xludf.DUMMYFUNCTION("IF(E2732=""USD"",C2732,C2732 * GOOGLEFINANCE(""CURRENCY:"" &amp; E2732 &amp; ""USD""))
"),7595626.0887)</f>
        <v>7595626.0887000002</v>
      </c>
    </row>
    <row r="2733" spans="1:7" ht="15.75" customHeight="1" x14ac:dyDescent="0.25">
      <c r="A2733" s="14" t="s">
        <v>24</v>
      </c>
      <c r="B2733" s="15">
        <v>260000000</v>
      </c>
      <c r="C2733" s="15">
        <v>200807262</v>
      </c>
      <c r="D2733" s="15">
        <v>2010</v>
      </c>
      <c r="E2733" s="15" t="str">
        <f>VLOOKUP(A2733, Currency!$A$2:$B$100, 2, FALSE)</f>
        <v>USD</v>
      </c>
      <c r="F2733" s="15">
        <f ca="1">IFERROR(__xludf.DUMMYFUNCTION("IF(E2733=""USD"",B2733,B2733 * GOOGLEFINANCE(""CURRENCY:"" &amp; E2733 &amp; ""USD""))
"),260000000)</f>
        <v>260000000</v>
      </c>
      <c r="G2733" s="16">
        <f ca="1">IFERROR(__xludf.DUMMYFUNCTION("IF(E2733=""USD"",C2733,C2733 * GOOGLEFINANCE(""CURRENCY:"" &amp; E2733 &amp; ""USD""))
"),200807262)</f>
        <v>200807262</v>
      </c>
    </row>
    <row r="2734" spans="1:7" ht="15.75" customHeight="1" x14ac:dyDescent="0.25">
      <c r="A2734" s="11" t="s">
        <v>24</v>
      </c>
      <c r="B2734" s="12">
        <v>18000000</v>
      </c>
      <c r="C2734" s="12">
        <v>42335698</v>
      </c>
      <c r="D2734" s="12">
        <v>2014</v>
      </c>
      <c r="E2734" s="12" t="str">
        <f>VLOOKUP(A2734, Currency!$A$2:$B$100, 2, FALSE)</f>
        <v>USD</v>
      </c>
      <c r="F2734" s="12">
        <f ca="1">IFERROR(__xludf.DUMMYFUNCTION("IF(E2734=""USD"",B2734,B2734 * GOOGLEFINANCE(""CURRENCY:"" &amp; E2734 &amp; ""USD""))
"),18000000)</f>
        <v>18000000</v>
      </c>
      <c r="G2734" s="13">
        <f ca="1">IFERROR(__xludf.DUMMYFUNCTION("IF(E2734=""USD"",C2734,C2734 * GOOGLEFINANCE(""CURRENCY:"" &amp; E2734 &amp; ""USD""))
"),42335698)</f>
        <v>42335698</v>
      </c>
    </row>
    <row r="2735" spans="1:7" ht="15.75" customHeight="1" x14ac:dyDescent="0.25">
      <c r="A2735" s="14" t="s">
        <v>24</v>
      </c>
      <c r="B2735" s="15">
        <v>7000000</v>
      </c>
      <c r="C2735" s="15">
        <v>49369900</v>
      </c>
      <c r="D2735" s="15">
        <v>1988</v>
      </c>
      <c r="E2735" s="15" t="str">
        <f>VLOOKUP(A2735, Currency!$A$2:$B$100, 2, FALSE)</f>
        <v>USD</v>
      </c>
      <c r="F2735" s="15">
        <f ca="1">IFERROR(__xludf.DUMMYFUNCTION("IF(E2735=""USD"",B2735,B2735 * GOOGLEFINANCE(""CURRENCY:"" &amp; E2735 &amp; ""USD""))
"),7000000)</f>
        <v>7000000</v>
      </c>
      <c r="G2735" s="16">
        <f ca="1">IFERROR(__xludf.DUMMYFUNCTION("IF(E2735=""USD"",C2735,C2735 * GOOGLEFINANCE(""CURRENCY:"" &amp; E2735 &amp; ""USD""))
"),49369900)</f>
        <v>49369900</v>
      </c>
    </row>
    <row r="2736" spans="1:7" ht="15.75" customHeight="1" x14ac:dyDescent="0.25">
      <c r="A2736" s="11" t="s">
        <v>24</v>
      </c>
      <c r="B2736" s="12">
        <v>11000000</v>
      </c>
      <c r="C2736" s="12">
        <v>37766350</v>
      </c>
      <c r="D2736" s="12">
        <v>2008</v>
      </c>
      <c r="E2736" s="12" t="str">
        <f>VLOOKUP(A2736, Currency!$A$2:$B$100, 2, FALSE)</f>
        <v>USD</v>
      </c>
      <c r="F2736" s="12">
        <f ca="1">IFERROR(__xludf.DUMMYFUNCTION("IF(E2736=""USD"",B2736,B2736 * GOOGLEFINANCE(""CURRENCY:"" &amp; E2736 &amp; ""USD""))
"),11000000)</f>
        <v>11000000</v>
      </c>
      <c r="G2736" s="13">
        <f ca="1">IFERROR(__xludf.DUMMYFUNCTION("IF(E2736=""USD"",C2736,C2736 * GOOGLEFINANCE(""CURRENCY:"" &amp; E2736 &amp; ""USD""))
"),37766350)</f>
        <v>37766350</v>
      </c>
    </row>
    <row r="2737" spans="1:7" ht="15.75" customHeight="1" x14ac:dyDescent="0.25">
      <c r="A2737" s="14" t="s">
        <v>24</v>
      </c>
      <c r="B2737" s="15">
        <v>6500000</v>
      </c>
      <c r="C2737" s="15">
        <v>1029017</v>
      </c>
      <c r="D2737" s="15">
        <v>2004</v>
      </c>
      <c r="E2737" s="15" t="str">
        <f>VLOOKUP(A2737, Currency!$A$2:$B$100, 2, FALSE)</f>
        <v>USD</v>
      </c>
      <c r="F2737" s="15">
        <f ca="1">IFERROR(__xludf.DUMMYFUNCTION("IF(E2737=""USD"",B2737,B2737 * GOOGLEFINANCE(""CURRENCY:"" &amp; E2737 &amp; ""USD""))
"),6500000)</f>
        <v>6500000</v>
      </c>
      <c r="G2737" s="16">
        <f ca="1">IFERROR(__xludf.DUMMYFUNCTION("IF(E2737=""USD"",C2737,C2737 * GOOGLEFINANCE(""CURRENCY:"" &amp; E2737 &amp; ""USD""))
"),1029017)</f>
        <v>1029017</v>
      </c>
    </row>
    <row r="2738" spans="1:7" ht="15.75" customHeight="1" x14ac:dyDescent="0.25">
      <c r="A2738" s="11" t="s">
        <v>41</v>
      </c>
      <c r="B2738" s="12">
        <v>50000000</v>
      </c>
      <c r="C2738" s="12">
        <v>23106</v>
      </c>
      <c r="D2738" s="12">
        <v>2004</v>
      </c>
      <c r="E2738" s="12" t="str">
        <f>VLOOKUP(A2738, Currency!$A$2:$B$100, 2, FALSE)</f>
        <v>EUR</v>
      </c>
      <c r="F2738" s="12">
        <f ca="1">IFERROR(__xludf.DUMMYFUNCTION("IF(E2738=""USD"",B2738,B2738 * GOOGLEFINANCE(""CURRENCY:"" &amp; E2738 &amp; ""USD""))
"),54237000)</f>
        <v>54237000</v>
      </c>
      <c r="G2738" s="13">
        <f ca="1">IFERROR(__xludf.DUMMYFUNCTION("IF(E2738=""USD"",C2738,C2738 * GOOGLEFINANCE(""CURRENCY:"" &amp; E2738 &amp; ""USD""))
"),25064.00244)</f>
        <v>25064.00244</v>
      </c>
    </row>
    <row r="2739" spans="1:7" ht="15.75" customHeight="1" x14ac:dyDescent="0.25">
      <c r="A2739" s="14" t="s">
        <v>24</v>
      </c>
      <c r="B2739" s="15">
        <v>8000000</v>
      </c>
      <c r="C2739" s="15">
        <v>17536788</v>
      </c>
      <c r="D2739" s="15">
        <v>2013</v>
      </c>
      <c r="E2739" s="15" t="str">
        <f>VLOOKUP(A2739, Currency!$A$2:$B$100, 2, FALSE)</f>
        <v>USD</v>
      </c>
      <c r="F2739" s="15">
        <f ca="1">IFERROR(__xludf.DUMMYFUNCTION("IF(E2739=""USD"",B2739,B2739 * GOOGLEFINANCE(""CURRENCY:"" &amp; E2739 &amp; ""USD""))
"),8000000)</f>
        <v>8000000</v>
      </c>
      <c r="G2739" s="16">
        <f ca="1">IFERROR(__xludf.DUMMYFUNCTION("IF(E2739=""USD"",C2739,C2739 * GOOGLEFINANCE(""CURRENCY:"" &amp; E2739 &amp; ""USD""))
"),17536788)</f>
        <v>17536788</v>
      </c>
    </row>
    <row r="2740" spans="1:7" ht="15.75" customHeight="1" x14ac:dyDescent="0.25">
      <c r="A2740" s="11" t="s">
        <v>24</v>
      </c>
      <c r="B2740" s="12">
        <v>14000000</v>
      </c>
      <c r="C2740" s="12">
        <v>178406268</v>
      </c>
      <c r="D2740" s="12">
        <v>1990</v>
      </c>
      <c r="E2740" s="12" t="str">
        <f>VLOOKUP(A2740, Currency!$A$2:$B$100, 2, FALSE)</f>
        <v>USD</v>
      </c>
      <c r="F2740" s="12">
        <f ca="1">IFERROR(__xludf.DUMMYFUNCTION("IF(E2740=""USD"",B2740,B2740 * GOOGLEFINANCE(""CURRENCY:"" &amp; E2740 &amp; ""USD""))
"),14000000)</f>
        <v>14000000</v>
      </c>
      <c r="G2740" s="13">
        <f ca="1">IFERROR(__xludf.DUMMYFUNCTION("IF(E2740=""USD"",C2740,C2740 * GOOGLEFINANCE(""CURRENCY:"" &amp; E2740 &amp; ""USD""))
"),178406268)</f>
        <v>178406268</v>
      </c>
    </row>
    <row r="2741" spans="1:7" ht="15.75" customHeight="1" x14ac:dyDescent="0.25">
      <c r="A2741" s="14" t="s">
        <v>24</v>
      </c>
      <c r="B2741" s="15">
        <v>26000000</v>
      </c>
      <c r="C2741" s="15">
        <v>23222861</v>
      </c>
      <c r="D2741" s="15">
        <v>2004</v>
      </c>
      <c r="E2741" s="15" t="str">
        <f>VLOOKUP(A2741, Currency!$A$2:$B$100, 2, FALSE)</f>
        <v>USD</v>
      </c>
      <c r="F2741" s="15">
        <f ca="1">IFERROR(__xludf.DUMMYFUNCTION("IF(E2741=""USD"",B2741,B2741 * GOOGLEFINANCE(""CURRENCY:"" &amp; E2741 &amp; ""USD""))
"),26000000)</f>
        <v>26000000</v>
      </c>
      <c r="G2741" s="16">
        <f ca="1">IFERROR(__xludf.DUMMYFUNCTION("IF(E2741=""USD"",C2741,C2741 * GOOGLEFINANCE(""CURRENCY:"" &amp; E2741 &amp; ""USD""))
"),23222861)</f>
        <v>23222861</v>
      </c>
    </row>
    <row r="2742" spans="1:7" ht="15.75" customHeight="1" x14ac:dyDescent="0.25">
      <c r="A2742" s="11" t="s">
        <v>24</v>
      </c>
      <c r="B2742" s="12">
        <v>13000000</v>
      </c>
      <c r="C2742" s="12">
        <v>10996440</v>
      </c>
      <c r="D2742" s="12">
        <v>2006</v>
      </c>
      <c r="E2742" s="12" t="str">
        <f>VLOOKUP(A2742, Currency!$A$2:$B$100, 2, FALSE)</f>
        <v>USD</v>
      </c>
      <c r="F2742" s="12">
        <f ca="1">IFERROR(__xludf.DUMMYFUNCTION("IF(E2742=""USD"",B2742,B2742 * GOOGLEFINANCE(""CURRENCY:"" &amp; E2742 &amp; ""USD""))
"),13000000)</f>
        <v>13000000</v>
      </c>
      <c r="G2742" s="13">
        <f ca="1">IFERROR(__xludf.DUMMYFUNCTION("IF(E2742=""USD"",C2742,C2742 * GOOGLEFINANCE(""CURRENCY:"" &amp; E2742 &amp; ""USD""))
"),10996440)</f>
        <v>10996440</v>
      </c>
    </row>
    <row r="2743" spans="1:7" ht="15.75" customHeight="1" x14ac:dyDescent="0.25">
      <c r="A2743" s="14" t="s">
        <v>24</v>
      </c>
      <c r="B2743" s="15">
        <v>85000000</v>
      </c>
      <c r="C2743" s="15">
        <v>43575716</v>
      </c>
      <c r="D2743" s="15">
        <v>2010</v>
      </c>
      <c r="E2743" s="15" t="str">
        <f>VLOOKUP(A2743, Currency!$A$2:$B$100, 2, FALSE)</f>
        <v>USD</v>
      </c>
      <c r="F2743" s="15">
        <f ca="1">IFERROR(__xludf.DUMMYFUNCTION("IF(E2743=""USD"",B2743,B2743 * GOOGLEFINANCE(""CURRENCY:"" &amp; E2743 &amp; ""USD""))
"),85000000)</f>
        <v>85000000</v>
      </c>
      <c r="G2743" s="16">
        <f ca="1">IFERROR(__xludf.DUMMYFUNCTION("IF(E2743=""USD"",C2743,C2743 * GOOGLEFINANCE(""CURRENCY:"" &amp; E2743 &amp; ""USD""))
"),43575716)</f>
        <v>43575716</v>
      </c>
    </row>
    <row r="2744" spans="1:7" ht="15.75" customHeight="1" x14ac:dyDescent="0.25">
      <c r="A2744" s="11" t="s">
        <v>133</v>
      </c>
      <c r="B2744" s="12">
        <v>2200000</v>
      </c>
      <c r="C2744" s="12">
        <v>104257</v>
      </c>
      <c r="D2744" s="12">
        <v>1999</v>
      </c>
      <c r="E2744" s="12" t="str">
        <f>VLOOKUP(A2744, Currency!$A$2:$B$100, 2, FALSE)</f>
        <v>GBP</v>
      </c>
      <c r="F2744" s="12">
        <f ca="1">IFERROR(__xludf.DUMMYFUNCTION("IF(E2744=""USD"",B2744,B2744 * GOOGLEFINANCE(""CURRENCY:"" &amp; E2744 &amp; ""USD""))
"),2827879.99999999)</f>
        <v>2827879.9999999902</v>
      </c>
      <c r="G2744" s="13">
        <f ca="1">IFERROR(__xludf.DUMMYFUNCTION("IF(E2744=""USD"",C2744,C2744 * GOOGLEFINANCE(""CURRENCY:"" &amp; E2744 &amp; ""USD""))
"),134011.9478)</f>
        <v>134011.94779999999</v>
      </c>
    </row>
    <row r="2745" spans="1:7" ht="15.75" customHeight="1" x14ac:dyDescent="0.25">
      <c r="A2745" s="14" t="s">
        <v>24</v>
      </c>
      <c r="B2745" s="15">
        <v>20000000</v>
      </c>
      <c r="C2745" s="15">
        <v>43818159</v>
      </c>
      <c r="D2745" s="15">
        <v>2008</v>
      </c>
      <c r="E2745" s="15" t="str">
        <f>VLOOKUP(A2745, Currency!$A$2:$B$100, 2, FALSE)</f>
        <v>USD</v>
      </c>
      <c r="F2745" s="15">
        <f ca="1">IFERROR(__xludf.DUMMYFUNCTION("IF(E2745=""USD"",B2745,B2745 * GOOGLEFINANCE(""CURRENCY:"" &amp; E2745 &amp; ""USD""))
"),20000000)</f>
        <v>20000000</v>
      </c>
      <c r="G2745" s="16">
        <f ca="1">IFERROR(__xludf.DUMMYFUNCTION("IF(E2745=""USD"",C2745,C2745 * GOOGLEFINANCE(""CURRENCY:"" &amp; E2745 &amp; ""USD""))
"),43818159)</f>
        <v>43818159</v>
      </c>
    </row>
    <row r="2746" spans="1:7" ht="15.75" customHeight="1" x14ac:dyDescent="0.25">
      <c r="A2746" s="11" t="s">
        <v>24</v>
      </c>
      <c r="B2746" s="12">
        <v>200000</v>
      </c>
      <c r="C2746" s="12">
        <v>1111</v>
      </c>
      <c r="D2746" s="12">
        <v>2006</v>
      </c>
      <c r="E2746" s="12" t="str">
        <f>VLOOKUP(A2746, Currency!$A$2:$B$100, 2, FALSE)</f>
        <v>USD</v>
      </c>
      <c r="F2746" s="12">
        <f ca="1">IFERROR(__xludf.DUMMYFUNCTION("IF(E2746=""USD"",B2746,B2746 * GOOGLEFINANCE(""CURRENCY:"" &amp; E2746 &amp; ""USD""))
"),200000)</f>
        <v>200000</v>
      </c>
      <c r="G2746" s="13">
        <f ca="1">IFERROR(__xludf.DUMMYFUNCTION("IF(E2746=""USD"",C2746,C2746 * GOOGLEFINANCE(""CURRENCY:"" &amp; E2746 &amp; ""USD""))
"),1111)</f>
        <v>1111</v>
      </c>
    </row>
    <row r="2747" spans="1:7" ht="15.75" customHeight="1" x14ac:dyDescent="0.25">
      <c r="A2747" s="14" t="s">
        <v>24</v>
      </c>
      <c r="B2747" s="15">
        <v>74000000</v>
      </c>
      <c r="C2747" s="15">
        <v>336029560</v>
      </c>
      <c r="D2747" s="15">
        <v>2015</v>
      </c>
      <c r="E2747" s="15" t="str">
        <f>VLOOKUP(A2747, Currency!$A$2:$B$100, 2, FALSE)</f>
        <v>USD</v>
      </c>
      <c r="F2747" s="15">
        <f ca="1">IFERROR(__xludf.DUMMYFUNCTION("IF(E2747=""USD"",B2747,B2747 * GOOGLEFINANCE(""CURRENCY:"" &amp; E2747 &amp; ""USD""))
"),74000000)</f>
        <v>74000000</v>
      </c>
      <c r="G2747" s="16">
        <f ca="1">IFERROR(__xludf.DUMMYFUNCTION("IF(E2747=""USD"",C2747,C2747 * GOOGLEFINANCE(""CURRENCY:"" &amp; E2747 &amp; ""USD""))
"),336029560)</f>
        <v>336029560</v>
      </c>
    </row>
    <row r="2748" spans="1:7" ht="15.75" customHeight="1" x14ac:dyDescent="0.25">
      <c r="A2748" s="11" t="s">
        <v>24</v>
      </c>
      <c r="B2748" s="12">
        <v>25000000</v>
      </c>
      <c r="C2748" s="12">
        <v>77264926</v>
      </c>
      <c r="D2748" s="12">
        <v>2012</v>
      </c>
      <c r="E2748" s="12" t="str">
        <f>VLOOKUP(A2748, Currency!$A$2:$B$100, 2, FALSE)</f>
        <v>USD</v>
      </c>
      <c r="F2748" s="12">
        <f ca="1">IFERROR(__xludf.DUMMYFUNCTION("IF(E2748=""USD"",B2748,B2748 * GOOGLEFINANCE(""CURRENCY:"" &amp; E2748 &amp; ""USD""))
"),25000000)</f>
        <v>25000000</v>
      </c>
      <c r="G2748" s="13">
        <f ca="1">IFERROR(__xludf.DUMMYFUNCTION("IF(E2748=""USD"",C2748,C2748 * GOOGLEFINANCE(""CURRENCY:"" &amp; E2748 &amp; ""USD""))
"),77264926)</f>
        <v>77264926</v>
      </c>
    </row>
    <row r="2749" spans="1:7" ht="15.75" customHeight="1" x14ac:dyDescent="0.25">
      <c r="A2749" s="14" t="s">
        <v>24</v>
      </c>
      <c r="B2749" s="15">
        <v>75000000</v>
      </c>
      <c r="C2749" s="15">
        <v>134568845</v>
      </c>
      <c r="D2749" s="15">
        <v>2008</v>
      </c>
      <c r="E2749" s="15" t="str">
        <f>VLOOKUP(A2749, Currency!$A$2:$B$100, 2, FALSE)</f>
        <v>USD</v>
      </c>
      <c r="F2749" s="15">
        <f ca="1">IFERROR(__xludf.DUMMYFUNCTION("IF(E2749=""USD"",B2749,B2749 * GOOGLEFINANCE(""CURRENCY:"" &amp; E2749 &amp; ""USD""))
"),75000000)</f>
        <v>75000000</v>
      </c>
      <c r="G2749" s="16">
        <f ca="1">IFERROR(__xludf.DUMMYFUNCTION("IF(E2749=""USD"",C2749,C2749 * GOOGLEFINANCE(""CURRENCY:"" &amp; E2749 &amp; ""USD""))
"),134568845)</f>
        <v>134568845</v>
      </c>
    </row>
    <row r="2750" spans="1:7" ht="15.75" customHeight="1" x14ac:dyDescent="0.25">
      <c r="A2750" s="11" t="s">
        <v>24</v>
      </c>
      <c r="B2750" s="12">
        <v>12000000</v>
      </c>
      <c r="C2750" s="12">
        <v>124868837</v>
      </c>
      <c r="D2750" s="12">
        <v>2014</v>
      </c>
      <c r="E2750" s="12" t="str">
        <f>VLOOKUP(A2750, Currency!$A$2:$B$100, 2, FALSE)</f>
        <v>USD</v>
      </c>
      <c r="F2750" s="12">
        <f ca="1">IFERROR(__xludf.DUMMYFUNCTION("IF(E2750=""USD"",B2750,B2750 * GOOGLEFINANCE(""CURRENCY:"" &amp; E2750 &amp; ""USD""))
"),12000000)</f>
        <v>12000000</v>
      </c>
      <c r="G2750" s="13">
        <f ca="1">IFERROR(__xludf.DUMMYFUNCTION("IF(E2750=""USD"",C2750,C2750 * GOOGLEFINANCE(""CURRENCY:"" &amp; E2750 &amp; ""USD""))
"),124868837)</f>
        <v>124868837</v>
      </c>
    </row>
    <row r="2751" spans="1:7" ht="15.75" customHeight="1" x14ac:dyDescent="0.25">
      <c r="A2751" s="14" t="s">
        <v>1005</v>
      </c>
      <c r="B2751" s="15">
        <v>207000000</v>
      </c>
      <c r="C2751" s="15">
        <v>218051260</v>
      </c>
      <c r="D2751" s="15">
        <v>2005</v>
      </c>
      <c r="E2751" s="15" t="str">
        <f>VLOOKUP(A2751, Currency!$A$2:$B$100, 2, FALSE)</f>
        <v>NZD</v>
      </c>
      <c r="F2751" s="15">
        <f ca="1">IFERROR(__xludf.DUMMYFUNCTION("IF(E2751=""USD"",B2751,B2751 * GOOGLEFINANCE(""CURRENCY:"" &amp; E2751 &amp; ""USD""))
"),121870214.999999)</f>
        <v>121870214.999999</v>
      </c>
      <c r="G2751" s="16">
        <f ca="1">IFERROR(__xludf.DUMMYFUNCTION("IF(E2751=""USD"",C2751,C2751 * GOOGLEFINANCE(""CURRENCY:"" &amp; E2751 &amp; ""USD""))
"),128376589.068699)</f>
        <v>128376589.068699</v>
      </c>
    </row>
    <row r="2752" spans="1:7" ht="15.75" customHeight="1" x14ac:dyDescent="0.25">
      <c r="A2752" s="11" t="s">
        <v>24</v>
      </c>
      <c r="B2752" s="12">
        <v>22000000</v>
      </c>
      <c r="C2752" s="12">
        <v>12232937</v>
      </c>
      <c r="D2752" s="12">
        <v>2009</v>
      </c>
      <c r="E2752" s="12" t="str">
        <f>VLOOKUP(A2752, Currency!$A$2:$B$100, 2, FALSE)</f>
        <v>USD</v>
      </c>
      <c r="F2752" s="12">
        <f ca="1">IFERROR(__xludf.DUMMYFUNCTION("IF(E2752=""USD"",B2752,B2752 * GOOGLEFINANCE(""CURRENCY:"" &amp; E2752 &amp; ""USD""))
"),22000000)</f>
        <v>22000000</v>
      </c>
      <c r="G2752" s="13">
        <f ca="1">IFERROR(__xludf.DUMMYFUNCTION("IF(E2752=""USD"",C2752,C2752 * GOOGLEFINANCE(""CURRENCY:"" &amp; E2752 &amp; ""USD""))
"),12232937)</f>
        <v>12232937</v>
      </c>
    </row>
    <row r="2753" spans="1:7" ht="15.75" customHeight="1" x14ac:dyDescent="0.25">
      <c r="A2753" s="14" t="s">
        <v>24</v>
      </c>
      <c r="B2753" s="15">
        <v>14000000</v>
      </c>
      <c r="C2753" s="15">
        <v>70001698</v>
      </c>
      <c r="D2753" s="15">
        <v>1989</v>
      </c>
      <c r="E2753" s="15" t="str">
        <f>VLOOKUP(A2753, Currency!$A$2:$B$100, 2, FALSE)</f>
        <v>USD</v>
      </c>
      <c r="F2753" s="15">
        <f ca="1">IFERROR(__xludf.DUMMYFUNCTION("IF(E2753=""USD"",B2753,B2753 * GOOGLEFINANCE(""CURRENCY:"" &amp; E2753 &amp; ""USD""))
"),14000000)</f>
        <v>14000000</v>
      </c>
      <c r="G2753" s="16">
        <f ca="1">IFERROR(__xludf.DUMMYFUNCTION("IF(E2753=""USD"",C2753,C2753 * GOOGLEFINANCE(""CURRENCY:"" &amp; E2753 &amp; ""USD""))
"),70001698)</f>
        <v>70001698</v>
      </c>
    </row>
    <row r="2754" spans="1:7" ht="15.75" customHeight="1" x14ac:dyDescent="0.25">
      <c r="A2754" s="11" t="s">
        <v>611</v>
      </c>
      <c r="B2754" s="12">
        <v>86000000</v>
      </c>
      <c r="C2754" s="12">
        <v>15131330</v>
      </c>
      <c r="D2754" s="12">
        <v>2006</v>
      </c>
      <c r="E2754" s="12" t="str">
        <f>VLOOKUP(A2754, Currency!$A$2:$B$100, 2, FALSE)</f>
        <v>EUR</v>
      </c>
      <c r="F2754" s="12">
        <f ca="1">IFERROR(__xludf.DUMMYFUNCTION("IF(E2754=""USD"",B2754,B2754 * GOOGLEFINANCE(""CURRENCY:"" &amp; E2754 &amp; ""USD""))
"),93287640)</f>
        <v>93287640</v>
      </c>
      <c r="G2754" s="13">
        <f ca="1">IFERROR(__xludf.DUMMYFUNCTION("IF(E2754=""USD"",C2754,C2754 * GOOGLEFINANCE(""CURRENCY:"" &amp; E2754 &amp; ""USD""))
"),16413558.9042)</f>
        <v>16413558.904200001</v>
      </c>
    </row>
    <row r="2755" spans="1:7" ht="15.75" customHeight="1" x14ac:dyDescent="0.25">
      <c r="A2755" s="14" t="s">
        <v>133</v>
      </c>
      <c r="B2755" s="15">
        <v>6500000</v>
      </c>
      <c r="C2755" s="15">
        <v>2268296</v>
      </c>
      <c r="D2755" s="15">
        <v>2013</v>
      </c>
      <c r="E2755" s="15" t="str">
        <f>VLOOKUP(A2755, Currency!$A$2:$B$100, 2, FALSE)</f>
        <v>GBP</v>
      </c>
      <c r="F2755" s="15">
        <f ca="1">IFERROR(__xludf.DUMMYFUNCTION("IF(E2755=""USD"",B2755,B2755 * GOOGLEFINANCE(""CURRENCY:"" &amp; E2755 &amp; ""USD""))
"),8355099.99999999)</f>
        <v>8355099.9999999898</v>
      </c>
      <c r="G2755" s="16">
        <f ca="1">IFERROR(__xludf.DUMMYFUNCTION("IF(E2755=""USD"",C2755,C2755 * GOOGLEFINANCE(""CURRENCY:"" &amp; E2755 &amp; ""USD""))
"),2915667.67839999)</f>
        <v>2915667.6783999898</v>
      </c>
    </row>
    <row r="2756" spans="1:7" ht="15.75" customHeight="1" x14ac:dyDescent="0.25">
      <c r="A2756" s="11" t="s">
        <v>24</v>
      </c>
      <c r="B2756" s="12">
        <v>33000000</v>
      </c>
      <c r="C2756" s="12">
        <v>148085755</v>
      </c>
      <c r="D2756" s="12">
        <v>2008</v>
      </c>
      <c r="E2756" s="12" t="str">
        <f>VLOOKUP(A2756, Currency!$A$2:$B$100, 2, FALSE)</f>
        <v>USD</v>
      </c>
      <c r="F2756" s="12">
        <f ca="1">IFERROR(__xludf.DUMMYFUNCTION("IF(E2756=""USD"",B2756,B2756 * GOOGLEFINANCE(""CURRENCY:"" &amp; E2756 &amp; ""USD""))
"),33000000)</f>
        <v>33000000</v>
      </c>
      <c r="G2756" s="13">
        <f ca="1">IFERROR(__xludf.DUMMYFUNCTION("IF(E2756=""USD"",C2756,C2756 * GOOGLEFINANCE(""CURRENCY:"" &amp; E2756 &amp; ""USD""))
"),148085755)</f>
        <v>148085755</v>
      </c>
    </row>
    <row r="2757" spans="1:7" ht="15.75" customHeight="1" x14ac:dyDescent="0.25">
      <c r="A2757" s="14" t="s">
        <v>24</v>
      </c>
      <c r="B2757" s="15">
        <v>30000000</v>
      </c>
      <c r="C2757" s="15">
        <v>66528842</v>
      </c>
      <c r="D2757" s="15">
        <v>1994</v>
      </c>
      <c r="E2757" s="15" t="str">
        <f>VLOOKUP(A2757, Currency!$A$2:$B$100, 2, FALSE)</f>
        <v>USD</v>
      </c>
      <c r="F2757" s="15">
        <f ca="1">IFERROR(__xludf.DUMMYFUNCTION("IF(E2757=""USD"",B2757,B2757 * GOOGLEFINANCE(""CURRENCY:"" &amp; E2757 &amp; ""USD""))
"),30000000)</f>
        <v>30000000</v>
      </c>
      <c r="G2757" s="16">
        <f ca="1">IFERROR(__xludf.DUMMYFUNCTION("IF(E2757=""USD"",C2757,C2757 * GOOGLEFINANCE(""CURRENCY:"" &amp; E2757 &amp; ""USD""))
"),66528842)</f>
        <v>66528842</v>
      </c>
    </row>
    <row r="2758" spans="1:7" ht="15.75" customHeight="1" x14ac:dyDescent="0.25">
      <c r="A2758" s="11" t="s">
        <v>24</v>
      </c>
      <c r="B2758" s="12">
        <v>100000000</v>
      </c>
      <c r="C2758" s="12">
        <v>155370362</v>
      </c>
      <c r="D2758" s="12">
        <v>2000</v>
      </c>
      <c r="E2758" s="12" t="str">
        <f>VLOOKUP(A2758, Currency!$A$2:$B$100, 2, FALSE)</f>
        <v>USD</v>
      </c>
      <c r="F2758" s="12">
        <f ca="1">IFERROR(__xludf.DUMMYFUNCTION("IF(E2758=""USD"",B2758,B2758 * GOOGLEFINANCE(""CURRENCY:"" &amp; E2758 &amp; ""USD""))
"),100000000)</f>
        <v>100000000</v>
      </c>
      <c r="G2758" s="13">
        <f ca="1">IFERROR(__xludf.DUMMYFUNCTION("IF(E2758=""USD"",C2758,C2758 * GOOGLEFINANCE(""CURRENCY:"" &amp; E2758 &amp; ""USD""))
"),155370362)</f>
        <v>155370362</v>
      </c>
    </row>
    <row r="2759" spans="1:7" ht="15.75" customHeight="1" x14ac:dyDescent="0.25">
      <c r="A2759" s="14" t="s">
        <v>24</v>
      </c>
      <c r="B2759" s="15">
        <v>29000000</v>
      </c>
      <c r="C2759" s="15">
        <v>255950375</v>
      </c>
      <c r="D2759" s="15">
        <v>2009</v>
      </c>
      <c r="E2759" s="15" t="str">
        <f>VLOOKUP(A2759, Currency!$A$2:$B$100, 2, FALSE)</f>
        <v>USD</v>
      </c>
      <c r="F2759" s="15">
        <f ca="1">IFERROR(__xludf.DUMMYFUNCTION("IF(E2759=""USD"",B2759,B2759 * GOOGLEFINANCE(""CURRENCY:"" &amp; E2759 &amp; ""USD""))
"),29000000)</f>
        <v>29000000</v>
      </c>
      <c r="G2759" s="16">
        <f ca="1">IFERROR(__xludf.DUMMYFUNCTION("IF(E2759=""USD"",C2759,C2759 * GOOGLEFINANCE(""CURRENCY:"" &amp; E2759 &amp; ""USD""))
"),255950375)</f>
        <v>255950375</v>
      </c>
    </row>
    <row r="2760" spans="1:7" ht="15.75" customHeight="1" x14ac:dyDescent="0.25">
      <c r="A2760" s="11" t="s">
        <v>24</v>
      </c>
      <c r="B2760" s="12">
        <v>58000000</v>
      </c>
      <c r="C2760" s="12">
        <v>29580087</v>
      </c>
      <c r="D2760" s="12">
        <v>2009</v>
      </c>
      <c r="E2760" s="12" t="str">
        <f>VLOOKUP(A2760, Currency!$A$2:$B$100, 2, FALSE)</f>
        <v>USD</v>
      </c>
      <c r="F2760" s="12">
        <f ca="1">IFERROR(__xludf.DUMMYFUNCTION("IF(E2760=""USD"",B2760,B2760 * GOOGLEFINANCE(""CURRENCY:"" &amp; E2760 &amp; ""USD""))
"),58000000)</f>
        <v>58000000</v>
      </c>
      <c r="G2760" s="13">
        <f ca="1">IFERROR(__xludf.DUMMYFUNCTION("IF(E2760=""USD"",C2760,C2760 * GOOGLEFINANCE(""CURRENCY:"" &amp; E2760 &amp; ""USD""))
"),29580087)</f>
        <v>29580087</v>
      </c>
    </row>
    <row r="2761" spans="1:7" ht="15.75" customHeight="1" x14ac:dyDescent="0.25">
      <c r="A2761" s="14" t="s">
        <v>24</v>
      </c>
      <c r="B2761" s="15">
        <v>250000000</v>
      </c>
      <c r="C2761" s="15">
        <v>407197282</v>
      </c>
      <c r="D2761" s="15">
        <v>2016</v>
      </c>
      <c r="E2761" s="15" t="str">
        <f>VLOOKUP(A2761, Currency!$A$2:$B$100, 2, FALSE)</f>
        <v>USD</v>
      </c>
      <c r="F2761" s="15">
        <f ca="1">IFERROR(__xludf.DUMMYFUNCTION("IF(E2761=""USD"",B2761,B2761 * GOOGLEFINANCE(""CURRENCY:"" &amp; E2761 &amp; ""USD""))
"),250000000)</f>
        <v>250000000</v>
      </c>
      <c r="G2761" s="16">
        <f ca="1">IFERROR(__xludf.DUMMYFUNCTION("IF(E2761=""USD"",C2761,C2761 * GOOGLEFINANCE(""CURRENCY:"" &amp; E2761 &amp; ""USD""))
"),407197282)</f>
        <v>407197282</v>
      </c>
    </row>
    <row r="2762" spans="1:7" ht="15.75" customHeight="1" x14ac:dyDescent="0.25">
      <c r="A2762" s="11" t="s">
        <v>24</v>
      </c>
      <c r="B2762" s="12">
        <v>80000000</v>
      </c>
      <c r="C2762" s="12">
        <v>84185387</v>
      </c>
      <c r="D2762" s="12">
        <v>2004</v>
      </c>
      <c r="E2762" s="12" t="str">
        <f>VLOOKUP(A2762, Currency!$A$2:$B$100, 2, FALSE)</f>
        <v>USD</v>
      </c>
      <c r="F2762" s="12">
        <f ca="1">IFERROR(__xludf.DUMMYFUNCTION("IF(E2762=""USD"",B2762,B2762 * GOOGLEFINANCE(""CURRENCY:"" &amp; E2762 &amp; ""USD""))
"),80000000)</f>
        <v>80000000</v>
      </c>
      <c r="G2762" s="13">
        <f ca="1">IFERROR(__xludf.DUMMYFUNCTION("IF(E2762=""USD"",C2762,C2762 * GOOGLEFINANCE(""CURRENCY:"" &amp; E2762 &amp; ""USD""))
"),84185387)</f>
        <v>84185387</v>
      </c>
    </row>
    <row r="2763" spans="1:7" ht="15.75" customHeight="1" x14ac:dyDescent="0.25">
      <c r="A2763" s="14" t="s">
        <v>133</v>
      </c>
      <c r="B2763" s="15">
        <v>30000000</v>
      </c>
      <c r="C2763" s="15">
        <v>40566655</v>
      </c>
      <c r="D2763" s="15">
        <v>2002</v>
      </c>
      <c r="E2763" s="15" t="str">
        <f>VLOOKUP(A2763, Currency!$A$2:$B$100, 2, FALSE)</f>
        <v>GBP</v>
      </c>
      <c r="F2763" s="15">
        <f ca="1">IFERROR(__xludf.DUMMYFUNCTION("IF(E2763=""USD"",B2763,B2763 * GOOGLEFINANCE(""CURRENCY:"" &amp; E2763 &amp; ""USD""))
"),38562000)</f>
        <v>38562000</v>
      </c>
      <c r="G2763" s="16">
        <f ca="1">IFERROR(__xludf.DUMMYFUNCTION("IF(E2763=""USD"",C2763,C2763 * GOOGLEFINANCE(""CURRENCY:"" &amp; E2763 &amp; ""USD""))
"),52144378.337)</f>
        <v>52144378.336999997</v>
      </c>
    </row>
    <row r="2764" spans="1:7" ht="15.75" customHeight="1" x14ac:dyDescent="0.25">
      <c r="A2764" s="11" t="s">
        <v>24</v>
      </c>
      <c r="B2764" s="12">
        <v>150000</v>
      </c>
      <c r="C2764" s="12">
        <v>5858</v>
      </c>
      <c r="D2764" s="12">
        <v>2014</v>
      </c>
      <c r="E2764" s="12" t="str">
        <f>VLOOKUP(A2764, Currency!$A$2:$B$100, 2, FALSE)</f>
        <v>USD</v>
      </c>
      <c r="F2764" s="12">
        <f ca="1">IFERROR(__xludf.DUMMYFUNCTION("IF(E2764=""USD"",B2764,B2764 * GOOGLEFINANCE(""CURRENCY:"" &amp; E2764 &amp; ""USD""))
"),150000)</f>
        <v>150000</v>
      </c>
      <c r="G2764" s="13">
        <f ca="1">IFERROR(__xludf.DUMMYFUNCTION("IF(E2764=""USD"",C2764,C2764 * GOOGLEFINANCE(""CURRENCY:"" &amp; E2764 &amp; ""USD""))
"),5858)</f>
        <v>5858</v>
      </c>
    </row>
    <row r="2765" spans="1:7" ht="15.75" customHeight="1" x14ac:dyDescent="0.25">
      <c r="A2765" s="14" t="s">
        <v>24</v>
      </c>
      <c r="B2765" s="15">
        <v>23000000</v>
      </c>
      <c r="C2765" s="15">
        <v>12782508</v>
      </c>
      <c r="D2765" s="15">
        <v>1996</v>
      </c>
      <c r="E2765" s="15" t="str">
        <f>VLOOKUP(A2765, Currency!$A$2:$B$100, 2, FALSE)</f>
        <v>USD</v>
      </c>
      <c r="F2765" s="15">
        <f ca="1">IFERROR(__xludf.DUMMYFUNCTION("IF(E2765=""USD"",B2765,B2765 * GOOGLEFINANCE(""CURRENCY:"" &amp; E2765 &amp; ""USD""))
"),23000000)</f>
        <v>23000000</v>
      </c>
      <c r="G2765" s="16">
        <f ca="1">IFERROR(__xludf.DUMMYFUNCTION("IF(E2765=""USD"",C2765,C2765 * GOOGLEFINANCE(""CURRENCY:"" &amp; E2765 &amp; ""USD""))
"),12782508)</f>
        <v>12782508</v>
      </c>
    </row>
    <row r="2766" spans="1:7" ht="15.75" customHeight="1" x14ac:dyDescent="0.25">
      <c r="A2766" s="11" t="s">
        <v>24</v>
      </c>
      <c r="B2766" s="12">
        <v>70000000</v>
      </c>
      <c r="C2766" s="12">
        <v>33105600</v>
      </c>
      <c r="D2766" s="12">
        <v>2002</v>
      </c>
      <c r="E2766" s="12" t="str">
        <f>VLOOKUP(A2766, Currency!$A$2:$B$100, 2, FALSE)</f>
        <v>USD</v>
      </c>
      <c r="F2766" s="12">
        <f ca="1">IFERROR(__xludf.DUMMYFUNCTION("IF(E2766=""USD"",B2766,B2766 * GOOGLEFINANCE(""CURRENCY:"" &amp; E2766 &amp; ""USD""))
"),70000000)</f>
        <v>70000000</v>
      </c>
      <c r="G2766" s="13">
        <f ca="1">IFERROR(__xludf.DUMMYFUNCTION("IF(E2766=""USD"",C2766,C2766 * GOOGLEFINANCE(""CURRENCY:"" &amp; E2766 &amp; ""USD""))
"),33105600)</f>
        <v>33105600</v>
      </c>
    </row>
    <row r="2767" spans="1:7" ht="15.75" customHeight="1" x14ac:dyDescent="0.25">
      <c r="A2767" s="14" t="s">
        <v>24</v>
      </c>
      <c r="B2767" s="15">
        <v>79000000</v>
      </c>
      <c r="C2767" s="15">
        <v>103812241</v>
      </c>
      <c r="D2767" s="15">
        <v>2012</v>
      </c>
      <c r="E2767" s="15" t="str">
        <f>VLOOKUP(A2767, Currency!$A$2:$B$100, 2, FALSE)</f>
        <v>USD</v>
      </c>
      <c r="F2767" s="15">
        <f ca="1">IFERROR(__xludf.DUMMYFUNCTION("IF(E2767=""USD"",B2767,B2767 * GOOGLEFINANCE(""CURRENCY:"" &amp; E2767 &amp; ""USD""))
"),79000000)</f>
        <v>79000000</v>
      </c>
      <c r="G2767" s="16">
        <f ca="1">IFERROR(__xludf.DUMMYFUNCTION("IF(E2767=""USD"",C2767,C2767 * GOOGLEFINANCE(""CURRENCY:"" &amp; E2767 &amp; ""USD""))
"),103812241)</f>
        <v>103812241</v>
      </c>
    </row>
    <row r="2768" spans="1:7" ht="15.75" customHeight="1" x14ac:dyDescent="0.25">
      <c r="A2768" s="11" t="s">
        <v>24</v>
      </c>
      <c r="B2768" s="12">
        <v>40000000</v>
      </c>
      <c r="C2768" s="12">
        <v>107458785</v>
      </c>
      <c r="D2768" s="12">
        <v>1992</v>
      </c>
      <c r="E2768" s="12" t="str">
        <f>VLOOKUP(A2768, Currency!$A$2:$B$100, 2, FALSE)</f>
        <v>USD</v>
      </c>
      <c r="F2768" s="12">
        <f ca="1">IFERROR(__xludf.DUMMYFUNCTION("IF(E2768=""USD"",B2768,B2768 * GOOGLEFINANCE(""CURRENCY:"" &amp; E2768 &amp; ""USD""))
"),40000000)</f>
        <v>40000000</v>
      </c>
      <c r="G2768" s="13">
        <f ca="1">IFERROR(__xludf.DUMMYFUNCTION("IF(E2768=""USD"",C2768,C2768 * GOOGLEFINANCE(""CURRENCY:"" &amp; E2768 &amp; ""USD""))
"),107458785)</f>
        <v>107458785</v>
      </c>
    </row>
    <row r="2769" spans="1:7" ht="15.75" customHeight="1" x14ac:dyDescent="0.25">
      <c r="A2769" s="14" t="s">
        <v>24</v>
      </c>
      <c r="B2769" s="15">
        <v>600000</v>
      </c>
      <c r="C2769" s="15">
        <v>13493</v>
      </c>
      <c r="D2769" s="15">
        <v>1998</v>
      </c>
      <c r="E2769" s="15" t="str">
        <f>VLOOKUP(A2769, Currency!$A$2:$B$100, 2, FALSE)</f>
        <v>USD</v>
      </c>
      <c r="F2769" s="15">
        <f ca="1">IFERROR(__xludf.DUMMYFUNCTION("IF(E2769=""USD"",B2769,B2769 * GOOGLEFINANCE(""CURRENCY:"" &amp; E2769 &amp; ""USD""))
"),600000)</f>
        <v>600000</v>
      </c>
      <c r="G2769" s="16">
        <f ca="1">IFERROR(__xludf.DUMMYFUNCTION("IF(E2769=""USD"",C2769,C2769 * GOOGLEFINANCE(""CURRENCY:"" &amp; E2769 &amp; ""USD""))
"),13493)</f>
        <v>13493</v>
      </c>
    </row>
    <row r="2770" spans="1:7" ht="15.75" customHeight="1" x14ac:dyDescent="0.25">
      <c r="A2770" s="11" t="s">
        <v>24</v>
      </c>
      <c r="B2770" s="12">
        <v>85000000</v>
      </c>
      <c r="C2770" s="12">
        <v>40048332</v>
      </c>
      <c r="D2770" s="12">
        <v>2002</v>
      </c>
      <c r="E2770" s="12" t="str">
        <f>VLOOKUP(A2770, Currency!$A$2:$B$100, 2, FALSE)</f>
        <v>USD</v>
      </c>
      <c r="F2770" s="12">
        <f ca="1">IFERROR(__xludf.DUMMYFUNCTION("IF(E2770=""USD"",B2770,B2770 * GOOGLEFINANCE(""CURRENCY:"" &amp; E2770 &amp; ""USD""))
"),85000000)</f>
        <v>85000000</v>
      </c>
      <c r="G2770" s="13">
        <f ca="1">IFERROR(__xludf.DUMMYFUNCTION("IF(E2770=""USD"",C2770,C2770 * GOOGLEFINANCE(""CURRENCY:"" &amp; E2770 &amp; ""USD""))
"),40048332)</f>
        <v>40048332</v>
      </c>
    </row>
    <row r="2771" spans="1:7" ht="15.75" customHeight="1" x14ac:dyDescent="0.25">
      <c r="A2771" s="14" t="s">
        <v>24</v>
      </c>
      <c r="B2771" s="15">
        <v>30000000</v>
      </c>
      <c r="C2771" s="15">
        <v>43894863</v>
      </c>
      <c r="D2771" s="15">
        <v>2005</v>
      </c>
      <c r="E2771" s="15" t="str">
        <f>VLOOKUP(A2771, Currency!$A$2:$B$100, 2, FALSE)</f>
        <v>USD</v>
      </c>
      <c r="F2771" s="15">
        <f ca="1">IFERROR(__xludf.DUMMYFUNCTION("IF(E2771=""USD"",B2771,B2771 * GOOGLEFINANCE(""CURRENCY:"" &amp; E2771 &amp; ""USD""))
"),30000000)</f>
        <v>30000000</v>
      </c>
      <c r="G2771" s="16">
        <f ca="1">IFERROR(__xludf.DUMMYFUNCTION("IF(E2771=""USD"",C2771,C2771 * GOOGLEFINANCE(""CURRENCY:"" &amp; E2771 &amp; ""USD""))
"),43894863)</f>
        <v>43894863</v>
      </c>
    </row>
    <row r="2772" spans="1:7" ht="15.75" customHeight="1" x14ac:dyDescent="0.25">
      <c r="A2772" s="11" t="s">
        <v>24</v>
      </c>
      <c r="B2772" s="12">
        <v>50000000</v>
      </c>
      <c r="C2772" s="12">
        <v>25121291</v>
      </c>
      <c r="D2772" s="12">
        <v>2013</v>
      </c>
      <c r="E2772" s="12" t="str">
        <f>VLOOKUP(A2772, Currency!$A$2:$B$100, 2, FALSE)</f>
        <v>USD</v>
      </c>
      <c r="F2772" s="12">
        <f ca="1">IFERROR(__xludf.DUMMYFUNCTION("IF(E2772=""USD"",B2772,B2772 * GOOGLEFINANCE(""CURRENCY:"" &amp; E2772 &amp; ""USD""))
"),50000000)</f>
        <v>50000000</v>
      </c>
      <c r="G2772" s="13">
        <f ca="1">IFERROR(__xludf.DUMMYFUNCTION("IF(E2772=""USD"",C2772,C2772 * GOOGLEFINANCE(""CURRENCY:"" &amp; E2772 &amp; ""USD""))
"),25121291)</f>
        <v>25121291</v>
      </c>
    </row>
    <row r="2773" spans="1:7" ht="15.75" customHeight="1" x14ac:dyDescent="0.25">
      <c r="A2773" s="14" t="s">
        <v>24</v>
      </c>
      <c r="B2773" s="15">
        <v>13000000</v>
      </c>
      <c r="C2773" s="15">
        <v>91038276</v>
      </c>
      <c r="D2773" s="15">
        <v>2001</v>
      </c>
      <c r="E2773" s="15" t="str">
        <f>VLOOKUP(A2773, Currency!$A$2:$B$100, 2, FALSE)</f>
        <v>USD</v>
      </c>
      <c r="F2773" s="15">
        <f ca="1">IFERROR(__xludf.DUMMYFUNCTION("IF(E2773=""USD"",B2773,B2773 * GOOGLEFINANCE(""CURRENCY:"" &amp; E2773 &amp; ""USD""))
"),13000000)</f>
        <v>13000000</v>
      </c>
      <c r="G2773" s="16">
        <f ca="1">IFERROR(__xludf.DUMMYFUNCTION("IF(E2773=""USD"",C2773,C2773 * GOOGLEFINANCE(""CURRENCY:"" &amp; E2773 &amp; ""USD""))
"),91038276)</f>
        <v>91038276</v>
      </c>
    </row>
    <row r="2774" spans="1:7" ht="15.75" customHeight="1" x14ac:dyDescent="0.25">
      <c r="A2774" s="11" t="s">
        <v>627</v>
      </c>
      <c r="B2774" s="12">
        <v>10000000</v>
      </c>
      <c r="C2774" s="12">
        <v>52200504</v>
      </c>
      <c r="D2774" s="12">
        <v>2015</v>
      </c>
      <c r="E2774" s="12" t="str">
        <f>VLOOKUP(A2774, Currency!$A$2:$B$100, 2, FALSE)</f>
        <v>CAD</v>
      </c>
      <c r="F2774" s="12">
        <f ca="1">IFERROR(__xludf.DUMMYFUNCTION("IF(E2774=""USD"",B2774,B2774 * GOOGLEFINANCE(""CURRENCY:"" &amp; E2774 &amp; ""USD""))
"),7234050)</f>
        <v>7234050</v>
      </c>
      <c r="G2774" s="13">
        <f ca="1">IFERROR(__xludf.DUMMYFUNCTION("IF(E2774=""USD"",C2774,C2774 * GOOGLEFINANCE(""CURRENCY:"" &amp; E2774 &amp; ""USD""))
"),37762105.59612)</f>
        <v>37762105.59612</v>
      </c>
    </row>
    <row r="2775" spans="1:7" ht="15.75" customHeight="1" x14ac:dyDescent="0.25">
      <c r="A2775" s="14" t="s">
        <v>24</v>
      </c>
      <c r="B2775" s="15">
        <v>50000000</v>
      </c>
      <c r="C2775" s="15">
        <v>28837115</v>
      </c>
      <c r="D2775" s="15">
        <v>2016</v>
      </c>
      <c r="E2775" s="15" t="str">
        <f>VLOOKUP(A2775, Currency!$A$2:$B$100, 2, FALSE)</f>
        <v>USD</v>
      </c>
      <c r="F2775" s="15">
        <f ca="1">IFERROR(__xludf.DUMMYFUNCTION("IF(E2775=""USD"",B2775,B2775 * GOOGLEFINANCE(""CURRENCY:"" &amp; E2775 &amp; ""USD""))
"),50000000)</f>
        <v>50000000</v>
      </c>
      <c r="G2775" s="16">
        <f ca="1">IFERROR(__xludf.DUMMYFUNCTION("IF(E2775=""USD"",C2775,C2775 * GOOGLEFINANCE(""CURRENCY:"" &amp; E2775 &amp; ""USD""))
"),28837115)</f>
        <v>28837115</v>
      </c>
    </row>
    <row r="2776" spans="1:7" ht="15.75" customHeight="1" x14ac:dyDescent="0.25">
      <c r="A2776" s="11" t="s">
        <v>149</v>
      </c>
      <c r="B2776" s="12">
        <v>8800000</v>
      </c>
      <c r="C2776" s="12">
        <v>174635000</v>
      </c>
      <c r="D2776" s="12">
        <v>1986</v>
      </c>
      <c r="E2776" s="12" t="str">
        <f>VLOOKUP(A2776, Currency!$A$2:$B$100, 2, FALSE)</f>
        <v>AUD</v>
      </c>
      <c r="F2776" s="12">
        <f ca="1">IFERROR(__xludf.DUMMYFUNCTION("IF(E2776=""USD"",B2776,B2776 * GOOGLEFINANCE(""CURRENCY:"" &amp; E2776 &amp; ""USD""))
"),5754144)</f>
        <v>5754144</v>
      </c>
      <c r="G2776" s="13">
        <f ca="1">IFERROR(__xludf.DUMMYFUNCTION("IF(E2776=""USD"",C2776,C2776 * GOOGLEFINANCE(""CURRENCY:"" &amp; E2776 &amp; ""USD""))
"),114190333.8)</f>
        <v>114190333.8</v>
      </c>
    </row>
    <row r="2777" spans="1:7" ht="15.75" customHeight="1" x14ac:dyDescent="0.25">
      <c r="A2777" s="14" t="s">
        <v>133</v>
      </c>
      <c r="B2777" s="15">
        <v>3000000</v>
      </c>
      <c r="C2777" s="15">
        <v>2912363</v>
      </c>
      <c r="D2777" s="15">
        <v>2005</v>
      </c>
      <c r="E2777" s="15" t="str">
        <f>VLOOKUP(A2777, Currency!$A$2:$B$100, 2, FALSE)</f>
        <v>GBP</v>
      </c>
      <c r="F2777" s="15">
        <f ca="1">IFERROR(__xludf.DUMMYFUNCTION("IF(E2777=""USD"",B2777,B2777 * GOOGLEFINANCE(""CURRENCY:"" &amp; E2777 &amp; ""USD""))
"),3856199.99999999)</f>
        <v>3856199.9999999902</v>
      </c>
      <c r="G2777" s="16">
        <f ca="1">IFERROR(__xludf.DUMMYFUNCTION("IF(E2777=""USD"",C2777,C2777 * GOOGLEFINANCE(""CURRENCY:"" &amp; E2777 &amp; ""USD""))
"),3743551.40019999)</f>
        <v>3743551.4001999898</v>
      </c>
    </row>
    <row r="2778" spans="1:7" ht="15.75" customHeight="1" x14ac:dyDescent="0.25">
      <c r="A2778" s="11" t="s">
        <v>24</v>
      </c>
      <c r="B2778" s="12">
        <v>11000000</v>
      </c>
      <c r="C2778" s="12">
        <v>12610731</v>
      </c>
      <c r="D2778" s="12">
        <v>2001</v>
      </c>
      <c r="E2778" s="12" t="str">
        <f>VLOOKUP(A2778, Currency!$A$2:$B$100, 2, FALSE)</f>
        <v>USD</v>
      </c>
      <c r="F2778" s="12">
        <f ca="1">IFERROR(__xludf.DUMMYFUNCTION("IF(E2778=""USD"",B2778,B2778 * GOOGLEFINANCE(""CURRENCY:"" &amp; E2778 &amp; ""USD""))
"),11000000)</f>
        <v>11000000</v>
      </c>
      <c r="G2778" s="13">
        <f ca="1">IFERROR(__xludf.DUMMYFUNCTION("IF(E2778=""USD"",C2778,C2778 * GOOGLEFINANCE(""CURRENCY:"" &amp; E2778 &amp; ""USD""))
"),12610731)</f>
        <v>12610731</v>
      </c>
    </row>
    <row r="2779" spans="1:7" ht="15.75" customHeight="1" x14ac:dyDescent="0.25">
      <c r="A2779" s="14" t="s">
        <v>24</v>
      </c>
      <c r="B2779" s="15">
        <v>3000000</v>
      </c>
      <c r="C2779" s="15">
        <v>73678</v>
      </c>
      <c r="D2779" s="15">
        <v>2011</v>
      </c>
      <c r="E2779" s="15" t="str">
        <f>VLOOKUP(A2779, Currency!$A$2:$B$100, 2, FALSE)</f>
        <v>USD</v>
      </c>
      <c r="F2779" s="15">
        <f ca="1">IFERROR(__xludf.DUMMYFUNCTION("IF(E2779=""USD"",B2779,B2779 * GOOGLEFINANCE(""CURRENCY:"" &amp; E2779 &amp; ""USD""))
"),3000000)</f>
        <v>3000000</v>
      </c>
      <c r="G2779" s="16">
        <f ca="1">IFERROR(__xludf.DUMMYFUNCTION("IF(E2779=""USD"",C2779,C2779 * GOOGLEFINANCE(""CURRENCY:"" &amp; E2779 &amp; ""USD""))
"),73678)</f>
        <v>73678</v>
      </c>
    </row>
    <row r="2780" spans="1:7" ht="15.75" customHeight="1" x14ac:dyDescent="0.25">
      <c r="A2780" s="11" t="s">
        <v>24</v>
      </c>
      <c r="B2780" s="12">
        <v>40000000</v>
      </c>
      <c r="C2780" s="12">
        <v>26616999</v>
      </c>
      <c r="D2780" s="12">
        <v>2013</v>
      </c>
      <c r="E2780" s="12" t="str">
        <f>VLOOKUP(A2780, Currency!$A$2:$B$100, 2, FALSE)</f>
        <v>USD</v>
      </c>
      <c r="F2780" s="12">
        <f ca="1">IFERROR(__xludf.DUMMYFUNCTION("IF(E2780=""USD"",B2780,B2780 * GOOGLEFINANCE(""CURRENCY:"" &amp; E2780 &amp; ""USD""))
"),40000000)</f>
        <v>40000000</v>
      </c>
      <c r="G2780" s="13">
        <f ca="1">IFERROR(__xludf.DUMMYFUNCTION("IF(E2780=""USD"",C2780,C2780 * GOOGLEFINANCE(""CURRENCY:"" &amp; E2780 &amp; ""USD""))
"),26616999)</f>
        <v>26616999</v>
      </c>
    </row>
    <row r="2781" spans="1:7" ht="15.75" customHeight="1" x14ac:dyDescent="0.25">
      <c r="A2781" s="14" t="s">
        <v>24</v>
      </c>
      <c r="B2781" s="15">
        <v>60000000</v>
      </c>
      <c r="C2781" s="15">
        <v>60573641</v>
      </c>
      <c r="D2781" s="15">
        <v>1996</v>
      </c>
      <c r="E2781" s="15" t="str">
        <f>VLOOKUP(A2781, Currency!$A$2:$B$100, 2, FALSE)</f>
        <v>USD</v>
      </c>
      <c r="F2781" s="15">
        <f ca="1">IFERROR(__xludf.DUMMYFUNCTION("IF(E2781=""USD"",B2781,B2781 * GOOGLEFINANCE(""CURRENCY:"" &amp; E2781 &amp; ""USD""))
"),60000000)</f>
        <v>60000000</v>
      </c>
      <c r="G2781" s="16">
        <f ca="1">IFERROR(__xludf.DUMMYFUNCTION("IF(E2781=""USD"",C2781,C2781 * GOOGLEFINANCE(""CURRENCY:"" &amp; E2781 &amp; ""USD""))
"),60573641)</f>
        <v>60573641</v>
      </c>
    </row>
    <row r="2782" spans="1:7" ht="15.75" customHeight="1" x14ac:dyDescent="0.25">
      <c r="A2782" s="11" t="s">
        <v>24</v>
      </c>
      <c r="B2782" s="12">
        <v>55000000</v>
      </c>
      <c r="C2782" s="12">
        <v>63408614</v>
      </c>
      <c r="D2782" s="12">
        <v>1989</v>
      </c>
      <c r="E2782" s="12" t="str">
        <f>VLOOKUP(A2782, Currency!$A$2:$B$100, 2, FALSE)</f>
        <v>USD</v>
      </c>
      <c r="F2782" s="12">
        <f ca="1">IFERROR(__xludf.DUMMYFUNCTION("IF(E2782=""USD"",B2782,B2782 * GOOGLEFINANCE(""CURRENCY:"" &amp; E2782 &amp; ""USD""))
"),55000000)</f>
        <v>55000000</v>
      </c>
      <c r="G2782" s="13">
        <f ca="1">IFERROR(__xludf.DUMMYFUNCTION("IF(E2782=""USD"",C2782,C2782 * GOOGLEFINANCE(""CURRENCY:"" &amp; E2782 &amp; ""USD""))
"),63408614)</f>
        <v>63408614</v>
      </c>
    </row>
    <row r="2783" spans="1:7" ht="15.75" customHeight="1" x14ac:dyDescent="0.25">
      <c r="A2783" s="14" t="s">
        <v>24</v>
      </c>
      <c r="B2783" s="15">
        <v>1000000</v>
      </c>
      <c r="C2783" s="15">
        <v>4946250</v>
      </c>
      <c r="D2783" s="15">
        <v>2013</v>
      </c>
      <c r="E2783" s="15" t="str">
        <f>VLOOKUP(A2783, Currency!$A$2:$B$100, 2, FALSE)</f>
        <v>USD</v>
      </c>
      <c r="F2783" s="15">
        <f ca="1">IFERROR(__xludf.DUMMYFUNCTION("IF(E2783=""USD"",B2783,B2783 * GOOGLEFINANCE(""CURRENCY:"" &amp; E2783 &amp; ""USD""))
"),1000000)</f>
        <v>1000000</v>
      </c>
      <c r="G2783" s="16">
        <f ca="1">IFERROR(__xludf.DUMMYFUNCTION("IF(E2783=""USD"",C2783,C2783 * GOOGLEFINANCE(""CURRENCY:"" &amp; E2783 &amp; ""USD""))
"),4946250)</f>
        <v>4946250</v>
      </c>
    </row>
    <row r="2784" spans="1:7" ht="15.75" customHeight="1" x14ac:dyDescent="0.25">
      <c r="A2784" s="11" t="s">
        <v>24</v>
      </c>
      <c r="B2784" s="12">
        <v>6000000</v>
      </c>
      <c r="C2784" s="12">
        <v>119078393</v>
      </c>
      <c r="D2784" s="12">
        <v>2004</v>
      </c>
      <c r="E2784" s="12" t="str">
        <f>VLOOKUP(A2784, Currency!$A$2:$B$100, 2, FALSE)</f>
        <v>USD</v>
      </c>
      <c r="F2784" s="12">
        <f ca="1">IFERROR(__xludf.DUMMYFUNCTION("IF(E2784=""USD"",B2784,B2784 * GOOGLEFINANCE(""CURRENCY:"" &amp; E2784 &amp; ""USD""))
"),6000000)</f>
        <v>6000000</v>
      </c>
      <c r="G2784" s="13">
        <f ca="1">IFERROR(__xludf.DUMMYFUNCTION("IF(E2784=""USD"",C2784,C2784 * GOOGLEFINANCE(""CURRENCY:"" &amp; E2784 &amp; ""USD""))
"),119078393)</f>
        <v>119078393</v>
      </c>
    </row>
    <row r="2785" spans="1:7" ht="15.75" customHeight="1" x14ac:dyDescent="0.25">
      <c r="A2785" s="14" t="s">
        <v>24</v>
      </c>
      <c r="B2785" s="15">
        <v>30000000</v>
      </c>
      <c r="C2785" s="15">
        <v>106694016</v>
      </c>
      <c r="D2785" s="15">
        <v>1999</v>
      </c>
      <c r="E2785" s="15" t="str">
        <f>VLOOKUP(A2785, Currency!$A$2:$B$100, 2, FALSE)</f>
        <v>USD</v>
      </c>
      <c r="F2785" s="15">
        <f ca="1">IFERROR(__xludf.DUMMYFUNCTION("IF(E2785=""USD"",B2785,B2785 * GOOGLEFINANCE(""CURRENCY:"" &amp; E2785 &amp; ""USD""))
"),30000000)</f>
        <v>30000000</v>
      </c>
      <c r="G2785" s="16">
        <f ca="1">IFERROR(__xludf.DUMMYFUNCTION("IF(E2785=""USD"",C2785,C2785 * GOOGLEFINANCE(""CURRENCY:"" &amp; E2785 &amp; ""USD""))
"),106694016)</f>
        <v>106694016</v>
      </c>
    </row>
    <row r="2786" spans="1:7" ht="15.75" customHeight="1" x14ac:dyDescent="0.25">
      <c r="A2786" s="11" t="s">
        <v>24</v>
      </c>
      <c r="B2786" s="12">
        <v>57000000</v>
      </c>
      <c r="C2786" s="12">
        <v>51774002</v>
      </c>
      <c r="D2786" s="12">
        <v>2011</v>
      </c>
      <c r="E2786" s="12" t="str">
        <f>VLOOKUP(A2786, Currency!$A$2:$B$100, 2, FALSE)</f>
        <v>USD</v>
      </c>
      <c r="F2786" s="12">
        <f ca="1">IFERROR(__xludf.DUMMYFUNCTION("IF(E2786=""USD"",B2786,B2786 * GOOGLEFINANCE(""CURRENCY:"" &amp; E2786 &amp; ""USD""))
"),57000000)</f>
        <v>57000000</v>
      </c>
      <c r="G2786" s="13">
        <f ca="1">IFERROR(__xludf.DUMMYFUNCTION("IF(E2786=""USD"",C2786,C2786 * GOOGLEFINANCE(""CURRENCY:"" &amp; E2786 &amp; ""USD""))
"),51774002)</f>
        <v>51774002</v>
      </c>
    </row>
    <row r="2787" spans="1:7" ht="15.75" customHeight="1" x14ac:dyDescent="0.25">
      <c r="A2787" s="14" t="s">
        <v>24</v>
      </c>
      <c r="B2787" s="15">
        <v>50000000</v>
      </c>
      <c r="C2787" s="15">
        <v>44737059</v>
      </c>
      <c r="D2787" s="15">
        <v>2000</v>
      </c>
      <c r="E2787" s="15" t="str">
        <f>VLOOKUP(A2787, Currency!$A$2:$B$100, 2, FALSE)</f>
        <v>USD</v>
      </c>
      <c r="F2787" s="15">
        <f ca="1">IFERROR(__xludf.DUMMYFUNCTION("IF(E2787=""USD"",B2787,B2787 * GOOGLEFINANCE(""CURRENCY:"" &amp; E2787 &amp; ""USD""))
"),50000000)</f>
        <v>50000000</v>
      </c>
      <c r="G2787" s="16">
        <f ca="1">IFERROR(__xludf.DUMMYFUNCTION("IF(E2787=""USD"",C2787,C2787 * GOOGLEFINANCE(""CURRENCY:"" &amp; E2787 &amp; ""USD""))
"),44737059)</f>
        <v>44737059</v>
      </c>
    </row>
    <row r="2788" spans="1:7" ht="15.75" customHeight="1" x14ac:dyDescent="0.25">
      <c r="A2788" s="11" t="s">
        <v>24</v>
      </c>
      <c r="B2788" s="12">
        <v>11000000</v>
      </c>
      <c r="C2788" s="12">
        <v>101736215</v>
      </c>
      <c r="D2788" s="12">
        <v>1999</v>
      </c>
      <c r="E2788" s="12" t="str">
        <f>VLOOKUP(A2788, Currency!$A$2:$B$100, 2, FALSE)</f>
        <v>USD</v>
      </c>
      <c r="F2788" s="12">
        <f ca="1">IFERROR(__xludf.DUMMYFUNCTION("IF(E2788=""USD"",B2788,B2788 * GOOGLEFINANCE(""CURRENCY:"" &amp; E2788 &amp; ""USD""))
"),11000000)</f>
        <v>11000000</v>
      </c>
      <c r="G2788" s="13">
        <f ca="1">IFERROR(__xludf.DUMMYFUNCTION("IF(E2788=""USD"",C2788,C2788 * GOOGLEFINANCE(""CURRENCY:"" &amp; E2788 &amp; ""USD""))
"),101736215)</f>
        <v>101736215</v>
      </c>
    </row>
    <row r="2789" spans="1:7" ht="15.75" customHeight="1" x14ac:dyDescent="0.25">
      <c r="A2789" s="14" t="s">
        <v>24</v>
      </c>
      <c r="B2789" s="15">
        <v>50000000</v>
      </c>
      <c r="C2789" s="15">
        <v>25450527</v>
      </c>
      <c r="D2789" s="15">
        <v>2009</v>
      </c>
      <c r="E2789" s="15" t="str">
        <f>VLOOKUP(A2789, Currency!$A$2:$B$100, 2, FALSE)</f>
        <v>USD</v>
      </c>
      <c r="F2789" s="15">
        <f ca="1">IFERROR(__xludf.DUMMYFUNCTION("IF(E2789=""USD"",B2789,B2789 * GOOGLEFINANCE(""CURRENCY:"" &amp; E2789 &amp; ""USD""))
"),50000000)</f>
        <v>50000000</v>
      </c>
      <c r="G2789" s="16">
        <f ca="1">IFERROR(__xludf.DUMMYFUNCTION("IF(E2789=""USD"",C2789,C2789 * GOOGLEFINANCE(""CURRENCY:"" &amp; E2789 &amp; ""USD""))
"),25450527)</f>
        <v>25450527</v>
      </c>
    </row>
    <row r="2790" spans="1:7" ht="15.75" customHeight="1" x14ac:dyDescent="0.25">
      <c r="A2790" s="11" t="s">
        <v>24</v>
      </c>
      <c r="B2790" s="12">
        <v>2500000</v>
      </c>
      <c r="C2790" s="12">
        <v>33349949</v>
      </c>
      <c r="D2790" s="12">
        <v>2012</v>
      </c>
      <c r="E2790" s="12" t="str">
        <f>VLOOKUP(A2790, Currency!$A$2:$B$100, 2, FALSE)</f>
        <v>USD</v>
      </c>
      <c r="F2790" s="12">
        <f ca="1">IFERROR(__xludf.DUMMYFUNCTION("IF(E2790=""USD"",B2790,B2790 * GOOGLEFINANCE(""CURRENCY:"" &amp; E2790 &amp; ""USD""))
"),2500000)</f>
        <v>2500000</v>
      </c>
      <c r="G2790" s="13">
        <f ca="1">IFERROR(__xludf.DUMMYFUNCTION("IF(E2790=""USD"",C2790,C2790 * GOOGLEFINANCE(""CURRENCY:"" &amp; E2790 &amp; ""USD""))
"),33349949)</f>
        <v>33349949</v>
      </c>
    </row>
    <row r="2791" spans="1:7" ht="15.75" customHeight="1" x14ac:dyDescent="0.25">
      <c r="A2791" s="14" t="s">
        <v>24</v>
      </c>
      <c r="B2791" s="15">
        <v>8500000</v>
      </c>
      <c r="C2791" s="15">
        <v>140244</v>
      </c>
      <c r="D2791" s="15">
        <v>2008</v>
      </c>
      <c r="E2791" s="15" t="str">
        <f>VLOOKUP(A2791, Currency!$A$2:$B$100, 2, FALSE)</f>
        <v>USD</v>
      </c>
      <c r="F2791" s="15">
        <f ca="1">IFERROR(__xludf.DUMMYFUNCTION("IF(E2791=""USD"",B2791,B2791 * GOOGLEFINANCE(""CURRENCY:"" &amp; E2791 &amp; ""USD""))
"),8500000)</f>
        <v>8500000</v>
      </c>
      <c r="G2791" s="16">
        <f ca="1">IFERROR(__xludf.DUMMYFUNCTION("IF(E2791=""USD"",C2791,C2791 * GOOGLEFINANCE(""CURRENCY:"" &amp; E2791 &amp; ""USD""))
"),140244)</f>
        <v>140244</v>
      </c>
    </row>
    <row r="2792" spans="1:7" ht="15.75" customHeight="1" x14ac:dyDescent="0.25">
      <c r="A2792" s="11" t="s">
        <v>24</v>
      </c>
      <c r="B2792" s="12">
        <v>55000000</v>
      </c>
      <c r="C2792" s="12">
        <v>66365290</v>
      </c>
      <c r="D2792" s="12">
        <v>1999</v>
      </c>
      <c r="E2792" s="12" t="str">
        <f>VLOOKUP(A2792, Currency!$A$2:$B$100, 2, FALSE)</f>
        <v>USD</v>
      </c>
      <c r="F2792" s="12">
        <f ca="1">IFERROR(__xludf.DUMMYFUNCTION("IF(E2792=""USD"",B2792,B2792 * GOOGLEFINANCE(""CURRENCY:"" &amp; E2792 &amp; ""USD""))
"),55000000)</f>
        <v>55000000</v>
      </c>
      <c r="G2792" s="13">
        <f ca="1">IFERROR(__xludf.DUMMYFUNCTION("IF(E2792=""USD"",C2792,C2792 * GOOGLEFINANCE(""CURRENCY:"" &amp; E2792 &amp; ""USD""))
"),66365290)</f>
        <v>66365290</v>
      </c>
    </row>
    <row r="2793" spans="1:7" ht="15.75" customHeight="1" x14ac:dyDescent="0.25">
      <c r="A2793" s="14" t="s">
        <v>24</v>
      </c>
      <c r="B2793" s="15">
        <v>20000000</v>
      </c>
      <c r="C2793" s="15">
        <v>161487252</v>
      </c>
      <c r="D2793" s="15">
        <v>1998</v>
      </c>
      <c r="E2793" s="15" t="str">
        <f>VLOOKUP(A2793, Currency!$A$2:$B$100, 2, FALSE)</f>
        <v>USD</v>
      </c>
      <c r="F2793" s="15">
        <f ca="1">IFERROR(__xludf.DUMMYFUNCTION("IF(E2793=""USD"",B2793,B2793 * GOOGLEFINANCE(""CURRENCY:"" &amp; E2793 &amp; ""USD""))
"),20000000)</f>
        <v>20000000</v>
      </c>
      <c r="G2793" s="16">
        <f ca="1">IFERROR(__xludf.DUMMYFUNCTION("IF(E2793=""USD"",C2793,C2793 * GOOGLEFINANCE(""CURRENCY:"" &amp; E2793 &amp; ""USD""))
"),161487252)</f>
        <v>161487252</v>
      </c>
    </row>
    <row r="2794" spans="1:7" ht="15.75" customHeight="1" x14ac:dyDescent="0.25">
      <c r="A2794" s="11" t="s">
        <v>24</v>
      </c>
      <c r="B2794" s="12">
        <v>65000000</v>
      </c>
      <c r="C2794" s="12">
        <v>43982842</v>
      </c>
      <c r="D2794" s="12">
        <v>2009</v>
      </c>
      <c r="E2794" s="12" t="str">
        <f>VLOOKUP(A2794, Currency!$A$2:$B$100, 2, FALSE)</f>
        <v>USD</v>
      </c>
      <c r="F2794" s="12">
        <f ca="1">IFERROR(__xludf.DUMMYFUNCTION("IF(E2794=""USD"",B2794,B2794 * GOOGLEFINANCE(""CURRENCY:"" &amp; E2794 &amp; ""USD""))
"),65000000)</f>
        <v>65000000</v>
      </c>
      <c r="G2794" s="13">
        <f ca="1">IFERROR(__xludf.DUMMYFUNCTION("IF(E2794=""USD"",C2794,C2794 * GOOGLEFINANCE(""CURRENCY:"" &amp; E2794 &amp; ""USD""))
"),43982842)</f>
        <v>43982842</v>
      </c>
    </row>
    <row r="2795" spans="1:7" ht="15.75" customHeight="1" x14ac:dyDescent="0.25">
      <c r="A2795" s="14" t="s">
        <v>24</v>
      </c>
      <c r="B2795" s="15">
        <v>12000000</v>
      </c>
      <c r="C2795" s="15">
        <v>3148482</v>
      </c>
      <c r="D2795" s="15">
        <v>2008</v>
      </c>
      <c r="E2795" s="15" t="str">
        <f>VLOOKUP(A2795, Currency!$A$2:$B$100, 2, FALSE)</f>
        <v>USD</v>
      </c>
      <c r="F2795" s="15">
        <f ca="1">IFERROR(__xludf.DUMMYFUNCTION("IF(E2795=""USD"",B2795,B2795 * GOOGLEFINANCE(""CURRENCY:"" &amp; E2795 &amp; ""USD""))
"),12000000)</f>
        <v>12000000</v>
      </c>
      <c r="G2795" s="16">
        <f ca="1">IFERROR(__xludf.DUMMYFUNCTION("IF(E2795=""USD"",C2795,C2795 * GOOGLEFINANCE(""CURRENCY:"" &amp; E2795 &amp; ""USD""))
"),3148482)</f>
        <v>3148482</v>
      </c>
    </row>
    <row r="2796" spans="1:7" ht="15.75" customHeight="1" x14ac:dyDescent="0.25">
      <c r="A2796" s="11" t="s">
        <v>24</v>
      </c>
      <c r="B2796" s="12">
        <v>27000000</v>
      </c>
      <c r="C2796" s="12">
        <v>41008532</v>
      </c>
      <c r="D2796" s="12">
        <v>2016</v>
      </c>
      <c r="E2796" s="12" t="str">
        <f>VLOOKUP(A2796, Currency!$A$2:$B$100, 2, FALSE)</f>
        <v>USD</v>
      </c>
      <c r="F2796" s="12">
        <f ca="1">IFERROR(__xludf.DUMMYFUNCTION("IF(E2796=""USD"",B2796,B2796 * GOOGLEFINANCE(""CURRENCY:"" &amp; E2796 &amp; ""USD""))
"),27000000)</f>
        <v>27000000</v>
      </c>
      <c r="G2796" s="13">
        <f ca="1">IFERROR(__xludf.DUMMYFUNCTION("IF(E2796=""USD"",C2796,C2796 * GOOGLEFINANCE(""CURRENCY:"" &amp; E2796 &amp; ""USD""))
"),41008532)</f>
        <v>41008532</v>
      </c>
    </row>
    <row r="2797" spans="1:7" ht="15.75" customHeight="1" x14ac:dyDescent="0.25">
      <c r="A2797" s="14" t="s">
        <v>133</v>
      </c>
      <c r="B2797" s="15">
        <v>35000000</v>
      </c>
      <c r="C2797" s="15">
        <v>54228104</v>
      </c>
      <c r="D2797" s="15">
        <v>2002</v>
      </c>
      <c r="E2797" s="15" t="str">
        <f>VLOOKUP(A2797, Currency!$A$2:$B$100, 2, FALSE)</f>
        <v>GBP</v>
      </c>
      <c r="F2797" s="15">
        <f ca="1">IFERROR(__xludf.DUMMYFUNCTION("IF(E2797=""USD"",B2797,B2797 * GOOGLEFINANCE(""CURRENCY:"" &amp; E2797 &amp; ""USD""))
"),44988999.9999999)</f>
        <v>44988999.999999903</v>
      </c>
      <c r="G2797" s="16">
        <f ca="1">IFERROR(__xludf.DUMMYFUNCTION("IF(E2797=""USD"",C2797,C2797 * GOOGLEFINANCE(""CURRENCY:"" &amp; E2797 &amp; ""USD""))
"),69704804.8815999)</f>
        <v>69704804.881599903</v>
      </c>
    </row>
    <row r="2798" spans="1:7" ht="15.75" customHeight="1" x14ac:dyDescent="0.25">
      <c r="A2798" s="11" t="s">
        <v>24</v>
      </c>
      <c r="B2798" s="12">
        <v>15000000</v>
      </c>
      <c r="C2798" s="12">
        <v>59735548</v>
      </c>
      <c r="D2798" s="12">
        <v>1987</v>
      </c>
      <c r="E2798" s="12" t="str">
        <f>VLOOKUP(A2798, Currency!$A$2:$B$100, 2, FALSE)</f>
        <v>USD</v>
      </c>
      <c r="F2798" s="12">
        <f ca="1">IFERROR(__xludf.DUMMYFUNCTION("IF(E2798=""USD"",B2798,B2798 * GOOGLEFINANCE(""CURRENCY:"" &amp; E2798 &amp; ""USD""))
"),15000000)</f>
        <v>15000000</v>
      </c>
      <c r="G2798" s="13">
        <f ca="1">IFERROR(__xludf.DUMMYFUNCTION("IF(E2798=""USD"",C2798,C2798 * GOOGLEFINANCE(""CURRENCY:"" &amp; E2798 &amp; ""USD""))
"),59735548)</f>
        <v>59735548</v>
      </c>
    </row>
    <row r="2799" spans="1:7" ht="15.75" customHeight="1" x14ac:dyDescent="0.25">
      <c r="A2799" s="14" t="s">
        <v>24</v>
      </c>
      <c r="B2799" s="15">
        <v>24000000</v>
      </c>
      <c r="C2799" s="15">
        <v>28871190</v>
      </c>
      <c r="D2799" s="15">
        <v>1999</v>
      </c>
      <c r="E2799" s="15" t="str">
        <f>VLOOKUP(A2799, Currency!$A$2:$B$100, 2, FALSE)</f>
        <v>USD</v>
      </c>
      <c r="F2799" s="15">
        <f ca="1">IFERROR(__xludf.DUMMYFUNCTION("IF(E2799=""USD"",B2799,B2799 * GOOGLEFINANCE(""CURRENCY:"" &amp; E2799 &amp; ""USD""))
"),24000000)</f>
        <v>24000000</v>
      </c>
      <c r="G2799" s="16">
        <f ca="1">IFERROR(__xludf.DUMMYFUNCTION("IF(E2799=""USD"",C2799,C2799 * GOOGLEFINANCE(""CURRENCY:"" &amp; E2799 &amp; ""USD""))
"),28871190)</f>
        <v>28871190</v>
      </c>
    </row>
    <row r="2800" spans="1:7" ht="15.75" customHeight="1" x14ac:dyDescent="0.25">
      <c r="A2800" s="11" t="s">
        <v>24</v>
      </c>
      <c r="B2800" s="12">
        <v>12000000</v>
      </c>
      <c r="C2800" s="12">
        <v>75074950</v>
      </c>
      <c r="D2800" s="12">
        <v>2002</v>
      </c>
      <c r="E2800" s="12" t="str">
        <f>VLOOKUP(A2800, Currency!$A$2:$B$100, 2, FALSE)</f>
        <v>USD</v>
      </c>
      <c r="F2800" s="12">
        <f ca="1">IFERROR(__xludf.DUMMYFUNCTION("IF(E2800=""USD"",B2800,B2800 * GOOGLEFINANCE(""CURRENCY:"" &amp; E2800 &amp; ""USD""))
"),12000000)</f>
        <v>12000000</v>
      </c>
      <c r="G2800" s="13">
        <f ca="1">IFERROR(__xludf.DUMMYFUNCTION("IF(E2800=""USD"",C2800,C2800 * GOOGLEFINANCE(""CURRENCY:"" &amp; E2800 &amp; ""USD""))
"),75074950)</f>
        <v>75074950</v>
      </c>
    </row>
    <row r="2801" spans="1:7" ht="15.75" customHeight="1" x14ac:dyDescent="0.25">
      <c r="A2801" s="14" t="s">
        <v>24</v>
      </c>
      <c r="B2801" s="15">
        <v>30000000</v>
      </c>
      <c r="C2801" s="15">
        <v>10880926</v>
      </c>
      <c r="D2801" s="15">
        <v>2013</v>
      </c>
      <c r="E2801" s="15" t="str">
        <f>VLOOKUP(A2801, Currency!$A$2:$B$100, 2, FALSE)</f>
        <v>USD</v>
      </c>
      <c r="F2801" s="15">
        <f ca="1">IFERROR(__xludf.DUMMYFUNCTION("IF(E2801=""USD"",B2801,B2801 * GOOGLEFINANCE(""CURRENCY:"" &amp; E2801 &amp; ""USD""))
"),30000000)</f>
        <v>30000000</v>
      </c>
      <c r="G2801" s="16">
        <f ca="1">IFERROR(__xludf.DUMMYFUNCTION("IF(E2801=""USD"",C2801,C2801 * GOOGLEFINANCE(""CURRENCY:"" &amp; E2801 &amp; ""USD""))
"),10880926)</f>
        <v>10880926</v>
      </c>
    </row>
    <row r="2802" spans="1:7" ht="15.75" customHeight="1" x14ac:dyDescent="0.25">
      <c r="A2802" s="11" t="s">
        <v>24</v>
      </c>
      <c r="B2802" s="12">
        <v>30000000</v>
      </c>
      <c r="C2802" s="12">
        <v>42385520</v>
      </c>
      <c r="D2802" s="12">
        <v>2010</v>
      </c>
      <c r="E2802" s="12" t="str">
        <f>VLOOKUP(A2802, Currency!$A$2:$B$100, 2, FALSE)</f>
        <v>USD</v>
      </c>
      <c r="F2802" s="12">
        <f ca="1">IFERROR(__xludf.DUMMYFUNCTION("IF(E2802=""USD"",B2802,B2802 * GOOGLEFINANCE(""CURRENCY:"" &amp; E2802 &amp; ""USD""))
"),30000000)</f>
        <v>30000000</v>
      </c>
      <c r="G2802" s="13">
        <f ca="1">IFERROR(__xludf.DUMMYFUNCTION("IF(E2802=""USD"",C2802,C2802 * GOOGLEFINANCE(""CURRENCY:"" &amp; E2802 &amp; ""USD""))
"),42385520)</f>
        <v>42385520</v>
      </c>
    </row>
    <row r="2803" spans="1:7" ht="15.75" customHeight="1" x14ac:dyDescent="0.25">
      <c r="A2803" s="14" t="s">
        <v>24</v>
      </c>
      <c r="B2803" s="15">
        <v>60000000</v>
      </c>
      <c r="C2803" s="15">
        <v>267652016</v>
      </c>
      <c r="D2803" s="15">
        <v>2001</v>
      </c>
      <c r="E2803" s="15" t="str">
        <f>VLOOKUP(A2803, Currency!$A$2:$B$100, 2, FALSE)</f>
        <v>USD</v>
      </c>
      <c r="F2803" s="15">
        <f ca="1">IFERROR(__xludf.DUMMYFUNCTION("IF(E2803=""USD"",B2803,B2803 * GOOGLEFINANCE(""CURRENCY:"" &amp; E2803 &amp; ""USD""))
"),60000000)</f>
        <v>60000000</v>
      </c>
      <c r="G2803" s="16">
        <f ca="1">IFERROR(__xludf.DUMMYFUNCTION("IF(E2803=""USD"",C2803,C2803 * GOOGLEFINANCE(""CURRENCY:"" &amp; E2803 &amp; ""USD""))
"),267652016)</f>
        <v>267652016</v>
      </c>
    </row>
    <row r="2804" spans="1:7" ht="15.75" customHeight="1" x14ac:dyDescent="0.25">
      <c r="A2804" s="11" t="s">
        <v>627</v>
      </c>
      <c r="B2804" s="12">
        <v>110000000</v>
      </c>
      <c r="C2804" s="12">
        <v>214948780</v>
      </c>
      <c r="D2804" s="12">
        <v>2003</v>
      </c>
      <c r="E2804" s="12" t="str">
        <f>VLOOKUP(A2804, Currency!$A$2:$B$100, 2, FALSE)</f>
        <v>CAD</v>
      </c>
      <c r="F2804" s="12">
        <f ca="1">IFERROR(__xludf.DUMMYFUNCTION("IF(E2804=""USD"",B2804,B2804 * GOOGLEFINANCE(""CURRENCY:"" &amp; E2804 &amp; ""USD""))
"),79574550)</f>
        <v>79574550</v>
      </c>
      <c r="G2804" s="13">
        <f ca="1">IFERROR(__xludf.DUMMYFUNCTION("IF(E2804=""USD"",C2804,C2804 * GOOGLEFINANCE(""CURRENCY:"" &amp; E2804 &amp; ""USD""))
"),155495022.1959)</f>
        <v>155495022.19589999</v>
      </c>
    </row>
    <row r="2805" spans="1:7" ht="15.75" customHeight="1" x14ac:dyDescent="0.25">
      <c r="A2805" s="14" t="s">
        <v>24</v>
      </c>
      <c r="B2805" s="15">
        <v>1500000</v>
      </c>
      <c r="C2805" s="15">
        <v>712294</v>
      </c>
      <c r="D2805" s="15">
        <v>2005</v>
      </c>
      <c r="E2805" s="15" t="str">
        <f>VLOOKUP(A2805, Currency!$A$2:$B$100, 2, FALSE)</f>
        <v>USD</v>
      </c>
      <c r="F2805" s="15">
        <f ca="1">IFERROR(__xludf.DUMMYFUNCTION("IF(E2805=""USD"",B2805,B2805 * GOOGLEFINANCE(""CURRENCY:"" &amp; E2805 &amp; ""USD""))
"),1500000)</f>
        <v>1500000</v>
      </c>
      <c r="G2805" s="16">
        <f ca="1">IFERROR(__xludf.DUMMYFUNCTION("IF(E2805=""USD"",C2805,C2805 * GOOGLEFINANCE(""CURRENCY:"" &amp; E2805 &amp; ""USD""))
"),712294)</f>
        <v>712294</v>
      </c>
    </row>
    <row r="2806" spans="1:7" ht="15.75" customHeight="1" x14ac:dyDescent="0.25">
      <c r="A2806" s="11" t="s">
        <v>611</v>
      </c>
      <c r="B2806" s="12">
        <v>21000000</v>
      </c>
      <c r="C2806" s="12">
        <v>25296447</v>
      </c>
      <c r="D2806" s="12">
        <v>2002</v>
      </c>
      <c r="E2806" s="12" t="str">
        <f>VLOOKUP(A2806, Currency!$A$2:$B$100, 2, FALSE)</f>
        <v>EUR</v>
      </c>
      <c r="F2806" s="12">
        <f ca="1">IFERROR(__xludf.DUMMYFUNCTION("IF(E2806=""USD"",B2806,B2806 * GOOGLEFINANCE(""CURRENCY:"" &amp; E2806 &amp; ""USD""))
"),22779540)</f>
        <v>22779540</v>
      </c>
      <c r="G2806" s="13">
        <f ca="1">IFERROR(__xludf.DUMMYFUNCTION("IF(E2806=""USD"",C2806,C2806 * GOOGLEFINANCE(""CURRENCY:"" &amp; E2806 &amp; ""USD""))
"),27440067.91878)</f>
        <v>27440067.918779999</v>
      </c>
    </row>
    <row r="2807" spans="1:7" ht="15.75" customHeight="1" x14ac:dyDescent="0.25">
      <c r="A2807" s="14" t="s">
        <v>1491</v>
      </c>
      <c r="B2807" s="15">
        <v>35000000</v>
      </c>
      <c r="C2807" s="15">
        <v>10956379</v>
      </c>
      <c r="D2807" s="15">
        <v>2007</v>
      </c>
      <c r="E2807" s="15" t="str">
        <f>VLOOKUP(A2807, Currency!$A$2:$B$100, 2, FALSE)</f>
        <v>KRW</v>
      </c>
      <c r="F2807" s="15">
        <f ca="1">IFERROR(__xludf.DUMMYFUNCTION("IF(E2807=""USD"",B2807,B2807 * GOOGLEFINANCE(""CURRENCY:"" &amp; E2807 &amp; ""USD""))
"),25335.345)</f>
        <v>25335.345000000001</v>
      </c>
      <c r="G2807" s="16">
        <f ca="1">IFERROR(__xludf.DUMMYFUNCTION("IF(E2807=""USD"",C2807,C2807 * GOOGLEFINANCE(""CURRENCY:"" &amp; E2807 &amp; ""USD""))
"),7930.961197593)</f>
        <v>7930.9611975930002</v>
      </c>
    </row>
    <row r="2808" spans="1:7" ht="15.75" customHeight="1" x14ac:dyDescent="0.25">
      <c r="A2808" s="11" t="s">
        <v>24</v>
      </c>
      <c r="B2808" s="12">
        <v>5500000</v>
      </c>
      <c r="C2808" s="12">
        <v>50382128</v>
      </c>
      <c r="D2808" s="12">
        <v>2005</v>
      </c>
      <c r="E2808" s="12" t="str">
        <f>VLOOKUP(A2808, Currency!$A$2:$B$100, 2, FALSE)</f>
        <v>USD</v>
      </c>
      <c r="F2808" s="12">
        <f ca="1">IFERROR(__xludf.DUMMYFUNCTION("IF(E2808=""USD"",B2808,B2808 * GOOGLEFINANCE(""CURRENCY:"" &amp; E2808 &amp; ""USD""))
"),5500000)</f>
        <v>5500000</v>
      </c>
      <c r="G2808" s="13">
        <f ca="1">IFERROR(__xludf.DUMMYFUNCTION("IF(E2808=""USD"",C2808,C2808 * GOOGLEFINANCE(""CURRENCY:"" &amp; E2808 &amp; ""USD""))
"),50382128)</f>
        <v>50382128</v>
      </c>
    </row>
    <row r="2809" spans="1:7" ht="15.75" customHeight="1" x14ac:dyDescent="0.25">
      <c r="A2809" s="14" t="s">
        <v>24</v>
      </c>
      <c r="B2809" s="15">
        <v>24000000</v>
      </c>
      <c r="C2809" s="15">
        <v>4308981</v>
      </c>
      <c r="D2809" s="15">
        <v>1998</v>
      </c>
      <c r="E2809" s="15" t="str">
        <f>VLOOKUP(A2809, Currency!$A$2:$B$100, 2, FALSE)</f>
        <v>USD</v>
      </c>
      <c r="F2809" s="15">
        <f ca="1">IFERROR(__xludf.DUMMYFUNCTION("IF(E2809=""USD"",B2809,B2809 * GOOGLEFINANCE(""CURRENCY:"" &amp; E2809 &amp; ""USD""))
"),24000000)</f>
        <v>24000000</v>
      </c>
      <c r="G2809" s="16">
        <f ca="1">IFERROR(__xludf.DUMMYFUNCTION("IF(E2809=""USD"",C2809,C2809 * GOOGLEFINANCE(""CURRENCY:"" &amp; E2809 &amp; ""USD""))
"),4308981)</f>
        <v>4308981</v>
      </c>
    </row>
    <row r="2810" spans="1:7" ht="15.75" customHeight="1" x14ac:dyDescent="0.25">
      <c r="A2810" s="11" t="s">
        <v>24</v>
      </c>
      <c r="B2810" s="12">
        <v>7000000</v>
      </c>
      <c r="C2810" s="12">
        <v>14891000</v>
      </c>
      <c r="D2810" s="12">
        <v>1996</v>
      </c>
      <c r="E2810" s="12" t="str">
        <f>VLOOKUP(A2810, Currency!$A$2:$B$100, 2, FALSE)</f>
        <v>USD</v>
      </c>
      <c r="F2810" s="12">
        <f ca="1">IFERROR(__xludf.DUMMYFUNCTION("IF(E2810=""USD"",B2810,B2810 * GOOGLEFINANCE(""CURRENCY:"" &amp; E2810 &amp; ""USD""))
"),7000000)</f>
        <v>7000000</v>
      </c>
      <c r="G2810" s="13">
        <f ca="1">IFERROR(__xludf.DUMMYFUNCTION("IF(E2810=""USD"",C2810,C2810 * GOOGLEFINANCE(""CURRENCY:"" &amp; E2810 &amp; ""USD""))
"),14891000)</f>
        <v>14891000</v>
      </c>
    </row>
    <row r="2811" spans="1:7" ht="15.75" customHeight="1" x14ac:dyDescent="0.25">
      <c r="A2811" s="14" t="s">
        <v>24</v>
      </c>
      <c r="B2811" s="15">
        <v>200000000</v>
      </c>
      <c r="C2811" s="15">
        <v>334185206</v>
      </c>
      <c r="D2811" s="15">
        <v>2010</v>
      </c>
      <c r="E2811" s="15" t="str">
        <f>VLOOKUP(A2811, Currency!$A$2:$B$100, 2, FALSE)</f>
        <v>USD</v>
      </c>
      <c r="F2811" s="15">
        <f ca="1">IFERROR(__xludf.DUMMYFUNCTION("IF(E2811=""USD"",B2811,B2811 * GOOGLEFINANCE(""CURRENCY:"" &amp; E2811 &amp; ""USD""))
"),200000000)</f>
        <v>200000000</v>
      </c>
      <c r="G2811" s="16">
        <f ca="1">IFERROR(__xludf.DUMMYFUNCTION("IF(E2811=""USD"",C2811,C2811 * GOOGLEFINANCE(""CURRENCY:"" &amp; E2811 &amp; ""USD""))
"),334185206)</f>
        <v>334185206</v>
      </c>
    </row>
    <row r="2812" spans="1:7" ht="15.75" customHeight="1" x14ac:dyDescent="0.25">
      <c r="A2812" s="11" t="s">
        <v>24</v>
      </c>
      <c r="B2812" s="12">
        <v>26000000</v>
      </c>
      <c r="C2812" s="12">
        <v>61490000</v>
      </c>
      <c r="D2812" s="12">
        <v>1990</v>
      </c>
      <c r="E2812" s="12" t="str">
        <f>VLOOKUP(A2812, Currency!$A$2:$B$100, 2, FALSE)</f>
        <v>USD</v>
      </c>
      <c r="F2812" s="12">
        <f ca="1">IFERROR(__xludf.DUMMYFUNCTION("IF(E2812=""USD"",B2812,B2812 * GOOGLEFINANCE(""CURRENCY:"" &amp; E2812 &amp; ""USD""))
"),26000000)</f>
        <v>26000000</v>
      </c>
      <c r="G2812" s="13">
        <f ca="1">IFERROR(__xludf.DUMMYFUNCTION("IF(E2812=""USD"",C2812,C2812 * GOOGLEFINANCE(""CURRENCY:"" &amp; E2812 &amp; ""USD""))
"),61490000)</f>
        <v>61490000</v>
      </c>
    </row>
    <row r="2813" spans="1:7" ht="15.75" customHeight="1" x14ac:dyDescent="0.25">
      <c r="A2813" s="14" t="s">
        <v>24</v>
      </c>
      <c r="B2813" s="15">
        <v>20000000</v>
      </c>
      <c r="C2813" s="15">
        <v>64149837</v>
      </c>
      <c r="D2813" s="15">
        <v>2009</v>
      </c>
      <c r="E2813" s="15" t="str">
        <f>VLOOKUP(A2813, Currency!$A$2:$B$100, 2, FALSE)</f>
        <v>USD</v>
      </c>
      <c r="F2813" s="15">
        <f ca="1">IFERROR(__xludf.DUMMYFUNCTION("IF(E2813=""USD"",B2813,B2813 * GOOGLEFINANCE(""CURRENCY:"" &amp; E2813 &amp; ""USD""))
"),20000000)</f>
        <v>20000000</v>
      </c>
      <c r="G2813" s="16">
        <f ca="1">IFERROR(__xludf.DUMMYFUNCTION("IF(E2813=""USD"",C2813,C2813 * GOOGLEFINANCE(""CURRENCY:"" &amp; E2813 &amp; ""USD""))
"),64149837)</f>
        <v>64149837</v>
      </c>
    </row>
    <row r="2814" spans="1:7" ht="15.75" customHeight="1" x14ac:dyDescent="0.25">
      <c r="A2814" s="11" t="s">
        <v>133</v>
      </c>
      <c r="B2814" s="12">
        <v>14000000</v>
      </c>
      <c r="C2814" s="12">
        <v>18535191</v>
      </c>
      <c r="D2814" s="12">
        <v>1999</v>
      </c>
      <c r="E2814" s="12" t="str">
        <f>VLOOKUP(A2814, Currency!$A$2:$B$100, 2, FALSE)</f>
        <v>GBP</v>
      </c>
      <c r="F2814" s="12">
        <f ca="1">IFERROR(__xludf.DUMMYFUNCTION("IF(E2814=""USD"",B2814,B2814 * GOOGLEFINANCE(""CURRENCY:"" &amp; E2814 &amp; ""USD""))
"),17995600)</f>
        <v>17995600</v>
      </c>
      <c r="G2814" s="13">
        <f ca="1">IFERROR(__xludf.DUMMYFUNCTION("IF(E2814=""USD"",C2814,C2814 * GOOGLEFINANCE(""CURRENCY:"" &amp; E2814 &amp; ""USD""))
"),23825134.5114)</f>
        <v>23825134.511399999</v>
      </c>
    </row>
    <row r="2815" spans="1:7" ht="15.75" customHeight="1" x14ac:dyDescent="0.25">
      <c r="A2815" s="14" t="s">
        <v>24</v>
      </c>
      <c r="B2815" s="15">
        <v>4500000</v>
      </c>
      <c r="C2815" s="15">
        <v>108229</v>
      </c>
      <c r="D2815" s="15">
        <v>2009</v>
      </c>
      <c r="E2815" s="15" t="str">
        <f>VLOOKUP(A2815, Currency!$A$2:$B$100, 2, FALSE)</f>
        <v>USD</v>
      </c>
      <c r="F2815" s="15">
        <f ca="1">IFERROR(__xludf.DUMMYFUNCTION("IF(E2815=""USD"",B2815,B2815 * GOOGLEFINANCE(""CURRENCY:"" &amp; E2815 &amp; ""USD""))
"),4500000)</f>
        <v>4500000</v>
      </c>
      <c r="G2815" s="16">
        <f ca="1">IFERROR(__xludf.DUMMYFUNCTION("IF(E2815=""USD"",C2815,C2815 * GOOGLEFINANCE(""CURRENCY:"" &amp; E2815 &amp; ""USD""))
"),108229)</f>
        <v>108229</v>
      </c>
    </row>
    <row r="2816" spans="1:7" ht="15.75" customHeight="1" x14ac:dyDescent="0.25">
      <c r="A2816" s="11" t="s">
        <v>24</v>
      </c>
      <c r="B2816" s="12">
        <v>5000000</v>
      </c>
      <c r="C2816" s="12">
        <v>1980338</v>
      </c>
      <c r="D2816" s="12">
        <v>1998</v>
      </c>
      <c r="E2816" s="12" t="str">
        <f>VLOOKUP(A2816, Currency!$A$2:$B$100, 2, FALSE)</f>
        <v>USD</v>
      </c>
      <c r="F2816" s="12">
        <f ca="1">IFERROR(__xludf.DUMMYFUNCTION("IF(E2816=""USD"",B2816,B2816 * GOOGLEFINANCE(""CURRENCY:"" &amp; E2816 &amp; ""USD""))
"),5000000)</f>
        <v>5000000</v>
      </c>
      <c r="G2816" s="13">
        <f ca="1">IFERROR(__xludf.DUMMYFUNCTION("IF(E2816=""USD"",C2816,C2816 * GOOGLEFINANCE(""CURRENCY:"" &amp; E2816 &amp; ""USD""))
"),1980338)</f>
        <v>1980338</v>
      </c>
    </row>
    <row r="2817" spans="1:7" ht="15.75" customHeight="1" x14ac:dyDescent="0.25">
      <c r="A2817" s="14" t="s">
        <v>24</v>
      </c>
      <c r="B2817" s="15">
        <v>2000000</v>
      </c>
      <c r="C2817" s="15">
        <v>124494</v>
      </c>
      <c r="D2817" s="15">
        <v>1998</v>
      </c>
      <c r="E2817" s="15" t="str">
        <f>VLOOKUP(A2817, Currency!$A$2:$B$100, 2, FALSE)</f>
        <v>USD</v>
      </c>
      <c r="F2817" s="15">
        <f ca="1">IFERROR(__xludf.DUMMYFUNCTION("IF(E2817=""USD"",B2817,B2817 * GOOGLEFINANCE(""CURRENCY:"" &amp; E2817 &amp; ""USD""))
"),2000000)</f>
        <v>2000000</v>
      </c>
      <c r="G2817" s="16">
        <f ca="1">IFERROR(__xludf.DUMMYFUNCTION("IF(E2817=""USD"",C2817,C2817 * GOOGLEFINANCE(""CURRENCY:"" &amp; E2817 &amp; ""USD""))
"),124494)</f>
        <v>124494</v>
      </c>
    </row>
    <row r="2818" spans="1:7" ht="15.75" customHeight="1" x14ac:dyDescent="0.25">
      <c r="A2818" s="11" t="s">
        <v>24</v>
      </c>
      <c r="B2818" s="12">
        <v>9000000</v>
      </c>
      <c r="C2818" s="12">
        <v>16235293</v>
      </c>
      <c r="D2818" s="12">
        <v>2006</v>
      </c>
      <c r="E2818" s="12" t="str">
        <f>VLOOKUP(A2818, Currency!$A$2:$B$100, 2, FALSE)</f>
        <v>USD</v>
      </c>
      <c r="F2818" s="12">
        <f ca="1">IFERROR(__xludf.DUMMYFUNCTION("IF(E2818=""USD"",B2818,B2818 * GOOGLEFINANCE(""CURRENCY:"" &amp; E2818 &amp; ""USD""))
"),9000000)</f>
        <v>9000000</v>
      </c>
      <c r="G2818" s="13">
        <f ca="1">IFERROR(__xludf.DUMMYFUNCTION("IF(E2818=""USD"",C2818,C2818 * GOOGLEFINANCE(""CURRENCY:"" &amp; E2818 &amp; ""USD""))
"),16235293)</f>
        <v>16235293</v>
      </c>
    </row>
    <row r="2819" spans="1:7" ht="15.75" customHeight="1" x14ac:dyDescent="0.25">
      <c r="A2819" s="14" t="s">
        <v>1005</v>
      </c>
      <c r="B2819" s="15">
        <v>250000000</v>
      </c>
      <c r="C2819" s="15">
        <v>255108370</v>
      </c>
      <c r="D2819" s="15">
        <v>2014</v>
      </c>
      <c r="E2819" s="15" t="str">
        <f>VLOOKUP(A2819, Currency!$A$2:$B$100, 2, FALSE)</f>
        <v>NZD</v>
      </c>
      <c r="F2819" s="15">
        <f ca="1">IFERROR(__xludf.DUMMYFUNCTION("IF(E2819=""USD"",B2819,B2819 * GOOGLEFINANCE(""CURRENCY:"" &amp; E2819 &amp; ""USD""))
"),147186250)</f>
        <v>147186250</v>
      </c>
      <c r="G2819" s="16">
        <f ca="1">IFERROR(__xludf.DUMMYFUNCTION("IF(E2819=""USD"",C2819,C2819 * GOOGLEFINANCE(""CURRENCY:"" &amp; E2819 &amp; ""USD""))
"),150193777.29565)</f>
        <v>150193777.29565001</v>
      </c>
    </row>
    <row r="2820" spans="1:7" ht="15.75" customHeight="1" x14ac:dyDescent="0.25">
      <c r="A2820" s="11" t="s">
        <v>24</v>
      </c>
      <c r="B2820" s="12">
        <v>25000000</v>
      </c>
      <c r="C2820" s="12">
        <v>22466994</v>
      </c>
      <c r="D2820" s="12">
        <v>2007</v>
      </c>
      <c r="E2820" s="12" t="str">
        <f>VLOOKUP(A2820, Currency!$A$2:$B$100, 2, FALSE)</f>
        <v>USD</v>
      </c>
      <c r="F2820" s="12">
        <f ca="1">IFERROR(__xludf.DUMMYFUNCTION("IF(E2820=""USD"",B2820,B2820 * GOOGLEFINANCE(""CURRENCY:"" &amp; E2820 &amp; ""USD""))
"),25000000)</f>
        <v>25000000</v>
      </c>
      <c r="G2820" s="13">
        <f ca="1">IFERROR(__xludf.DUMMYFUNCTION("IF(E2820=""USD"",C2820,C2820 * GOOGLEFINANCE(""CURRENCY:"" &amp; E2820 &amp; ""USD""))
"),22466994)</f>
        <v>22466994</v>
      </c>
    </row>
    <row r="2821" spans="1:7" ht="15.75" customHeight="1" x14ac:dyDescent="0.25">
      <c r="A2821" s="14" t="s">
        <v>24</v>
      </c>
      <c r="B2821" s="15">
        <v>3000000</v>
      </c>
      <c r="C2821" s="15">
        <v>1200000</v>
      </c>
      <c r="D2821" s="15">
        <v>1993</v>
      </c>
      <c r="E2821" s="15" t="str">
        <f>VLOOKUP(A2821, Currency!$A$2:$B$100, 2, FALSE)</f>
        <v>USD</v>
      </c>
      <c r="F2821" s="15">
        <f ca="1">IFERROR(__xludf.DUMMYFUNCTION("IF(E2821=""USD"",B2821,B2821 * GOOGLEFINANCE(""CURRENCY:"" &amp; E2821 &amp; ""USD""))
"),3000000)</f>
        <v>3000000</v>
      </c>
      <c r="G2821" s="16">
        <f ca="1">IFERROR(__xludf.DUMMYFUNCTION("IF(E2821=""USD"",C2821,C2821 * GOOGLEFINANCE(""CURRENCY:"" &amp; E2821 &amp; ""USD""))
"),1200000)</f>
        <v>1200000</v>
      </c>
    </row>
    <row r="2822" spans="1:7" ht="15.75" customHeight="1" x14ac:dyDescent="0.25">
      <c r="A2822" s="11" t="s">
        <v>24</v>
      </c>
      <c r="B2822" s="12">
        <v>24000000</v>
      </c>
      <c r="C2822" s="12">
        <v>70269171</v>
      </c>
      <c r="D2822" s="12">
        <v>2006</v>
      </c>
      <c r="E2822" s="12" t="str">
        <f>VLOOKUP(A2822, Currency!$A$2:$B$100, 2, FALSE)</f>
        <v>USD</v>
      </c>
      <c r="F2822" s="12">
        <f ca="1">IFERROR(__xludf.DUMMYFUNCTION("IF(E2822=""USD"",B2822,B2822 * GOOGLEFINANCE(""CURRENCY:"" &amp; E2822 &amp; ""USD""))
"),24000000)</f>
        <v>24000000</v>
      </c>
      <c r="G2822" s="13">
        <f ca="1">IFERROR(__xludf.DUMMYFUNCTION("IF(E2822=""USD"",C2822,C2822 * GOOGLEFINANCE(""CURRENCY:"" &amp; E2822 &amp; ""USD""))
"),70269171)</f>
        <v>70269171</v>
      </c>
    </row>
    <row r="2823" spans="1:7" ht="15.75" customHeight="1" x14ac:dyDescent="0.25">
      <c r="A2823" s="14" t="s">
        <v>24</v>
      </c>
      <c r="B2823" s="15">
        <v>900000</v>
      </c>
      <c r="C2823" s="15">
        <v>381186</v>
      </c>
      <c r="D2823" s="15">
        <v>2005</v>
      </c>
      <c r="E2823" s="15" t="str">
        <f>VLOOKUP(A2823, Currency!$A$2:$B$100, 2, FALSE)</f>
        <v>USD</v>
      </c>
      <c r="F2823" s="15">
        <f ca="1">IFERROR(__xludf.DUMMYFUNCTION("IF(E2823=""USD"",B2823,B2823 * GOOGLEFINANCE(""CURRENCY:"" &amp; E2823 &amp; ""USD""))
"),900000)</f>
        <v>900000</v>
      </c>
      <c r="G2823" s="16">
        <f ca="1">IFERROR(__xludf.DUMMYFUNCTION("IF(E2823=""USD"",C2823,C2823 * GOOGLEFINANCE(""CURRENCY:"" &amp; E2823 &amp; ""USD""))
"),381186)</f>
        <v>381186</v>
      </c>
    </row>
    <row r="2824" spans="1:7" ht="15.75" customHeight="1" x14ac:dyDescent="0.25">
      <c r="A2824" s="11" t="s">
        <v>24</v>
      </c>
      <c r="B2824" s="12">
        <v>19000000</v>
      </c>
      <c r="C2824" s="12">
        <v>58571513</v>
      </c>
      <c r="D2824" s="12">
        <v>1989</v>
      </c>
      <c r="E2824" s="12" t="str">
        <f>VLOOKUP(A2824, Currency!$A$2:$B$100, 2, FALSE)</f>
        <v>USD</v>
      </c>
      <c r="F2824" s="12">
        <f ca="1">IFERROR(__xludf.DUMMYFUNCTION("IF(E2824=""USD"",B2824,B2824 * GOOGLEFINANCE(""CURRENCY:"" &amp; E2824 &amp; ""USD""))
"),19000000)</f>
        <v>19000000</v>
      </c>
      <c r="G2824" s="13">
        <f ca="1">IFERROR(__xludf.DUMMYFUNCTION("IF(E2824=""USD"",C2824,C2824 * GOOGLEFINANCE(""CURRENCY:"" &amp; E2824 &amp; ""USD""))
"),58571513)</f>
        <v>58571513</v>
      </c>
    </row>
    <row r="2825" spans="1:7" ht="15.75" customHeight="1" x14ac:dyDescent="0.25">
      <c r="A2825" s="14" t="s">
        <v>133</v>
      </c>
      <c r="B2825" s="15">
        <v>70000000</v>
      </c>
      <c r="C2825" s="15">
        <v>51225796</v>
      </c>
      <c r="D2825" s="15">
        <v>2004</v>
      </c>
      <c r="E2825" s="15" t="str">
        <f>VLOOKUP(A2825, Currency!$A$2:$B$100, 2, FALSE)</f>
        <v>GBP</v>
      </c>
      <c r="F2825" s="15">
        <f ca="1">IFERROR(__xludf.DUMMYFUNCTION("IF(E2825=""USD"",B2825,B2825 * GOOGLEFINANCE(""CURRENCY:"" &amp; E2825 &amp; ""USD""))
"),89977999.9999999)</f>
        <v>89977999.999999896</v>
      </c>
      <c r="G2825" s="16">
        <f ca="1">IFERROR(__xludf.DUMMYFUNCTION("IF(E2825=""USD"",C2825,C2825 * GOOGLEFINANCE(""CURRENCY:"" &amp; E2825 &amp; ""USD""))
"),65845638.1783999)</f>
        <v>65845638.178399898</v>
      </c>
    </row>
    <row r="2826" spans="1:7" ht="15.75" customHeight="1" x14ac:dyDescent="0.25">
      <c r="A2826" s="11" t="s">
        <v>133</v>
      </c>
      <c r="B2826" s="12">
        <v>14000000</v>
      </c>
      <c r="C2826" s="12">
        <v>16298046</v>
      </c>
      <c r="D2826" s="12">
        <v>2005</v>
      </c>
      <c r="E2826" s="12" t="str">
        <f>VLOOKUP(A2826, Currency!$A$2:$B$100, 2, FALSE)</f>
        <v>GBP</v>
      </c>
      <c r="F2826" s="12">
        <f ca="1">IFERROR(__xludf.DUMMYFUNCTION("IF(E2826=""USD"",B2826,B2826 * GOOGLEFINANCE(""CURRENCY:"" &amp; E2826 &amp; ""USD""))
"),17995600)</f>
        <v>17995600</v>
      </c>
      <c r="G2826" s="13">
        <f ca="1">IFERROR(__xludf.DUMMYFUNCTION("IF(E2826=""USD"",C2826,C2826 * GOOGLEFINANCE(""CURRENCY:"" &amp; E2826 &amp; ""USD""))
"),20949508.3283999)</f>
        <v>20949508.3283999</v>
      </c>
    </row>
    <row r="2827" spans="1:7" ht="15.75" customHeight="1" x14ac:dyDescent="0.25">
      <c r="A2827" s="14" t="s">
        <v>24</v>
      </c>
      <c r="B2827" s="15">
        <v>37000000</v>
      </c>
      <c r="C2827" s="15">
        <v>30105968</v>
      </c>
      <c r="D2827" s="15">
        <v>2008</v>
      </c>
      <c r="E2827" s="15" t="str">
        <f>VLOOKUP(A2827, Currency!$A$2:$B$100, 2, FALSE)</f>
        <v>USD</v>
      </c>
      <c r="F2827" s="15">
        <f ca="1">IFERROR(__xludf.DUMMYFUNCTION("IF(E2827=""USD"",B2827,B2827 * GOOGLEFINANCE(""CURRENCY:"" &amp; E2827 &amp; ""USD""))
"),37000000)</f>
        <v>37000000</v>
      </c>
      <c r="G2827" s="16">
        <f ca="1">IFERROR(__xludf.DUMMYFUNCTION("IF(E2827=""USD"",C2827,C2827 * GOOGLEFINANCE(""CURRENCY:"" &amp; E2827 &amp; ""USD""))
"),30105968)</f>
        <v>30105968</v>
      </c>
    </row>
    <row r="2828" spans="1:7" ht="15.75" customHeight="1" x14ac:dyDescent="0.25">
      <c r="A2828" s="11" t="s">
        <v>24</v>
      </c>
      <c r="B2828" s="12">
        <v>11000000</v>
      </c>
      <c r="C2828" s="12">
        <v>167780960</v>
      </c>
      <c r="D2828" s="12">
        <v>1987</v>
      </c>
      <c r="E2828" s="12" t="str">
        <f>VLOOKUP(A2828, Currency!$A$2:$B$100, 2, FALSE)</f>
        <v>USD</v>
      </c>
      <c r="F2828" s="12">
        <f ca="1">IFERROR(__xludf.DUMMYFUNCTION("IF(E2828=""USD"",B2828,B2828 * GOOGLEFINANCE(""CURRENCY:"" &amp; E2828 &amp; ""USD""))
"),11000000)</f>
        <v>11000000</v>
      </c>
      <c r="G2828" s="13">
        <f ca="1">IFERROR(__xludf.DUMMYFUNCTION("IF(E2828=""USD"",C2828,C2828 * GOOGLEFINANCE(""CURRENCY:"" &amp; E2828 &amp; ""USD""))
"),167780960)</f>
        <v>167780960</v>
      </c>
    </row>
    <row r="2829" spans="1:7" ht="15.75" customHeight="1" x14ac:dyDescent="0.25">
      <c r="A2829" s="14" t="s">
        <v>24</v>
      </c>
      <c r="B2829" s="15">
        <v>100000000</v>
      </c>
      <c r="C2829" s="15">
        <v>100117603</v>
      </c>
      <c r="D2829" s="15">
        <v>1996</v>
      </c>
      <c r="E2829" s="15" t="str">
        <f>VLOOKUP(A2829, Currency!$A$2:$B$100, 2, FALSE)</f>
        <v>USD</v>
      </c>
      <c r="F2829" s="15">
        <f ca="1">IFERROR(__xludf.DUMMYFUNCTION("IF(E2829=""USD"",B2829,B2829 * GOOGLEFINANCE(""CURRENCY:"" &amp; E2829 &amp; ""USD""))
"),100000000)</f>
        <v>100000000</v>
      </c>
      <c r="G2829" s="16">
        <f ca="1">IFERROR(__xludf.DUMMYFUNCTION("IF(E2829=""USD"",C2829,C2829 * GOOGLEFINANCE(""CURRENCY:"" &amp; E2829 &amp; ""USD""))
"),100117603)</f>
        <v>100117603</v>
      </c>
    </row>
    <row r="2830" spans="1:7" ht="15.75" customHeight="1" x14ac:dyDescent="0.25">
      <c r="A2830" s="11" t="s">
        <v>24</v>
      </c>
      <c r="B2830" s="12">
        <v>20000000</v>
      </c>
      <c r="C2830" s="12">
        <v>57744720</v>
      </c>
      <c r="D2830" s="12">
        <v>2010</v>
      </c>
      <c r="E2830" s="12" t="str">
        <f>VLOOKUP(A2830, Currency!$A$2:$B$100, 2, FALSE)</f>
        <v>USD</v>
      </c>
      <c r="F2830" s="12">
        <f ca="1">IFERROR(__xludf.DUMMYFUNCTION("IF(E2830=""USD"",B2830,B2830 * GOOGLEFINANCE(""CURRENCY:"" &amp; E2830 &amp; ""USD""))
"),20000000)</f>
        <v>20000000</v>
      </c>
      <c r="G2830" s="13">
        <f ca="1">IFERROR(__xludf.DUMMYFUNCTION("IF(E2830=""USD"",C2830,C2830 * GOOGLEFINANCE(""CURRENCY:"" &amp; E2830 &amp; ""USD""))
"),57744720)</f>
        <v>57744720</v>
      </c>
    </row>
    <row r="2831" spans="1:7" ht="15.75" customHeight="1" x14ac:dyDescent="0.25">
      <c r="A2831" s="14" t="s">
        <v>24</v>
      </c>
      <c r="B2831" s="15">
        <v>200000</v>
      </c>
      <c r="C2831" s="15">
        <v>215185</v>
      </c>
      <c r="D2831" s="15">
        <v>2008</v>
      </c>
      <c r="E2831" s="15" t="str">
        <f>VLOOKUP(A2831, Currency!$A$2:$B$100, 2, FALSE)</f>
        <v>USD</v>
      </c>
      <c r="F2831" s="15">
        <f ca="1">IFERROR(__xludf.DUMMYFUNCTION("IF(E2831=""USD"",B2831,B2831 * GOOGLEFINANCE(""CURRENCY:"" &amp; E2831 &amp; ""USD""))
"),200000)</f>
        <v>200000</v>
      </c>
      <c r="G2831" s="16">
        <f ca="1">IFERROR(__xludf.DUMMYFUNCTION("IF(E2831=""USD"",C2831,C2831 * GOOGLEFINANCE(""CURRENCY:"" &amp; E2831 &amp; ""USD""))
"),215185)</f>
        <v>215185</v>
      </c>
    </row>
    <row r="2832" spans="1:7" ht="15.75" customHeight="1" x14ac:dyDescent="0.25">
      <c r="A2832" s="11" t="s">
        <v>24</v>
      </c>
      <c r="B2832" s="12">
        <v>107000000</v>
      </c>
      <c r="C2832" s="12">
        <v>58183966</v>
      </c>
      <c r="D2832" s="12">
        <v>2001</v>
      </c>
      <c r="E2832" s="12" t="str">
        <f>VLOOKUP(A2832, Currency!$A$2:$B$100, 2, FALSE)</f>
        <v>USD</v>
      </c>
      <c r="F2832" s="12">
        <f ca="1">IFERROR(__xludf.DUMMYFUNCTION("IF(E2832=""USD"",B2832,B2832 * GOOGLEFINANCE(""CURRENCY:"" &amp; E2832 &amp; ""USD""))
"),107000000)</f>
        <v>107000000</v>
      </c>
      <c r="G2832" s="13">
        <f ca="1">IFERROR(__xludf.DUMMYFUNCTION("IF(E2832=""USD"",C2832,C2832 * GOOGLEFINANCE(""CURRENCY:"" &amp; E2832 &amp; ""USD""))
"),58183966)</f>
        <v>58183966</v>
      </c>
    </row>
    <row r="2833" spans="1:7" ht="15.75" customHeight="1" x14ac:dyDescent="0.25">
      <c r="A2833" s="14" t="s">
        <v>24</v>
      </c>
      <c r="B2833" s="15">
        <v>15000000</v>
      </c>
      <c r="C2833" s="15">
        <v>32721635</v>
      </c>
      <c r="D2833" s="15">
        <v>2009</v>
      </c>
      <c r="E2833" s="15" t="str">
        <f>VLOOKUP(A2833, Currency!$A$2:$B$100, 2, FALSE)</f>
        <v>USD</v>
      </c>
      <c r="F2833" s="15">
        <f ca="1">IFERROR(__xludf.DUMMYFUNCTION("IF(E2833=""USD"",B2833,B2833 * GOOGLEFINANCE(""CURRENCY:"" &amp; E2833 &amp; ""USD""))
"),15000000)</f>
        <v>15000000</v>
      </c>
      <c r="G2833" s="16">
        <f ca="1">IFERROR(__xludf.DUMMYFUNCTION("IF(E2833=""USD"",C2833,C2833 * GOOGLEFINANCE(""CURRENCY:"" &amp; E2833 &amp; ""USD""))
"),32721635)</f>
        <v>32721635</v>
      </c>
    </row>
    <row r="2834" spans="1:7" ht="15.75" customHeight="1" x14ac:dyDescent="0.25">
      <c r="A2834" s="11" t="s">
        <v>24</v>
      </c>
      <c r="B2834" s="12">
        <v>26000000</v>
      </c>
      <c r="C2834" s="12">
        <v>84136909</v>
      </c>
      <c r="D2834" s="12">
        <v>2004</v>
      </c>
      <c r="E2834" s="12" t="str">
        <f>VLOOKUP(A2834, Currency!$A$2:$B$100, 2, FALSE)</f>
        <v>USD</v>
      </c>
      <c r="F2834" s="12">
        <f ca="1">IFERROR(__xludf.DUMMYFUNCTION("IF(E2834=""USD"",B2834,B2834 * GOOGLEFINANCE(""CURRENCY:"" &amp; E2834 &amp; ""USD""))
"),26000000)</f>
        <v>26000000</v>
      </c>
      <c r="G2834" s="13">
        <f ca="1">IFERROR(__xludf.DUMMYFUNCTION("IF(E2834=""USD"",C2834,C2834 * GOOGLEFINANCE(""CURRENCY:"" &amp; E2834 &amp; ""USD""))
"),84136909)</f>
        <v>84136909</v>
      </c>
    </row>
    <row r="2835" spans="1:7" ht="15.75" customHeight="1" x14ac:dyDescent="0.25">
      <c r="A2835" s="14" t="s">
        <v>1005</v>
      </c>
      <c r="B2835" s="15">
        <v>1000000</v>
      </c>
      <c r="C2835" s="15">
        <v>287761</v>
      </c>
      <c r="D2835" s="15">
        <v>2013</v>
      </c>
      <c r="E2835" s="15" t="str">
        <f>VLOOKUP(A2835, Currency!$A$2:$B$100, 2, FALSE)</f>
        <v>NZD</v>
      </c>
      <c r="F2835" s="15">
        <f ca="1">IFERROR(__xludf.DUMMYFUNCTION("IF(E2835=""USD"",B2835,B2835 * GOOGLEFINANCE(""CURRENCY:"" &amp; E2835 &amp; ""USD""))
"),588745)</f>
        <v>588745</v>
      </c>
      <c r="G2835" s="16">
        <f ca="1">IFERROR(__xludf.DUMMYFUNCTION("IF(E2835=""USD"",C2835,C2835 * GOOGLEFINANCE(""CURRENCY:"" &amp; E2835 &amp; ""USD""))
"),169417.849945)</f>
        <v>169417.84994499999</v>
      </c>
    </row>
    <row r="2836" spans="1:7" ht="15.75" customHeight="1" x14ac:dyDescent="0.25">
      <c r="A2836" s="11" t="s">
        <v>24</v>
      </c>
      <c r="B2836" s="12">
        <v>7000000</v>
      </c>
      <c r="C2836" s="12">
        <v>2148212</v>
      </c>
      <c r="D2836" s="12">
        <v>1999</v>
      </c>
      <c r="E2836" s="12" t="str">
        <f>VLOOKUP(A2836, Currency!$A$2:$B$100, 2, FALSE)</f>
        <v>USD</v>
      </c>
      <c r="F2836" s="12">
        <f ca="1">IFERROR(__xludf.DUMMYFUNCTION("IF(E2836=""USD"",B2836,B2836 * GOOGLEFINANCE(""CURRENCY:"" &amp; E2836 &amp; ""USD""))
"),7000000)</f>
        <v>7000000</v>
      </c>
      <c r="G2836" s="13">
        <f ca="1">IFERROR(__xludf.DUMMYFUNCTION("IF(E2836=""USD"",C2836,C2836 * GOOGLEFINANCE(""CURRENCY:"" &amp; E2836 &amp; ""USD""))
"),2148212)</f>
        <v>2148212</v>
      </c>
    </row>
    <row r="2837" spans="1:7" ht="15.75" customHeight="1" x14ac:dyDescent="0.25">
      <c r="A2837" s="14" t="s">
        <v>24</v>
      </c>
      <c r="B2837" s="15">
        <v>55000000</v>
      </c>
      <c r="C2837" s="15">
        <v>49994804</v>
      </c>
      <c r="D2837" s="15">
        <v>1996</v>
      </c>
      <c r="E2837" s="15" t="str">
        <f>VLOOKUP(A2837, Currency!$A$2:$B$100, 2, FALSE)</f>
        <v>USD</v>
      </c>
      <c r="F2837" s="15">
        <f ca="1">IFERROR(__xludf.DUMMYFUNCTION("IF(E2837=""USD"",B2837,B2837 * GOOGLEFINANCE(""CURRENCY:"" &amp; E2837 &amp; ""USD""))
"),55000000)</f>
        <v>55000000</v>
      </c>
      <c r="G2837" s="16">
        <f ca="1">IFERROR(__xludf.DUMMYFUNCTION("IF(E2837=""USD"",C2837,C2837 * GOOGLEFINANCE(""CURRENCY:"" &amp; E2837 &amp; ""USD""))
"),49994804)</f>
        <v>49994804</v>
      </c>
    </row>
    <row r="2838" spans="1:7" ht="15.75" customHeight="1" x14ac:dyDescent="0.25">
      <c r="A2838" s="11" t="s">
        <v>24</v>
      </c>
      <c r="B2838" s="12">
        <v>11000000</v>
      </c>
      <c r="C2838" s="12">
        <v>78900000</v>
      </c>
      <c r="D2838" s="12">
        <v>1982</v>
      </c>
      <c r="E2838" s="12" t="str">
        <f>VLOOKUP(A2838, Currency!$A$2:$B$100, 2, FALSE)</f>
        <v>USD</v>
      </c>
      <c r="F2838" s="12">
        <f ca="1">IFERROR(__xludf.DUMMYFUNCTION("IF(E2838=""USD"",B2838,B2838 * GOOGLEFINANCE(""CURRENCY:"" &amp; E2838 &amp; ""USD""))
"),11000000)</f>
        <v>11000000</v>
      </c>
      <c r="G2838" s="13">
        <f ca="1">IFERROR(__xludf.DUMMYFUNCTION("IF(E2838=""USD"",C2838,C2838 * GOOGLEFINANCE(""CURRENCY:"" &amp; E2838 &amp; ""USD""))
"),78900000)</f>
        <v>78900000</v>
      </c>
    </row>
    <row r="2839" spans="1:7" ht="15.75" customHeight="1" x14ac:dyDescent="0.25">
      <c r="A2839" s="14" t="s">
        <v>24</v>
      </c>
      <c r="B2839" s="15">
        <v>44000000</v>
      </c>
      <c r="C2839" s="15">
        <v>31136950</v>
      </c>
      <c r="D2839" s="15">
        <v>2010</v>
      </c>
      <c r="E2839" s="15" t="str">
        <f>VLOOKUP(A2839, Currency!$A$2:$B$100, 2, FALSE)</f>
        <v>USD</v>
      </c>
      <c r="F2839" s="15">
        <f ca="1">IFERROR(__xludf.DUMMYFUNCTION("IF(E2839=""USD"",B2839,B2839 * GOOGLEFINANCE(""CURRENCY:"" &amp; E2839 &amp; ""USD""))
"),44000000)</f>
        <v>44000000</v>
      </c>
      <c r="G2839" s="16">
        <f ca="1">IFERROR(__xludf.DUMMYFUNCTION("IF(E2839=""USD"",C2839,C2839 * GOOGLEFINANCE(""CURRENCY:"" &amp; E2839 &amp; ""USD""))
"),31136950)</f>
        <v>31136950</v>
      </c>
    </row>
    <row r="2840" spans="1:7" ht="15.75" customHeight="1" x14ac:dyDescent="0.25">
      <c r="A2840" s="11" t="s">
        <v>24</v>
      </c>
      <c r="B2840" s="12">
        <v>40000000</v>
      </c>
      <c r="C2840" s="12">
        <v>57981889</v>
      </c>
      <c r="D2840" s="12">
        <v>2011</v>
      </c>
      <c r="E2840" s="12" t="str">
        <f>VLOOKUP(A2840, Currency!$A$2:$B$100, 2, FALSE)</f>
        <v>USD</v>
      </c>
      <c r="F2840" s="12">
        <f ca="1">IFERROR(__xludf.DUMMYFUNCTION("IF(E2840=""USD"",B2840,B2840 * GOOGLEFINANCE(""CURRENCY:"" &amp; E2840 &amp; ""USD""))
"),40000000)</f>
        <v>40000000</v>
      </c>
      <c r="G2840" s="13">
        <f ca="1">IFERROR(__xludf.DUMMYFUNCTION("IF(E2840=""USD"",C2840,C2840 * GOOGLEFINANCE(""CURRENCY:"" &amp; E2840 &amp; ""USD""))
"),57981889)</f>
        <v>57981889</v>
      </c>
    </row>
    <row r="2841" spans="1:7" ht="15.75" customHeight="1" x14ac:dyDescent="0.25">
      <c r="A2841" s="14" t="s">
        <v>24</v>
      </c>
      <c r="B2841" s="15">
        <v>20000000</v>
      </c>
      <c r="C2841" s="15">
        <v>10569071</v>
      </c>
      <c r="D2841" s="15">
        <v>1997</v>
      </c>
      <c r="E2841" s="15" t="str">
        <f>VLOOKUP(A2841, Currency!$A$2:$B$100, 2, FALSE)</f>
        <v>USD</v>
      </c>
      <c r="F2841" s="15">
        <f ca="1">IFERROR(__xludf.DUMMYFUNCTION("IF(E2841=""USD"",B2841,B2841 * GOOGLEFINANCE(""CURRENCY:"" &amp; E2841 &amp; ""USD""))
"),20000000)</f>
        <v>20000000</v>
      </c>
      <c r="G2841" s="16">
        <f ca="1">IFERROR(__xludf.DUMMYFUNCTION("IF(E2841=""USD"",C2841,C2841 * GOOGLEFINANCE(""CURRENCY:"" &amp; E2841 &amp; ""USD""))
"),10569071)</f>
        <v>10569071</v>
      </c>
    </row>
    <row r="2842" spans="1:7" ht="15.75" customHeight="1" x14ac:dyDescent="0.25">
      <c r="A2842" s="11" t="s">
        <v>611</v>
      </c>
      <c r="B2842" s="12">
        <v>52000000</v>
      </c>
      <c r="C2842" s="12">
        <v>23324666</v>
      </c>
      <c r="D2842" s="12">
        <v>2010</v>
      </c>
      <c r="E2842" s="12" t="str">
        <f>VLOOKUP(A2842, Currency!$A$2:$B$100, 2, FALSE)</f>
        <v>EUR</v>
      </c>
      <c r="F2842" s="12">
        <f ca="1">IFERROR(__xludf.DUMMYFUNCTION("IF(E2842=""USD"",B2842,B2842 * GOOGLEFINANCE(""CURRENCY:"" &amp; E2842 &amp; ""USD""))
"),56406480)</f>
        <v>56406480</v>
      </c>
      <c r="G2842" s="13">
        <f ca="1">IFERROR(__xludf.DUMMYFUNCTION("IF(E2842=""USD"",C2842,C2842 * GOOGLEFINANCE(""CURRENCY:"" &amp; E2842 &amp; ""USD""))
"),25301198.19684)</f>
        <v>25301198.196839999</v>
      </c>
    </row>
    <row r="2843" spans="1:7" ht="15.75" customHeight="1" x14ac:dyDescent="0.25">
      <c r="A2843" s="14" t="s">
        <v>24</v>
      </c>
      <c r="B2843" s="15">
        <v>1000000</v>
      </c>
      <c r="C2843" s="15">
        <v>104077</v>
      </c>
      <c r="D2843" s="15">
        <v>2006</v>
      </c>
      <c r="E2843" s="15" t="str">
        <f>VLOOKUP(A2843, Currency!$A$2:$B$100, 2, FALSE)</f>
        <v>USD</v>
      </c>
      <c r="F2843" s="15">
        <f ca="1">IFERROR(__xludf.DUMMYFUNCTION("IF(E2843=""USD"",B2843,B2843 * GOOGLEFINANCE(""CURRENCY:"" &amp; E2843 &amp; ""USD""))
"),1000000)</f>
        <v>1000000</v>
      </c>
      <c r="G2843" s="16">
        <f ca="1">IFERROR(__xludf.DUMMYFUNCTION("IF(E2843=""USD"",C2843,C2843 * GOOGLEFINANCE(""CURRENCY:"" &amp; E2843 &amp; ""USD""))
"),104077)</f>
        <v>104077</v>
      </c>
    </row>
    <row r="2844" spans="1:7" ht="15.75" customHeight="1" x14ac:dyDescent="0.25">
      <c r="A2844" s="11" t="s">
        <v>24</v>
      </c>
      <c r="B2844" s="12">
        <v>40000000</v>
      </c>
      <c r="C2844" s="12">
        <v>96917897</v>
      </c>
      <c r="D2844" s="12">
        <v>2010</v>
      </c>
      <c r="E2844" s="12" t="str">
        <f>VLOOKUP(A2844, Currency!$A$2:$B$100, 2, FALSE)</f>
        <v>USD</v>
      </c>
      <c r="F2844" s="12">
        <f ca="1">IFERROR(__xludf.DUMMYFUNCTION("IF(E2844=""USD"",B2844,B2844 * GOOGLEFINANCE(""CURRENCY:"" &amp; E2844 &amp; ""USD""))
"),40000000)</f>
        <v>40000000</v>
      </c>
      <c r="G2844" s="13">
        <f ca="1">IFERROR(__xludf.DUMMYFUNCTION("IF(E2844=""USD"",C2844,C2844 * GOOGLEFINANCE(""CURRENCY:"" &amp; E2844 &amp; ""USD""))
"),96917897)</f>
        <v>96917897</v>
      </c>
    </row>
    <row r="2845" spans="1:7" ht="15.75" customHeight="1" x14ac:dyDescent="0.25">
      <c r="A2845" s="14" t="s">
        <v>24</v>
      </c>
      <c r="B2845" s="15">
        <v>34000000</v>
      </c>
      <c r="C2845" s="15">
        <v>19693891</v>
      </c>
      <c r="D2845" s="15">
        <v>2001</v>
      </c>
      <c r="E2845" s="15" t="str">
        <f>VLOOKUP(A2845, Currency!$A$2:$B$100, 2, FALSE)</f>
        <v>USD</v>
      </c>
      <c r="F2845" s="15">
        <f ca="1">IFERROR(__xludf.DUMMYFUNCTION("IF(E2845=""USD"",B2845,B2845 * GOOGLEFINANCE(""CURRENCY:"" &amp; E2845 &amp; ""USD""))
"),34000000)</f>
        <v>34000000</v>
      </c>
      <c r="G2845" s="16">
        <f ca="1">IFERROR(__xludf.DUMMYFUNCTION("IF(E2845=""USD"",C2845,C2845 * GOOGLEFINANCE(""CURRENCY:"" &amp; E2845 &amp; ""USD""))
"),19693891)</f>
        <v>19693891</v>
      </c>
    </row>
    <row r="2846" spans="1:7" ht="15.75" customHeight="1" x14ac:dyDescent="0.25">
      <c r="A2846" s="11" t="s">
        <v>24</v>
      </c>
      <c r="B2846" s="12">
        <v>9000000</v>
      </c>
      <c r="C2846" s="12">
        <v>18225165</v>
      </c>
      <c r="D2846" s="12">
        <v>2004</v>
      </c>
      <c r="E2846" s="12" t="str">
        <f>VLOOKUP(A2846, Currency!$A$2:$B$100, 2, FALSE)</f>
        <v>USD</v>
      </c>
      <c r="F2846" s="12">
        <f ca="1">IFERROR(__xludf.DUMMYFUNCTION("IF(E2846=""USD"",B2846,B2846 * GOOGLEFINANCE(""CURRENCY:"" &amp; E2846 &amp; ""USD""))
"),9000000)</f>
        <v>9000000</v>
      </c>
      <c r="G2846" s="13">
        <f ca="1">IFERROR(__xludf.DUMMYFUNCTION("IF(E2846=""USD"",C2846,C2846 * GOOGLEFINANCE(""CURRENCY:"" &amp; E2846 &amp; ""USD""))
"),18225165)</f>
        <v>18225165</v>
      </c>
    </row>
    <row r="2847" spans="1:7" ht="15.75" customHeight="1" x14ac:dyDescent="0.25">
      <c r="A2847" s="14" t="s">
        <v>133</v>
      </c>
      <c r="B2847" s="15">
        <v>42000000</v>
      </c>
      <c r="C2847" s="15">
        <v>20915465</v>
      </c>
      <c r="D2847" s="15">
        <v>1993</v>
      </c>
      <c r="E2847" s="15" t="str">
        <f>VLOOKUP(A2847, Currency!$A$2:$B$100, 2, FALSE)</f>
        <v>GBP</v>
      </c>
      <c r="F2847" s="15">
        <f ca="1">IFERROR(__xludf.DUMMYFUNCTION("IF(E2847=""USD"",B2847,B2847 * GOOGLEFINANCE(""CURRENCY:"" &amp; E2847 &amp; ""USD""))
"),53986799.9999999)</f>
        <v>53986799.999999903</v>
      </c>
      <c r="G2847" s="16">
        <f ca="1">IFERROR(__xludf.DUMMYFUNCTION("IF(E2847=""USD"",C2847,C2847 * GOOGLEFINANCE(""CURRENCY:"" &amp; E2847 &amp; ""USD""))
"),26884738.711)</f>
        <v>26884738.710999999</v>
      </c>
    </row>
    <row r="2848" spans="1:7" ht="15.75" customHeight="1" x14ac:dyDescent="0.25">
      <c r="A2848" s="11" t="s">
        <v>24</v>
      </c>
      <c r="B2848" s="12">
        <v>73000000</v>
      </c>
      <c r="C2848" s="12">
        <v>229074524</v>
      </c>
      <c r="D2848" s="12">
        <v>1997</v>
      </c>
      <c r="E2848" s="12" t="str">
        <f>VLOOKUP(A2848, Currency!$A$2:$B$100, 2, FALSE)</f>
        <v>USD</v>
      </c>
      <c r="F2848" s="12">
        <f ca="1">IFERROR(__xludf.DUMMYFUNCTION("IF(E2848=""USD"",B2848,B2848 * GOOGLEFINANCE(""CURRENCY:"" &amp; E2848 &amp; ""USD""))
"),73000000)</f>
        <v>73000000</v>
      </c>
      <c r="G2848" s="13">
        <f ca="1">IFERROR(__xludf.DUMMYFUNCTION("IF(E2848=""USD"",C2848,C2848 * GOOGLEFINANCE(""CURRENCY:"" &amp; E2848 &amp; ""USD""))
"),229074524)</f>
        <v>229074524</v>
      </c>
    </row>
    <row r="2849" spans="1:7" ht="15.75" customHeight="1" x14ac:dyDescent="0.25">
      <c r="A2849" s="14" t="s">
        <v>24</v>
      </c>
      <c r="B2849" s="15">
        <v>35200000</v>
      </c>
      <c r="C2849" s="15">
        <v>37788228</v>
      </c>
      <c r="D2849" s="15">
        <v>2003</v>
      </c>
      <c r="E2849" s="15" t="str">
        <f>VLOOKUP(A2849, Currency!$A$2:$B$100, 2, FALSE)</f>
        <v>USD</v>
      </c>
      <c r="F2849" s="15">
        <f ca="1">IFERROR(__xludf.DUMMYFUNCTION("IF(E2849=""USD"",B2849,B2849 * GOOGLEFINANCE(""CURRENCY:"" &amp; E2849 &amp; ""USD""))
"),35200000)</f>
        <v>35200000</v>
      </c>
      <c r="G2849" s="16">
        <f ca="1">IFERROR(__xludf.DUMMYFUNCTION("IF(E2849=""USD"",C2849,C2849 * GOOGLEFINANCE(""CURRENCY:"" &amp; E2849 &amp; ""USD""))
"),37788228)</f>
        <v>37788228</v>
      </c>
    </row>
    <row r="2850" spans="1:7" ht="15.75" customHeight="1" x14ac:dyDescent="0.25">
      <c r="A2850" s="11" t="s">
        <v>24</v>
      </c>
      <c r="B2850" s="12">
        <v>140000000</v>
      </c>
      <c r="C2850" s="12">
        <v>182618434</v>
      </c>
      <c r="D2850" s="12">
        <v>2000</v>
      </c>
      <c r="E2850" s="12" t="str">
        <f>VLOOKUP(A2850, Currency!$A$2:$B$100, 2, FALSE)</f>
        <v>USD</v>
      </c>
      <c r="F2850" s="12">
        <f ca="1">IFERROR(__xludf.DUMMYFUNCTION("IF(E2850=""USD"",B2850,B2850 * GOOGLEFINANCE(""CURRENCY:"" &amp; E2850 &amp; ""USD""))
"),140000000)</f>
        <v>140000000</v>
      </c>
      <c r="G2850" s="13">
        <f ca="1">IFERROR(__xludf.DUMMYFUNCTION("IF(E2850=""USD"",C2850,C2850 * GOOGLEFINANCE(""CURRENCY:"" &amp; E2850 &amp; ""USD""))
"),182618434)</f>
        <v>182618434</v>
      </c>
    </row>
    <row r="2851" spans="1:7" ht="15.75" customHeight="1" x14ac:dyDescent="0.25">
      <c r="A2851" s="14" t="s">
        <v>24</v>
      </c>
      <c r="B2851" s="15">
        <v>100000000</v>
      </c>
      <c r="C2851" s="15">
        <v>124870275</v>
      </c>
      <c r="D2851" s="15">
        <v>2009</v>
      </c>
      <c r="E2851" s="15" t="str">
        <f>VLOOKUP(A2851, Currency!$A$2:$B$100, 2, FALSE)</f>
        <v>USD</v>
      </c>
      <c r="F2851" s="15">
        <f ca="1">IFERROR(__xludf.DUMMYFUNCTION("IF(E2851=""USD"",B2851,B2851 * GOOGLEFINANCE(""CURRENCY:"" &amp; E2851 &amp; ""USD""))
"),100000000)</f>
        <v>100000000</v>
      </c>
      <c r="G2851" s="16">
        <f ca="1">IFERROR(__xludf.DUMMYFUNCTION("IF(E2851=""USD"",C2851,C2851 * GOOGLEFINANCE(""CURRENCY:"" &amp; E2851 &amp; ""USD""))
"),124870275)</f>
        <v>124870275</v>
      </c>
    </row>
    <row r="2852" spans="1:7" ht="15.75" customHeight="1" x14ac:dyDescent="0.25">
      <c r="A2852" s="11" t="s">
        <v>24</v>
      </c>
      <c r="B2852" s="12">
        <v>52000000</v>
      </c>
      <c r="C2852" s="12">
        <v>110476776</v>
      </c>
      <c r="D2852" s="12">
        <v>2010</v>
      </c>
      <c r="E2852" s="12" t="str">
        <f>VLOOKUP(A2852, Currency!$A$2:$B$100, 2, FALSE)</f>
        <v>USD</v>
      </c>
      <c r="F2852" s="12">
        <f ca="1">IFERROR(__xludf.DUMMYFUNCTION("IF(E2852=""USD"",B2852,B2852 * GOOGLEFINANCE(""CURRENCY:"" &amp; E2852 &amp; ""USD""))
"),52000000)</f>
        <v>52000000</v>
      </c>
      <c r="G2852" s="13">
        <f ca="1">IFERROR(__xludf.DUMMYFUNCTION("IF(E2852=""USD"",C2852,C2852 * GOOGLEFINANCE(""CURRENCY:"" &amp; E2852 &amp; ""USD""))
"),110476776)</f>
        <v>110476776</v>
      </c>
    </row>
    <row r="2853" spans="1:7" ht="15.75" customHeight="1" x14ac:dyDescent="0.25">
      <c r="A2853" s="14" t="s">
        <v>627</v>
      </c>
      <c r="B2853" s="15">
        <v>365000</v>
      </c>
      <c r="C2853" s="15">
        <v>489220</v>
      </c>
      <c r="D2853" s="15">
        <v>1997</v>
      </c>
      <c r="E2853" s="15" t="str">
        <f>VLOOKUP(A2853, Currency!$A$2:$B$100, 2, FALSE)</f>
        <v>CAD</v>
      </c>
      <c r="F2853" s="15">
        <f ca="1">IFERROR(__xludf.DUMMYFUNCTION("IF(E2853=""USD"",B2853,B2853 * GOOGLEFINANCE(""CURRENCY:"" &amp; E2853 &amp; ""USD""))
"),264042.825)</f>
        <v>264042.82500000001</v>
      </c>
      <c r="G2853" s="16">
        <f ca="1">IFERROR(__xludf.DUMMYFUNCTION("IF(E2853=""USD"",C2853,C2853 * GOOGLEFINANCE(""CURRENCY:"" &amp; E2853 &amp; ""USD""))
"),353904.194099999)</f>
        <v>353904.19409999897</v>
      </c>
    </row>
    <row r="2854" spans="1:7" ht="15.75" customHeight="1" x14ac:dyDescent="0.25">
      <c r="A2854" s="11" t="s">
        <v>24</v>
      </c>
      <c r="B2854" s="12">
        <v>60000000</v>
      </c>
      <c r="C2854" s="12">
        <v>40076438</v>
      </c>
      <c r="D2854" s="12">
        <v>2008</v>
      </c>
      <c r="E2854" s="12" t="str">
        <f>VLOOKUP(A2854, Currency!$A$2:$B$100, 2, FALSE)</f>
        <v>USD</v>
      </c>
      <c r="F2854" s="12">
        <f ca="1">IFERROR(__xludf.DUMMYFUNCTION("IF(E2854=""USD"",B2854,B2854 * GOOGLEFINANCE(""CURRENCY:"" &amp; E2854 &amp; ""USD""))
"),60000000)</f>
        <v>60000000</v>
      </c>
      <c r="G2854" s="13">
        <f ca="1">IFERROR(__xludf.DUMMYFUNCTION("IF(E2854=""USD"",C2854,C2854 * GOOGLEFINANCE(""CURRENCY:"" &amp; E2854 &amp; ""USD""))
"),40076438)</f>
        <v>40076438</v>
      </c>
    </row>
    <row r="2855" spans="1:7" ht="15.75" customHeight="1" x14ac:dyDescent="0.25">
      <c r="A2855" s="14" t="s">
        <v>24</v>
      </c>
      <c r="B2855" s="15">
        <v>18000000</v>
      </c>
      <c r="C2855" s="15">
        <v>43853424</v>
      </c>
      <c r="D2855" s="15">
        <v>2011</v>
      </c>
      <c r="E2855" s="15" t="str">
        <f>VLOOKUP(A2855, Currency!$A$2:$B$100, 2, FALSE)</f>
        <v>USD</v>
      </c>
      <c r="F2855" s="15">
        <f ca="1">IFERROR(__xludf.DUMMYFUNCTION("IF(E2855=""USD"",B2855,B2855 * GOOGLEFINANCE(""CURRENCY:"" &amp; E2855 &amp; ""USD""))
"),18000000)</f>
        <v>18000000</v>
      </c>
      <c r="G2855" s="16">
        <f ca="1">IFERROR(__xludf.DUMMYFUNCTION("IF(E2855=""USD"",C2855,C2855 * GOOGLEFINANCE(""CURRENCY:"" &amp; E2855 &amp; ""USD""))
"),43853424)</f>
        <v>43853424</v>
      </c>
    </row>
    <row r="2856" spans="1:7" ht="15.75" customHeight="1" x14ac:dyDescent="0.25">
      <c r="A2856" s="11" t="s">
        <v>24</v>
      </c>
      <c r="B2856" s="12">
        <v>20000000</v>
      </c>
      <c r="C2856" s="12">
        <v>4001121</v>
      </c>
      <c r="D2856" s="12">
        <v>2007</v>
      </c>
      <c r="E2856" s="12" t="str">
        <f>VLOOKUP(A2856, Currency!$A$2:$B$100, 2, FALSE)</f>
        <v>USD</v>
      </c>
      <c r="F2856" s="12">
        <f ca="1">IFERROR(__xludf.DUMMYFUNCTION("IF(E2856=""USD"",B2856,B2856 * GOOGLEFINANCE(""CURRENCY:"" &amp; E2856 &amp; ""USD""))
"),20000000)</f>
        <v>20000000</v>
      </c>
      <c r="G2856" s="13">
        <f ca="1">IFERROR(__xludf.DUMMYFUNCTION("IF(E2856=""USD"",C2856,C2856 * GOOGLEFINANCE(""CURRENCY:"" &amp; E2856 &amp; ""USD""))
"),4001121)</f>
        <v>4001121</v>
      </c>
    </row>
    <row r="2857" spans="1:7" ht="15.75" customHeight="1" x14ac:dyDescent="0.25">
      <c r="A2857" s="14" t="s">
        <v>24</v>
      </c>
      <c r="B2857" s="15">
        <v>7500000</v>
      </c>
      <c r="C2857" s="15">
        <v>43490057</v>
      </c>
      <c r="D2857" s="15">
        <v>1997</v>
      </c>
      <c r="E2857" s="15" t="str">
        <f>VLOOKUP(A2857, Currency!$A$2:$B$100, 2, FALSE)</f>
        <v>USD</v>
      </c>
      <c r="F2857" s="15">
        <f ca="1">IFERROR(__xludf.DUMMYFUNCTION("IF(E2857=""USD"",B2857,B2857 * GOOGLEFINANCE(""CURRENCY:"" &amp; E2857 &amp; ""USD""))
"),7500000)</f>
        <v>7500000</v>
      </c>
      <c r="G2857" s="16">
        <f ca="1">IFERROR(__xludf.DUMMYFUNCTION("IF(E2857=""USD"",C2857,C2857 * GOOGLEFINANCE(""CURRENCY:"" &amp; E2857 &amp; ""USD""))
"),43490057)</f>
        <v>43490057</v>
      </c>
    </row>
    <row r="2858" spans="1:7" ht="15.75" customHeight="1" x14ac:dyDescent="0.25">
      <c r="A2858" s="11" t="s">
        <v>24</v>
      </c>
      <c r="B2858" s="12">
        <v>3300000</v>
      </c>
      <c r="C2858" s="12">
        <v>25799043</v>
      </c>
      <c r="D2858" s="12">
        <v>2015</v>
      </c>
      <c r="E2858" s="12" t="str">
        <f>VLOOKUP(A2858, Currency!$A$2:$B$100, 2, FALSE)</f>
        <v>USD</v>
      </c>
      <c r="F2858" s="12">
        <f ca="1">IFERROR(__xludf.DUMMYFUNCTION("IF(E2858=""USD"",B2858,B2858 * GOOGLEFINANCE(""CURRENCY:"" &amp; E2858 &amp; ""USD""))
"),3300000)</f>
        <v>3300000</v>
      </c>
      <c r="G2858" s="13">
        <f ca="1">IFERROR(__xludf.DUMMYFUNCTION("IF(E2858=""USD"",C2858,C2858 * GOOGLEFINANCE(""CURRENCY:"" &amp; E2858 &amp; ""USD""))
"),25799043)</f>
        <v>25799043</v>
      </c>
    </row>
    <row r="2859" spans="1:7" ht="15.75" customHeight="1" x14ac:dyDescent="0.25">
      <c r="A2859" s="14" t="s">
        <v>24</v>
      </c>
      <c r="B2859" s="15">
        <v>50000000</v>
      </c>
      <c r="C2859" s="15">
        <v>60470220</v>
      </c>
      <c r="D2859" s="15">
        <v>2003</v>
      </c>
      <c r="E2859" s="15" t="str">
        <f>VLOOKUP(A2859, Currency!$A$2:$B$100, 2, FALSE)</f>
        <v>USD</v>
      </c>
      <c r="F2859" s="15">
        <f ca="1">IFERROR(__xludf.DUMMYFUNCTION("IF(E2859=""USD"",B2859,B2859 * GOOGLEFINANCE(""CURRENCY:"" &amp; E2859 &amp; ""USD""))
"),50000000)</f>
        <v>50000000</v>
      </c>
      <c r="G2859" s="16">
        <f ca="1">IFERROR(__xludf.DUMMYFUNCTION("IF(E2859=""USD"",C2859,C2859 * GOOGLEFINANCE(""CURRENCY:"" &amp; E2859 &amp; ""USD""))
"),60470220)</f>
        <v>60470220</v>
      </c>
    </row>
    <row r="2860" spans="1:7" ht="15.75" customHeight="1" x14ac:dyDescent="0.25">
      <c r="A2860" s="11" t="s">
        <v>24</v>
      </c>
      <c r="B2860" s="12">
        <v>63000000</v>
      </c>
      <c r="C2860" s="12">
        <v>108012170</v>
      </c>
      <c r="D2860" s="12">
        <v>2011</v>
      </c>
      <c r="E2860" s="12" t="str">
        <f>VLOOKUP(A2860, Currency!$A$2:$B$100, 2, FALSE)</f>
        <v>USD</v>
      </c>
      <c r="F2860" s="12">
        <f ca="1">IFERROR(__xludf.DUMMYFUNCTION("IF(E2860=""USD"",B2860,B2860 * GOOGLEFINANCE(""CURRENCY:"" &amp; E2860 &amp; ""USD""))
"),63000000)</f>
        <v>63000000</v>
      </c>
      <c r="G2860" s="13">
        <f ca="1">IFERROR(__xludf.DUMMYFUNCTION("IF(E2860=""USD"",C2860,C2860 * GOOGLEFINANCE(""CURRENCY:"" &amp; E2860 &amp; ""USD""))
"),108012170)</f>
        <v>108012170</v>
      </c>
    </row>
    <row r="2861" spans="1:7" ht="15.75" customHeight="1" x14ac:dyDescent="0.25">
      <c r="A2861" s="14" t="s">
        <v>24</v>
      </c>
      <c r="B2861" s="15">
        <v>750000</v>
      </c>
      <c r="C2861" s="15">
        <v>77501</v>
      </c>
      <c r="D2861" s="15">
        <v>2011</v>
      </c>
      <c r="E2861" s="15" t="str">
        <f>VLOOKUP(A2861, Currency!$A$2:$B$100, 2, FALSE)</f>
        <v>USD</v>
      </c>
      <c r="F2861" s="15">
        <f ca="1">IFERROR(__xludf.DUMMYFUNCTION("IF(E2861=""USD"",B2861,B2861 * GOOGLEFINANCE(""CURRENCY:"" &amp; E2861 &amp; ""USD""))
"),750000)</f>
        <v>750000</v>
      </c>
      <c r="G2861" s="16">
        <f ca="1">IFERROR(__xludf.DUMMYFUNCTION("IF(E2861=""USD"",C2861,C2861 * GOOGLEFINANCE(""CURRENCY:"" &amp; E2861 &amp; ""USD""))
"),77501)</f>
        <v>77501</v>
      </c>
    </row>
    <row r="2862" spans="1:7" ht="15.75" customHeight="1" x14ac:dyDescent="0.25">
      <c r="A2862" s="11" t="s">
        <v>24</v>
      </c>
      <c r="B2862" s="12">
        <v>20000000</v>
      </c>
      <c r="C2862" s="12">
        <v>47852604</v>
      </c>
      <c r="D2862" s="12">
        <v>2007</v>
      </c>
      <c r="E2862" s="12" t="str">
        <f>VLOOKUP(A2862, Currency!$A$2:$B$100, 2, FALSE)</f>
        <v>USD</v>
      </c>
      <c r="F2862" s="12">
        <f ca="1">IFERROR(__xludf.DUMMYFUNCTION("IF(E2862=""USD"",B2862,B2862 * GOOGLEFINANCE(""CURRENCY:"" &amp; E2862 &amp; ""USD""))
"),20000000)</f>
        <v>20000000</v>
      </c>
      <c r="G2862" s="13">
        <f ca="1">IFERROR(__xludf.DUMMYFUNCTION("IF(E2862=""USD"",C2862,C2862 * GOOGLEFINANCE(""CURRENCY:"" &amp; E2862 &amp; ""USD""))
"),47852604)</f>
        <v>47852604</v>
      </c>
    </row>
    <row r="2863" spans="1:7" ht="15.75" customHeight="1" x14ac:dyDescent="0.25">
      <c r="A2863" s="14" t="s">
        <v>24</v>
      </c>
      <c r="B2863" s="15">
        <v>100000000</v>
      </c>
      <c r="C2863" s="15">
        <v>58867694</v>
      </c>
      <c r="D2863" s="15">
        <v>2007</v>
      </c>
      <c r="E2863" s="15" t="str">
        <f>VLOOKUP(A2863, Currency!$A$2:$B$100, 2, FALSE)</f>
        <v>USD</v>
      </c>
      <c r="F2863" s="15">
        <f ca="1">IFERROR(__xludf.DUMMYFUNCTION("IF(E2863=""USD"",B2863,B2863 * GOOGLEFINANCE(""CURRENCY:"" &amp; E2863 &amp; ""USD""))
"),100000000)</f>
        <v>100000000</v>
      </c>
      <c r="G2863" s="16">
        <f ca="1">IFERROR(__xludf.DUMMYFUNCTION("IF(E2863=""USD"",C2863,C2863 * GOOGLEFINANCE(""CURRENCY:"" &amp; E2863 &amp; ""USD""))
"),58867694)</f>
        <v>58867694</v>
      </c>
    </row>
    <row r="2864" spans="1:7" ht="15.75" customHeight="1" x14ac:dyDescent="0.25">
      <c r="A2864" s="11" t="s">
        <v>133</v>
      </c>
      <c r="B2864" s="12">
        <v>9500000</v>
      </c>
      <c r="C2864" s="12">
        <v>43100000</v>
      </c>
      <c r="D2864" s="12">
        <v>1967</v>
      </c>
      <c r="E2864" s="12" t="str">
        <f>VLOOKUP(A2864, Currency!$A$2:$B$100, 2, FALSE)</f>
        <v>GBP</v>
      </c>
      <c r="F2864" s="12">
        <f ca="1">IFERROR(__xludf.DUMMYFUNCTION("IF(E2864=""USD"",B2864,B2864 * GOOGLEFINANCE(""CURRENCY:"" &amp; E2864 &amp; ""USD""))
"),12211299.9999999)</f>
        <v>12211299.999999899</v>
      </c>
      <c r="G2864" s="13">
        <f ca="1">IFERROR(__xludf.DUMMYFUNCTION("IF(E2864=""USD"",C2864,C2864 * GOOGLEFINANCE(""CURRENCY:"" &amp; E2864 &amp; ""USD""))
"),55400739.9999999)</f>
        <v>55400739.999999903</v>
      </c>
    </row>
    <row r="2865" spans="1:7" ht="15.75" customHeight="1" x14ac:dyDescent="0.25">
      <c r="A2865" s="14" t="s">
        <v>24</v>
      </c>
      <c r="B2865" s="15">
        <v>45000000</v>
      </c>
      <c r="C2865" s="15">
        <v>46815748</v>
      </c>
      <c r="D2865" s="15">
        <v>1994</v>
      </c>
      <c r="E2865" s="15" t="str">
        <f>VLOOKUP(A2865, Currency!$A$2:$B$100, 2, FALSE)</f>
        <v>USD</v>
      </c>
      <c r="F2865" s="15">
        <f ca="1">IFERROR(__xludf.DUMMYFUNCTION("IF(E2865=""USD"",B2865,B2865 * GOOGLEFINANCE(""CURRENCY:"" &amp; E2865 &amp; ""USD""))
"),45000000)</f>
        <v>45000000</v>
      </c>
      <c r="G2865" s="16">
        <f ca="1">IFERROR(__xludf.DUMMYFUNCTION("IF(E2865=""USD"",C2865,C2865 * GOOGLEFINANCE(""CURRENCY:"" &amp; E2865 &amp; ""USD""))
"),46815748)</f>
        <v>46815748</v>
      </c>
    </row>
    <row r="2866" spans="1:7" ht="15.75" customHeight="1" x14ac:dyDescent="0.25">
      <c r="A2866" s="11" t="s">
        <v>24</v>
      </c>
      <c r="B2866" s="12">
        <v>35000000</v>
      </c>
      <c r="C2866" s="12">
        <v>18317151</v>
      </c>
      <c r="D2866" s="12">
        <v>2007</v>
      </c>
      <c r="E2866" s="12" t="str">
        <f>VLOOKUP(A2866, Currency!$A$2:$B$100, 2, FALSE)</f>
        <v>USD</v>
      </c>
      <c r="F2866" s="12">
        <f ca="1">IFERROR(__xludf.DUMMYFUNCTION("IF(E2866=""USD"",B2866,B2866 * GOOGLEFINANCE(""CURRENCY:"" &amp; E2866 &amp; ""USD""))
"),35000000)</f>
        <v>35000000</v>
      </c>
      <c r="G2866" s="13">
        <f ca="1">IFERROR(__xludf.DUMMYFUNCTION("IF(E2866=""USD"",C2866,C2866 * GOOGLEFINANCE(""CURRENCY:"" &amp; E2866 &amp; ""USD""))
"),18317151)</f>
        <v>18317151</v>
      </c>
    </row>
    <row r="2867" spans="1:7" ht="15.75" customHeight="1" x14ac:dyDescent="0.25">
      <c r="A2867" s="14" t="s">
        <v>24</v>
      </c>
      <c r="B2867" s="15">
        <v>60000000</v>
      </c>
      <c r="C2867" s="15">
        <v>82569532</v>
      </c>
      <c r="D2867" s="15">
        <v>2005</v>
      </c>
      <c r="E2867" s="15" t="str">
        <f>VLOOKUP(A2867, Currency!$A$2:$B$100, 2, FALSE)</f>
        <v>USD</v>
      </c>
      <c r="F2867" s="15">
        <f ca="1">IFERROR(__xludf.DUMMYFUNCTION("IF(E2867=""USD"",B2867,B2867 * GOOGLEFINANCE(""CURRENCY:"" &amp; E2867 &amp; ""USD""))
"),60000000)</f>
        <v>60000000</v>
      </c>
      <c r="G2867" s="16">
        <f ca="1">IFERROR(__xludf.DUMMYFUNCTION("IF(E2867=""USD"",C2867,C2867 * GOOGLEFINANCE(""CURRENCY:"" &amp; E2867 &amp; ""USD""))
"),82569532)</f>
        <v>82569532</v>
      </c>
    </row>
    <row r="2868" spans="1:7" ht="15.75" customHeight="1" x14ac:dyDescent="0.25">
      <c r="A2868" s="11" t="s">
        <v>24</v>
      </c>
      <c r="B2868" s="12">
        <v>24000000</v>
      </c>
      <c r="C2868" s="12">
        <v>100491683</v>
      </c>
      <c r="D2868" s="12">
        <v>1998</v>
      </c>
      <c r="E2868" s="12" t="str">
        <f>VLOOKUP(A2868, Currency!$A$2:$B$100, 2, FALSE)</f>
        <v>USD</v>
      </c>
      <c r="F2868" s="12">
        <f ca="1">IFERROR(__xludf.DUMMYFUNCTION("IF(E2868=""USD"",B2868,B2868 * GOOGLEFINANCE(""CURRENCY:"" &amp; E2868 &amp; ""USD""))
"),24000000)</f>
        <v>24000000</v>
      </c>
      <c r="G2868" s="13">
        <f ca="1">IFERROR(__xludf.DUMMYFUNCTION("IF(E2868=""USD"",C2868,C2868 * GOOGLEFINANCE(""CURRENCY:"" &amp; E2868 &amp; ""USD""))
"),100491683)</f>
        <v>100491683</v>
      </c>
    </row>
    <row r="2869" spans="1:7" ht="15.75" customHeight="1" x14ac:dyDescent="0.25">
      <c r="A2869" s="14" t="s">
        <v>24</v>
      </c>
      <c r="B2869" s="15">
        <v>20000000</v>
      </c>
      <c r="C2869" s="15">
        <v>13650738</v>
      </c>
      <c r="D2869" s="15">
        <v>2015</v>
      </c>
      <c r="E2869" s="15" t="str">
        <f>VLOOKUP(A2869, Currency!$A$2:$B$100, 2, FALSE)</f>
        <v>USD</v>
      </c>
      <c r="F2869" s="15">
        <f ca="1">IFERROR(__xludf.DUMMYFUNCTION("IF(E2869=""USD"",B2869,B2869 * GOOGLEFINANCE(""CURRENCY:"" &amp; E2869 &amp; ""USD""))
"),20000000)</f>
        <v>20000000</v>
      </c>
      <c r="G2869" s="16">
        <f ca="1">IFERROR(__xludf.DUMMYFUNCTION("IF(E2869=""USD"",C2869,C2869 * GOOGLEFINANCE(""CURRENCY:"" &amp; E2869 &amp; ""USD""))
"),13650738)</f>
        <v>13650738</v>
      </c>
    </row>
    <row r="2870" spans="1:7" ht="15.75" customHeight="1" x14ac:dyDescent="0.25">
      <c r="A2870" s="11" t="s">
        <v>133</v>
      </c>
      <c r="B2870" s="12">
        <v>58000000</v>
      </c>
      <c r="C2870" s="12">
        <v>106635996</v>
      </c>
      <c r="D2870" s="12">
        <v>1995</v>
      </c>
      <c r="E2870" s="12" t="str">
        <f>VLOOKUP(A2870, Currency!$A$2:$B$100, 2, FALSE)</f>
        <v>GBP</v>
      </c>
      <c r="F2870" s="12">
        <f ca="1">IFERROR(__xludf.DUMMYFUNCTION("IF(E2870=""USD"",B2870,B2870 * GOOGLEFINANCE(""CURRENCY:"" &amp; E2870 &amp; ""USD""))
"),74553200)</f>
        <v>74553200</v>
      </c>
      <c r="G2870" s="13">
        <f ca="1">IFERROR(__xludf.DUMMYFUNCTION("IF(E2870=""USD"",C2870,C2870 * GOOGLEFINANCE(""CURRENCY:"" &amp; E2870 &amp; ""USD""))
"),137069909.2584)</f>
        <v>137069909.25839999</v>
      </c>
    </row>
    <row r="2871" spans="1:7" ht="15.75" customHeight="1" x14ac:dyDescent="0.25">
      <c r="A2871" s="14" t="s">
        <v>24</v>
      </c>
      <c r="B2871" s="15">
        <v>12000000</v>
      </c>
      <c r="C2871" s="15">
        <v>31597131</v>
      </c>
      <c r="D2871" s="15">
        <v>2002</v>
      </c>
      <c r="E2871" s="15" t="str">
        <f>VLOOKUP(A2871, Currency!$A$2:$B$100, 2, FALSE)</f>
        <v>USD</v>
      </c>
      <c r="F2871" s="15">
        <f ca="1">IFERROR(__xludf.DUMMYFUNCTION("IF(E2871=""USD"",B2871,B2871 * GOOGLEFINANCE(""CURRENCY:"" &amp; E2871 &amp; ""USD""))
"),12000000)</f>
        <v>12000000</v>
      </c>
      <c r="G2871" s="16">
        <f ca="1">IFERROR(__xludf.DUMMYFUNCTION("IF(E2871=""USD"",C2871,C2871 * GOOGLEFINANCE(""CURRENCY:"" &amp; E2871 &amp; ""USD""))
"),31597131)</f>
        <v>31597131</v>
      </c>
    </row>
    <row r="2872" spans="1:7" ht="15.75" customHeight="1" x14ac:dyDescent="0.25">
      <c r="A2872" s="11" t="s">
        <v>24</v>
      </c>
      <c r="B2872" s="12">
        <v>60000000</v>
      </c>
      <c r="C2872" s="12">
        <v>32940507</v>
      </c>
      <c r="D2872" s="12">
        <v>1998</v>
      </c>
      <c r="E2872" s="12" t="str">
        <f>VLOOKUP(A2872, Currency!$A$2:$B$100, 2, FALSE)</f>
        <v>USD</v>
      </c>
      <c r="F2872" s="12">
        <f ca="1">IFERROR(__xludf.DUMMYFUNCTION("IF(E2872=""USD"",B2872,B2872 * GOOGLEFINANCE(""CURRENCY:"" &amp; E2872 &amp; ""USD""))
"),60000000)</f>
        <v>60000000</v>
      </c>
      <c r="G2872" s="13">
        <f ca="1">IFERROR(__xludf.DUMMYFUNCTION("IF(E2872=""USD"",C2872,C2872 * GOOGLEFINANCE(""CURRENCY:"" &amp; E2872 &amp; ""USD""))
"),32940507)</f>
        <v>32940507</v>
      </c>
    </row>
    <row r="2873" spans="1:7" ht="15.75" customHeight="1" x14ac:dyDescent="0.25">
      <c r="A2873" s="14" t="s">
        <v>24</v>
      </c>
      <c r="B2873" s="15">
        <v>750000</v>
      </c>
      <c r="C2873" s="15">
        <v>4007792</v>
      </c>
      <c r="D2873" s="15">
        <v>2012</v>
      </c>
      <c r="E2873" s="15" t="str">
        <f>VLOOKUP(A2873, Currency!$A$2:$B$100, 2, FALSE)</f>
        <v>USD</v>
      </c>
      <c r="F2873" s="15">
        <f ca="1">IFERROR(__xludf.DUMMYFUNCTION("IF(E2873=""USD"",B2873,B2873 * GOOGLEFINANCE(""CURRENCY:"" &amp; E2873 &amp; ""USD""))
"),750000)</f>
        <v>750000</v>
      </c>
      <c r="G2873" s="16">
        <f ca="1">IFERROR(__xludf.DUMMYFUNCTION("IF(E2873=""USD"",C2873,C2873 * GOOGLEFINANCE(""CURRENCY:"" &amp; E2873 &amp; ""USD""))
"),4007792)</f>
        <v>4007792</v>
      </c>
    </row>
    <row r="2874" spans="1:7" ht="15.75" customHeight="1" x14ac:dyDescent="0.25">
      <c r="A2874" s="11" t="s">
        <v>24</v>
      </c>
      <c r="B2874" s="12">
        <v>50000000</v>
      </c>
      <c r="C2874" s="12">
        <v>50815288</v>
      </c>
      <c r="D2874" s="12">
        <v>2005</v>
      </c>
      <c r="E2874" s="12" t="str">
        <f>VLOOKUP(A2874, Currency!$A$2:$B$100, 2, FALSE)</f>
        <v>USD</v>
      </c>
      <c r="F2874" s="12">
        <f ca="1">IFERROR(__xludf.DUMMYFUNCTION("IF(E2874=""USD"",B2874,B2874 * GOOGLEFINANCE(""CURRENCY:"" &amp; E2874 &amp; ""USD""))
"),50000000)</f>
        <v>50000000</v>
      </c>
      <c r="G2874" s="13">
        <f ca="1">IFERROR(__xludf.DUMMYFUNCTION("IF(E2874=""USD"",C2874,C2874 * GOOGLEFINANCE(""CURRENCY:"" &amp; E2874 &amp; ""USD""))
"),50815288)</f>
        <v>50815288</v>
      </c>
    </row>
    <row r="2875" spans="1:7" ht="15.75" customHeight="1" x14ac:dyDescent="0.25">
      <c r="A2875" s="14" t="s">
        <v>24</v>
      </c>
      <c r="B2875" s="15">
        <v>50000000</v>
      </c>
      <c r="C2875" s="15">
        <v>37486138</v>
      </c>
      <c r="D2875" s="15">
        <v>2004</v>
      </c>
      <c r="E2875" s="15" t="str">
        <f>VLOOKUP(A2875, Currency!$A$2:$B$100, 2, FALSE)</f>
        <v>USD</v>
      </c>
      <c r="F2875" s="15">
        <f ca="1">IFERROR(__xludf.DUMMYFUNCTION("IF(E2875=""USD"",B2875,B2875 * GOOGLEFINANCE(""CURRENCY:"" &amp; E2875 &amp; ""USD""))
"),50000000)</f>
        <v>50000000</v>
      </c>
      <c r="G2875" s="16">
        <f ca="1">IFERROR(__xludf.DUMMYFUNCTION("IF(E2875=""USD"",C2875,C2875 * GOOGLEFINANCE(""CURRENCY:"" &amp; E2875 &amp; ""USD""))
"),37486138)</f>
        <v>37486138</v>
      </c>
    </row>
    <row r="2876" spans="1:7" ht="15.75" customHeight="1" x14ac:dyDescent="0.25">
      <c r="A2876" s="11" t="s">
        <v>24</v>
      </c>
      <c r="B2876" s="12">
        <v>50000000</v>
      </c>
      <c r="C2876" s="12">
        <v>55473600</v>
      </c>
      <c r="D2876" s="12">
        <v>1992</v>
      </c>
      <c r="E2876" s="12" t="str">
        <f>VLOOKUP(A2876, Currency!$A$2:$B$100, 2, FALSE)</f>
        <v>USD</v>
      </c>
      <c r="F2876" s="12">
        <f ca="1">IFERROR(__xludf.DUMMYFUNCTION("IF(E2876=""USD"",B2876,B2876 * GOOGLEFINANCE(""CURRENCY:"" &amp; E2876 &amp; ""USD""))
"),50000000)</f>
        <v>50000000</v>
      </c>
      <c r="G2876" s="13">
        <f ca="1">IFERROR(__xludf.DUMMYFUNCTION("IF(E2876=""USD"",C2876,C2876 * GOOGLEFINANCE(""CURRENCY:"" &amp; E2876 &amp; ""USD""))
"),55473600)</f>
        <v>55473600</v>
      </c>
    </row>
    <row r="2877" spans="1:7" ht="15.75" customHeight="1" x14ac:dyDescent="0.25">
      <c r="A2877" s="14" t="s">
        <v>24</v>
      </c>
      <c r="B2877" s="15">
        <v>65000000</v>
      </c>
      <c r="C2877" s="15">
        <v>63695760</v>
      </c>
      <c r="D2877" s="15">
        <v>2003</v>
      </c>
      <c r="E2877" s="15" t="str">
        <f>VLOOKUP(A2877, Currency!$A$2:$B$100, 2, FALSE)</f>
        <v>USD</v>
      </c>
      <c r="F2877" s="15">
        <f ca="1">IFERROR(__xludf.DUMMYFUNCTION("IF(E2877=""USD"",B2877,B2877 * GOOGLEFINANCE(""CURRENCY:"" &amp; E2877 &amp; ""USD""))
"),65000000)</f>
        <v>65000000</v>
      </c>
      <c r="G2877" s="16">
        <f ca="1">IFERROR(__xludf.DUMMYFUNCTION("IF(E2877=""USD"",C2877,C2877 * GOOGLEFINANCE(""CURRENCY:"" &amp; E2877 &amp; ""USD""))
"),63695760)</f>
        <v>63695760</v>
      </c>
    </row>
    <row r="2878" spans="1:7" ht="15.75" customHeight="1" x14ac:dyDescent="0.25">
      <c r="A2878" s="11" t="s">
        <v>133</v>
      </c>
      <c r="B2878" s="12">
        <v>50000000</v>
      </c>
      <c r="C2878" s="12">
        <v>1987287</v>
      </c>
      <c r="D2878" s="12">
        <v>2005</v>
      </c>
      <c r="E2878" s="12" t="str">
        <f>VLOOKUP(A2878, Currency!$A$2:$B$100, 2, FALSE)</f>
        <v>GBP</v>
      </c>
      <c r="F2878" s="12">
        <f ca="1">IFERROR(__xludf.DUMMYFUNCTION("IF(E2878=""USD"",B2878,B2878 * GOOGLEFINANCE(""CURRENCY:"" &amp; E2878 &amp; ""USD""))
"),64269999.9999999)</f>
        <v>64269999.999999903</v>
      </c>
      <c r="G2878" s="13">
        <f ca="1">IFERROR(__xludf.DUMMYFUNCTION("IF(E2878=""USD"",C2878,C2878 * GOOGLEFINANCE(""CURRENCY:"" &amp; E2878 &amp; ""USD""))
"),2554458.7098)</f>
        <v>2554458.7097999998</v>
      </c>
    </row>
    <row r="2879" spans="1:7" ht="15.75" customHeight="1" x14ac:dyDescent="0.25">
      <c r="A2879" s="14" t="s">
        <v>24</v>
      </c>
      <c r="B2879" s="15">
        <v>70000000</v>
      </c>
      <c r="C2879" s="15">
        <v>65012000</v>
      </c>
      <c r="D2879" s="15">
        <v>1994</v>
      </c>
      <c r="E2879" s="15" t="str">
        <f>VLOOKUP(A2879, Currency!$A$2:$B$100, 2, FALSE)</f>
        <v>USD</v>
      </c>
      <c r="F2879" s="15">
        <f ca="1">IFERROR(__xludf.DUMMYFUNCTION("IF(E2879=""USD"",B2879,B2879 * GOOGLEFINANCE(""CURRENCY:"" &amp; E2879 &amp; ""USD""))
"),70000000)</f>
        <v>70000000</v>
      </c>
      <c r="G2879" s="16">
        <f ca="1">IFERROR(__xludf.DUMMYFUNCTION("IF(E2879=""USD"",C2879,C2879 * GOOGLEFINANCE(""CURRENCY:"" &amp; E2879 &amp; ""USD""))
"),65012000)</f>
        <v>65012000</v>
      </c>
    </row>
    <row r="2880" spans="1:7" ht="15.75" customHeight="1" x14ac:dyDescent="0.25">
      <c r="A2880" s="11" t="s">
        <v>24</v>
      </c>
      <c r="B2880" s="12">
        <v>38000000</v>
      </c>
      <c r="C2880" s="12">
        <v>24044532</v>
      </c>
      <c r="D2880" s="12">
        <v>2001</v>
      </c>
      <c r="E2880" s="12" t="str">
        <f>VLOOKUP(A2880, Currency!$A$2:$B$100, 2, FALSE)</f>
        <v>USD</v>
      </c>
      <c r="F2880" s="12">
        <f ca="1">IFERROR(__xludf.DUMMYFUNCTION("IF(E2880=""USD"",B2880,B2880 * GOOGLEFINANCE(""CURRENCY:"" &amp; E2880 &amp; ""USD""))
"),38000000)</f>
        <v>38000000</v>
      </c>
      <c r="G2880" s="13">
        <f ca="1">IFERROR(__xludf.DUMMYFUNCTION("IF(E2880=""USD"",C2880,C2880 * GOOGLEFINANCE(""CURRENCY:"" &amp; E2880 &amp; ""USD""))
"),24044532)</f>
        <v>24044532</v>
      </c>
    </row>
    <row r="2881" spans="1:7" ht="15.75" customHeight="1" x14ac:dyDescent="0.25">
      <c r="A2881" s="14" t="s">
        <v>627</v>
      </c>
      <c r="B2881" s="15">
        <v>1500000</v>
      </c>
      <c r="C2881" s="15">
        <v>1521</v>
      </c>
      <c r="D2881" s="15">
        <v>2012</v>
      </c>
      <c r="E2881" s="15" t="str">
        <f>VLOOKUP(A2881, Currency!$A$2:$B$100, 2, FALSE)</f>
        <v>CAD</v>
      </c>
      <c r="F2881" s="15">
        <f ca="1">IFERROR(__xludf.DUMMYFUNCTION("IF(E2881=""USD"",B2881,B2881 * GOOGLEFINANCE(""CURRENCY:"" &amp; E2881 &amp; ""USD""))
"),1085107.5)</f>
        <v>1085107.5</v>
      </c>
      <c r="G2881" s="16">
        <f ca="1">IFERROR(__xludf.DUMMYFUNCTION("IF(E2881=""USD"",C2881,C2881 * GOOGLEFINANCE(""CURRENCY:"" &amp; E2881 &amp; ""USD""))
"),1100.29900499999)</f>
        <v>1100.2990049999901</v>
      </c>
    </row>
    <row r="2882" spans="1:7" ht="15.75" customHeight="1" x14ac:dyDescent="0.25">
      <c r="A2882" s="11" t="s">
        <v>24</v>
      </c>
      <c r="B2882" s="12">
        <v>25000000</v>
      </c>
      <c r="C2882" s="12">
        <v>14334645</v>
      </c>
      <c r="D2882" s="12">
        <v>2004</v>
      </c>
      <c r="E2882" s="12" t="str">
        <f>VLOOKUP(A2882, Currency!$A$2:$B$100, 2, FALSE)</f>
        <v>USD</v>
      </c>
      <c r="F2882" s="12">
        <f ca="1">IFERROR(__xludf.DUMMYFUNCTION("IF(E2882=""USD"",B2882,B2882 * GOOGLEFINANCE(""CURRENCY:"" &amp; E2882 &amp; ""USD""))
"),25000000)</f>
        <v>25000000</v>
      </c>
      <c r="G2882" s="13">
        <f ca="1">IFERROR(__xludf.DUMMYFUNCTION("IF(E2882=""USD"",C2882,C2882 * GOOGLEFINANCE(""CURRENCY:"" &amp; E2882 &amp; ""USD""))
"),14334645)</f>
        <v>14334645</v>
      </c>
    </row>
    <row r="2883" spans="1:7" ht="15.75" customHeight="1" x14ac:dyDescent="0.25">
      <c r="A2883" s="14" t="s">
        <v>24</v>
      </c>
      <c r="B2883" s="15">
        <v>2000000</v>
      </c>
      <c r="C2883" s="15">
        <v>2436</v>
      </c>
      <c r="D2883" s="15">
        <v>2012</v>
      </c>
      <c r="E2883" s="15" t="str">
        <f>VLOOKUP(A2883, Currency!$A$2:$B$100, 2, FALSE)</f>
        <v>USD</v>
      </c>
      <c r="F2883" s="15">
        <f ca="1">IFERROR(__xludf.DUMMYFUNCTION("IF(E2883=""USD"",B2883,B2883 * GOOGLEFINANCE(""CURRENCY:"" &amp; E2883 &amp; ""USD""))
"),2000000)</f>
        <v>2000000</v>
      </c>
      <c r="G2883" s="16">
        <f ca="1">IFERROR(__xludf.DUMMYFUNCTION("IF(E2883=""USD"",C2883,C2883 * GOOGLEFINANCE(""CURRENCY:"" &amp; E2883 &amp; ""USD""))
"),2436)</f>
        <v>2436</v>
      </c>
    </row>
    <row r="2884" spans="1:7" ht="15.75" customHeight="1" x14ac:dyDescent="0.25">
      <c r="A2884" s="11" t="s">
        <v>24</v>
      </c>
      <c r="B2884" s="12">
        <v>50000000</v>
      </c>
      <c r="C2884" s="12">
        <v>57887882</v>
      </c>
      <c r="D2884" s="12">
        <v>2004</v>
      </c>
      <c r="E2884" s="12" t="str">
        <f>VLOOKUP(A2884, Currency!$A$2:$B$100, 2, FALSE)</f>
        <v>USD</v>
      </c>
      <c r="F2884" s="12">
        <f ca="1">IFERROR(__xludf.DUMMYFUNCTION("IF(E2884=""USD"",B2884,B2884 * GOOGLEFINANCE(""CURRENCY:"" &amp; E2884 &amp; ""USD""))
"),50000000)</f>
        <v>50000000</v>
      </c>
      <c r="G2884" s="13">
        <f ca="1">IFERROR(__xludf.DUMMYFUNCTION("IF(E2884=""USD"",C2884,C2884 * GOOGLEFINANCE(""CURRENCY:"" &amp; E2884 &amp; ""USD""))
"),57887882)</f>
        <v>57887882</v>
      </c>
    </row>
    <row r="2885" spans="1:7" ht="15.75" customHeight="1" x14ac:dyDescent="0.25">
      <c r="A2885" s="14" t="s">
        <v>24</v>
      </c>
      <c r="B2885" s="15">
        <v>15000000</v>
      </c>
      <c r="C2885" s="15">
        <v>13782838</v>
      </c>
      <c r="D2885" s="15">
        <v>1982</v>
      </c>
      <c r="E2885" s="15" t="str">
        <f>VLOOKUP(A2885, Currency!$A$2:$B$100, 2, FALSE)</f>
        <v>USD</v>
      </c>
      <c r="F2885" s="15">
        <f ca="1">IFERROR(__xludf.DUMMYFUNCTION("IF(E2885=""USD"",B2885,B2885 * GOOGLEFINANCE(""CURRENCY:"" &amp; E2885 &amp; ""USD""))
"),15000000)</f>
        <v>15000000</v>
      </c>
      <c r="G2885" s="16">
        <f ca="1">IFERROR(__xludf.DUMMYFUNCTION("IF(E2885=""USD"",C2885,C2885 * GOOGLEFINANCE(""CURRENCY:"" &amp; E2885 &amp; ""USD""))
"),13782838)</f>
        <v>13782838</v>
      </c>
    </row>
    <row r="2886" spans="1:7" ht="15.75" customHeight="1" x14ac:dyDescent="0.25">
      <c r="A2886" s="11" t="s">
        <v>24</v>
      </c>
      <c r="B2886" s="12">
        <v>55000000</v>
      </c>
      <c r="C2886" s="12">
        <v>38553833</v>
      </c>
      <c r="D2886" s="12">
        <v>1996</v>
      </c>
      <c r="E2886" s="12" t="str">
        <f>VLOOKUP(A2886, Currency!$A$2:$B$100, 2, FALSE)</f>
        <v>USD</v>
      </c>
      <c r="F2886" s="12">
        <f ca="1">IFERROR(__xludf.DUMMYFUNCTION("IF(E2886=""USD"",B2886,B2886 * GOOGLEFINANCE(""CURRENCY:"" &amp; E2886 &amp; ""USD""))
"),55000000)</f>
        <v>55000000</v>
      </c>
      <c r="G2886" s="13">
        <f ca="1">IFERROR(__xludf.DUMMYFUNCTION("IF(E2886=""USD"",C2886,C2886 * GOOGLEFINANCE(""CURRENCY:"" &amp; E2886 &amp; ""USD""))
"),38553833)</f>
        <v>38553833</v>
      </c>
    </row>
    <row r="2887" spans="1:7" ht="15.75" customHeight="1" x14ac:dyDescent="0.25">
      <c r="A2887" s="14" t="s">
        <v>133</v>
      </c>
      <c r="B2887" s="15">
        <v>26000000</v>
      </c>
      <c r="C2887" s="15">
        <v>45506619</v>
      </c>
      <c r="D2887" s="15">
        <v>2000</v>
      </c>
      <c r="E2887" s="15" t="str">
        <f>VLOOKUP(A2887, Currency!$A$2:$B$100, 2, FALSE)</f>
        <v>GBP</v>
      </c>
      <c r="F2887" s="15">
        <f ca="1">IFERROR(__xludf.DUMMYFUNCTION("IF(E2887=""USD"",B2887,B2887 * GOOGLEFINANCE(""CURRENCY:"" &amp; E2887 &amp; ""USD""))
"),33420399.9999999)</f>
        <v>33420399.999999899</v>
      </c>
      <c r="G2887" s="16">
        <f ca="1">IFERROR(__xludf.DUMMYFUNCTION("IF(E2887=""USD"",C2887,C2887 * GOOGLEFINANCE(""CURRENCY:"" &amp; E2887 &amp; ""USD""))
"),58494208.0625999)</f>
        <v>58494208.062599897</v>
      </c>
    </row>
    <row r="2888" spans="1:7" ht="15.75" customHeight="1" x14ac:dyDescent="0.25">
      <c r="A2888" s="11" t="s">
        <v>133</v>
      </c>
      <c r="B2888" s="12">
        <v>5000000</v>
      </c>
      <c r="C2888" s="12">
        <v>4074023</v>
      </c>
      <c r="D2888" s="12">
        <v>2010</v>
      </c>
      <c r="E2888" s="12" t="str">
        <f>VLOOKUP(A2888, Currency!$A$2:$B$100, 2, FALSE)</f>
        <v>GBP</v>
      </c>
      <c r="F2888" s="12">
        <f ca="1">IFERROR(__xludf.DUMMYFUNCTION("IF(E2888=""USD"",B2888,B2888 * GOOGLEFINANCE(""CURRENCY:"" &amp; E2888 &amp; ""USD""))
"),6426999.99999999)</f>
        <v>6426999.9999999898</v>
      </c>
      <c r="G2888" s="13">
        <f ca="1">IFERROR(__xludf.DUMMYFUNCTION("IF(E2888=""USD"",C2888,C2888 * GOOGLEFINANCE(""CURRENCY:"" &amp; E2888 &amp; ""USD""))
"),5236749.16419999)</f>
        <v>5236749.1641999902</v>
      </c>
    </row>
    <row r="2889" spans="1:7" ht="15.75" customHeight="1" x14ac:dyDescent="0.25">
      <c r="A2889" s="14" t="s">
        <v>24</v>
      </c>
      <c r="B2889" s="15">
        <v>40000000</v>
      </c>
      <c r="C2889" s="15">
        <v>46012734</v>
      </c>
      <c r="D2889" s="15">
        <v>2008</v>
      </c>
      <c r="E2889" s="15" t="str">
        <f>VLOOKUP(A2889, Currency!$A$2:$B$100, 2, FALSE)</f>
        <v>USD</v>
      </c>
      <c r="F2889" s="15">
        <f ca="1">IFERROR(__xludf.DUMMYFUNCTION("IF(E2889=""USD"",B2889,B2889 * GOOGLEFINANCE(""CURRENCY:"" &amp; E2889 &amp; ""USD""))
"),40000000)</f>
        <v>40000000</v>
      </c>
      <c r="G2889" s="16">
        <f ca="1">IFERROR(__xludf.DUMMYFUNCTION("IF(E2889=""USD"",C2889,C2889 * GOOGLEFINANCE(""CURRENCY:"" &amp; E2889 &amp; ""USD""))
"),46012734)</f>
        <v>46012734</v>
      </c>
    </row>
    <row r="2890" spans="1:7" ht="15.75" customHeight="1" x14ac:dyDescent="0.25">
      <c r="A2890" s="11" t="s">
        <v>24</v>
      </c>
      <c r="B2890" s="12">
        <v>14000000</v>
      </c>
      <c r="C2890" s="12">
        <v>1752214</v>
      </c>
      <c r="D2890" s="12">
        <v>2010</v>
      </c>
      <c r="E2890" s="12" t="str">
        <f>VLOOKUP(A2890, Currency!$A$2:$B$100, 2, FALSE)</f>
        <v>USD</v>
      </c>
      <c r="F2890" s="12">
        <f ca="1">IFERROR(__xludf.DUMMYFUNCTION("IF(E2890=""USD"",B2890,B2890 * GOOGLEFINANCE(""CURRENCY:"" &amp; E2890 &amp; ""USD""))
"),14000000)</f>
        <v>14000000</v>
      </c>
      <c r="G2890" s="13">
        <f ca="1">IFERROR(__xludf.DUMMYFUNCTION("IF(E2890=""USD"",C2890,C2890 * GOOGLEFINANCE(""CURRENCY:"" &amp; E2890 &amp; ""USD""))
"),1752214)</f>
        <v>1752214</v>
      </c>
    </row>
    <row r="2891" spans="1:7" ht="15.75" customHeight="1" x14ac:dyDescent="0.25">
      <c r="A2891" s="14" t="s">
        <v>24</v>
      </c>
      <c r="B2891" s="15">
        <v>60000000</v>
      </c>
      <c r="C2891" s="15">
        <v>106126012</v>
      </c>
      <c r="D2891" s="15">
        <v>2003</v>
      </c>
      <c r="E2891" s="15" t="str">
        <f>VLOOKUP(A2891, Currency!$A$2:$B$100, 2, FALSE)</f>
        <v>USD</v>
      </c>
      <c r="F2891" s="15">
        <f ca="1">IFERROR(__xludf.DUMMYFUNCTION("IF(E2891=""USD"",B2891,B2891 * GOOGLEFINANCE(""CURRENCY:"" &amp; E2891 &amp; ""USD""))
"),60000000)</f>
        <v>60000000</v>
      </c>
      <c r="G2891" s="16">
        <f ca="1">IFERROR(__xludf.DUMMYFUNCTION("IF(E2891=""USD"",C2891,C2891 * GOOGLEFINANCE(""CURRENCY:"" &amp; E2891 &amp; ""USD""))
"),106126012)</f>
        <v>106126012</v>
      </c>
    </row>
    <row r="2892" spans="1:7" ht="15.75" customHeight="1" x14ac:dyDescent="0.25">
      <c r="A2892" s="11" t="s">
        <v>24</v>
      </c>
      <c r="B2892" s="12">
        <v>500000</v>
      </c>
      <c r="C2892" s="12">
        <v>151389</v>
      </c>
      <c r="D2892" s="12">
        <v>2012</v>
      </c>
      <c r="E2892" s="12" t="str">
        <f>VLOOKUP(A2892, Currency!$A$2:$B$100, 2, FALSE)</f>
        <v>USD</v>
      </c>
      <c r="F2892" s="12">
        <f ca="1">IFERROR(__xludf.DUMMYFUNCTION("IF(E2892=""USD"",B2892,B2892 * GOOGLEFINANCE(""CURRENCY:"" &amp; E2892 &amp; ""USD""))
"),500000)</f>
        <v>500000</v>
      </c>
      <c r="G2892" s="13">
        <f ca="1">IFERROR(__xludf.DUMMYFUNCTION("IF(E2892=""USD"",C2892,C2892 * GOOGLEFINANCE(""CURRENCY:"" &amp; E2892 &amp; ""USD""))
"),151389)</f>
        <v>151389</v>
      </c>
    </row>
    <row r="2893" spans="1:7" ht="15.75" customHeight="1" x14ac:dyDescent="0.25">
      <c r="A2893" s="14" t="s">
        <v>149</v>
      </c>
      <c r="B2893" s="15">
        <v>135000000</v>
      </c>
      <c r="C2893" s="15">
        <v>63992328</v>
      </c>
      <c r="D2893" s="15">
        <v>2011</v>
      </c>
      <c r="E2893" s="15" t="str">
        <f>VLOOKUP(A2893, Currency!$A$2:$B$100, 2, FALSE)</f>
        <v>AUD</v>
      </c>
      <c r="F2893" s="15">
        <f ca="1">IFERROR(__xludf.DUMMYFUNCTION("IF(E2893=""USD"",B2893,B2893 * GOOGLEFINANCE(""CURRENCY:"" &amp; E2893 &amp; ""USD""))
"),88273800)</f>
        <v>88273800</v>
      </c>
      <c r="G2893" s="16">
        <f ca="1">IFERROR(__xludf.DUMMYFUNCTION("IF(E2893=""USD"",C2893,C2893 * GOOGLEFINANCE(""CURRENCY:"" &amp; E2893 &amp; ""USD""))
"),41843303.43264)</f>
        <v>41843303.432640001</v>
      </c>
    </row>
    <row r="2894" spans="1:7" ht="15.75" customHeight="1" x14ac:dyDescent="0.25">
      <c r="A2894" s="11" t="s">
        <v>24</v>
      </c>
      <c r="B2894" s="12">
        <v>90000000</v>
      </c>
      <c r="C2894" s="12">
        <v>101643008</v>
      </c>
      <c r="D2894" s="12">
        <v>2000</v>
      </c>
      <c r="E2894" s="12" t="str">
        <f>VLOOKUP(A2894, Currency!$A$2:$B$100, 2, FALSE)</f>
        <v>USD</v>
      </c>
      <c r="F2894" s="12">
        <f ca="1">IFERROR(__xludf.DUMMYFUNCTION("IF(E2894=""USD"",B2894,B2894 * GOOGLEFINANCE(""CURRENCY:"" &amp; E2894 &amp; ""USD""))
"),90000000)</f>
        <v>90000000</v>
      </c>
      <c r="G2894" s="13">
        <f ca="1">IFERROR(__xludf.DUMMYFUNCTION("IF(E2894=""USD"",C2894,C2894 * GOOGLEFINANCE(""CURRENCY:"" &amp; E2894 &amp; ""USD""))
"),101643008)</f>
        <v>101643008</v>
      </c>
    </row>
    <row r="2895" spans="1:7" ht="15.75" customHeight="1" x14ac:dyDescent="0.25">
      <c r="A2895" s="14" t="s">
        <v>24</v>
      </c>
      <c r="B2895" s="15">
        <v>41000000</v>
      </c>
      <c r="C2895" s="15">
        <v>7204138</v>
      </c>
      <c r="D2895" s="15">
        <v>2011</v>
      </c>
      <c r="E2895" s="15" t="str">
        <f>VLOOKUP(A2895, Currency!$A$2:$B$100, 2, FALSE)</f>
        <v>USD</v>
      </c>
      <c r="F2895" s="15">
        <f ca="1">IFERROR(__xludf.DUMMYFUNCTION("IF(E2895=""USD"",B2895,B2895 * GOOGLEFINANCE(""CURRENCY:"" &amp; E2895 &amp; ""USD""))
"),41000000)</f>
        <v>41000000</v>
      </c>
      <c r="G2895" s="16">
        <f ca="1">IFERROR(__xludf.DUMMYFUNCTION("IF(E2895=""USD"",C2895,C2895 * GOOGLEFINANCE(""CURRENCY:"" &amp; E2895 &amp; ""USD""))
"),7204138)</f>
        <v>7204138</v>
      </c>
    </row>
    <row r="2896" spans="1:7" ht="15.75" customHeight="1" x14ac:dyDescent="0.25">
      <c r="A2896" s="11" t="s">
        <v>133</v>
      </c>
      <c r="B2896" s="12">
        <v>40000000</v>
      </c>
      <c r="C2896" s="12">
        <v>33927476</v>
      </c>
      <c r="D2896" s="12">
        <v>1997</v>
      </c>
      <c r="E2896" s="12" t="str">
        <f>VLOOKUP(A2896, Currency!$A$2:$B$100, 2, FALSE)</f>
        <v>GBP</v>
      </c>
      <c r="F2896" s="12">
        <f ca="1">IFERROR(__xludf.DUMMYFUNCTION("IF(E2896=""USD"",B2896,B2896 * GOOGLEFINANCE(""CURRENCY:"" &amp; E2896 &amp; ""USD""))
"),51415999.9999999)</f>
        <v>51415999.999999903</v>
      </c>
      <c r="G2896" s="13">
        <f ca="1">IFERROR(__xludf.DUMMYFUNCTION("IF(E2896=""USD"",C2896,C2896 * GOOGLEFINANCE(""CURRENCY:"" &amp; E2896 &amp; ""USD""))
"),43610377.6504)</f>
        <v>43610377.650399998</v>
      </c>
    </row>
    <row r="2897" spans="1:7" ht="15.75" customHeight="1" x14ac:dyDescent="0.25">
      <c r="A2897" s="14" t="s">
        <v>24</v>
      </c>
      <c r="B2897" s="15">
        <v>15000000</v>
      </c>
      <c r="C2897" s="15">
        <v>111936400</v>
      </c>
      <c r="D2897" s="15">
        <v>1988</v>
      </c>
      <c r="E2897" s="15" t="str">
        <f>VLOOKUP(A2897, Currency!$A$2:$B$100, 2, FALSE)</f>
        <v>USD</v>
      </c>
      <c r="F2897" s="15">
        <f ca="1">IFERROR(__xludf.DUMMYFUNCTION("IF(E2897=""USD"",B2897,B2897 * GOOGLEFINANCE(""CURRENCY:"" &amp; E2897 &amp; ""USD""))
"),15000000)</f>
        <v>15000000</v>
      </c>
      <c r="G2897" s="16">
        <f ca="1">IFERROR(__xludf.DUMMYFUNCTION("IF(E2897=""USD"",C2897,C2897 * GOOGLEFINANCE(""CURRENCY:"" &amp; E2897 &amp; ""USD""))
"),111936400)</f>
        <v>111936400</v>
      </c>
    </row>
    <row r="2898" spans="1:7" ht="15.75" customHeight="1" x14ac:dyDescent="0.25">
      <c r="A2898" s="11" t="s">
        <v>24</v>
      </c>
      <c r="B2898" s="12">
        <v>40000000</v>
      </c>
      <c r="C2898" s="12">
        <v>32853640</v>
      </c>
      <c r="D2898" s="12">
        <v>2008</v>
      </c>
      <c r="E2898" s="12" t="str">
        <f>VLOOKUP(A2898, Currency!$A$2:$B$100, 2, FALSE)</f>
        <v>USD</v>
      </c>
      <c r="F2898" s="12">
        <f ca="1">IFERROR(__xludf.DUMMYFUNCTION("IF(E2898=""USD"",B2898,B2898 * GOOGLEFINANCE(""CURRENCY:"" &amp; E2898 &amp; ""USD""))
"),40000000)</f>
        <v>40000000</v>
      </c>
      <c r="G2898" s="13">
        <f ca="1">IFERROR(__xludf.DUMMYFUNCTION("IF(E2898=""USD"",C2898,C2898 * GOOGLEFINANCE(""CURRENCY:"" &amp; E2898 &amp; ""USD""))
"),32853640)</f>
        <v>32853640</v>
      </c>
    </row>
    <row r="2899" spans="1:7" ht="15.75" customHeight="1" x14ac:dyDescent="0.25">
      <c r="A2899" s="14" t="s">
        <v>24</v>
      </c>
      <c r="B2899" s="15">
        <v>500000</v>
      </c>
      <c r="C2899" s="15">
        <v>17000000</v>
      </c>
      <c r="D2899" s="15">
        <v>1977</v>
      </c>
      <c r="E2899" s="15" t="str">
        <f>VLOOKUP(A2899, Currency!$A$2:$B$100, 2, FALSE)</f>
        <v>USD</v>
      </c>
      <c r="F2899" s="15">
        <f ca="1">IFERROR(__xludf.DUMMYFUNCTION("IF(E2899=""USD"",B2899,B2899 * GOOGLEFINANCE(""CURRENCY:"" &amp; E2899 &amp; ""USD""))
"),500000)</f>
        <v>500000</v>
      </c>
      <c r="G2899" s="16">
        <f ca="1">IFERROR(__xludf.DUMMYFUNCTION("IF(E2899=""USD"",C2899,C2899 * GOOGLEFINANCE(""CURRENCY:"" &amp; E2899 &amp; ""USD""))
"),17000000)</f>
        <v>17000000</v>
      </c>
    </row>
    <row r="2900" spans="1:7" ht="15.75" customHeight="1" x14ac:dyDescent="0.25">
      <c r="A2900" s="11" t="s">
        <v>24</v>
      </c>
      <c r="B2900" s="12">
        <v>2700000</v>
      </c>
      <c r="C2900" s="12">
        <v>9054736</v>
      </c>
      <c r="D2900" s="12">
        <v>1997</v>
      </c>
      <c r="E2900" s="12" t="str">
        <f>VLOOKUP(A2900, Currency!$A$2:$B$100, 2, FALSE)</f>
        <v>USD</v>
      </c>
      <c r="F2900" s="12">
        <f ca="1">IFERROR(__xludf.DUMMYFUNCTION("IF(E2900=""USD"",B2900,B2900 * GOOGLEFINANCE(""CURRENCY:"" &amp; E2900 &amp; ""USD""))
"),2700000)</f>
        <v>2700000</v>
      </c>
      <c r="G2900" s="13">
        <f ca="1">IFERROR(__xludf.DUMMYFUNCTION("IF(E2900=""USD"",C2900,C2900 * GOOGLEFINANCE(""CURRENCY:"" &amp; E2900 &amp; ""USD""))
"),9054736)</f>
        <v>9054736</v>
      </c>
    </row>
    <row r="2901" spans="1:7" ht="15.75" customHeight="1" x14ac:dyDescent="0.25">
      <c r="A2901" s="14" t="s">
        <v>24</v>
      </c>
      <c r="B2901" s="15">
        <v>27000000</v>
      </c>
      <c r="C2901" s="15">
        <v>33987757</v>
      </c>
      <c r="D2901" s="15">
        <v>2004</v>
      </c>
      <c r="E2901" s="15" t="str">
        <f>VLOOKUP(A2901, Currency!$A$2:$B$100, 2, FALSE)</f>
        <v>USD</v>
      </c>
      <c r="F2901" s="15">
        <f ca="1">IFERROR(__xludf.DUMMYFUNCTION("IF(E2901=""USD"",B2901,B2901 * GOOGLEFINANCE(""CURRENCY:"" &amp; E2901 &amp; ""USD""))
"),27000000)</f>
        <v>27000000</v>
      </c>
      <c r="G2901" s="16">
        <f ca="1">IFERROR(__xludf.DUMMYFUNCTION("IF(E2901=""USD"",C2901,C2901 * GOOGLEFINANCE(""CURRENCY:"" &amp; E2901 &amp; ""USD""))
"),33987757)</f>
        <v>33987757</v>
      </c>
    </row>
    <row r="2902" spans="1:7" ht="15.75" customHeight="1" x14ac:dyDescent="0.25">
      <c r="A2902" s="11" t="s">
        <v>133</v>
      </c>
      <c r="B2902" s="12">
        <v>30000000</v>
      </c>
      <c r="C2902" s="12">
        <v>56068547</v>
      </c>
      <c r="D2902" s="12">
        <v>2005</v>
      </c>
      <c r="E2902" s="12" t="str">
        <f>VLOOKUP(A2902, Currency!$A$2:$B$100, 2, FALSE)</f>
        <v>GBP</v>
      </c>
      <c r="F2902" s="12">
        <f ca="1">IFERROR(__xludf.DUMMYFUNCTION("IF(E2902=""USD"",B2902,B2902 * GOOGLEFINANCE(""CURRENCY:"" &amp; E2902 &amp; ""USD""))
"),38562000)</f>
        <v>38562000</v>
      </c>
      <c r="G2902" s="13">
        <f ca="1">IFERROR(__xludf.DUMMYFUNCTION("IF(E2902=""USD"",C2902,C2902 * GOOGLEFINANCE(""CURRENCY:"" &amp; E2902 &amp; ""USD""))
"),72070510.3137999)</f>
        <v>72070510.313799903</v>
      </c>
    </row>
    <row r="2903" spans="1:7" ht="15.75" customHeight="1" x14ac:dyDescent="0.25">
      <c r="A2903" s="14" t="s">
        <v>24</v>
      </c>
      <c r="B2903" s="15">
        <v>61000000</v>
      </c>
      <c r="C2903" s="15">
        <v>167735396</v>
      </c>
      <c r="D2903" s="15">
        <v>2014</v>
      </c>
      <c r="E2903" s="15" t="str">
        <f>VLOOKUP(A2903, Currency!$A$2:$B$100, 2, FALSE)</f>
        <v>USD</v>
      </c>
      <c r="F2903" s="15">
        <f ca="1">IFERROR(__xludf.DUMMYFUNCTION("IF(E2903=""USD"",B2903,B2903 * GOOGLEFINANCE(""CURRENCY:"" &amp; E2903 &amp; ""USD""))
"),61000000)</f>
        <v>61000000</v>
      </c>
      <c r="G2903" s="16">
        <f ca="1">IFERROR(__xludf.DUMMYFUNCTION("IF(E2903=""USD"",C2903,C2903 * GOOGLEFINANCE(""CURRENCY:"" &amp; E2903 &amp; ""USD""))
"),167735396)</f>
        <v>167735396</v>
      </c>
    </row>
    <row r="2904" spans="1:7" ht="15.75" customHeight="1" x14ac:dyDescent="0.25">
      <c r="A2904" s="11" t="s">
        <v>24</v>
      </c>
      <c r="B2904" s="12">
        <v>58000000</v>
      </c>
      <c r="C2904" s="12">
        <v>31199215</v>
      </c>
      <c r="D2904" s="12">
        <v>2008</v>
      </c>
      <c r="E2904" s="12" t="str">
        <f>VLOOKUP(A2904, Currency!$A$2:$B$100, 2, FALSE)</f>
        <v>USD</v>
      </c>
      <c r="F2904" s="12">
        <f ca="1">IFERROR(__xludf.DUMMYFUNCTION("IF(E2904=""USD"",B2904,B2904 * GOOGLEFINANCE(""CURRENCY:"" &amp; E2904 &amp; ""USD""))
"),58000000)</f>
        <v>58000000</v>
      </c>
      <c r="G2904" s="13">
        <f ca="1">IFERROR(__xludf.DUMMYFUNCTION("IF(E2904=""USD"",C2904,C2904 * GOOGLEFINANCE(""CURRENCY:"" &amp; E2904 &amp; ""USD""))
"),31199215)</f>
        <v>31199215</v>
      </c>
    </row>
    <row r="2905" spans="1:7" ht="15.75" customHeight="1" x14ac:dyDescent="0.25">
      <c r="A2905" s="14" t="s">
        <v>2940</v>
      </c>
      <c r="B2905" s="15">
        <v>2900000</v>
      </c>
      <c r="C2905" s="15">
        <v>5595428</v>
      </c>
      <c r="D2905" s="15">
        <v>1998</v>
      </c>
      <c r="E2905" s="15" t="str">
        <f>VLOOKUP(A2905, Currency!$A$2:$B$100, 2, FALSE)</f>
        <v>BRL</v>
      </c>
      <c r="F2905" s="15">
        <f ca="1">IFERROR(__xludf.DUMMYFUNCTION("IF(E2905=""USD"",B2905,B2905 * GOOGLEFINANCE(""CURRENCY:"" &amp; E2905 &amp; ""USD""))
"),513765.45)</f>
        <v>513765.45</v>
      </c>
      <c r="G2905" s="16">
        <f ca="1">IFERROR(__xludf.DUMMYFUNCTION("IF(E2905=""USD"",C2905,C2905 * GOOGLEFINANCE(""CURRENCY:"" &amp; E2905 &amp; ""USD""))
"),991288.822194)</f>
        <v>991288.82219400001</v>
      </c>
    </row>
    <row r="2906" spans="1:7" ht="15.75" customHeight="1" x14ac:dyDescent="0.25">
      <c r="A2906" s="11" t="s">
        <v>24</v>
      </c>
      <c r="B2906" s="12">
        <v>12000000</v>
      </c>
      <c r="C2906" s="12">
        <v>3950294</v>
      </c>
      <c r="D2906" s="12">
        <v>2007</v>
      </c>
      <c r="E2906" s="12" t="str">
        <f>VLOOKUP(A2906, Currency!$A$2:$B$100, 2, FALSE)</f>
        <v>USD</v>
      </c>
      <c r="F2906" s="12">
        <f ca="1">IFERROR(__xludf.DUMMYFUNCTION("IF(E2906=""USD"",B2906,B2906 * GOOGLEFINANCE(""CURRENCY:"" &amp; E2906 &amp; ""USD""))
"),12000000)</f>
        <v>12000000</v>
      </c>
      <c r="G2906" s="13">
        <f ca="1">IFERROR(__xludf.DUMMYFUNCTION("IF(E2906=""USD"",C2906,C2906 * GOOGLEFINANCE(""CURRENCY:"" &amp; E2906 &amp; ""USD""))
"),3950294)</f>
        <v>3950294</v>
      </c>
    </row>
    <row r="2907" spans="1:7" ht="15.75" customHeight="1" x14ac:dyDescent="0.25">
      <c r="A2907" s="14" t="s">
        <v>24</v>
      </c>
      <c r="B2907" s="15">
        <v>8000000</v>
      </c>
      <c r="C2907" s="15">
        <v>303439</v>
      </c>
      <c r="D2907" s="15">
        <v>2007</v>
      </c>
      <c r="E2907" s="15" t="str">
        <f>VLOOKUP(A2907, Currency!$A$2:$B$100, 2, FALSE)</f>
        <v>USD</v>
      </c>
      <c r="F2907" s="15">
        <f ca="1">IFERROR(__xludf.DUMMYFUNCTION("IF(E2907=""USD"",B2907,B2907 * GOOGLEFINANCE(""CURRENCY:"" &amp; E2907 &amp; ""USD""))
"),8000000)</f>
        <v>8000000</v>
      </c>
      <c r="G2907" s="16">
        <f ca="1">IFERROR(__xludf.DUMMYFUNCTION("IF(E2907=""USD"",C2907,C2907 * GOOGLEFINANCE(""CURRENCY:"" &amp; E2907 &amp; ""USD""))
"),303439)</f>
        <v>303439</v>
      </c>
    </row>
    <row r="2908" spans="1:7" ht="15.75" customHeight="1" x14ac:dyDescent="0.25">
      <c r="A2908" s="11" t="s">
        <v>24</v>
      </c>
      <c r="B2908" s="12">
        <v>36000000</v>
      </c>
      <c r="C2908" s="12">
        <v>12339633</v>
      </c>
      <c r="D2908" s="12">
        <v>1997</v>
      </c>
      <c r="E2908" s="12" t="str">
        <f>VLOOKUP(A2908, Currency!$A$2:$B$100, 2, FALSE)</f>
        <v>USD</v>
      </c>
      <c r="F2908" s="12">
        <f ca="1">IFERROR(__xludf.DUMMYFUNCTION("IF(E2908=""USD"",B2908,B2908 * GOOGLEFINANCE(""CURRENCY:"" &amp; E2908 &amp; ""USD""))
"),36000000)</f>
        <v>36000000</v>
      </c>
      <c r="G2908" s="13">
        <f ca="1">IFERROR(__xludf.DUMMYFUNCTION("IF(E2908=""USD"",C2908,C2908 * GOOGLEFINANCE(""CURRENCY:"" &amp; E2908 &amp; ""USD""))
"),12339633)</f>
        <v>12339633</v>
      </c>
    </row>
    <row r="2909" spans="1:7" ht="15.75" customHeight="1" x14ac:dyDescent="0.25">
      <c r="A2909" s="14" t="s">
        <v>24</v>
      </c>
      <c r="B2909" s="15">
        <v>176000000</v>
      </c>
      <c r="C2909" s="15">
        <v>47375327</v>
      </c>
      <c r="D2909" s="15">
        <v>2015</v>
      </c>
      <c r="E2909" s="15" t="str">
        <f>VLOOKUP(A2909, Currency!$A$2:$B$100, 2, FALSE)</f>
        <v>USD</v>
      </c>
      <c r="F2909" s="15">
        <f ca="1">IFERROR(__xludf.DUMMYFUNCTION("IF(E2909=""USD"",B2909,B2909 * GOOGLEFINANCE(""CURRENCY:"" &amp; E2909 &amp; ""USD""))
"),176000000)</f>
        <v>176000000</v>
      </c>
      <c r="G2909" s="16">
        <f ca="1">IFERROR(__xludf.DUMMYFUNCTION("IF(E2909=""USD"",C2909,C2909 * GOOGLEFINANCE(""CURRENCY:"" &amp; E2909 &amp; ""USD""))
"),47375327)</f>
        <v>47375327</v>
      </c>
    </row>
    <row r="2910" spans="1:7" ht="15.75" customHeight="1" x14ac:dyDescent="0.25">
      <c r="A2910" s="11" t="s">
        <v>24</v>
      </c>
      <c r="B2910" s="12">
        <v>19000000</v>
      </c>
      <c r="C2910" s="12">
        <v>12561</v>
      </c>
      <c r="D2910" s="12">
        <v>2010</v>
      </c>
      <c r="E2910" s="12" t="str">
        <f>VLOOKUP(A2910, Currency!$A$2:$B$100, 2, FALSE)</f>
        <v>USD</v>
      </c>
      <c r="F2910" s="12">
        <f ca="1">IFERROR(__xludf.DUMMYFUNCTION("IF(E2910=""USD"",B2910,B2910 * GOOGLEFINANCE(""CURRENCY:"" &amp; E2910 &amp; ""USD""))
"),19000000)</f>
        <v>19000000</v>
      </c>
      <c r="G2910" s="13">
        <f ca="1">IFERROR(__xludf.DUMMYFUNCTION("IF(E2910=""USD"",C2910,C2910 * GOOGLEFINANCE(""CURRENCY:"" &amp; E2910 &amp; ""USD""))
"),12561)</f>
        <v>12561</v>
      </c>
    </row>
    <row r="2911" spans="1:7" ht="15.75" customHeight="1" x14ac:dyDescent="0.25">
      <c r="A2911" s="14" t="s">
        <v>24</v>
      </c>
      <c r="B2911" s="15">
        <v>110000000</v>
      </c>
      <c r="C2911" s="15">
        <v>125531634</v>
      </c>
      <c r="D2911" s="15">
        <v>2004</v>
      </c>
      <c r="E2911" s="15" t="str">
        <f>VLOOKUP(A2911, Currency!$A$2:$B$100, 2, FALSE)</f>
        <v>USD</v>
      </c>
      <c r="F2911" s="15">
        <f ca="1">IFERROR(__xludf.DUMMYFUNCTION("IF(E2911=""USD"",B2911,B2911 * GOOGLEFINANCE(""CURRENCY:"" &amp; E2911 &amp; ""USD""))
"),110000000)</f>
        <v>110000000</v>
      </c>
      <c r="G2911" s="16">
        <f ca="1">IFERROR(__xludf.DUMMYFUNCTION("IF(E2911=""USD"",C2911,C2911 * GOOGLEFINANCE(""CURRENCY:"" &amp; E2911 &amp; ""USD""))
"),125531634)</f>
        <v>125531634</v>
      </c>
    </row>
    <row r="2912" spans="1:7" ht="15.75" customHeight="1" x14ac:dyDescent="0.25">
      <c r="A2912" s="11" t="s">
        <v>24</v>
      </c>
      <c r="B2912" s="12">
        <v>140000000</v>
      </c>
      <c r="C2912" s="12">
        <v>38120554</v>
      </c>
      <c r="D2912" s="12">
        <v>2002</v>
      </c>
      <c r="E2912" s="12" t="str">
        <f>VLOOKUP(A2912, Currency!$A$2:$B$100, 2, FALSE)</f>
        <v>USD</v>
      </c>
      <c r="F2912" s="12">
        <f ca="1">IFERROR(__xludf.DUMMYFUNCTION("IF(E2912=""USD"",B2912,B2912 * GOOGLEFINANCE(""CURRENCY:"" &amp; E2912 &amp; ""USD""))
"),140000000)</f>
        <v>140000000</v>
      </c>
      <c r="G2912" s="13">
        <f ca="1">IFERROR(__xludf.DUMMYFUNCTION("IF(E2912=""USD"",C2912,C2912 * GOOGLEFINANCE(""CURRENCY:"" &amp; E2912 &amp; ""USD""))
"),38120554)</f>
        <v>38120554</v>
      </c>
    </row>
    <row r="2913" spans="1:7" ht="15.75" customHeight="1" x14ac:dyDescent="0.25">
      <c r="A2913" s="14" t="s">
        <v>24</v>
      </c>
      <c r="B2913" s="15">
        <v>75000000</v>
      </c>
      <c r="C2913" s="15">
        <v>83503161</v>
      </c>
      <c r="D2913" s="15">
        <v>2011</v>
      </c>
      <c r="E2913" s="15" t="str">
        <f>VLOOKUP(A2913, Currency!$A$2:$B$100, 2, FALSE)</f>
        <v>USD</v>
      </c>
      <c r="F2913" s="15">
        <f ca="1">IFERROR(__xludf.DUMMYFUNCTION("IF(E2913=""USD"",B2913,B2913 * GOOGLEFINANCE(""CURRENCY:"" &amp; E2913 &amp; ""USD""))
"),75000000)</f>
        <v>75000000</v>
      </c>
      <c r="G2913" s="16">
        <f ca="1">IFERROR(__xludf.DUMMYFUNCTION("IF(E2913=""USD"",C2913,C2913 * GOOGLEFINANCE(""CURRENCY:"" &amp; E2913 &amp; ""USD""))
"),83503161)</f>
        <v>83503161</v>
      </c>
    </row>
    <row r="2914" spans="1:7" ht="15.75" customHeight="1" x14ac:dyDescent="0.25">
      <c r="A2914" s="11" t="s">
        <v>176</v>
      </c>
      <c r="B2914" s="12">
        <v>52000000</v>
      </c>
      <c r="C2914" s="12">
        <v>36883539</v>
      </c>
      <c r="D2914" s="12">
        <v>2006</v>
      </c>
      <c r="E2914" s="12" t="str">
        <f>VLOOKUP(A2914, Currency!$A$2:$B$100, 2, FALSE)</f>
        <v>EUR</v>
      </c>
      <c r="F2914" s="12">
        <f ca="1">IFERROR(__xludf.DUMMYFUNCTION("IF(E2914=""USD"",B2914,B2914 * GOOGLEFINANCE(""CURRENCY:"" &amp; E2914 &amp; ""USD""))
"),56406480)</f>
        <v>56406480</v>
      </c>
      <c r="G2914" s="13">
        <f ca="1">IFERROR(__xludf.DUMMYFUNCTION("IF(E2914=""USD"",C2914,C2914 * GOOGLEFINANCE(""CURRENCY:"" &amp; E2914 &amp; ""USD""))
"),40009050.09486)</f>
        <v>40009050.094860002</v>
      </c>
    </row>
    <row r="2915" spans="1:7" ht="15.75" customHeight="1" x14ac:dyDescent="0.25">
      <c r="A2915" s="14" t="s">
        <v>24</v>
      </c>
      <c r="B2915" s="15">
        <v>35000000</v>
      </c>
      <c r="C2915" s="15">
        <v>14998070</v>
      </c>
      <c r="D2915" s="15">
        <v>2007</v>
      </c>
      <c r="E2915" s="15" t="str">
        <f>VLOOKUP(A2915, Currency!$A$2:$B$100, 2, FALSE)</f>
        <v>USD</v>
      </c>
      <c r="F2915" s="15">
        <f ca="1">IFERROR(__xludf.DUMMYFUNCTION("IF(E2915=""USD"",B2915,B2915 * GOOGLEFINANCE(""CURRENCY:"" &amp; E2915 &amp; ""USD""))
"),35000000)</f>
        <v>35000000</v>
      </c>
      <c r="G2915" s="16">
        <f ca="1">IFERROR(__xludf.DUMMYFUNCTION("IF(E2915=""USD"",C2915,C2915 * GOOGLEFINANCE(""CURRENCY:"" &amp; E2915 &amp; ""USD""))
"),14998070)</f>
        <v>14998070</v>
      </c>
    </row>
    <row r="2916" spans="1:7" ht="15.75" customHeight="1" x14ac:dyDescent="0.25">
      <c r="A2916" s="11" t="s">
        <v>24</v>
      </c>
      <c r="B2916" s="12">
        <v>6000000</v>
      </c>
      <c r="C2916" s="12">
        <v>869325</v>
      </c>
      <c r="D2916" s="12">
        <v>1991</v>
      </c>
      <c r="E2916" s="12" t="str">
        <f>VLOOKUP(A2916, Currency!$A$2:$B$100, 2, FALSE)</f>
        <v>USD</v>
      </c>
      <c r="F2916" s="12">
        <f ca="1">IFERROR(__xludf.DUMMYFUNCTION("IF(E2916=""USD"",B2916,B2916 * GOOGLEFINANCE(""CURRENCY:"" &amp; E2916 &amp; ""USD""))
"),6000000)</f>
        <v>6000000</v>
      </c>
      <c r="G2916" s="13">
        <f ca="1">IFERROR(__xludf.DUMMYFUNCTION("IF(E2916=""USD"",C2916,C2916 * GOOGLEFINANCE(""CURRENCY:"" &amp; E2916 &amp; ""USD""))
"),869325)</f>
        <v>869325</v>
      </c>
    </row>
    <row r="2917" spans="1:7" ht="15.75" customHeight="1" x14ac:dyDescent="0.25">
      <c r="A2917" s="14" t="s">
        <v>24</v>
      </c>
      <c r="B2917" s="15">
        <v>48000000</v>
      </c>
      <c r="C2917" s="15">
        <v>110000082</v>
      </c>
      <c r="D2917" s="15">
        <v>2003</v>
      </c>
      <c r="E2917" s="15" t="str">
        <f>VLOOKUP(A2917, Currency!$A$2:$B$100, 2, FALSE)</f>
        <v>USD</v>
      </c>
      <c r="F2917" s="15">
        <f ca="1">IFERROR(__xludf.DUMMYFUNCTION("IF(E2917=""USD"",B2917,B2917 * GOOGLEFINANCE(""CURRENCY:"" &amp; E2917 &amp; ""USD""))
"),48000000)</f>
        <v>48000000</v>
      </c>
      <c r="G2917" s="16">
        <f ca="1">IFERROR(__xludf.DUMMYFUNCTION("IF(E2917=""USD"",C2917,C2917 * GOOGLEFINANCE(""CURRENCY:"" &amp; E2917 &amp; ""USD""))
"),110000082)</f>
        <v>110000082</v>
      </c>
    </row>
    <row r="2918" spans="1:7" ht="15.75" customHeight="1" x14ac:dyDescent="0.25">
      <c r="A2918" s="11" t="s">
        <v>24</v>
      </c>
      <c r="B2918" s="12">
        <v>37000000</v>
      </c>
      <c r="C2918" s="12">
        <v>20991497</v>
      </c>
      <c r="D2918" s="12">
        <v>2015</v>
      </c>
      <c r="E2918" s="12" t="str">
        <f>VLOOKUP(A2918, Currency!$A$2:$B$100, 2, FALSE)</f>
        <v>USD</v>
      </c>
      <c r="F2918" s="12">
        <f ca="1">IFERROR(__xludf.DUMMYFUNCTION("IF(E2918=""USD"",B2918,B2918 * GOOGLEFINANCE(""CURRENCY:"" &amp; E2918 &amp; ""USD""))
"),37000000)</f>
        <v>37000000</v>
      </c>
      <c r="G2918" s="13">
        <f ca="1">IFERROR(__xludf.DUMMYFUNCTION("IF(E2918=""USD"",C2918,C2918 * GOOGLEFINANCE(""CURRENCY:"" &amp; E2918 &amp; ""USD""))
"),20991497)</f>
        <v>20991497</v>
      </c>
    </row>
    <row r="2919" spans="1:7" ht="15.75" customHeight="1" x14ac:dyDescent="0.25">
      <c r="A2919" s="14" t="s">
        <v>133</v>
      </c>
      <c r="B2919" s="15">
        <v>11000000</v>
      </c>
      <c r="C2919" s="15">
        <v>3034181</v>
      </c>
      <c r="D2919" s="15">
        <v>2002</v>
      </c>
      <c r="E2919" s="15" t="str">
        <f>VLOOKUP(A2919, Currency!$A$2:$B$100, 2, FALSE)</f>
        <v>GBP</v>
      </c>
      <c r="F2919" s="15">
        <f ca="1">IFERROR(__xludf.DUMMYFUNCTION("IF(E2919=""USD"",B2919,B2919 * GOOGLEFINANCE(""CURRENCY:"" &amp; E2919 &amp; ""USD""))
"),14139399.9999999)</f>
        <v>14139399.999999899</v>
      </c>
      <c r="G2919" s="16">
        <f ca="1">IFERROR(__xludf.DUMMYFUNCTION("IF(E2919=""USD"",C2919,C2919 * GOOGLEFINANCE(""CURRENCY:"" &amp; E2919 &amp; ""USD""))
"),3900136.25739999)</f>
        <v>3900136.2573999902</v>
      </c>
    </row>
    <row r="2920" spans="1:7" ht="15.75" customHeight="1" x14ac:dyDescent="0.25">
      <c r="A2920" s="11" t="s">
        <v>24</v>
      </c>
      <c r="B2920" s="12">
        <v>150000</v>
      </c>
      <c r="C2920" s="12">
        <v>2882062</v>
      </c>
      <c r="D2920" s="12">
        <v>2000</v>
      </c>
      <c r="E2920" s="12" t="str">
        <f>VLOOKUP(A2920, Currency!$A$2:$B$100, 2, FALSE)</f>
        <v>USD</v>
      </c>
      <c r="F2920" s="12">
        <f ca="1">IFERROR(__xludf.DUMMYFUNCTION("IF(E2920=""USD"",B2920,B2920 * GOOGLEFINANCE(""CURRENCY:"" &amp; E2920 &amp; ""USD""))
"),150000)</f>
        <v>150000</v>
      </c>
      <c r="G2920" s="13">
        <f ca="1">IFERROR(__xludf.DUMMYFUNCTION("IF(E2920=""USD"",C2920,C2920 * GOOGLEFINANCE(""CURRENCY:"" &amp; E2920 &amp; ""USD""))
"),2882062)</f>
        <v>2882062</v>
      </c>
    </row>
    <row r="2921" spans="1:7" ht="15.75" customHeight="1" x14ac:dyDescent="0.25">
      <c r="A2921" s="14" t="s">
        <v>24</v>
      </c>
      <c r="B2921" s="15">
        <v>1100000</v>
      </c>
      <c r="C2921" s="15">
        <v>11806119</v>
      </c>
      <c r="D2921" s="15">
        <v>1988</v>
      </c>
      <c r="E2921" s="15" t="str">
        <f>VLOOKUP(A2921, Currency!$A$2:$B$100, 2, FALSE)</f>
        <v>USD</v>
      </c>
      <c r="F2921" s="15">
        <f ca="1">IFERROR(__xludf.DUMMYFUNCTION("IF(E2921=""USD"",B2921,B2921 * GOOGLEFINANCE(""CURRENCY:"" &amp; E2921 &amp; ""USD""))
"),1100000)</f>
        <v>1100000</v>
      </c>
      <c r="G2921" s="16">
        <f ca="1">IFERROR(__xludf.DUMMYFUNCTION("IF(E2921=""USD"",C2921,C2921 * GOOGLEFINANCE(""CURRENCY:"" &amp; E2921 &amp; ""USD""))
"),11806119)</f>
        <v>11806119</v>
      </c>
    </row>
    <row r="2922" spans="1:7" ht="15.75" customHeight="1" x14ac:dyDescent="0.25">
      <c r="A2922" s="11" t="s">
        <v>24</v>
      </c>
      <c r="B2922" s="12">
        <v>44000000</v>
      </c>
      <c r="C2922" s="12">
        <v>21471685</v>
      </c>
      <c r="D2922" s="12">
        <v>2000</v>
      </c>
      <c r="E2922" s="12" t="str">
        <f>VLOOKUP(A2922, Currency!$A$2:$B$100, 2, FALSE)</f>
        <v>USD</v>
      </c>
      <c r="F2922" s="12">
        <f ca="1">IFERROR(__xludf.DUMMYFUNCTION("IF(E2922=""USD"",B2922,B2922 * GOOGLEFINANCE(""CURRENCY:"" &amp; E2922 &amp; ""USD""))
"),44000000)</f>
        <v>44000000</v>
      </c>
      <c r="G2922" s="13">
        <f ca="1">IFERROR(__xludf.DUMMYFUNCTION("IF(E2922=""USD"",C2922,C2922 * GOOGLEFINANCE(""CURRENCY:"" &amp; E2922 &amp; ""USD""))
"),21471685)</f>
        <v>21471685</v>
      </c>
    </row>
    <row r="2923" spans="1:7" ht="15.75" customHeight="1" x14ac:dyDescent="0.25">
      <c r="A2923" s="14" t="s">
        <v>24</v>
      </c>
      <c r="B2923" s="15">
        <v>160000000</v>
      </c>
      <c r="C2923" s="15">
        <v>146405371</v>
      </c>
      <c r="D2923" s="15">
        <v>2011</v>
      </c>
      <c r="E2923" s="15" t="str">
        <f>VLOOKUP(A2923, Currency!$A$2:$B$100, 2, FALSE)</f>
        <v>USD</v>
      </c>
      <c r="F2923" s="15">
        <f ca="1">IFERROR(__xludf.DUMMYFUNCTION("IF(E2923=""USD"",B2923,B2923 * GOOGLEFINANCE(""CURRENCY:"" &amp; E2923 &amp; ""USD""))
"),160000000)</f>
        <v>160000000</v>
      </c>
      <c r="G2923" s="16">
        <f ca="1">IFERROR(__xludf.DUMMYFUNCTION("IF(E2923=""USD"",C2923,C2923 * GOOGLEFINANCE(""CURRENCY:"" &amp; E2923 &amp; ""USD""))
"),146405371)</f>
        <v>146405371</v>
      </c>
    </row>
    <row r="2924" spans="1:7" ht="15.75" customHeight="1" x14ac:dyDescent="0.25">
      <c r="A2924" s="11" t="s">
        <v>24</v>
      </c>
      <c r="B2924" s="12">
        <v>60000000</v>
      </c>
      <c r="C2924" s="12">
        <v>77032279</v>
      </c>
      <c r="D2924" s="12">
        <v>2004</v>
      </c>
      <c r="E2924" s="12" t="str">
        <f>VLOOKUP(A2924, Currency!$A$2:$B$100, 2, FALSE)</f>
        <v>USD</v>
      </c>
      <c r="F2924" s="12">
        <f ca="1">IFERROR(__xludf.DUMMYFUNCTION("IF(E2924=""USD"",B2924,B2924 * GOOGLEFINANCE(""CURRENCY:"" &amp; E2924 &amp; ""USD""))
"),60000000)</f>
        <v>60000000</v>
      </c>
      <c r="G2924" s="13">
        <f ca="1">IFERROR(__xludf.DUMMYFUNCTION("IF(E2924=""USD"",C2924,C2924 * GOOGLEFINANCE(""CURRENCY:"" &amp; E2924 &amp; ""USD""))
"),77032279)</f>
        <v>77032279</v>
      </c>
    </row>
    <row r="2925" spans="1:7" ht="15.75" customHeight="1" x14ac:dyDescent="0.25">
      <c r="A2925" s="14" t="s">
        <v>24</v>
      </c>
      <c r="B2925" s="15">
        <v>50000000</v>
      </c>
      <c r="C2925" s="15">
        <v>48265581</v>
      </c>
      <c r="D2925" s="15">
        <v>1997</v>
      </c>
      <c r="E2925" s="15" t="str">
        <f>VLOOKUP(A2925, Currency!$A$2:$B$100, 2, FALSE)</f>
        <v>USD</v>
      </c>
      <c r="F2925" s="15">
        <f ca="1">IFERROR(__xludf.DUMMYFUNCTION("IF(E2925=""USD"",B2925,B2925 * GOOGLEFINANCE(""CURRENCY:"" &amp; E2925 &amp; ""USD""))
"),50000000)</f>
        <v>50000000</v>
      </c>
      <c r="G2925" s="16">
        <f ca="1">IFERROR(__xludf.DUMMYFUNCTION("IF(E2925=""USD"",C2925,C2925 * GOOGLEFINANCE(""CURRENCY:"" &amp; E2925 &amp; ""USD""))
"),48265581)</f>
        <v>48265581</v>
      </c>
    </row>
    <row r="2926" spans="1:7" ht="15.75" customHeight="1" x14ac:dyDescent="0.25">
      <c r="A2926" s="11" t="s">
        <v>24</v>
      </c>
      <c r="B2926" s="12">
        <v>2300000</v>
      </c>
      <c r="C2926" s="12">
        <v>7927</v>
      </c>
      <c r="D2926" s="12">
        <v>1947</v>
      </c>
      <c r="E2926" s="12" t="str">
        <f>VLOOKUP(A2926, Currency!$A$2:$B$100, 2, FALSE)</f>
        <v>USD</v>
      </c>
      <c r="F2926" s="12">
        <f ca="1">IFERROR(__xludf.DUMMYFUNCTION("IF(E2926=""USD"",B2926,B2926 * GOOGLEFINANCE(""CURRENCY:"" &amp; E2926 &amp; ""USD""))
"),2300000)</f>
        <v>2300000</v>
      </c>
      <c r="G2926" s="13">
        <f ca="1">IFERROR(__xludf.DUMMYFUNCTION("IF(E2926=""USD"",C2926,C2926 * GOOGLEFINANCE(""CURRENCY:"" &amp; E2926 &amp; ""USD""))
"),7927)</f>
        <v>7927</v>
      </c>
    </row>
    <row r="2927" spans="1:7" ht="15.75" customHeight="1" x14ac:dyDescent="0.25">
      <c r="A2927" s="14" t="s">
        <v>133</v>
      </c>
      <c r="B2927" s="15">
        <v>35000000</v>
      </c>
      <c r="C2927" s="15">
        <v>13401683</v>
      </c>
      <c r="D2927" s="15">
        <v>2012</v>
      </c>
      <c r="E2927" s="15" t="str">
        <f>VLOOKUP(A2927, Currency!$A$2:$B$100, 2, FALSE)</f>
        <v>GBP</v>
      </c>
      <c r="F2927" s="15">
        <f ca="1">IFERROR(__xludf.DUMMYFUNCTION("IF(E2927=""USD"",B2927,B2927 * GOOGLEFINANCE(""CURRENCY:"" &amp; E2927 &amp; ""USD""))
"),44988999.9999999)</f>
        <v>44988999.999999903</v>
      </c>
      <c r="G2927" s="16">
        <f ca="1">IFERROR(__xludf.DUMMYFUNCTION("IF(E2927=""USD"",C2927,C2927 * GOOGLEFINANCE(""CURRENCY:"" &amp; E2927 &amp; ""USD""))
"),17226523.3281999)</f>
        <v>17226523.328199901</v>
      </c>
    </row>
    <row r="2928" spans="1:7" ht="15.75" customHeight="1" x14ac:dyDescent="0.25">
      <c r="A2928" s="11" t="s">
        <v>24</v>
      </c>
      <c r="B2928" s="12">
        <v>75000000</v>
      </c>
      <c r="C2928" s="12">
        <v>120523073</v>
      </c>
      <c r="D2928" s="12">
        <v>2009</v>
      </c>
      <c r="E2928" s="12" t="str">
        <f>VLOOKUP(A2928, Currency!$A$2:$B$100, 2, FALSE)</f>
        <v>USD</v>
      </c>
      <c r="F2928" s="12">
        <f ca="1">IFERROR(__xludf.DUMMYFUNCTION("IF(E2928=""USD"",B2928,B2928 * GOOGLEFINANCE(""CURRENCY:"" &amp; E2928 &amp; ""USD""))
"),75000000)</f>
        <v>75000000</v>
      </c>
      <c r="G2928" s="13">
        <f ca="1">IFERROR(__xludf.DUMMYFUNCTION("IF(E2928=""USD"",C2928,C2928 * GOOGLEFINANCE(""CURRENCY:"" &amp; E2928 &amp; ""USD""))
"),120523073)</f>
        <v>120523073</v>
      </c>
    </row>
    <row r="2929" spans="1:7" ht="15.75" customHeight="1" x14ac:dyDescent="0.25">
      <c r="A2929" s="14" t="s">
        <v>24</v>
      </c>
      <c r="B2929" s="15">
        <v>35000000</v>
      </c>
      <c r="C2929" s="15">
        <v>10499968</v>
      </c>
      <c r="D2929" s="15">
        <v>2014</v>
      </c>
      <c r="E2929" s="15" t="str">
        <f>VLOOKUP(A2929, Currency!$A$2:$B$100, 2, FALSE)</f>
        <v>USD</v>
      </c>
      <c r="F2929" s="15">
        <f ca="1">IFERROR(__xludf.DUMMYFUNCTION("IF(E2929=""USD"",B2929,B2929 * GOOGLEFINANCE(""CURRENCY:"" &amp; E2929 &amp; ""USD""))
"),35000000)</f>
        <v>35000000</v>
      </c>
      <c r="G2929" s="16">
        <f ca="1">IFERROR(__xludf.DUMMYFUNCTION("IF(E2929=""USD"",C2929,C2929 * GOOGLEFINANCE(""CURRENCY:"" &amp; E2929 &amp; ""USD""))
"),10499968)</f>
        <v>10499968</v>
      </c>
    </row>
    <row r="2930" spans="1:7" ht="15.75" customHeight="1" x14ac:dyDescent="0.25">
      <c r="A2930" s="11" t="s">
        <v>24</v>
      </c>
      <c r="B2930" s="12">
        <v>25000000</v>
      </c>
      <c r="C2930" s="12">
        <v>109713132</v>
      </c>
      <c r="D2930" s="12">
        <v>1986</v>
      </c>
      <c r="E2930" s="12" t="str">
        <f>VLOOKUP(A2930, Currency!$A$2:$B$100, 2, FALSE)</f>
        <v>USD</v>
      </c>
      <c r="F2930" s="12">
        <f ca="1">IFERROR(__xludf.DUMMYFUNCTION("IF(E2930=""USD"",B2930,B2930 * GOOGLEFINANCE(""CURRENCY:"" &amp; E2930 &amp; ""USD""))
"),25000000)</f>
        <v>25000000</v>
      </c>
      <c r="G2930" s="13">
        <f ca="1">IFERROR(__xludf.DUMMYFUNCTION("IF(E2930=""USD"",C2930,C2930 * GOOGLEFINANCE(""CURRENCY:"" &amp; E2930 &amp; ""USD""))
"),109713132)</f>
        <v>109713132</v>
      </c>
    </row>
    <row r="2931" spans="1:7" ht="15.75" customHeight="1" x14ac:dyDescent="0.25">
      <c r="A2931" s="14" t="s">
        <v>24</v>
      </c>
      <c r="B2931" s="15">
        <v>32000000</v>
      </c>
      <c r="C2931" s="15">
        <v>3562749</v>
      </c>
      <c r="D2931" s="15">
        <v>1997</v>
      </c>
      <c r="E2931" s="15" t="str">
        <f>VLOOKUP(A2931, Currency!$A$2:$B$100, 2, FALSE)</f>
        <v>USD</v>
      </c>
      <c r="F2931" s="15">
        <f ca="1">IFERROR(__xludf.DUMMYFUNCTION("IF(E2931=""USD"",B2931,B2931 * GOOGLEFINANCE(""CURRENCY:"" &amp; E2931 &amp; ""USD""))
"),32000000)</f>
        <v>32000000</v>
      </c>
      <c r="G2931" s="16">
        <f ca="1">IFERROR(__xludf.DUMMYFUNCTION("IF(E2931=""USD"",C2931,C2931 * GOOGLEFINANCE(""CURRENCY:"" &amp; E2931 &amp; ""USD""))
"),3562749)</f>
        <v>3562749</v>
      </c>
    </row>
    <row r="2932" spans="1:7" ht="15.75" customHeight="1" x14ac:dyDescent="0.25">
      <c r="A2932" s="11" t="s">
        <v>24</v>
      </c>
      <c r="B2932" s="12">
        <v>50000000</v>
      </c>
      <c r="C2932" s="12">
        <v>62318875</v>
      </c>
      <c r="D2932" s="12">
        <v>2006</v>
      </c>
      <c r="E2932" s="12" t="str">
        <f>VLOOKUP(A2932, Currency!$A$2:$B$100, 2, FALSE)</f>
        <v>USD</v>
      </c>
      <c r="F2932" s="12">
        <f ca="1">IFERROR(__xludf.DUMMYFUNCTION("IF(E2932=""USD"",B2932,B2932 * GOOGLEFINANCE(""CURRENCY:"" &amp; E2932 &amp; ""USD""))
"),50000000)</f>
        <v>50000000</v>
      </c>
      <c r="G2932" s="13">
        <f ca="1">IFERROR(__xludf.DUMMYFUNCTION("IF(E2932=""USD"",C2932,C2932 * GOOGLEFINANCE(""CURRENCY:"" &amp; E2932 &amp; ""USD""))
"),62318875)</f>
        <v>62318875</v>
      </c>
    </row>
    <row r="2933" spans="1:7" ht="15.75" customHeight="1" x14ac:dyDescent="0.25">
      <c r="A2933" s="14" t="s">
        <v>24</v>
      </c>
      <c r="B2933" s="15">
        <v>40000000</v>
      </c>
      <c r="C2933" s="15">
        <v>37752931</v>
      </c>
      <c r="D2933" s="15">
        <v>2000</v>
      </c>
      <c r="E2933" s="15" t="str">
        <f>VLOOKUP(A2933, Currency!$A$2:$B$100, 2, FALSE)</f>
        <v>USD</v>
      </c>
      <c r="F2933" s="15">
        <f ca="1">IFERROR(__xludf.DUMMYFUNCTION("IF(E2933=""USD"",B2933,B2933 * GOOGLEFINANCE(""CURRENCY:"" &amp; E2933 &amp; ""USD""))
"),40000000)</f>
        <v>40000000</v>
      </c>
      <c r="G2933" s="16">
        <f ca="1">IFERROR(__xludf.DUMMYFUNCTION("IF(E2933=""USD"",C2933,C2933 * GOOGLEFINANCE(""CURRENCY:"" &amp; E2933 &amp; ""USD""))
"),37752931)</f>
        <v>37752931</v>
      </c>
    </row>
    <row r="2934" spans="1:7" ht="15.75" customHeight="1" x14ac:dyDescent="0.25">
      <c r="A2934" s="11" t="s">
        <v>24</v>
      </c>
      <c r="B2934" s="12">
        <v>36000000</v>
      </c>
      <c r="C2934" s="12">
        <v>44175394</v>
      </c>
      <c r="D2934" s="12">
        <v>1997</v>
      </c>
      <c r="E2934" s="12" t="str">
        <f>VLOOKUP(A2934, Currency!$A$2:$B$100, 2, FALSE)</f>
        <v>USD</v>
      </c>
      <c r="F2934" s="12">
        <f ca="1">IFERROR(__xludf.DUMMYFUNCTION("IF(E2934=""USD"",B2934,B2934 * GOOGLEFINANCE(""CURRENCY:"" &amp; E2934 &amp; ""USD""))
"),36000000)</f>
        <v>36000000</v>
      </c>
      <c r="G2934" s="13">
        <f ca="1">IFERROR(__xludf.DUMMYFUNCTION("IF(E2934=""USD"",C2934,C2934 * GOOGLEFINANCE(""CURRENCY:"" &amp; E2934 &amp; ""USD""))
"),44175394)</f>
        <v>44175394</v>
      </c>
    </row>
    <row r="2935" spans="1:7" ht="15.75" customHeight="1" x14ac:dyDescent="0.25">
      <c r="A2935" s="14" t="s">
        <v>24</v>
      </c>
      <c r="B2935" s="15">
        <v>65000000</v>
      </c>
      <c r="C2935" s="15">
        <v>54758461</v>
      </c>
      <c r="D2935" s="15">
        <v>2012</v>
      </c>
      <c r="E2935" s="15" t="str">
        <f>VLOOKUP(A2935, Currency!$A$2:$B$100, 2, FALSE)</f>
        <v>USD</v>
      </c>
      <c r="F2935" s="15">
        <f ca="1">IFERROR(__xludf.DUMMYFUNCTION("IF(E2935=""USD"",B2935,B2935 * GOOGLEFINANCE(""CURRENCY:"" &amp; E2935 &amp; ""USD""))
"),65000000)</f>
        <v>65000000</v>
      </c>
      <c r="G2935" s="16">
        <f ca="1">IFERROR(__xludf.DUMMYFUNCTION("IF(E2935=""USD"",C2935,C2935 * GOOGLEFINANCE(""CURRENCY:"" &amp; E2935 &amp; ""USD""))
"),54758461)</f>
        <v>54758461</v>
      </c>
    </row>
    <row r="2936" spans="1:7" ht="15.75" customHeight="1" x14ac:dyDescent="0.25">
      <c r="A2936" s="11" t="s">
        <v>24</v>
      </c>
      <c r="B2936" s="12">
        <v>6500000</v>
      </c>
      <c r="C2936" s="12">
        <v>70527</v>
      </c>
      <c r="D2936" s="12">
        <v>2004</v>
      </c>
      <c r="E2936" s="12" t="str">
        <f>VLOOKUP(A2936, Currency!$A$2:$B$100, 2, FALSE)</f>
        <v>USD</v>
      </c>
      <c r="F2936" s="12">
        <f ca="1">IFERROR(__xludf.DUMMYFUNCTION("IF(E2936=""USD"",B2936,B2936 * GOOGLEFINANCE(""CURRENCY:"" &amp; E2936 &amp; ""USD""))
"),6500000)</f>
        <v>6500000</v>
      </c>
      <c r="G2936" s="13">
        <f ca="1">IFERROR(__xludf.DUMMYFUNCTION("IF(E2936=""USD"",C2936,C2936 * GOOGLEFINANCE(""CURRENCY:"" &amp; E2936 &amp; ""USD""))
"),70527)</f>
        <v>70527</v>
      </c>
    </row>
    <row r="2937" spans="1:7" ht="15.75" customHeight="1" x14ac:dyDescent="0.25">
      <c r="A2937" s="14" t="s">
        <v>24</v>
      </c>
      <c r="B2937" s="15">
        <v>200000000</v>
      </c>
      <c r="C2937" s="15">
        <v>233914986</v>
      </c>
      <c r="D2937" s="15">
        <v>2014</v>
      </c>
      <c r="E2937" s="15" t="str">
        <f>VLOOKUP(A2937, Currency!$A$2:$B$100, 2, FALSE)</f>
        <v>USD</v>
      </c>
      <c r="F2937" s="15">
        <f ca="1">IFERROR(__xludf.DUMMYFUNCTION("IF(E2937=""USD"",B2937,B2937 * GOOGLEFINANCE(""CURRENCY:"" &amp; E2937 &amp; ""USD""))
"),200000000)</f>
        <v>200000000</v>
      </c>
      <c r="G2937" s="16">
        <f ca="1">IFERROR(__xludf.DUMMYFUNCTION("IF(E2937=""USD"",C2937,C2937 * GOOGLEFINANCE(""CURRENCY:"" &amp; E2937 &amp; ""USD""))
"),233914986)</f>
        <v>233914986</v>
      </c>
    </row>
    <row r="2938" spans="1:7" ht="15.75" customHeight="1" x14ac:dyDescent="0.25">
      <c r="A2938" s="11" t="s">
        <v>627</v>
      </c>
      <c r="B2938" s="12">
        <v>18000000</v>
      </c>
      <c r="C2938" s="12">
        <v>7739049</v>
      </c>
      <c r="D2938" s="12">
        <v>2004</v>
      </c>
      <c r="E2938" s="12" t="str">
        <f>VLOOKUP(A2938, Currency!$A$2:$B$100, 2, FALSE)</f>
        <v>CAD</v>
      </c>
      <c r="F2938" s="12">
        <f ca="1">IFERROR(__xludf.DUMMYFUNCTION("IF(E2938=""USD"",B2938,B2938 * GOOGLEFINANCE(""CURRENCY:"" &amp; E2938 &amp; ""USD""))
"),13021290)</f>
        <v>13021290</v>
      </c>
      <c r="G2938" s="13">
        <f ca="1">IFERROR(__xludf.DUMMYFUNCTION("IF(E2938=""USD"",C2938,C2938 * GOOGLEFINANCE(""CURRENCY:"" &amp; E2938 &amp; ""USD""))
"),5598466.741845)</f>
        <v>5598466.7418449996</v>
      </c>
    </row>
    <row r="2939" spans="1:7" ht="15.75" customHeight="1" x14ac:dyDescent="0.25">
      <c r="A2939" s="14" t="s">
        <v>24</v>
      </c>
      <c r="B2939" s="15">
        <v>17000000</v>
      </c>
      <c r="C2939" s="15">
        <v>82234139</v>
      </c>
      <c r="D2939" s="15">
        <v>2007</v>
      </c>
      <c r="E2939" s="15" t="str">
        <f>VLOOKUP(A2939, Currency!$A$2:$B$100, 2, FALSE)</f>
        <v>USD</v>
      </c>
      <c r="F2939" s="15">
        <f ca="1">IFERROR(__xludf.DUMMYFUNCTION("IF(E2939=""USD"",B2939,B2939 * GOOGLEFINANCE(""CURRENCY:"" &amp; E2939 &amp; ""USD""))
"),17000000)</f>
        <v>17000000</v>
      </c>
      <c r="G2939" s="16">
        <f ca="1">IFERROR(__xludf.DUMMYFUNCTION("IF(E2939=""USD"",C2939,C2939 * GOOGLEFINANCE(""CURRENCY:"" &amp; E2939 &amp; ""USD""))
"),82234139)</f>
        <v>82234139</v>
      </c>
    </row>
    <row r="2940" spans="1:7" ht="15.75" customHeight="1" x14ac:dyDescent="0.25">
      <c r="A2940" s="11" t="s">
        <v>24</v>
      </c>
      <c r="B2940" s="12">
        <v>45000000</v>
      </c>
      <c r="C2940" s="12">
        <v>92115211</v>
      </c>
      <c r="D2940" s="12">
        <v>1994</v>
      </c>
      <c r="E2940" s="12" t="str">
        <f>VLOOKUP(A2940, Currency!$A$2:$B$100, 2, FALSE)</f>
        <v>USD</v>
      </c>
      <c r="F2940" s="12">
        <f ca="1">IFERROR(__xludf.DUMMYFUNCTION("IF(E2940=""USD"",B2940,B2940 * GOOGLEFINANCE(""CURRENCY:"" &amp; E2940 &amp; ""USD""))
"),45000000)</f>
        <v>45000000</v>
      </c>
      <c r="G2940" s="13">
        <f ca="1">IFERROR(__xludf.DUMMYFUNCTION("IF(E2940=""USD"",C2940,C2940 * GOOGLEFINANCE(""CURRENCY:"" &amp; E2940 &amp; ""USD""))
"),92115211)</f>
        <v>92115211</v>
      </c>
    </row>
    <row r="2941" spans="1:7" ht="15.75" customHeight="1" x14ac:dyDescent="0.25">
      <c r="A2941" s="14" t="s">
        <v>24</v>
      </c>
      <c r="B2941" s="15">
        <v>16000000</v>
      </c>
      <c r="C2941" s="15">
        <v>39825798</v>
      </c>
      <c r="D2941" s="15">
        <v>2006</v>
      </c>
      <c r="E2941" s="15" t="str">
        <f>VLOOKUP(A2941, Currency!$A$2:$B$100, 2, FALSE)</f>
        <v>USD</v>
      </c>
      <c r="F2941" s="15">
        <f ca="1">IFERROR(__xludf.DUMMYFUNCTION("IF(E2941=""USD"",B2941,B2941 * GOOGLEFINANCE(""CURRENCY:"" &amp; E2941 &amp; ""USD""))
"),16000000)</f>
        <v>16000000</v>
      </c>
      <c r="G2941" s="16">
        <f ca="1">IFERROR(__xludf.DUMMYFUNCTION("IF(E2941=""USD"",C2941,C2941 * GOOGLEFINANCE(""CURRENCY:"" &amp; E2941 &amp; ""USD""))
"),39825798)</f>
        <v>39825798</v>
      </c>
    </row>
    <row r="2942" spans="1:7" ht="15.75" customHeight="1" x14ac:dyDescent="0.25">
      <c r="A2942" s="11" t="s">
        <v>24</v>
      </c>
      <c r="B2942" s="12">
        <v>17000000</v>
      </c>
      <c r="C2942" s="12">
        <v>8662318</v>
      </c>
      <c r="D2942" s="12">
        <v>2009</v>
      </c>
      <c r="E2942" s="12" t="str">
        <f>VLOOKUP(A2942, Currency!$A$2:$B$100, 2, FALSE)</f>
        <v>USD</v>
      </c>
      <c r="F2942" s="12">
        <f ca="1">IFERROR(__xludf.DUMMYFUNCTION("IF(E2942=""USD"",B2942,B2942 * GOOGLEFINANCE(""CURRENCY:"" &amp; E2942 &amp; ""USD""))
"),17000000)</f>
        <v>17000000</v>
      </c>
      <c r="G2942" s="13">
        <f ca="1">IFERROR(__xludf.DUMMYFUNCTION("IF(E2942=""USD"",C2942,C2942 * GOOGLEFINANCE(""CURRENCY:"" &amp; E2942 &amp; ""USD""))
"),8662318)</f>
        <v>8662318</v>
      </c>
    </row>
    <row r="2943" spans="1:7" ht="15.75" customHeight="1" x14ac:dyDescent="0.25">
      <c r="A2943" s="14" t="s">
        <v>24</v>
      </c>
      <c r="B2943" s="15">
        <v>225000</v>
      </c>
      <c r="C2943" s="15">
        <v>1027119</v>
      </c>
      <c r="D2943" s="15">
        <v>2000</v>
      </c>
      <c r="E2943" s="15" t="str">
        <f>VLOOKUP(A2943, Currency!$A$2:$B$100, 2, FALSE)</f>
        <v>USD</v>
      </c>
      <c r="F2943" s="15">
        <f ca="1">IFERROR(__xludf.DUMMYFUNCTION("IF(E2943=""USD"",B2943,B2943 * GOOGLEFINANCE(""CURRENCY:"" &amp; E2943 &amp; ""USD""))
"),225000)</f>
        <v>225000</v>
      </c>
      <c r="G2943" s="16">
        <f ca="1">IFERROR(__xludf.DUMMYFUNCTION("IF(E2943=""USD"",C2943,C2943 * GOOGLEFINANCE(""CURRENCY:"" &amp; E2943 &amp; ""USD""))
"),1027119)</f>
        <v>1027119</v>
      </c>
    </row>
    <row r="2944" spans="1:7" ht="15.75" customHeight="1" x14ac:dyDescent="0.25">
      <c r="A2944" s="11" t="s">
        <v>24</v>
      </c>
      <c r="B2944" s="12">
        <v>88000000</v>
      </c>
      <c r="C2944" s="12">
        <v>78747585</v>
      </c>
      <c r="D2944" s="12">
        <v>2015</v>
      </c>
      <c r="E2944" s="12" t="str">
        <f>VLOOKUP(A2944, Currency!$A$2:$B$100, 2, FALSE)</f>
        <v>USD</v>
      </c>
      <c r="F2944" s="12">
        <f ca="1">IFERROR(__xludf.DUMMYFUNCTION("IF(E2944=""USD"",B2944,B2944 * GOOGLEFINANCE(""CURRENCY:"" &amp; E2944 &amp; ""USD""))
"),88000000)</f>
        <v>88000000</v>
      </c>
      <c r="G2944" s="13">
        <f ca="1">IFERROR(__xludf.DUMMYFUNCTION("IF(E2944=""USD"",C2944,C2944 * GOOGLEFINANCE(""CURRENCY:"" &amp; E2944 &amp; ""USD""))
"),78747585)</f>
        <v>78747585</v>
      </c>
    </row>
    <row r="2945" spans="1:7" ht="15.75" customHeight="1" x14ac:dyDescent="0.25">
      <c r="A2945" s="14" t="s">
        <v>24</v>
      </c>
      <c r="B2945" s="15">
        <v>8495000</v>
      </c>
      <c r="C2945" s="15">
        <v>1712111</v>
      </c>
      <c r="D2945" s="15">
        <v>2015</v>
      </c>
      <c r="E2945" s="15" t="str">
        <f>VLOOKUP(A2945, Currency!$A$2:$B$100, 2, FALSE)</f>
        <v>USD</v>
      </c>
      <c r="F2945" s="15">
        <f ca="1">IFERROR(__xludf.DUMMYFUNCTION("IF(E2945=""USD"",B2945,B2945 * GOOGLEFINANCE(""CURRENCY:"" &amp; E2945 &amp; ""USD""))
"),8495000)</f>
        <v>8495000</v>
      </c>
      <c r="G2945" s="16">
        <f ca="1">IFERROR(__xludf.DUMMYFUNCTION("IF(E2945=""USD"",C2945,C2945 * GOOGLEFINANCE(""CURRENCY:"" &amp; E2945 &amp; ""USD""))
"),1712111)</f>
        <v>1712111</v>
      </c>
    </row>
    <row r="2946" spans="1:7" ht="15.75" customHeight="1" x14ac:dyDescent="0.25">
      <c r="A2946" s="11" t="s">
        <v>24</v>
      </c>
      <c r="B2946" s="12">
        <v>20000000</v>
      </c>
      <c r="C2946" s="12">
        <v>25677801</v>
      </c>
      <c r="D2946" s="12">
        <v>2010</v>
      </c>
      <c r="E2946" s="12" t="str">
        <f>VLOOKUP(A2946, Currency!$A$2:$B$100, 2, FALSE)</f>
        <v>USD</v>
      </c>
      <c r="F2946" s="12">
        <f ca="1">IFERROR(__xludf.DUMMYFUNCTION("IF(E2946=""USD"",B2946,B2946 * GOOGLEFINANCE(""CURRENCY:"" &amp; E2946 &amp; ""USD""))
"),20000000)</f>
        <v>20000000</v>
      </c>
      <c r="G2946" s="13">
        <f ca="1">IFERROR(__xludf.DUMMYFUNCTION("IF(E2946=""USD"",C2946,C2946 * GOOGLEFINANCE(""CURRENCY:"" &amp; E2946 &amp; ""USD""))
"),25677801)</f>
        <v>25677801</v>
      </c>
    </row>
    <row r="2947" spans="1:7" ht="15.75" customHeight="1" x14ac:dyDescent="0.25">
      <c r="A2947" s="14" t="s">
        <v>133</v>
      </c>
      <c r="B2947" s="15">
        <v>25000000</v>
      </c>
      <c r="C2947" s="15">
        <v>8600000</v>
      </c>
      <c r="D2947" s="15">
        <v>1984</v>
      </c>
      <c r="E2947" s="15" t="str">
        <f>VLOOKUP(A2947, Currency!$A$2:$B$100, 2, FALSE)</f>
        <v>GBP</v>
      </c>
      <c r="F2947" s="15">
        <f ca="1">IFERROR(__xludf.DUMMYFUNCTION("IF(E2947=""USD"",B2947,B2947 * GOOGLEFINANCE(""CURRENCY:"" &amp; E2947 &amp; ""USD""))
"),32134999.9999999)</f>
        <v>32134999.999999899</v>
      </c>
      <c r="G2947" s="16">
        <f ca="1">IFERROR(__xludf.DUMMYFUNCTION("IF(E2947=""USD"",C2947,C2947 * GOOGLEFINANCE(""CURRENCY:"" &amp; E2947 &amp; ""USD""))
"),11054439.9999999)</f>
        <v>11054439.999999899</v>
      </c>
    </row>
    <row r="2948" spans="1:7" ht="15.75" customHeight="1" x14ac:dyDescent="0.25">
      <c r="A2948" s="11" t="s">
        <v>24</v>
      </c>
      <c r="B2948" s="12">
        <v>23000000</v>
      </c>
      <c r="C2948" s="12">
        <v>58006147</v>
      </c>
      <c r="D2948" s="12">
        <v>2008</v>
      </c>
      <c r="E2948" s="12" t="str">
        <f>VLOOKUP(A2948, Currency!$A$2:$B$100, 2, FALSE)</f>
        <v>USD</v>
      </c>
      <c r="F2948" s="12">
        <f ca="1">IFERROR(__xludf.DUMMYFUNCTION("IF(E2948=""USD"",B2948,B2948 * GOOGLEFINANCE(""CURRENCY:"" &amp; E2948 &amp; ""USD""))
"),23000000)</f>
        <v>23000000</v>
      </c>
      <c r="G2948" s="13">
        <f ca="1">IFERROR(__xludf.DUMMYFUNCTION("IF(E2948=""USD"",C2948,C2948 * GOOGLEFINANCE(""CURRENCY:"" &amp; E2948 &amp; ""USD""))
"),58006147)</f>
        <v>58006147</v>
      </c>
    </row>
    <row r="2949" spans="1:7" ht="15.75" customHeight="1" x14ac:dyDescent="0.25">
      <c r="A2949" s="14" t="s">
        <v>24</v>
      </c>
      <c r="B2949" s="15">
        <v>8700000</v>
      </c>
      <c r="C2949" s="15">
        <v>5480996</v>
      </c>
      <c r="D2949" s="15">
        <v>2006</v>
      </c>
      <c r="E2949" s="15" t="str">
        <f>VLOOKUP(A2949, Currency!$A$2:$B$100, 2, FALSE)</f>
        <v>USD</v>
      </c>
      <c r="F2949" s="15">
        <f ca="1">IFERROR(__xludf.DUMMYFUNCTION("IF(E2949=""USD"",B2949,B2949 * GOOGLEFINANCE(""CURRENCY:"" &amp; E2949 &amp; ""USD""))
"),8700000)</f>
        <v>8700000</v>
      </c>
      <c r="G2949" s="16">
        <f ca="1">IFERROR(__xludf.DUMMYFUNCTION("IF(E2949=""USD"",C2949,C2949 * GOOGLEFINANCE(""CURRENCY:"" &amp; E2949 &amp; ""USD""))
"),5480996)</f>
        <v>5480996</v>
      </c>
    </row>
    <row r="2950" spans="1:7" ht="15.75" customHeight="1" x14ac:dyDescent="0.25">
      <c r="A2950" s="11" t="s">
        <v>24</v>
      </c>
      <c r="B2950" s="12">
        <v>45000000</v>
      </c>
      <c r="C2950" s="12">
        <v>35617599</v>
      </c>
      <c r="D2950" s="12">
        <v>1995</v>
      </c>
      <c r="E2950" s="12" t="str">
        <f>VLOOKUP(A2950, Currency!$A$2:$B$100, 2, FALSE)</f>
        <v>USD</v>
      </c>
      <c r="F2950" s="12">
        <f ca="1">IFERROR(__xludf.DUMMYFUNCTION("IF(E2950=""USD"",B2950,B2950 * GOOGLEFINANCE(""CURRENCY:"" &amp; E2950 &amp; ""USD""))
"),45000000)</f>
        <v>45000000</v>
      </c>
      <c r="G2950" s="13">
        <f ca="1">IFERROR(__xludf.DUMMYFUNCTION("IF(E2950=""USD"",C2950,C2950 * GOOGLEFINANCE(""CURRENCY:"" &amp; E2950 &amp; ""USD""))
"),35617599)</f>
        <v>35617599</v>
      </c>
    </row>
    <row r="2951" spans="1:7" ht="15.75" customHeight="1" x14ac:dyDescent="0.25">
      <c r="A2951" s="14" t="s">
        <v>24</v>
      </c>
      <c r="B2951" s="15">
        <v>60000000</v>
      </c>
      <c r="C2951" s="15">
        <v>26288320</v>
      </c>
      <c r="D2951" s="15">
        <v>2003</v>
      </c>
      <c r="E2951" s="15" t="str">
        <f>VLOOKUP(A2951, Currency!$A$2:$B$100, 2, FALSE)</f>
        <v>USD</v>
      </c>
      <c r="F2951" s="15">
        <f ca="1">IFERROR(__xludf.DUMMYFUNCTION("IF(E2951=""USD"",B2951,B2951 * GOOGLEFINANCE(""CURRENCY:"" &amp; E2951 &amp; ""USD""))
"),60000000)</f>
        <v>60000000</v>
      </c>
      <c r="G2951" s="16">
        <f ca="1">IFERROR(__xludf.DUMMYFUNCTION("IF(E2951=""USD"",C2951,C2951 * GOOGLEFINANCE(""CURRENCY:"" &amp; E2951 &amp; ""USD""))
"),26288320)</f>
        <v>26288320</v>
      </c>
    </row>
    <row r="2952" spans="1:7" ht="15.75" customHeight="1" x14ac:dyDescent="0.25">
      <c r="A2952" s="11" t="s">
        <v>24</v>
      </c>
      <c r="B2952" s="12">
        <v>1800000</v>
      </c>
      <c r="C2952" s="12">
        <v>26505000</v>
      </c>
      <c r="D2952" s="12">
        <v>1984</v>
      </c>
      <c r="E2952" s="12" t="str">
        <f>VLOOKUP(A2952, Currency!$A$2:$B$100, 2, FALSE)</f>
        <v>USD</v>
      </c>
      <c r="F2952" s="12">
        <f ca="1">IFERROR(__xludf.DUMMYFUNCTION("IF(E2952=""USD"",B2952,B2952 * GOOGLEFINANCE(""CURRENCY:"" &amp; E2952 &amp; ""USD""))
"),1800000)</f>
        <v>1800000</v>
      </c>
      <c r="G2952" s="13">
        <f ca="1">IFERROR(__xludf.DUMMYFUNCTION("IF(E2952=""USD"",C2952,C2952 * GOOGLEFINANCE(""CURRENCY:"" &amp; E2952 &amp; ""USD""))
"),26505000)</f>
        <v>26505000</v>
      </c>
    </row>
    <row r="2953" spans="1:7" ht="15.75" customHeight="1" x14ac:dyDescent="0.25">
      <c r="A2953" s="14" t="s">
        <v>24</v>
      </c>
      <c r="B2953" s="15">
        <v>1200000</v>
      </c>
      <c r="C2953" s="15">
        <v>58936</v>
      </c>
      <c r="D2953" s="15">
        <v>2001</v>
      </c>
      <c r="E2953" s="15" t="str">
        <f>VLOOKUP(A2953, Currency!$A$2:$B$100, 2, FALSE)</f>
        <v>USD</v>
      </c>
      <c r="F2953" s="15">
        <f ca="1">IFERROR(__xludf.DUMMYFUNCTION("IF(E2953=""USD"",B2953,B2953 * GOOGLEFINANCE(""CURRENCY:"" &amp; E2953 &amp; ""USD""))
"),1200000)</f>
        <v>1200000</v>
      </c>
      <c r="G2953" s="16">
        <f ca="1">IFERROR(__xludf.DUMMYFUNCTION("IF(E2953=""USD"",C2953,C2953 * GOOGLEFINANCE(""CURRENCY:"" &amp; E2953 &amp; ""USD""))
"),58936)</f>
        <v>58936</v>
      </c>
    </row>
    <row r="2954" spans="1:7" ht="15.75" customHeight="1" x14ac:dyDescent="0.25">
      <c r="A2954" s="11" t="s">
        <v>24</v>
      </c>
      <c r="B2954" s="12">
        <v>35000000</v>
      </c>
      <c r="C2954" s="12">
        <v>43792641</v>
      </c>
      <c r="D2954" s="12">
        <v>2007</v>
      </c>
      <c r="E2954" s="12" t="str">
        <f>VLOOKUP(A2954, Currency!$A$2:$B$100, 2, FALSE)</f>
        <v>USD</v>
      </c>
      <c r="F2954" s="12">
        <f ca="1">IFERROR(__xludf.DUMMYFUNCTION("IF(E2954=""USD"",B2954,B2954 * GOOGLEFINANCE(""CURRENCY:"" &amp; E2954 &amp; ""USD""))
"),35000000)</f>
        <v>35000000</v>
      </c>
      <c r="G2954" s="13">
        <f ca="1">IFERROR(__xludf.DUMMYFUNCTION("IF(E2954=""USD"",C2954,C2954 * GOOGLEFINANCE(""CURRENCY:"" &amp; E2954 &amp; ""USD""))
"),43792641)</f>
        <v>43792641</v>
      </c>
    </row>
    <row r="2955" spans="1:7" ht="15.75" customHeight="1" x14ac:dyDescent="0.25">
      <c r="A2955" s="14" t="s">
        <v>6573</v>
      </c>
      <c r="B2955" s="15">
        <v>21000000</v>
      </c>
      <c r="C2955" s="15">
        <v>4398392</v>
      </c>
      <c r="D2955" s="15">
        <v>2006</v>
      </c>
      <c r="E2955" s="15" t="str">
        <f>VLOOKUP(A2955, Currency!$A$2:$B$100, 2, FALSE)</f>
        <v>EUR</v>
      </c>
      <c r="F2955" s="15">
        <f ca="1">IFERROR(__xludf.DUMMYFUNCTION("IF(E2955=""USD"",B2955,B2955 * GOOGLEFINANCE(""CURRENCY:"" &amp; E2955 &amp; ""USD""))
"),22779540)</f>
        <v>22779540</v>
      </c>
      <c r="G2955" s="16">
        <f ca="1">IFERROR(__xludf.DUMMYFUNCTION("IF(E2955=""USD"",C2955,C2955 * GOOGLEFINANCE(""CURRENCY:"" &amp; E2955 &amp; ""USD""))
"),4771111.73808)</f>
        <v>4771111.7380799996</v>
      </c>
    </row>
    <row r="2956" spans="1:7" ht="15.75" customHeight="1" x14ac:dyDescent="0.25">
      <c r="A2956" s="11" t="s">
        <v>24</v>
      </c>
      <c r="B2956" s="12">
        <v>60000000</v>
      </c>
      <c r="C2956" s="12">
        <v>73648142</v>
      </c>
      <c r="D2956" s="12">
        <v>1999</v>
      </c>
      <c r="E2956" s="12" t="str">
        <f>VLOOKUP(A2956, Currency!$A$2:$B$100, 2, FALSE)</f>
        <v>USD</v>
      </c>
      <c r="F2956" s="12">
        <f ca="1">IFERROR(__xludf.DUMMYFUNCTION("IF(E2956=""USD"",B2956,B2956 * GOOGLEFINANCE(""CURRENCY:"" &amp; E2956 &amp; ""USD""))
"),60000000)</f>
        <v>60000000</v>
      </c>
      <c r="G2956" s="13">
        <f ca="1">IFERROR(__xludf.DUMMYFUNCTION("IF(E2956=""USD"",C2956,C2956 * GOOGLEFINANCE(""CURRENCY:"" &amp; E2956 &amp; ""USD""))
"),73648142)</f>
        <v>73648142</v>
      </c>
    </row>
    <row r="2957" spans="1:7" ht="15.75" customHeight="1" x14ac:dyDescent="0.25">
      <c r="A2957" s="14" t="s">
        <v>24</v>
      </c>
      <c r="B2957" s="15">
        <v>40000000</v>
      </c>
      <c r="C2957" s="15">
        <v>5773519</v>
      </c>
      <c r="D2957" s="15">
        <v>2015</v>
      </c>
      <c r="E2957" s="15" t="str">
        <f>VLOOKUP(A2957, Currency!$A$2:$B$100, 2, FALSE)</f>
        <v>USD</v>
      </c>
      <c r="F2957" s="15">
        <f ca="1">IFERROR(__xludf.DUMMYFUNCTION("IF(E2957=""USD"",B2957,B2957 * GOOGLEFINANCE(""CURRENCY:"" &amp; E2957 &amp; ""USD""))
"),40000000)</f>
        <v>40000000</v>
      </c>
      <c r="G2957" s="16">
        <f ca="1">IFERROR(__xludf.DUMMYFUNCTION("IF(E2957=""USD"",C2957,C2957 * GOOGLEFINANCE(""CURRENCY:"" &amp; E2957 &amp; ""USD""))
"),5773519)</f>
        <v>5773519</v>
      </c>
    </row>
    <row r="2958" spans="1:7" ht="15.75" customHeight="1" x14ac:dyDescent="0.25">
      <c r="A2958" s="11" t="s">
        <v>133</v>
      </c>
      <c r="B2958" s="12">
        <v>15000000</v>
      </c>
      <c r="C2958" s="12">
        <v>35887263</v>
      </c>
      <c r="D2958" s="12">
        <v>2014</v>
      </c>
      <c r="E2958" s="12" t="str">
        <f>VLOOKUP(A2958, Currency!$A$2:$B$100, 2, FALSE)</f>
        <v>GBP</v>
      </c>
      <c r="F2958" s="12">
        <f ca="1">IFERROR(__xludf.DUMMYFUNCTION("IF(E2958=""USD"",B2958,B2958 * GOOGLEFINANCE(""CURRENCY:"" &amp; E2958 &amp; ""USD""))
"),19281000)</f>
        <v>19281000</v>
      </c>
      <c r="G2958" s="13">
        <f ca="1">IFERROR(__xludf.DUMMYFUNCTION("IF(E2958=""USD"",C2958,C2958 * GOOGLEFINANCE(""CURRENCY:"" &amp; E2958 &amp; ""USD""))
"),46129487.8601999)</f>
        <v>46129487.860199898</v>
      </c>
    </row>
    <row r="2959" spans="1:7" ht="15.75" customHeight="1" x14ac:dyDescent="0.25">
      <c r="A2959" s="14" t="s">
        <v>1220</v>
      </c>
      <c r="B2959" s="15">
        <v>10818775</v>
      </c>
      <c r="C2959" s="15">
        <v>5669081</v>
      </c>
      <c r="D2959" s="15">
        <v>2012</v>
      </c>
      <c r="E2959" s="15" t="str">
        <f>VLOOKUP(A2959, Currency!$A$2:$B$100, 2, FALSE)</f>
        <v>MXN</v>
      </c>
      <c r="F2959" s="15">
        <f ca="1">IFERROR(__xludf.DUMMYFUNCTION("IF(E2959=""USD"",B2959,B2959 * GOOGLEFINANCE(""CURRENCY:"" &amp; E2959 &amp; ""USD""))
"),586428.34505475)</f>
        <v>586428.34505474998</v>
      </c>
      <c r="G2959" s="16">
        <f ca="1">IFERROR(__xludf.DUMMYFUNCTION("IF(E2959=""USD"",C2959,C2959 * GOOGLEFINANCE(""CURRENCY:"" &amp; E2959 &amp; ""USD""))
"),307290.778189889)</f>
        <v>307290.77818988898</v>
      </c>
    </row>
    <row r="2960" spans="1:7" ht="15.75" customHeight="1" x14ac:dyDescent="0.25">
      <c r="A2960" s="11" t="s">
        <v>1220</v>
      </c>
      <c r="B2960" s="12">
        <v>10000000</v>
      </c>
      <c r="C2960" s="12">
        <v>169379</v>
      </c>
      <c r="D2960" s="12">
        <v>2013</v>
      </c>
      <c r="E2960" s="12" t="str">
        <f>VLOOKUP(A2960, Currency!$A$2:$B$100, 2, FALSE)</f>
        <v>MXN</v>
      </c>
      <c r="F2960" s="12">
        <f ca="1">IFERROR(__xludf.DUMMYFUNCTION("IF(E2960=""USD"",B2960,B2960 * GOOGLEFINANCE(""CURRENCY:"" &amp; E2960 &amp; ""USD""))
"),542046.9)</f>
        <v>542046.9</v>
      </c>
      <c r="G2960" s="13">
        <f ca="1">IFERROR(__xludf.DUMMYFUNCTION("IF(E2960=""USD"",C2960,C2960 * GOOGLEFINANCE(""CURRENCY:"" &amp; E2960 &amp; ""USD""))
"),9181.13618751)</f>
        <v>9181.1361875099992</v>
      </c>
    </row>
    <row r="2961" spans="1:7" ht="15.75" customHeight="1" x14ac:dyDescent="0.25">
      <c r="A2961" s="14" t="s">
        <v>24</v>
      </c>
      <c r="B2961" s="15">
        <v>125000000</v>
      </c>
      <c r="C2961" s="15">
        <v>337103873</v>
      </c>
      <c r="D2961" s="15">
        <v>2014</v>
      </c>
      <c r="E2961" s="15" t="str">
        <f>VLOOKUP(A2961, Currency!$A$2:$B$100, 2, FALSE)</f>
        <v>USD</v>
      </c>
      <c r="F2961" s="15">
        <f ca="1">IFERROR(__xludf.DUMMYFUNCTION("IF(E2961=""USD"",B2961,B2961 * GOOGLEFINANCE(""CURRENCY:"" &amp; E2961 &amp; ""USD""))
"),125000000)</f>
        <v>125000000</v>
      </c>
      <c r="G2961" s="16">
        <f ca="1">IFERROR(__xludf.DUMMYFUNCTION("IF(E2961=""USD"",C2961,C2961 * GOOGLEFINANCE(""CURRENCY:"" &amp; E2961 &amp; ""USD""))
"),337103873)</f>
        <v>337103873</v>
      </c>
    </row>
    <row r="2962" spans="1:7" ht="15.75" customHeight="1" x14ac:dyDescent="0.25">
      <c r="A2962" s="11" t="s">
        <v>24</v>
      </c>
      <c r="B2962" s="12">
        <v>10000000</v>
      </c>
      <c r="C2962" s="12">
        <v>3333823</v>
      </c>
      <c r="D2962" s="12">
        <v>2012</v>
      </c>
      <c r="E2962" s="12" t="str">
        <f>VLOOKUP(A2962, Currency!$A$2:$B$100, 2, FALSE)</f>
        <v>USD</v>
      </c>
      <c r="F2962" s="12">
        <f ca="1">IFERROR(__xludf.DUMMYFUNCTION("IF(E2962=""USD"",B2962,B2962 * GOOGLEFINANCE(""CURRENCY:"" &amp; E2962 &amp; ""USD""))
"),10000000)</f>
        <v>10000000</v>
      </c>
      <c r="G2962" s="13">
        <f ca="1">IFERROR(__xludf.DUMMYFUNCTION("IF(E2962=""USD"",C2962,C2962 * GOOGLEFINANCE(""CURRENCY:"" &amp; E2962 &amp; ""USD""))
"),3333823)</f>
        <v>3333823</v>
      </c>
    </row>
    <row r="2963" spans="1:7" ht="15.75" customHeight="1" x14ac:dyDescent="0.25">
      <c r="A2963" s="14" t="s">
        <v>24</v>
      </c>
      <c r="B2963" s="15">
        <v>35000000</v>
      </c>
      <c r="C2963" s="15">
        <v>30669413</v>
      </c>
      <c r="D2963" s="15">
        <v>1990</v>
      </c>
      <c r="E2963" s="15" t="str">
        <f>VLOOKUP(A2963, Currency!$A$2:$B$100, 2, FALSE)</f>
        <v>USD</v>
      </c>
      <c r="F2963" s="15">
        <f ca="1">IFERROR(__xludf.DUMMYFUNCTION("IF(E2963=""USD"",B2963,B2963 * GOOGLEFINANCE(""CURRENCY:"" &amp; E2963 &amp; ""USD""))
"),35000000)</f>
        <v>35000000</v>
      </c>
      <c r="G2963" s="16">
        <f ca="1">IFERROR(__xludf.DUMMYFUNCTION("IF(E2963=""USD"",C2963,C2963 * GOOGLEFINANCE(""CURRENCY:"" &amp; E2963 &amp; ""USD""))
"),30669413)</f>
        <v>30669413</v>
      </c>
    </row>
    <row r="2964" spans="1:7" ht="15.75" customHeight="1" x14ac:dyDescent="0.25">
      <c r="A2964" s="11" t="s">
        <v>133</v>
      </c>
      <c r="B2964" s="12">
        <v>60000000</v>
      </c>
      <c r="C2964" s="12">
        <v>62401264</v>
      </c>
      <c r="D2964" s="12">
        <v>2016</v>
      </c>
      <c r="E2964" s="12" t="str">
        <f>VLOOKUP(A2964, Currency!$A$2:$B$100, 2, FALSE)</f>
        <v>GBP</v>
      </c>
      <c r="F2964" s="12">
        <f ca="1">IFERROR(__xludf.DUMMYFUNCTION("IF(E2964=""USD"",B2964,B2964 * GOOGLEFINANCE(""CURRENCY:"" &amp; E2964 &amp; ""USD""))
"),77124000)</f>
        <v>77124000</v>
      </c>
      <c r="G2964" s="13">
        <f ca="1">IFERROR(__xludf.DUMMYFUNCTION("IF(E2964=""USD"",C2964,C2964 * GOOGLEFINANCE(""CURRENCY:"" &amp; E2964 &amp; ""USD""))
"),80210584.7455999)</f>
        <v>80210584.745599896</v>
      </c>
    </row>
    <row r="2965" spans="1:7" ht="15.75" customHeight="1" x14ac:dyDescent="0.25">
      <c r="A2965" s="14" t="s">
        <v>220</v>
      </c>
      <c r="B2965" s="15">
        <v>19400000</v>
      </c>
      <c r="C2965" s="15">
        <v>8047690</v>
      </c>
      <c r="D2965" s="15">
        <v>2006</v>
      </c>
      <c r="E2965" s="15" t="str">
        <f>VLOOKUP(A2965, Currency!$A$2:$B$100, 2, FALSE)</f>
        <v>CNY</v>
      </c>
      <c r="F2965" s="15">
        <f ca="1">IFERROR(__xludf.DUMMYFUNCTION("IF(E2965=""USD"",B2965,B2965 * GOOGLEFINANCE(""CURRENCY:"" &amp; E2965 &amp; ""USD""))
"),2682707.65999999)</f>
        <v>2682707.6599999899</v>
      </c>
      <c r="G2965" s="16">
        <f ca="1">IFERROR(__xludf.DUMMYFUNCTION("IF(E2965=""USD"",C2965,C2965 * GOOGLEFINANCE(""CURRENCY:"" &amp; E2965 &amp; ""USD""))
"),1112865.95919099)</f>
        <v>1112865.9591909901</v>
      </c>
    </row>
    <row r="2966" spans="1:7" ht="15.75" customHeight="1" x14ac:dyDescent="0.25">
      <c r="A2966" s="11" t="s">
        <v>24</v>
      </c>
      <c r="B2966" s="12">
        <v>185000000</v>
      </c>
      <c r="C2966" s="12">
        <v>237282182</v>
      </c>
      <c r="D2966" s="12">
        <v>2012</v>
      </c>
      <c r="E2966" s="12" t="str">
        <f>VLOOKUP(A2966, Currency!$A$2:$B$100, 2, FALSE)</f>
        <v>USD</v>
      </c>
      <c r="F2966" s="12">
        <f ca="1">IFERROR(__xludf.DUMMYFUNCTION("IF(E2966=""USD"",B2966,B2966 * GOOGLEFINANCE(""CURRENCY:"" &amp; E2966 &amp; ""USD""))
"),185000000)</f>
        <v>185000000</v>
      </c>
      <c r="G2966" s="13">
        <f ca="1">IFERROR(__xludf.DUMMYFUNCTION("IF(E2966=""USD"",C2966,C2966 * GOOGLEFINANCE(""CURRENCY:"" &amp; E2966 &amp; ""USD""))
"),237282182)</f>
        <v>237282182</v>
      </c>
    </row>
    <row r="2967" spans="1:7" ht="15.75" customHeight="1" x14ac:dyDescent="0.25">
      <c r="A2967" s="14" t="s">
        <v>24</v>
      </c>
      <c r="B2967" s="15">
        <v>27000000</v>
      </c>
      <c r="C2967" s="15">
        <v>8712564</v>
      </c>
      <c r="D2967" s="15">
        <v>2004</v>
      </c>
      <c r="E2967" s="15" t="str">
        <f>VLOOKUP(A2967, Currency!$A$2:$B$100, 2, FALSE)</f>
        <v>USD</v>
      </c>
      <c r="F2967" s="15">
        <f ca="1">IFERROR(__xludf.DUMMYFUNCTION("IF(E2967=""USD"",B2967,B2967 * GOOGLEFINANCE(""CURRENCY:"" &amp; E2967 &amp; ""USD""))
"),27000000)</f>
        <v>27000000</v>
      </c>
      <c r="G2967" s="16">
        <f ca="1">IFERROR(__xludf.DUMMYFUNCTION("IF(E2967=""USD"",C2967,C2967 * GOOGLEFINANCE(""CURRENCY:"" &amp; E2967 &amp; ""USD""))
"),8712564)</f>
        <v>8712564</v>
      </c>
    </row>
    <row r="2968" spans="1:7" ht="15.75" customHeight="1" x14ac:dyDescent="0.25">
      <c r="A2968" s="11" t="s">
        <v>24</v>
      </c>
      <c r="B2968" s="12">
        <v>30000000</v>
      </c>
      <c r="C2968" s="12">
        <v>37036404</v>
      </c>
      <c r="D2968" s="12">
        <v>2000</v>
      </c>
      <c r="E2968" s="12" t="str">
        <f>VLOOKUP(A2968, Currency!$A$2:$B$100, 2, FALSE)</f>
        <v>USD</v>
      </c>
      <c r="F2968" s="12">
        <f ca="1">IFERROR(__xludf.DUMMYFUNCTION("IF(E2968=""USD"",B2968,B2968 * GOOGLEFINANCE(""CURRENCY:"" &amp; E2968 &amp; ""USD""))
"),30000000)</f>
        <v>30000000</v>
      </c>
      <c r="G2968" s="13">
        <f ca="1">IFERROR(__xludf.DUMMYFUNCTION("IF(E2968=""USD"",C2968,C2968 * GOOGLEFINANCE(""CURRENCY:"" &amp; E2968 &amp; ""USD""))
"),37036404)</f>
        <v>37036404</v>
      </c>
    </row>
    <row r="2969" spans="1:7" ht="15.75" customHeight="1" x14ac:dyDescent="0.25">
      <c r="A2969" s="14" t="s">
        <v>24</v>
      </c>
      <c r="B2969" s="15">
        <v>70000000</v>
      </c>
      <c r="C2969" s="15">
        <v>37901509</v>
      </c>
      <c r="D2969" s="15">
        <v>1997</v>
      </c>
      <c r="E2969" s="15" t="str">
        <f>VLOOKUP(A2969, Currency!$A$2:$B$100, 2, FALSE)</f>
        <v>USD</v>
      </c>
      <c r="F2969" s="15">
        <f ca="1">IFERROR(__xludf.DUMMYFUNCTION("IF(E2969=""USD"",B2969,B2969 * GOOGLEFINANCE(""CURRENCY:"" &amp; E2969 &amp; ""USD""))
"),70000000)</f>
        <v>70000000</v>
      </c>
      <c r="G2969" s="16">
        <f ca="1">IFERROR(__xludf.DUMMYFUNCTION("IF(E2969=""USD"",C2969,C2969 * GOOGLEFINANCE(""CURRENCY:"" &amp; E2969 &amp; ""USD""))
"),37901509)</f>
        <v>37901509</v>
      </c>
    </row>
    <row r="2970" spans="1:7" ht="15.75" customHeight="1" x14ac:dyDescent="0.25">
      <c r="A2970" s="11" t="s">
        <v>24</v>
      </c>
      <c r="B2970" s="12">
        <v>55000000</v>
      </c>
      <c r="C2970" s="12">
        <v>141600000</v>
      </c>
      <c r="D2970" s="12">
        <v>1995</v>
      </c>
      <c r="E2970" s="12" t="str">
        <f>VLOOKUP(A2970, Currency!$A$2:$B$100, 2, FALSE)</f>
        <v>USD</v>
      </c>
      <c r="F2970" s="12">
        <f ca="1">IFERROR(__xludf.DUMMYFUNCTION("IF(E2970=""USD"",B2970,B2970 * GOOGLEFINANCE(""CURRENCY:"" &amp; E2970 &amp; ""USD""))
"),55000000)</f>
        <v>55000000</v>
      </c>
      <c r="G2970" s="13">
        <f ca="1">IFERROR(__xludf.DUMMYFUNCTION("IF(E2970=""USD"",C2970,C2970 * GOOGLEFINANCE(""CURRENCY:"" &amp; E2970 &amp; ""USD""))
"),141600000)</f>
        <v>141600000</v>
      </c>
    </row>
    <row r="2971" spans="1:7" ht="15.75" customHeight="1" x14ac:dyDescent="0.25">
      <c r="A2971" s="14" t="s">
        <v>611</v>
      </c>
      <c r="B2971" s="15">
        <v>25000000</v>
      </c>
      <c r="C2971" s="15">
        <v>717753</v>
      </c>
      <c r="D2971" s="15">
        <v>2012</v>
      </c>
      <c r="E2971" s="15" t="str">
        <f>VLOOKUP(A2971, Currency!$A$2:$B$100, 2, FALSE)</f>
        <v>EUR</v>
      </c>
      <c r="F2971" s="15">
        <f ca="1">IFERROR(__xludf.DUMMYFUNCTION("IF(E2971=""USD"",B2971,B2971 * GOOGLEFINANCE(""CURRENCY:"" &amp; E2971 &amp; ""USD""))
"),27118500)</f>
        <v>27118500</v>
      </c>
      <c r="G2971" s="16">
        <f ca="1">IFERROR(__xludf.DUMMYFUNCTION("IF(E2971=""USD"",C2971,C2971 * GOOGLEFINANCE(""CURRENCY:"" &amp; E2971 &amp; ""USD""))
"),778575.38922)</f>
        <v>778575.38922000001</v>
      </c>
    </row>
    <row r="2972" spans="1:7" ht="15.75" customHeight="1" x14ac:dyDescent="0.25">
      <c r="A2972" s="11" t="s">
        <v>24</v>
      </c>
      <c r="B2972" s="12">
        <v>48000000</v>
      </c>
      <c r="C2972" s="12">
        <v>37879996</v>
      </c>
      <c r="D2972" s="12">
        <v>2000</v>
      </c>
      <c r="E2972" s="12" t="str">
        <f>VLOOKUP(A2972, Currency!$A$2:$B$100, 2, FALSE)</f>
        <v>USD</v>
      </c>
      <c r="F2972" s="12">
        <f ca="1">IFERROR(__xludf.DUMMYFUNCTION("IF(E2972=""USD"",B2972,B2972 * GOOGLEFINANCE(""CURRENCY:"" &amp; E2972 &amp; ""USD""))
"),48000000)</f>
        <v>48000000</v>
      </c>
      <c r="G2972" s="13">
        <f ca="1">IFERROR(__xludf.DUMMYFUNCTION("IF(E2972=""USD"",C2972,C2972 * GOOGLEFINANCE(""CURRENCY:"" &amp; E2972 &amp; ""USD""))
"),37879996)</f>
        <v>37879996</v>
      </c>
    </row>
    <row r="2973" spans="1:7" ht="15.75" customHeight="1" x14ac:dyDescent="0.25">
      <c r="A2973" s="14" t="s">
        <v>24</v>
      </c>
      <c r="B2973" s="15">
        <v>10000000</v>
      </c>
      <c r="C2973" s="15">
        <v>6619173</v>
      </c>
      <c r="D2973" s="15">
        <v>2012</v>
      </c>
      <c r="E2973" s="15" t="str">
        <f>VLOOKUP(A2973, Currency!$A$2:$B$100, 2, FALSE)</f>
        <v>USD</v>
      </c>
      <c r="F2973" s="15">
        <f ca="1">IFERROR(__xludf.DUMMYFUNCTION("IF(E2973=""USD"",B2973,B2973 * GOOGLEFINANCE(""CURRENCY:"" &amp; E2973 &amp; ""USD""))
"),10000000)</f>
        <v>10000000</v>
      </c>
      <c r="G2973" s="16">
        <f ca="1">IFERROR(__xludf.DUMMYFUNCTION("IF(E2973=""USD"",C2973,C2973 * GOOGLEFINANCE(""CURRENCY:"" &amp; E2973 &amp; ""USD""))
"),6619173)</f>
        <v>6619173</v>
      </c>
    </row>
    <row r="2974" spans="1:7" ht="15.75" customHeight="1" x14ac:dyDescent="0.25">
      <c r="A2974" s="11" t="s">
        <v>24</v>
      </c>
      <c r="B2974" s="12">
        <v>18000000</v>
      </c>
      <c r="C2974" s="12">
        <v>290158751</v>
      </c>
      <c r="D2974" s="12">
        <v>1980</v>
      </c>
      <c r="E2974" s="12" t="str">
        <f>VLOOKUP(A2974, Currency!$A$2:$B$100, 2, FALSE)</f>
        <v>USD</v>
      </c>
      <c r="F2974" s="12">
        <f ca="1">IFERROR(__xludf.DUMMYFUNCTION("IF(E2974=""USD"",B2974,B2974 * GOOGLEFINANCE(""CURRENCY:"" &amp; E2974 &amp; ""USD""))
"),18000000)</f>
        <v>18000000</v>
      </c>
      <c r="G2974" s="13">
        <f ca="1">IFERROR(__xludf.DUMMYFUNCTION("IF(E2974=""USD"",C2974,C2974 * GOOGLEFINANCE(""CURRENCY:"" &amp; E2974 &amp; ""USD""))
"),290158751)</f>
        <v>290158751</v>
      </c>
    </row>
    <row r="2975" spans="1:7" ht="15.75" customHeight="1" x14ac:dyDescent="0.25">
      <c r="A2975" s="14" t="s">
        <v>24</v>
      </c>
      <c r="B2975" s="15">
        <v>40000000</v>
      </c>
      <c r="C2975" s="15">
        <v>89138076</v>
      </c>
      <c r="D2975" s="15">
        <v>2000</v>
      </c>
      <c r="E2975" s="15" t="str">
        <f>VLOOKUP(A2975, Currency!$A$2:$B$100, 2, FALSE)</f>
        <v>USD</v>
      </c>
      <c r="F2975" s="15">
        <f ca="1">IFERROR(__xludf.DUMMYFUNCTION("IF(E2975=""USD"",B2975,B2975 * GOOGLEFINANCE(""CURRENCY:"" &amp; E2975 &amp; ""USD""))
"),40000000)</f>
        <v>40000000</v>
      </c>
      <c r="G2975" s="16">
        <f ca="1">IFERROR(__xludf.DUMMYFUNCTION("IF(E2975=""USD"",C2975,C2975 * GOOGLEFINANCE(""CURRENCY:"" &amp; E2975 &amp; ""USD""))
"),89138076)</f>
        <v>89138076</v>
      </c>
    </row>
    <row r="2976" spans="1:7" ht="15.75" customHeight="1" x14ac:dyDescent="0.25">
      <c r="A2976" s="11" t="s">
        <v>24</v>
      </c>
      <c r="B2976" s="12">
        <v>123000000</v>
      </c>
      <c r="C2976" s="12">
        <v>260031035</v>
      </c>
      <c r="D2976" s="12">
        <v>2000</v>
      </c>
      <c r="E2976" s="12" t="str">
        <f>VLOOKUP(A2976, Currency!$A$2:$B$100, 2, FALSE)</f>
        <v>USD</v>
      </c>
      <c r="F2976" s="12">
        <f ca="1">IFERROR(__xludf.DUMMYFUNCTION("IF(E2976=""USD"",B2976,B2976 * GOOGLEFINANCE(""CURRENCY:"" &amp; E2976 &amp; ""USD""))
"),123000000)</f>
        <v>123000000</v>
      </c>
      <c r="G2976" s="13">
        <f ca="1">IFERROR(__xludf.DUMMYFUNCTION("IF(E2976=""USD"",C2976,C2976 * GOOGLEFINANCE(""CURRENCY:"" &amp; E2976 &amp; ""USD""))
"),260031035)</f>
        <v>260031035</v>
      </c>
    </row>
    <row r="2977" spans="1:7" ht="15.75" customHeight="1" x14ac:dyDescent="0.25">
      <c r="A2977" s="14" t="s">
        <v>133</v>
      </c>
      <c r="B2977" s="15">
        <v>1000000</v>
      </c>
      <c r="C2977" s="15">
        <v>396035</v>
      </c>
      <c r="D2977" s="15">
        <v>2004</v>
      </c>
      <c r="E2977" s="15" t="str">
        <f>VLOOKUP(A2977, Currency!$A$2:$B$100, 2, FALSE)</f>
        <v>GBP</v>
      </c>
      <c r="F2977" s="15">
        <f ca="1">IFERROR(__xludf.DUMMYFUNCTION("IF(E2977=""USD"",B2977,B2977 * GOOGLEFINANCE(""CURRENCY:"" &amp; E2977 &amp; ""USD""))
"),1285399.99999999)</f>
        <v>1285399.99999999</v>
      </c>
      <c r="G2977" s="16">
        <f ca="1">IFERROR(__xludf.DUMMYFUNCTION("IF(E2977=""USD"",C2977,C2977 * GOOGLEFINANCE(""CURRENCY:"" &amp; E2977 &amp; ""USD""))
"),509063.388999999)</f>
        <v>509063.38899999898</v>
      </c>
    </row>
    <row r="2978" spans="1:7" ht="15.75" customHeight="1" x14ac:dyDescent="0.25">
      <c r="A2978" s="11" t="s">
        <v>24</v>
      </c>
      <c r="B2978" s="12">
        <v>3000000</v>
      </c>
      <c r="C2978" s="12">
        <v>13684949</v>
      </c>
      <c r="D2978" s="12">
        <v>2002</v>
      </c>
      <c r="E2978" s="12" t="str">
        <f>VLOOKUP(A2978, Currency!$A$2:$B$100, 2, FALSE)</f>
        <v>USD</v>
      </c>
      <c r="F2978" s="12">
        <f ca="1">IFERROR(__xludf.DUMMYFUNCTION("IF(E2978=""USD"",B2978,B2978 * GOOGLEFINANCE(""CURRENCY:"" &amp; E2978 &amp; ""USD""))
"),3000000)</f>
        <v>3000000</v>
      </c>
      <c r="G2978" s="13">
        <f ca="1">IFERROR(__xludf.DUMMYFUNCTION("IF(E2978=""USD"",C2978,C2978 * GOOGLEFINANCE(""CURRENCY:"" &amp; E2978 &amp; ""USD""))
"),13684949)</f>
        <v>13684949</v>
      </c>
    </row>
    <row r="2979" spans="1:7" ht="15.75" customHeight="1" x14ac:dyDescent="0.25">
      <c r="A2979" s="14" t="s">
        <v>24</v>
      </c>
      <c r="B2979" s="15">
        <v>3000000</v>
      </c>
      <c r="C2979" s="15">
        <v>38168022</v>
      </c>
      <c r="D2979" s="15">
        <v>2000</v>
      </c>
      <c r="E2979" s="15" t="str">
        <f>VLOOKUP(A2979, Currency!$A$2:$B$100, 2, FALSE)</f>
        <v>USD</v>
      </c>
      <c r="F2979" s="15">
        <f ca="1">IFERROR(__xludf.DUMMYFUNCTION("IF(E2979=""USD"",B2979,B2979 * GOOGLEFINANCE(""CURRENCY:"" &amp; E2979 &amp; ""USD""))
"),3000000)</f>
        <v>3000000</v>
      </c>
      <c r="G2979" s="16">
        <f ca="1">IFERROR(__xludf.DUMMYFUNCTION("IF(E2979=""USD"",C2979,C2979 * GOOGLEFINANCE(""CURRENCY:"" &amp; E2979 &amp; ""USD""))
"),38168022)</f>
        <v>38168022</v>
      </c>
    </row>
    <row r="2980" spans="1:7" ht="15.75" customHeight="1" x14ac:dyDescent="0.25">
      <c r="A2980" s="11" t="s">
        <v>24</v>
      </c>
      <c r="B2980" s="12">
        <v>28000000</v>
      </c>
      <c r="C2980" s="12">
        <v>6998324</v>
      </c>
      <c r="D2980" s="12">
        <v>2015</v>
      </c>
      <c r="E2980" s="12" t="str">
        <f>VLOOKUP(A2980, Currency!$A$2:$B$100, 2, FALSE)</f>
        <v>USD</v>
      </c>
      <c r="F2980" s="12">
        <f ca="1">IFERROR(__xludf.DUMMYFUNCTION("IF(E2980=""USD"",B2980,B2980 * GOOGLEFINANCE(""CURRENCY:"" &amp; E2980 &amp; ""USD""))
"),28000000)</f>
        <v>28000000</v>
      </c>
      <c r="G2980" s="13">
        <f ca="1">IFERROR(__xludf.DUMMYFUNCTION("IF(E2980=""USD"",C2980,C2980 * GOOGLEFINANCE(""CURRENCY:"" &amp; E2980 &amp; ""USD""))
"),6998324)</f>
        <v>6998324</v>
      </c>
    </row>
    <row r="2981" spans="1:7" ht="15.75" customHeight="1" x14ac:dyDescent="0.25">
      <c r="A2981" s="14" t="s">
        <v>24</v>
      </c>
      <c r="B2981" s="15">
        <v>7500000</v>
      </c>
      <c r="C2981" s="15">
        <v>10460089</v>
      </c>
      <c r="D2981" s="15">
        <v>2002</v>
      </c>
      <c r="E2981" s="15" t="str">
        <f>VLOOKUP(A2981, Currency!$A$2:$B$100, 2, FALSE)</f>
        <v>USD</v>
      </c>
      <c r="F2981" s="15">
        <f ca="1">IFERROR(__xludf.DUMMYFUNCTION("IF(E2981=""USD"",B2981,B2981 * GOOGLEFINANCE(""CURRENCY:"" &amp; E2981 &amp; ""USD""))
"),7500000)</f>
        <v>7500000</v>
      </c>
      <c r="G2981" s="16">
        <f ca="1">IFERROR(__xludf.DUMMYFUNCTION("IF(E2981=""USD"",C2981,C2981 * GOOGLEFINANCE(""CURRENCY:"" &amp; E2981 &amp; ""USD""))
"),10460089)</f>
        <v>10460089</v>
      </c>
    </row>
    <row r="2982" spans="1:7" ht="15.75" customHeight="1" x14ac:dyDescent="0.25">
      <c r="A2982" s="11" t="s">
        <v>24</v>
      </c>
      <c r="B2982" s="12">
        <v>165000000</v>
      </c>
      <c r="C2982" s="12">
        <v>222487711</v>
      </c>
      <c r="D2982" s="12">
        <v>2014</v>
      </c>
      <c r="E2982" s="12" t="str">
        <f>VLOOKUP(A2982, Currency!$A$2:$B$100, 2, FALSE)</f>
        <v>USD</v>
      </c>
      <c r="F2982" s="12">
        <f ca="1">IFERROR(__xludf.DUMMYFUNCTION("IF(E2982=""USD"",B2982,B2982 * GOOGLEFINANCE(""CURRENCY:"" &amp; E2982 &amp; ""USD""))
"),165000000)</f>
        <v>165000000</v>
      </c>
      <c r="G2982" s="13">
        <f ca="1">IFERROR(__xludf.DUMMYFUNCTION("IF(E2982=""USD"",C2982,C2982 * GOOGLEFINANCE(""CURRENCY:"" &amp; E2982 &amp; ""USD""))
"),222487711)</f>
        <v>222487711</v>
      </c>
    </row>
    <row r="2983" spans="1:7" ht="15.75" customHeight="1" x14ac:dyDescent="0.25">
      <c r="A2983" s="14" t="s">
        <v>176</v>
      </c>
      <c r="B2983" s="15">
        <v>17000000</v>
      </c>
      <c r="C2983" s="15">
        <v>6855137</v>
      </c>
      <c r="D2983" s="15">
        <v>2006</v>
      </c>
      <c r="E2983" s="15" t="str">
        <f>VLOOKUP(A2983, Currency!$A$2:$B$100, 2, FALSE)</f>
        <v>EUR</v>
      </c>
      <c r="F2983" s="15">
        <f ca="1">IFERROR(__xludf.DUMMYFUNCTION("IF(E2983=""USD"",B2983,B2983 * GOOGLEFINANCE(""CURRENCY:"" &amp; E2983 &amp; ""USD""))
"),18440580)</f>
        <v>18440580</v>
      </c>
      <c r="G2983" s="16">
        <f ca="1">IFERROR(__xludf.DUMMYFUNCTION("IF(E2983=""USD"",C2983,C2983 * GOOGLEFINANCE(""CURRENCY:"" &amp; E2983 &amp; ""USD""))
"),7436041.30938)</f>
        <v>7436041.3093800005</v>
      </c>
    </row>
    <row r="2984" spans="1:7" ht="15.75" customHeight="1" x14ac:dyDescent="0.25">
      <c r="A2984" s="11" t="s">
        <v>24</v>
      </c>
      <c r="B2984" s="12">
        <v>4000000</v>
      </c>
      <c r="C2984" s="12">
        <v>562059</v>
      </c>
      <c r="D2984" s="12">
        <v>2002</v>
      </c>
      <c r="E2984" s="12" t="str">
        <f>VLOOKUP(A2984, Currency!$A$2:$B$100, 2, FALSE)</f>
        <v>USD</v>
      </c>
      <c r="F2984" s="12">
        <f ca="1">IFERROR(__xludf.DUMMYFUNCTION("IF(E2984=""USD"",B2984,B2984 * GOOGLEFINANCE(""CURRENCY:"" &amp; E2984 &amp; ""USD""))
"),4000000)</f>
        <v>4000000</v>
      </c>
      <c r="G2984" s="13">
        <f ca="1">IFERROR(__xludf.DUMMYFUNCTION("IF(E2984=""USD"",C2984,C2984 * GOOGLEFINANCE(""CURRENCY:"" &amp; E2984 &amp; ""USD""))
"),562059)</f>
        <v>562059</v>
      </c>
    </row>
    <row r="2985" spans="1:7" ht="15.75" customHeight="1" x14ac:dyDescent="0.25">
      <c r="A2985" s="14" t="s">
        <v>24</v>
      </c>
      <c r="B2985" s="15">
        <v>6000000</v>
      </c>
      <c r="C2985" s="15">
        <v>2077046</v>
      </c>
      <c r="D2985" s="15">
        <v>2008</v>
      </c>
      <c r="E2985" s="15" t="str">
        <f>VLOOKUP(A2985, Currency!$A$2:$B$100, 2, FALSE)</f>
        <v>USD</v>
      </c>
      <c r="F2985" s="15">
        <f ca="1">IFERROR(__xludf.DUMMYFUNCTION("IF(E2985=""USD"",B2985,B2985 * GOOGLEFINANCE(""CURRENCY:"" &amp; E2985 &amp; ""USD""))
"),6000000)</f>
        <v>6000000</v>
      </c>
      <c r="G2985" s="16">
        <f ca="1">IFERROR(__xludf.DUMMYFUNCTION("IF(E2985=""USD"",C2985,C2985 * GOOGLEFINANCE(""CURRENCY:"" &amp; E2985 &amp; ""USD""))
"),2077046)</f>
        <v>2077046</v>
      </c>
    </row>
    <row r="2986" spans="1:7" ht="15.75" customHeight="1" x14ac:dyDescent="0.25">
      <c r="A2986" s="11" t="s">
        <v>24</v>
      </c>
      <c r="B2986" s="12">
        <v>8000000</v>
      </c>
      <c r="C2986" s="12">
        <v>18090181</v>
      </c>
      <c r="D2986" s="12">
        <v>1994</v>
      </c>
      <c r="E2986" s="12" t="str">
        <f>VLOOKUP(A2986, Currency!$A$2:$B$100, 2, FALSE)</f>
        <v>USD</v>
      </c>
      <c r="F2986" s="12">
        <f ca="1">IFERROR(__xludf.DUMMYFUNCTION("IF(E2986=""USD"",B2986,B2986 * GOOGLEFINANCE(""CURRENCY:"" &amp; E2986 &amp; ""USD""))
"),8000000)</f>
        <v>8000000</v>
      </c>
      <c r="G2986" s="13">
        <f ca="1">IFERROR(__xludf.DUMMYFUNCTION("IF(E2986=""USD"",C2986,C2986 * GOOGLEFINANCE(""CURRENCY:"" &amp; E2986 &amp; ""USD""))
"),18090181)</f>
        <v>18090181</v>
      </c>
    </row>
    <row r="2987" spans="1:7" ht="15.75" customHeight="1" x14ac:dyDescent="0.25">
      <c r="A2987" s="14" t="s">
        <v>24</v>
      </c>
      <c r="B2987" s="15">
        <v>31000000</v>
      </c>
      <c r="C2987" s="15">
        <v>24185781</v>
      </c>
      <c r="D2987" s="15">
        <v>2001</v>
      </c>
      <c r="E2987" s="15" t="str">
        <f>VLOOKUP(A2987, Currency!$A$2:$B$100, 2, FALSE)</f>
        <v>USD</v>
      </c>
      <c r="F2987" s="15">
        <f ca="1">IFERROR(__xludf.DUMMYFUNCTION("IF(E2987=""USD"",B2987,B2987 * GOOGLEFINANCE(""CURRENCY:"" &amp; E2987 &amp; ""USD""))
"),31000000)</f>
        <v>31000000</v>
      </c>
      <c r="G2987" s="16">
        <f ca="1">IFERROR(__xludf.DUMMYFUNCTION("IF(E2987=""USD"",C2987,C2987 * GOOGLEFINANCE(""CURRENCY:"" &amp; E2987 &amp; ""USD""))
"),24185781)</f>
        <v>24185781</v>
      </c>
    </row>
    <row r="2988" spans="1:7" ht="15.75" customHeight="1" x14ac:dyDescent="0.25">
      <c r="A2988" s="11" t="s">
        <v>24</v>
      </c>
      <c r="B2988" s="12">
        <v>37000000</v>
      </c>
      <c r="C2988" s="12">
        <v>20991497</v>
      </c>
      <c r="D2988" s="12">
        <v>2015</v>
      </c>
      <c r="E2988" s="12" t="str">
        <f>VLOOKUP(A2988, Currency!$A$2:$B$100, 2, FALSE)</f>
        <v>USD</v>
      </c>
      <c r="F2988" s="12">
        <f ca="1">IFERROR(__xludf.DUMMYFUNCTION("IF(E2988=""USD"",B2988,B2988 * GOOGLEFINANCE(""CURRENCY:"" &amp; E2988 &amp; ""USD""))
"),37000000)</f>
        <v>37000000</v>
      </c>
      <c r="G2988" s="13">
        <f ca="1">IFERROR(__xludf.DUMMYFUNCTION("IF(E2988=""USD"",C2988,C2988 * GOOGLEFINANCE(""CURRENCY:"" &amp; E2988 &amp; ""USD""))
"),20991497)</f>
        <v>20991497</v>
      </c>
    </row>
    <row r="2989" spans="1:7" ht="15.75" customHeight="1" x14ac:dyDescent="0.25">
      <c r="A2989" s="14" t="s">
        <v>6573</v>
      </c>
      <c r="B2989" s="15">
        <v>4500000</v>
      </c>
      <c r="C2989" s="15">
        <v>713413</v>
      </c>
      <c r="D2989" s="15">
        <v>1997</v>
      </c>
      <c r="E2989" s="15" t="str">
        <f>VLOOKUP(A2989, Currency!$A$2:$B$100, 2, FALSE)</f>
        <v>EUR</v>
      </c>
      <c r="F2989" s="15">
        <f ca="1">IFERROR(__xludf.DUMMYFUNCTION("IF(E2989=""USD"",B2989,B2989 * GOOGLEFINANCE(""CURRENCY:"" &amp; E2989 &amp; ""USD""))
"),4881330)</f>
        <v>4881330</v>
      </c>
      <c r="G2989" s="16">
        <f ca="1">IFERROR(__xludf.DUMMYFUNCTION("IF(E2989=""USD"",C2989,C2989 * GOOGLEFINANCE(""CURRENCY:"" &amp; E2989 &amp; ""USD""))
"),773867.61762)</f>
        <v>773867.61762000003</v>
      </c>
    </row>
    <row r="2990" spans="1:7" ht="15.75" customHeight="1" x14ac:dyDescent="0.25">
      <c r="A2990" s="11" t="s">
        <v>24</v>
      </c>
      <c r="B2990" s="12">
        <v>110000000</v>
      </c>
      <c r="C2990" s="12">
        <v>66002193</v>
      </c>
      <c r="D2990" s="12">
        <v>2016</v>
      </c>
      <c r="E2990" s="12" t="str">
        <f>VLOOKUP(A2990, Currency!$A$2:$B$100, 2, FALSE)</f>
        <v>USD</v>
      </c>
      <c r="F2990" s="12">
        <f ca="1">IFERROR(__xludf.DUMMYFUNCTION("IF(E2990=""USD"",B2990,B2990 * GOOGLEFINANCE(""CURRENCY:"" &amp; E2990 &amp; ""USD""))
"),110000000)</f>
        <v>110000000</v>
      </c>
      <c r="G2990" s="13">
        <f ca="1">IFERROR(__xludf.DUMMYFUNCTION("IF(E2990=""USD"",C2990,C2990 * GOOGLEFINANCE(""CURRENCY:"" &amp; E2990 &amp; ""USD""))
"),66002193)</f>
        <v>66002193</v>
      </c>
    </row>
    <row r="2991" spans="1:7" ht="15.75" customHeight="1" x14ac:dyDescent="0.25">
      <c r="A2991" s="14" t="s">
        <v>133</v>
      </c>
      <c r="B2991" s="15">
        <v>80000000</v>
      </c>
      <c r="C2991" s="15">
        <v>43290977</v>
      </c>
      <c r="D2991" s="15">
        <v>2010</v>
      </c>
      <c r="E2991" s="15" t="str">
        <f>VLOOKUP(A2991, Currency!$A$2:$B$100, 2, FALSE)</f>
        <v>GBP</v>
      </c>
      <c r="F2991" s="15">
        <f ca="1">IFERROR(__xludf.DUMMYFUNCTION("IF(E2991=""USD"",B2991,B2991 * GOOGLEFINANCE(""CURRENCY:"" &amp; E2991 &amp; ""USD""))
"),102831999.999999)</f>
        <v>102831999.999999</v>
      </c>
      <c r="G2991" s="16">
        <f ca="1">IFERROR(__xludf.DUMMYFUNCTION("IF(E2991=""USD"",C2991,C2991 * GOOGLEFINANCE(""CURRENCY:"" &amp; E2991 &amp; ""USD""))
"),55646221.8357999)</f>
        <v>55646221.835799903</v>
      </c>
    </row>
    <row r="2992" spans="1:7" ht="15.75" customHeight="1" x14ac:dyDescent="0.25">
      <c r="A2992" s="11" t="s">
        <v>133</v>
      </c>
      <c r="B2992" s="12">
        <v>13000000</v>
      </c>
      <c r="C2992" s="12">
        <v>29959436</v>
      </c>
      <c r="D2992" s="12">
        <v>2011</v>
      </c>
      <c r="E2992" s="12" t="str">
        <f>VLOOKUP(A2992, Currency!$A$2:$B$100, 2, FALSE)</f>
        <v>GBP</v>
      </c>
      <c r="F2992" s="12">
        <f ca="1">IFERROR(__xludf.DUMMYFUNCTION("IF(E2992=""USD"",B2992,B2992 * GOOGLEFINANCE(""CURRENCY:"" &amp; E2992 &amp; ""USD""))
"),16710199.9999999)</f>
        <v>16710199.999999899</v>
      </c>
      <c r="G2992" s="13">
        <f ca="1">IFERROR(__xludf.DUMMYFUNCTION("IF(E2992=""USD"",C2992,C2992 * GOOGLEFINANCE(""CURRENCY:"" &amp; E2992 &amp; ""USD""))
"),38509859.0343999)</f>
        <v>38509859.034399897</v>
      </c>
    </row>
    <row r="2993" spans="1:7" ht="15.75" customHeight="1" x14ac:dyDescent="0.25">
      <c r="A2993" s="14" t="s">
        <v>24</v>
      </c>
      <c r="B2993" s="15">
        <v>30000000</v>
      </c>
      <c r="C2993" s="15">
        <v>18298649</v>
      </c>
      <c r="D2993" s="15">
        <v>2011</v>
      </c>
      <c r="E2993" s="15" t="str">
        <f>VLOOKUP(A2993, Currency!$A$2:$B$100, 2, FALSE)</f>
        <v>USD</v>
      </c>
      <c r="F2993" s="15">
        <f ca="1">IFERROR(__xludf.DUMMYFUNCTION("IF(E2993=""USD"",B2993,B2993 * GOOGLEFINANCE(""CURRENCY:"" &amp; E2993 &amp; ""USD""))
"),30000000)</f>
        <v>30000000</v>
      </c>
      <c r="G2993" s="16">
        <f ca="1">IFERROR(__xludf.DUMMYFUNCTION("IF(E2993=""USD"",C2993,C2993 * GOOGLEFINANCE(""CURRENCY:"" &amp; E2993 &amp; ""USD""))
"),18298649)</f>
        <v>18298649</v>
      </c>
    </row>
    <row r="2994" spans="1:7" ht="15.75" customHeight="1" x14ac:dyDescent="0.25">
      <c r="A2994" s="11" t="s">
        <v>24</v>
      </c>
      <c r="B2994" s="12">
        <v>80000000</v>
      </c>
      <c r="C2994" s="12">
        <v>80360866</v>
      </c>
      <c r="D2994" s="12">
        <v>2011</v>
      </c>
      <c r="E2994" s="12" t="str">
        <f>VLOOKUP(A2994, Currency!$A$2:$B$100, 2, FALSE)</f>
        <v>USD</v>
      </c>
      <c r="F2994" s="12">
        <f ca="1">IFERROR(__xludf.DUMMYFUNCTION("IF(E2994=""USD"",B2994,B2994 * GOOGLEFINANCE(""CURRENCY:"" &amp; E2994 &amp; ""USD""))
"),80000000)</f>
        <v>80000000</v>
      </c>
      <c r="G2994" s="13">
        <f ca="1">IFERROR(__xludf.DUMMYFUNCTION("IF(E2994=""USD"",C2994,C2994 * GOOGLEFINANCE(""CURRENCY:"" &amp; E2994 &amp; ""USD""))
"),80360866)</f>
        <v>80360866</v>
      </c>
    </row>
    <row r="2995" spans="1:7" ht="15.75" customHeight="1" x14ac:dyDescent="0.25">
      <c r="A2995" s="14" t="s">
        <v>24</v>
      </c>
      <c r="B2995" s="15">
        <v>27000000</v>
      </c>
      <c r="C2995" s="15">
        <v>38536376</v>
      </c>
      <c r="D2995" s="15">
        <v>2011</v>
      </c>
      <c r="E2995" s="15" t="str">
        <f>VLOOKUP(A2995, Currency!$A$2:$B$100, 2, FALSE)</f>
        <v>USD</v>
      </c>
      <c r="F2995" s="15">
        <f ca="1">IFERROR(__xludf.DUMMYFUNCTION("IF(E2995=""USD"",B2995,B2995 * GOOGLEFINANCE(""CURRENCY:"" &amp; E2995 &amp; ""USD""))
"),27000000)</f>
        <v>27000000</v>
      </c>
      <c r="G2995" s="16">
        <f ca="1">IFERROR(__xludf.DUMMYFUNCTION("IF(E2995=""USD"",C2995,C2995 * GOOGLEFINANCE(""CURRENCY:"" &amp; E2995 &amp; ""USD""))
"),38536376)</f>
        <v>38536376</v>
      </c>
    </row>
    <row r="2996" spans="1:7" ht="15.75" customHeight="1" x14ac:dyDescent="0.25">
      <c r="A2996" s="11" t="s">
        <v>24</v>
      </c>
      <c r="B2996" s="12">
        <v>1000000</v>
      </c>
      <c r="C2996" s="12">
        <v>1744858</v>
      </c>
      <c r="D2996" s="12">
        <v>2000</v>
      </c>
      <c r="E2996" s="12" t="str">
        <f>VLOOKUP(A2996, Currency!$A$2:$B$100, 2, FALSE)</f>
        <v>USD</v>
      </c>
      <c r="F2996" s="12">
        <f ca="1">IFERROR(__xludf.DUMMYFUNCTION("IF(E2996=""USD"",B2996,B2996 * GOOGLEFINANCE(""CURRENCY:"" &amp; E2996 &amp; ""USD""))
"),1000000)</f>
        <v>1000000</v>
      </c>
      <c r="G2996" s="13">
        <f ca="1">IFERROR(__xludf.DUMMYFUNCTION("IF(E2996=""USD"",C2996,C2996 * GOOGLEFINANCE(""CURRENCY:"" &amp; E2996 &amp; ""USD""))
"),1744858)</f>
        <v>1744858</v>
      </c>
    </row>
    <row r="2997" spans="1:7" ht="15.75" customHeight="1" x14ac:dyDescent="0.25">
      <c r="A2997" s="14" t="s">
        <v>24</v>
      </c>
      <c r="B2997" s="15">
        <v>19000000</v>
      </c>
      <c r="C2997" s="15">
        <v>13753931</v>
      </c>
      <c r="D2997" s="15">
        <v>2006</v>
      </c>
      <c r="E2997" s="15" t="str">
        <f>VLOOKUP(A2997, Currency!$A$2:$B$100, 2, FALSE)</f>
        <v>USD</v>
      </c>
      <c r="F2997" s="15">
        <f ca="1">IFERROR(__xludf.DUMMYFUNCTION("IF(E2997=""USD"",B2997,B2997 * GOOGLEFINANCE(""CURRENCY:"" &amp; E2997 &amp; ""USD""))
"),19000000)</f>
        <v>19000000</v>
      </c>
      <c r="G2997" s="16">
        <f ca="1">IFERROR(__xludf.DUMMYFUNCTION("IF(E2997=""USD"",C2997,C2997 * GOOGLEFINANCE(""CURRENCY:"" &amp; E2997 &amp; ""USD""))
"),13753931)</f>
        <v>13753931</v>
      </c>
    </row>
    <row r="2998" spans="1:7" ht="15.75" customHeight="1" x14ac:dyDescent="0.25">
      <c r="A2998" s="11" t="s">
        <v>24</v>
      </c>
      <c r="B2998" s="12">
        <v>21000000</v>
      </c>
      <c r="C2998" s="12">
        <v>40219708</v>
      </c>
      <c r="D2998" s="12">
        <v>2001</v>
      </c>
      <c r="E2998" s="12" t="str">
        <f>VLOOKUP(A2998, Currency!$A$2:$B$100, 2, FALSE)</f>
        <v>USD</v>
      </c>
      <c r="F2998" s="12">
        <f ca="1">IFERROR(__xludf.DUMMYFUNCTION("IF(E2998=""USD"",B2998,B2998 * GOOGLEFINANCE(""CURRENCY:"" &amp; E2998 &amp; ""USD""))
"),21000000)</f>
        <v>21000000</v>
      </c>
      <c r="G2998" s="13">
        <f ca="1">IFERROR(__xludf.DUMMYFUNCTION("IF(E2998=""USD"",C2998,C2998 * GOOGLEFINANCE(""CURRENCY:"" &amp; E2998 &amp; ""USD""))
"),40219708)</f>
        <v>40219708</v>
      </c>
    </row>
    <row r="2999" spans="1:7" ht="15.75" customHeight="1" x14ac:dyDescent="0.25">
      <c r="A2999" s="14" t="s">
        <v>24</v>
      </c>
      <c r="B2999" s="15">
        <v>10000000</v>
      </c>
      <c r="C2999" s="15">
        <v>85300000</v>
      </c>
      <c r="D2999" s="15">
        <v>1981</v>
      </c>
      <c r="E2999" s="15" t="str">
        <f>VLOOKUP(A2999, Currency!$A$2:$B$100, 2, FALSE)</f>
        <v>USD</v>
      </c>
      <c r="F2999" s="15">
        <f ca="1">IFERROR(__xludf.DUMMYFUNCTION("IF(E2999=""USD"",B2999,B2999 * GOOGLEFINANCE(""CURRENCY:"" &amp; E2999 &amp; ""USD""))
"),10000000)</f>
        <v>10000000</v>
      </c>
      <c r="G2999" s="16">
        <f ca="1">IFERROR(__xludf.DUMMYFUNCTION("IF(E2999=""USD"",C2999,C2999 * GOOGLEFINANCE(""CURRENCY:"" &amp; E2999 &amp; ""USD""))
"),85300000)</f>
        <v>85300000</v>
      </c>
    </row>
    <row r="3000" spans="1:7" ht="15.75" customHeight="1" x14ac:dyDescent="0.25">
      <c r="A3000" s="11" t="s">
        <v>24</v>
      </c>
      <c r="B3000" s="12">
        <v>178000000</v>
      </c>
      <c r="C3000" s="12">
        <v>100189501</v>
      </c>
      <c r="D3000" s="12">
        <v>2014</v>
      </c>
      <c r="E3000" s="12" t="str">
        <f>VLOOKUP(A3000, Currency!$A$2:$B$100, 2, FALSE)</f>
        <v>USD</v>
      </c>
      <c r="F3000" s="12">
        <f ca="1">IFERROR(__xludf.DUMMYFUNCTION("IF(E3000=""USD"",B3000,B3000 * GOOGLEFINANCE(""CURRENCY:"" &amp; E3000 &amp; ""USD""))
"),178000000)</f>
        <v>178000000</v>
      </c>
      <c r="G3000" s="13">
        <f ca="1">IFERROR(__xludf.DUMMYFUNCTION("IF(E3000=""USD"",C3000,C3000 * GOOGLEFINANCE(""CURRENCY:"" &amp; E3000 &amp; ""USD""))
"),100189501)</f>
        <v>100189501</v>
      </c>
    </row>
    <row r="3001" spans="1:7" ht="15.75" customHeight="1" x14ac:dyDescent="0.25">
      <c r="A3001" s="14" t="s">
        <v>674</v>
      </c>
      <c r="B3001" s="15">
        <v>12000000</v>
      </c>
      <c r="C3001" s="15">
        <v>4018695</v>
      </c>
      <c r="D3001" s="15">
        <v>2010</v>
      </c>
      <c r="E3001" s="15" t="str">
        <f>VLOOKUP(A3001, Currency!$A$2:$B$100, 2, FALSE)</f>
        <v>INR</v>
      </c>
      <c r="F3001" s="15">
        <f ca="1">IFERROR(__xludf.DUMMYFUNCTION("IF(E3001=""USD"",B3001,B3001 * GOOGLEFINANCE(""CURRENCY:"" &amp; E3001 &amp; ""USD""))
"),143297.52)</f>
        <v>143297.51999999999</v>
      </c>
      <c r="G3001" s="16">
        <f ca="1">IFERROR(__xludf.DUMMYFUNCTION("IF(E3001=""USD"",C3001,C3001 * GOOGLEFINANCE(""CURRENCY:"" &amp; E3001 &amp; ""USD""))
"),47989.0855947)</f>
        <v>47989.085594700002</v>
      </c>
    </row>
    <row r="3002" spans="1:7" ht="15.75" customHeight="1" x14ac:dyDescent="0.25">
      <c r="A3002" s="11" t="s">
        <v>133</v>
      </c>
      <c r="B3002" s="12">
        <v>10000000</v>
      </c>
      <c r="C3002" s="12">
        <v>3041803</v>
      </c>
      <c r="D3002" s="12">
        <v>2000</v>
      </c>
      <c r="E3002" s="12" t="str">
        <f>VLOOKUP(A3002, Currency!$A$2:$B$100, 2, FALSE)</f>
        <v>GBP</v>
      </c>
      <c r="F3002" s="12">
        <f ca="1">IFERROR(__xludf.DUMMYFUNCTION("IF(E3002=""USD"",B3002,B3002 * GOOGLEFINANCE(""CURRENCY:"" &amp; E3002 &amp; ""USD""))
"),12853999.9999999)</f>
        <v>12853999.999999899</v>
      </c>
      <c r="G3002" s="13">
        <f ca="1">IFERROR(__xludf.DUMMYFUNCTION("IF(E3002=""USD"",C3002,C3002 * GOOGLEFINANCE(""CURRENCY:"" &amp; E3002 &amp; ""USD""))
"),3909933.57619999)</f>
        <v>3909933.5761999902</v>
      </c>
    </row>
    <row r="3003" spans="1:7" ht="15.75" customHeight="1" x14ac:dyDescent="0.25">
      <c r="A3003" s="14" t="s">
        <v>24</v>
      </c>
      <c r="B3003" s="15">
        <v>62000000</v>
      </c>
      <c r="C3003" s="15">
        <v>25857987</v>
      </c>
      <c r="D3003" s="15">
        <v>2005</v>
      </c>
      <c r="E3003" s="15" t="str">
        <f>VLOOKUP(A3003, Currency!$A$2:$B$100, 2, FALSE)</f>
        <v>USD</v>
      </c>
      <c r="F3003" s="15">
        <f ca="1">IFERROR(__xludf.DUMMYFUNCTION("IF(E3003=""USD"",B3003,B3003 * GOOGLEFINANCE(""CURRENCY:"" &amp; E3003 &amp; ""USD""))
"),62000000)</f>
        <v>62000000</v>
      </c>
      <c r="G3003" s="16">
        <f ca="1">IFERROR(__xludf.DUMMYFUNCTION("IF(E3003=""USD"",C3003,C3003 * GOOGLEFINANCE(""CURRENCY:"" &amp; E3003 &amp; ""USD""))
"),25857987)</f>
        <v>25857987</v>
      </c>
    </row>
    <row r="3004" spans="1:7" ht="15.75" customHeight="1" x14ac:dyDescent="0.25">
      <c r="A3004" s="11" t="s">
        <v>24</v>
      </c>
      <c r="B3004" s="12">
        <v>50000000</v>
      </c>
      <c r="C3004" s="12">
        <v>61112916</v>
      </c>
      <c r="D3004" s="12">
        <v>2006</v>
      </c>
      <c r="E3004" s="12" t="str">
        <f>VLOOKUP(A3004, Currency!$A$2:$B$100, 2, FALSE)</f>
        <v>USD</v>
      </c>
      <c r="F3004" s="12">
        <f ca="1">IFERROR(__xludf.DUMMYFUNCTION("IF(E3004=""USD"",B3004,B3004 * GOOGLEFINANCE(""CURRENCY:"" &amp; E3004 &amp; ""USD""))
"),50000000)</f>
        <v>50000000</v>
      </c>
      <c r="G3004" s="13">
        <f ca="1">IFERROR(__xludf.DUMMYFUNCTION("IF(E3004=""USD"",C3004,C3004 * GOOGLEFINANCE(""CURRENCY:"" &amp; E3004 &amp; ""USD""))
"),61112916)</f>
        <v>61112916</v>
      </c>
    </row>
    <row r="3005" spans="1:7" ht="15.75" customHeight="1" x14ac:dyDescent="0.25">
      <c r="A3005" s="14" t="s">
        <v>176</v>
      </c>
      <c r="B3005" s="15">
        <v>27000000</v>
      </c>
      <c r="C3005" s="15">
        <v>22494487</v>
      </c>
      <c r="D3005" s="15">
        <v>2006</v>
      </c>
      <c r="E3005" s="15" t="str">
        <f>VLOOKUP(A3005, Currency!$A$2:$B$100, 2, FALSE)</f>
        <v>EUR</v>
      </c>
      <c r="F3005" s="15">
        <f ca="1">IFERROR(__xludf.DUMMYFUNCTION("IF(E3005=""USD"",B3005,B3005 * GOOGLEFINANCE(""CURRENCY:"" &amp; E3005 &amp; ""USD""))
"),29287980)</f>
        <v>29287980</v>
      </c>
      <c r="G3005" s="16">
        <f ca="1">IFERROR(__xludf.DUMMYFUNCTION("IF(E3005=""USD"",C3005,C3005 * GOOGLEFINANCE(""CURRENCY:"" &amp; E3005 &amp; ""USD""))
"),24400669.82838)</f>
        <v>24400669.82838</v>
      </c>
    </row>
    <row r="3006" spans="1:7" ht="15.75" customHeight="1" x14ac:dyDescent="0.25">
      <c r="A3006" s="11" t="s">
        <v>24</v>
      </c>
      <c r="B3006" s="12">
        <v>40000000</v>
      </c>
      <c r="C3006" s="12">
        <v>5773519</v>
      </c>
      <c r="D3006" s="12">
        <v>2015</v>
      </c>
      <c r="E3006" s="12" t="str">
        <f>VLOOKUP(A3006, Currency!$A$2:$B$100, 2, FALSE)</f>
        <v>USD</v>
      </c>
      <c r="F3006" s="12">
        <f ca="1">IFERROR(__xludf.DUMMYFUNCTION("IF(E3006=""USD"",B3006,B3006 * GOOGLEFINANCE(""CURRENCY:"" &amp; E3006 &amp; ""USD""))
"),40000000)</f>
        <v>40000000</v>
      </c>
      <c r="G3006" s="13">
        <f ca="1">IFERROR(__xludf.DUMMYFUNCTION("IF(E3006=""USD"",C3006,C3006 * GOOGLEFINANCE(""CURRENCY:"" &amp; E3006 &amp; ""USD""))
"),5773519)</f>
        <v>5773519</v>
      </c>
    </row>
    <row r="3007" spans="1:7" ht="15.75" customHeight="1" x14ac:dyDescent="0.25">
      <c r="A3007" s="14" t="s">
        <v>24</v>
      </c>
      <c r="B3007" s="15">
        <v>2600000</v>
      </c>
      <c r="C3007" s="15">
        <v>2850263</v>
      </c>
      <c r="D3007" s="15">
        <v>1993</v>
      </c>
      <c r="E3007" s="15" t="str">
        <f>VLOOKUP(A3007, Currency!$A$2:$B$100, 2, FALSE)</f>
        <v>USD</v>
      </c>
      <c r="F3007" s="15">
        <f ca="1">IFERROR(__xludf.DUMMYFUNCTION("IF(E3007=""USD"",B3007,B3007 * GOOGLEFINANCE(""CURRENCY:"" &amp; E3007 &amp; ""USD""))
"),2600000)</f>
        <v>2600000</v>
      </c>
      <c r="G3007" s="16">
        <f ca="1">IFERROR(__xludf.DUMMYFUNCTION("IF(E3007=""USD"",C3007,C3007 * GOOGLEFINANCE(""CURRENCY:"" &amp; E3007 &amp; ""USD""))
"),2850263)</f>
        <v>2850263</v>
      </c>
    </row>
    <row r="3008" spans="1:7" ht="15.75" customHeight="1" x14ac:dyDescent="0.25">
      <c r="A3008" s="11" t="s">
        <v>24</v>
      </c>
      <c r="B3008" s="12">
        <v>35000000</v>
      </c>
      <c r="C3008" s="12">
        <v>134455175</v>
      </c>
      <c r="D3008" s="12">
        <v>2013</v>
      </c>
      <c r="E3008" s="12" t="str">
        <f>VLOOKUP(A3008, Currency!$A$2:$B$100, 2, FALSE)</f>
        <v>USD</v>
      </c>
      <c r="F3008" s="12">
        <f ca="1">IFERROR(__xludf.DUMMYFUNCTION("IF(E3008=""USD"",B3008,B3008 * GOOGLEFINANCE(""CURRENCY:"" &amp; E3008 &amp; ""USD""))
"),35000000)</f>
        <v>35000000</v>
      </c>
      <c r="G3008" s="13">
        <f ca="1">IFERROR(__xludf.DUMMYFUNCTION("IF(E3008=""USD"",C3008,C3008 * GOOGLEFINANCE(""CURRENCY:"" &amp; E3008 &amp; ""USD""))
"),134455175)</f>
        <v>134455175</v>
      </c>
    </row>
    <row r="3009" spans="1:7" ht="15.75" customHeight="1" x14ac:dyDescent="0.25">
      <c r="A3009" s="14" t="s">
        <v>133</v>
      </c>
      <c r="B3009" s="15">
        <v>13000000</v>
      </c>
      <c r="C3009" s="15">
        <v>21000000</v>
      </c>
      <c r="D3009" s="15">
        <v>1974</v>
      </c>
      <c r="E3009" s="15" t="str">
        <f>VLOOKUP(A3009, Currency!$A$2:$B$100, 2, FALSE)</f>
        <v>GBP</v>
      </c>
      <c r="F3009" s="15">
        <f ca="1">IFERROR(__xludf.DUMMYFUNCTION("IF(E3009=""USD"",B3009,B3009 * GOOGLEFINANCE(""CURRENCY:"" &amp; E3009 &amp; ""USD""))
"),16710199.9999999)</f>
        <v>16710199.999999899</v>
      </c>
      <c r="G3009" s="16">
        <f ca="1">IFERROR(__xludf.DUMMYFUNCTION("IF(E3009=""USD"",C3009,C3009 * GOOGLEFINANCE(""CURRENCY:"" &amp; E3009 &amp; ""USD""))
"),26993399.9999999)</f>
        <v>26993399.999999899</v>
      </c>
    </row>
    <row r="3010" spans="1:7" ht="15.75" customHeight="1" x14ac:dyDescent="0.25">
      <c r="A3010" s="11" t="s">
        <v>24</v>
      </c>
      <c r="B3010" s="12">
        <v>35000000</v>
      </c>
      <c r="C3010" s="12">
        <v>37481242</v>
      </c>
      <c r="D3010" s="12">
        <v>2010</v>
      </c>
      <c r="E3010" s="12" t="str">
        <f>VLOOKUP(A3010, Currency!$A$2:$B$100, 2, FALSE)</f>
        <v>USD</v>
      </c>
      <c r="F3010" s="12">
        <f ca="1">IFERROR(__xludf.DUMMYFUNCTION("IF(E3010=""USD"",B3010,B3010 * GOOGLEFINANCE(""CURRENCY:"" &amp; E3010 &amp; ""USD""))
"),35000000)</f>
        <v>35000000</v>
      </c>
      <c r="G3010" s="13">
        <f ca="1">IFERROR(__xludf.DUMMYFUNCTION("IF(E3010=""USD"",C3010,C3010 * GOOGLEFINANCE(""CURRENCY:"" &amp; E3010 &amp; ""USD""))
"),37481242)</f>
        <v>37481242</v>
      </c>
    </row>
    <row r="3011" spans="1:7" ht="15.75" customHeight="1" x14ac:dyDescent="0.25">
      <c r="A3011" s="14" t="s">
        <v>627</v>
      </c>
      <c r="B3011" s="15">
        <v>3500000</v>
      </c>
      <c r="C3011" s="15">
        <v>37606</v>
      </c>
      <c r="D3011" s="15">
        <v>2009</v>
      </c>
      <c r="E3011" s="15" t="str">
        <f>VLOOKUP(A3011, Currency!$A$2:$B$100, 2, FALSE)</f>
        <v>CAD</v>
      </c>
      <c r="F3011" s="15">
        <f ca="1">IFERROR(__xludf.DUMMYFUNCTION("IF(E3011=""USD"",B3011,B3011 * GOOGLEFINANCE(""CURRENCY:"" &amp; E3011 &amp; ""USD""))
"),2531917.5)</f>
        <v>2531917.5</v>
      </c>
      <c r="G3011" s="16">
        <f ca="1">IFERROR(__xludf.DUMMYFUNCTION("IF(E3011=""USD"",C3011,C3011 * GOOGLEFINANCE(""CURRENCY:"" &amp; E3011 &amp; ""USD""))
"),27204.36843)</f>
        <v>27204.368429999999</v>
      </c>
    </row>
    <row r="3012" spans="1:7" ht="15.75" customHeight="1" x14ac:dyDescent="0.25">
      <c r="A3012" s="11" t="s">
        <v>24</v>
      </c>
      <c r="B3012" s="12">
        <v>18000000</v>
      </c>
      <c r="C3012" s="12">
        <v>27141959</v>
      </c>
      <c r="D3012" s="12">
        <v>1999</v>
      </c>
      <c r="E3012" s="12" t="str">
        <f>VLOOKUP(A3012, Currency!$A$2:$B$100, 2, FALSE)</f>
        <v>USD</v>
      </c>
      <c r="F3012" s="12">
        <f ca="1">IFERROR(__xludf.DUMMYFUNCTION("IF(E3012=""USD"",B3012,B3012 * GOOGLEFINANCE(""CURRENCY:"" &amp; E3012 &amp; ""USD""))
"),18000000)</f>
        <v>18000000</v>
      </c>
      <c r="G3012" s="13">
        <f ca="1">IFERROR(__xludf.DUMMYFUNCTION("IF(E3012=""USD"",C3012,C3012 * GOOGLEFINANCE(""CURRENCY:"" &amp; E3012 &amp; ""USD""))
"),27141959)</f>
        <v>27141959</v>
      </c>
    </row>
    <row r="3013" spans="1:7" ht="15.75" customHeight="1" x14ac:dyDescent="0.25">
      <c r="A3013" s="14" t="s">
        <v>24</v>
      </c>
      <c r="B3013" s="15">
        <v>20000000</v>
      </c>
      <c r="C3013" s="15">
        <v>13391174</v>
      </c>
      <c r="D3013" s="15">
        <v>2006</v>
      </c>
      <c r="E3013" s="15" t="str">
        <f>VLOOKUP(A3013, Currency!$A$2:$B$100, 2, FALSE)</f>
        <v>USD</v>
      </c>
      <c r="F3013" s="15">
        <f ca="1">IFERROR(__xludf.DUMMYFUNCTION("IF(E3013=""USD"",B3013,B3013 * GOOGLEFINANCE(""CURRENCY:"" &amp; E3013 &amp; ""USD""))
"),20000000)</f>
        <v>20000000</v>
      </c>
      <c r="G3013" s="16">
        <f ca="1">IFERROR(__xludf.DUMMYFUNCTION("IF(E3013=""USD"",C3013,C3013 * GOOGLEFINANCE(""CURRENCY:"" &amp; E3013 &amp; ""USD""))
"),13391174)</f>
        <v>13391174</v>
      </c>
    </row>
    <row r="3014" spans="1:7" ht="15.75" customHeight="1" x14ac:dyDescent="0.25">
      <c r="A3014" s="11" t="s">
        <v>1551</v>
      </c>
      <c r="B3014" s="12">
        <v>35000000</v>
      </c>
      <c r="C3014" s="12">
        <v>33423521</v>
      </c>
      <c r="D3014" s="12">
        <v>1994</v>
      </c>
      <c r="E3014" s="12" t="str">
        <f>VLOOKUP(A3014, Currency!$A$2:$B$100, 2, FALSE)</f>
        <v>JPY</v>
      </c>
      <c r="F3014" s="12">
        <f ca="1">IFERROR(__xludf.DUMMYFUNCTION("IF(E3014=""USD"",B3014,B3014 * GOOGLEFINANCE(""CURRENCY:"" &amp; E3014 &amp; ""USD""))
"),227381)</f>
        <v>227381</v>
      </c>
      <c r="G3014" s="13">
        <f ca="1">IFERROR(__xludf.DUMMYFUNCTION("IF(E3014=""USD"",C3014,C3014 * GOOGLEFINANCE(""CURRENCY:"" &amp; E3014 &amp; ""USD""))
"),217139.2465286)</f>
        <v>217139.24652859999</v>
      </c>
    </row>
    <row r="3015" spans="1:7" ht="15.75" customHeight="1" x14ac:dyDescent="0.25">
      <c r="A3015" s="14" t="s">
        <v>24</v>
      </c>
      <c r="B3015" s="15">
        <v>12000000</v>
      </c>
      <c r="C3015" s="15">
        <v>1779284</v>
      </c>
      <c r="D3015" s="15">
        <v>2002</v>
      </c>
      <c r="E3015" s="15" t="str">
        <f>VLOOKUP(A3015, Currency!$A$2:$B$100, 2, FALSE)</f>
        <v>USD</v>
      </c>
      <c r="F3015" s="15">
        <f ca="1">IFERROR(__xludf.DUMMYFUNCTION("IF(E3015=""USD"",B3015,B3015 * GOOGLEFINANCE(""CURRENCY:"" &amp; E3015 &amp; ""USD""))
"),12000000)</f>
        <v>12000000</v>
      </c>
      <c r="G3015" s="16">
        <f ca="1">IFERROR(__xludf.DUMMYFUNCTION("IF(E3015=""USD"",C3015,C3015 * GOOGLEFINANCE(""CURRENCY:"" &amp; E3015 &amp; ""USD""))
"),1779284)</f>
        <v>1779284</v>
      </c>
    </row>
    <row r="3016" spans="1:7" ht="15.75" customHeight="1" x14ac:dyDescent="0.25">
      <c r="A3016" s="11" t="s">
        <v>24</v>
      </c>
      <c r="B3016" s="12">
        <v>95000000</v>
      </c>
      <c r="C3016" s="12">
        <v>201148159</v>
      </c>
      <c r="D3016" s="12">
        <v>2015</v>
      </c>
      <c r="E3016" s="12" t="str">
        <f>VLOOKUP(A3016, Currency!$A$2:$B$100, 2, FALSE)</f>
        <v>USD</v>
      </c>
      <c r="F3016" s="12">
        <f ca="1">IFERROR(__xludf.DUMMYFUNCTION("IF(E3016=""USD"",B3016,B3016 * GOOGLEFINANCE(""CURRENCY:"" &amp; E3016 &amp; ""USD""))
"),95000000)</f>
        <v>95000000</v>
      </c>
      <c r="G3016" s="13">
        <f ca="1">IFERROR(__xludf.DUMMYFUNCTION("IF(E3016=""USD"",C3016,C3016 * GOOGLEFINANCE(""CURRENCY:"" &amp; E3016 &amp; ""USD""))
"),201148159)</f>
        <v>201148159</v>
      </c>
    </row>
    <row r="3017" spans="1:7" ht="15.75" customHeight="1" x14ac:dyDescent="0.25">
      <c r="A3017" s="14" t="s">
        <v>24</v>
      </c>
      <c r="B3017" s="15">
        <v>35000000</v>
      </c>
      <c r="C3017" s="15">
        <v>31598308</v>
      </c>
      <c r="D3017" s="15">
        <v>2001</v>
      </c>
      <c r="E3017" s="15" t="str">
        <f>VLOOKUP(A3017, Currency!$A$2:$B$100, 2, FALSE)</f>
        <v>USD</v>
      </c>
      <c r="F3017" s="15">
        <f ca="1">IFERROR(__xludf.DUMMYFUNCTION("IF(E3017=""USD"",B3017,B3017 * GOOGLEFINANCE(""CURRENCY:"" &amp; E3017 &amp; ""USD""))
"),35000000)</f>
        <v>35000000</v>
      </c>
      <c r="G3017" s="16">
        <f ca="1">IFERROR(__xludf.DUMMYFUNCTION("IF(E3017=""USD"",C3017,C3017 * GOOGLEFINANCE(""CURRENCY:"" &amp; E3017 &amp; ""USD""))
"),31598308)</f>
        <v>31598308</v>
      </c>
    </row>
    <row r="3018" spans="1:7" ht="15.75" customHeight="1" x14ac:dyDescent="0.25">
      <c r="A3018" s="11" t="s">
        <v>24</v>
      </c>
      <c r="B3018" s="12">
        <v>50000000</v>
      </c>
      <c r="C3018" s="12">
        <v>51178893</v>
      </c>
      <c r="D3018" s="12">
        <v>2014</v>
      </c>
      <c r="E3018" s="12" t="str">
        <f>VLOOKUP(A3018, Currency!$A$2:$B$100, 2, FALSE)</f>
        <v>USD</v>
      </c>
      <c r="F3018" s="12">
        <f ca="1">IFERROR(__xludf.DUMMYFUNCTION("IF(E3018=""USD"",B3018,B3018 * GOOGLEFINANCE(""CURRENCY:"" &amp; E3018 &amp; ""USD""))
"),50000000)</f>
        <v>50000000</v>
      </c>
      <c r="G3018" s="13">
        <f ca="1">IFERROR(__xludf.DUMMYFUNCTION("IF(E3018=""USD"",C3018,C3018 * GOOGLEFINANCE(""CURRENCY:"" &amp; E3018 &amp; ""USD""))
"),51178893)</f>
        <v>51178893</v>
      </c>
    </row>
    <row r="3019" spans="1:7" ht="15.75" customHeight="1" x14ac:dyDescent="0.25">
      <c r="A3019" s="14" t="s">
        <v>24</v>
      </c>
      <c r="B3019" s="15">
        <v>42000000</v>
      </c>
      <c r="C3019" s="15">
        <v>18600911</v>
      </c>
      <c r="D3019" s="15">
        <v>2012</v>
      </c>
      <c r="E3019" s="15" t="str">
        <f>VLOOKUP(A3019, Currency!$A$2:$B$100, 2, FALSE)</f>
        <v>USD</v>
      </c>
      <c r="F3019" s="15">
        <f ca="1">IFERROR(__xludf.DUMMYFUNCTION("IF(E3019=""USD"",B3019,B3019 * GOOGLEFINANCE(""CURRENCY:"" &amp; E3019 &amp; ""USD""))
"),42000000)</f>
        <v>42000000</v>
      </c>
      <c r="G3019" s="16">
        <f ca="1">IFERROR(__xludf.DUMMYFUNCTION("IF(E3019=""USD"",C3019,C3019 * GOOGLEFINANCE(""CURRENCY:"" &amp; E3019 &amp; ""USD""))
"),18600911)</f>
        <v>18600911</v>
      </c>
    </row>
    <row r="3020" spans="1:7" ht="15.75" customHeight="1" x14ac:dyDescent="0.25">
      <c r="A3020" s="11" t="s">
        <v>24</v>
      </c>
      <c r="B3020" s="12">
        <v>50000000</v>
      </c>
      <c r="C3020" s="12">
        <v>41256277</v>
      </c>
      <c r="D3020" s="12">
        <v>1997</v>
      </c>
      <c r="E3020" s="12" t="str">
        <f>VLOOKUP(A3020, Currency!$A$2:$B$100, 2, FALSE)</f>
        <v>USD</v>
      </c>
      <c r="F3020" s="12">
        <f ca="1">IFERROR(__xludf.DUMMYFUNCTION("IF(E3020=""USD"",B3020,B3020 * GOOGLEFINANCE(""CURRENCY:"" &amp; E3020 &amp; ""USD""))
"),50000000)</f>
        <v>50000000</v>
      </c>
      <c r="G3020" s="13">
        <f ca="1">IFERROR(__xludf.DUMMYFUNCTION("IF(E3020=""USD"",C3020,C3020 * GOOGLEFINANCE(""CURRENCY:"" &amp; E3020 &amp; ""USD""))
"),41256277)</f>
        <v>41256277</v>
      </c>
    </row>
    <row r="3021" spans="1:7" ht="15.75" customHeight="1" x14ac:dyDescent="0.25">
      <c r="A3021" s="14" t="s">
        <v>24</v>
      </c>
      <c r="B3021" s="15">
        <v>4000000</v>
      </c>
      <c r="C3021" s="15">
        <v>2892582</v>
      </c>
      <c r="D3021" s="15">
        <v>1996</v>
      </c>
      <c r="E3021" s="15" t="str">
        <f>VLOOKUP(A3021, Currency!$A$2:$B$100, 2, FALSE)</f>
        <v>USD</v>
      </c>
      <c r="F3021" s="15">
        <f ca="1">IFERROR(__xludf.DUMMYFUNCTION("IF(E3021=""USD"",B3021,B3021 * GOOGLEFINANCE(""CURRENCY:"" &amp; E3021 &amp; ""USD""))
"),4000000)</f>
        <v>4000000</v>
      </c>
      <c r="G3021" s="16">
        <f ca="1">IFERROR(__xludf.DUMMYFUNCTION("IF(E3021=""USD"",C3021,C3021 * GOOGLEFINANCE(""CURRENCY:"" &amp; E3021 &amp; ""USD""))
"),2892582)</f>
        <v>2892582</v>
      </c>
    </row>
    <row r="3022" spans="1:7" ht="15.75" customHeight="1" x14ac:dyDescent="0.25">
      <c r="A3022" s="11" t="s">
        <v>24</v>
      </c>
      <c r="B3022" s="12">
        <v>95000000</v>
      </c>
      <c r="C3022" s="12">
        <v>86897182</v>
      </c>
      <c r="D3022" s="12">
        <v>2012</v>
      </c>
      <c r="E3022" s="12" t="str">
        <f>VLOOKUP(A3022, Currency!$A$2:$B$100, 2, FALSE)</f>
        <v>USD</v>
      </c>
      <c r="F3022" s="12">
        <f ca="1">IFERROR(__xludf.DUMMYFUNCTION("IF(E3022=""USD"",B3022,B3022 * GOOGLEFINANCE(""CURRENCY:"" &amp; E3022 &amp; ""USD""))
"),95000000)</f>
        <v>95000000</v>
      </c>
      <c r="G3022" s="13">
        <f ca="1">IFERROR(__xludf.DUMMYFUNCTION("IF(E3022=""USD"",C3022,C3022 * GOOGLEFINANCE(""CURRENCY:"" &amp; E3022 &amp; ""USD""))
"),86897182)</f>
        <v>86897182</v>
      </c>
    </row>
    <row r="3023" spans="1:7" ht="15.75" customHeight="1" x14ac:dyDescent="0.25">
      <c r="A3023" s="14" t="s">
        <v>24</v>
      </c>
      <c r="B3023" s="15">
        <v>35000000</v>
      </c>
      <c r="C3023" s="15">
        <v>16988996</v>
      </c>
      <c r="D3023" s="15">
        <v>2002</v>
      </c>
      <c r="E3023" s="15" t="str">
        <f>VLOOKUP(A3023, Currency!$A$2:$B$100, 2, FALSE)</f>
        <v>USD</v>
      </c>
      <c r="F3023" s="15">
        <f ca="1">IFERROR(__xludf.DUMMYFUNCTION("IF(E3023=""USD"",B3023,B3023 * GOOGLEFINANCE(""CURRENCY:"" &amp; E3023 &amp; ""USD""))
"),35000000)</f>
        <v>35000000</v>
      </c>
      <c r="G3023" s="16">
        <f ca="1">IFERROR(__xludf.DUMMYFUNCTION("IF(E3023=""USD"",C3023,C3023 * GOOGLEFINANCE(""CURRENCY:"" &amp; E3023 &amp; ""USD""))
"),16988996)</f>
        <v>16988996</v>
      </c>
    </row>
    <row r="3024" spans="1:7" ht="15.75" customHeight="1" x14ac:dyDescent="0.25">
      <c r="A3024" s="11" t="s">
        <v>24</v>
      </c>
      <c r="B3024" s="12">
        <v>600000</v>
      </c>
      <c r="C3024" s="12">
        <v>35688</v>
      </c>
      <c r="D3024" s="12">
        <v>2014</v>
      </c>
      <c r="E3024" s="12" t="str">
        <f>VLOOKUP(A3024, Currency!$A$2:$B$100, 2, FALSE)</f>
        <v>USD</v>
      </c>
      <c r="F3024" s="12">
        <f ca="1">IFERROR(__xludf.DUMMYFUNCTION("IF(E3024=""USD"",B3024,B3024 * GOOGLEFINANCE(""CURRENCY:"" &amp; E3024 &amp; ""USD""))
"),600000)</f>
        <v>600000</v>
      </c>
      <c r="G3024" s="13">
        <f ca="1">IFERROR(__xludf.DUMMYFUNCTION("IF(E3024=""USD"",C3024,C3024 * GOOGLEFINANCE(""CURRENCY:"" &amp; E3024 &amp; ""USD""))
"),35688)</f>
        <v>35688</v>
      </c>
    </row>
    <row r="3025" spans="1:7" ht="15.75" customHeight="1" x14ac:dyDescent="0.25">
      <c r="A3025" s="14" t="s">
        <v>24</v>
      </c>
      <c r="B3025" s="15">
        <v>30000000</v>
      </c>
      <c r="C3025" s="15">
        <v>15709385</v>
      </c>
      <c r="D3025" s="15">
        <v>2008</v>
      </c>
      <c r="E3025" s="15" t="str">
        <f>VLOOKUP(A3025, Currency!$A$2:$B$100, 2, FALSE)</f>
        <v>USD</v>
      </c>
      <c r="F3025" s="15">
        <f ca="1">IFERROR(__xludf.DUMMYFUNCTION("IF(E3025=""USD"",B3025,B3025 * GOOGLEFINANCE(""CURRENCY:"" &amp; E3025 &amp; ""USD""))
"),30000000)</f>
        <v>30000000</v>
      </c>
      <c r="G3025" s="16">
        <f ca="1">IFERROR(__xludf.DUMMYFUNCTION("IF(E3025=""USD"",C3025,C3025 * GOOGLEFINANCE(""CURRENCY:"" &amp; E3025 &amp; ""USD""))
"),15709385)</f>
        <v>15709385</v>
      </c>
    </row>
    <row r="3026" spans="1:7" ht="15.75" customHeight="1" x14ac:dyDescent="0.25">
      <c r="A3026" s="11" t="s">
        <v>24</v>
      </c>
      <c r="B3026" s="12">
        <v>200000000</v>
      </c>
      <c r="C3026" s="12">
        <v>373377893</v>
      </c>
      <c r="D3026" s="12">
        <v>2004</v>
      </c>
      <c r="E3026" s="12" t="str">
        <f>VLOOKUP(A3026, Currency!$A$2:$B$100, 2, FALSE)</f>
        <v>USD</v>
      </c>
      <c r="F3026" s="12">
        <f ca="1">IFERROR(__xludf.DUMMYFUNCTION("IF(E3026=""USD"",B3026,B3026 * GOOGLEFINANCE(""CURRENCY:"" &amp; E3026 &amp; ""USD""))
"),200000000)</f>
        <v>200000000</v>
      </c>
      <c r="G3026" s="13">
        <f ca="1">IFERROR(__xludf.DUMMYFUNCTION("IF(E3026=""USD"",C3026,C3026 * GOOGLEFINANCE(""CURRENCY:"" &amp; E3026 &amp; ""USD""))
"),373377893)</f>
        <v>373377893</v>
      </c>
    </row>
    <row r="3027" spans="1:7" ht="15.75" customHeight="1" x14ac:dyDescent="0.25">
      <c r="A3027" s="14" t="s">
        <v>24</v>
      </c>
      <c r="B3027" s="15">
        <v>150000000</v>
      </c>
      <c r="C3027" s="15">
        <v>206435493</v>
      </c>
      <c r="D3027" s="15">
        <v>2007</v>
      </c>
      <c r="E3027" s="15" t="str">
        <f>VLOOKUP(A3027, Currency!$A$2:$B$100, 2, FALSE)</f>
        <v>USD</v>
      </c>
      <c r="F3027" s="15">
        <f ca="1">IFERROR(__xludf.DUMMYFUNCTION("IF(E3027=""USD"",B3027,B3027 * GOOGLEFINANCE(""CURRENCY:"" &amp; E3027 &amp; ""USD""))
"),150000000)</f>
        <v>150000000</v>
      </c>
      <c r="G3027" s="16">
        <f ca="1">IFERROR(__xludf.DUMMYFUNCTION("IF(E3027=""USD"",C3027,C3027 * GOOGLEFINANCE(""CURRENCY:"" &amp; E3027 &amp; ""USD""))
"),206435493)</f>
        <v>206435493</v>
      </c>
    </row>
    <row r="3028" spans="1:7" ht="15.75" customHeight="1" x14ac:dyDescent="0.25">
      <c r="A3028" s="11" t="s">
        <v>24</v>
      </c>
      <c r="B3028" s="12">
        <v>30000000</v>
      </c>
      <c r="C3028" s="12">
        <v>32154410</v>
      </c>
      <c r="D3028" s="12">
        <v>2013</v>
      </c>
      <c r="E3028" s="12" t="str">
        <f>VLOOKUP(A3028, Currency!$A$2:$B$100, 2, FALSE)</f>
        <v>USD</v>
      </c>
      <c r="F3028" s="12">
        <f ca="1">IFERROR(__xludf.DUMMYFUNCTION("IF(E3028=""USD"",B3028,B3028 * GOOGLEFINANCE(""CURRENCY:"" &amp; E3028 &amp; ""USD""))
"),30000000)</f>
        <v>30000000</v>
      </c>
      <c r="G3028" s="13">
        <f ca="1">IFERROR(__xludf.DUMMYFUNCTION("IF(E3028=""USD"",C3028,C3028 * GOOGLEFINANCE(""CURRENCY:"" &amp; E3028 &amp; ""USD""))
"),32154410)</f>
        <v>32154410</v>
      </c>
    </row>
    <row r="3029" spans="1:7" ht="15.75" customHeight="1" x14ac:dyDescent="0.25">
      <c r="A3029" s="14" t="s">
        <v>24</v>
      </c>
      <c r="B3029" s="15">
        <v>69000000</v>
      </c>
      <c r="C3029" s="15">
        <v>37516013</v>
      </c>
      <c r="D3029" s="15">
        <v>2012</v>
      </c>
      <c r="E3029" s="15" t="str">
        <f>VLOOKUP(A3029, Currency!$A$2:$B$100, 2, FALSE)</f>
        <v>USD</v>
      </c>
      <c r="F3029" s="15">
        <f ca="1">IFERROR(__xludf.DUMMYFUNCTION("IF(E3029=""USD"",B3029,B3029 * GOOGLEFINANCE(""CURRENCY:"" &amp; E3029 &amp; ""USD""))
"),69000000)</f>
        <v>69000000</v>
      </c>
      <c r="G3029" s="16">
        <f ca="1">IFERROR(__xludf.DUMMYFUNCTION("IF(E3029=""USD"",C3029,C3029 * GOOGLEFINANCE(""CURRENCY:"" &amp; E3029 &amp; ""USD""))
"),37516013)</f>
        <v>37516013</v>
      </c>
    </row>
    <row r="3030" spans="1:7" ht="15.75" customHeight="1" x14ac:dyDescent="0.25">
      <c r="A3030" s="11" t="s">
        <v>24</v>
      </c>
      <c r="B3030" s="12">
        <v>23000000</v>
      </c>
      <c r="C3030" s="12">
        <v>11508423</v>
      </c>
      <c r="D3030" s="12">
        <v>2008</v>
      </c>
      <c r="E3030" s="12" t="str">
        <f>VLOOKUP(A3030, Currency!$A$2:$B$100, 2, FALSE)</f>
        <v>USD</v>
      </c>
      <c r="F3030" s="12">
        <f ca="1">IFERROR(__xludf.DUMMYFUNCTION("IF(E3030=""USD"",B3030,B3030 * GOOGLEFINANCE(""CURRENCY:"" &amp; E3030 &amp; ""USD""))
"),23000000)</f>
        <v>23000000</v>
      </c>
      <c r="G3030" s="13">
        <f ca="1">IFERROR(__xludf.DUMMYFUNCTION("IF(E3030=""USD"",C3030,C3030 * GOOGLEFINANCE(""CURRENCY:"" &amp; E3030 &amp; ""USD""))
"),11508423)</f>
        <v>11508423</v>
      </c>
    </row>
    <row r="3031" spans="1:7" ht="15.75" customHeight="1" x14ac:dyDescent="0.25">
      <c r="A3031" s="14" t="s">
        <v>24</v>
      </c>
      <c r="B3031" s="15">
        <v>98000000</v>
      </c>
      <c r="C3031" s="15">
        <v>202007640</v>
      </c>
      <c r="D3031" s="15">
        <v>2001</v>
      </c>
      <c r="E3031" s="15" t="str">
        <f>VLOOKUP(A3031, Currency!$A$2:$B$100, 2, FALSE)</f>
        <v>USD</v>
      </c>
      <c r="F3031" s="15">
        <f ca="1">IFERROR(__xludf.DUMMYFUNCTION("IF(E3031=""USD"",B3031,B3031 * GOOGLEFINANCE(""CURRENCY:"" &amp; E3031 &amp; ""USD""))
"),98000000)</f>
        <v>98000000</v>
      </c>
      <c r="G3031" s="16">
        <f ca="1">IFERROR(__xludf.DUMMYFUNCTION("IF(E3031=""USD"",C3031,C3031 * GOOGLEFINANCE(""CURRENCY:"" &amp; E3031 &amp; ""USD""))
"),202007640)</f>
        <v>202007640</v>
      </c>
    </row>
    <row r="3032" spans="1:7" ht="15.75" customHeight="1" x14ac:dyDescent="0.25">
      <c r="A3032" s="11" t="s">
        <v>611</v>
      </c>
      <c r="B3032" s="12">
        <v>14000000</v>
      </c>
      <c r="C3032" s="12">
        <v>4291965</v>
      </c>
      <c r="D3032" s="12">
        <v>2006</v>
      </c>
      <c r="E3032" s="12" t="str">
        <f>VLOOKUP(A3032, Currency!$A$2:$B$100, 2, FALSE)</f>
        <v>EUR</v>
      </c>
      <c r="F3032" s="12">
        <f ca="1">IFERROR(__xludf.DUMMYFUNCTION("IF(E3032=""USD"",B3032,B3032 * GOOGLEFINANCE(""CURRENCY:"" &amp; E3032 &amp; ""USD""))
"),15186360)</f>
        <v>15186360</v>
      </c>
      <c r="G3032" s="13">
        <f ca="1">IFERROR(__xludf.DUMMYFUNCTION("IF(E3032=""USD"",C3032,C3032 * GOOGLEFINANCE(""CURRENCY:"" &amp; E3032 &amp; ""USD""))
"),4655666.1141)</f>
        <v>4655666.1140999999</v>
      </c>
    </row>
    <row r="3033" spans="1:7" ht="15.75" customHeight="1" x14ac:dyDescent="0.25">
      <c r="A3033" s="14" t="s">
        <v>24</v>
      </c>
      <c r="B3033" s="15">
        <v>73000000</v>
      </c>
      <c r="C3033" s="15">
        <v>148213377</v>
      </c>
      <c r="D3033" s="15">
        <v>2006</v>
      </c>
      <c r="E3033" s="15" t="str">
        <f>VLOOKUP(A3033, Currency!$A$2:$B$100, 2, FALSE)</f>
        <v>USD</v>
      </c>
      <c r="F3033" s="15">
        <f ca="1">IFERROR(__xludf.DUMMYFUNCTION("IF(E3033=""USD"",B3033,B3033 * GOOGLEFINANCE(""CURRENCY:"" &amp; E3033 &amp; ""USD""))
"),73000000)</f>
        <v>73000000</v>
      </c>
      <c r="G3033" s="16">
        <f ca="1">IFERROR(__xludf.DUMMYFUNCTION("IF(E3033=""USD"",C3033,C3033 * GOOGLEFINANCE(""CURRENCY:"" &amp; E3033 &amp; ""USD""))
"),148213377)</f>
        <v>148213377</v>
      </c>
    </row>
    <row r="3034" spans="1:7" ht="15.75" customHeight="1" x14ac:dyDescent="0.25">
      <c r="A3034" s="11" t="s">
        <v>1111</v>
      </c>
      <c r="B3034" s="12">
        <v>10000000</v>
      </c>
      <c r="C3034" s="12">
        <v>2086345</v>
      </c>
      <c r="D3034" s="12">
        <v>2004</v>
      </c>
      <c r="E3034" s="12" t="str">
        <f>VLOOKUP(A3034, Currency!$A$2:$B$100, 2, FALSE)</f>
        <v>EUR</v>
      </c>
      <c r="F3034" s="12">
        <f ca="1">IFERROR(__xludf.DUMMYFUNCTION("IF(E3034=""USD"",B3034,B3034 * GOOGLEFINANCE(""CURRENCY:"" &amp; E3034 &amp; ""USD""))
"),10847400)</f>
        <v>10847400</v>
      </c>
      <c r="G3034" s="13">
        <f ca="1">IFERROR(__xludf.DUMMYFUNCTION("IF(E3034=""USD"",C3034,C3034 * GOOGLEFINANCE(""CURRENCY:"" &amp; E3034 &amp; ""USD""))
"),2263141.8753)</f>
        <v>2263141.8753</v>
      </c>
    </row>
    <row r="3035" spans="1:7" ht="15.75" customHeight="1" x14ac:dyDescent="0.25">
      <c r="A3035" s="14" t="s">
        <v>24</v>
      </c>
      <c r="B3035" s="15">
        <v>37000000</v>
      </c>
      <c r="C3035" s="15">
        <v>60338891</v>
      </c>
      <c r="D3035" s="15">
        <v>2008</v>
      </c>
      <c r="E3035" s="15" t="str">
        <f>VLOOKUP(A3035, Currency!$A$2:$B$100, 2, FALSE)</f>
        <v>USD</v>
      </c>
      <c r="F3035" s="15">
        <f ca="1">IFERROR(__xludf.DUMMYFUNCTION("IF(E3035=""USD"",B3035,B3035 * GOOGLEFINANCE(""CURRENCY:"" &amp; E3035 &amp; ""USD""))
"),37000000)</f>
        <v>37000000</v>
      </c>
      <c r="G3035" s="16">
        <f ca="1">IFERROR(__xludf.DUMMYFUNCTION("IF(E3035=""USD"",C3035,C3035 * GOOGLEFINANCE(""CURRENCY:"" &amp; E3035 &amp; ""USD""))
"),60338891)</f>
        <v>60338891</v>
      </c>
    </row>
    <row r="3036" spans="1:7" ht="15.75" customHeight="1" x14ac:dyDescent="0.25">
      <c r="A3036" s="11" t="s">
        <v>24</v>
      </c>
      <c r="B3036" s="12">
        <v>72000000</v>
      </c>
      <c r="C3036" s="12">
        <v>112950721</v>
      </c>
      <c r="D3036" s="12">
        <v>2001</v>
      </c>
      <c r="E3036" s="12" t="str">
        <f>VLOOKUP(A3036, Currency!$A$2:$B$100, 2, FALSE)</f>
        <v>USD</v>
      </c>
      <c r="F3036" s="12">
        <f ca="1">IFERROR(__xludf.DUMMYFUNCTION("IF(E3036=""USD"",B3036,B3036 * GOOGLEFINANCE(""CURRENCY:"" &amp; E3036 &amp; ""USD""))
"),72000000)</f>
        <v>72000000</v>
      </c>
      <c r="G3036" s="13">
        <f ca="1">IFERROR(__xludf.DUMMYFUNCTION("IF(E3036=""USD"",C3036,C3036 * GOOGLEFINANCE(""CURRENCY:"" &amp; E3036 &amp; ""USD""))
"),112950721)</f>
        <v>112950721</v>
      </c>
    </row>
    <row r="3037" spans="1:7" ht="15.75" customHeight="1" x14ac:dyDescent="0.25">
      <c r="A3037" s="14" t="s">
        <v>24</v>
      </c>
      <c r="B3037" s="15">
        <v>130000000</v>
      </c>
      <c r="C3037" s="15">
        <v>131920333</v>
      </c>
      <c r="D3037" s="15">
        <v>2007</v>
      </c>
      <c r="E3037" s="15" t="str">
        <f>VLOOKUP(A3037, Currency!$A$2:$B$100, 2, FALSE)</f>
        <v>USD</v>
      </c>
      <c r="F3037" s="15">
        <f ca="1">IFERROR(__xludf.DUMMYFUNCTION("IF(E3037=""USD"",B3037,B3037 * GOOGLEFINANCE(""CURRENCY:"" &amp; E3037 &amp; ""USD""))
"),130000000)</f>
        <v>130000000</v>
      </c>
      <c r="G3037" s="16">
        <f ca="1">IFERROR(__xludf.DUMMYFUNCTION("IF(E3037=""USD"",C3037,C3037 * GOOGLEFINANCE(""CURRENCY:"" &amp; E3037 &amp; ""USD""))
"),131920333)</f>
        <v>131920333</v>
      </c>
    </row>
    <row r="3038" spans="1:7" ht="15.75" customHeight="1" x14ac:dyDescent="0.25">
      <c r="A3038" s="11" t="s">
        <v>24</v>
      </c>
      <c r="B3038" s="12">
        <v>40000000</v>
      </c>
      <c r="C3038" s="12">
        <v>118500000</v>
      </c>
      <c r="D3038" s="12">
        <v>1989</v>
      </c>
      <c r="E3038" s="12" t="str">
        <f>VLOOKUP(A3038, Currency!$A$2:$B$100, 2, FALSE)</f>
        <v>USD</v>
      </c>
      <c r="F3038" s="12">
        <f ca="1">IFERROR(__xludf.DUMMYFUNCTION("IF(E3038=""USD"",B3038,B3038 * GOOGLEFINANCE(""CURRENCY:"" &amp; E3038 &amp; ""USD""))
"),40000000)</f>
        <v>40000000</v>
      </c>
      <c r="G3038" s="13">
        <f ca="1">IFERROR(__xludf.DUMMYFUNCTION("IF(E3038=""USD"",C3038,C3038 * GOOGLEFINANCE(""CURRENCY:"" &amp; E3038 &amp; ""USD""))
"),118500000)</f>
        <v>118500000</v>
      </c>
    </row>
    <row r="3039" spans="1:7" ht="15.75" customHeight="1" x14ac:dyDescent="0.25">
      <c r="A3039" s="14" t="s">
        <v>24</v>
      </c>
      <c r="B3039" s="15">
        <v>30000000</v>
      </c>
      <c r="C3039" s="15">
        <v>42057340</v>
      </c>
      <c r="D3039" s="15">
        <v>2009</v>
      </c>
      <c r="E3039" s="15" t="str">
        <f>VLOOKUP(A3039, Currency!$A$2:$B$100, 2, FALSE)</f>
        <v>USD</v>
      </c>
      <c r="F3039" s="15">
        <f ca="1">IFERROR(__xludf.DUMMYFUNCTION("IF(E3039=""USD"",B3039,B3039 * GOOGLEFINANCE(""CURRENCY:"" &amp; E3039 &amp; ""USD""))
"),30000000)</f>
        <v>30000000</v>
      </c>
      <c r="G3039" s="16">
        <f ca="1">IFERROR(__xludf.DUMMYFUNCTION("IF(E3039=""USD"",C3039,C3039 * GOOGLEFINANCE(""CURRENCY:"" &amp; E3039 &amp; ""USD""))
"),42057340)</f>
        <v>42057340</v>
      </c>
    </row>
    <row r="3040" spans="1:7" ht="15.75" customHeight="1" x14ac:dyDescent="0.25">
      <c r="A3040" s="11" t="s">
        <v>24</v>
      </c>
      <c r="B3040" s="12">
        <v>5000000</v>
      </c>
      <c r="C3040" s="12">
        <v>6157157</v>
      </c>
      <c r="D3040" s="12">
        <v>1989</v>
      </c>
      <c r="E3040" s="12" t="str">
        <f>VLOOKUP(A3040, Currency!$A$2:$B$100, 2, FALSE)</f>
        <v>USD</v>
      </c>
      <c r="F3040" s="12">
        <f ca="1">IFERROR(__xludf.DUMMYFUNCTION("IF(E3040=""USD"",B3040,B3040 * GOOGLEFINANCE(""CURRENCY:"" &amp; E3040 &amp; ""USD""))
"),5000000)</f>
        <v>5000000</v>
      </c>
      <c r="G3040" s="13">
        <f ca="1">IFERROR(__xludf.DUMMYFUNCTION("IF(E3040=""USD"",C3040,C3040 * GOOGLEFINANCE(""CURRENCY:"" &amp; E3040 &amp; ""USD""))
"),6157157)</f>
        <v>6157157</v>
      </c>
    </row>
    <row r="3041" spans="1:7" ht="15.75" customHeight="1" x14ac:dyDescent="0.25">
      <c r="A3041" s="14" t="s">
        <v>24</v>
      </c>
      <c r="B3041" s="15">
        <v>1500000</v>
      </c>
      <c r="C3041" s="15">
        <v>4599680</v>
      </c>
      <c r="D3041" s="15">
        <v>2003</v>
      </c>
      <c r="E3041" s="15" t="str">
        <f>VLOOKUP(A3041, Currency!$A$2:$B$100, 2, FALSE)</f>
        <v>USD</v>
      </c>
      <c r="F3041" s="15">
        <f ca="1">IFERROR(__xludf.DUMMYFUNCTION("IF(E3041=""USD"",B3041,B3041 * GOOGLEFINANCE(""CURRENCY:"" &amp; E3041 &amp; ""USD""))
"),1500000)</f>
        <v>1500000</v>
      </c>
      <c r="G3041" s="16">
        <f ca="1">IFERROR(__xludf.DUMMYFUNCTION("IF(E3041=""USD"",C3041,C3041 * GOOGLEFINANCE(""CURRENCY:"" &amp; E3041 &amp; ""USD""))
"),4599680)</f>
        <v>4599680</v>
      </c>
    </row>
    <row r="3042" spans="1:7" ht="15.75" customHeight="1" x14ac:dyDescent="0.25">
      <c r="A3042" s="11" t="s">
        <v>24</v>
      </c>
      <c r="B3042" s="12">
        <v>29000000</v>
      </c>
      <c r="C3042" s="12">
        <v>183436380</v>
      </c>
      <c r="D3042" s="12">
        <v>2015</v>
      </c>
      <c r="E3042" s="12" t="str">
        <f>VLOOKUP(A3042, Currency!$A$2:$B$100, 2, FALSE)</f>
        <v>USD</v>
      </c>
      <c r="F3042" s="12">
        <f ca="1">IFERROR(__xludf.DUMMYFUNCTION("IF(E3042=""USD"",B3042,B3042 * GOOGLEFINANCE(""CURRENCY:"" &amp; E3042 &amp; ""USD""))
"),29000000)</f>
        <v>29000000</v>
      </c>
      <c r="G3042" s="13">
        <f ca="1">IFERROR(__xludf.DUMMYFUNCTION("IF(E3042=""USD"",C3042,C3042 * GOOGLEFINANCE(""CURRENCY:"" &amp; E3042 &amp; ""USD""))
"),183436380)</f>
        <v>183436380</v>
      </c>
    </row>
    <row r="3043" spans="1:7" ht="15.75" customHeight="1" x14ac:dyDescent="0.25">
      <c r="A3043" s="14" t="s">
        <v>24</v>
      </c>
      <c r="B3043" s="15">
        <v>12000000</v>
      </c>
      <c r="C3043" s="15">
        <v>37188667</v>
      </c>
      <c r="D3043" s="15">
        <v>2002</v>
      </c>
      <c r="E3043" s="15" t="str">
        <f>VLOOKUP(A3043, Currency!$A$2:$B$100, 2, FALSE)</f>
        <v>USD</v>
      </c>
      <c r="F3043" s="15">
        <f ca="1">IFERROR(__xludf.DUMMYFUNCTION("IF(E3043=""USD"",B3043,B3043 * GOOGLEFINANCE(""CURRENCY:"" &amp; E3043 &amp; ""USD""))
"),12000000)</f>
        <v>12000000</v>
      </c>
      <c r="G3043" s="16">
        <f ca="1">IFERROR(__xludf.DUMMYFUNCTION("IF(E3043=""USD"",C3043,C3043 * GOOGLEFINANCE(""CURRENCY:"" &amp; E3043 &amp; ""USD""))
"),37188667)</f>
        <v>37188667</v>
      </c>
    </row>
    <row r="3044" spans="1:7" ht="15.75" customHeight="1" x14ac:dyDescent="0.25">
      <c r="A3044" s="11" t="s">
        <v>611</v>
      </c>
      <c r="B3044" s="12">
        <v>10000000</v>
      </c>
      <c r="C3044" s="12">
        <v>6197866</v>
      </c>
      <c r="D3044" s="12">
        <v>1999</v>
      </c>
      <c r="E3044" s="12" t="str">
        <f>VLOOKUP(A3044, Currency!$A$2:$B$100, 2, FALSE)</f>
        <v>EUR</v>
      </c>
      <c r="F3044" s="12">
        <f ca="1">IFERROR(__xludf.DUMMYFUNCTION("IF(E3044=""USD"",B3044,B3044 * GOOGLEFINANCE(""CURRENCY:"" &amp; E3044 &amp; ""USD""))
"),10847400)</f>
        <v>10847400</v>
      </c>
      <c r="G3044" s="13">
        <f ca="1">IFERROR(__xludf.DUMMYFUNCTION("IF(E3044=""USD"",C3044,C3044 * GOOGLEFINANCE(""CURRENCY:"" &amp; E3044 &amp; ""USD""))
"),6723073.16484)</f>
        <v>6723073.1648399998</v>
      </c>
    </row>
    <row r="3045" spans="1:7" ht="15.75" customHeight="1" x14ac:dyDescent="0.25">
      <c r="A3045" s="14" t="s">
        <v>24</v>
      </c>
      <c r="B3045" s="15">
        <v>4000000</v>
      </c>
      <c r="C3045" s="15">
        <v>94900000</v>
      </c>
      <c r="D3045" s="15">
        <v>1983</v>
      </c>
      <c r="E3045" s="15" t="str">
        <f>VLOOKUP(A3045, Currency!$A$2:$B$100, 2, FALSE)</f>
        <v>USD</v>
      </c>
      <c r="F3045" s="15">
        <f ca="1">IFERROR(__xludf.DUMMYFUNCTION("IF(E3045=""USD"",B3045,B3045 * GOOGLEFINANCE(""CURRENCY:"" &amp; E3045 &amp; ""USD""))
"),4000000)</f>
        <v>4000000</v>
      </c>
      <c r="G3045" s="16">
        <f ca="1">IFERROR(__xludf.DUMMYFUNCTION("IF(E3045=""USD"",C3045,C3045 * GOOGLEFINANCE(""CURRENCY:"" &amp; E3045 &amp; ""USD""))
"),94900000)</f>
        <v>94900000</v>
      </c>
    </row>
    <row r="3046" spans="1:7" ht="15.75" customHeight="1" x14ac:dyDescent="0.25">
      <c r="A3046" s="11" t="s">
        <v>133</v>
      </c>
      <c r="B3046" s="12">
        <v>11000000</v>
      </c>
      <c r="C3046" s="12">
        <v>39025000</v>
      </c>
      <c r="D3046" s="12">
        <v>1995</v>
      </c>
      <c r="E3046" s="12" t="str">
        <f>VLOOKUP(A3046, Currency!$A$2:$B$100, 2, FALSE)</f>
        <v>GBP</v>
      </c>
      <c r="F3046" s="12">
        <f ca="1">IFERROR(__xludf.DUMMYFUNCTION("IF(E3046=""USD"",B3046,B3046 * GOOGLEFINANCE(""CURRENCY:"" &amp; E3046 &amp; ""USD""))
"),14139399.9999999)</f>
        <v>14139399.999999899</v>
      </c>
      <c r="G3046" s="13">
        <f ca="1">IFERROR(__xludf.DUMMYFUNCTION("IF(E3046=""USD"",C3046,C3046 * GOOGLEFINANCE(""CURRENCY:"" &amp; E3046 &amp; ""USD""))
"),50162734.9999999)</f>
        <v>50162734.999999903</v>
      </c>
    </row>
    <row r="3047" spans="1:7" ht="15.75" customHeight="1" x14ac:dyDescent="0.25">
      <c r="A3047" s="14" t="s">
        <v>176</v>
      </c>
      <c r="B3047" s="15">
        <v>51000000</v>
      </c>
      <c r="C3047" s="15">
        <v>72601713</v>
      </c>
      <c r="D3047" s="15">
        <v>2006</v>
      </c>
      <c r="E3047" s="15" t="str">
        <f>VLOOKUP(A3047, Currency!$A$2:$B$100, 2, FALSE)</f>
        <v>EUR</v>
      </c>
      <c r="F3047" s="15">
        <f ca="1">IFERROR(__xludf.DUMMYFUNCTION("IF(E3047=""USD"",B3047,B3047 * GOOGLEFINANCE(""CURRENCY:"" &amp; E3047 &amp; ""USD""))
"),55321740)</f>
        <v>55321740</v>
      </c>
      <c r="G3047" s="16">
        <f ca="1">IFERROR(__xludf.DUMMYFUNCTION("IF(E3047=""USD"",C3047,C3047 * GOOGLEFINANCE(""CURRENCY:"" &amp; E3047 &amp; ""USD""))
"),78753982.15962)</f>
        <v>78753982.159620002</v>
      </c>
    </row>
    <row r="3048" spans="1:7" ht="15.75" customHeight="1" x14ac:dyDescent="0.25">
      <c r="A3048" s="11" t="s">
        <v>24</v>
      </c>
      <c r="B3048" s="12">
        <v>13000000</v>
      </c>
      <c r="C3048" s="12">
        <v>1150403</v>
      </c>
      <c r="D3048" s="12">
        <v>2006</v>
      </c>
      <c r="E3048" s="12" t="str">
        <f>VLOOKUP(A3048, Currency!$A$2:$B$100, 2, FALSE)</f>
        <v>USD</v>
      </c>
      <c r="F3048" s="12">
        <f ca="1">IFERROR(__xludf.DUMMYFUNCTION("IF(E3048=""USD"",B3048,B3048 * GOOGLEFINANCE(""CURRENCY:"" &amp; E3048 &amp; ""USD""))
"),13000000)</f>
        <v>13000000</v>
      </c>
      <c r="G3048" s="13">
        <f ca="1">IFERROR(__xludf.DUMMYFUNCTION("IF(E3048=""USD"",C3048,C3048 * GOOGLEFINANCE(""CURRENCY:"" &amp; E3048 &amp; ""USD""))
"),1150403)</f>
        <v>1150403</v>
      </c>
    </row>
    <row r="3049" spans="1:7" ht="15.75" customHeight="1" x14ac:dyDescent="0.25">
      <c r="A3049" s="14" t="s">
        <v>3280</v>
      </c>
      <c r="B3049" s="15">
        <v>15000000</v>
      </c>
      <c r="C3049" s="15">
        <v>613556</v>
      </c>
      <c r="D3049" s="15">
        <v>2015</v>
      </c>
      <c r="E3049" s="15" t="str">
        <f>VLOOKUP(A3049, Currency!$A$2:$B$100, 2, FALSE)</f>
        <v>TWD</v>
      </c>
      <c r="F3049" s="15">
        <f ca="1">IFERROR(__xludf.DUMMYFUNCTION("IF(E3049=""USD"",B3049,B3049 * GOOGLEFINANCE(""CURRENCY:"" &amp; E3049 &amp; ""USD""))
"),458184.6)</f>
        <v>458184.6</v>
      </c>
      <c r="G3049" s="16">
        <f ca="1">IFERROR(__xludf.DUMMYFUNCTION("IF(E3049=""USD"",C3049,C3049 * GOOGLEFINANCE(""CURRENCY:"" &amp; E3049 &amp; ""USD""))
"),18741.46069584)</f>
        <v>18741.46069584</v>
      </c>
    </row>
    <row r="3050" spans="1:7" ht="15.75" customHeight="1" x14ac:dyDescent="0.25">
      <c r="A3050" s="11" t="s">
        <v>24</v>
      </c>
      <c r="B3050" s="12">
        <v>80000000</v>
      </c>
      <c r="C3050" s="12">
        <v>36073232</v>
      </c>
      <c r="D3050" s="12">
        <v>2013</v>
      </c>
      <c r="E3050" s="12" t="str">
        <f>VLOOKUP(A3050, Currency!$A$2:$B$100, 2, FALSE)</f>
        <v>USD</v>
      </c>
      <c r="F3050" s="12">
        <f ca="1">IFERROR(__xludf.DUMMYFUNCTION("IF(E3050=""USD"",B3050,B3050 * GOOGLEFINANCE(""CURRENCY:"" &amp; E3050 &amp; ""USD""))
"),80000000)</f>
        <v>80000000</v>
      </c>
      <c r="G3050" s="13">
        <f ca="1">IFERROR(__xludf.DUMMYFUNCTION("IF(E3050=""USD"",C3050,C3050 * GOOGLEFINANCE(""CURRENCY:"" &amp; E3050 &amp; ""USD""))
"),36073232)</f>
        <v>36073232</v>
      </c>
    </row>
    <row r="3051" spans="1:7" ht="15.75" customHeight="1" x14ac:dyDescent="0.25">
      <c r="A3051" s="14" t="s">
        <v>24</v>
      </c>
      <c r="B3051" s="15">
        <v>10000000</v>
      </c>
      <c r="C3051" s="15">
        <v>25339117</v>
      </c>
      <c r="D3051" s="15">
        <v>1998</v>
      </c>
      <c r="E3051" s="15" t="str">
        <f>VLOOKUP(A3051, Currency!$A$2:$B$100, 2, FALSE)</f>
        <v>USD</v>
      </c>
      <c r="F3051" s="15">
        <f ca="1">IFERROR(__xludf.DUMMYFUNCTION("IF(E3051=""USD"",B3051,B3051 * GOOGLEFINANCE(""CURRENCY:"" &amp; E3051 &amp; ""USD""))
"),10000000)</f>
        <v>10000000</v>
      </c>
      <c r="G3051" s="16">
        <f ca="1">IFERROR(__xludf.DUMMYFUNCTION("IF(E3051=""USD"",C3051,C3051 * GOOGLEFINANCE(""CURRENCY:"" &amp; E3051 &amp; ""USD""))
"),25339117)</f>
        <v>25339117</v>
      </c>
    </row>
    <row r="3052" spans="1:7" ht="15.75" customHeight="1" x14ac:dyDescent="0.25">
      <c r="A3052" s="11" t="s">
        <v>611</v>
      </c>
      <c r="B3052" s="12">
        <v>28000000</v>
      </c>
      <c r="C3052" s="12">
        <v>20285518</v>
      </c>
      <c r="D3052" s="12">
        <v>2014</v>
      </c>
      <c r="E3052" s="12" t="str">
        <f>VLOOKUP(A3052, Currency!$A$2:$B$100, 2, FALSE)</f>
        <v>EUR</v>
      </c>
      <c r="F3052" s="12">
        <f ca="1">IFERROR(__xludf.DUMMYFUNCTION("IF(E3052=""USD"",B3052,B3052 * GOOGLEFINANCE(""CURRENCY:"" &amp; E3052 &amp; ""USD""))
"),30372720)</f>
        <v>30372720</v>
      </c>
      <c r="G3052" s="13">
        <f ca="1">IFERROR(__xludf.DUMMYFUNCTION("IF(E3052=""USD"",C3052,C3052 * GOOGLEFINANCE(""CURRENCY:"" &amp; E3052 &amp; ""USD""))
"),22004512.79532)</f>
        <v>22004512.79532</v>
      </c>
    </row>
    <row r="3053" spans="1:7" ht="15.75" customHeight="1" x14ac:dyDescent="0.25">
      <c r="A3053" s="14" t="s">
        <v>24</v>
      </c>
      <c r="B3053" s="15">
        <v>19000000</v>
      </c>
      <c r="C3053" s="15">
        <v>58156435</v>
      </c>
      <c r="D3053" s="15">
        <v>2004</v>
      </c>
      <c r="E3053" s="15" t="str">
        <f>VLOOKUP(A3053, Currency!$A$2:$B$100, 2, FALSE)</f>
        <v>USD</v>
      </c>
      <c r="F3053" s="15">
        <f ca="1">IFERROR(__xludf.DUMMYFUNCTION("IF(E3053=""USD"",B3053,B3053 * GOOGLEFINANCE(""CURRENCY:"" &amp; E3053 &amp; ""USD""))
"),19000000)</f>
        <v>19000000</v>
      </c>
      <c r="G3053" s="16">
        <f ca="1">IFERROR(__xludf.DUMMYFUNCTION("IF(E3053=""USD"",C3053,C3053 * GOOGLEFINANCE(""CURRENCY:"" &amp; E3053 &amp; ""USD""))
"),58156435)</f>
        <v>58156435</v>
      </c>
    </row>
    <row r="3054" spans="1:7" ht="15.75" customHeight="1" x14ac:dyDescent="0.25">
      <c r="A3054" s="11" t="s">
        <v>24</v>
      </c>
      <c r="B3054" s="12">
        <v>83532</v>
      </c>
      <c r="C3054" s="12">
        <v>30859000</v>
      </c>
      <c r="D3054" s="12">
        <v>1974</v>
      </c>
      <c r="E3054" s="12" t="str">
        <f>VLOOKUP(A3054, Currency!$A$2:$B$100, 2, FALSE)</f>
        <v>USD</v>
      </c>
      <c r="F3054" s="12">
        <f ca="1">IFERROR(__xludf.DUMMYFUNCTION("IF(E3054=""USD"",B3054,B3054 * GOOGLEFINANCE(""CURRENCY:"" &amp; E3054 &amp; ""USD""))
"),83532)</f>
        <v>83532</v>
      </c>
      <c r="G3054" s="13">
        <f ca="1">IFERROR(__xludf.DUMMYFUNCTION("IF(E3054=""USD"",C3054,C3054 * GOOGLEFINANCE(""CURRENCY:"" &amp; E3054 &amp; ""USD""))
"),30859000)</f>
        <v>30859000</v>
      </c>
    </row>
    <row r="3055" spans="1:7" ht="15.75" customHeight="1" x14ac:dyDescent="0.25">
      <c r="A3055" s="14" t="s">
        <v>176</v>
      </c>
      <c r="B3055" s="15">
        <v>70000000</v>
      </c>
      <c r="C3055" s="15">
        <v>62647540</v>
      </c>
      <c r="D3055" s="15">
        <v>2005</v>
      </c>
      <c r="E3055" s="15" t="str">
        <f>VLOOKUP(A3055, Currency!$A$2:$B$100, 2, FALSE)</f>
        <v>EUR</v>
      </c>
      <c r="F3055" s="15">
        <f ca="1">IFERROR(__xludf.DUMMYFUNCTION("IF(E3055=""USD"",B3055,B3055 * GOOGLEFINANCE(""CURRENCY:"" &amp; E3055 &amp; ""USD""))
"),75931800)</f>
        <v>75931800</v>
      </c>
      <c r="G3055" s="16">
        <f ca="1">IFERROR(__xludf.DUMMYFUNCTION("IF(E3055=""USD"",C3055,C3055 * GOOGLEFINANCE(""CURRENCY:"" &amp; E3055 &amp; ""USD""))
"),67956292.5396)</f>
        <v>67956292.5396</v>
      </c>
    </row>
    <row r="3056" spans="1:7" ht="15.75" customHeight="1" x14ac:dyDescent="0.25">
      <c r="A3056" s="11" t="s">
        <v>24</v>
      </c>
      <c r="B3056" s="12">
        <v>230000</v>
      </c>
      <c r="C3056" s="12">
        <v>3151130</v>
      </c>
      <c r="D3056" s="12">
        <v>1994</v>
      </c>
      <c r="E3056" s="12" t="str">
        <f>VLOOKUP(A3056, Currency!$A$2:$B$100, 2, FALSE)</f>
        <v>USD</v>
      </c>
      <c r="F3056" s="12">
        <f ca="1">IFERROR(__xludf.DUMMYFUNCTION("IF(E3056=""USD"",B3056,B3056 * GOOGLEFINANCE(""CURRENCY:"" &amp; E3056 &amp; ""USD""))
"),230000)</f>
        <v>230000</v>
      </c>
      <c r="G3056" s="13">
        <f ca="1">IFERROR(__xludf.DUMMYFUNCTION("IF(E3056=""USD"",C3056,C3056 * GOOGLEFINANCE(""CURRENCY:"" &amp; E3056 &amp; ""USD""))
"),3151130)</f>
        <v>3151130</v>
      </c>
    </row>
    <row r="3057" spans="1:7" ht="15.75" customHeight="1" x14ac:dyDescent="0.25">
      <c r="A3057" s="14" t="s">
        <v>133</v>
      </c>
      <c r="B3057" s="15">
        <v>11000000</v>
      </c>
      <c r="C3057" s="15">
        <v>38317535</v>
      </c>
      <c r="D3057" s="15">
        <v>2015</v>
      </c>
      <c r="E3057" s="15" t="str">
        <f>VLOOKUP(A3057, Currency!$A$2:$B$100, 2, FALSE)</f>
        <v>GBP</v>
      </c>
      <c r="F3057" s="15">
        <f ca="1">IFERROR(__xludf.DUMMYFUNCTION("IF(E3057=""USD"",B3057,B3057 * GOOGLEFINANCE(""CURRENCY:"" &amp; E3057 &amp; ""USD""))
"),14139399.9999999)</f>
        <v>14139399.999999899</v>
      </c>
      <c r="G3057" s="16">
        <f ca="1">IFERROR(__xludf.DUMMYFUNCTION("IF(E3057=""USD"",C3057,C3057 * GOOGLEFINANCE(""CURRENCY:"" &amp; E3057 &amp; ""USD""))
"),49253359.4889999)</f>
        <v>49253359.488999903</v>
      </c>
    </row>
    <row r="3058" spans="1:7" ht="15.75" customHeight="1" x14ac:dyDescent="0.25">
      <c r="A3058" s="11" t="s">
        <v>24</v>
      </c>
      <c r="B3058" s="12">
        <v>10000000</v>
      </c>
      <c r="C3058" s="12">
        <v>29500000</v>
      </c>
      <c r="D3058" s="12">
        <v>1983</v>
      </c>
      <c r="E3058" s="12" t="str">
        <f>VLOOKUP(A3058, Currency!$A$2:$B$100, 2, FALSE)</f>
        <v>USD</v>
      </c>
      <c r="F3058" s="12">
        <f ca="1">IFERROR(__xludf.DUMMYFUNCTION("IF(E3058=""USD"",B3058,B3058 * GOOGLEFINANCE(""CURRENCY:"" &amp; E3058 &amp; ""USD""))
"),10000000)</f>
        <v>10000000</v>
      </c>
      <c r="G3058" s="13">
        <f ca="1">IFERROR(__xludf.DUMMYFUNCTION("IF(E3058=""USD"",C3058,C3058 * GOOGLEFINANCE(""CURRENCY:"" &amp; E3058 &amp; ""USD""))
"),29500000)</f>
        <v>29500000</v>
      </c>
    </row>
    <row r="3059" spans="1:7" ht="15.75" customHeight="1" x14ac:dyDescent="0.25">
      <c r="A3059" s="14" t="s">
        <v>24</v>
      </c>
      <c r="B3059" s="15">
        <v>12000000</v>
      </c>
      <c r="C3059" s="15">
        <v>56631572</v>
      </c>
      <c r="D3059" s="15">
        <v>1995</v>
      </c>
      <c r="E3059" s="15" t="str">
        <f>VLOOKUP(A3059, Currency!$A$2:$B$100, 2, FALSE)</f>
        <v>USD</v>
      </c>
      <c r="F3059" s="15">
        <f ca="1">IFERROR(__xludf.DUMMYFUNCTION("IF(E3059=""USD"",B3059,B3059 * GOOGLEFINANCE(""CURRENCY:"" &amp; E3059 &amp; ""USD""))
"),12000000)</f>
        <v>12000000</v>
      </c>
      <c r="G3059" s="16">
        <f ca="1">IFERROR(__xludf.DUMMYFUNCTION("IF(E3059=""USD"",C3059,C3059 * GOOGLEFINANCE(""CURRENCY:"" &amp; E3059 &amp; ""USD""))
"),56631572)</f>
        <v>56631572</v>
      </c>
    </row>
    <row r="3060" spans="1:7" ht="15.75" customHeight="1" x14ac:dyDescent="0.25">
      <c r="A3060" s="11" t="s">
        <v>611</v>
      </c>
      <c r="B3060" s="12">
        <v>15000000</v>
      </c>
      <c r="C3060" s="12">
        <v>5023275</v>
      </c>
      <c r="D3060" s="12">
        <v>2005</v>
      </c>
      <c r="E3060" s="12" t="str">
        <f>VLOOKUP(A3060, Currency!$A$2:$B$100, 2, FALSE)</f>
        <v>EUR</v>
      </c>
      <c r="F3060" s="12">
        <f ca="1">IFERROR(__xludf.DUMMYFUNCTION("IF(E3060=""USD"",B3060,B3060 * GOOGLEFINANCE(""CURRENCY:"" &amp; E3060 &amp; ""USD""))
"),16271100)</f>
        <v>16271100</v>
      </c>
      <c r="G3060" s="13">
        <f ca="1">IFERROR(__xludf.DUMMYFUNCTION("IF(E3060=""USD"",C3060,C3060 * GOOGLEFINANCE(""CURRENCY:"" &amp; E3060 &amp; ""USD""))
"),5448947.3235)</f>
        <v>5448947.3234999999</v>
      </c>
    </row>
    <row r="3061" spans="1:7" ht="15.75" customHeight="1" x14ac:dyDescent="0.25">
      <c r="A3061" s="14" t="s">
        <v>24</v>
      </c>
      <c r="B3061" s="15">
        <v>30000000</v>
      </c>
      <c r="C3061" s="15">
        <v>125014030</v>
      </c>
      <c r="D3061" s="15">
        <v>2012</v>
      </c>
      <c r="E3061" s="15" t="str">
        <f>VLOOKUP(A3061, Currency!$A$2:$B$100, 2, FALSE)</f>
        <v>USD</v>
      </c>
      <c r="F3061" s="15">
        <f ca="1">IFERROR(__xludf.DUMMYFUNCTION("IF(E3061=""USD"",B3061,B3061 * GOOGLEFINANCE(""CURRENCY:"" &amp; E3061 &amp; ""USD""))
"),30000000)</f>
        <v>30000000</v>
      </c>
      <c r="G3061" s="16">
        <f ca="1">IFERROR(__xludf.DUMMYFUNCTION("IF(E3061=""USD"",C3061,C3061 * GOOGLEFINANCE(""CURRENCY:"" &amp; E3061 &amp; ""USD""))
"),125014030)</f>
        <v>125014030</v>
      </c>
    </row>
    <row r="3062" spans="1:7" ht="15.75" customHeight="1" x14ac:dyDescent="0.25">
      <c r="A3062" s="11" t="s">
        <v>24</v>
      </c>
      <c r="B3062" s="12">
        <v>6000000</v>
      </c>
      <c r="C3062" s="12">
        <v>115862</v>
      </c>
      <c r="D3062" s="12">
        <v>2009</v>
      </c>
      <c r="E3062" s="12" t="str">
        <f>VLOOKUP(A3062, Currency!$A$2:$B$100, 2, FALSE)</f>
        <v>USD</v>
      </c>
      <c r="F3062" s="12">
        <f ca="1">IFERROR(__xludf.DUMMYFUNCTION("IF(E3062=""USD"",B3062,B3062 * GOOGLEFINANCE(""CURRENCY:"" &amp; E3062 &amp; ""USD""))
"),6000000)</f>
        <v>6000000</v>
      </c>
      <c r="G3062" s="13">
        <f ca="1">IFERROR(__xludf.DUMMYFUNCTION("IF(E3062=""USD"",C3062,C3062 * GOOGLEFINANCE(""CURRENCY:"" &amp; E3062 &amp; ""USD""))
"),115862)</f>
        <v>115862</v>
      </c>
    </row>
    <row r="3063" spans="1:7" ht="15.75" customHeight="1" x14ac:dyDescent="0.25">
      <c r="A3063" s="14" t="s">
        <v>24</v>
      </c>
      <c r="B3063" s="15">
        <v>38000000</v>
      </c>
      <c r="C3063" s="15">
        <v>85570368</v>
      </c>
      <c r="D3063" s="15">
        <v>2002</v>
      </c>
      <c r="E3063" s="15" t="str">
        <f>VLOOKUP(A3063, Currency!$A$2:$B$100, 2, FALSE)</f>
        <v>USD</v>
      </c>
      <c r="F3063" s="15">
        <f ca="1">IFERROR(__xludf.DUMMYFUNCTION("IF(E3063=""USD"",B3063,B3063 * GOOGLEFINANCE(""CURRENCY:"" &amp; E3063 &amp; ""USD""))
"),38000000)</f>
        <v>38000000</v>
      </c>
      <c r="G3063" s="16">
        <f ca="1">IFERROR(__xludf.DUMMYFUNCTION("IF(E3063=""USD"",C3063,C3063 * GOOGLEFINANCE(""CURRENCY:"" &amp; E3063 &amp; ""USD""))
"),85570368)</f>
        <v>85570368</v>
      </c>
    </row>
    <row r="3064" spans="1:7" ht="15.75" customHeight="1" x14ac:dyDescent="0.25">
      <c r="A3064" s="11" t="s">
        <v>24</v>
      </c>
      <c r="B3064" s="12">
        <v>6500000</v>
      </c>
      <c r="C3064" s="12">
        <v>2024854</v>
      </c>
      <c r="D3064" s="12">
        <v>2005</v>
      </c>
      <c r="E3064" s="12" t="str">
        <f>VLOOKUP(A3064, Currency!$A$2:$B$100, 2, FALSE)</f>
        <v>USD</v>
      </c>
      <c r="F3064" s="12">
        <f ca="1">IFERROR(__xludf.DUMMYFUNCTION("IF(E3064=""USD"",B3064,B3064 * GOOGLEFINANCE(""CURRENCY:"" &amp; E3064 &amp; ""USD""))
"),6500000)</f>
        <v>6500000</v>
      </c>
      <c r="G3064" s="13">
        <f ca="1">IFERROR(__xludf.DUMMYFUNCTION("IF(E3064=""USD"",C3064,C3064 * GOOGLEFINANCE(""CURRENCY:"" &amp; E3064 &amp; ""USD""))
"),2024854)</f>
        <v>2024854</v>
      </c>
    </row>
    <row r="3065" spans="1:7" ht="15.75" customHeight="1" x14ac:dyDescent="0.25">
      <c r="A3065" s="14" t="s">
        <v>24</v>
      </c>
      <c r="B3065" s="15">
        <v>200000</v>
      </c>
      <c r="C3065" s="15">
        <v>4505922</v>
      </c>
      <c r="D3065" s="15">
        <v>1996</v>
      </c>
      <c r="E3065" s="15" t="str">
        <f>VLOOKUP(A3065, Currency!$A$2:$B$100, 2, FALSE)</f>
        <v>USD</v>
      </c>
      <c r="F3065" s="15">
        <f ca="1">IFERROR(__xludf.DUMMYFUNCTION("IF(E3065=""USD"",B3065,B3065 * GOOGLEFINANCE(""CURRENCY:"" &amp; E3065 &amp; ""USD""))
"),200000)</f>
        <v>200000</v>
      </c>
      <c r="G3065" s="16">
        <f ca="1">IFERROR(__xludf.DUMMYFUNCTION("IF(E3065=""USD"",C3065,C3065 * GOOGLEFINANCE(""CURRENCY:"" &amp; E3065 &amp; ""USD""))
"),4505922)</f>
        <v>4505922</v>
      </c>
    </row>
    <row r="3066" spans="1:7" ht="15.75" customHeight="1" x14ac:dyDescent="0.25">
      <c r="A3066" s="11" t="s">
        <v>24</v>
      </c>
      <c r="B3066" s="12">
        <v>6000000</v>
      </c>
      <c r="C3066" s="12">
        <v>11434867</v>
      </c>
      <c r="D3066" s="12">
        <v>2012</v>
      </c>
      <c r="E3066" s="12" t="str">
        <f>VLOOKUP(A3066, Currency!$A$2:$B$100, 2, FALSE)</f>
        <v>USD</v>
      </c>
      <c r="F3066" s="12">
        <f ca="1">IFERROR(__xludf.DUMMYFUNCTION("IF(E3066=""USD"",B3066,B3066 * GOOGLEFINANCE(""CURRENCY:"" &amp; E3066 &amp; ""USD""))
"),6000000)</f>
        <v>6000000</v>
      </c>
      <c r="G3066" s="13">
        <f ca="1">IFERROR(__xludf.DUMMYFUNCTION("IF(E3066=""USD"",C3066,C3066 * GOOGLEFINANCE(""CURRENCY:"" &amp; E3066 &amp; ""USD""))
"),11434867)</f>
        <v>11434867</v>
      </c>
    </row>
    <row r="3067" spans="1:7" ht="15.75" customHeight="1" x14ac:dyDescent="0.25">
      <c r="A3067" s="14" t="s">
        <v>176</v>
      </c>
      <c r="B3067" s="15">
        <v>7000000</v>
      </c>
      <c r="C3067" s="15">
        <v>6173485</v>
      </c>
      <c r="D3067" s="15">
        <v>2001</v>
      </c>
      <c r="E3067" s="15" t="str">
        <f>VLOOKUP(A3067, Currency!$A$2:$B$100, 2, FALSE)</f>
        <v>EUR</v>
      </c>
      <c r="F3067" s="15">
        <f ca="1">IFERROR(__xludf.DUMMYFUNCTION("IF(E3067=""USD"",B3067,B3067 * GOOGLEFINANCE(""CURRENCY:"" &amp; E3067 &amp; ""USD""))
"),7593180)</f>
        <v>7593180</v>
      </c>
      <c r="G3067" s="16">
        <f ca="1">IFERROR(__xludf.DUMMYFUNCTION("IF(E3067=""USD"",C3067,C3067 * GOOGLEFINANCE(""CURRENCY:"" &amp; E3067 &amp; ""USD""))
"),6696626.1189)</f>
        <v>6696626.1189000001</v>
      </c>
    </row>
    <row r="3068" spans="1:7" ht="15.75" customHeight="1" x14ac:dyDescent="0.25">
      <c r="A3068" s="11" t="s">
        <v>24</v>
      </c>
      <c r="B3068" s="12">
        <v>14000000</v>
      </c>
      <c r="C3068" s="12">
        <v>156645693</v>
      </c>
      <c r="D3068" s="12">
        <v>1987</v>
      </c>
      <c r="E3068" s="12" t="str">
        <f>VLOOKUP(A3068, Currency!$A$2:$B$100, 2, FALSE)</f>
        <v>USD</v>
      </c>
      <c r="F3068" s="12">
        <f ca="1">IFERROR(__xludf.DUMMYFUNCTION("IF(E3068=""USD"",B3068,B3068 * GOOGLEFINANCE(""CURRENCY:"" &amp; E3068 &amp; ""USD""))
"),14000000)</f>
        <v>14000000</v>
      </c>
      <c r="G3068" s="13">
        <f ca="1">IFERROR(__xludf.DUMMYFUNCTION("IF(E3068=""USD"",C3068,C3068 * GOOGLEFINANCE(""CURRENCY:"" &amp; E3068 &amp; ""USD""))
"),156645693)</f>
        <v>156645693</v>
      </c>
    </row>
    <row r="3069" spans="1:7" ht="15.75" customHeight="1" x14ac:dyDescent="0.25">
      <c r="A3069" s="14" t="s">
        <v>24</v>
      </c>
      <c r="B3069" s="15">
        <v>12600000</v>
      </c>
      <c r="C3069" s="15">
        <v>15417771</v>
      </c>
      <c r="D3069" s="15">
        <v>2003</v>
      </c>
      <c r="E3069" s="15" t="str">
        <f>VLOOKUP(A3069, Currency!$A$2:$B$100, 2, FALSE)</f>
        <v>USD</v>
      </c>
      <c r="F3069" s="15">
        <f ca="1">IFERROR(__xludf.DUMMYFUNCTION("IF(E3069=""USD"",B3069,B3069 * GOOGLEFINANCE(""CURRENCY:"" &amp; E3069 &amp; ""USD""))
"),12600000)</f>
        <v>12600000</v>
      </c>
      <c r="G3069" s="16">
        <f ca="1">IFERROR(__xludf.DUMMYFUNCTION("IF(E3069=""USD"",C3069,C3069 * GOOGLEFINANCE(""CURRENCY:"" &amp; E3069 &amp; ""USD""))
"),15417771)</f>
        <v>15417771</v>
      </c>
    </row>
    <row r="3070" spans="1:7" ht="15.75" customHeight="1" x14ac:dyDescent="0.25">
      <c r="A3070" s="11" t="s">
        <v>1491</v>
      </c>
      <c r="B3070" s="12">
        <v>13400000</v>
      </c>
      <c r="C3070" s="12">
        <v>163591</v>
      </c>
      <c r="D3070" s="12">
        <v>2010</v>
      </c>
      <c r="E3070" s="12" t="str">
        <f>VLOOKUP(A3070, Currency!$A$2:$B$100, 2, FALSE)</f>
        <v>KRW</v>
      </c>
      <c r="F3070" s="12">
        <f ca="1">IFERROR(__xludf.DUMMYFUNCTION("IF(E3070=""USD"",B3070,B3070 * GOOGLEFINANCE(""CURRENCY:"" &amp; E3070 &amp; ""USD""))
"),9699.8178)</f>
        <v>9699.8178000000007</v>
      </c>
      <c r="G3070" s="13">
        <f ca="1">IFERROR(__xludf.DUMMYFUNCTION("IF(E3070=""USD"",C3070,C3070 * GOOGLEFINANCE(""CURRENCY:"" &amp; E3070 &amp; ""USD""))
"),118.418126397)</f>
        <v>118.41812639699999</v>
      </c>
    </row>
    <row r="3071" spans="1:7" ht="15.75" customHeight="1" x14ac:dyDescent="0.25">
      <c r="A3071" s="14" t="s">
        <v>627</v>
      </c>
      <c r="B3071" s="15">
        <v>35000000</v>
      </c>
      <c r="C3071" s="15">
        <v>40687294</v>
      </c>
      <c r="D3071" s="15">
        <v>2008</v>
      </c>
      <c r="E3071" s="15" t="str">
        <f>VLOOKUP(A3071, Currency!$A$2:$B$100, 2, FALSE)</f>
        <v>CAD</v>
      </c>
      <c r="F3071" s="15">
        <f ca="1">IFERROR(__xludf.DUMMYFUNCTION("IF(E3071=""USD"",B3071,B3071 * GOOGLEFINANCE(""CURRENCY:"" &amp; E3071 &amp; ""USD""))
"),25319175)</f>
        <v>25319175</v>
      </c>
      <c r="G3071" s="16">
        <f ca="1">IFERROR(__xludf.DUMMYFUNCTION("IF(E3071=""USD"",C3071,C3071 * GOOGLEFINANCE(""CURRENCY:"" &amp; E3071 &amp; ""USD""))
"),29433391.91607)</f>
        <v>29433391.916069999</v>
      </c>
    </row>
    <row r="3072" spans="1:7" ht="15.75" customHeight="1" x14ac:dyDescent="0.25">
      <c r="A3072" s="11" t="s">
        <v>24</v>
      </c>
      <c r="B3072" s="12">
        <v>85000000</v>
      </c>
      <c r="C3072" s="12">
        <v>112703470</v>
      </c>
      <c r="D3072" s="12">
        <v>2009</v>
      </c>
      <c r="E3072" s="12" t="str">
        <f>VLOOKUP(A3072, Currency!$A$2:$B$100, 2, FALSE)</f>
        <v>USD</v>
      </c>
      <c r="F3072" s="12">
        <f ca="1">IFERROR(__xludf.DUMMYFUNCTION("IF(E3072=""USD"",B3072,B3072 * GOOGLEFINANCE(""CURRENCY:"" &amp; E3072 &amp; ""USD""))
"),85000000)</f>
        <v>85000000</v>
      </c>
      <c r="G3072" s="13">
        <f ca="1">IFERROR(__xludf.DUMMYFUNCTION("IF(E3072=""USD"",C3072,C3072 * GOOGLEFINANCE(""CURRENCY:"" &amp; E3072 &amp; ""USD""))
"),112703470)</f>
        <v>112703470</v>
      </c>
    </row>
    <row r="3073" spans="1:7" ht="15.75" customHeight="1" x14ac:dyDescent="0.25">
      <c r="A3073" s="14" t="s">
        <v>133</v>
      </c>
      <c r="B3073" s="15">
        <v>3000000</v>
      </c>
      <c r="C3073" s="15">
        <v>24788807</v>
      </c>
      <c r="D3073" s="15">
        <v>1998</v>
      </c>
      <c r="E3073" s="15" t="str">
        <f>VLOOKUP(A3073, Currency!$A$2:$B$100, 2, FALSE)</f>
        <v>GBP</v>
      </c>
      <c r="F3073" s="15">
        <f ca="1">IFERROR(__xludf.DUMMYFUNCTION("IF(E3073=""USD"",B3073,B3073 * GOOGLEFINANCE(""CURRENCY:"" &amp; E3073 &amp; ""USD""))
"),3856199.99999999)</f>
        <v>3856199.9999999902</v>
      </c>
      <c r="G3073" s="16">
        <f ca="1">IFERROR(__xludf.DUMMYFUNCTION("IF(E3073=""USD"",C3073,C3073 * GOOGLEFINANCE(""CURRENCY:"" &amp; E3073 &amp; ""USD""))
"),31863532.5177999)</f>
        <v>31863532.517799899</v>
      </c>
    </row>
    <row r="3074" spans="1:7" ht="15.75" customHeight="1" x14ac:dyDescent="0.25">
      <c r="A3074" s="11" t="s">
        <v>24</v>
      </c>
      <c r="B3074" s="12">
        <v>75000000</v>
      </c>
      <c r="C3074" s="12">
        <v>45356386</v>
      </c>
      <c r="D3074" s="12">
        <v>2005</v>
      </c>
      <c r="E3074" s="12" t="str">
        <f>VLOOKUP(A3074, Currency!$A$2:$B$100, 2, FALSE)</f>
        <v>USD</v>
      </c>
      <c r="F3074" s="12">
        <f ca="1">IFERROR(__xludf.DUMMYFUNCTION("IF(E3074=""USD"",B3074,B3074 * GOOGLEFINANCE(""CURRENCY:"" &amp; E3074 &amp; ""USD""))
"),75000000)</f>
        <v>75000000</v>
      </c>
      <c r="G3074" s="13">
        <f ca="1">IFERROR(__xludf.DUMMYFUNCTION("IF(E3074=""USD"",C3074,C3074 * GOOGLEFINANCE(""CURRENCY:"" &amp; E3074 &amp; ""USD""))
"),45356386)</f>
        <v>45356386</v>
      </c>
    </row>
    <row r="3075" spans="1:7" ht="15.75" customHeight="1" x14ac:dyDescent="0.25">
      <c r="A3075" s="14" t="s">
        <v>24</v>
      </c>
      <c r="B3075" s="15">
        <v>16000000</v>
      </c>
      <c r="C3075" s="15">
        <v>37300107</v>
      </c>
      <c r="D3075" s="15">
        <v>2011</v>
      </c>
      <c r="E3075" s="15" t="str">
        <f>VLOOKUP(A3075, Currency!$A$2:$B$100, 2, FALSE)</f>
        <v>USD</v>
      </c>
      <c r="F3075" s="15">
        <f ca="1">IFERROR(__xludf.DUMMYFUNCTION("IF(E3075=""USD"",B3075,B3075 * GOOGLEFINANCE(""CURRENCY:"" &amp; E3075 &amp; ""USD""))
"),16000000)</f>
        <v>16000000</v>
      </c>
      <c r="G3075" s="16">
        <f ca="1">IFERROR(__xludf.DUMMYFUNCTION("IF(E3075=""USD"",C3075,C3075 * GOOGLEFINANCE(""CURRENCY:"" &amp; E3075 &amp; ""USD""))
"),37300107)</f>
        <v>37300107</v>
      </c>
    </row>
    <row r="3076" spans="1:7" ht="15.75" customHeight="1" x14ac:dyDescent="0.25">
      <c r="A3076" s="11" t="s">
        <v>24</v>
      </c>
      <c r="B3076" s="12">
        <v>60000000</v>
      </c>
      <c r="C3076" s="12">
        <v>75764085</v>
      </c>
      <c r="D3076" s="12">
        <v>2000</v>
      </c>
      <c r="E3076" s="12" t="str">
        <f>VLOOKUP(A3076, Currency!$A$2:$B$100, 2, FALSE)</f>
        <v>USD</v>
      </c>
      <c r="F3076" s="12">
        <f ca="1">IFERROR(__xludf.DUMMYFUNCTION("IF(E3076=""USD"",B3076,B3076 * GOOGLEFINANCE(""CURRENCY:"" &amp; E3076 &amp; ""USD""))
"),60000000)</f>
        <v>60000000</v>
      </c>
      <c r="G3076" s="13">
        <f ca="1">IFERROR(__xludf.DUMMYFUNCTION("IF(E3076=""USD"",C3076,C3076 * GOOGLEFINANCE(""CURRENCY:"" &amp; E3076 &amp; ""USD""))
"),75764085)</f>
        <v>75764085</v>
      </c>
    </row>
    <row r="3077" spans="1:7" ht="15.75" customHeight="1" x14ac:dyDescent="0.25">
      <c r="A3077" s="14" t="s">
        <v>133</v>
      </c>
      <c r="B3077" s="15">
        <v>6500000</v>
      </c>
      <c r="C3077" s="15">
        <v>64148</v>
      </c>
      <c r="D3077" s="15">
        <v>2000</v>
      </c>
      <c r="E3077" s="15" t="str">
        <f>VLOOKUP(A3077, Currency!$A$2:$B$100, 2, FALSE)</f>
        <v>GBP</v>
      </c>
      <c r="F3077" s="15">
        <f ca="1">IFERROR(__xludf.DUMMYFUNCTION("IF(E3077=""USD"",B3077,B3077 * GOOGLEFINANCE(""CURRENCY:"" &amp; E3077 &amp; ""USD""))
"),8355099.99999999)</f>
        <v>8355099.9999999898</v>
      </c>
      <c r="G3077" s="16">
        <f ca="1">IFERROR(__xludf.DUMMYFUNCTION("IF(E3077=""USD"",C3077,C3077 * GOOGLEFINANCE(""CURRENCY:"" &amp; E3077 &amp; ""USD""))
"),82455.8391999999)</f>
        <v>82455.8391999999</v>
      </c>
    </row>
    <row r="3078" spans="1:7" ht="15.75" customHeight="1" x14ac:dyDescent="0.25">
      <c r="A3078" s="11" t="s">
        <v>24</v>
      </c>
      <c r="B3078" s="12">
        <v>4000000</v>
      </c>
      <c r="C3078" s="12">
        <v>39200000</v>
      </c>
      <c r="D3078" s="12">
        <v>1977</v>
      </c>
      <c r="E3078" s="12" t="str">
        <f>VLOOKUP(A3078, Currency!$A$2:$B$100, 2, FALSE)</f>
        <v>USD</v>
      </c>
      <c r="F3078" s="12">
        <f ca="1">IFERROR(__xludf.DUMMYFUNCTION("IF(E3078=""USD"",B3078,B3078 * GOOGLEFINANCE(""CURRENCY:"" &amp; E3078 &amp; ""USD""))
"),4000000)</f>
        <v>4000000</v>
      </c>
      <c r="G3078" s="13">
        <f ca="1">IFERROR(__xludf.DUMMYFUNCTION("IF(E3078=""USD"",C3078,C3078 * GOOGLEFINANCE(""CURRENCY:"" &amp; E3078 &amp; ""USD""))
"),39200000)</f>
        <v>39200000</v>
      </c>
    </row>
    <row r="3079" spans="1:7" ht="15.75" customHeight="1" x14ac:dyDescent="0.25">
      <c r="A3079" s="14" t="s">
        <v>24</v>
      </c>
      <c r="B3079" s="15">
        <v>45000000</v>
      </c>
      <c r="C3079" s="15">
        <v>11146409</v>
      </c>
      <c r="D3079" s="15">
        <v>1998</v>
      </c>
      <c r="E3079" s="15" t="str">
        <f>VLOOKUP(A3079, Currency!$A$2:$B$100, 2, FALSE)</f>
        <v>USD</v>
      </c>
      <c r="F3079" s="15">
        <f ca="1">IFERROR(__xludf.DUMMYFUNCTION("IF(E3079=""USD"",B3079,B3079 * GOOGLEFINANCE(""CURRENCY:"" &amp; E3079 &amp; ""USD""))
"),45000000)</f>
        <v>45000000</v>
      </c>
      <c r="G3079" s="16">
        <f ca="1">IFERROR(__xludf.DUMMYFUNCTION("IF(E3079=""USD"",C3079,C3079 * GOOGLEFINANCE(""CURRENCY:"" &amp; E3079 &amp; ""USD""))
"),11146409)</f>
        <v>11146409</v>
      </c>
    </row>
    <row r="3080" spans="1:7" ht="15.75" customHeight="1" x14ac:dyDescent="0.25">
      <c r="A3080" s="11" t="s">
        <v>24</v>
      </c>
      <c r="B3080" s="12">
        <v>40000000</v>
      </c>
      <c r="C3080" s="12">
        <v>53337608</v>
      </c>
      <c r="D3080" s="12">
        <v>2005</v>
      </c>
      <c r="E3080" s="12" t="str">
        <f>VLOOKUP(A3080, Currency!$A$2:$B$100, 2, FALSE)</f>
        <v>USD</v>
      </c>
      <c r="F3080" s="12">
        <f ca="1">IFERROR(__xludf.DUMMYFUNCTION("IF(E3080=""USD"",B3080,B3080 * GOOGLEFINANCE(""CURRENCY:"" &amp; E3080 &amp; ""USD""))
"),40000000)</f>
        <v>40000000</v>
      </c>
      <c r="G3080" s="13">
        <f ca="1">IFERROR(__xludf.DUMMYFUNCTION("IF(E3080=""USD"",C3080,C3080 * GOOGLEFINANCE(""CURRENCY:"" &amp; E3080 &amp; ""USD""))
"),53337608)</f>
        <v>53337608</v>
      </c>
    </row>
    <row r="3081" spans="1:7" ht="15.75" customHeight="1" x14ac:dyDescent="0.25">
      <c r="A3081" s="14" t="s">
        <v>24</v>
      </c>
      <c r="B3081" s="15">
        <v>27000000</v>
      </c>
      <c r="C3081" s="15">
        <v>24944213</v>
      </c>
      <c r="D3081" s="15">
        <v>1996</v>
      </c>
      <c r="E3081" s="15" t="str">
        <f>VLOOKUP(A3081, Currency!$A$2:$B$100, 2, FALSE)</f>
        <v>USD</v>
      </c>
      <c r="F3081" s="15">
        <f ca="1">IFERROR(__xludf.DUMMYFUNCTION("IF(E3081=""USD"",B3081,B3081 * GOOGLEFINANCE(""CURRENCY:"" &amp; E3081 &amp; ""USD""))
"),27000000)</f>
        <v>27000000</v>
      </c>
      <c r="G3081" s="16">
        <f ca="1">IFERROR(__xludf.DUMMYFUNCTION("IF(E3081=""USD"",C3081,C3081 * GOOGLEFINANCE(""CURRENCY:"" &amp; E3081 &amp; ""USD""))
"),24944213)</f>
        <v>24944213</v>
      </c>
    </row>
    <row r="3082" spans="1:7" ht="15.75" customHeight="1" x14ac:dyDescent="0.25">
      <c r="A3082" s="11" t="s">
        <v>24</v>
      </c>
      <c r="B3082" s="12">
        <v>5000000</v>
      </c>
      <c r="C3082" s="12">
        <v>2221809</v>
      </c>
      <c r="D3082" s="12">
        <v>2010</v>
      </c>
      <c r="E3082" s="12" t="str">
        <f>VLOOKUP(A3082, Currency!$A$2:$B$100, 2, FALSE)</f>
        <v>USD</v>
      </c>
      <c r="F3082" s="12">
        <f ca="1">IFERROR(__xludf.DUMMYFUNCTION("IF(E3082=""USD"",B3082,B3082 * GOOGLEFINANCE(""CURRENCY:"" &amp; E3082 &amp; ""USD""))
"),5000000)</f>
        <v>5000000</v>
      </c>
      <c r="G3082" s="13">
        <f ca="1">IFERROR(__xludf.DUMMYFUNCTION("IF(E3082=""USD"",C3082,C3082 * GOOGLEFINANCE(""CURRENCY:"" &amp; E3082 &amp; ""USD""))
"),2221809)</f>
        <v>2221809</v>
      </c>
    </row>
    <row r="3083" spans="1:7" ht="15.75" customHeight="1" x14ac:dyDescent="0.25">
      <c r="A3083" s="14" t="s">
        <v>24</v>
      </c>
      <c r="B3083" s="15">
        <v>35000000</v>
      </c>
      <c r="C3083" s="15">
        <v>33357476</v>
      </c>
      <c r="D3083" s="15">
        <v>2001</v>
      </c>
      <c r="E3083" s="15" t="str">
        <f>VLOOKUP(A3083, Currency!$A$2:$B$100, 2, FALSE)</f>
        <v>USD</v>
      </c>
      <c r="F3083" s="15">
        <f ca="1">IFERROR(__xludf.DUMMYFUNCTION("IF(E3083=""USD"",B3083,B3083 * GOOGLEFINANCE(""CURRENCY:"" &amp; E3083 &amp; ""USD""))
"),35000000)</f>
        <v>35000000</v>
      </c>
      <c r="G3083" s="16">
        <f ca="1">IFERROR(__xludf.DUMMYFUNCTION("IF(E3083=""USD"",C3083,C3083 * GOOGLEFINANCE(""CURRENCY:"" &amp; E3083 &amp; ""USD""))
"),33357476)</f>
        <v>33357476</v>
      </c>
    </row>
    <row r="3084" spans="1:7" ht="15.75" customHeight="1" x14ac:dyDescent="0.25">
      <c r="A3084" s="11" t="s">
        <v>24</v>
      </c>
      <c r="B3084" s="12">
        <v>80000000</v>
      </c>
      <c r="C3084" s="12">
        <v>136448821</v>
      </c>
      <c r="D3084" s="12">
        <v>1996</v>
      </c>
      <c r="E3084" s="12" t="str">
        <f>VLOOKUP(A3084, Currency!$A$2:$B$100, 2, FALSE)</f>
        <v>USD</v>
      </c>
      <c r="F3084" s="12">
        <f ca="1">IFERROR(__xludf.DUMMYFUNCTION("IF(E3084=""USD"",B3084,B3084 * GOOGLEFINANCE(""CURRENCY:"" &amp; E3084 &amp; ""USD""))
"),80000000)</f>
        <v>80000000</v>
      </c>
      <c r="G3084" s="13">
        <f ca="1">IFERROR(__xludf.DUMMYFUNCTION("IF(E3084=""USD"",C3084,C3084 * GOOGLEFINANCE(""CURRENCY:"" &amp; E3084 &amp; ""USD""))
"),136448821)</f>
        <v>136448821</v>
      </c>
    </row>
    <row r="3085" spans="1:7" ht="15.75" customHeight="1" x14ac:dyDescent="0.25">
      <c r="A3085" s="14" t="s">
        <v>24</v>
      </c>
      <c r="B3085" s="15">
        <v>12000000</v>
      </c>
      <c r="C3085" s="15">
        <v>14616</v>
      </c>
      <c r="D3085" s="15">
        <v>2015</v>
      </c>
      <c r="E3085" s="15" t="str">
        <f>VLOOKUP(A3085, Currency!$A$2:$B$100, 2, FALSE)</f>
        <v>USD</v>
      </c>
      <c r="F3085" s="15">
        <f ca="1">IFERROR(__xludf.DUMMYFUNCTION("IF(E3085=""USD"",B3085,B3085 * GOOGLEFINANCE(""CURRENCY:"" &amp; E3085 &amp; ""USD""))
"),12000000)</f>
        <v>12000000</v>
      </c>
      <c r="G3085" s="16">
        <f ca="1">IFERROR(__xludf.DUMMYFUNCTION("IF(E3085=""USD"",C3085,C3085 * GOOGLEFINANCE(""CURRENCY:"" &amp; E3085 &amp; ""USD""))
"),14616)</f>
        <v>14616</v>
      </c>
    </row>
    <row r="3086" spans="1:7" ht="15.75" customHeight="1" x14ac:dyDescent="0.25">
      <c r="A3086" s="11" t="s">
        <v>24</v>
      </c>
      <c r="B3086" s="12">
        <v>5000000</v>
      </c>
      <c r="C3086" s="12">
        <v>16017403</v>
      </c>
      <c r="D3086" s="12">
        <v>2001</v>
      </c>
      <c r="E3086" s="12" t="str">
        <f>VLOOKUP(A3086, Currency!$A$2:$B$100, 2, FALSE)</f>
        <v>USD</v>
      </c>
      <c r="F3086" s="12">
        <f ca="1">IFERROR(__xludf.DUMMYFUNCTION("IF(E3086=""USD"",B3086,B3086 * GOOGLEFINANCE(""CURRENCY:"" &amp; E3086 &amp; ""USD""))
"),5000000)</f>
        <v>5000000</v>
      </c>
      <c r="G3086" s="13">
        <f ca="1">IFERROR(__xludf.DUMMYFUNCTION("IF(E3086=""USD"",C3086,C3086 * GOOGLEFINANCE(""CURRENCY:"" &amp; E3086 &amp; ""USD""))
"),16017403)</f>
        <v>16017403</v>
      </c>
    </row>
    <row r="3087" spans="1:7" ht="15.75" customHeight="1" x14ac:dyDescent="0.25">
      <c r="A3087" s="14" t="s">
        <v>24</v>
      </c>
      <c r="B3087" s="15">
        <v>25000000</v>
      </c>
      <c r="C3087" s="15">
        <v>777423</v>
      </c>
      <c r="D3087" s="15">
        <v>1998</v>
      </c>
      <c r="E3087" s="15" t="str">
        <f>VLOOKUP(A3087, Currency!$A$2:$B$100, 2, FALSE)</f>
        <v>USD</v>
      </c>
      <c r="F3087" s="15">
        <f ca="1">IFERROR(__xludf.DUMMYFUNCTION("IF(E3087=""USD"",B3087,B3087 * GOOGLEFINANCE(""CURRENCY:"" &amp; E3087 &amp; ""USD""))
"),25000000)</f>
        <v>25000000</v>
      </c>
      <c r="G3087" s="16">
        <f ca="1">IFERROR(__xludf.DUMMYFUNCTION("IF(E3087=""USD"",C3087,C3087 * GOOGLEFINANCE(""CURRENCY:"" &amp; E3087 &amp; ""USD""))
"),777423)</f>
        <v>777423</v>
      </c>
    </row>
    <row r="3088" spans="1:7" ht="15.75" customHeight="1" x14ac:dyDescent="0.25">
      <c r="A3088" s="11" t="s">
        <v>24</v>
      </c>
      <c r="B3088" s="12">
        <v>209000000</v>
      </c>
      <c r="C3088" s="12">
        <v>200069408</v>
      </c>
      <c r="D3088" s="12">
        <v>2006</v>
      </c>
      <c r="E3088" s="12" t="str">
        <f>VLOOKUP(A3088, Currency!$A$2:$B$100, 2, FALSE)</f>
        <v>USD</v>
      </c>
      <c r="F3088" s="12">
        <f ca="1">IFERROR(__xludf.DUMMYFUNCTION("IF(E3088=""USD"",B3088,B3088 * GOOGLEFINANCE(""CURRENCY:"" &amp; E3088 &amp; ""USD""))
"),209000000)</f>
        <v>209000000</v>
      </c>
      <c r="G3088" s="13">
        <f ca="1">IFERROR(__xludf.DUMMYFUNCTION("IF(E3088=""USD"",C3088,C3088 * GOOGLEFINANCE(""CURRENCY:"" &amp; E3088 &amp; ""USD""))
"),200069408)</f>
        <v>200069408</v>
      </c>
    </row>
    <row r="3089" spans="1:7" ht="15.75" customHeight="1" x14ac:dyDescent="0.25">
      <c r="A3089" s="14" t="s">
        <v>220</v>
      </c>
      <c r="B3089" s="15">
        <v>23000000</v>
      </c>
      <c r="C3089" s="15">
        <v>43984230</v>
      </c>
      <c r="D3089" s="15">
        <v>1987</v>
      </c>
      <c r="E3089" s="15" t="str">
        <f>VLOOKUP(A3089, Currency!$A$2:$B$100, 2, FALSE)</f>
        <v>CNY</v>
      </c>
      <c r="F3089" s="15">
        <f ca="1">IFERROR(__xludf.DUMMYFUNCTION("IF(E3089=""USD"",B3089,B3089 * GOOGLEFINANCE(""CURRENCY:"" &amp; E3089 &amp; ""USD""))
"),3180529.69999999)</f>
        <v>3180529.6999999899</v>
      </c>
      <c r="G3089" s="16">
        <f ca="1">IFERROR(__xludf.DUMMYFUNCTION("IF(E3089=""USD"",C3089,C3089 * GOOGLEFINANCE(""CURRENCY:"" &amp; E3089 &amp; ""USD""))
"),6082310.86289699)</f>
        <v>6082310.86289699</v>
      </c>
    </row>
    <row r="3090" spans="1:7" ht="15.75" customHeight="1" x14ac:dyDescent="0.25">
      <c r="A3090" s="11" t="s">
        <v>611</v>
      </c>
      <c r="B3090" s="12">
        <v>10000000</v>
      </c>
      <c r="C3090" s="12">
        <v>7691700</v>
      </c>
      <c r="D3090" s="12">
        <v>2010</v>
      </c>
      <c r="E3090" s="12" t="str">
        <f>VLOOKUP(A3090, Currency!$A$2:$B$100, 2, FALSE)</f>
        <v>EUR</v>
      </c>
      <c r="F3090" s="12">
        <f ca="1">IFERROR(__xludf.DUMMYFUNCTION("IF(E3090=""USD"",B3090,B3090 * GOOGLEFINANCE(""CURRENCY:"" &amp; E3090 &amp; ""USD""))
"),10847400)</f>
        <v>10847400</v>
      </c>
      <c r="G3090" s="13">
        <f ca="1">IFERROR(__xludf.DUMMYFUNCTION("IF(E3090=""USD"",C3090,C3090 * GOOGLEFINANCE(""CURRENCY:"" &amp; E3090 &amp; ""USD""))
"),8343494.658)</f>
        <v>8343494.6579999998</v>
      </c>
    </row>
    <row r="3091" spans="1:7" ht="15.75" customHeight="1" x14ac:dyDescent="0.25">
      <c r="A3091" s="14" t="s">
        <v>24</v>
      </c>
      <c r="B3091" s="15">
        <v>90000000</v>
      </c>
      <c r="C3091" s="15">
        <v>85884815</v>
      </c>
      <c r="D3091" s="15">
        <v>2015</v>
      </c>
      <c r="E3091" s="15" t="str">
        <f>VLOOKUP(A3091, Currency!$A$2:$B$100, 2, FALSE)</f>
        <v>USD</v>
      </c>
      <c r="F3091" s="15">
        <f ca="1">IFERROR(__xludf.DUMMYFUNCTION("IF(E3091=""USD"",B3091,B3091 * GOOGLEFINANCE(""CURRENCY:"" &amp; E3091 &amp; ""USD""))
"),90000000)</f>
        <v>90000000</v>
      </c>
      <c r="G3091" s="16">
        <f ca="1">IFERROR(__xludf.DUMMYFUNCTION("IF(E3091=""USD"",C3091,C3091 * GOOGLEFINANCE(""CURRENCY:"" &amp; E3091 &amp; ""USD""))
"),85884815)</f>
        <v>85884815</v>
      </c>
    </row>
    <row r="3092" spans="1:7" ht="15.75" customHeight="1" x14ac:dyDescent="0.25">
      <c r="A3092" s="11" t="s">
        <v>24</v>
      </c>
      <c r="B3092" s="12">
        <v>6000000</v>
      </c>
      <c r="C3092" s="12">
        <v>57504069</v>
      </c>
      <c r="D3092" s="12">
        <v>1991</v>
      </c>
      <c r="E3092" s="12" t="str">
        <f>VLOOKUP(A3092, Currency!$A$2:$B$100, 2, FALSE)</f>
        <v>USD</v>
      </c>
      <c r="F3092" s="12">
        <f ca="1">IFERROR(__xludf.DUMMYFUNCTION("IF(E3092=""USD"",B3092,B3092 * GOOGLEFINANCE(""CURRENCY:"" &amp; E3092 &amp; ""USD""))
"),6000000)</f>
        <v>6000000</v>
      </c>
      <c r="G3092" s="13">
        <f ca="1">IFERROR(__xludf.DUMMYFUNCTION("IF(E3092=""USD"",C3092,C3092 * GOOGLEFINANCE(""CURRENCY:"" &amp; E3092 &amp; ""USD""))
"),57504069)</f>
        <v>57504069</v>
      </c>
    </row>
    <row r="3093" spans="1:7" ht="15.75" customHeight="1" x14ac:dyDescent="0.25">
      <c r="A3093" s="14" t="s">
        <v>24</v>
      </c>
      <c r="B3093" s="15">
        <v>81000000</v>
      </c>
      <c r="C3093" s="15">
        <v>242589580</v>
      </c>
      <c r="D3093" s="15">
        <v>2003</v>
      </c>
      <c r="E3093" s="15" t="str">
        <f>VLOOKUP(A3093, Currency!$A$2:$B$100, 2, FALSE)</f>
        <v>USD</v>
      </c>
      <c r="F3093" s="15">
        <f ca="1">IFERROR(__xludf.DUMMYFUNCTION("IF(E3093=""USD"",B3093,B3093 * GOOGLEFINANCE(""CURRENCY:"" &amp; E3093 &amp; ""USD""))
"),81000000)</f>
        <v>81000000</v>
      </c>
      <c r="G3093" s="16">
        <f ca="1">IFERROR(__xludf.DUMMYFUNCTION("IF(E3093=""USD"",C3093,C3093 * GOOGLEFINANCE(""CURRENCY:"" &amp; E3093 &amp; ""USD""))
"),242589580)</f>
        <v>242589580</v>
      </c>
    </row>
    <row r="3094" spans="1:7" ht="15.75" customHeight="1" x14ac:dyDescent="0.25">
      <c r="A3094" s="11" t="s">
        <v>24</v>
      </c>
      <c r="B3094" s="12">
        <v>20000000</v>
      </c>
      <c r="C3094" s="12">
        <v>31838002</v>
      </c>
      <c r="D3094" s="12">
        <v>2008</v>
      </c>
      <c r="E3094" s="12" t="str">
        <f>VLOOKUP(A3094, Currency!$A$2:$B$100, 2, FALSE)</f>
        <v>USD</v>
      </c>
      <c r="F3094" s="12">
        <f ca="1">IFERROR(__xludf.DUMMYFUNCTION("IF(E3094=""USD"",B3094,B3094 * GOOGLEFINANCE(""CURRENCY:"" &amp; E3094 &amp; ""USD""))
"),20000000)</f>
        <v>20000000</v>
      </c>
      <c r="G3094" s="13">
        <f ca="1">IFERROR(__xludf.DUMMYFUNCTION("IF(E3094=""USD"",C3094,C3094 * GOOGLEFINANCE(""CURRENCY:"" &amp; E3094 &amp; ""USD""))
"),31838002)</f>
        <v>31838002</v>
      </c>
    </row>
    <row r="3095" spans="1:7" ht="15.75" customHeight="1" x14ac:dyDescent="0.25">
      <c r="A3095" s="14" t="s">
        <v>9646</v>
      </c>
      <c r="B3095" s="15">
        <v>14000000</v>
      </c>
      <c r="C3095" s="15">
        <v>11433134</v>
      </c>
      <c r="D3095" s="15">
        <v>1981</v>
      </c>
      <c r="E3095" s="15" t="str">
        <f>VLOOKUP(A3095, Currency!$A$2:$B$100, 2, FALSE)</f>
        <v>EUR</v>
      </c>
      <c r="F3095" s="15">
        <f ca="1">IFERROR(__xludf.DUMMYFUNCTION("IF(E3095=""USD"",B3095,B3095 * GOOGLEFINANCE(""CURRENCY:"" &amp; E3095 &amp; ""USD""))
"),15186360)</f>
        <v>15186360</v>
      </c>
      <c r="G3095" s="16">
        <f ca="1">IFERROR(__xludf.DUMMYFUNCTION("IF(E3095=""USD"",C3095,C3095 * GOOGLEFINANCE(""CURRENCY:"" &amp; E3095 &amp; ""USD""))
"),12401977.77516)</f>
        <v>12401977.77516</v>
      </c>
    </row>
    <row r="3096" spans="1:7" ht="15.75" customHeight="1" x14ac:dyDescent="0.25">
      <c r="A3096" s="11" t="s">
        <v>24</v>
      </c>
      <c r="B3096" s="12">
        <v>26000000</v>
      </c>
      <c r="C3096" s="12">
        <v>50800000</v>
      </c>
      <c r="D3096" s="12">
        <v>1977</v>
      </c>
      <c r="E3096" s="12" t="str">
        <f>VLOOKUP(A3096, Currency!$A$2:$B$100, 2, FALSE)</f>
        <v>USD</v>
      </c>
      <c r="F3096" s="12">
        <f ca="1">IFERROR(__xludf.DUMMYFUNCTION("IF(E3096=""USD"",B3096,B3096 * GOOGLEFINANCE(""CURRENCY:"" &amp; E3096 &amp; ""USD""))
"),26000000)</f>
        <v>26000000</v>
      </c>
      <c r="G3096" s="13">
        <f ca="1">IFERROR(__xludf.DUMMYFUNCTION("IF(E3096=""USD"",C3096,C3096 * GOOGLEFINANCE(""CURRENCY:"" &amp; E3096 &amp; ""USD""))
"),50800000)</f>
        <v>50800000</v>
      </c>
    </row>
    <row r="3097" spans="1:7" ht="15.75" customHeight="1" x14ac:dyDescent="0.25">
      <c r="A3097" s="14" t="s">
        <v>24</v>
      </c>
      <c r="B3097" s="15">
        <v>52000000</v>
      </c>
      <c r="C3097" s="15">
        <v>23020488</v>
      </c>
      <c r="D3097" s="15">
        <v>2003</v>
      </c>
      <c r="E3097" s="15" t="str">
        <f>VLOOKUP(A3097, Currency!$A$2:$B$100, 2, FALSE)</f>
        <v>USD</v>
      </c>
      <c r="F3097" s="15">
        <f ca="1">IFERROR(__xludf.DUMMYFUNCTION("IF(E3097=""USD"",B3097,B3097 * GOOGLEFINANCE(""CURRENCY:"" &amp; E3097 &amp; ""USD""))
"),52000000)</f>
        <v>52000000</v>
      </c>
      <c r="G3097" s="16">
        <f ca="1">IFERROR(__xludf.DUMMYFUNCTION("IF(E3097=""USD"",C3097,C3097 * GOOGLEFINANCE(""CURRENCY:"" &amp; E3097 &amp; ""USD""))
"),23020488)</f>
        <v>23020488</v>
      </c>
    </row>
    <row r="3098" spans="1:7" ht="15.75" customHeight="1" x14ac:dyDescent="0.25">
      <c r="A3098" s="11" t="s">
        <v>24</v>
      </c>
      <c r="B3098" s="12">
        <v>40000000</v>
      </c>
      <c r="C3098" s="12">
        <v>9589875</v>
      </c>
      <c r="D3098" s="12">
        <v>2008</v>
      </c>
      <c r="E3098" s="12" t="str">
        <f>VLOOKUP(A3098, Currency!$A$2:$B$100, 2, FALSE)</f>
        <v>USD</v>
      </c>
      <c r="F3098" s="12">
        <f ca="1">IFERROR(__xludf.DUMMYFUNCTION("IF(E3098=""USD"",B3098,B3098 * GOOGLEFINANCE(""CURRENCY:"" &amp; E3098 &amp; ""USD""))
"),40000000)</f>
        <v>40000000</v>
      </c>
      <c r="G3098" s="13">
        <f ca="1">IFERROR(__xludf.DUMMYFUNCTION("IF(E3098=""USD"",C3098,C3098 * GOOGLEFINANCE(""CURRENCY:"" &amp; E3098 &amp; ""USD""))
"),9589875)</f>
        <v>9589875</v>
      </c>
    </row>
    <row r="3099" spans="1:7" ht="15.75" customHeight="1" x14ac:dyDescent="0.25">
      <c r="A3099" s="14" t="s">
        <v>24</v>
      </c>
      <c r="B3099" s="15">
        <v>20000000</v>
      </c>
      <c r="C3099" s="15">
        <v>6563357</v>
      </c>
      <c r="D3099" s="15">
        <v>2008</v>
      </c>
      <c r="E3099" s="15" t="str">
        <f>VLOOKUP(A3099, Currency!$A$2:$B$100, 2, FALSE)</f>
        <v>USD</v>
      </c>
      <c r="F3099" s="15">
        <f ca="1">IFERROR(__xludf.DUMMYFUNCTION("IF(E3099=""USD"",B3099,B3099 * GOOGLEFINANCE(""CURRENCY:"" &amp; E3099 &amp; ""USD""))
"),20000000)</f>
        <v>20000000</v>
      </c>
      <c r="G3099" s="16">
        <f ca="1">IFERROR(__xludf.DUMMYFUNCTION("IF(E3099=""USD"",C3099,C3099 * GOOGLEFINANCE(""CURRENCY:"" &amp; E3099 &amp; ""USD""))
"),6563357)</f>
        <v>6563357</v>
      </c>
    </row>
    <row r="3100" spans="1:7" ht="15.75" customHeight="1" x14ac:dyDescent="0.25">
      <c r="A3100" s="11" t="s">
        <v>24</v>
      </c>
      <c r="B3100" s="12">
        <v>24000000</v>
      </c>
      <c r="C3100" s="12">
        <v>65182182</v>
      </c>
      <c r="D3100" s="12">
        <v>2014</v>
      </c>
      <c r="E3100" s="12" t="str">
        <f>VLOOKUP(A3100, Currency!$A$2:$B$100, 2, FALSE)</f>
        <v>USD</v>
      </c>
      <c r="F3100" s="12">
        <f ca="1">IFERROR(__xludf.DUMMYFUNCTION("IF(E3100=""USD"",B3100,B3100 * GOOGLEFINANCE(""CURRENCY:"" &amp; E3100 &amp; ""USD""))
"),24000000)</f>
        <v>24000000</v>
      </c>
      <c r="G3100" s="13">
        <f ca="1">IFERROR(__xludf.DUMMYFUNCTION("IF(E3100=""USD"",C3100,C3100 * GOOGLEFINANCE(""CURRENCY:"" &amp; E3100 &amp; ""USD""))
"),65182182)</f>
        <v>65182182</v>
      </c>
    </row>
    <row r="3101" spans="1:7" ht="15.75" customHeight="1" x14ac:dyDescent="0.25">
      <c r="A3101" s="14" t="s">
        <v>1111</v>
      </c>
      <c r="B3101" s="15">
        <v>2600000</v>
      </c>
      <c r="C3101" s="15">
        <v>38108</v>
      </c>
      <c r="D3101" s="15">
        <v>2007</v>
      </c>
      <c r="E3101" s="15" t="str">
        <f>VLOOKUP(A3101, Currency!$A$2:$B$100, 2, FALSE)</f>
        <v>EUR</v>
      </c>
      <c r="F3101" s="15">
        <f ca="1">IFERROR(__xludf.DUMMYFUNCTION("IF(E3101=""USD"",B3101,B3101 * GOOGLEFINANCE(""CURRENCY:"" &amp; E3101 &amp; ""USD""))
"),2820324)</f>
        <v>2820324</v>
      </c>
      <c r="G3101" s="16">
        <f ca="1">IFERROR(__xludf.DUMMYFUNCTION("IF(E3101=""USD"",C3101,C3101 * GOOGLEFINANCE(""CURRENCY:"" &amp; E3101 &amp; ""USD""))
"),41337.27192)</f>
        <v>41337.271919999999</v>
      </c>
    </row>
    <row r="3102" spans="1:7" ht="15.75" customHeight="1" x14ac:dyDescent="0.25">
      <c r="A3102" s="11" t="s">
        <v>24</v>
      </c>
      <c r="B3102" s="12">
        <v>75000000</v>
      </c>
      <c r="C3102" s="12">
        <v>128200012</v>
      </c>
      <c r="D3102" s="12">
        <v>2005</v>
      </c>
      <c r="E3102" s="12" t="str">
        <f>VLOOKUP(A3102, Currency!$A$2:$B$100, 2, FALSE)</f>
        <v>USD</v>
      </c>
      <c r="F3102" s="12">
        <f ca="1">IFERROR(__xludf.DUMMYFUNCTION("IF(E3102=""USD"",B3102,B3102 * GOOGLEFINANCE(""CURRENCY:"" &amp; E3102 &amp; ""USD""))
"),75000000)</f>
        <v>75000000</v>
      </c>
      <c r="G3102" s="13">
        <f ca="1">IFERROR(__xludf.DUMMYFUNCTION("IF(E3102=""USD"",C3102,C3102 * GOOGLEFINANCE(""CURRENCY:"" &amp; E3102 &amp; ""USD""))
"),128200012)</f>
        <v>128200012</v>
      </c>
    </row>
    <row r="3103" spans="1:7" ht="15.75" customHeight="1" x14ac:dyDescent="0.25">
      <c r="A3103" s="14" t="s">
        <v>24</v>
      </c>
      <c r="B3103" s="15">
        <v>5000000</v>
      </c>
      <c r="C3103" s="15">
        <v>17768000</v>
      </c>
      <c r="D3103" s="15">
        <v>1988</v>
      </c>
      <c r="E3103" s="15" t="str">
        <f>VLOOKUP(A3103, Currency!$A$2:$B$100, 2, FALSE)</f>
        <v>USD</v>
      </c>
      <c r="F3103" s="15">
        <f ca="1">IFERROR(__xludf.DUMMYFUNCTION("IF(E3103=""USD"",B3103,B3103 * GOOGLEFINANCE(""CURRENCY:"" &amp; E3103 &amp; ""USD""))
"),5000000)</f>
        <v>5000000</v>
      </c>
      <c r="G3103" s="16">
        <f ca="1">IFERROR(__xludf.DUMMYFUNCTION("IF(E3103=""USD"",C3103,C3103 * GOOGLEFINANCE(""CURRENCY:"" &amp; E3103 &amp; ""USD""))
"),17768000)</f>
        <v>17768000</v>
      </c>
    </row>
    <row r="3104" spans="1:7" ht="15.75" customHeight="1" x14ac:dyDescent="0.25">
      <c r="A3104" s="11" t="s">
        <v>176</v>
      </c>
      <c r="B3104" s="12">
        <v>9000000</v>
      </c>
      <c r="C3104" s="12">
        <v>1046166</v>
      </c>
      <c r="D3104" s="12">
        <v>2005</v>
      </c>
      <c r="E3104" s="12" t="str">
        <f>VLOOKUP(A3104, Currency!$A$2:$B$100, 2, FALSE)</f>
        <v>EUR</v>
      </c>
      <c r="F3104" s="12">
        <f ca="1">IFERROR(__xludf.DUMMYFUNCTION("IF(E3104=""USD"",B3104,B3104 * GOOGLEFINANCE(""CURRENCY:"" &amp; E3104 &amp; ""USD""))
"),9762660)</f>
        <v>9762660</v>
      </c>
      <c r="G3104" s="13">
        <f ca="1">IFERROR(__xludf.DUMMYFUNCTION("IF(E3104=""USD"",C3104,C3104 * GOOGLEFINANCE(""CURRENCY:"" &amp; E3104 &amp; ""USD""))
"),1134818.10684)</f>
        <v>1134818.10684</v>
      </c>
    </row>
    <row r="3105" spans="1:7" ht="15.75" customHeight="1" x14ac:dyDescent="0.25">
      <c r="A3105" s="14" t="s">
        <v>24</v>
      </c>
      <c r="B3105" s="15">
        <v>110000000</v>
      </c>
      <c r="C3105" s="15">
        <v>24004159</v>
      </c>
      <c r="D3105" s="15">
        <v>2004</v>
      </c>
      <c r="E3105" s="15" t="str">
        <f>VLOOKUP(A3105, Currency!$A$2:$B$100, 2, FALSE)</f>
        <v>USD</v>
      </c>
      <c r="F3105" s="15">
        <f ca="1">IFERROR(__xludf.DUMMYFUNCTION("IF(E3105=""USD"",B3105,B3105 * GOOGLEFINANCE(""CURRENCY:"" &amp; E3105 &amp; ""USD""))
"),110000000)</f>
        <v>110000000</v>
      </c>
      <c r="G3105" s="16">
        <f ca="1">IFERROR(__xludf.DUMMYFUNCTION("IF(E3105=""USD"",C3105,C3105 * GOOGLEFINANCE(""CURRENCY:"" &amp; E3105 &amp; ""USD""))
"),24004159)</f>
        <v>24004159</v>
      </c>
    </row>
    <row r="3106" spans="1:7" ht="15.75" customHeight="1" x14ac:dyDescent="0.25">
      <c r="A3106" s="11" t="s">
        <v>24</v>
      </c>
      <c r="B3106" s="12">
        <v>215000000</v>
      </c>
      <c r="C3106" s="12">
        <v>234903076</v>
      </c>
      <c r="D3106" s="12">
        <v>2013</v>
      </c>
      <c r="E3106" s="12" t="str">
        <f>VLOOKUP(A3106, Currency!$A$2:$B$100, 2, FALSE)</f>
        <v>USD</v>
      </c>
      <c r="F3106" s="12">
        <f ca="1">IFERROR(__xludf.DUMMYFUNCTION("IF(E3106=""USD"",B3106,B3106 * GOOGLEFINANCE(""CURRENCY:"" &amp; E3106 &amp; ""USD""))
"),215000000)</f>
        <v>215000000</v>
      </c>
      <c r="G3106" s="13">
        <f ca="1">IFERROR(__xludf.DUMMYFUNCTION("IF(E3106=""USD"",C3106,C3106 * GOOGLEFINANCE(""CURRENCY:"" &amp; E3106 &amp; ""USD""))
"),234903076)</f>
        <v>234903076</v>
      </c>
    </row>
    <row r="3107" spans="1:7" ht="15.75" customHeight="1" x14ac:dyDescent="0.25">
      <c r="A3107" s="14" t="s">
        <v>24</v>
      </c>
      <c r="B3107" s="15">
        <v>18000000</v>
      </c>
      <c r="C3107" s="15">
        <v>23993605</v>
      </c>
      <c r="D3107" s="15">
        <v>2009</v>
      </c>
      <c r="E3107" s="15" t="str">
        <f>VLOOKUP(A3107, Currency!$A$2:$B$100, 2, FALSE)</f>
        <v>USD</v>
      </c>
      <c r="F3107" s="15">
        <f ca="1">IFERROR(__xludf.DUMMYFUNCTION("IF(E3107=""USD"",B3107,B3107 * GOOGLEFINANCE(""CURRENCY:"" &amp; E3107 &amp; ""USD""))
"),18000000)</f>
        <v>18000000</v>
      </c>
      <c r="G3107" s="16">
        <f ca="1">IFERROR(__xludf.DUMMYFUNCTION("IF(E3107=""USD"",C3107,C3107 * GOOGLEFINANCE(""CURRENCY:"" &amp; E3107 &amp; ""USD""))
"),23993605)</f>
        <v>23993605</v>
      </c>
    </row>
    <row r="3108" spans="1:7" ht="15.75" customHeight="1" x14ac:dyDescent="0.25">
      <c r="A3108" s="11" t="s">
        <v>133</v>
      </c>
      <c r="B3108" s="12">
        <v>140000000</v>
      </c>
      <c r="C3108" s="12">
        <v>65007045</v>
      </c>
      <c r="D3108" s="12">
        <v>2014</v>
      </c>
      <c r="E3108" s="12" t="str">
        <f>VLOOKUP(A3108, Currency!$A$2:$B$100, 2, FALSE)</f>
        <v>GBP</v>
      </c>
      <c r="F3108" s="12">
        <f ca="1">IFERROR(__xludf.DUMMYFUNCTION("IF(E3108=""USD"",B3108,B3108 * GOOGLEFINANCE(""CURRENCY:"" &amp; E3108 &amp; ""USD""))
"),179955999.999999)</f>
        <v>179955999.99999899</v>
      </c>
      <c r="G3108" s="13">
        <f ca="1">IFERROR(__xludf.DUMMYFUNCTION("IF(E3108=""USD"",C3108,C3108 * GOOGLEFINANCE(""CURRENCY:"" &amp; E3108 &amp; ""USD""))
"),83560055.6429999)</f>
        <v>83560055.642999902</v>
      </c>
    </row>
    <row r="3109" spans="1:7" ht="15.75" customHeight="1" x14ac:dyDescent="0.25">
      <c r="A3109" s="14" t="s">
        <v>24</v>
      </c>
      <c r="B3109" s="15">
        <v>20000000</v>
      </c>
      <c r="C3109" s="15">
        <v>11784000</v>
      </c>
      <c r="D3109" s="15">
        <v>1994</v>
      </c>
      <c r="E3109" s="15" t="str">
        <f>VLOOKUP(A3109, Currency!$A$2:$B$100, 2, FALSE)</f>
        <v>USD</v>
      </c>
      <c r="F3109" s="15">
        <f ca="1">IFERROR(__xludf.DUMMYFUNCTION("IF(E3109=""USD"",B3109,B3109 * GOOGLEFINANCE(""CURRENCY:"" &amp; E3109 &amp; ""USD""))
"),20000000)</f>
        <v>20000000</v>
      </c>
      <c r="G3109" s="16">
        <f ca="1">IFERROR(__xludf.DUMMYFUNCTION("IF(E3109=""USD"",C3109,C3109 * GOOGLEFINANCE(""CURRENCY:"" &amp; E3109 &amp; ""USD""))
"),11784000)</f>
        <v>11784000</v>
      </c>
    </row>
    <row r="3110" spans="1:7" ht="15.75" customHeight="1" x14ac:dyDescent="0.25">
      <c r="A3110" s="11" t="s">
        <v>1005</v>
      </c>
      <c r="B3110" s="12">
        <v>5000000</v>
      </c>
      <c r="C3110" s="12">
        <v>3049135</v>
      </c>
      <c r="D3110" s="12">
        <v>1994</v>
      </c>
      <c r="E3110" s="12" t="str">
        <f>VLOOKUP(A3110, Currency!$A$2:$B$100, 2, FALSE)</f>
        <v>NZD</v>
      </c>
      <c r="F3110" s="12">
        <f ca="1">IFERROR(__xludf.DUMMYFUNCTION("IF(E3110=""USD"",B3110,B3110 * GOOGLEFINANCE(""CURRENCY:"" &amp; E3110 &amp; ""USD""))
"),2943725)</f>
        <v>2943725</v>
      </c>
      <c r="G3110" s="13">
        <f ca="1">IFERROR(__xludf.DUMMYFUNCTION("IF(E3110=""USD"",C3110,C3110 * GOOGLEFINANCE(""CURRENCY:"" &amp; E3110 &amp; ""USD""))
"),1795162.98557499)</f>
        <v>1795162.98557499</v>
      </c>
    </row>
    <row r="3111" spans="1:7" ht="15.75" customHeight="1" x14ac:dyDescent="0.25">
      <c r="A3111" s="14" t="s">
        <v>24</v>
      </c>
      <c r="B3111" s="15">
        <v>1000000</v>
      </c>
      <c r="C3111" s="15">
        <v>7022940</v>
      </c>
      <c r="D3111" s="15">
        <v>2001</v>
      </c>
      <c r="E3111" s="15" t="str">
        <f>VLOOKUP(A3111, Currency!$A$2:$B$100, 2, FALSE)</f>
        <v>USD</v>
      </c>
      <c r="F3111" s="15">
        <f ca="1">IFERROR(__xludf.DUMMYFUNCTION("IF(E3111=""USD"",B3111,B3111 * GOOGLEFINANCE(""CURRENCY:"" &amp; E3111 &amp; ""USD""))
"),1000000)</f>
        <v>1000000</v>
      </c>
      <c r="G3111" s="16">
        <f ca="1">IFERROR(__xludf.DUMMYFUNCTION("IF(E3111=""USD"",C3111,C3111 * GOOGLEFINANCE(""CURRENCY:"" &amp; E3111 &amp; ""USD""))
"),7022940)</f>
        <v>7022940</v>
      </c>
    </row>
    <row r="3112" spans="1:7" ht="15.75" customHeight="1" x14ac:dyDescent="0.25">
      <c r="A3112" s="11" t="s">
        <v>24</v>
      </c>
      <c r="B3112" s="12">
        <v>50000000</v>
      </c>
      <c r="C3112" s="12">
        <v>20550712</v>
      </c>
      <c r="D3112" s="12">
        <v>1996</v>
      </c>
      <c r="E3112" s="12" t="str">
        <f>VLOOKUP(A3112, Currency!$A$2:$B$100, 2, FALSE)</f>
        <v>USD</v>
      </c>
      <c r="F3112" s="12">
        <f ca="1">IFERROR(__xludf.DUMMYFUNCTION("IF(E3112=""USD"",B3112,B3112 * GOOGLEFINANCE(""CURRENCY:"" &amp; E3112 &amp; ""USD""))
"),50000000)</f>
        <v>50000000</v>
      </c>
      <c r="G3112" s="13">
        <f ca="1">IFERROR(__xludf.DUMMYFUNCTION("IF(E3112=""USD"",C3112,C3112 * GOOGLEFINANCE(""CURRENCY:"" &amp; E3112 &amp; ""USD""))
"),20550712)</f>
        <v>20550712</v>
      </c>
    </row>
    <row r="3113" spans="1:7" ht="15.75" customHeight="1" x14ac:dyDescent="0.25">
      <c r="A3113" s="14" t="s">
        <v>24</v>
      </c>
      <c r="B3113" s="15">
        <v>80000000</v>
      </c>
      <c r="C3113" s="15">
        <v>180965237</v>
      </c>
      <c r="D3113" s="15">
        <v>1996</v>
      </c>
      <c r="E3113" s="15" t="str">
        <f>VLOOKUP(A3113, Currency!$A$2:$B$100, 2, FALSE)</f>
        <v>USD</v>
      </c>
      <c r="F3113" s="15">
        <f ca="1">IFERROR(__xludf.DUMMYFUNCTION("IF(E3113=""USD"",B3113,B3113 * GOOGLEFINANCE(""CURRENCY:"" &amp; E3113 &amp; ""USD""))
"),80000000)</f>
        <v>80000000</v>
      </c>
      <c r="G3113" s="16">
        <f ca="1">IFERROR(__xludf.DUMMYFUNCTION("IF(E3113=""USD"",C3113,C3113 * GOOGLEFINANCE(""CURRENCY:"" &amp; E3113 &amp; ""USD""))
"),180965237)</f>
        <v>180965237</v>
      </c>
    </row>
    <row r="3114" spans="1:7" ht="15.75" customHeight="1" x14ac:dyDescent="0.25">
      <c r="A3114" s="11" t="s">
        <v>24</v>
      </c>
      <c r="B3114" s="12">
        <v>98000000</v>
      </c>
      <c r="C3114" s="12">
        <v>11000000</v>
      </c>
      <c r="D3114" s="12">
        <v>1995</v>
      </c>
      <c r="E3114" s="12" t="str">
        <f>VLOOKUP(A3114, Currency!$A$2:$B$100, 2, FALSE)</f>
        <v>USD</v>
      </c>
      <c r="F3114" s="12">
        <f ca="1">IFERROR(__xludf.DUMMYFUNCTION("IF(E3114=""USD"",B3114,B3114 * GOOGLEFINANCE(""CURRENCY:"" &amp; E3114 &amp; ""USD""))
"),98000000)</f>
        <v>98000000</v>
      </c>
      <c r="G3114" s="13">
        <f ca="1">IFERROR(__xludf.DUMMYFUNCTION("IF(E3114=""USD"",C3114,C3114 * GOOGLEFINANCE(""CURRENCY:"" &amp; E3114 &amp; ""USD""))
"),11000000)</f>
        <v>11000000</v>
      </c>
    </row>
    <row r="3115" spans="1:7" ht="15.75" customHeight="1" x14ac:dyDescent="0.25">
      <c r="A3115" s="14" t="s">
        <v>24</v>
      </c>
      <c r="B3115" s="15">
        <v>45000000</v>
      </c>
      <c r="C3115" s="15">
        <v>65557989</v>
      </c>
      <c r="D3115" s="15">
        <v>1997</v>
      </c>
      <c r="E3115" s="15" t="str">
        <f>VLOOKUP(A3115, Currency!$A$2:$B$100, 2, FALSE)</f>
        <v>USD</v>
      </c>
      <c r="F3115" s="15">
        <f ca="1">IFERROR(__xludf.DUMMYFUNCTION("IF(E3115=""USD"",B3115,B3115 * GOOGLEFINANCE(""CURRENCY:"" &amp; E3115 &amp; ""USD""))
"),45000000)</f>
        <v>45000000</v>
      </c>
      <c r="G3115" s="16">
        <f ca="1">IFERROR(__xludf.DUMMYFUNCTION("IF(E3115=""USD"",C3115,C3115 * GOOGLEFINANCE(""CURRENCY:"" &amp; E3115 &amp; ""USD""))
"),65557989)</f>
        <v>65557989</v>
      </c>
    </row>
    <row r="3116" spans="1:7" ht="15.75" customHeight="1" x14ac:dyDescent="0.25">
      <c r="A3116" s="11" t="s">
        <v>1551</v>
      </c>
      <c r="B3116" s="12">
        <v>27000000</v>
      </c>
      <c r="C3116" s="12">
        <v>26876529</v>
      </c>
      <c r="D3116" s="12">
        <v>2008</v>
      </c>
      <c r="E3116" s="12" t="str">
        <f>VLOOKUP(A3116, Currency!$A$2:$B$100, 2, FALSE)</f>
        <v>JPY</v>
      </c>
      <c r="F3116" s="12">
        <f ca="1">IFERROR(__xludf.DUMMYFUNCTION("IF(E3116=""USD"",B3116,B3116 * GOOGLEFINANCE(""CURRENCY:"" &amp; E3116 &amp; ""USD""))
"),175408.2)</f>
        <v>175408.2</v>
      </c>
      <c r="G3116" s="13">
        <f ca="1">IFERROR(__xludf.DUMMYFUNCTION("IF(E3116=""USD"",C3116,C3116 * GOOGLEFINANCE(""CURRENCY:"" &amp; E3116 &amp; ""USD""))
"),174606.0583014)</f>
        <v>174606.05830139999</v>
      </c>
    </row>
    <row r="3117" spans="1:7" ht="15.75" customHeight="1" x14ac:dyDescent="0.25">
      <c r="A3117" s="14" t="s">
        <v>133</v>
      </c>
      <c r="B3117" s="15">
        <v>1400000</v>
      </c>
      <c r="C3117" s="15">
        <v>36830</v>
      </c>
      <c r="D3117" s="15">
        <v>2004</v>
      </c>
      <c r="E3117" s="15" t="str">
        <f>VLOOKUP(A3117, Currency!$A$2:$B$100, 2, FALSE)</f>
        <v>GBP</v>
      </c>
      <c r="F3117" s="15">
        <f ca="1">IFERROR(__xludf.DUMMYFUNCTION("IF(E3117=""USD"",B3117,B3117 * GOOGLEFINANCE(""CURRENCY:"" &amp; E3117 &amp; ""USD""))
"),1799559.99999999)</f>
        <v>1799559.99999999</v>
      </c>
      <c r="G3117" s="16">
        <f ca="1">IFERROR(__xludf.DUMMYFUNCTION("IF(E3117=""USD"",C3117,C3117 * GOOGLEFINANCE(""CURRENCY:"" &amp; E3117 &amp; ""USD""))
"),47341.2819999999)</f>
        <v>47341.281999999897</v>
      </c>
    </row>
    <row r="3118" spans="1:7" ht="15.75" customHeight="1" x14ac:dyDescent="0.25">
      <c r="A3118" s="11" t="s">
        <v>611</v>
      </c>
      <c r="B3118" s="12">
        <v>13000000</v>
      </c>
      <c r="C3118" s="12">
        <v>6241697</v>
      </c>
      <c r="D3118" s="12">
        <v>1999</v>
      </c>
      <c r="E3118" s="12" t="str">
        <f>VLOOKUP(A3118, Currency!$A$2:$B$100, 2, FALSE)</f>
        <v>EUR</v>
      </c>
      <c r="F3118" s="12">
        <f ca="1">IFERROR(__xludf.DUMMYFUNCTION("IF(E3118=""USD"",B3118,B3118 * GOOGLEFINANCE(""CURRENCY:"" &amp; E3118 &amp; ""USD""))
"),14101620)</f>
        <v>14101620</v>
      </c>
      <c r="G3118" s="13">
        <f ca="1">IFERROR(__xludf.DUMMYFUNCTION("IF(E3118=""USD"",C3118,C3118 * GOOGLEFINANCE(""CURRENCY:"" &amp; E3118 &amp; ""USD""))
"),6770618.40378)</f>
        <v>6770618.4037800003</v>
      </c>
    </row>
    <row r="3119" spans="1:7" ht="15.75" customHeight="1" x14ac:dyDescent="0.25">
      <c r="A3119" s="14" t="s">
        <v>24</v>
      </c>
      <c r="B3119" s="15">
        <v>55000000</v>
      </c>
      <c r="C3119" s="15">
        <v>22843047</v>
      </c>
      <c r="D3119" s="15">
        <v>1998</v>
      </c>
      <c r="E3119" s="15" t="str">
        <f>VLOOKUP(A3119, Currency!$A$2:$B$100, 2, FALSE)</f>
        <v>USD</v>
      </c>
      <c r="F3119" s="15">
        <f ca="1">IFERROR(__xludf.DUMMYFUNCTION("IF(E3119=""USD"",B3119,B3119 * GOOGLEFINANCE(""CURRENCY:"" &amp; E3119 &amp; ""USD""))
"),55000000)</f>
        <v>55000000</v>
      </c>
      <c r="G3119" s="16">
        <f ca="1">IFERROR(__xludf.DUMMYFUNCTION("IF(E3119=""USD"",C3119,C3119 * GOOGLEFINANCE(""CURRENCY:"" &amp; E3119 &amp; ""USD""))
"),22843047)</f>
        <v>22843047</v>
      </c>
    </row>
    <row r="3120" spans="1:7" ht="15.75" customHeight="1" x14ac:dyDescent="0.25">
      <c r="A3120" s="11" t="s">
        <v>24</v>
      </c>
      <c r="B3120" s="12">
        <v>32000000</v>
      </c>
      <c r="C3120" s="12">
        <v>13763130</v>
      </c>
      <c r="D3120" s="12">
        <v>2010</v>
      </c>
      <c r="E3120" s="12" t="str">
        <f>VLOOKUP(A3120, Currency!$A$2:$B$100, 2, FALSE)</f>
        <v>USD</v>
      </c>
      <c r="F3120" s="12">
        <f ca="1">IFERROR(__xludf.DUMMYFUNCTION("IF(E3120=""USD"",B3120,B3120 * GOOGLEFINANCE(""CURRENCY:"" &amp; E3120 &amp; ""USD""))
"),32000000)</f>
        <v>32000000</v>
      </c>
      <c r="G3120" s="13">
        <f ca="1">IFERROR(__xludf.DUMMYFUNCTION("IF(E3120=""USD"",C3120,C3120 * GOOGLEFINANCE(""CURRENCY:"" &amp; E3120 &amp; ""USD""))
"),13763130)</f>
        <v>13763130</v>
      </c>
    </row>
    <row r="3121" spans="1:7" ht="15.75" customHeight="1" x14ac:dyDescent="0.25">
      <c r="A3121" s="14" t="s">
        <v>133</v>
      </c>
      <c r="B3121" s="15">
        <v>50000000</v>
      </c>
      <c r="C3121" s="15">
        <v>27667947</v>
      </c>
      <c r="D3121" s="15">
        <v>2007</v>
      </c>
      <c r="E3121" s="15" t="str">
        <f>VLOOKUP(A3121, Currency!$A$2:$B$100, 2, FALSE)</f>
        <v>GBP</v>
      </c>
      <c r="F3121" s="15">
        <f ca="1">IFERROR(__xludf.DUMMYFUNCTION("IF(E3121=""USD"",B3121,B3121 * GOOGLEFINANCE(""CURRENCY:"" &amp; E3121 &amp; ""USD""))
"),64269999.9999999)</f>
        <v>64269999.999999903</v>
      </c>
      <c r="G3121" s="16">
        <f ca="1">IFERROR(__xludf.DUMMYFUNCTION("IF(E3121=""USD"",C3121,C3121 * GOOGLEFINANCE(""CURRENCY:"" &amp; E3121 &amp; ""USD""))
"),35564379.0738)</f>
        <v>35564379.073799998</v>
      </c>
    </row>
    <row r="3122" spans="1:7" ht="15.75" customHeight="1" x14ac:dyDescent="0.25">
      <c r="A3122" s="11" t="s">
        <v>24</v>
      </c>
      <c r="B3122" s="12">
        <v>45000000</v>
      </c>
      <c r="C3122" s="12">
        <v>53854588</v>
      </c>
      <c r="D3122" s="12">
        <v>1996</v>
      </c>
      <c r="E3122" s="12" t="str">
        <f>VLOOKUP(A3122, Currency!$A$2:$B$100, 2, FALSE)</f>
        <v>USD</v>
      </c>
      <c r="F3122" s="12">
        <f ca="1">IFERROR(__xludf.DUMMYFUNCTION("IF(E3122=""USD"",B3122,B3122 * GOOGLEFINANCE(""CURRENCY:"" &amp; E3122 &amp; ""USD""))
"),45000000)</f>
        <v>45000000</v>
      </c>
      <c r="G3122" s="13">
        <f ca="1">IFERROR(__xludf.DUMMYFUNCTION("IF(E3122=""USD"",C3122,C3122 * GOOGLEFINANCE(""CURRENCY:"" &amp; E3122 &amp; ""USD""))
"),53854588)</f>
        <v>53854588</v>
      </c>
    </row>
    <row r="3123" spans="1:7" ht="15.75" customHeight="1" x14ac:dyDescent="0.25">
      <c r="A3123" s="14" t="s">
        <v>24</v>
      </c>
      <c r="B3123" s="15">
        <v>50000000</v>
      </c>
      <c r="C3123" s="15">
        <v>81022333</v>
      </c>
      <c r="D3123" s="15">
        <v>1995</v>
      </c>
      <c r="E3123" s="15" t="str">
        <f>VLOOKUP(A3123, Currency!$A$2:$B$100, 2, FALSE)</f>
        <v>USD</v>
      </c>
      <c r="F3123" s="15">
        <f ca="1">IFERROR(__xludf.DUMMYFUNCTION("IF(E3123=""USD"",B3123,B3123 * GOOGLEFINANCE(""CURRENCY:"" &amp; E3123 &amp; ""USD""))
"),50000000)</f>
        <v>50000000</v>
      </c>
      <c r="G3123" s="16">
        <f ca="1">IFERROR(__xludf.DUMMYFUNCTION("IF(E3123=""USD"",C3123,C3123 * GOOGLEFINANCE(""CURRENCY:"" &amp; E3123 &amp; ""USD""))
"),81022333)</f>
        <v>81022333</v>
      </c>
    </row>
    <row r="3124" spans="1:7" ht="15.75" customHeight="1" x14ac:dyDescent="0.25">
      <c r="A3124" s="11" t="s">
        <v>24</v>
      </c>
      <c r="B3124" s="12">
        <v>85000000</v>
      </c>
      <c r="C3124" s="12">
        <v>127706877</v>
      </c>
      <c r="D3124" s="12">
        <v>2007</v>
      </c>
      <c r="E3124" s="12" t="str">
        <f>VLOOKUP(A3124, Currency!$A$2:$B$100, 2, FALSE)</f>
        <v>USD</v>
      </c>
      <c r="F3124" s="12">
        <f ca="1">IFERROR(__xludf.DUMMYFUNCTION("IF(E3124=""USD"",B3124,B3124 * GOOGLEFINANCE(""CURRENCY:"" &amp; E3124 &amp; ""USD""))
"),85000000)</f>
        <v>85000000</v>
      </c>
      <c r="G3124" s="13">
        <f ca="1">IFERROR(__xludf.DUMMYFUNCTION("IF(E3124=""USD"",C3124,C3124 * GOOGLEFINANCE(""CURRENCY:"" &amp; E3124 &amp; ""USD""))
"),127706877)</f>
        <v>127706877</v>
      </c>
    </row>
    <row r="3125" spans="1:7" ht="15.75" customHeight="1" x14ac:dyDescent="0.25">
      <c r="A3125" s="14" t="s">
        <v>24</v>
      </c>
      <c r="B3125" s="15">
        <v>20000000</v>
      </c>
      <c r="C3125" s="15">
        <v>5749134</v>
      </c>
      <c r="D3125" s="15">
        <v>2014</v>
      </c>
      <c r="E3125" s="15" t="str">
        <f>VLOOKUP(A3125, Currency!$A$2:$B$100, 2, FALSE)</f>
        <v>USD</v>
      </c>
      <c r="F3125" s="15">
        <f ca="1">IFERROR(__xludf.DUMMYFUNCTION("IF(E3125=""USD"",B3125,B3125 * GOOGLEFINANCE(""CURRENCY:"" &amp; E3125 &amp; ""USD""))
"),20000000)</f>
        <v>20000000</v>
      </c>
      <c r="G3125" s="16">
        <f ca="1">IFERROR(__xludf.DUMMYFUNCTION("IF(E3125=""USD"",C3125,C3125 * GOOGLEFINANCE(""CURRENCY:"" &amp; E3125 &amp; ""USD""))
"),5749134)</f>
        <v>5749134</v>
      </c>
    </row>
    <row r="3126" spans="1:7" ht="15.75" customHeight="1" x14ac:dyDescent="0.25">
      <c r="A3126" s="11" t="s">
        <v>24</v>
      </c>
      <c r="B3126" s="12">
        <v>30000000</v>
      </c>
      <c r="C3126" s="12">
        <v>42071069</v>
      </c>
      <c r="D3126" s="12">
        <v>2005</v>
      </c>
      <c r="E3126" s="12" t="str">
        <f>VLOOKUP(A3126, Currency!$A$2:$B$100, 2, FALSE)</f>
        <v>USD</v>
      </c>
      <c r="F3126" s="12">
        <f ca="1">IFERROR(__xludf.DUMMYFUNCTION("IF(E3126=""USD"",B3126,B3126 * GOOGLEFINANCE(""CURRENCY:"" &amp; E3126 &amp; ""USD""))
"),30000000)</f>
        <v>30000000</v>
      </c>
      <c r="G3126" s="13">
        <f ca="1">IFERROR(__xludf.DUMMYFUNCTION("IF(E3126=""USD"",C3126,C3126 * GOOGLEFINANCE(""CURRENCY:"" &amp; E3126 &amp; ""USD""))
"),42071069)</f>
        <v>42071069</v>
      </c>
    </row>
    <row r="3127" spans="1:7" ht="15.75" customHeight="1" x14ac:dyDescent="0.25">
      <c r="A3127" s="14" t="s">
        <v>24</v>
      </c>
      <c r="B3127" s="15">
        <v>6000000</v>
      </c>
      <c r="C3127" s="15">
        <v>872643</v>
      </c>
      <c r="D3127" s="15">
        <v>2007</v>
      </c>
      <c r="E3127" s="15" t="str">
        <f>VLOOKUP(A3127, Currency!$A$2:$B$100, 2, FALSE)</f>
        <v>USD</v>
      </c>
      <c r="F3127" s="15">
        <f ca="1">IFERROR(__xludf.DUMMYFUNCTION("IF(E3127=""USD"",B3127,B3127 * GOOGLEFINANCE(""CURRENCY:"" &amp; E3127 &amp; ""USD""))
"),6000000)</f>
        <v>6000000</v>
      </c>
      <c r="G3127" s="16">
        <f ca="1">IFERROR(__xludf.DUMMYFUNCTION("IF(E3127=""USD"",C3127,C3127 * GOOGLEFINANCE(""CURRENCY:"" &amp; E3127 &amp; ""USD""))
"),872643)</f>
        <v>872643</v>
      </c>
    </row>
    <row r="3128" spans="1:7" ht="15.75" customHeight="1" x14ac:dyDescent="0.25">
      <c r="A3128" s="11" t="s">
        <v>627</v>
      </c>
      <c r="B3128" s="12">
        <v>15000000</v>
      </c>
      <c r="C3128" s="12">
        <v>20433940</v>
      </c>
      <c r="D3128" s="12">
        <v>2005</v>
      </c>
      <c r="E3128" s="12" t="str">
        <f>VLOOKUP(A3128, Currency!$A$2:$B$100, 2, FALSE)</f>
        <v>CAD</v>
      </c>
      <c r="F3128" s="12">
        <f ca="1">IFERROR(__xludf.DUMMYFUNCTION("IF(E3128=""USD"",B3128,B3128 * GOOGLEFINANCE(""CURRENCY:"" &amp; E3128 &amp; ""USD""))
"),10851075)</f>
        <v>10851075</v>
      </c>
      <c r="G3128" s="13">
        <f ca="1">IFERROR(__xludf.DUMMYFUNCTION("IF(E3128=""USD"",C3128,C3128 * GOOGLEFINANCE(""CURRENCY:"" &amp; E3128 &amp; ""USD""))
"),14782014.3656999)</f>
        <v>14782014.3656999</v>
      </c>
    </row>
    <row r="3129" spans="1:7" ht="15.75" customHeight="1" x14ac:dyDescent="0.25">
      <c r="A3129" s="14" t="s">
        <v>24</v>
      </c>
      <c r="B3129" s="15">
        <v>12500000</v>
      </c>
      <c r="C3129" s="15">
        <v>14060950</v>
      </c>
      <c r="D3129" s="15">
        <v>2002</v>
      </c>
      <c r="E3129" s="15" t="str">
        <f>VLOOKUP(A3129, Currency!$A$2:$B$100, 2, FALSE)</f>
        <v>USD</v>
      </c>
      <c r="F3129" s="15">
        <f ca="1">IFERROR(__xludf.DUMMYFUNCTION("IF(E3129=""USD"",B3129,B3129 * GOOGLEFINANCE(""CURRENCY:"" &amp; E3129 &amp; ""USD""))
"),12500000)</f>
        <v>12500000</v>
      </c>
      <c r="G3129" s="16">
        <f ca="1">IFERROR(__xludf.DUMMYFUNCTION("IF(E3129=""USD"",C3129,C3129 * GOOGLEFINANCE(""CURRENCY:"" &amp; E3129 &amp; ""USD""))
"),14060950)</f>
        <v>14060950</v>
      </c>
    </row>
    <row r="3130" spans="1:7" ht="15.75" customHeight="1" x14ac:dyDescent="0.25">
      <c r="A3130" s="11" t="s">
        <v>627</v>
      </c>
      <c r="B3130" s="12">
        <v>210000000</v>
      </c>
      <c r="C3130" s="12">
        <v>234360014</v>
      </c>
      <c r="D3130" s="12">
        <v>2006</v>
      </c>
      <c r="E3130" s="12" t="str">
        <f>VLOOKUP(A3130, Currency!$A$2:$B$100, 2, FALSE)</f>
        <v>CAD</v>
      </c>
      <c r="F3130" s="12">
        <f ca="1">IFERROR(__xludf.DUMMYFUNCTION("IF(E3130=""USD"",B3130,B3130 * GOOGLEFINANCE(""CURRENCY:"" &amp; E3130 &amp; ""USD""))
"),151915050)</f>
        <v>151915050</v>
      </c>
      <c r="G3130" s="13">
        <f ca="1">IFERROR(__xludf.DUMMYFUNCTION("IF(E3130=""USD"",C3130,C3130 * GOOGLEFINANCE(""CURRENCY:"" &amp; E3130 &amp; ""USD""))
"),169537205.92767)</f>
        <v>169537205.92767</v>
      </c>
    </row>
    <row r="3131" spans="1:7" ht="15.75" customHeight="1" x14ac:dyDescent="0.25">
      <c r="A3131" s="14" t="s">
        <v>24</v>
      </c>
      <c r="B3131" s="15">
        <v>86000000</v>
      </c>
      <c r="C3131" s="15">
        <v>42877165</v>
      </c>
      <c r="D3131" s="15">
        <v>1997</v>
      </c>
      <c r="E3131" s="15" t="str">
        <f>VLOOKUP(A3131, Currency!$A$2:$B$100, 2, FALSE)</f>
        <v>USD</v>
      </c>
      <c r="F3131" s="15">
        <f ca="1">IFERROR(__xludf.DUMMYFUNCTION("IF(E3131=""USD"",B3131,B3131 * GOOGLEFINANCE(""CURRENCY:"" &amp; E3131 &amp; ""USD""))
"),86000000)</f>
        <v>86000000</v>
      </c>
      <c r="G3131" s="16">
        <f ca="1">IFERROR(__xludf.DUMMYFUNCTION("IF(E3131=""USD"",C3131,C3131 * GOOGLEFINANCE(""CURRENCY:"" &amp; E3131 &amp; ""USD""))
"),42877165)</f>
        <v>42877165</v>
      </c>
    </row>
    <row r="3132" spans="1:7" ht="15.75" customHeight="1" x14ac:dyDescent="0.25">
      <c r="A3132" s="11" t="s">
        <v>24</v>
      </c>
      <c r="B3132" s="12">
        <v>58000000</v>
      </c>
      <c r="C3132" s="12">
        <v>48291624</v>
      </c>
      <c r="D3132" s="12">
        <v>2005</v>
      </c>
      <c r="E3132" s="12" t="str">
        <f>VLOOKUP(A3132, Currency!$A$2:$B$100, 2, FALSE)</f>
        <v>USD</v>
      </c>
      <c r="F3132" s="12">
        <f ca="1">IFERROR(__xludf.DUMMYFUNCTION("IF(E3132=""USD"",B3132,B3132 * GOOGLEFINANCE(""CURRENCY:"" &amp; E3132 &amp; ""USD""))
"),58000000)</f>
        <v>58000000</v>
      </c>
      <c r="G3132" s="13">
        <f ca="1">IFERROR(__xludf.DUMMYFUNCTION("IF(E3132=""USD"",C3132,C3132 * GOOGLEFINANCE(""CURRENCY:"" &amp; E3132 &amp; ""USD""))
"),48291624)</f>
        <v>48291624</v>
      </c>
    </row>
    <row r="3133" spans="1:7" ht="15.75" customHeight="1" x14ac:dyDescent="0.25">
      <c r="A3133" s="14" t="s">
        <v>24</v>
      </c>
      <c r="B3133" s="15">
        <v>80000000</v>
      </c>
      <c r="C3133" s="15">
        <v>103028109</v>
      </c>
      <c r="D3133" s="15">
        <v>2011</v>
      </c>
      <c r="E3133" s="15" t="str">
        <f>VLOOKUP(A3133, Currency!$A$2:$B$100, 2, FALSE)</f>
        <v>USD</v>
      </c>
      <c r="F3133" s="15">
        <f ca="1">IFERROR(__xludf.DUMMYFUNCTION("IF(E3133=""USD"",B3133,B3133 * GOOGLEFINANCE(""CURRENCY:"" &amp; E3133 &amp; ""USD""))
"),80000000)</f>
        <v>80000000</v>
      </c>
      <c r="G3133" s="16">
        <f ca="1">IFERROR(__xludf.DUMMYFUNCTION("IF(E3133=""USD"",C3133,C3133 * GOOGLEFINANCE(""CURRENCY:"" &amp; E3133 &amp; ""USD""))
"),103028109)</f>
        <v>103028109</v>
      </c>
    </row>
    <row r="3134" spans="1:7" ht="15.75" customHeight="1" x14ac:dyDescent="0.25">
      <c r="A3134" s="11" t="s">
        <v>24</v>
      </c>
      <c r="B3134" s="12">
        <v>10000000</v>
      </c>
      <c r="C3134" s="12">
        <v>10824921</v>
      </c>
      <c r="D3134" s="12">
        <v>1999</v>
      </c>
      <c r="E3134" s="12" t="str">
        <f>VLOOKUP(A3134, Currency!$A$2:$B$100, 2, FALSE)</f>
        <v>USD</v>
      </c>
      <c r="F3134" s="12">
        <f ca="1">IFERROR(__xludf.DUMMYFUNCTION("IF(E3134=""USD"",B3134,B3134 * GOOGLEFINANCE(""CURRENCY:"" &amp; E3134 &amp; ""USD""))
"),10000000)</f>
        <v>10000000</v>
      </c>
      <c r="G3134" s="13">
        <f ca="1">IFERROR(__xludf.DUMMYFUNCTION("IF(E3134=""USD"",C3134,C3134 * GOOGLEFINANCE(""CURRENCY:"" &amp; E3134 &amp; ""USD""))
"),10824921)</f>
        <v>10824921</v>
      </c>
    </row>
    <row r="3135" spans="1:7" ht="15.75" customHeight="1" x14ac:dyDescent="0.25">
      <c r="A3135" s="14" t="s">
        <v>24</v>
      </c>
      <c r="B3135" s="15">
        <v>8000000</v>
      </c>
      <c r="C3135" s="15">
        <v>22201636</v>
      </c>
      <c r="D3135" s="15">
        <v>2005</v>
      </c>
      <c r="E3135" s="15" t="str">
        <f>VLOOKUP(A3135, Currency!$A$2:$B$100, 2, FALSE)</f>
        <v>USD</v>
      </c>
      <c r="F3135" s="15">
        <f ca="1">IFERROR(__xludf.DUMMYFUNCTION("IF(E3135=""USD"",B3135,B3135 * GOOGLEFINANCE(""CURRENCY:"" &amp; E3135 &amp; ""USD""))
"),8000000)</f>
        <v>8000000</v>
      </c>
      <c r="G3135" s="16">
        <f ca="1">IFERROR(__xludf.DUMMYFUNCTION("IF(E3135=""USD"",C3135,C3135 * GOOGLEFINANCE(""CURRENCY:"" &amp; E3135 &amp; ""USD""))
"),22201636)</f>
        <v>22201636</v>
      </c>
    </row>
    <row r="3136" spans="1:7" ht="15.75" customHeight="1" x14ac:dyDescent="0.25">
      <c r="A3136" s="11" t="s">
        <v>627</v>
      </c>
      <c r="B3136" s="12">
        <v>15000000</v>
      </c>
      <c r="C3136" s="12">
        <v>11144518</v>
      </c>
      <c r="D3136" s="12">
        <v>1998</v>
      </c>
      <c r="E3136" s="12" t="str">
        <f>VLOOKUP(A3136, Currency!$A$2:$B$100, 2, FALSE)</f>
        <v>CAD</v>
      </c>
      <c r="F3136" s="12">
        <f ca="1">IFERROR(__xludf.DUMMYFUNCTION("IF(E3136=""USD"",B3136,B3136 * GOOGLEFINANCE(""CURRENCY:"" &amp; E3136 &amp; ""USD""))
"),10851075)</f>
        <v>10851075</v>
      </c>
      <c r="G3136" s="13">
        <f ca="1">IFERROR(__xludf.DUMMYFUNCTION("IF(E3136=""USD"",C3136,C3136 * GOOGLEFINANCE(""CURRENCY:"" &amp; E3136 &amp; ""USD""))
"),8062000.04379)</f>
        <v>8062000.0437899996</v>
      </c>
    </row>
    <row r="3137" spans="1:7" ht="15.75" customHeight="1" x14ac:dyDescent="0.25">
      <c r="A3137" s="14" t="s">
        <v>24</v>
      </c>
      <c r="B3137" s="15">
        <v>70000000</v>
      </c>
      <c r="C3137" s="15">
        <v>19819494</v>
      </c>
      <c r="D3137" s="15">
        <v>1998</v>
      </c>
      <c r="E3137" s="15" t="str">
        <f>VLOOKUP(A3137, Currency!$A$2:$B$100, 2, FALSE)</f>
        <v>USD</v>
      </c>
      <c r="F3137" s="15">
        <f ca="1">IFERROR(__xludf.DUMMYFUNCTION("IF(E3137=""USD"",B3137,B3137 * GOOGLEFINANCE(""CURRENCY:"" &amp; E3137 &amp; ""USD""))
"),70000000)</f>
        <v>70000000</v>
      </c>
      <c r="G3137" s="16">
        <f ca="1">IFERROR(__xludf.DUMMYFUNCTION("IF(E3137=""USD"",C3137,C3137 * GOOGLEFINANCE(""CURRENCY:"" &amp; E3137 &amp; ""USD""))
"),19819494)</f>
        <v>19819494</v>
      </c>
    </row>
    <row r="3138" spans="1:7" ht="15.75" customHeight="1" x14ac:dyDescent="0.25">
      <c r="A3138" s="11" t="s">
        <v>24</v>
      </c>
      <c r="B3138" s="12">
        <v>26000000</v>
      </c>
      <c r="C3138" s="12">
        <v>49874933</v>
      </c>
      <c r="D3138" s="12">
        <v>2013</v>
      </c>
      <c r="E3138" s="12" t="str">
        <f>VLOOKUP(A3138, Currency!$A$2:$B$100, 2, FALSE)</f>
        <v>USD</v>
      </c>
      <c r="F3138" s="12">
        <f ca="1">IFERROR(__xludf.DUMMYFUNCTION("IF(E3138=""USD"",B3138,B3138 * GOOGLEFINANCE(""CURRENCY:"" &amp; E3138 &amp; ""USD""))
"),26000000)</f>
        <v>26000000</v>
      </c>
      <c r="G3138" s="13">
        <f ca="1">IFERROR(__xludf.DUMMYFUNCTION("IF(E3138=""USD"",C3138,C3138 * GOOGLEFINANCE(""CURRENCY:"" &amp; E3138 &amp; ""USD""))
"),49874933)</f>
        <v>49874933</v>
      </c>
    </row>
    <row r="3139" spans="1:7" ht="15.75" customHeight="1" x14ac:dyDescent="0.25">
      <c r="A3139" s="14" t="s">
        <v>24</v>
      </c>
      <c r="B3139" s="15">
        <v>20000000</v>
      </c>
      <c r="C3139" s="15">
        <v>35990505</v>
      </c>
      <c r="D3139" s="15">
        <v>2003</v>
      </c>
      <c r="E3139" s="15" t="str">
        <f>VLOOKUP(A3139, Currency!$A$2:$B$100, 2, FALSE)</f>
        <v>USD</v>
      </c>
      <c r="F3139" s="15">
        <f ca="1">IFERROR(__xludf.DUMMYFUNCTION("IF(E3139=""USD"",B3139,B3139 * GOOGLEFINANCE(""CURRENCY:"" &amp; E3139 &amp; ""USD""))
"),20000000)</f>
        <v>20000000</v>
      </c>
      <c r="G3139" s="16">
        <f ca="1">IFERROR(__xludf.DUMMYFUNCTION("IF(E3139=""USD"",C3139,C3139 * GOOGLEFINANCE(""CURRENCY:"" &amp; E3139 &amp; ""USD""))
"),35990505)</f>
        <v>35990505</v>
      </c>
    </row>
    <row r="3140" spans="1:7" ht="15.75" customHeight="1" x14ac:dyDescent="0.25">
      <c r="A3140" s="11" t="s">
        <v>24</v>
      </c>
      <c r="B3140" s="12">
        <v>1700000</v>
      </c>
      <c r="C3140" s="12">
        <v>35918429</v>
      </c>
      <c r="D3140" s="12">
        <v>2001</v>
      </c>
      <c r="E3140" s="12" t="str">
        <f>VLOOKUP(A3140, Currency!$A$2:$B$100, 2, FALSE)</f>
        <v>USD</v>
      </c>
      <c r="F3140" s="12">
        <f ca="1">IFERROR(__xludf.DUMMYFUNCTION("IF(E3140=""USD"",B3140,B3140 * GOOGLEFINANCE(""CURRENCY:"" &amp; E3140 &amp; ""USD""))
"),1700000)</f>
        <v>1700000</v>
      </c>
      <c r="G3140" s="13">
        <f ca="1">IFERROR(__xludf.DUMMYFUNCTION("IF(E3140=""USD"",C3140,C3140 * GOOGLEFINANCE(""CURRENCY:"" &amp; E3140 &amp; ""USD""))
"),35918429)</f>
        <v>35918429</v>
      </c>
    </row>
    <row r="3141" spans="1:7" ht="15.75" customHeight="1" x14ac:dyDescent="0.25">
      <c r="A3141" s="14" t="s">
        <v>24</v>
      </c>
      <c r="B3141" s="15">
        <v>20000000</v>
      </c>
      <c r="C3141" s="15">
        <v>41867960</v>
      </c>
      <c r="D3141" s="15">
        <v>2001</v>
      </c>
      <c r="E3141" s="15" t="str">
        <f>VLOOKUP(A3141, Currency!$A$2:$B$100, 2, FALSE)</f>
        <v>USD</v>
      </c>
      <c r="F3141" s="15">
        <f ca="1">IFERROR(__xludf.DUMMYFUNCTION("IF(E3141=""USD"",B3141,B3141 * GOOGLEFINANCE(""CURRENCY:"" &amp; E3141 &amp; ""USD""))
"),20000000)</f>
        <v>20000000</v>
      </c>
      <c r="G3141" s="16">
        <f ca="1">IFERROR(__xludf.DUMMYFUNCTION("IF(E3141=""USD"",C3141,C3141 * GOOGLEFINANCE(""CURRENCY:"" &amp; E3141 &amp; ""USD""))
"),41867960)</f>
        <v>41867960</v>
      </c>
    </row>
    <row r="3142" spans="1:7" ht="15.75" customHeight="1" x14ac:dyDescent="0.25">
      <c r="A3142" s="11" t="s">
        <v>24</v>
      </c>
      <c r="B3142" s="12">
        <v>40000000</v>
      </c>
      <c r="C3142" s="12">
        <v>50859889</v>
      </c>
      <c r="D3142" s="12">
        <v>2006</v>
      </c>
      <c r="E3142" s="12" t="str">
        <f>VLOOKUP(A3142, Currency!$A$2:$B$100, 2, FALSE)</f>
        <v>USD</v>
      </c>
      <c r="F3142" s="12">
        <f ca="1">IFERROR(__xludf.DUMMYFUNCTION("IF(E3142=""USD"",B3142,B3142 * GOOGLEFINANCE(""CURRENCY:"" &amp; E3142 &amp; ""USD""))
"),40000000)</f>
        <v>40000000</v>
      </c>
      <c r="G3142" s="13">
        <f ca="1">IFERROR(__xludf.DUMMYFUNCTION("IF(E3142=""USD"",C3142,C3142 * GOOGLEFINANCE(""CURRENCY:"" &amp; E3142 &amp; ""USD""))
"),50859889)</f>
        <v>50859889</v>
      </c>
    </row>
    <row r="3143" spans="1:7" ht="15.75" customHeight="1" x14ac:dyDescent="0.25">
      <c r="A3143" s="14" t="s">
        <v>24</v>
      </c>
      <c r="B3143" s="15">
        <v>16000000</v>
      </c>
      <c r="C3143" s="15">
        <v>14108518</v>
      </c>
      <c r="D3143" s="15">
        <v>2003</v>
      </c>
      <c r="E3143" s="15" t="str">
        <f>VLOOKUP(A3143, Currency!$A$2:$B$100, 2, FALSE)</f>
        <v>USD</v>
      </c>
      <c r="F3143" s="15">
        <f ca="1">IFERROR(__xludf.DUMMYFUNCTION("IF(E3143=""USD"",B3143,B3143 * GOOGLEFINANCE(""CURRENCY:"" &amp; E3143 &amp; ""USD""))
"),16000000)</f>
        <v>16000000</v>
      </c>
      <c r="G3143" s="16">
        <f ca="1">IFERROR(__xludf.DUMMYFUNCTION("IF(E3143=""USD"",C3143,C3143 * GOOGLEFINANCE(""CURRENCY:"" &amp; E3143 &amp; ""USD""))
"),14108518)</f>
        <v>14108518</v>
      </c>
    </row>
    <row r="3144" spans="1:7" ht="15.75" customHeight="1" x14ac:dyDescent="0.25">
      <c r="A3144" s="11" t="s">
        <v>220</v>
      </c>
      <c r="B3144" s="12">
        <v>18000000</v>
      </c>
      <c r="C3144" s="12">
        <v>127437</v>
      </c>
      <c r="D3144" s="12">
        <v>2011</v>
      </c>
      <c r="E3144" s="12" t="str">
        <f>VLOOKUP(A3144, Currency!$A$2:$B$100, 2, FALSE)</f>
        <v>CNY</v>
      </c>
      <c r="F3144" s="12">
        <f ca="1">IFERROR(__xludf.DUMMYFUNCTION("IF(E3144=""USD"",B3144,B3144 * GOOGLEFINANCE(""CURRENCY:"" &amp; E3144 &amp; ""USD""))
"),2489110.19999999)</f>
        <v>2489110.1999999899</v>
      </c>
      <c r="G3144" s="13">
        <f ca="1">IFERROR(__xludf.DUMMYFUNCTION("IF(E3144=""USD"",C3144,C3144 * GOOGLEFINANCE(""CURRENCY:"" &amp; E3144 &amp; ""USD""))
"),17622.4853643)</f>
        <v>17622.485364299999</v>
      </c>
    </row>
    <row r="3145" spans="1:7" ht="15.75" customHeight="1" x14ac:dyDescent="0.25">
      <c r="A3145" s="14" t="s">
        <v>24</v>
      </c>
      <c r="B3145" s="15">
        <v>3000000</v>
      </c>
      <c r="C3145" s="15">
        <v>4142507</v>
      </c>
      <c r="D3145" s="15">
        <v>2000</v>
      </c>
      <c r="E3145" s="15" t="str">
        <f>VLOOKUP(A3145, Currency!$A$2:$B$100, 2, FALSE)</f>
        <v>USD</v>
      </c>
      <c r="F3145" s="15">
        <f ca="1">IFERROR(__xludf.DUMMYFUNCTION("IF(E3145=""USD"",B3145,B3145 * GOOGLEFINANCE(""CURRENCY:"" &amp; E3145 &amp; ""USD""))
"),3000000)</f>
        <v>3000000</v>
      </c>
      <c r="G3145" s="16">
        <f ca="1">IFERROR(__xludf.DUMMYFUNCTION("IF(E3145=""USD"",C3145,C3145 * GOOGLEFINANCE(""CURRENCY:"" &amp; E3145 &amp; ""USD""))
"),4142507)</f>
        <v>4142507</v>
      </c>
    </row>
    <row r="3146" spans="1:7" ht="15.75" customHeight="1" x14ac:dyDescent="0.25">
      <c r="A3146" s="11" t="s">
        <v>24</v>
      </c>
      <c r="B3146" s="12">
        <v>13000000</v>
      </c>
      <c r="C3146" s="12">
        <v>27052167</v>
      </c>
      <c r="D3146" s="12">
        <v>1998</v>
      </c>
      <c r="E3146" s="12" t="str">
        <f>VLOOKUP(A3146, Currency!$A$2:$B$100, 2, FALSE)</f>
        <v>USD</v>
      </c>
      <c r="F3146" s="12">
        <f ca="1">IFERROR(__xludf.DUMMYFUNCTION("IF(E3146=""USD"",B3146,B3146 * GOOGLEFINANCE(""CURRENCY:"" &amp; E3146 &amp; ""USD""))
"),13000000)</f>
        <v>13000000</v>
      </c>
      <c r="G3146" s="13">
        <f ca="1">IFERROR(__xludf.DUMMYFUNCTION("IF(E3146=""USD"",C3146,C3146 * GOOGLEFINANCE(""CURRENCY:"" &amp; E3146 &amp; ""USD""))
"),27052167)</f>
        <v>27052167</v>
      </c>
    </row>
    <row r="3147" spans="1:7" ht="15.75" customHeight="1" x14ac:dyDescent="0.25">
      <c r="A3147" s="14" t="s">
        <v>24</v>
      </c>
      <c r="B3147" s="15">
        <v>18500000</v>
      </c>
      <c r="C3147" s="15">
        <v>18439082</v>
      </c>
      <c r="D3147" s="15">
        <v>2009</v>
      </c>
      <c r="E3147" s="15" t="str">
        <f>VLOOKUP(A3147, Currency!$A$2:$B$100, 2, FALSE)</f>
        <v>USD</v>
      </c>
      <c r="F3147" s="15">
        <f ca="1">IFERROR(__xludf.DUMMYFUNCTION("IF(E3147=""USD"",B3147,B3147 * GOOGLEFINANCE(""CURRENCY:"" &amp; E3147 &amp; ""USD""))
"),18500000)</f>
        <v>18500000</v>
      </c>
      <c r="G3147" s="16">
        <f ca="1">IFERROR(__xludf.DUMMYFUNCTION("IF(E3147=""USD"",C3147,C3147 * GOOGLEFINANCE(""CURRENCY:"" &amp; E3147 &amp; ""USD""))
"),18439082)</f>
        <v>18439082</v>
      </c>
    </row>
    <row r="3148" spans="1:7" ht="15.75" customHeight="1" x14ac:dyDescent="0.25">
      <c r="A3148" s="11" t="s">
        <v>24</v>
      </c>
      <c r="B3148" s="12">
        <v>9000000</v>
      </c>
      <c r="C3148" s="12">
        <v>31487293</v>
      </c>
      <c r="D3148" s="12">
        <v>2008</v>
      </c>
      <c r="E3148" s="12" t="str">
        <f>VLOOKUP(A3148, Currency!$A$2:$B$100, 2, FALSE)</f>
        <v>USD</v>
      </c>
      <c r="F3148" s="12">
        <f ca="1">IFERROR(__xludf.DUMMYFUNCTION("IF(E3148=""USD"",B3148,B3148 * GOOGLEFINANCE(""CURRENCY:"" &amp; E3148 &amp; ""USD""))
"),9000000)</f>
        <v>9000000</v>
      </c>
      <c r="G3148" s="13">
        <f ca="1">IFERROR(__xludf.DUMMYFUNCTION("IF(E3148=""USD"",C3148,C3148 * GOOGLEFINANCE(""CURRENCY:"" &amp; E3148 &amp; ""USD""))
"),31487293)</f>
        <v>31487293</v>
      </c>
    </row>
    <row r="3149" spans="1:7" ht="15.75" customHeight="1" x14ac:dyDescent="0.25">
      <c r="A3149" s="14" t="s">
        <v>24</v>
      </c>
      <c r="B3149" s="15">
        <v>8500000</v>
      </c>
      <c r="C3149" s="15">
        <v>28563926</v>
      </c>
      <c r="D3149" s="15">
        <v>2002</v>
      </c>
      <c r="E3149" s="15" t="str">
        <f>VLOOKUP(A3149, Currency!$A$2:$B$100, 2, FALSE)</f>
        <v>USD</v>
      </c>
      <c r="F3149" s="15">
        <f ca="1">IFERROR(__xludf.DUMMYFUNCTION("IF(E3149=""USD"",B3149,B3149 * GOOGLEFINANCE(""CURRENCY:"" &amp; E3149 &amp; ""USD""))
"),8500000)</f>
        <v>8500000</v>
      </c>
      <c r="G3149" s="16">
        <f ca="1">IFERROR(__xludf.DUMMYFUNCTION("IF(E3149=""USD"",C3149,C3149 * GOOGLEFINANCE(""CURRENCY:"" &amp; E3149 &amp; ""USD""))
"),28563926)</f>
        <v>28563926</v>
      </c>
    </row>
    <row r="3150" spans="1:7" ht="15.75" customHeight="1" x14ac:dyDescent="0.25">
      <c r="A3150" s="11" t="s">
        <v>24</v>
      </c>
      <c r="B3150" s="12">
        <v>60000000</v>
      </c>
      <c r="C3150" s="12">
        <v>31165421</v>
      </c>
      <c r="D3150" s="12">
        <v>2013</v>
      </c>
      <c r="E3150" s="12" t="str">
        <f>VLOOKUP(A3150, Currency!$A$2:$B$100, 2, FALSE)</f>
        <v>USD</v>
      </c>
      <c r="F3150" s="12">
        <f ca="1">IFERROR(__xludf.DUMMYFUNCTION("IF(E3150=""USD"",B3150,B3150 * GOOGLEFINANCE(""CURRENCY:"" &amp; E3150 &amp; ""USD""))
"),60000000)</f>
        <v>60000000</v>
      </c>
      <c r="G3150" s="13">
        <f ca="1">IFERROR(__xludf.DUMMYFUNCTION("IF(E3150=""USD"",C3150,C3150 * GOOGLEFINANCE(""CURRENCY:"" &amp; E3150 &amp; ""USD""))
"),31165421)</f>
        <v>31165421</v>
      </c>
    </row>
    <row r="3151" spans="1:7" ht="15.75" customHeight="1" x14ac:dyDescent="0.25">
      <c r="A3151" s="14" t="s">
        <v>24</v>
      </c>
      <c r="B3151" s="15">
        <v>17500000</v>
      </c>
      <c r="C3151" s="15">
        <v>19179969</v>
      </c>
      <c r="D3151" s="15">
        <v>2006</v>
      </c>
      <c r="E3151" s="15" t="str">
        <f>VLOOKUP(A3151, Currency!$A$2:$B$100, 2, FALSE)</f>
        <v>USD</v>
      </c>
      <c r="F3151" s="15">
        <f ca="1">IFERROR(__xludf.DUMMYFUNCTION("IF(E3151=""USD"",B3151,B3151 * GOOGLEFINANCE(""CURRENCY:"" &amp; E3151 &amp; ""USD""))
"),17500000)</f>
        <v>17500000</v>
      </c>
      <c r="G3151" s="16">
        <f ca="1">IFERROR(__xludf.DUMMYFUNCTION("IF(E3151=""USD"",C3151,C3151 * GOOGLEFINANCE(""CURRENCY:"" &amp; E3151 &amp; ""USD""))
"),19179969)</f>
        <v>19179969</v>
      </c>
    </row>
    <row r="3152" spans="1:7" ht="15.75" customHeight="1" x14ac:dyDescent="0.25">
      <c r="A3152" s="11" t="s">
        <v>24</v>
      </c>
      <c r="B3152" s="12">
        <v>6500000</v>
      </c>
      <c r="C3152" s="12">
        <v>27545445</v>
      </c>
      <c r="D3152" s="12">
        <v>1989</v>
      </c>
      <c r="E3152" s="12" t="str">
        <f>VLOOKUP(A3152, Currency!$A$2:$B$100, 2, FALSE)</f>
        <v>USD</v>
      </c>
      <c r="F3152" s="12">
        <f ca="1">IFERROR(__xludf.DUMMYFUNCTION("IF(E3152=""USD"",B3152,B3152 * GOOGLEFINANCE(""CURRENCY:"" &amp; E3152 &amp; ""USD""))
"),6500000)</f>
        <v>6500000</v>
      </c>
      <c r="G3152" s="13">
        <f ca="1">IFERROR(__xludf.DUMMYFUNCTION("IF(E3152=""USD"",C3152,C3152 * GOOGLEFINANCE(""CURRENCY:"" &amp; E3152 &amp; ""USD""))
"),27545445)</f>
        <v>27545445</v>
      </c>
    </row>
    <row r="3153" spans="1:7" ht="15.75" customHeight="1" x14ac:dyDescent="0.25">
      <c r="A3153" s="14" t="s">
        <v>133</v>
      </c>
      <c r="B3153" s="15">
        <v>7000000</v>
      </c>
      <c r="C3153" s="15">
        <v>35400000</v>
      </c>
      <c r="D3153" s="15">
        <v>1973</v>
      </c>
      <c r="E3153" s="15" t="str">
        <f>VLOOKUP(A3153, Currency!$A$2:$B$100, 2, FALSE)</f>
        <v>GBP</v>
      </c>
      <c r="F3153" s="15">
        <f ca="1">IFERROR(__xludf.DUMMYFUNCTION("IF(E3153=""USD"",B3153,B3153 * GOOGLEFINANCE(""CURRENCY:"" &amp; E3153 &amp; ""USD""))
"),8997800)</f>
        <v>8997800</v>
      </c>
      <c r="G3153" s="16">
        <f ca="1">IFERROR(__xludf.DUMMYFUNCTION("IF(E3153=""USD"",C3153,C3153 * GOOGLEFINANCE(""CURRENCY:"" &amp; E3153 &amp; ""USD""))
"),45503159.9999999)</f>
        <v>45503159.999999903</v>
      </c>
    </row>
    <row r="3154" spans="1:7" ht="15.75" customHeight="1" x14ac:dyDescent="0.25">
      <c r="A3154" s="11" t="s">
        <v>24</v>
      </c>
      <c r="B3154" s="12">
        <v>2280000</v>
      </c>
      <c r="C3154" s="12">
        <v>76400000</v>
      </c>
      <c r="D3154" s="12">
        <v>1940</v>
      </c>
      <c r="E3154" s="12" t="str">
        <f>VLOOKUP(A3154, Currency!$A$2:$B$100, 2, FALSE)</f>
        <v>USD</v>
      </c>
      <c r="F3154" s="12">
        <f ca="1">IFERROR(__xludf.DUMMYFUNCTION("IF(E3154=""USD"",B3154,B3154 * GOOGLEFINANCE(""CURRENCY:"" &amp; E3154 &amp; ""USD""))
"),2280000)</f>
        <v>2280000</v>
      </c>
      <c r="G3154" s="13">
        <f ca="1">IFERROR(__xludf.DUMMYFUNCTION("IF(E3154=""USD"",C3154,C3154 * GOOGLEFINANCE(""CURRENCY:"" &amp; E3154 &amp; ""USD""))
"),76400000)</f>
        <v>76400000</v>
      </c>
    </row>
    <row r="3155" spans="1:7" ht="15.75" customHeight="1" x14ac:dyDescent="0.25">
      <c r="A3155" s="14" t="s">
        <v>1111</v>
      </c>
      <c r="B3155" s="15">
        <v>4000000</v>
      </c>
      <c r="C3155" s="15">
        <v>146402</v>
      </c>
      <c r="D3155" s="15">
        <v>2002</v>
      </c>
      <c r="E3155" s="15" t="str">
        <f>VLOOKUP(A3155, Currency!$A$2:$B$100, 2, FALSE)</f>
        <v>EUR</v>
      </c>
      <c r="F3155" s="15">
        <f ca="1">IFERROR(__xludf.DUMMYFUNCTION("IF(E3155=""USD"",B3155,B3155 * GOOGLEFINANCE(""CURRENCY:"" &amp; E3155 &amp; ""USD""))
"),4338960)</f>
        <v>4338960</v>
      </c>
      <c r="G3155" s="16">
        <f ca="1">IFERROR(__xludf.DUMMYFUNCTION("IF(E3155=""USD"",C3155,C3155 * GOOGLEFINANCE(""CURRENCY:"" &amp; E3155 &amp; ""USD""))
"),158808.10548)</f>
        <v>158808.10548</v>
      </c>
    </row>
    <row r="3156" spans="1:7" ht="15.75" customHeight="1" x14ac:dyDescent="0.25">
      <c r="A3156" s="11" t="s">
        <v>627</v>
      </c>
      <c r="B3156" s="12">
        <v>2000000</v>
      </c>
      <c r="C3156" s="12">
        <v>6719300</v>
      </c>
      <c r="D3156" s="12">
        <v>1998</v>
      </c>
      <c r="E3156" s="12" t="str">
        <f>VLOOKUP(A3156, Currency!$A$2:$B$100, 2, FALSE)</f>
        <v>CAD</v>
      </c>
      <c r="F3156" s="12">
        <f ca="1">IFERROR(__xludf.DUMMYFUNCTION("IF(E3156=""USD"",B3156,B3156 * GOOGLEFINANCE(""CURRENCY:"" &amp; E3156 &amp; ""USD""))
"),1446810)</f>
        <v>1446810</v>
      </c>
      <c r="G3156" s="13">
        <f ca="1">IFERROR(__xludf.DUMMYFUNCTION("IF(E3156=""USD"",C3156,C3156 * GOOGLEFINANCE(""CURRENCY:"" &amp; E3156 &amp; ""USD""))
"),4860775.2165)</f>
        <v>4860775.2165000001</v>
      </c>
    </row>
    <row r="3157" spans="1:7" ht="15.75" customHeight="1" x14ac:dyDescent="0.25">
      <c r="A3157" s="14" t="s">
        <v>133</v>
      </c>
      <c r="B3157" s="15">
        <v>4500000</v>
      </c>
      <c r="C3157" s="15">
        <v>12574715</v>
      </c>
      <c r="D3157" s="15">
        <v>2009</v>
      </c>
      <c r="E3157" s="15" t="str">
        <f>VLOOKUP(A3157, Currency!$A$2:$B$100, 2, FALSE)</f>
        <v>GBP</v>
      </c>
      <c r="F3157" s="15">
        <f ca="1">IFERROR(__xludf.DUMMYFUNCTION("IF(E3157=""USD"",B3157,B3157 * GOOGLEFINANCE(""CURRENCY:"" &amp; E3157 &amp; ""USD""))
"),5784299.99999999)</f>
        <v>5784299.9999999898</v>
      </c>
      <c r="G3157" s="16">
        <f ca="1">IFERROR(__xludf.DUMMYFUNCTION("IF(E3157=""USD"",C3157,C3157 * GOOGLEFINANCE(""CURRENCY:"" &amp; E3157 &amp; ""USD""))
"),16163538.6609999)</f>
        <v>16163538.6609999</v>
      </c>
    </row>
    <row r="3158" spans="1:7" ht="15.75" customHeight="1" x14ac:dyDescent="0.25">
      <c r="A3158" s="11" t="s">
        <v>1491</v>
      </c>
      <c r="B3158" s="12">
        <v>3000000</v>
      </c>
      <c r="C3158" s="12">
        <v>2181290</v>
      </c>
      <c r="D3158" s="12">
        <v>2003</v>
      </c>
      <c r="E3158" s="12" t="str">
        <f>VLOOKUP(A3158, Currency!$A$2:$B$100, 2, FALSE)</f>
        <v>KRW</v>
      </c>
      <c r="F3158" s="12">
        <f ca="1">IFERROR(__xludf.DUMMYFUNCTION("IF(E3158=""USD"",B3158,B3158 * GOOGLEFINANCE(""CURRENCY:"" &amp; E3158 &amp; ""USD""))
"),2171.601)</f>
        <v>2171.6010000000001</v>
      </c>
      <c r="G3158" s="13">
        <f ca="1">IFERROR(__xludf.DUMMYFUNCTION("IF(E3158=""USD"",C3158,C3158 * GOOGLEFINANCE(""CURRENCY:"" &amp; E3158 &amp; ""USD""))
"),1578.96384843)</f>
        <v>1578.9638484300001</v>
      </c>
    </row>
    <row r="3159" spans="1:7" ht="15.75" customHeight="1" x14ac:dyDescent="0.25">
      <c r="A3159" s="14" t="s">
        <v>24</v>
      </c>
      <c r="B3159" s="15">
        <v>8000000</v>
      </c>
      <c r="C3159" s="15">
        <v>10814185</v>
      </c>
      <c r="D3159" s="15">
        <v>2009</v>
      </c>
      <c r="E3159" s="15" t="str">
        <f>VLOOKUP(A3159, Currency!$A$2:$B$100, 2, FALSE)</f>
        <v>USD</v>
      </c>
      <c r="F3159" s="15">
        <f ca="1">IFERROR(__xludf.DUMMYFUNCTION("IF(E3159=""USD"",B3159,B3159 * GOOGLEFINANCE(""CURRENCY:"" &amp; E3159 &amp; ""USD""))
"),8000000)</f>
        <v>8000000</v>
      </c>
      <c r="G3159" s="16">
        <f ca="1">IFERROR(__xludf.DUMMYFUNCTION("IF(E3159=""USD"",C3159,C3159 * GOOGLEFINANCE(""CURRENCY:"" &amp; E3159 &amp; ""USD""))
"),10814185)</f>
        <v>10814185</v>
      </c>
    </row>
    <row r="3160" spans="1:7" ht="15.75" customHeight="1" x14ac:dyDescent="0.25">
      <c r="A3160" s="11" t="s">
        <v>24</v>
      </c>
      <c r="B3160" s="12">
        <v>60000</v>
      </c>
      <c r="C3160" s="12">
        <v>3216970</v>
      </c>
      <c r="D3160" s="12">
        <v>1998</v>
      </c>
      <c r="E3160" s="12" t="str">
        <f>VLOOKUP(A3160, Currency!$A$2:$B$100, 2, FALSE)</f>
        <v>USD</v>
      </c>
      <c r="F3160" s="12">
        <f ca="1">IFERROR(__xludf.DUMMYFUNCTION("IF(E3160=""USD"",B3160,B3160 * GOOGLEFINANCE(""CURRENCY:"" &amp; E3160 &amp; ""USD""))
"),60000)</f>
        <v>60000</v>
      </c>
      <c r="G3160" s="13">
        <f ca="1">IFERROR(__xludf.DUMMYFUNCTION("IF(E3160=""USD"",C3160,C3160 * GOOGLEFINANCE(""CURRENCY:"" &amp; E3160 &amp; ""USD""))
"),3216970)</f>
        <v>3216970</v>
      </c>
    </row>
    <row r="3161" spans="1:7" ht="15.75" customHeight="1" x14ac:dyDescent="0.25">
      <c r="A3161" s="14" t="s">
        <v>24</v>
      </c>
      <c r="B3161" s="15">
        <v>20000000</v>
      </c>
      <c r="C3161" s="15">
        <v>15797907</v>
      </c>
      <c r="D3161" s="15">
        <v>2007</v>
      </c>
      <c r="E3161" s="15" t="str">
        <f>VLOOKUP(A3161, Currency!$A$2:$B$100, 2, FALSE)</f>
        <v>USD</v>
      </c>
      <c r="F3161" s="15">
        <f ca="1">IFERROR(__xludf.DUMMYFUNCTION("IF(E3161=""USD"",B3161,B3161 * GOOGLEFINANCE(""CURRENCY:"" &amp; E3161 &amp; ""USD""))
"),20000000)</f>
        <v>20000000</v>
      </c>
      <c r="G3161" s="16">
        <f ca="1">IFERROR(__xludf.DUMMYFUNCTION("IF(E3161=""USD"",C3161,C3161 * GOOGLEFINANCE(""CURRENCY:"" &amp; E3161 &amp; ""USD""))
"),15797907)</f>
        <v>15797907</v>
      </c>
    </row>
    <row r="3162" spans="1:7" ht="15.75" customHeight="1" x14ac:dyDescent="0.25">
      <c r="A3162" s="11" t="s">
        <v>24</v>
      </c>
      <c r="B3162" s="12">
        <v>17000000</v>
      </c>
      <c r="C3162" s="12">
        <v>76400000</v>
      </c>
      <c r="D3162" s="12">
        <v>1984</v>
      </c>
      <c r="E3162" s="12" t="str">
        <f>VLOOKUP(A3162, Currency!$A$2:$B$100, 2, FALSE)</f>
        <v>USD</v>
      </c>
      <c r="F3162" s="12">
        <f ca="1">IFERROR(__xludf.DUMMYFUNCTION("IF(E3162=""USD"",B3162,B3162 * GOOGLEFINANCE(""CURRENCY:"" &amp; E3162 &amp; ""USD""))
"),17000000)</f>
        <v>17000000</v>
      </c>
      <c r="G3162" s="13">
        <f ca="1">IFERROR(__xludf.DUMMYFUNCTION("IF(E3162=""USD"",C3162,C3162 * GOOGLEFINANCE(""CURRENCY:"" &amp; E3162 &amp; ""USD""))
"),76400000)</f>
        <v>76400000</v>
      </c>
    </row>
    <row r="3163" spans="1:7" ht="15.75" customHeight="1" x14ac:dyDescent="0.25">
      <c r="A3163" s="14" t="s">
        <v>24</v>
      </c>
      <c r="B3163" s="15">
        <v>49900000</v>
      </c>
      <c r="C3163" s="15">
        <v>21557240</v>
      </c>
      <c r="D3163" s="15">
        <v>2011</v>
      </c>
      <c r="E3163" s="15" t="str">
        <f>VLOOKUP(A3163, Currency!$A$2:$B$100, 2, FALSE)</f>
        <v>USD</v>
      </c>
      <c r="F3163" s="15">
        <f ca="1">IFERROR(__xludf.DUMMYFUNCTION("IF(E3163=""USD"",B3163,B3163 * GOOGLEFINANCE(""CURRENCY:"" &amp; E3163 &amp; ""USD""))
"),49900000)</f>
        <v>49900000</v>
      </c>
      <c r="G3163" s="16">
        <f ca="1">IFERROR(__xludf.DUMMYFUNCTION("IF(E3163=""USD"",C3163,C3163 * GOOGLEFINANCE(""CURRENCY:"" &amp; E3163 &amp; ""USD""))
"),21557240)</f>
        <v>21557240</v>
      </c>
    </row>
    <row r="3164" spans="1:7" ht="15.75" customHeight="1" x14ac:dyDescent="0.25">
      <c r="A3164" s="11" t="s">
        <v>133</v>
      </c>
      <c r="B3164" s="12">
        <v>25000000</v>
      </c>
      <c r="C3164" s="12">
        <v>4756</v>
      </c>
      <c r="D3164" s="12">
        <v>2013</v>
      </c>
      <c r="E3164" s="12" t="str">
        <f>VLOOKUP(A3164, Currency!$A$2:$B$100, 2, FALSE)</f>
        <v>GBP</v>
      </c>
      <c r="F3164" s="12">
        <f ca="1">IFERROR(__xludf.DUMMYFUNCTION("IF(E3164=""USD"",B3164,B3164 * GOOGLEFINANCE(""CURRENCY:"" &amp; E3164 &amp; ""USD""))
"),32134999.9999999)</f>
        <v>32134999.999999899</v>
      </c>
      <c r="G3164" s="13">
        <f ca="1">IFERROR(__xludf.DUMMYFUNCTION("IF(E3164=""USD"",C3164,C3164 * GOOGLEFINANCE(""CURRENCY:"" &amp; E3164 &amp; ""USD""))
"),6113.36239999999)</f>
        <v>6113.36239999999</v>
      </c>
    </row>
    <row r="3165" spans="1:7" ht="15.75" customHeight="1" x14ac:dyDescent="0.25">
      <c r="A3165" s="14" t="s">
        <v>24</v>
      </c>
      <c r="B3165" s="15">
        <v>15000000</v>
      </c>
      <c r="C3165" s="15">
        <v>43022524</v>
      </c>
      <c r="D3165" s="15">
        <v>1997</v>
      </c>
      <c r="E3165" s="15" t="str">
        <f>VLOOKUP(A3165, Currency!$A$2:$B$100, 2, FALSE)</f>
        <v>USD</v>
      </c>
      <c r="F3165" s="15">
        <f ca="1">IFERROR(__xludf.DUMMYFUNCTION("IF(E3165=""USD"",B3165,B3165 * GOOGLEFINANCE(""CURRENCY:"" &amp; E3165 &amp; ""USD""))
"),15000000)</f>
        <v>15000000</v>
      </c>
      <c r="G3165" s="16">
        <f ca="1">IFERROR(__xludf.DUMMYFUNCTION("IF(E3165=""USD"",C3165,C3165 * GOOGLEFINANCE(""CURRENCY:"" &amp; E3165 &amp; ""USD""))
"),43022524)</f>
        <v>43022524</v>
      </c>
    </row>
    <row r="3166" spans="1:7" ht="15.75" customHeight="1" x14ac:dyDescent="0.25">
      <c r="A3166" s="11" t="s">
        <v>24</v>
      </c>
      <c r="B3166" s="12">
        <v>87000000</v>
      </c>
      <c r="C3166" s="12">
        <v>120147445</v>
      </c>
      <c r="D3166" s="12">
        <v>2003</v>
      </c>
      <c r="E3166" s="12" t="str">
        <f>VLOOKUP(A3166, Currency!$A$2:$B$100, 2, FALSE)</f>
        <v>USD</v>
      </c>
      <c r="F3166" s="12">
        <f ca="1">IFERROR(__xludf.DUMMYFUNCTION("IF(E3166=""USD"",B3166,B3166 * GOOGLEFINANCE(""CURRENCY:"" &amp; E3166 &amp; ""USD""))
"),87000000)</f>
        <v>87000000</v>
      </c>
      <c r="G3166" s="13">
        <f ca="1">IFERROR(__xludf.DUMMYFUNCTION("IF(E3166=""USD"",C3166,C3166 * GOOGLEFINANCE(""CURRENCY:"" &amp; E3166 &amp; ""USD""))
"),120147445)</f>
        <v>120147445</v>
      </c>
    </row>
    <row r="3167" spans="1:7" ht="15.75" customHeight="1" x14ac:dyDescent="0.25">
      <c r="A3167" s="14" t="s">
        <v>24</v>
      </c>
      <c r="B3167" s="15">
        <v>35000000</v>
      </c>
      <c r="C3167" s="15">
        <v>82300000</v>
      </c>
      <c r="D3167" s="15">
        <v>1979</v>
      </c>
      <c r="E3167" s="15" t="str">
        <f>VLOOKUP(A3167, Currency!$A$2:$B$100, 2, FALSE)</f>
        <v>USD</v>
      </c>
      <c r="F3167" s="15">
        <f ca="1">IFERROR(__xludf.DUMMYFUNCTION("IF(E3167=""USD"",B3167,B3167 * GOOGLEFINANCE(""CURRENCY:"" &amp; E3167 &amp; ""USD""))
"),35000000)</f>
        <v>35000000</v>
      </c>
      <c r="G3167" s="16">
        <f ca="1">IFERROR(__xludf.DUMMYFUNCTION("IF(E3167=""USD"",C3167,C3167 * GOOGLEFINANCE(""CURRENCY:"" &amp; E3167 &amp; ""USD""))
"),82300000)</f>
        <v>82300000</v>
      </c>
    </row>
    <row r="3168" spans="1:7" ht="15.75" customHeight="1" x14ac:dyDescent="0.25">
      <c r="A3168" s="11" t="s">
        <v>24</v>
      </c>
      <c r="B3168" s="12">
        <v>17000000</v>
      </c>
      <c r="C3168" s="12">
        <v>64998368</v>
      </c>
      <c r="D3168" s="12">
        <v>2012</v>
      </c>
      <c r="E3168" s="12" t="str">
        <f>VLOOKUP(A3168, Currency!$A$2:$B$100, 2, FALSE)</f>
        <v>USD</v>
      </c>
      <c r="F3168" s="12">
        <f ca="1">IFERROR(__xludf.DUMMYFUNCTION("IF(E3168=""USD"",B3168,B3168 * GOOGLEFINANCE(""CURRENCY:"" &amp; E3168 &amp; ""USD""))
"),17000000)</f>
        <v>17000000</v>
      </c>
      <c r="G3168" s="13">
        <f ca="1">IFERROR(__xludf.DUMMYFUNCTION("IF(E3168=""USD"",C3168,C3168 * GOOGLEFINANCE(""CURRENCY:"" &amp; E3168 &amp; ""USD""))
"),64998368)</f>
        <v>64998368</v>
      </c>
    </row>
    <row r="3169" spans="1:7" ht="15.75" customHeight="1" x14ac:dyDescent="0.25">
      <c r="A3169" s="14" t="s">
        <v>24</v>
      </c>
      <c r="B3169" s="15">
        <v>5000000</v>
      </c>
      <c r="C3169" s="15">
        <v>14343976</v>
      </c>
      <c r="D3169" s="15">
        <v>1989</v>
      </c>
      <c r="E3169" s="15" t="str">
        <f>VLOOKUP(A3169, Currency!$A$2:$B$100, 2, FALSE)</f>
        <v>USD</v>
      </c>
      <c r="F3169" s="15">
        <f ca="1">IFERROR(__xludf.DUMMYFUNCTION("IF(E3169=""USD"",B3169,B3169 * GOOGLEFINANCE(""CURRENCY:"" &amp; E3169 &amp; ""USD""))
"),5000000)</f>
        <v>5000000</v>
      </c>
      <c r="G3169" s="16">
        <f ca="1">IFERROR(__xludf.DUMMYFUNCTION("IF(E3169=""USD"",C3169,C3169 * GOOGLEFINANCE(""CURRENCY:"" &amp; E3169 &amp; ""USD""))
"),14343976)</f>
        <v>14343976</v>
      </c>
    </row>
    <row r="3170" spans="1:7" ht="15.75" customHeight="1" x14ac:dyDescent="0.25">
      <c r="A3170" s="11" t="s">
        <v>2546</v>
      </c>
      <c r="B3170" s="12">
        <v>14000000</v>
      </c>
      <c r="C3170" s="12">
        <v>1000000</v>
      </c>
      <c r="D3170" s="12">
        <v>1978</v>
      </c>
      <c r="E3170" s="12" t="str">
        <f>VLOOKUP(A3170, Currency!$A$2:$B$100, 2, FALSE)</f>
        <v>IRR</v>
      </c>
      <c r="F3170" s="12">
        <f ca="1">IFERROR(__xludf.DUMMYFUNCTION("IF(E3170=""USD"",B3170,B3170 * GOOGLEFINANCE(""CURRENCY:"" &amp; E3170 &amp; ""USD""))
"),332.502072)</f>
        <v>332.502072</v>
      </c>
      <c r="G3170" s="13">
        <f ca="1">IFERROR(__xludf.DUMMYFUNCTION("IF(E3170=""USD"",C3170,C3170 * GOOGLEFINANCE(""CURRENCY:"" &amp; E3170 &amp; ""USD""))
"),23.750148)</f>
        <v>23.750147999999999</v>
      </c>
    </row>
    <row r="3171" spans="1:7" ht="15.75" customHeight="1" x14ac:dyDescent="0.25">
      <c r="A3171" s="14" t="s">
        <v>24</v>
      </c>
      <c r="B3171" s="15">
        <v>3500000</v>
      </c>
      <c r="C3171" s="15">
        <v>9701559</v>
      </c>
      <c r="D3171" s="15">
        <v>2010</v>
      </c>
      <c r="E3171" s="15" t="str">
        <f>VLOOKUP(A3171, Currency!$A$2:$B$100, 2, FALSE)</f>
        <v>USD</v>
      </c>
      <c r="F3171" s="15">
        <f ca="1">IFERROR(__xludf.DUMMYFUNCTION("IF(E3171=""USD"",B3171,B3171 * GOOGLEFINANCE(""CURRENCY:"" &amp; E3171 &amp; ""USD""))
"),3500000)</f>
        <v>3500000</v>
      </c>
      <c r="G3171" s="16">
        <f ca="1">IFERROR(__xludf.DUMMYFUNCTION("IF(E3171=""USD"",C3171,C3171 * GOOGLEFINANCE(""CURRENCY:"" &amp; E3171 &amp; ""USD""))
"),9701559)</f>
        <v>9701559</v>
      </c>
    </row>
    <row r="3172" spans="1:7" ht="15.75" customHeight="1" x14ac:dyDescent="0.25">
      <c r="A3172" s="11" t="s">
        <v>24</v>
      </c>
      <c r="B3172" s="12">
        <v>27000000</v>
      </c>
      <c r="C3172" s="12">
        <v>54200000</v>
      </c>
      <c r="D3172" s="12">
        <v>1980</v>
      </c>
      <c r="E3172" s="12" t="str">
        <f>VLOOKUP(A3172, Currency!$A$2:$B$100, 2, FALSE)</f>
        <v>USD</v>
      </c>
      <c r="F3172" s="12">
        <f ca="1">IFERROR(__xludf.DUMMYFUNCTION("IF(E3172=""USD"",B3172,B3172 * GOOGLEFINANCE(""CURRENCY:"" &amp; E3172 &amp; ""USD""))
"),27000000)</f>
        <v>27000000</v>
      </c>
      <c r="G3172" s="13">
        <f ca="1">IFERROR(__xludf.DUMMYFUNCTION("IF(E3172=""USD"",C3172,C3172 * GOOGLEFINANCE(""CURRENCY:"" &amp; E3172 &amp; ""USD""))
"),54200000)</f>
        <v>54200000</v>
      </c>
    </row>
    <row r="3173" spans="1:7" ht="15.75" customHeight="1" x14ac:dyDescent="0.25">
      <c r="A3173" s="14" t="s">
        <v>24</v>
      </c>
      <c r="B3173" s="15">
        <v>26000000</v>
      </c>
      <c r="C3173" s="15">
        <v>12276810</v>
      </c>
      <c r="D3173" s="15">
        <v>2015</v>
      </c>
      <c r="E3173" s="15" t="str">
        <f>VLOOKUP(A3173, Currency!$A$2:$B$100, 2, FALSE)</f>
        <v>USD</v>
      </c>
      <c r="F3173" s="15">
        <f ca="1">IFERROR(__xludf.DUMMYFUNCTION("IF(E3173=""USD"",B3173,B3173 * GOOGLEFINANCE(""CURRENCY:"" &amp; E3173 &amp; ""USD""))
"),26000000)</f>
        <v>26000000</v>
      </c>
      <c r="G3173" s="16">
        <f ca="1">IFERROR(__xludf.DUMMYFUNCTION("IF(E3173=""USD"",C3173,C3173 * GOOGLEFINANCE(""CURRENCY:"" &amp; E3173 &amp; ""USD""))
"),12276810)</f>
        <v>12276810</v>
      </c>
    </row>
    <row r="3174" spans="1:7" ht="15.75" customHeight="1" x14ac:dyDescent="0.25">
      <c r="A3174" s="11" t="s">
        <v>24</v>
      </c>
      <c r="B3174" s="12">
        <v>37000000</v>
      </c>
      <c r="C3174" s="12">
        <v>6482195</v>
      </c>
      <c r="D3174" s="12">
        <v>1997</v>
      </c>
      <c r="E3174" s="12" t="str">
        <f>VLOOKUP(A3174, Currency!$A$2:$B$100, 2, FALSE)</f>
        <v>USD</v>
      </c>
      <c r="F3174" s="12">
        <f ca="1">IFERROR(__xludf.DUMMYFUNCTION("IF(E3174=""USD"",B3174,B3174 * GOOGLEFINANCE(""CURRENCY:"" &amp; E3174 &amp; ""USD""))
"),37000000)</f>
        <v>37000000</v>
      </c>
      <c r="G3174" s="13">
        <f ca="1">IFERROR(__xludf.DUMMYFUNCTION("IF(E3174=""USD"",C3174,C3174 * GOOGLEFINANCE(""CURRENCY:"" &amp; E3174 &amp; ""USD""))
"),6482195)</f>
        <v>6482195</v>
      </c>
    </row>
    <row r="3175" spans="1:7" ht="15.75" customHeight="1" x14ac:dyDescent="0.25">
      <c r="A3175" s="14" t="s">
        <v>24</v>
      </c>
      <c r="B3175" s="15">
        <v>120000000</v>
      </c>
      <c r="C3175" s="15">
        <v>64736114</v>
      </c>
      <c r="D3175" s="15">
        <v>2002</v>
      </c>
      <c r="E3175" s="15" t="str">
        <f>VLOOKUP(A3175, Currency!$A$2:$B$100, 2, FALSE)</f>
        <v>USD</v>
      </c>
      <c r="F3175" s="15">
        <f ca="1">IFERROR(__xludf.DUMMYFUNCTION("IF(E3175=""USD"",B3175,B3175 * GOOGLEFINANCE(""CURRENCY:"" &amp; E3175 &amp; ""USD""))
"),120000000)</f>
        <v>120000000</v>
      </c>
      <c r="G3175" s="16">
        <f ca="1">IFERROR(__xludf.DUMMYFUNCTION("IF(E3175=""USD"",C3175,C3175 * GOOGLEFINANCE(""CURRENCY:"" &amp; E3175 &amp; ""USD""))
"),64736114)</f>
        <v>64736114</v>
      </c>
    </row>
    <row r="3176" spans="1:7" ht="15.75" customHeight="1" x14ac:dyDescent="0.25">
      <c r="A3176" s="11" t="s">
        <v>24</v>
      </c>
      <c r="B3176" s="12">
        <v>80000000</v>
      </c>
      <c r="C3176" s="12">
        <v>79363785</v>
      </c>
      <c r="D3176" s="12">
        <v>2008</v>
      </c>
      <c r="E3176" s="12" t="str">
        <f>VLOOKUP(A3176, Currency!$A$2:$B$100, 2, FALSE)</f>
        <v>USD</v>
      </c>
      <c r="F3176" s="12">
        <f ca="1">IFERROR(__xludf.DUMMYFUNCTION("IF(E3176=""USD"",B3176,B3176 * GOOGLEFINANCE(""CURRENCY:"" &amp; E3176 &amp; ""USD""))
"),80000000)</f>
        <v>80000000</v>
      </c>
      <c r="G3176" s="13">
        <f ca="1">IFERROR(__xludf.DUMMYFUNCTION("IF(E3176=""USD"",C3176,C3176 * GOOGLEFINANCE(""CURRENCY:"" &amp; E3176 &amp; ""USD""))
"),79363785)</f>
        <v>79363785</v>
      </c>
    </row>
    <row r="3177" spans="1:7" ht="15.75" customHeight="1" x14ac:dyDescent="0.25">
      <c r="A3177" s="14" t="s">
        <v>24</v>
      </c>
      <c r="B3177" s="15">
        <v>15000000</v>
      </c>
      <c r="C3177" s="15">
        <v>35054909</v>
      </c>
      <c r="D3177" s="15">
        <v>2011</v>
      </c>
      <c r="E3177" s="15" t="str">
        <f>VLOOKUP(A3177, Currency!$A$2:$B$100, 2, FALSE)</f>
        <v>USD</v>
      </c>
      <c r="F3177" s="15">
        <f ca="1">IFERROR(__xludf.DUMMYFUNCTION("IF(E3177=""USD"",B3177,B3177 * GOOGLEFINANCE(""CURRENCY:"" &amp; E3177 &amp; ""USD""))
"),15000000)</f>
        <v>15000000</v>
      </c>
      <c r="G3177" s="16">
        <f ca="1">IFERROR(__xludf.DUMMYFUNCTION("IF(E3177=""USD"",C3177,C3177 * GOOGLEFINANCE(""CURRENCY:"" &amp; E3177 &amp; ""USD""))
"),35054909)</f>
        <v>35054909</v>
      </c>
    </row>
    <row r="3178" spans="1:7" ht="15.75" customHeight="1" x14ac:dyDescent="0.25">
      <c r="A3178" s="11" t="s">
        <v>7191</v>
      </c>
      <c r="B3178" s="12">
        <v>84450000</v>
      </c>
      <c r="C3178" s="12">
        <v>617228</v>
      </c>
      <c r="D3178" s="12">
        <v>2006</v>
      </c>
      <c r="E3178" s="12" t="str">
        <f>VLOOKUP(A3178, Currency!$A$2:$B$100, 2, FALSE)</f>
        <v>CZK</v>
      </c>
      <c r="F3178" s="12">
        <f ca="1">IFERROR(__xludf.DUMMYFUNCTION("IF(E3178=""USD"",B3178,B3178 * GOOGLEFINANCE(""CURRENCY:"" &amp; E3178 &amp; ""USD""))
"),3610120.1145)</f>
        <v>3610120.1145000001</v>
      </c>
      <c r="G3178" s="13">
        <f ca="1">IFERROR(__xludf.DUMMYFUNCTION("IF(E3178=""USD"",C3178,C3178 * GOOGLEFINANCE(""CURRENCY:"" &amp; E3178 &amp; ""USD""))
"),26385.6390530799)</f>
        <v>26385.6390530799</v>
      </c>
    </row>
    <row r="3179" spans="1:7" ht="15.75" customHeight="1" x14ac:dyDescent="0.25">
      <c r="A3179" s="14" t="s">
        <v>596</v>
      </c>
      <c r="B3179" s="15">
        <v>17000000</v>
      </c>
      <c r="C3179" s="15">
        <v>1569918</v>
      </c>
      <c r="D3179" s="15">
        <v>2003</v>
      </c>
      <c r="E3179" s="15" t="str">
        <f>VLOOKUP(A3179, Currency!$A$2:$B$100, 2, FALSE)</f>
        <v>EUR</v>
      </c>
      <c r="F3179" s="15">
        <f ca="1">IFERROR(__xludf.DUMMYFUNCTION("IF(E3179=""USD"",B3179,B3179 * GOOGLEFINANCE(""CURRENCY:"" &amp; E3179 &amp; ""USD""))
"),18440580)</f>
        <v>18440580</v>
      </c>
      <c r="G3179" s="16">
        <f ca="1">IFERROR(__xludf.DUMMYFUNCTION("IF(E3179=""USD"",C3179,C3179 * GOOGLEFINANCE(""CURRENCY:"" &amp; E3179 &amp; ""USD""))
"),1702952.85132)</f>
        <v>1702952.8513199999</v>
      </c>
    </row>
    <row r="3180" spans="1:7" ht="15.75" customHeight="1" x14ac:dyDescent="0.25">
      <c r="A3180" s="11" t="s">
        <v>24</v>
      </c>
      <c r="B3180" s="12">
        <v>28000000</v>
      </c>
      <c r="C3180" s="12">
        <v>217350219</v>
      </c>
      <c r="D3180" s="12">
        <v>1992</v>
      </c>
      <c r="E3180" s="12" t="str">
        <f>VLOOKUP(A3180, Currency!$A$2:$B$100, 2, FALSE)</f>
        <v>USD</v>
      </c>
      <c r="F3180" s="12">
        <f ca="1">IFERROR(__xludf.DUMMYFUNCTION("IF(E3180=""USD"",B3180,B3180 * GOOGLEFINANCE(""CURRENCY:"" &amp; E3180 &amp; ""USD""))
"),28000000)</f>
        <v>28000000</v>
      </c>
      <c r="G3180" s="13">
        <f ca="1">IFERROR(__xludf.DUMMYFUNCTION("IF(E3180=""USD"",C3180,C3180 * GOOGLEFINANCE(""CURRENCY:"" &amp; E3180 &amp; ""USD""))
"),217350219)</f>
        <v>217350219</v>
      </c>
    </row>
    <row r="3181" spans="1:7" ht="15.75" customHeight="1" x14ac:dyDescent="0.25">
      <c r="A3181" s="14" t="s">
        <v>24</v>
      </c>
      <c r="B3181" s="15">
        <v>27000000</v>
      </c>
      <c r="C3181" s="15">
        <v>15988876</v>
      </c>
      <c r="D3181" s="15">
        <v>2009</v>
      </c>
      <c r="E3181" s="15" t="str">
        <f>VLOOKUP(A3181, Currency!$A$2:$B$100, 2, FALSE)</f>
        <v>USD</v>
      </c>
      <c r="F3181" s="15">
        <f ca="1">IFERROR(__xludf.DUMMYFUNCTION("IF(E3181=""USD"",B3181,B3181 * GOOGLEFINANCE(""CURRENCY:"" &amp; E3181 &amp; ""USD""))
"),27000000)</f>
        <v>27000000</v>
      </c>
      <c r="G3181" s="16">
        <f ca="1">IFERROR(__xludf.DUMMYFUNCTION("IF(E3181=""USD"",C3181,C3181 * GOOGLEFINANCE(""CURRENCY:"" &amp; E3181 &amp; ""USD""))
"),15988876)</f>
        <v>15988876</v>
      </c>
    </row>
    <row r="3182" spans="1:7" ht="15.75" customHeight="1" x14ac:dyDescent="0.25">
      <c r="A3182" s="11" t="s">
        <v>611</v>
      </c>
      <c r="B3182" s="12">
        <v>15300000</v>
      </c>
      <c r="C3182" s="12">
        <v>81525</v>
      </c>
      <c r="D3182" s="12">
        <v>2001</v>
      </c>
      <c r="E3182" s="12" t="str">
        <f>VLOOKUP(A3182, Currency!$A$2:$B$100, 2, FALSE)</f>
        <v>EUR</v>
      </c>
      <c r="F3182" s="12">
        <f ca="1">IFERROR(__xludf.DUMMYFUNCTION("IF(E3182=""USD"",B3182,B3182 * GOOGLEFINANCE(""CURRENCY:"" &amp; E3182 &amp; ""USD""))
"),16596522)</f>
        <v>16596522</v>
      </c>
      <c r="G3182" s="13">
        <f ca="1">IFERROR(__xludf.DUMMYFUNCTION("IF(E3182=""USD"",C3182,C3182 * GOOGLEFINANCE(""CURRENCY:"" &amp; E3182 &amp; ""USD""))
"),88433.4285)</f>
        <v>88433.428499999995</v>
      </c>
    </row>
    <row r="3183" spans="1:7" ht="15.75" customHeight="1" x14ac:dyDescent="0.25">
      <c r="A3183" s="14" t="s">
        <v>24</v>
      </c>
      <c r="B3183" s="15">
        <v>20000000</v>
      </c>
      <c r="C3183" s="15">
        <v>56362352</v>
      </c>
      <c r="D3183" s="15">
        <v>1990</v>
      </c>
      <c r="E3183" s="15" t="str">
        <f>VLOOKUP(A3183, Currency!$A$2:$B$100, 2, FALSE)</f>
        <v>USD</v>
      </c>
      <c r="F3183" s="15">
        <f ca="1">IFERROR(__xludf.DUMMYFUNCTION("IF(E3183=""USD"",B3183,B3183 * GOOGLEFINANCE(""CURRENCY:"" &amp; E3183 &amp; ""USD""))
"),20000000)</f>
        <v>20000000</v>
      </c>
      <c r="G3183" s="16">
        <f ca="1">IFERROR(__xludf.DUMMYFUNCTION("IF(E3183=""USD"",C3183,C3183 * GOOGLEFINANCE(""CURRENCY:"" &amp; E3183 &amp; ""USD""))
"),56362352)</f>
        <v>56362352</v>
      </c>
    </row>
    <row r="3184" spans="1:7" ht="15.75" customHeight="1" x14ac:dyDescent="0.25">
      <c r="A3184" s="11" t="s">
        <v>24</v>
      </c>
      <c r="B3184" s="12">
        <v>80000000</v>
      </c>
      <c r="C3184" s="12">
        <v>17593391</v>
      </c>
      <c r="D3184" s="12">
        <v>1997</v>
      </c>
      <c r="E3184" s="12" t="str">
        <f>VLOOKUP(A3184, Currency!$A$2:$B$100, 2, FALSE)</f>
        <v>USD</v>
      </c>
      <c r="F3184" s="12">
        <f ca="1">IFERROR(__xludf.DUMMYFUNCTION("IF(E3184=""USD"",B3184,B3184 * GOOGLEFINANCE(""CURRENCY:"" &amp; E3184 &amp; ""USD""))
"),80000000)</f>
        <v>80000000</v>
      </c>
      <c r="G3184" s="13">
        <f ca="1">IFERROR(__xludf.DUMMYFUNCTION("IF(E3184=""USD"",C3184,C3184 * GOOGLEFINANCE(""CURRENCY:"" &amp; E3184 &amp; ""USD""))
"),17593391)</f>
        <v>17593391</v>
      </c>
    </row>
    <row r="3185" spans="1:7" ht="15.75" customHeight="1" x14ac:dyDescent="0.25">
      <c r="A3185" s="14" t="s">
        <v>24</v>
      </c>
      <c r="B3185" s="15">
        <v>13000000</v>
      </c>
      <c r="C3185" s="15">
        <v>5002310</v>
      </c>
      <c r="D3185" s="15">
        <v>2001</v>
      </c>
      <c r="E3185" s="15" t="str">
        <f>VLOOKUP(A3185, Currency!$A$2:$B$100, 2, FALSE)</f>
        <v>USD</v>
      </c>
      <c r="F3185" s="15">
        <f ca="1">IFERROR(__xludf.DUMMYFUNCTION("IF(E3185=""USD"",B3185,B3185 * GOOGLEFINANCE(""CURRENCY:"" &amp; E3185 &amp; ""USD""))
"),13000000)</f>
        <v>13000000</v>
      </c>
      <c r="G3185" s="16">
        <f ca="1">IFERROR(__xludf.DUMMYFUNCTION("IF(E3185=""USD"",C3185,C3185 * GOOGLEFINANCE(""CURRENCY:"" &amp; E3185 &amp; ""USD""))
"),5002310)</f>
        <v>5002310</v>
      </c>
    </row>
    <row r="3186" spans="1:7" ht="15.75" customHeight="1" x14ac:dyDescent="0.25">
      <c r="A3186" s="11" t="s">
        <v>24</v>
      </c>
      <c r="B3186" s="12">
        <v>120000000</v>
      </c>
      <c r="C3186" s="12">
        <v>186336103</v>
      </c>
      <c r="D3186" s="12">
        <v>2005</v>
      </c>
      <c r="E3186" s="12" t="str">
        <f>VLOOKUP(A3186, Currency!$A$2:$B$100, 2, FALSE)</f>
        <v>USD</v>
      </c>
      <c r="F3186" s="12">
        <f ca="1">IFERROR(__xludf.DUMMYFUNCTION("IF(E3186=""USD"",B3186,B3186 * GOOGLEFINANCE(""CURRENCY:"" &amp; E3186 &amp; ""USD""))
"),120000000)</f>
        <v>120000000</v>
      </c>
      <c r="G3186" s="13">
        <f ca="1">IFERROR(__xludf.DUMMYFUNCTION("IF(E3186=""USD"",C3186,C3186 * GOOGLEFINANCE(""CURRENCY:"" &amp; E3186 &amp; ""USD""))
"),186336103)</f>
        <v>186336103</v>
      </c>
    </row>
    <row r="3187" spans="1:7" ht="15.75" customHeight="1" x14ac:dyDescent="0.25">
      <c r="A3187" s="14" t="s">
        <v>149</v>
      </c>
      <c r="B3187" s="15">
        <v>20000000</v>
      </c>
      <c r="C3187" s="15">
        <v>29975979</v>
      </c>
      <c r="D3187" s="15">
        <v>2009</v>
      </c>
      <c r="E3187" s="15" t="str">
        <f>VLOOKUP(A3187, Currency!$A$2:$B$100, 2, FALSE)</f>
        <v>AUD</v>
      </c>
      <c r="F3187" s="15">
        <f ca="1">IFERROR(__xludf.DUMMYFUNCTION("IF(E3187=""USD"",B3187,B3187 * GOOGLEFINANCE(""CURRENCY:"" &amp; E3187 &amp; ""USD""))
"),13077600)</f>
        <v>13077600</v>
      </c>
      <c r="G3187" s="16">
        <f ca="1">IFERROR(__xludf.DUMMYFUNCTION("IF(E3187=""USD"",C3187,C3187 * GOOGLEFINANCE(""CURRENCY:"" &amp; E3187 &amp; ""USD""))
"),19600693.14852)</f>
        <v>19600693.14852</v>
      </c>
    </row>
    <row r="3188" spans="1:7" ht="15.75" customHeight="1" x14ac:dyDescent="0.25">
      <c r="A3188" s="11" t="s">
        <v>176</v>
      </c>
      <c r="B3188" s="12">
        <v>6000000</v>
      </c>
      <c r="C3188" s="12">
        <v>26435</v>
      </c>
      <c r="D3188" s="12">
        <v>1927</v>
      </c>
      <c r="E3188" s="12" t="str">
        <f>VLOOKUP(A3188, Currency!$A$2:$B$100, 2, FALSE)</f>
        <v>EUR</v>
      </c>
      <c r="F3188" s="12">
        <f ca="1">IFERROR(__xludf.DUMMYFUNCTION("IF(E3188=""USD"",B3188,B3188 * GOOGLEFINANCE(""CURRENCY:"" &amp; E3188 &amp; ""USD""))
"),6508440)</f>
        <v>6508440</v>
      </c>
      <c r="G3188" s="13">
        <f ca="1">IFERROR(__xludf.DUMMYFUNCTION("IF(E3188=""USD"",C3188,C3188 * GOOGLEFINANCE(""CURRENCY:"" &amp; E3188 &amp; ""USD""))
"),28675.1019)</f>
        <v>28675.101900000001</v>
      </c>
    </row>
    <row r="3189" spans="1:7" ht="15.75" customHeight="1" x14ac:dyDescent="0.25">
      <c r="A3189" s="14" t="s">
        <v>1111</v>
      </c>
      <c r="B3189" s="15">
        <v>3400000</v>
      </c>
      <c r="C3189" s="15">
        <v>7159147</v>
      </c>
      <c r="D3189" s="15">
        <v>2007</v>
      </c>
      <c r="E3189" s="15" t="str">
        <f>VLOOKUP(A3189, Currency!$A$2:$B$100, 2, FALSE)</f>
        <v>EUR</v>
      </c>
      <c r="F3189" s="15">
        <f ca="1">IFERROR(__xludf.DUMMYFUNCTION("IF(E3189=""USD"",B3189,B3189 * GOOGLEFINANCE(""CURRENCY:"" &amp; E3189 &amp; ""USD""))
"),3688116)</f>
        <v>3688116</v>
      </c>
      <c r="G3189" s="16">
        <f ca="1">IFERROR(__xludf.DUMMYFUNCTION("IF(E3189=""USD"",C3189,C3189 * GOOGLEFINANCE(""CURRENCY:"" &amp; E3189 &amp; ""USD""))
"),7765813.11678)</f>
        <v>7765813.1167799998</v>
      </c>
    </row>
    <row r="3190" spans="1:7" ht="15.75" customHeight="1" x14ac:dyDescent="0.25">
      <c r="A3190" s="11" t="s">
        <v>24</v>
      </c>
      <c r="B3190" s="12">
        <v>125000000</v>
      </c>
      <c r="C3190" s="12">
        <v>186739919</v>
      </c>
      <c r="D3190" s="12">
        <v>2004</v>
      </c>
      <c r="E3190" s="12" t="str">
        <f>VLOOKUP(A3190, Currency!$A$2:$B$100, 2, FALSE)</f>
        <v>USD</v>
      </c>
      <c r="F3190" s="12">
        <f ca="1">IFERROR(__xludf.DUMMYFUNCTION("IF(E3190=""USD"",B3190,B3190 * GOOGLEFINANCE(""CURRENCY:"" &amp; E3190 &amp; ""USD""))
"),125000000)</f>
        <v>125000000</v>
      </c>
      <c r="G3190" s="13">
        <f ca="1">IFERROR(__xludf.DUMMYFUNCTION("IF(E3190=""USD"",C3190,C3190 * GOOGLEFINANCE(""CURRENCY:"" &amp; E3190 &amp; ""USD""))
"),186739919)</f>
        <v>186739919</v>
      </c>
    </row>
    <row r="3191" spans="1:7" ht="15.75" customHeight="1" x14ac:dyDescent="0.25">
      <c r="A3191" s="14" t="s">
        <v>24</v>
      </c>
      <c r="B3191" s="15">
        <v>11000000</v>
      </c>
      <c r="C3191" s="15">
        <v>50461335</v>
      </c>
      <c r="D3191" s="15">
        <v>2014</v>
      </c>
      <c r="E3191" s="15" t="str">
        <f>VLOOKUP(A3191, Currency!$A$2:$B$100, 2, FALSE)</f>
        <v>USD</v>
      </c>
      <c r="F3191" s="15">
        <f ca="1">IFERROR(__xludf.DUMMYFUNCTION("IF(E3191=""USD"",B3191,B3191 * GOOGLEFINANCE(""CURRENCY:"" &amp; E3191 &amp; ""USD""))
"),11000000)</f>
        <v>11000000</v>
      </c>
      <c r="G3191" s="16">
        <f ca="1">IFERROR(__xludf.DUMMYFUNCTION("IF(E3191=""USD"",C3191,C3191 * GOOGLEFINANCE(""CURRENCY:"" &amp; E3191 &amp; ""USD""))
"),50461335)</f>
        <v>50461335</v>
      </c>
    </row>
    <row r="3192" spans="1:7" ht="15.75" customHeight="1" x14ac:dyDescent="0.25">
      <c r="A3192" s="11" t="s">
        <v>160</v>
      </c>
      <c r="B3192" s="12">
        <v>10000000</v>
      </c>
      <c r="C3192" s="12">
        <v>488872</v>
      </c>
      <c r="D3192" s="12">
        <v>2001</v>
      </c>
      <c r="E3192" s="12" t="str">
        <f>VLOOKUP(A3192, Currency!$A$2:$B$100, 2, FALSE)</f>
        <v>HKD</v>
      </c>
      <c r="F3192" s="12">
        <f ca="1">IFERROR(__xludf.DUMMYFUNCTION("IF(E3192=""USD"",B3192,B3192 * GOOGLEFINANCE(""CURRENCY:"" &amp; E3192 &amp; ""USD""))
"),1280943)</f>
        <v>1280943</v>
      </c>
      <c r="G3192" s="13">
        <f ca="1">IFERROR(__xludf.DUMMYFUNCTION("IF(E3192=""USD"",C3192,C3192 * GOOGLEFINANCE(""CURRENCY:"" &amp; E3192 &amp; ""USD""))
"),62621.7166296)</f>
        <v>62621.7166296</v>
      </c>
    </row>
    <row r="3193" spans="1:7" ht="15.75" customHeight="1" x14ac:dyDescent="0.25">
      <c r="A3193" s="14" t="s">
        <v>24</v>
      </c>
      <c r="B3193" s="15">
        <v>175000000</v>
      </c>
      <c r="C3193" s="15">
        <v>150167630</v>
      </c>
      <c r="D3193" s="15">
        <v>2009</v>
      </c>
      <c r="E3193" s="15" t="str">
        <f>VLOOKUP(A3193, Currency!$A$2:$B$100, 2, FALSE)</f>
        <v>USD</v>
      </c>
      <c r="F3193" s="15">
        <f ca="1">IFERROR(__xludf.DUMMYFUNCTION("IF(E3193=""USD"",B3193,B3193 * GOOGLEFINANCE(""CURRENCY:"" &amp; E3193 &amp; ""USD""))
"),175000000)</f>
        <v>175000000</v>
      </c>
      <c r="G3193" s="16">
        <f ca="1">IFERROR(__xludf.DUMMYFUNCTION("IF(E3193=""USD"",C3193,C3193 * GOOGLEFINANCE(""CURRENCY:"" &amp; E3193 &amp; ""USD""))
"),150167630)</f>
        <v>150167630</v>
      </c>
    </row>
    <row r="3194" spans="1:7" ht="15.75" customHeight="1" x14ac:dyDescent="0.25">
      <c r="A3194" s="11" t="s">
        <v>24</v>
      </c>
      <c r="B3194" s="12">
        <v>16500000</v>
      </c>
      <c r="C3194" s="12">
        <v>11702090</v>
      </c>
      <c r="D3194" s="12">
        <v>2007</v>
      </c>
      <c r="E3194" s="12" t="str">
        <f>VLOOKUP(A3194, Currency!$A$2:$B$100, 2, FALSE)</f>
        <v>USD</v>
      </c>
      <c r="F3194" s="12">
        <f ca="1">IFERROR(__xludf.DUMMYFUNCTION("IF(E3194=""USD"",B3194,B3194 * GOOGLEFINANCE(""CURRENCY:"" &amp; E3194 &amp; ""USD""))
"),16500000)</f>
        <v>16500000</v>
      </c>
      <c r="G3194" s="13">
        <f ca="1">IFERROR(__xludf.DUMMYFUNCTION("IF(E3194=""USD"",C3194,C3194 * GOOGLEFINANCE(""CURRENCY:"" &amp; E3194 &amp; ""USD""))
"),11702090)</f>
        <v>11702090</v>
      </c>
    </row>
    <row r="3195" spans="1:7" ht="15.75" customHeight="1" x14ac:dyDescent="0.25">
      <c r="A3195" s="14" t="s">
        <v>24</v>
      </c>
      <c r="B3195" s="15">
        <v>4000000</v>
      </c>
      <c r="C3195" s="15">
        <v>12836</v>
      </c>
      <c r="D3195" s="15">
        <v>1997</v>
      </c>
      <c r="E3195" s="15" t="str">
        <f>VLOOKUP(A3195, Currency!$A$2:$B$100, 2, FALSE)</f>
        <v>USD</v>
      </c>
      <c r="F3195" s="15">
        <f ca="1">IFERROR(__xludf.DUMMYFUNCTION("IF(E3195=""USD"",B3195,B3195 * GOOGLEFINANCE(""CURRENCY:"" &amp; E3195 &amp; ""USD""))
"),4000000)</f>
        <v>4000000</v>
      </c>
      <c r="G3195" s="16">
        <f ca="1">IFERROR(__xludf.DUMMYFUNCTION("IF(E3195=""USD"",C3195,C3195 * GOOGLEFINANCE(""CURRENCY:"" &amp; E3195 &amp; ""USD""))
"),12836)</f>
        <v>12836</v>
      </c>
    </row>
    <row r="3196" spans="1:7" ht="15.75" customHeight="1" x14ac:dyDescent="0.25">
      <c r="A3196" s="11" t="s">
        <v>2546</v>
      </c>
      <c r="B3196" s="12">
        <v>500000</v>
      </c>
      <c r="C3196" s="12">
        <v>7098492</v>
      </c>
      <c r="D3196" s="12">
        <v>2011</v>
      </c>
      <c r="E3196" s="12" t="str">
        <f>VLOOKUP(A3196, Currency!$A$2:$B$100, 2, FALSE)</f>
        <v>IRR</v>
      </c>
      <c r="F3196" s="12">
        <f ca="1">IFERROR(__xludf.DUMMYFUNCTION("IF(E3196=""USD"",B3196,B3196 * GOOGLEFINANCE(""CURRENCY:"" &amp; E3196 &amp; ""USD""))
"),11.875074)</f>
        <v>11.875074</v>
      </c>
      <c r="G3196" s="13">
        <f ca="1">IFERROR(__xludf.DUMMYFUNCTION("IF(E3196=""USD"",C3196,C3196 * GOOGLEFINANCE(""CURRENCY:"" &amp; E3196 &amp; ""USD""))
"),168.590235576815)</f>
        <v>168.59023557681499</v>
      </c>
    </row>
    <row r="3197" spans="1:7" ht="15.75" customHeight="1" x14ac:dyDescent="0.25">
      <c r="A3197" s="14" t="s">
        <v>24</v>
      </c>
      <c r="B3197" s="15">
        <v>20000000</v>
      </c>
      <c r="C3197" s="15">
        <v>36658108</v>
      </c>
      <c r="D3197" s="15">
        <v>2010</v>
      </c>
      <c r="E3197" s="15" t="str">
        <f>VLOOKUP(A3197, Currency!$A$2:$B$100, 2, FALSE)</f>
        <v>USD</v>
      </c>
      <c r="F3197" s="15">
        <f ca="1">IFERROR(__xludf.DUMMYFUNCTION("IF(E3197=""USD"",B3197,B3197 * GOOGLEFINANCE(""CURRENCY:"" &amp; E3197 &amp; ""USD""))
"),20000000)</f>
        <v>20000000</v>
      </c>
      <c r="G3197" s="16">
        <f ca="1">IFERROR(__xludf.DUMMYFUNCTION("IF(E3197=""USD"",C3197,C3197 * GOOGLEFINANCE(""CURRENCY:"" &amp; E3197 &amp; ""USD""))
"),36658108)</f>
        <v>36658108</v>
      </c>
    </row>
    <row r="3198" spans="1:7" ht="15.75" customHeight="1" x14ac:dyDescent="0.25">
      <c r="A3198" s="11" t="s">
        <v>24</v>
      </c>
      <c r="B3198" s="12">
        <v>750000</v>
      </c>
      <c r="C3198" s="12">
        <v>5518918</v>
      </c>
      <c r="D3198" s="12">
        <v>2007</v>
      </c>
      <c r="E3198" s="12" t="str">
        <f>VLOOKUP(A3198, Currency!$A$2:$B$100, 2, FALSE)</f>
        <v>USD</v>
      </c>
      <c r="F3198" s="12">
        <f ca="1">IFERROR(__xludf.DUMMYFUNCTION("IF(E3198=""USD"",B3198,B3198 * GOOGLEFINANCE(""CURRENCY:"" &amp; E3198 &amp; ""USD""))
"),750000)</f>
        <v>750000</v>
      </c>
      <c r="G3198" s="13">
        <f ca="1">IFERROR(__xludf.DUMMYFUNCTION("IF(E3198=""USD"",C3198,C3198 * GOOGLEFINANCE(""CURRENCY:"" &amp; E3198 &amp; ""USD""))
"),5518918)</f>
        <v>5518918</v>
      </c>
    </row>
    <row r="3199" spans="1:7" ht="15.75" customHeight="1" x14ac:dyDescent="0.25">
      <c r="A3199" s="14" t="s">
        <v>24</v>
      </c>
      <c r="B3199" s="15">
        <v>175000000</v>
      </c>
      <c r="C3199" s="15">
        <v>198332128</v>
      </c>
      <c r="D3199" s="15">
        <v>2009</v>
      </c>
      <c r="E3199" s="15" t="str">
        <f>VLOOKUP(A3199, Currency!$A$2:$B$100, 2, FALSE)</f>
        <v>USD</v>
      </c>
      <c r="F3199" s="15">
        <f ca="1">IFERROR(__xludf.DUMMYFUNCTION("IF(E3199=""USD"",B3199,B3199 * GOOGLEFINANCE(""CURRENCY:"" &amp; E3199 &amp; ""USD""))
"),175000000)</f>
        <v>175000000</v>
      </c>
      <c r="G3199" s="16">
        <f ca="1">IFERROR(__xludf.DUMMYFUNCTION("IF(E3199=""USD"",C3199,C3199 * GOOGLEFINANCE(""CURRENCY:"" &amp; E3199 &amp; ""USD""))
"),198332128)</f>
        <v>198332128</v>
      </c>
    </row>
    <row r="3200" spans="1:7" ht="15.75" customHeight="1" x14ac:dyDescent="0.25">
      <c r="A3200" s="11" t="s">
        <v>24</v>
      </c>
      <c r="B3200" s="12">
        <v>20000000</v>
      </c>
      <c r="C3200" s="12">
        <v>8054280</v>
      </c>
      <c r="D3200" s="12">
        <v>2004</v>
      </c>
      <c r="E3200" s="12" t="str">
        <f>VLOOKUP(A3200, Currency!$A$2:$B$100, 2, FALSE)</f>
        <v>USD</v>
      </c>
      <c r="F3200" s="12">
        <f ca="1">IFERROR(__xludf.DUMMYFUNCTION("IF(E3200=""USD"",B3200,B3200 * GOOGLEFINANCE(""CURRENCY:"" &amp; E3200 &amp; ""USD""))
"),20000000)</f>
        <v>20000000</v>
      </c>
      <c r="G3200" s="13">
        <f ca="1">IFERROR(__xludf.DUMMYFUNCTION("IF(E3200=""USD"",C3200,C3200 * GOOGLEFINANCE(""CURRENCY:"" &amp; E3200 &amp; ""USD""))
"),8054280)</f>
        <v>8054280</v>
      </c>
    </row>
    <row r="3201" spans="1:7" ht="15.75" customHeight="1" x14ac:dyDescent="0.25">
      <c r="A3201" s="14" t="s">
        <v>24</v>
      </c>
      <c r="B3201" s="15">
        <v>11000000</v>
      </c>
      <c r="C3201" s="15">
        <v>32131483</v>
      </c>
      <c r="D3201" s="15">
        <v>2003</v>
      </c>
      <c r="E3201" s="15" t="str">
        <f>VLOOKUP(A3201, Currency!$A$2:$B$100, 2, FALSE)</f>
        <v>USD</v>
      </c>
      <c r="F3201" s="15">
        <f ca="1">IFERROR(__xludf.DUMMYFUNCTION("IF(E3201=""USD"",B3201,B3201 * GOOGLEFINANCE(""CURRENCY:"" &amp; E3201 &amp; ""USD""))
"),11000000)</f>
        <v>11000000</v>
      </c>
      <c r="G3201" s="16">
        <f ca="1">IFERROR(__xludf.DUMMYFUNCTION("IF(E3201=""USD"",C3201,C3201 * GOOGLEFINANCE(""CURRENCY:"" &amp; E3201 &amp; ""USD""))
"),32131483)</f>
        <v>32131483</v>
      </c>
    </row>
    <row r="3202" spans="1:7" ht="15.75" customHeight="1" x14ac:dyDescent="0.25">
      <c r="A3202" s="11" t="s">
        <v>627</v>
      </c>
      <c r="B3202" s="12">
        <v>7500000</v>
      </c>
      <c r="C3202" s="12">
        <v>4239767</v>
      </c>
      <c r="D3202" s="12">
        <v>2002</v>
      </c>
      <c r="E3202" s="12" t="str">
        <f>VLOOKUP(A3202, Currency!$A$2:$B$100, 2, FALSE)</f>
        <v>CAD</v>
      </c>
      <c r="F3202" s="12">
        <f ca="1">IFERROR(__xludf.DUMMYFUNCTION("IF(E3202=""USD"",B3202,B3202 * GOOGLEFINANCE(""CURRENCY:"" &amp; E3202 &amp; ""USD""))
"),5425537.5)</f>
        <v>5425537.5</v>
      </c>
      <c r="G3202" s="13">
        <f ca="1">IFERROR(__xludf.DUMMYFUNCTION("IF(E3202=""USD"",C3202,C3202 * GOOGLEFINANCE(""CURRENCY:"" &amp; E3202 &amp; ""USD""))
"),3067068.64663499)</f>
        <v>3067068.6466349899</v>
      </c>
    </row>
    <row r="3203" spans="1:7" ht="15.75" customHeight="1" x14ac:dyDescent="0.25">
      <c r="A3203" s="14" t="s">
        <v>133</v>
      </c>
      <c r="B3203" s="15">
        <v>15000000</v>
      </c>
      <c r="C3203" s="15">
        <v>2412045</v>
      </c>
      <c r="D3203" s="15">
        <v>2010</v>
      </c>
      <c r="E3203" s="15" t="str">
        <f>VLOOKUP(A3203, Currency!$A$2:$B$100, 2, FALSE)</f>
        <v>GBP</v>
      </c>
      <c r="F3203" s="15">
        <f ca="1">IFERROR(__xludf.DUMMYFUNCTION("IF(E3203=""USD"",B3203,B3203 * GOOGLEFINANCE(""CURRENCY:"" &amp; E3203 &amp; ""USD""))
"),19281000)</f>
        <v>19281000</v>
      </c>
      <c r="G3203" s="16">
        <f ca="1">IFERROR(__xludf.DUMMYFUNCTION("IF(E3203=""USD"",C3203,C3203 * GOOGLEFINANCE(""CURRENCY:"" &amp; E3203 &amp; ""USD""))
"),3100442.64299999)</f>
        <v>3100442.6429999899</v>
      </c>
    </row>
    <row r="3204" spans="1:7" ht="15.75" customHeight="1" x14ac:dyDescent="0.25">
      <c r="A3204" s="11" t="s">
        <v>24</v>
      </c>
      <c r="B3204" s="12">
        <v>60000000</v>
      </c>
      <c r="C3204" s="12">
        <v>80281096</v>
      </c>
      <c r="D3204" s="12">
        <v>2004</v>
      </c>
      <c r="E3204" s="12" t="str">
        <f>VLOOKUP(A3204, Currency!$A$2:$B$100, 2, FALSE)</f>
        <v>USD</v>
      </c>
      <c r="F3204" s="12">
        <f ca="1">IFERROR(__xludf.DUMMYFUNCTION("IF(E3204=""USD"",B3204,B3204 * GOOGLEFINANCE(""CURRENCY:"" &amp; E3204 &amp; ""USD""))
"),60000000)</f>
        <v>60000000</v>
      </c>
      <c r="G3204" s="13">
        <f ca="1">IFERROR(__xludf.DUMMYFUNCTION("IF(E3204=""USD"",C3204,C3204 * GOOGLEFINANCE(""CURRENCY:"" &amp; E3204 &amp; ""USD""))
"),80281096)</f>
        <v>80281096</v>
      </c>
    </row>
    <row r="3205" spans="1:7" ht="15.75" customHeight="1" x14ac:dyDescent="0.25">
      <c r="A3205" s="14" t="s">
        <v>133</v>
      </c>
      <c r="B3205" s="15">
        <v>8500000</v>
      </c>
      <c r="C3205" s="15">
        <v>4440055</v>
      </c>
      <c r="D3205" s="15">
        <v>2009</v>
      </c>
      <c r="E3205" s="15" t="str">
        <f>VLOOKUP(A3205, Currency!$A$2:$B$100, 2, FALSE)</f>
        <v>GBP</v>
      </c>
      <c r="F3205" s="15">
        <f ca="1">IFERROR(__xludf.DUMMYFUNCTION("IF(E3205=""USD"",B3205,B3205 * GOOGLEFINANCE(""CURRENCY:"" &amp; E3205 &amp; ""USD""))
"),10925899.9999999)</f>
        <v>10925899.999999899</v>
      </c>
      <c r="G3205" s="16">
        <f ca="1">IFERROR(__xludf.DUMMYFUNCTION("IF(E3205=""USD"",C3205,C3205 * GOOGLEFINANCE(""CURRENCY:"" &amp; E3205 &amp; ""USD""))
"),5707246.697)</f>
        <v>5707246.6969999997</v>
      </c>
    </row>
    <row r="3206" spans="1:7" ht="15.75" customHeight="1" x14ac:dyDescent="0.25">
      <c r="A3206" s="11" t="s">
        <v>24</v>
      </c>
      <c r="B3206" s="12">
        <v>43000000</v>
      </c>
      <c r="C3206" s="12">
        <v>37035515</v>
      </c>
      <c r="D3206" s="12">
        <v>2000</v>
      </c>
      <c r="E3206" s="12" t="str">
        <f>VLOOKUP(A3206, Currency!$A$2:$B$100, 2, FALSE)</f>
        <v>USD</v>
      </c>
      <c r="F3206" s="12">
        <f ca="1">IFERROR(__xludf.DUMMYFUNCTION("IF(E3206=""USD"",B3206,B3206 * GOOGLEFINANCE(""CURRENCY:"" &amp; E3206 &amp; ""USD""))
"),43000000)</f>
        <v>43000000</v>
      </c>
      <c r="G3206" s="13">
        <f ca="1">IFERROR(__xludf.DUMMYFUNCTION("IF(E3206=""USD"",C3206,C3206 * GOOGLEFINANCE(""CURRENCY:"" &amp; E3206 &amp; ""USD""))
"),37035515)</f>
        <v>37035515</v>
      </c>
    </row>
    <row r="3207" spans="1:7" ht="15.75" customHeight="1" x14ac:dyDescent="0.25">
      <c r="A3207" s="14" t="s">
        <v>24</v>
      </c>
      <c r="B3207" s="15">
        <v>16000000</v>
      </c>
      <c r="C3207" s="15">
        <v>16204793</v>
      </c>
      <c r="D3207" s="15">
        <v>2009</v>
      </c>
      <c r="E3207" s="15" t="str">
        <f>VLOOKUP(A3207, Currency!$A$2:$B$100, 2, FALSE)</f>
        <v>USD</v>
      </c>
      <c r="F3207" s="15">
        <f ca="1">IFERROR(__xludf.DUMMYFUNCTION("IF(E3207=""USD"",B3207,B3207 * GOOGLEFINANCE(""CURRENCY:"" &amp; E3207 &amp; ""USD""))
"),16000000)</f>
        <v>16000000</v>
      </c>
      <c r="G3207" s="16">
        <f ca="1">IFERROR(__xludf.DUMMYFUNCTION("IF(E3207=""USD"",C3207,C3207 * GOOGLEFINANCE(""CURRENCY:"" &amp; E3207 &amp; ""USD""))
"),16204793)</f>
        <v>16204793</v>
      </c>
    </row>
    <row r="3208" spans="1:7" ht="15.75" customHeight="1" x14ac:dyDescent="0.25">
      <c r="A3208" s="11" t="s">
        <v>24</v>
      </c>
      <c r="B3208" s="12">
        <v>84000000</v>
      </c>
      <c r="C3208" s="12">
        <v>153288182</v>
      </c>
      <c r="D3208" s="12">
        <v>2002</v>
      </c>
      <c r="E3208" s="12" t="str">
        <f>VLOOKUP(A3208, Currency!$A$2:$B$100, 2, FALSE)</f>
        <v>USD</v>
      </c>
      <c r="F3208" s="12">
        <f ca="1">IFERROR(__xludf.DUMMYFUNCTION("IF(E3208=""USD"",B3208,B3208 * GOOGLEFINANCE(""CURRENCY:"" &amp; E3208 &amp; ""USD""))
"),84000000)</f>
        <v>84000000</v>
      </c>
      <c r="G3208" s="13">
        <f ca="1">IFERROR(__xludf.DUMMYFUNCTION("IF(E3208=""USD"",C3208,C3208 * GOOGLEFINANCE(""CURRENCY:"" &amp; E3208 &amp; ""USD""))
"),153288182)</f>
        <v>153288182</v>
      </c>
    </row>
    <row r="3209" spans="1:7" ht="15.75" customHeight="1" x14ac:dyDescent="0.25">
      <c r="A3209" s="14" t="s">
        <v>627</v>
      </c>
      <c r="B3209" s="15">
        <v>42000000</v>
      </c>
      <c r="C3209" s="15">
        <v>64238770</v>
      </c>
      <c r="D3209" s="15">
        <v>2014</v>
      </c>
      <c r="E3209" s="15" t="str">
        <f>VLOOKUP(A3209, Currency!$A$2:$B$100, 2, FALSE)</f>
        <v>CAD</v>
      </c>
      <c r="F3209" s="15">
        <f ca="1">IFERROR(__xludf.DUMMYFUNCTION("IF(E3209=""USD"",B3209,B3209 * GOOGLEFINANCE(""CURRENCY:"" &amp; E3209 &amp; ""USD""))
"),30383010)</f>
        <v>30383010</v>
      </c>
      <c r="G3209" s="16">
        <f ca="1">IFERROR(__xludf.DUMMYFUNCTION("IF(E3209=""USD"",C3209,C3209 * GOOGLEFINANCE(""CURRENCY:"" &amp; E3209 &amp; ""USD""))
"),46470647.41185)</f>
        <v>46470647.411849998</v>
      </c>
    </row>
    <row r="3210" spans="1:7" ht="15.75" customHeight="1" x14ac:dyDescent="0.25">
      <c r="A3210" s="11" t="s">
        <v>1491</v>
      </c>
      <c r="B3210" s="12">
        <v>12215500000</v>
      </c>
      <c r="C3210" s="12">
        <v>2201412</v>
      </c>
      <c r="D3210" s="12">
        <v>2006</v>
      </c>
      <c r="E3210" s="12" t="str">
        <f>VLOOKUP(A3210, Currency!$A$2:$B$100, 2, FALSE)</f>
        <v>KRW</v>
      </c>
      <c r="F3210" s="12">
        <f ca="1">IFERROR(__xludf.DUMMYFUNCTION("IF(E3210=""USD"",B3210,B3210 * GOOGLEFINANCE(""CURRENCY:"" &amp; E3210 &amp; ""USD""))
"),8842397.3385)</f>
        <v>8842397.3385000005</v>
      </c>
      <c r="G3210" s="13">
        <f ca="1">IFERROR(__xludf.DUMMYFUNCTION("IF(E3210=""USD"",C3210,C3210 * GOOGLEFINANCE(""CURRENCY:"" &amp; E3210 &amp; ""USD""))
"),1593.529500204)</f>
        <v>1593.529500204</v>
      </c>
    </row>
    <row r="3211" spans="1:7" ht="15.75" customHeight="1" x14ac:dyDescent="0.25">
      <c r="A3211" s="14" t="s">
        <v>24</v>
      </c>
      <c r="B3211" s="15">
        <v>150000000</v>
      </c>
      <c r="C3211" s="15">
        <v>61937495</v>
      </c>
      <c r="D3211" s="15">
        <v>2010</v>
      </c>
      <c r="E3211" s="15" t="str">
        <f>VLOOKUP(A3211, Currency!$A$2:$B$100, 2, FALSE)</f>
        <v>USD</v>
      </c>
      <c r="F3211" s="15">
        <f ca="1">IFERROR(__xludf.DUMMYFUNCTION("IF(E3211=""USD"",B3211,B3211 * GOOGLEFINANCE(""CURRENCY:"" &amp; E3211 &amp; ""USD""))
"),150000000)</f>
        <v>150000000</v>
      </c>
      <c r="G3211" s="16">
        <f ca="1">IFERROR(__xludf.DUMMYFUNCTION("IF(E3211=""USD"",C3211,C3211 * GOOGLEFINANCE(""CURRENCY:"" &amp; E3211 &amp; ""USD""))
"),61937495)</f>
        <v>61937495</v>
      </c>
    </row>
    <row r="3212" spans="1:7" ht="15.75" customHeight="1" x14ac:dyDescent="0.25">
      <c r="A3212" s="11" t="s">
        <v>24</v>
      </c>
      <c r="B3212" s="12">
        <v>120000000</v>
      </c>
      <c r="C3212" s="12">
        <v>244052771</v>
      </c>
      <c r="D3212" s="12">
        <v>2006</v>
      </c>
      <c r="E3212" s="12" t="str">
        <f>VLOOKUP(A3212, Currency!$A$2:$B$100, 2, FALSE)</f>
        <v>USD</v>
      </c>
      <c r="F3212" s="12">
        <f ca="1">IFERROR(__xludf.DUMMYFUNCTION("IF(E3212=""USD"",B3212,B3212 * GOOGLEFINANCE(""CURRENCY:"" &amp; E3212 &amp; ""USD""))
"),120000000)</f>
        <v>120000000</v>
      </c>
      <c r="G3212" s="13">
        <f ca="1">IFERROR(__xludf.DUMMYFUNCTION("IF(E3212=""USD"",C3212,C3212 * GOOGLEFINANCE(""CURRENCY:"" &amp; E3212 &amp; ""USD""))
"),244052771)</f>
        <v>244052771</v>
      </c>
    </row>
    <row r="3213" spans="1:7" ht="15.75" customHeight="1" x14ac:dyDescent="0.25">
      <c r="A3213" s="14" t="s">
        <v>24</v>
      </c>
      <c r="B3213" s="15">
        <v>54000000</v>
      </c>
      <c r="C3213" s="15">
        <v>81645152</v>
      </c>
      <c r="D3213" s="15">
        <v>2002</v>
      </c>
      <c r="E3213" s="15" t="str">
        <f>VLOOKUP(A3213, Currency!$A$2:$B$100, 2, FALSE)</f>
        <v>USD</v>
      </c>
      <c r="F3213" s="15">
        <f ca="1">IFERROR(__xludf.DUMMYFUNCTION("IF(E3213=""USD"",B3213,B3213 * GOOGLEFINANCE(""CURRENCY:"" &amp; E3213 &amp; ""USD""))
"),54000000)</f>
        <v>54000000</v>
      </c>
      <c r="G3213" s="16">
        <f ca="1">IFERROR(__xludf.DUMMYFUNCTION("IF(E3213=""USD"",C3213,C3213 * GOOGLEFINANCE(""CURRENCY:"" &amp; E3213 &amp; ""USD""))
"),81645152)</f>
        <v>81645152</v>
      </c>
    </row>
    <row r="3214" spans="1:7" ht="15.75" customHeight="1" x14ac:dyDescent="0.25">
      <c r="A3214" s="11" t="s">
        <v>24</v>
      </c>
      <c r="B3214" s="12">
        <v>8000000</v>
      </c>
      <c r="C3214" s="12">
        <v>36500000</v>
      </c>
      <c r="D3214" s="12">
        <v>1979</v>
      </c>
      <c r="E3214" s="12" t="str">
        <f>VLOOKUP(A3214, Currency!$A$2:$B$100, 2, FALSE)</f>
        <v>USD</v>
      </c>
      <c r="F3214" s="12">
        <f ca="1">IFERROR(__xludf.DUMMYFUNCTION("IF(E3214=""USD"",B3214,B3214 * GOOGLEFINANCE(""CURRENCY:"" &amp; E3214 &amp; ""USD""))
"),8000000)</f>
        <v>8000000</v>
      </c>
      <c r="G3214" s="13">
        <f ca="1">IFERROR(__xludf.DUMMYFUNCTION("IF(E3214=""USD"",C3214,C3214 * GOOGLEFINANCE(""CURRENCY:"" &amp; E3214 &amp; ""USD""))
"),36500000)</f>
        <v>36500000</v>
      </c>
    </row>
    <row r="3215" spans="1:7" ht="15.75" customHeight="1" x14ac:dyDescent="0.25">
      <c r="A3215" s="14" t="s">
        <v>24</v>
      </c>
      <c r="B3215" s="15">
        <v>130000000</v>
      </c>
      <c r="C3215" s="15">
        <v>148337537</v>
      </c>
      <c r="D3215" s="15">
        <v>2010</v>
      </c>
      <c r="E3215" s="15" t="str">
        <f>VLOOKUP(A3215, Currency!$A$2:$B$100, 2, FALSE)</f>
        <v>USD</v>
      </c>
      <c r="F3215" s="15">
        <f ca="1">IFERROR(__xludf.DUMMYFUNCTION("IF(E3215=""USD"",B3215,B3215 * GOOGLEFINANCE(""CURRENCY:"" &amp; E3215 &amp; ""USD""))
"),130000000)</f>
        <v>130000000</v>
      </c>
      <c r="G3215" s="16">
        <f ca="1">IFERROR(__xludf.DUMMYFUNCTION("IF(E3215=""USD"",C3215,C3215 * GOOGLEFINANCE(""CURRENCY:"" &amp; E3215 &amp; ""USD""))
"),148337537)</f>
        <v>148337537</v>
      </c>
    </row>
    <row r="3216" spans="1:7" ht="15.75" customHeight="1" x14ac:dyDescent="0.25">
      <c r="A3216" s="11" t="s">
        <v>24</v>
      </c>
      <c r="B3216" s="12">
        <v>25000000</v>
      </c>
      <c r="C3216" s="12">
        <v>33631221</v>
      </c>
      <c r="D3216" s="12">
        <v>2014</v>
      </c>
      <c r="E3216" s="12" t="str">
        <f>VLOOKUP(A3216, Currency!$A$2:$B$100, 2, FALSE)</f>
        <v>USD</v>
      </c>
      <c r="F3216" s="12">
        <f ca="1">IFERROR(__xludf.DUMMYFUNCTION("IF(E3216=""USD"",B3216,B3216 * GOOGLEFINANCE(""CURRENCY:"" &amp; E3216 &amp; ""USD""))
"),25000000)</f>
        <v>25000000</v>
      </c>
      <c r="G3216" s="13">
        <f ca="1">IFERROR(__xludf.DUMMYFUNCTION("IF(E3216=""USD"",C3216,C3216 * GOOGLEFINANCE(""CURRENCY:"" &amp; E3216 &amp; ""USD""))
"),33631221)</f>
        <v>33631221</v>
      </c>
    </row>
    <row r="3217" spans="1:7" ht="15.75" customHeight="1" x14ac:dyDescent="0.25">
      <c r="A3217" s="14" t="s">
        <v>24</v>
      </c>
      <c r="B3217" s="15">
        <v>100000</v>
      </c>
      <c r="C3217" s="15">
        <v>22757819</v>
      </c>
      <c r="D3217" s="15">
        <v>2015</v>
      </c>
      <c r="E3217" s="15" t="str">
        <f>VLOOKUP(A3217, Currency!$A$2:$B$100, 2, FALSE)</f>
        <v>USD</v>
      </c>
      <c r="F3217" s="15">
        <f ca="1">IFERROR(__xludf.DUMMYFUNCTION("IF(E3217=""USD"",B3217,B3217 * GOOGLEFINANCE(""CURRENCY:"" &amp; E3217 &amp; ""USD""))
"),100000)</f>
        <v>100000</v>
      </c>
      <c r="G3217" s="16">
        <f ca="1">IFERROR(__xludf.DUMMYFUNCTION("IF(E3217=""USD"",C3217,C3217 * GOOGLEFINANCE(""CURRENCY:"" &amp; E3217 &amp; ""USD""))
"),22757819)</f>
        <v>22757819</v>
      </c>
    </row>
    <row r="3218" spans="1:7" ht="15.75" customHeight="1" x14ac:dyDescent="0.25">
      <c r="A3218" s="11" t="s">
        <v>24</v>
      </c>
      <c r="B3218" s="12">
        <v>37000000</v>
      </c>
      <c r="C3218" s="12">
        <v>48006503</v>
      </c>
      <c r="D3218" s="12">
        <v>2008</v>
      </c>
      <c r="E3218" s="12" t="str">
        <f>VLOOKUP(A3218, Currency!$A$2:$B$100, 2, FALSE)</f>
        <v>USD</v>
      </c>
      <c r="F3218" s="12">
        <f ca="1">IFERROR(__xludf.DUMMYFUNCTION("IF(E3218=""USD"",B3218,B3218 * GOOGLEFINANCE(""CURRENCY:"" &amp; E3218 &amp; ""USD""))
"),37000000)</f>
        <v>37000000</v>
      </c>
      <c r="G3218" s="13">
        <f ca="1">IFERROR(__xludf.DUMMYFUNCTION("IF(E3218=""USD"",C3218,C3218 * GOOGLEFINANCE(""CURRENCY:"" &amp; E3218 &amp; ""USD""))
"),48006503)</f>
        <v>48006503</v>
      </c>
    </row>
    <row r="3219" spans="1:7" ht="15.75" customHeight="1" x14ac:dyDescent="0.25">
      <c r="A3219" s="14" t="s">
        <v>24</v>
      </c>
      <c r="B3219" s="15">
        <v>2500000</v>
      </c>
      <c r="C3219" s="15">
        <v>5400000</v>
      </c>
      <c r="D3219" s="15">
        <v>1995</v>
      </c>
      <c r="E3219" s="15" t="str">
        <f>VLOOKUP(A3219, Currency!$A$2:$B$100, 2, FALSE)</f>
        <v>USD</v>
      </c>
      <c r="F3219" s="15">
        <f ca="1">IFERROR(__xludf.DUMMYFUNCTION("IF(E3219=""USD"",B3219,B3219 * GOOGLEFINANCE(""CURRENCY:"" &amp; E3219 &amp; ""USD""))
"),2500000)</f>
        <v>2500000</v>
      </c>
      <c r="G3219" s="16">
        <f ca="1">IFERROR(__xludf.DUMMYFUNCTION("IF(E3219=""USD"",C3219,C3219 * GOOGLEFINANCE(""CURRENCY:"" &amp; E3219 &amp; ""USD""))
"),5400000)</f>
        <v>5400000</v>
      </c>
    </row>
    <row r="3220" spans="1:7" ht="15.75" customHeight="1" x14ac:dyDescent="0.25">
      <c r="A3220" s="11" t="s">
        <v>24</v>
      </c>
      <c r="B3220" s="12">
        <v>50000000</v>
      </c>
      <c r="C3220" s="12">
        <v>135014968</v>
      </c>
      <c r="D3220" s="12">
        <v>1998</v>
      </c>
      <c r="E3220" s="12" t="str">
        <f>VLOOKUP(A3220, Currency!$A$2:$B$100, 2, FALSE)</f>
        <v>USD</v>
      </c>
      <c r="F3220" s="12">
        <f ca="1">IFERROR(__xludf.DUMMYFUNCTION("IF(E3220=""USD"",B3220,B3220 * GOOGLEFINANCE(""CURRENCY:"" &amp; E3220 &amp; ""USD""))
"),50000000)</f>
        <v>50000000</v>
      </c>
      <c r="G3220" s="13">
        <f ca="1">IFERROR(__xludf.DUMMYFUNCTION("IF(E3220=""USD"",C3220,C3220 * GOOGLEFINANCE(""CURRENCY:"" &amp; E3220 &amp; ""USD""))
"),135014968)</f>
        <v>135014968</v>
      </c>
    </row>
    <row r="3221" spans="1:7" ht="15.75" customHeight="1" x14ac:dyDescent="0.25">
      <c r="A3221" s="14" t="s">
        <v>24</v>
      </c>
      <c r="B3221" s="15">
        <v>6000000</v>
      </c>
      <c r="C3221" s="15">
        <v>5895238</v>
      </c>
      <c r="D3221" s="15">
        <v>2012</v>
      </c>
      <c r="E3221" s="15" t="str">
        <f>VLOOKUP(A3221, Currency!$A$2:$B$100, 2, FALSE)</f>
        <v>USD</v>
      </c>
      <c r="F3221" s="15">
        <f ca="1">IFERROR(__xludf.DUMMYFUNCTION("IF(E3221=""USD"",B3221,B3221 * GOOGLEFINANCE(""CURRENCY:"" &amp; E3221 &amp; ""USD""))
"),6000000)</f>
        <v>6000000</v>
      </c>
      <c r="G3221" s="16">
        <f ca="1">IFERROR(__xludf.DUMMYFUNCTION("IF(E3221=""USD"",C3221,C3221 * GOOGLEFINANCE(""CURRENCY:"" &amp; E3221 &amp; ""USD""))
"),5895238)</f>
        <v>5895238</v>
      </c>
    </row>
    <row r="3222" spans="1:7" ht="15.75" customHeight="1" x14ac:dyDescent="0.25">
      <c r="A3222" s="11" t="s">
        <v>627</v>
      </c>
      <c r="B3222" s="12">
        <v>2000000</v>
      </c>
      <c r="C3222" s="12">
        <v>5132222</v>
      </c>
      <c r="D3222" s="12">
        <v>1994</v>
      </c>
      <c r="E3222" s="12" t="str">
        <f>VLOOKUP(A3222, Currency!$A$2:$B$100, 2, FALSE)</f>
        <v>CAD</v>
      </c>
      <c r="F3222" s="12">
        <f ca="1">IFERROR(__xludf.DUMMYFUNCTION("IF(E3222=""USD"",B3222,B3222 * GOOGLEFINANCE(""CURRENCY:"" &amp; E3222 &amp; ""USD""))
"),1446810)</f>
        <v>1446810</v>
      </c>
      <c r="G3222" s="13">
        <f ca="1">IFERROR(__xludf.DUMMYFUNCTION("IF(E3222=""USD"",C3222,C3222 * GOOGLEFINANCE(""CURRENCY:"" &amp; E3222 &amp; ""USD""))
"),3712675.05590999)</f>
        <v>3712675.0559099899</v>
      </c>
    </row>
    <row r="3223" spans="1:7" ht="15.75" customHeight="1" x14ac:dyDescent="0.25">
      <c r="A3223" s="14" t="s">
        <v>24</v>
      </c>
      <c r="B3223" s="15">
        <v>1200000</v>
      </c>
      <c r="C3223" s="15">
        <v>18488314</v>
      </c>
      <c r="D3223" s="15">
        <v>2001</v>
      </c>
      <c r="E3223" s="15" t="str">
        <f>VLOOKUP(A3223, Currency!$A$2:$B$100, 2, FALSE)</f>
        <v>USD</v>
      </c>
      <c r="F3223" s="15">
        <f ca="1">IFERROR(__xludf.DUMMYFUNCTION("IF(E3223=""USD"",B3223,B3223 * GOOGLEFINANCE(""CURRENCY:"" &amp; E3223 &amp; ""USD""))
"),1200000)</f>
        <v>1200000</v>
      </c>
      <c r="G3223" s="16">
        <f ca="1">IFERROR(__xludf.DUMMYFUNCTION("IF(E3223=""USD"",C3223,C3223 * GOOGLEFINANCE(""CURRENCY:"" &amp; E3223 &amp; ""USD""))
"),18488314)</f>
        <v>18488314</v>
      </c>
    </row>
    <row r="3224" spans="1:7" ht="15.75" customHeight="1" x14ac:dyDescent="0.25">
      <c r="A3224" s="11" t="s">
        <v>24</v>
      </c>
      <c r="B3224" s="12">
        <v>4000000</v>
      </c>
      <c r="C3224" s="12">
        <v>2426851</v>
      </c>
      <c r="D3224" s="12">
        <v>2007</v>
      </c>
      <c r="E3224" s="12" t="str">
        <f>VLOOKUP(A3224, Currency!$A$2:$B$100, 2, FALSE)</f>
        <v>USD</v>
      </c>
      <c r="F3224" s="12">
        <f ca="1">IFERROR(__xludf.DUMMYFUNCTION("IF(E3224=""USD"",B3224,B3224 * GOOGLEFINANCE(""CURRENCY:"" &amp; E3224 &amp; ""USD""))
"),4000000)</f>
        <v>4000000</v>
      </c>
      <c r="G3224" s="13">
        <f ca="1">IFERROR(__xludf.DUMMYFUNCTION("IF(E3224=""USD"",C3224,C3224 * GOOGLEFINANCE(""CURRENCY:"" &amp; E3224 &amp; ""USD""))
"),2426851)</f>
        <v>2426851</v>
      </c>
    </row>
    <row r="3225" spans="1:7" ht="15.75" customHeight="1" x14ac:dyDescent="0.25">
      <c r="A3225" s="14" t="s">
        <v>24</v>
      </c>
      <c r="B3225" s="15">
        <v>25000000</v>
      </c>
      <c r="C3225" s="15">
        <v>31526393</v>
      </c>
      <c r="D3225" s="15">
        <v>2004</v>
      </c>
      <c r="E3225" s="15" t="str">
        <f>VLOOKUP(A3225, Currency!$A$2:$B$100, 2, FALSE)</f>
        <v>USD</v>
      </c>
      <c r="F3225" s="15">
        <f ca="1">IFERROR(__xludf.DUMMYFUNCTION("IF(E3225=""USD"",B3225,B3225 * GOOGLEFINANCE(""CURRENCY:"" &amp; E3225 &amp; ""USD""))
"),25000000)</f>
        <v>25000000</v>
      </c>
      <c r="G3225" s="16">
        <f ca="1">IFERROR(__xludf.DUMMYFUNCTION("IF(E3225=""USD"",C3225,C3225 * GOOGLEFINANCE(""CURRENCY:"" &amp; E3225 &amp; ""USD""))
"),31526393)</f>
        <v>31526393</v>
      </c>
    </row>
    <row r="3226" spans="1:7" ht="15.75" customHeight="1" x14ac:dyDescent="0.25">
      <c r="A3226" s="11" t="s">
        <v>24</v>
      </c>
      <c r="B3226" s="12">
        <v>75000000</v>
      </c>
      <c r="C3226" s="12">
        <v>22751979</v>
      </c>
      <c r="D3226" s="12">
        <v>2000</v>
      </c>
      <c r="E3226" s="12" t="str">
        <f>VLOOKUP(A3226, Currency!$A$2:$B$100, 2, FALSE)</f>
        <v>USD</v>
      </c>
      <c r="F3226" s="12">
        <f ca="1">IFERROR(__xludf.DUMMYFUNCTION("IF(E3226=""USD"",B3226,B3226 * GOOGLEFINANCE(""CURRENCY:"" &amp; E3226 &amp; ""USD""))
"),75000000)</f>
        <v>75000000</v>
      </c>
      <c r="G3226" s="13">
        <f ca="1">IFERROR(__xludf.DUMMYFUNCTION("IF(E3226=""USD"",C3226,C3226 * GOOGLEFINANCE(""CURRENCY:"" &amp; E3226 &amp; ""USD""))
"),22751979)</f>
        <v>22751979</v>
      </c>
    </row>
    <row r="3227" spans="1:7" ht="15.75" customHeight="1" x14ac:dyDescent="0.25">
      <c r="A3227" s="14" t="s">
        <v>24</v>
      </c>
      <c r="B3227" s="15">
        <v>17000000</v>
      </c>
      <c r="C3227" s="15">
        <v>70492685</v>
      </c>
      <c r="D3227" s="15">
        <v>2013</v>
      </c>
      <c r="E3227" s="15" t="str">
        <f>VLOOKUP(A3227, Currency!$A$2:$B$100, 2, FALSE)</f>
        <v>USD</v>
      </c>
      <c r="F3227" s="15">
        <f ca="1">IFERROR(__xludf.DUMMYFUNCTION("IF(E3227=""USD"",B3227,B3227 * GOOGLEFINANCE(""CURRENCY:"" &amp; E3227 &amp; ""USD""))
"),17000000)</f>
        <v>17000000</v>
      </c>
      <c r="G3227" s="16">
        <f ca="1">IFERROR(__xludf.DUMMYFUNCTION("IF(E3227=""USD"",C3227,C3227 * GOOGLEFINANCE(""CURRENCY:"" &amp; E3227 &amp; ""USD""))
"),70492685)</f>
        <v>70492685</v>
      </c>
    </row>
    <row r="3228" spans="1:7" ht="15.75" customHeight="1" x14ac:dyDescent="0.25">
      <c r="A3228" s="11" t="s">
        <v>24</v>
      </c>
      <c r="B3228" s="12">
        <v>8000000</v>
      </c>
      <c r="C3228" s="12">
        <v>20400000</v>
      </c>
      <c r="D3228" s="12">
        <v>1946</v>
      </c>
      <c r="E3228" s="12" t="str">
        <f>VLOOKUP(A3228, Currency!$A$2:$B$100, 2, FALSE)</f>
        <v>USD</v>
      </c>
      <c r="F3228" s="12">
        <f ca="1">IFERROR(__xludf.DUMMYFUNCTION("IF(E3228=""USD"",B3228,B3228 * GOOGLEFINANCE(""CURRENCY:"" &amp; E3228 &amp; ""USD""))
"),8000000)</f>
        <v>8000000</v>
      </c>
      <c r="G3228" s="13">
        <f ca="1">IFERROR(__xludf.DUMMYFUNCTION("IF(E3228=""USD"",C3228,C3228 * GOOGLEFINANCE(""CURRENCY:"" &amp; E3228 &amp; ""USD""))
"),20400000)</f>
        <v>20400000</v>
      </c>
    </row>
    <row r="3229" spans="1:7" ht="15.75" customHeight="1" x14ac:dyDescent="0.25">
      <c r="A3229" s="14" t="s">
        <v>133</v>
      </c>
      <c r="B3229" s="15">
        <v>26000000</v>
      </c>
      <c r="C3229" s="15">
        <v>71500556</v>
      </c>
      <c r="D3229" s="15">
        <v>2001</v>
      </c>
      <c r="E3229" s="15" t="str">
        <f>VLOOKUP(A3229, Currency!$A$2:$B$100, 2, FALSE)</f>
        <v>GBP</v>
      </c>
      <c r="F3229" s="15">
        <f ca="1">IFERROR(__xludf.DUMMYFUNCTION("IF(E3229=""USD"",B3229,B3229 * GOOGLEFINANCE(""CURRENCY:"" &amp; E3229 &amp; ""USD""))
"),33420399.9999999)</f>
        <v>33420399.999999899</v>
      </c>
      <c r="G3229" s="16">
        <f ca="1">IFERROR(__xludf.DUMMYFUNCTION("IF(E3229=""USD"",C3229,C3229 * GOOGLEFINANCE(""CURRENCY:"" &amp; E3229 &amp; ""USD""))
"),91906814.6823999)</f>
        <v>91906814.682399899</v>
      </c>
    </row>
    <row r="3230" spans="1:7" ht="15.75" customHeight="1" x14ac:dyDescent="0.25">
      <c r="A3230" s="11" t="s">
        <v>24</v>
      </c>
      <c r="B3230" s="12">
        <v>19000000</v>
      </c>
      <c r="C3230" s="12">
        <v>210609762</v>
      </c>
      <c r="D3230" s="12">
        <v>1985</v>
      </c>
      <c r="E3230" s="12" t="str">
        <f>VLOOKUP(A3230, Currency!$A$2:$B$100, 2, FALSE)</f>
        <v>USD</v>
      </c>
      <c r="F3230" s="12">
        <f ca="1">IFERROR(__xludf.DUMMYFUNCTION("IF(E3230=""USD"",B3230,B3230 * GOOGLEFINANCE(""CURRENCY:"" &amp; E3230 &amp; ""USD""))
"),19000000)</f>
        <v>19000000</v>
      </c>
      <c r="G3230" s="13">
        <f ca="1">IFERROR(__xludf.DUMMYFUNCTION("IF(E3230=""USD"",C3230,C3230 * GOOGLEFINANCE(""CURRENCY:"" &amp; E3230 &amp; ""USD""))
"),210609762)</f>
        <v>210609762</v>
      </c>
    </row>
    <row r="3231" spans="1:7" ht="15.75" customHeight="1" x14ac:dyDescent="0.25">
      <c r="A3231" s="14" t="s">
        <v>24</v>
      </c>
      <c r="B3231" s="15">
        <v>5000000</v>
      </c>
      <c r="C3231" s="15">
        <v>124720</v>
      </c>
      <c r="D3231" s="15">
        <v>2008</v>
      </c>
      <c r="E3231" s="15" t="str">
        <f>VLOOKUP(A3231, Currency!$A$2:$B$100, 2, FALSE)</f>
        <v>USD</v>
      </c>
      <c r="F3231" s="15">
        <f ca="1">IFERROR(__xludf.DUMMYFUNCTION("IF(E3231=""USD"",B3231,B3231 * GOOGLEFINANCE(""CURRENCY:"" &amp; E3231 &amp; ""USD""))
"),5000000)</f>
        <v>5000000</v>
      </c>
      <c r="G3231" s="16">
        <f ca="1">IFERROR(__xludf.DUMMYFUNCTION("IF(E3231=""USD"",C3231,C3231 * GOOGLEFINANCE(""CURRENCY:"" &amp; E3231 &amp; ""USD""))
"),124720)</f>
        <v>124720</v>
      </c>
    </row>
    <row r="3232" spans="1:7" ht="15.75" customHeight="1" x14ac:dyDescent="0.25">
      <c r="A3232" s="11" t="s">
        <v>24</v>
      </c>
      <c r="B3232" s="12">
        <v>74000000</v>
      </c>
      <c r="C3232" s="12">
        <v>162495848</v>
      </c>
      <c r="D3232" s="12">
        <v>2015</v>
      </c>
      <c r="E3232" s="12" t="str">
        <f>VLOOKUP(A3232, Currency!$A$2:$B$100, 2, FALSE)</f>
        <v>USD</v>
      </c>
      <c r="F3232" s="12">
        <f ca="1">IFERROR(__xludf.DUMMYFUNCTION("IF(E3232=""USD"",B3232,B3232 * GOOGLEFINANCE(""CURRENCY:"" &amp; E3232 &amp; ""USD""))
"),74000000)</f>
        <v>74000000</v>
      </c>
      <c r="G3232" s="13">
        <f ca="1">IFERROR(__xludf.DUMMYFUNCTION("IF(E3232=""USD"",C3232,C3232 * GOOGLEFINANCE(""CURRENCY:"" &amp; E3232 &amp; ""USD""))
"),162495848)</f>
        <v>162495848</v>
      </c>
    </row>
    <row r="3233" spans="1:7" ht="15.75" customHeight="1" x14ac:dyDescent="0.25">
      <c r="A3233" s="14" t="s">
        <v>10024</v>
      </c>
      <c r="B3233" s="15">
        <v>12000000</v>
      </c>
      <c r="C3233" s="15">
        <v>17016190</v>
      </c>
      <c r="D3233" s="15">
        <v>2004</v>
      </c>
      <c r="E3233" s="15" t="str">
        <f>VLOOKUP(A3233, Currency!$A$2:$B$100, 2, FALSE)</f>
        <v>RON</v>
      </c>
      <c r="F3233" s="15">
        <f ca="1">IFERROR(__xludf.DUMMYFUNCTION("IF(E3233=""USD"",B3233,B3233 * GOOGLEFINANCE(""CURRENCY:"" &amp; E3233 &amp; ""USD""))
"),2619690)</f>
        <v>2619690</v>
      </c>
      <c r="G3233" s="16">
        <f ca="1">IFERROR(__xludf.DUMMYFUNCTION("IF(E3233=""USD"",C3233,C3233 * GOOGLEFINANCE(""CURRENCY:"" &amp; E3233 &amp; ""USD""))
"),3714761.898425)</f>
        <v>3714761.8984249998</v>
      </c>
    </row>
    <row r="3234" spans="1:7" ht="15.75" customHeight="1" x14ac:dyDescent="0.25">
      <c r="A3234" s="11" t="s">
        <v>24</v>
      </c>
      <c r="B3234" s="12">
        <v>8000000</v>
      </c>
      <c r="C3234" s="12">
        <v>2275557</v>
      </c>
      <c r="D3234" s="12">
        <v>1991</v>
      </c>
      <c r="E3234" s="12" t="str">
        <f>VLOOKUP(A3234, Currency!$A$2:$B$100, 2, FALSE)</f>
        <v>USD</v>
      </c>
      <c r="F3234" s="12">
        <f ca="1">IFERROR(__xludf.DUMMYFUNCTION("IF(E3234=""USD"",B3234,B3234 * GOOGLEFINANCE(""CURRENCY:"" &amp; E3234 &amp; ""USD""))
"),8000000)</f>
        <v>8000000</v>
      </c>
      <c r="G3234" s="13">
        <f ca="1">IFERROR(__xludf.DUMMYFUNCTION("IF(E3234=""USD"",C3234,C3234 * GOOGLEFINANCE(""CURRENCY:"" &amp; E3234 &amp; ""USD""))
"),2275557)</f>
        <v>2275557</v>
      </c>
    </row>
    <row r="3235" spans="1:7" ht="15.75" customHeight="1" x14ac:dyDescent="0.25">
      <c r="A3235" s="14" t="s">
        <v>24</v>
      </c>
      <c r="B3235" s="15">
        <v>58000000</v>
      </c>
      <c r="C3235" s="15">
        <v>70117571</v>
      </c>
      <c r="D3235" s="15">
        <v>1998</v>
      </c>
      <c r="E3235" s="15" t="str">
        <f>VLOOKUP(A3235, Currency!$A$2:$B$100, 2, FALSE)</f>
        <v>USD</v>
      </c>
      <c r="F3235" s="15">
        <f ca="1">IFERROR(__xludf.DUMMYFUNCTION("IF(E3235=""USD"",B3235,B3235 * GOOGLEFINANCE(""CURRENCY:"" &amp; E3235 &amp; ""USD""))
"),58000000)</f>
        <v>58000000</v>
      </c>
      <c r="G3235" s="16">
        <f ca="1">IFERROR(__xludf.DUMMYFUNCTION("IF(E3235=""USD"",C3235,C3235 * GOOGLEFINANCE(""CURRENCY:"" &amp; E3235 &amp; ""USD""))
"),70117571)</f>
        <v>70117571</v>
      </c>
    </row>
    <row r="3236" spans="1:7" ht="15.75" customHeight="1" x14ac:dyDescent="0.25">
      <c r="A3236" s="11" t="s">
        <v>24</v>
      </c>
      <c r="B3236" s="12">
        <v>22000000</v>
      </c>
      <c r="C3236" s="12">
        <v>36020063</v>
      </c>
      <c r="D3236" s="12">
        <v>2005</v>
      </c>
      <c r="E3236" s="12" t="str">
        <f>VLOOKUP(A3236, Currency!$A$2:$B$100, 2, FALSE)</f>
        <v>USD</v>
      </c>
      <c r="F3236" s="12">
        <f ca="1">IFERROR(__xludf.DUMMYFUNCTION("IF(E3236=""USD"",B3236,B3236 * GOOGLEFINANCE(""CURRENCY:"" &amp; E3236 &amp; ""USD""))
"),22000000)</f>
        <v>22000000</v>
      </c>
      <c r="G3236" s="13">
        <f ca="1">IFERROR(__xludf.DUMMYFUNCTION("IF(E3236=""USD"",C3236,C3236 * GOOGLEFINANCE(""CURRENCY:"" &amp; E3236 &amp; ""USD""))
"),36020063)</f>
        <v>36020063</v>
      </c>
    </row>
    <row r="3237" spans="1:7" ht="15.75" customHeight="1" x14ac:dyDescent="0.25">
      <c r="A3237" s="14" t="s">
        <v>24</v>
      </c>
      <c r="B3237" s="15">
        <v>13000000</v>
      </c>
      <c r="C3237" s="15">
        <v>28501605</v>
      </c>
      <c r="D3237" s="15">
        <v>1990</v>
      </c>
      <c r="E3237" s="15" t="str">
        <f>VLOOKUP(A3237, Currency!$A$2:$B$100, 2, FALSE)</f>
        <v>USD</v>
      </c>
      <c r="F3237" s="15">
        <f ca="1">IFERROR(__xludf.DUMMYFUNCTION("IF(E3237=""USD"",B3237,B3237 * GOOGLEFINANCE(""CURRENCY:"" &amp; E3237 &amp; ""USD""))
"),13000000)</f>
        <v>13000000</v>
      </c>
      <c r="G3237" s="16">
        <f ca="1">IFERROR(__xludf.DUMMYFUNCTION("IF(E3237=""USD"",C3237,C3237 * GOOGLEFINANCE(""CURRENCY:"" &amp; E3237 &amp; ""USD""))
"),28501605)</f>
        <v>28501605</v>
      </c>
    </row>
    <row r="3238" spans="1:7" ht="15.75" customHeight="1" x14ac:dyDescent="0.25">
      <c r="A3238" s="11" t="s">
        <v>24</v>
      </c>
      <c r="B3238" s="12">
        <v>40000000</v>
      </c>
      <c r="C3238" s="12">
        <v>53082743</v>
      </c>
      <c r="D3238" s="12">
        <v>2006</v>
      </c>
      <c r="E3238" s="12" t="str">
        <f>VLOOKUP(A3238, Currency!$A$2:$B$100, 2, FALSE)</f>
        <v>USD</v>
      </c>
      <c r="F3238" s="12">
        <f ca="1">IFERROR(__xludf.DUMMYFUNCTION("IF(E3238=""USD"",B3238,B3238 * GOOGLEFINANCE(""CURRENCY:"" &amp; E3238 &amp; ""USD""))
"),40000000)</f>
        <v>40000000</v>
      </c>
      <c r="G3238" s="13">
        <f ca="1">IFERROR(__xludf.DUMMYFUNCTION("IF(E3238=""USD"",C3238,C3238 * GOOGLEFINANCE(""CURRENCY:"" &amp; E3238 &amp; ""USD""))
"),53082743)</f>
        <v>53082743</v>
      </c>
    </row>
    <row r="3239" spans="1:7" ht="15.75" customHeight="1" x14ac:dyDescent="0.25">
      <c r="A3239" s="14" t="s">
        <v>24</v>
      </c>
      <c r="B3239" s="15">
        <v>85000000</v>
      </c>
      <c r="C3239" s="15">
        <v>47592825</v>
      </c>
      <c r="D3239" s="15">
        <v>2003</v>
      </c>
      <c r="E3239" s="15" t="str">
        <f>VLOOKUP(A3239, Currency!$A$2:$B$100, 2, FALSE)</f>
        <v>USD</v>
      </c>
      <c r="F3239" s="15">
        <f ca="1">IFERROR(__xludf.DUMMYFUNCTION("IF(E3239=""USD"",B3239,B3239 * GOOGLEFINANCE(""CURRENCY:"" &amp; E3239 &amp; ""USD""))
"),85000000)</f>
        <v>85000000</v>
      </c>
      <c r="G3239" s="16">
        <f ca="1">IFERROR(__xludf.DUMMYFUNCTION("IF(E3239=""USD"",C3239,C3239 * GOOGLEFINANCE(""CURRENCY:"" &amp; E3239 &amp; ""USD""))
"),47592825)</f>
        <v>47592825</v>
      </c>
    </row>
    <row r="3240" spans="1:7" ht="15.75" customHeight="1" x14ac:dyDescent="0.25">
      <c r="A3240" s="11" t="s">
        <v>24</v>
      </c>
      <c r="B3240" s="12">
        <v>1500000</v>
      </c>
      <c r="C3240" s="12">
        <v>3123749</v>
      </c>
      <c r="D3240" s="12">
        <v>2005</v>
      </c>
      <c r="E3240" s="12" t="str">
        <f>VLOOKUP(A3240, Currency!$A$2:$B$100, 2, FALSE)</f>
        <v>USD</v>
      </c>
      <c r="F3240" s="12">
        <f ca="1">IFERROR(__xludf.DUMMYFUNCTION("IF(E3240=""USD"",B3240,B3240 * GOOGLEFINANCE(""CURRENCY:"" &amp; E3240 &amp; ""USD""))
"),1500000)</f>
        <v>1500000</v>
      </c>
      <c r="G3240" s="13">
        <f ca="1">IFERROR(__xludf.DUMMYFUNCTION("IF(E3240=""USD"",C3240,C3240 * GOOGLEFINANCE(""CURRENCY:"" &amp; E3240 &amp; ""USD""))
"),3123749)</f>
        <v>3123749</v>
      </c>
    </row>
    <row r="3241" spans="1:7" ht="15.75" customHeight="1" x14ac:dyDescent="0.25">
      <c r="A3241" s="14" t="s">
        <v>24</v>
      </c>
      <c r="B3241" s="15">
        <v>30000000</v>
      </c>
      <c r="C3241" s="15">
        <v>537580</v>
      </c>
      <c r="D3241" s="15">
        <v>2011</v>
      </c>
      <c r="E3241" s="15" t="str">
        <f>VLOOKUP(A3241, Currency!$A$2:$B$100, 2, FALSE)</f>
        <v>USD</v>
      </c>
      <c r="F3241" s="15">
        <f ca="1">IFERROR(__xludf.DUMMYFUNCTION("IF(E3241=""USD"",B3241,B3241 * GOOGLEFINANCE(""CURRENCY:"" &amp; E3241 &amp; ""USD""))
"),30000000)</f>
        <v>30000000</v>
      </c>
      <c r="G3241" s="16">
        <f ca="1">IFERROR(__xludf.DUMMYFUNCTION("IF(E3241=""USD"",C3241,C3241 * GOOGLEFINANCE(""CURRENCY:"" &amp; E3241 &amp; ""USD""))
"),537580)</f>
        <v>537580</v>
      </c>
    </row>
    <row r="3242" spans="1:7" ht="15.75" customHeight="1" x14ac:dyDescent="0.25">
      <c r="A3242" s="11" t="s">
        <v>24</v>
      </c>
      <c r="B3242" s="12">
        <v>22000000</v>
      </c>
      <c r="C3242" s="12">
        <v>90636983</v>
      </c>
      <c r="D3242" s="12">
        <v>2007</v>
      </c>
      <c r="E3242" s="12" t="str">
        <f>VLOOKUP(A3242, Currency!$A$2:$B$100, 2, FALSE)</f>
        <v>USD</v>
      </c>
      <c r="F3242" s="12">
        <f ca="1">IFERROR(__xludf.DUMMYFUNCTION("IF(E3242=""USD"",B3242,B3242 * GOOGLEFINANCE(""CURRENCY:"" &amp; E3242 &amp; ""USD""))
"),22000000)</f>
        <v>22000000</v>
      </c>
      <c r="G3242" s="13">
        <f ca="1">IFERROR(__xludf.DUMMYFUNCTION("IF(E3242=""USD"",C3242,C3242 * GOOGLEFINANCE(""CURRENCY:"" &amp; E3242 &amp; ""USD""))
"),90636983)</f>
        <v>90636983</v>
      </c>
    </row>
    <row r="3243" spans="1:7" ht="15.75" customHeight="1" x14ac:dyDescent="0.25">
      <c r="A3243" s="14" t="s">
        <v>24</v>
      </c>
      <c r="B3243" s="15">
        <v>70000000</v>
      </c>
      <c r="C3243" s="15">
        <v>141204016</v>
      </c>
      <c r="D3243" s="15">
        <v>2002</v>
      </c>
      <c r="E3243" s="15" t="str">
        <f>VLOOKUP(A3243, Currency!$A$2:$B$100, 2, FALSE)</f>
        <v>USD</v>
      </c>
      <c r="F3243" s="15">
        <f ca="1">IFERROR(__xludf.DUMMYFUNCTION("IF(E3243=""USD"",B3243,B3243 * GOOGLEFINANCE(""CURRENCY:"" &amp; E3243 &amp; ""USD""))
"),70000000)</f>
        <v>70000000</v>
      </c>
      <c r="G3243" s="16">
        <f ca="1">IFERROR(__xludf.DUMMYFUNCTION("IF(E3243=""USD"",C3243,C3243 * GOOGLEFINANCE(""CURRENCY:"" &amp; E3243 &amp; ""USD""))
"),141204016)</f>
        <v>141204016</v>
      </c>
    </row>
    <row r="3244" spans="1:7" ht="15.75" customHeight="1" x14ac:dyDescent="0.25">
      <c r="A3244" s="11" t="s">
        <v>133</v>
      </c>
      <c r="B3244" s="12">
        <v>15000000</v>
      </c>
      <c r="C3244" s="12">
        <v>28637507</v>
      </c>
      <c r="D3244" s="12">
        <v>2007</v>
      </c>
      <c r="E3244" s="12" t="str">
        <f>VLOOKUP(A3244, Currency!$A$2:$B$100, 2, FALSE)</f>
        <v>GBP</v>
      </c>
      <c r="F3244" s="12">
        <f ca="1">IFERROR(__xludf.DUMMYFUNCTION("IF(E3244=""USD"",B3244,B3244 * GOOGLEFINANCE(""CURRENCY:"" &amp; E3244 &amp; ""USD""))
"),19281000)</f>
        <v>19281000</v>
      </c>
      <c r="G3244" s="13">
        <f ca="1">IFERROR(__xludf.DUMMYFUNCTION("IF(E3244=""USD"",C3244,C3244 * GOOGLEFINANCE(""CURRENCY:"" &amp; E3244 &amp; ""USD""))
"),36810651.4978)</f>
        <v>36810651.4978</v>
      </c>
    </row>
    <row r="3245" spans="1:7" ht="15.75" customHeight="1" x14ac:dyDescent="0.25">
      <c r="A3245" s="14" t="s">
        <v>176</v>
      </c>
      <c r="B3245" s="15">
        <v>10000000</v>
      </c>
      <c r="C3245" s="15">
        <v>1055654</v>
      </c>
      <c r="D3245" s="15">
        <v>2006</v>
      </c>
      <c r="E3245" s="15" t="str">
        <f>VLOOKUP(A3245, Currency!$A$2:$B$100, 2, FALSE)</f>
        <v>EUR</v>
      </c>
      <c r="F3245" s="15">
        <f ca="1">IFERROR(__xludf.DUMMYFUNCTION("IF(E3245=""USD"",B3245,B3245 * GOOGLEFINANCE(""CURRENCY:"" &amp; E3245 &amp; ""USD""))
"),10847400)</f>
        <v>10847400</v>
      </c>
      <c r="G3245" s="16">
        <f ca="1">IFERROR(__xludf.DUMMYFUNCTION("IF(E3245=""USD"",C3245,C3245 * GOOGLEFINANCE(""CURRENCY:"" &amp; E3245 &amp; ""USD""))
"),1145110.11996)</f>
        <v>1145110.11996</v>
      </c>
    </row>
    <row r="3246" spans="1:7" ht="15.75" customHeight="1" x14ac:dyDescent="0.25">
      <c r="A3246" s="11" t="s">
        <v>24</v>
      </c>
      <c r="B3246" s="12">
        <v>9500000</v>
      </c>
      <c r="C3246" s="12">
        <v>58214</v>
      </c>
      <c r="D3246" s="12">
        <v>2010</v>
      </c>
      <c r="E3246" s="12" t="str">
        <f>VLOOKUP(A3246, Currency!$A$2:$B$100, 2, FALSE)</f>
        <v>USD</v>
      </c>
      <c r="F3246" s="12">
        <f ca="1">IFERROR(__xludf.DUMMYFUNCTION("IF(E3246=""USD"",B3246,B3246 * GOOGLEFINANCE(""CURRENCY:"" &amp; E3246 &amp; ""USD""))
"),9500000)</f>
        <v>9500000</v>
      </c>
      <c r="G3246" s="13">
        <f ca="1">IFERROR(__xludf.DUMMYFUNCTION("IF(E3246=""USD"",C3246,C3246 * GOOGLEFINANCE(""CURRENCY:"" &amp; E3246 &amp; ""USD""))
"),58214)</f>
        <v>58214</v>
      </c>
    </row>
    <row r="3247" spans="1:7" ht="15.75" customHeight="1" x14ac:dyDescent="0.25">
      <c r="A3247" s="14" t="s">
        <v>24</v>
      </c>
      <c r="B3247" s="15">
        <v>10000000</v>
      </c>
      <c r="C3247" s="15">
        <v>44886089</v>
      </c>
      <c r="D3247" s="15">
        <v>1997</v>
      </c>
      <c r="E3247" s="15" t="str">
        <f>VLOOKUP(A3247, Currency!$A$2:$B$100, 2, FALSE)</f>
        <v>USD</v>
      </c>
      <c r="F3247" s="15">
        <f ca="1">IFERROR(__xludf.DUMMYFUNCTION("IF(E3247=""USD"",B3247,B3247 * GOOGLEFINANCE(""CURRENCY:"" &amp; E3247 &amp; ""USD""))
"),10000000)</f>
        <v>10000000</v>
      </c>
      <c r="G3247" s="16">
        <f ca="1">IFERROR(__xludf.DUMMYFUNCTION("IF(E3247=""USD"",C3247,C3247 * GOOGLEFINANCE(""CURRENCY:"" &amp; E3247 &amp; ""USD""))
"),44886089)</f>
        <v>44886089</v>
      </c>
    </row>
    <row r="3248" spans="1:7" ht="15.75" customHeight="1" x14ac:dyDescent="0.25">
      <c r="A3248" s="11" t="s">
        <v>24</v>
      </c>
      <c r="B3248" s="12">
        <v>92000000</v>
      </c>
      <c r="C3248" s="12">
        <v>110416702</v>
      </c>
      <c r="D3248" s="12">
        <v>2008</v>
      </c>
      <c r="E3248" s="12" t="str">
        <f>VLOOKUP(A3248, Currency!$A$2:$B$100, 2, FALSE)</f>
        <v>USD</v>
      </c>
      <c r="F3248" s="12">
        <f ca="1">IFERROR(__xludf.DUMMYFUNCTION("IF(E3248=""USD"",B3248,B3248 * GOOGLEFINANCE(""CURRENCY:"" &amp; E3248 &amp; ""USD""))
"),92000000)</f>
        <v>92000000</v>
      </c>
      <c r="G3248" s="13">
        <f ca="1">IFERROR(__xludf.DUMMYFUNCTION("IF(E3248=""USD"",C3248,C3248 * GOOGLEFINANCE(""CURRENCY:"" &amp; E3248 &amp; ""USD""))
"),110416702)</f>
        <v>110416702</v>
      </c>
    </row>
    <row r="3249" spans="1:7" ht="15.75" customHeight="1" x14ac:dyDescent="0.25">
      <c r="A3249" s="14" t="s">
        <v>24</v>
      </c>
      <c r="B3249" s="15">
        <v>18000000</v>
      </c>
      <c r="C3249" s="15">
        <v>173585516</v>
      </c>
      <c r="D3249" s="15">
        <v>1992</v>
      </c>
      <c r="E3249" s="15" t="str">
        <f>VLOOKUP(A3249, Currency!$A$2:$B$100, 2, FALSE)</f>
        <v>USD</v>
      </c>
      <c r="F3249" s="15">
        <f ca="1">IFERROR(__xludf.DUMMYFUNCTION("IF(E3249=""USD"",B3249,B3249 * GOOGLEFINANCE(""CURRENCY:"" &amp; E3249 &amp; ""USD""))
"),18000000)</f>
        <v>18000000</v>
      </c>
      <c r="G3249" s="16">
        <f ca="1">IFERROR(__xludf.DUMMYFUNCTION("IF(E3249=""USD"",C3249,C3249 * GOOGLEFINANCE(""CURRENCY:"" &amp; E3249 &amp; ""USD""))
"),173585516)</f>
        <v>173585516</v>
      </c>
    </row>
    <row r="3250" spans="1:7" ht="15.75" customHeight="1" x14ac:dyDescent="0.25">
      <c r="A3250" s="11" t="s">
        <v>24</v>
      </c>
      <c r="B3250" s="12">
        <v>2600000</v>
      </c>
      <c r="C3250" s="12">
        <v>119500000</v>
      </c>
      <c r="D3250" s="12">
        <v>1974</v>
      </c>
      <c r="E3250" s="12" t="str">
        <f>VLOOKUP(A3250, Currency!$A$2:$B$100, 2, FALSE)</f>
        <v>USD</v>
      </c>
      <c r="F3250" s="12">
        <f ca="1">IFERROR(__xludf.DUMMYFUNCTION("IF(E3250=""USD"",B3250,B3250 * GOOGLEFINANCE(""CURRENCY:"" &amp; E3250 &amp; ""USD""))
"),2600000)</f>
        <v>2600000</v>
      </c>
      <c r="G3250" s="13">
        <f ca="1">IFERROR(__xludf.DUMMYFUNCTION("IF(E3250=""USD"",C3250,C3250 * GOOGLEFINANCE(""CURRENCY:"" &amp; E3250 &amp; ""USD""))
"),119500000)</f>
        <v>119500000</v>
      </c>
    </row>
    <row r="3251" spans="1:7" ht="15.75" customHeight="1" x14ac:dyDescent="0.25">
      <c r="A3251" s="14" t="s">
        <v>24</v>
      </c>
      <c r="B3251" s="15">
        <v>140000000</v>
      </c>
      <c r="C3251" s="15">
        <v>190418803</v>
      </c>
      <c r="D3251" s="15">
        <v>2002</v>
      </c>
      <c r="E3251" s="15" t="str">
        <f>VLOOKUP(A3251, Currency!$A$2:$B$100, 2, FALSE)</f>
        <v>USD</v>
      </c>
      <c r="F3251" s="15">
        <f ca="1">IFERROR(__xludf.DUMMYFUNCTION("IF(E3251=""USD"",B3251,B3251 * GOOGLEFINANCE(""CURRENCY:"" &amp; E3251 &amp; ""USD""))
"),140000000)</f>
        <v>140000000</v>
      </c>
      <c r="G3251" s="16">
        <f ca="1">IFERROR(__xludf.DUMMYFUNCTION("IF(E3251=""USD"",C3251,C3251 * GOOGLEFINANCE(""CURRENCY:"" &amp; E3251 &amp; ""USD""))
"),190418803)</f>
        <v>190418803</v>
      </c>
    </row>
    <row r="3252" spans="1:7" ht="15.75" customHeight="1" x14ac:dyDescent="0.25">
      <c r="A3252" s="11" t="s">
        <v>24</v>
      </c>
      <c r="B3252" s="12">
        <v>55000000</v>
      </c>
      <c r="C3252" s="12">
        <v>52799004</v>
      </c>
      <c r="D3252" s="12">
        <v>1999</v>
      </c>
      <c r="E3252" s="12" t="str">
        <f>VLOOKUP(A3252, Currency!$A$2:$B$100, 2, FALSE)</f>
        <v>USD</v>
      </c>
      <c r="F3252" s="12">
        <f ca="1">IFERROR(__xludf.DUMMYFUNCTION("IF(E3252=""USD"",B3252,B3252 * GOOGLEFINANCE(""CURRENCY:"" &amp; E3252 &amp; ""USD""))
"),55000000)</f>
        <v>55000000</v>
      </c>
      <c r="G3252" s="13">
        <f ca="1">IFERROR(__xludf.DUMMYFUNCTION("IF(E3252=""USD"",C3252,C3252 * GOOGLEFINANCE(""CURRENCY:"" &amp; E3252 &amp; ""USD""))
"),52799004)</f>
        <v>52799004</v>
      </c>
    </row>
    <row r="3253" spans="1:7" ht="15.75" customHeight="1" x14ac:dyDescent="0.25">
      <c r="A3253" s="14" t="s">
        <v>24</v>
      </c>
      <c r="B3253" s="15">
        <v>2000000</v>
      </c>
      <c r="C3253" s="15">
        <v>13746550</v>
      </c>
      <c r="D3253" s="15">
        <v>2012</v>
      </c>
      <c r="E3253" s="15" t="str">
        <f>VLOOKUP(A3253, Currency!$A$2:$B$100, 2, FALSE)</f>
        <v>USD</v>
      </c>
      <c r="F3253" s="15">
        <f ca="1">IFERROR(__xludf.DUMMYFUNCTION("IF(E3253=""USD"",B3253,B3253 * GOOGLEFINANCE(""CURRENCY:"" &amp; E3253 &amp; ""USD""))
"),2000000)</f>
        <v>2000000</v>
      </c>
      <c r="G3253" s="16">
        <f ca="1">IFERROR(__xludf.DUMMYFUNCTION("IF(E3253=""USD"",C3253,C3253 * GOOGLEFINANCE(""CURRENCY:"" &amp; E3253 &amp; ""USD""))
"),13746550)</f>
        <v>13746550</v>
      </c>
    </row>
    <row r="3254" spans="1:7" ht="15.75" customHeight="1" x14ac:dyDescent="0.25">
      <c r="A3254" s="11" t="s">
        <v>133</v>
      </c>
      <c r="B3254" s="12">
        <v>26000000</v>
      </c>
      <c r="C3254" s="12">
        <v>3675072</v>
      </c>
      <c r="D3254" s="12">
        <v>2007</v>
      </c>
      <c r="E3254" s="12" t="str">
        <f>VLOOKUP(A3254, Currency!$A$2:$B$100, 2, FALSE)</f>
        <v>GBP</v>
      </c>
      <c r="F3254" s="12">
        <f ca="1">IFERROR(__xludf.DUMMYFUNCTION("IF(E3254=""USD"",B3254,B3254 * GOOGLEFINANCE(""CURRENCY:"" &amp; E3254 &amp; ""USD""))
"),33420399.9999999)</f>
        <v>33420399.999999899</v>
      </c>
      <c r="G3254" s="13">
        <f ca="1">IFERROR(__xludf.DUMMYFUNCTION("IF(E3254=""USD"",C3254,C3254 * GOOGLEFINANCE(""CURRENCY:"" &amp; E3254 &amp; ""USD""))
"),4723937.5488)</f>
        <v>4723937.5488</v>
      </c>
    </row>
    <row r="3255" spans="1:7" ht="15.75" customHeight="1" x14ac:dyDescent="0.25">
      <c r="A3255" s="14" t="s">
        <v>627</v>
      </c>
      <c r="B3255" s="15">
        <v>11000000</v>
      </c>
      <c r="C3255" s="15">
        <v>27669413</v>
      </c>
      <c r="D3255" s="15">
        <v>2009</v>
      </c>
      <c r="E3255" s="15" t="str">
        <f>VLOOKUP(A3255, Currency!$A$2:$B$100, 2, FALSE)</f>
        <v>CAD</v>
      </c>
      <c r="F3255" s="15">
        <f ca="1">IFERROR(__xludf.DUMMYFUNCTION("IF(E3255=""USD"",B3255,B3255 * GOOGLEFINANCE(""CURRENCY:"" &amp; E3255 &amp; ""USD""))
"),7957455)</f>
        <v>7957455</v>
      </c>
      <c r="G3255" s="16">
        <f ca="1">IFERROR(__xludf.DUMMYFUNCTION("IF(E3255=""USD"",C3255,C3255 * GOOGLEFINANCE(""CURRENCY:"" &amp; E3255 &amp; ""USD""))
"),20016191.7112649)</f>
        <v>20016191.711264901</v>
      </c>
    </row>
    <row r="3256" spans="1:7" ht="15.75" customHeight="1" x14ac:dyDescent="0.25">
      <c r="A3256" s="11" t="s">
        <v>24</v>
      </c>
      <c r="B3256" s="12">
        <v>70000000</v>
      </c>
      <c r="C3256" s="12">
        <v>17473245</v>
      </c>
      <c r="D3256" s="12">
        <v>2000</v>
      </c>
      <c r="E3256" s="12" t="str">
        <f>VLOOKUP(A3256, Currency!$A$2:$B$100, 2, FALSE)</f>
        <v>USD</v>
      </c>
      <c r="F3256" s="12">
        <f ca="1">IFERROR(__xludf.DUMMYFUNCTION("IF(E3256=""USD"",B3256,B3256 * GOOGLEFINANCE(""CURRENCY:"" &amp; E3256 &amp; ""USD""))
"),70000000)</f>
        <v>70000000</v>
      </c>
      <c r="G3256" s="13">
        <f ca="1">IFERROR(__xludf.DUMMYFUNCTION("IF(E3256=""USD"",C3256,C3256 * GOOGLEFINANCE(""CURRENCY:"" &amp; E3256 &amp; ""USD""))
"),17473245)</f>
        <v>17473245</v>
      </c>
    </row>
    <row r="3257" spans="1:7" ht="15.75" customHeight="1" x14ac:dyDescent="0.25">
      <c r="A3257" s="14" t="s">
        <v>24</v>
      </c>
      <c r="B3257" s="15">
        <v>140000000</v>
      </c>
      <c r="C3257" s="15">
        <v>140080850</v>
      </c>
      <c r="D3257" s="15">
        <v>2007</v>
      </c>
      <c r="E3257" s="15" t="str">
        <f>VLOOKUP(A3257, Currency!$A$2:$B$100, 2, FALSE)</f>
        <v>USD</v>
      </c>
      <c r="F3257" s="15">
        <f ca="1">IFERROR(__xludf.DUMMYFUNCTION("IF(E3257=""USD"",B3257,B3257 * GOOGLEFINANCE(""CURRENCY:"" &amp; E3257 &amp; ""USD""))
"),140000000)</f>
        <v>140000000</v>
      </c>
      <c r="G3257" s="16">
        <f ca="1">IFERROR(__xludf.DUMMYFUNCTION("IF(E3257=""USD"",C3257,C3257 * GOOGLEFINANCE(""CURRENCY:"" &amp; E3257 &amp; ""USD""))
"),140080850)</f>
        <v>140080850</v>
      </c>
    </row>
    <row r="3258" spans="1:7" ht="15.75" customHeight="1" x14ac:dyDescent="0.25">
      <c r="A3258" s="11" t="s">
        <v>24</v>
      </c>
      <c r="B3258" s="12">
        <v>40000000</v>
      </c>
      <c r="C3258" s="12">
        <v>90835030</v>
      </c>
      <c r="D3258" s="12">
        <v>2016</v>
      </c>
      <c r="E3258" s="12" t="str">
        <f>VLOOKUP(A3258, Currency!$A$2:$B$100, 2, FALSE)</f>
        <v>USD</v>
      </c>
      <c r="F3258" s="12">
        <f ca="1">IFERROR(__xludf.DUMMYFUNCTION("IF(E3258=""USD"",B3258,B3258 * GOOGLEFINANCE(""CURRENCY:"" &amp; E3258 &amp; ""USD""))
"),40000000)</f>
        <v>40000000</v>
      </c>
      <c r="G3258" s="13">
        <f ca="1">IFERROR(__xludf.DUMMYFUNCTION("IF(E3258=""USD"",C3258,C3258 * GOOGLEFINANCE(""CURRENCY:"" &amp; E3258 &amp; ""USD""))
"),90835030)</f>
        <v>90835030</v>
      </c>
    </row>
    <row r="3259" spans="1:7" ht="15.75" customHeight="1" x14ac:dyDescent="0.25">
      <c r="A3259" s="14" t="s">
        <v>24</v>
      </c>
      <c r="B3259" s="15">
        <v>92000000</v>
      </c>
      <c r="C3259" s="15">
        <v>261437578</v>
      </c>
      <c r="D3259" s="15">
        <v>2004</v>
      </c>
      <c r="E3259" s="15" t="str">
        <f>VLOOKUP(A3259, Currency!$A$2:$B$100, 2, FALSE)</f>
        <v>USD</v>
      </c>
      <c r="F3259" s="15">
        <f ca="1">IFERROR(__xludf.DUMMYFUNCTION("IF(E3259=""USD"",B3259,B3259 * GOOGLEFINANCE(""CURRENCY:"" &amp; E3259 &amp; ""USD""))
"),92000000)</f>
        <v>92000000</v>
      </c>
      <c r="G3259" s="16">
        <f ca="1">IFERROR(__xludf.DUMMYFUNCTION("IF(E3259=""USD"",C3259,C3259 * GOOGLEFINANCE(""CURRENCY:"" &amp; E3259 &amp; ""USD""))
"),261437578)</f>
        <v>261437578</v>
      </c>
    </row>
    <row r="3260" spans="1:7" ht="15.75" customHeight="1" x14ac:dyDescent="0.25">
      <c r="A3260" s="11" t="s">
        <v>24</v>
      </c>
      <c r="B3260" s="12">
        <v>34000000</v>
      </c>
      <c r="C3260" s="12">
        <v>10654581</v>
      </c>
      <c r="D3260" s="12">
        <v>1999</v>
      </c>
      <c r="E3260" s="12" t="str">
        <f>VLOOKUP(A3260, Currency!$A$2:$B$100, 2, FALSE)</f>
        <v>USD</v>
      </c>
      <c r="F3260" s="12">
        <f ca="1">IFERROR(__xludf.DUMMYFUNCTION("IF(E3260=""USD"",B3260,B3260 * GOOGLEFINANCE(""CURRENCY:"" &amp; E3260 &amp; ""USD""))
"),34000000)</f>
        <v>34000000</v>
      </c>
      <c r="G3260" s="13">
        <f ca="1">IFERROR(__xludf.DUMMYFUNCTION("IF(E3260=""USD"",C3260,C3260 * GOOGLEFINANCE(""CURRENCY:"" &amp; E3260 &amp; ""USD""))
"),10654581)</f>
        <v>10654581</v>
      </c>
    </row>
    <row r="3261" spans="1:7" ht="15.75" customHeight="1" x14ac:dyDescent="0.25">
      <c r="A3261" s="14" t="s">
        <v>1220</v>
      </c>
      <c r="B3261" s="15">
        <v>2000000</v>
      </c>
      <c r="C3261" s="15">
        <v>13622333</v>
      </c>
      <c r="D3261" s="15">
        <v>2001</v>
      </c>
      <c r="E3261" s="15" t="str">
        <f>VLOOKUP(A3261, Currency!$A$2:$B$100, 2, FALSE)</f>
        <v>MXN</v>
      </c>
      <c r="F3261" s="15">
        <f ca="1">IFERROR(__xludf.DUMMYFUNCTION("IF(E3261=""USD"",B3261,B3261 * GOOGLEFINANCE(""CURRENCY:"" &amp; E3261 &amp; ""USD""))
"),108409.38)</f>
        <v>108409.38</v>
      </c>
      <c r="G3261" s="16">
        <f ca="1">IFERROR(__xludf.DUMMYFUNCTION("IF(E3261=""USD"",C3261,C3261 * GOOGLEFINANCE(""CURRENCY:"" &amp; E3261 &amp; ""USD""))
"),738394.33734177)</f>
        <v>738394.33734176995</v>
      </c>
    </row>
    <row r="3262" spans="1:7" ht="15.75" customHeight="1" x14ac:dyDescent="0.25">
      <c r="A3262" s="11" t="s">
        <v>24</v>
      </c>
      <c r="B3262" s="12">
        <v>130000000</v>
      </c>
      <c r="C3262" s="12">
        <v>60522097</v>
      </c>
      <c r="D3262" s="12">
        <v>2013</v>
      </c>
      <c r="E3262" s="12" t="str">
        <f>VLOOKUP(A3262, Currency!$A$2:$B$100, 2, FALSE)</f>
        <v>USD</v>
      </c>
      <c r="F3262" s="12">
        <f ca="1">IFERROR(__xludf.DUMMYFUNCTION("IF(E3262=""USD"",B3262,B3262 * GOOGLEFINANCE(""CURRENCY:"" &amp; E3262 &amp; ""USD""))
"),130000000)</f>
        <v>130000000</v>
      </c>
      <c r="G3262" s="13">
        <f ca="1">IFERROR(__xludf.DUMMYFUNCTION("IF(E3262=""USD"",C3262,C3262 * GOOGLEFINANCE(""CURRENCY:"" &amp; E3262 &amp; ""USD""))
"),60522097)</f>
        <v>60522097</v>
      </c>
    </row>
    <row r="3263" spans="1:7" ht="15.75" customHeight="1" x14ac:dyDescent="0.25">
      <c r="A3263" s="14" t="s">
        <v>24</v>
      </c>
      <c r="B3263" s="15">
        <v>1000000</v>
      </c>
      <c r="C3263" s="15">
        <v>21210</v>
      </c>
      <c r="D3263" s="15">
        <v>1998</v>
      </c>
      <c r="E3263" s="15" t="str">
        <f>VLOOKUP(A3263, Currency!$A$2:$B$100, 2, FALSE)</f>
        <v>USD</v>
      </c>
      <c r="F3263" s="15">
        <f ca="1">IFERROR(__xludf.DUMMYFUNCTION("IF(E3263=""USD"",B3263,B3263 * GOOGLEFINANCE(""CURRENCY:"" &amp; E3263 &amp; ""USD""))
"),1000000)</f>
        <v>1000000</v>
      </c>
      <c r="G3263" s="16">
        <f ca="1">IFERROR(__xludf.DUMMYFUNCTION("IF(E3263=""USD"",C3263,C3263 * GOOGLEFINANCE(""CURRENCY:"" &amp; E3263 &amp; ""USD""))
"),21210)</f>
        <v>21210</v>
      </c>
    </row>
    <row r="3264" spans="1:7" ht="15.75" customHeight="1" x14ac:dyDescent="0.25">
      <c r="A3264" s="11" t="s">
        <v>24</v>
      </c>
      <c r="B3264" s="12">
        <v>160000000</v>
      </c>
      <c r="C3264" s="12">
        <v>281666058</v>
      </c>
      <c r="D3264" s="12">
        <v>2015</v>
      </c>
      <c r="E3264" s="12" t="str">
        <f>VLOOKUP(A3264, Currency!$A$2:$B$100, 2, FALSE)</f>
        <v>USD</v>
      </c>
      <c r="F3264" s="12">
        <f ca="1">IFERROR(__xludf.DUMMYFUNCTION("IF(E3264=""USD"",B3264,B3264 * GOOGLEFINANCE(""CURRENCY:"" &amp; E3264 &amp; ""USD""))
"),160000000)</f>
        <v>160000000</v>
      </c>
      <c r="G3264" s="13">
        <f ca="1">IFERROR(__xludf.DUMMYFUNCTION("IF(E3264=""USD"",C3264,C3264 * GOOGLEFINANCE(""CURRENCY:"" &amp; E3264 &amp; ""USD""))
"),281666058)</f>
        <v>281666058</v>
      </c>
    </row>
    <row r="3265" spans="1:7" ht="15.75" customHeight="1" x14ac:dyDescent="0.25">
      <c r="A3265" s="14" t="s">
        <v>24</v>
      </c>
      <c r="B3265" s="15">
        <v>27000000</v>
      </c>
      <c r="C3265" s="15">
        <v>69586544</v>
      </c>
      <c r="D3265" s="15">
        <v>2002</v>
      </c>
      <c r="E3265" s="15" t="str">
        <f>VLOOKUP(A3265, Currency!$A$2:$B$100, 2, FALSE)</f>
        <v>USD</v>
      </c>
      <c r="F3265" s="15">
        <f ca="1">IFERROR(__xludf.DUMMYFUNCTION("IF(E3265=""USD"",B3265,B3265 * GOOGLEFINANCE(""CURRENCY:"" &amp; E3265 &amp; ""USD""))
"),27000000)</f>
        <v>27000000</v>
      </c>
      <c r="G3265" s="16">
        <f ca="1">IFERROR(__xludf.DUMMYFUNCTION("IF(E3265=""USD"",C3265,C3265 * GOOGLEFINANCE(""CURRENCY:"" &amp; E3265 &amp; ""USD""))
"),69586544)</f>
        <v>69586544</v>
      </c>
    </row>
    <row r="3266" spans="1:7" ht="15.75" customHeight="1" x14ac:dyDescent="0.25">
      <c r="A3266" s="11" t="s">
        <v>24</v>
      </c>
      <c r="B3266" s="12">
        <v>7000000</v>
      </c>
      <c r="C3266" s="12">
        <v>9190525</v>
      </c>
      <c r="D3266" s="12">
        <v>2009</v>
      </c>
      <c r="E3266" s="12" t="str">
        <f>VLOOKUP(A3266, Currency!$A$2:$B$100, 2, FALSE)</f>
        <v>USD</v>
      </c>
      <c r="F3266" s="12">
        <f ca="1">IFERROR(__xludf.DUMMYFUNCTION("IF(E3266=""USD"",B3266,B3266 * GOOGLEFINANCE(""CURRENCY:"" &amp; E3266 &amp; ""USD""))
"),7000000)</f>
        <v>7000000</v>
      </c>
      <c r="G3266" s="13">
        <f ca="1">IFERROR(__xludf.DUMMYFUNCTION("IF(E3266=""USD"",C3266,C3266 * GOOGLEFINANCE(""CURRENCY:"" &amp; E3266 &amp; ""USD""))
"),9190525)</f>
        <v>9190525</v>
      </c>
    </row>
    <row r="3267" spans="1:7" ht="15.75" customHeight="1" x14ac:dyDescent="0.25">
      <c r="A3267" s="14" t="s">
        <v>24</v>
      </c>
      <c r="B3267" s="15">
        <v>15000000</v>
      </c>
      <c r="C3267" s="15">
        <v>10411980</v>
      </c>
      <c r="D3267" s="15">
        <v>2004</v>
      </c>
      <c r="E3267" s="15" t="str">
        <f>VLOOKUP(A3267, Currency!$A$2:$B$100, 2, FALSE)</f>
        <v>USD</v>
      </c>
      <c r="F3267" s="15">
        <f ca="1">IFERROR(__xludf.DUMMYFUNCTION("IF(E3267=""USD"",B3267,B3267 * GOOGLEFINANCE(""CURRENCY:"" &amp; E3267 &amp; ""USD""))
"),15000000)</f>
        <v>15000000</v>
      </c>
      <c r="G3267" s="16">
        <f ca="1">IFERROR(__xludf.DUMMYFUNCTION("IF(E3267=""USD"",C3267,C3267 * GOOGLEFINANCE(""CURRENCY:"" &amp; E3267 &amp; ""USD""))
"),10411980)</f>
        <v>10411980</v>
      </c>
    </row>
    <row r="3268" spans="1:7" ht="15.75" customHeight="1" x14ac:dyDescent="0.25">
      <c r="A3268" s="11" t="s">
        <v>24</v>
      </c>
      <c r="B3268" s="12">
        <v>27000000</v>
      </c>
      <c r="C3268" s="12">
        <v>7486906</v>
      </c>
      <c r="D3268" s="12">
        <v>2007</v>
      </c>
      <c r="E3268" s="12" t="str">
        <f>VLOOKUP(A3268, Currency!$A$2:$B$100, 2, FALSE)</f>
        <v>USD</v>
      </c>
      <c r="F3268" s="12">
        <f ca="1">IFERROR(__xludf.DUMMYFUNCTION("IF(E3268=""USD"",B3268,B3268 * GOOGLEFINANCE(""CURRENCY:"" &amp; E3268 &amp; ""USD""))
"),27000000)</f>
        <v>27000000</v>
      </c>
      <c r="G3268" s="13">
        <f ca="1">IFERROR(__xludf.DUMMYFUNCTION("IF(E3268=""USD"",C3268,C3268 * GOOGLEFINANCE(""CURRENCY:"" &amp; E3268 &amp; ""USD""))
"),7486906)</f>
        <v>7486906</v>
      </c>
    </row>
    <row r="3269" spans="1:7" ht="15.75" customHeight="1" x14ac:dyDescent="0.25">
      <c r="A3269" s="14" t="s">
        <v>24</v>
      </c>
      <c r="B3269" s="15">
        <v>6500000</v>
      </c>
      <c r="C3269" s="15">
        <v>84263837</v>
      </c>
      <c r="D3269" s="15">
        <v>2014</v>
      </c>
      <c r="E3269" s="15" t="str">
        <f>VLOOKUP(A3269, Currency!$A$2:$B$100, 2, FALSE)</f>
        <v>USD</v>
      </c>
      <c r="F3269" s="15">
        <f ca="1">IFERROR(__xludf.DUMMYFUNCTION("IF(E3269=""USD"",B3269,B3269 * GOOGLEFINANCE(""CURRENCY:"" &amp; E3269 &amp; ""USD""))
"),6500000)</f>
        <v>6500000</v>
      </c>
      <c r="G3269" s="16">
        <f ca="1">IFERROR(__xludf.DUMMYFUNCTION("IF(E3269=""USD"",C3269,C3269 * GOOGLEFINANCE(""CURRENCY:"" &amp; E3269 &amp; ""USD""))
"),84263837)</f>
        <v>84263837</v>
      </c>
    </row>
    <row r="3270" spans="1:7" ht="15.75" customHeight="1" x14ac:dyDescent="0.25">
      <c r="A3270" s="11" t="s">
        <v>133</v>
      </c>
      <c r="B3270" s="12">
        <v>18000000</v>
      </c>
      <c r="C3270" s="12">
        <v>4414535</v>
      </c>
      <c r="D3270" s="12">
        <v>1996</v>
      </c>
      <c r="E3270" s="12" t="str">
        <f>VLOOKUP(A3270, Currency!$A$2:$B$100, 2, FALSE)</f>
        <v>GBP</v>
      </c>
      <c r="F3270" s="12">
        <f ca="1">IFERROR(__xludf.DUMMYFUNCTION("IF(E3270=""USD"",B3270,B3270 * GOOGLEFINANCE(""CURRENCY:"" &amp; E3270 &amp; ""USD""))
"),23137199.9999999)</f>
        <v>23137199.999999899</v>
      </c>
      <c r="G3270" s="13">
        <f ca="1">IFERROR(__xludf.DUMMYFUNCTION("IF(E3270=""USD"",C3270,C3270 * GOOGLEFINANCE(""CURRENCY:"" &amp; E3270 &amp; ""USD""))
"),5674443.289)</f>
        <v>5674443.2889999999</v>
      </c>
    </row>
    <row r="3271" spans="1:7" ht="15.75" customHeight="1" x14ac:dyDescent="0.25">
      <c r="A3271" s="14" t="s">
        <v>24</v>
      </c>
      <c r="B3271" s="15">
        <v>18000000</v>
      </c>
      <c r="C3271" s="15">
        <v>15155772</v>
      </c>
      <c r="D3271" s="15">
        <v>2014</v>
      </c>
      <c r="E3271" s="15" t="str">
        <f>VLOOKUP(A3271, Currency!$A$2:$B$100, 2, FALSE)</f>
        <v>USD</v>
      </c>
      <c r="F3271" s="15">
        <f ca="1">IFERROR(__xludf.DUMMYFUNCTION("IF(E3271=""USD"",B3271,B3271 * GOOGLEFINANCE(""CURRENCY:"" &amp; E3271 &amp; ""USD""))
"),18000000)</f>
        <v>18000000</v>
      </c>
      <c r="G3271" s="16">
        <f ca="1">IFERROR(__xludf.DUMMYFUNCTION("IF(E3271=""USD"",C3271,C3271 * GOOGLEFINANCE(""CURRENCY:"" &amp; E3271 &amp; ""USD""))
"),15155772)</f>
        <v>15155772</v>
      </c>
    </row>
    <row r="3272" spans="1:7" ht="15.75" customHeight="1" x14ac:dyDescent="0.25">
      <c r="A3272" s="11" t="s">
        <v>24</v>
      </c>
      <c r="B3272" s="12">
        <v>45000000</v>
      </c>
      <c r="C3272" s="12">
        <v>66790248</v>
      </c>
      <c r="D3272" s="12">
        <v>2002</v>
      </c>
      <c r="E3272" s="12" t="str">
        <f>VLOOKUP(A3272, Currency!$A$2:$B$100, 2, FALSE)</f>
        <v>USD</v>
      </c>
      <c r="F3272" s="12">
        <f ca="1">IFERROR(__xludf.DUMMYFUNCTION("IF(E3272=""USD"",B3272,B3272 * GOOGLEFINANCE(""CURRENCY:"" &amp; E3272 &amp; ""USD""))
"),45000000)</f>
        <v>45000000</v>
      </c>
      <c r="G3272" s="13">
        <f ca="1">IFERROR(__xludf.DUMMYFUNCTION("IF(E3272=""USD"",C3272,C3272 * GOOGLEFINANCE(""CURRENCY:"" &amp; E3272 &amp; ""USD""))
"),66790248)</f>
        <v>66790248</v>
      </c>
    </row>
    <row r="3273" spans="1:7" ht="15.75" customHeight="1" x14ac:dyDescent="0.25">
      <c r="A3273" s="14" t="s">
        <v>24</v>
      </c>
      <c r="B3273" s="15">
        <v>20000000</v>
      </c>
      <c r="C3273" s="15">
        <v>25077977</v>
      </c>
      <c r="D3273" s="15">
        <v>2010</v>
      </c>
      <c r="E3273" s="15" t="str">
        <f>VLOOKUP(A3273, Currency!$A$2:$B$100, 2, FALSE)</f>
        <v>USD</v>
      </c>
      <c r="F3273" s="15">
        <f ca="1">IFERROR(__xludf.DUMMYFUNCTION("IF(E3273=""USD"",B3273,B3273 * GOOGLEFINANCE(""CURRENCY:"" &amp; E3273 &amp; ""USD""))
"),20000000)</f>
        <v>20000000</v>
      </c>
      <c r="G3273" s="16">
        <f ca="1">IFERROR(__xludf.DUMMYFUNCTION("IF(E3273=""USD"",C3273,C3273 * GOOGLEFINANCE(""CURRENCY:"" &amp; E3273 &amp; ""USD""))
"),25077977)</f>
        <v>25077977</v>
      </c>
    </row>
    <row r="3274" spans="1:7" ht="15.75" customHeight="1" x14ac:dyDescent="0.25">
      <c r="A3274" s="11" t="s">
        <v>24</v>
      </c>
      <c r="B3274" s="12">
        <v>3000000</v>
      </c>
      <c r="C3274" s="12">
        <v>7888703</v>
      </c>
      <c r="D3274" s="12">
        <v>1987</v>
      </c>
      <c r="E3274" s="12" t="str">
        <f>VLOOKUP(A3274, Currency!$A$2:$B$100, 2, FALSE)</f>
        <v>USD</v>
      </c>
      <c r="F3274" s="12">
        <f ca="1">IFERROR(__xludf.DUMMYFUNCTION("IF(E3274=""USD"",B3274,B3274 * GOOGLEFINANCE(""CURRENCY:"" &amp; E3274 &amp; ""USD""))
"),3000000)</f>
        <v>3000000</v>
      </c>
      <c r="G3274" s="13">
        <f ca="1">IFERROR(__xludf.DUMMYFUNCTION("IF(E3274=""USD"",C3274,C3274 * GOOGLEFINANCE(""CURRENCY:"" &amp; E3274 &amp; ""USD""))
"),7888703)</f>
        <v>7888703</v>
      </c>
    </row>
    <row r="3275" spans="1:7" ht="15.75" customHeight="1" x14ac:dyDescent="0.25">
      <c r="A3275" s="14" t="s">
        <v>24</v>
      </c>
      <c r="B3275" s="15">
        <v>12000000</v>
      </c>
      <c r="C3275" s="15">
        <v>1506998</v>
      </c>
      <c r="D3275" s="15">
        <v>2007</v>
      </c>
      <c r="E3275" s="15" t="str">
        <f>VLOOKUP(A3275, Currency!$A$2:$B$100, 2, FALSE)</f>
        <v>USD</v>
      </c>
      <c r="F3275" s="15">
        <f ca="1">IFERROR(__xludf.DUMMYFUNCTION("IF(E3275=""USD"",B3275,B3275 * GOOGLEFINANCE(""CURRENCY:"" &amp; E3275 &amp; ""USD""))
"),12000000)</f>
        <v>12000000</v>
      </c>
      <c r="G3275" s="16">
        <f ca="1">IFERROR(__xludf.DUMMYFUNCTION("IF(E3275=""USD"",C3275,C3275 * GOOGLEFINANCE(""CURRENCY:"" &amp; E3275 &amp; ""USD""))
"),1506998)</f>
        <v>1506998</v>
      </c>
    </row>
    <row r="3276" spans="1:7" ht="15.75" customHeight="1" x14ac:dyDescent="0.25">
      <c r="A3276" s="11" t="s">
        <v>596</v>
      </c>
      <c r="B3276" s="12">
        <v>13000000</v>
      </c>
      <c r="C3276" s="12">
        <v>14677654</v>
      </c>
      <c r="D3276" s="12">
        <v>2015</v>
      </c>
      <c r="E3276" s="12" t="str">
        <f>VLOOKUP(A3276, Currency!$A$2:$B$100, 2, FALSE)</f>
        <v>EUR</v>
      </c>
      <c r="F3276" s="12">
        <f ca="1">IFERROR(__xludf.DUMMYFUNCTION("IF(E3276=""USD"",B3276,B3276 * GOOGLEFINANCE(""CURRENCY:"" &amp; E3276 &amp; ""USD""))
"),14101620)</f>
        <v>14101620</v>
      </c>
      <c r="G3276" s="13">
        <f ca="1">IFERROR(__xludf.DUMMYFUNCTION("IF(E3276=""USD"",C3276,C3276 * GOOGLEFINANCE(""CURRENCY:"" &amp; E3276 &amp; ""USD""))
"),15921438.39996)</f>
        <v>15921438.39996</v>
      </c>
    </row>
    <row r="3277" spans="1:7" ht="15.75" customHeight="1" x14ac:dyDescent="0.25">
      <c r="A3277" s="14" t="s">
        <v>133</v>
      </c>
      <c r="B3277" s="15">
        <v>13500000</v>
      </c>
      <c r="C3277" s="15">
        <v>7060876</v>
      </c>
      <c r="D3277" s="15">
        <v>2000</v>
      </c>
      <c r="E3277" s="15" t="str">
        <f>VLOOKUP(A3277, Currency!$A$2:$B$100, 2, FALSE)</f>
        <v>GBP</v>
      </c>
      <c r="F3277" s="15">
        <f ca="1">IFERROR(__xludf.DUMMYFUNCTION("IF(E3277=""USD"",B3277,B3277 * GOOGLEFINANCE(""CURRENCY:"" &amp; E3277 &amp; ""USD""))
"),17352900)</f>
        <v>17352900</v>
      </c>
      <c r="G3277" s="16">
        <f ca="1">IFERROR(__xludf.DUMMYFUNCTION("IF(E3277=""USD"",C3277,C3277 * GOOGLEFINANCE(""CURRENCY:"" &amp; E3277 &amp; ""USD""))
"),9076050.0104)</f>
        <v>9076050.0103999991</v>
      </c>
    </row>
    <row r="3278" spans="1:7" ht="15.75" customHeight="1" x14ac:dyDescent="0.25">
      <c r="A3278" s="11" t="s">
        <v>24</v>
      </c>
      <c r="B3278" s="12">
        <v>250000</v>
      </c>
      <c r="C3278" s="12">
        <v>3388210</v>
      </c>
      <c r="D3278" s="12">
        <v>2011</v>
      </c>
      <c r="E3278" s="12" t="str">
        <f>VLOOKUP(A3278, Currency!$A$2:$B$100, 2, FALSE)</f>
        <v>USD</v>
      </c>
      <c r="F3278" s="12">
        <f ca="1">IFERROR(__xludf.DUMMYFUNCTION("IF(E3278=""USD"",B3278,B3278 * GOOGLEFINANCE(""CURRENCY:"" &amp; E3278 &amp; ""USD""))
"),250000)</f>
        <v>250000</v>
      </c>
      <c r="G3278" s="13">
        <f ca="1">IFERROR(__xludf.DUMMYFUNCTION("IF(E3278=""USD"",C3278,C3278 * GOOGLEFINANCE(""CURRENCY:"" &amp; E3278 &amp; ""USD""))
"),3388210)</f>
        <v>3388210</v>
      </c>
    </row>
    <row r="3279" spans="1:7" ht="15.75" customHeight="1" x14ac:dyDescent="0.25">
      <c r="A3279" s="14" t="s">
        <v>1111</v>
      </c>
      <c r="B3279" s="15">
        <v>70000000</v>
      </c>
      <c r="C3279" s="15">
        <v>42194060</v>
      </c>
      <c r="D3279" s="15">
        <v>2009</v>
      </c>
      <c r="E3279" s="15" t="str">
        <f>VLOOKUP(A3279, Currency!$A$2:$B$100, 2, FALSE)</f>
        <v>EUR</v>
      </c>
      <c r="F3279" s="15">
        <f ca="1">IFERROR(__xludf.DUMMYFUNCTION("IF(E3279=""USD"",B3279,B3279 * GOOGLEFINANCE(""CURRENCY:"" &amp; E3279 &amp; ""USD""))
"),75931800)</f>
        <v>75931800</v>
      </c>
      <c r="G3279" s="16">
        <f ca="1">IFERROR(__xludf.DUMMYFUNCTION("IF(E3279=""USD"",C3279,C3279 * GOOGLEFINANCE(""CURRENCY:"" &amp; E3279 &amp; ""USD""))
"),45769584.6444)</f>
        <v>45769584.644400001</v>
      </c>
    </row>
    <row r="3280" spans="1:7" ht="15.75" customHeight="1" x14ac:dyDescent="0.25">
      <c r="A3280" s="11" t="s">
        <v>24</v>
      </c>
      <c r="B3280" s="12">
        <v>126000000</v>
      </c>
      <c r="C3280" s="12">
        <v>35799026</v>
      </c>
      <c r="D3280" s="12">
        <v>2005</v>
      </c>
      <c r="E3280" s="12" t="str">
        <f>VLOOKUP(A3280, Currency!$A$2:$B$100, 2, FALSE)</f>
        <v>USD</v>
      </c>
      <c r="F3280" s="12">
        <f ca="1">IFERROR(__xludf.DUMMYFUNCTION("IF(E3280=""USD"",B3280,B3280 * GOOGLEFINANCE(""CURRENCY:"" &amp; E3280 &amp; ""USD""))
"),126000000)</f>
        <v>126000000</v>
      </c>
      <c r="G3280" s="13">
        <f ca="1">IFERROR(__xludf.DUMMYFUNCTION("IF(E3280=""USD"",C3280,C3280 * GOOGLEFINANCE(""CURRENCY:"" &amp; E3280 &amp; ""USD""))
"),35799026)</f>
        <v>35799026</v>
      </c>
    </row>
    <row r="3281" spans="1:7" ht="15.75" customHeight="1" x14ac:dyDescent="0.25">
      <c r="A3281" s="14" t="s">
        <v>24</v>
      </c>
      <c r="B3281" s="15">
        <v>100000000</v>
      </c>
      <c r="C3281" s="15">
        <v>180011740</v>
      </c>
      <c r="D3281" s="15">
        <v>2001</v>
      </c>
      <c r="E3281" s="15" t="str">
        <f>VLOOKUP(A3281, Currency!$A$2:$B$100, 2, FALSE)</f>
        <v>USD</v>
      </c>
      <c r="F3281" s="15">
        <f ca="1">IFERROR(__xludf.DUMMYFUNCTION("IF(E3281=""USD"",B3281,B3281 * GOOGLEFINANCE(""CURRENCY:"" &amp; E3281 &amp; ""USD""))
"),100000000)</f>
        <v>100000000</v>
      </c>
      <c r="G3281" s="16">
        <f ca="1">IFERROR(__xludf.DUMMYFUNCTION("IF(E3281=""USD"",C3281,C3281 * GOOGLEFINANCE(""CURRENCY:"" &amp; E3281 &amp; ""USD""))
"),180011740)</f>
        <v>180011740</v>
      </c>
    </row>
    <row r="3282" spans="1:7" ht="15.75" customHeight="1" x14ac:dyDescent="0.25">
      <c r="A3282" s="11" t="s">
        <v>24</v>
      </c>
      <c r="B3282" s="12">
        <v>7000000</v>
      </c>
      <c r="C3282" s="12">
        <v>8373585</v>
      </c>
      <c r="D3282" s="12">
        <v>1988</v>
      </c>
      <c r="E3282" s="12" t="str">
        <f>VLOOKUP(A3282, Currency!$A$2:$B$100, 2, FALSE)</f>
        <v>USD</v>
      </c>
      <c r="F3282" s="12">
        <f ca="1">IFERROR(__xludf.DUMMYFUNCTION("IF(E3282=""USD"",B3282,B3282 * GOOGLEFINANCE(""CURRENCY:"" &amp; E3282 &amp; ""USD""))
"),7000000)</f>
        <v>7000000</v>
      </c>
      <c r="G3282" s="13">
        <f ca="1">IFERROR(__xludf.DUMMYFUNCTION("IF(E3282=""USD"",C3282,C3282 * GOOGLEFINANCE(""CURRENCY:"" &amp; E3282 &amp; ""USD""))
"),8373585)</f>
        <v>8373585</v>
      </c>
    </row>
    <row r="3283" spans="1:7" ht="15.75" customHeight="1" x14ac:dyDescent="0.25">
      <c r="A3283" s="14" t="s">
        <v>24</v>
      </c>
      <c r="B3283" s="15">
        <v>10000000</v>
      </c>
      <c r="C3283" s="15">
        <v>1939441</v>
      </c>
      <c r="D3283" s="15">
        <v>2012</v>
      </c>
      <c r="E3283" s="15" t="str">
        <f>VLOOKUP(A3283, Currency!$A$2:$B$100, 2, FALSE)</f>
        <v>USD</v>
      </c>
      <c r="F3283" s="15">
        <f ca="1">IFERROR(__xludf.DUMMYFUNCTION("IF(E3283=""USD"",B3283,B3283 * GOOGLEFINANCE(""CURRENCY:"" &amp; E3283 &amp; ""USD""))
"),10000000)</f>
        <v>10000000</v>
      </c>
      <c r="G3283" s="16">
        <f ca="1">IFERROR(__xludf.DUMMYFUNCTION("IF(E3283=""USD"",C3283,C3283 * GOOGLEFINANCE(""CURRENCY:"" &amp; E3283 &amp; ""USD""))
"),1939441)</f>
        <v>1939441</v>
      </c>
    </row>
    <row r="3284" spans="1:7" ht="15.75" customHeight="1" x14ac:dyDescent="0.25">
      <c r="A3284" s="11" t="s">
        <v>24</v>
      </c>
      <c r="B3284" s="12">
        <v>50000000</v>
      </c>
      <c r="C3284" s="12">
        <v>25407250</v>
      </c>
      <c r="D3284" s="12">
        <v>1996</v>
      </c>
      <c r="E3284" s="12" t="str">
        <f>VLOOKUP(A3284, Currency!$A$2:$B$100, 2, FALSE)</f>
        <v>USD</v>
      </c>
      <c r="F3284" s="12">
        <f ca="1">IFERROR(__xludf.DUMMYFUNCTION("IF(E3284=""USD"",B3284,B3284 * GOOGLEFINANCE(""CURRENCY:"" &amp; E3284 &amp; ""USD""))
"),50000000)</f>
        <v>50000000</v>
      </c>
      <c r="G3284" s="13">
        <f ca="1">IFERROR(__xludf.DUMMYFUNCTION("IF(E3284=""USD"",C3284,C3284 * GOOGLEFINANCE(""CURRENCY:"" &amp; E3284 &amp; ""USD""))
"),25407250)</f>
        <v>25407250</v>
      </c>
    </row>
    <row r="3285" spans="1:7" ht="15.75" customHeight="1" x14ac:dyDescent="0.25">
      <c r="A3285" s="14" t="s">
        <v>24</v>
      </c>
      <c r="B3285" s="15">
        <v>28000000</v>
      </c>
      <c r="C3285" s="15">
        <v>17324744</v>
      </c>
      <c r="D3285" s="15">
        <v>2006</v>
      </c>
      <c r="E3285" s="15" t="str">
        <f>VLOOKUP(A3285, Currency!$A$2:$B$100, 2, FALSE)</f>
        <v>USD</v>
      </c>
      <c r="F3285" s="15">
        <f ca="1">IFERROR(__xludf.DUMMYFUNCTION("IF(E3285=""USD"",B3285,B3285 * GOOGLEFINANCE(""CURRENCY:"" &amp; E3285 &amp; ""USD""))
"),28000000)</f>
        <v>28000000</v>
      </c>
      <c r="G3285" s="16">
        <f ca="1">IFERROR(__xludf.DUMMYFUNCTION("IF(E3285=""USD"",C3285,C3285 * GOOGLEFINANCE(""CURRENCY:"" &amp; E3285 &amp; ""USD""))
"),17324744)</f>
        <v>17324744</v>
      </c>
    </row>
    <row r="3286" spans="1:7" ht="15.75" customHeight="1" x14ac:dyDescent="0.25">
      <c r="A3286" s="11" t="s">
        <v>24</v>
      </c>
      <c r="B3286" s="12">
        <v>1700000</v>
      </c>
      <c r="C3286" s="12">
        <v>183490</v>
      </c>
      <c r="D3286" s="12">
        <v>2010</v>
      </c>
      <c r="E3286" s="12" t="str">
        <f>VLOOKUP(A3286, Currency!$A$2:$B$100, 2, FALSE)</f>
        <v>USD</v>
      </c>
      <c r="F3286" s="12">
        <f ca="1">IFERROR(__xludf.DUMMYFUNCTION("IF(E3286=""USD"",B3286,B3286 * GOOGLEFINANCE(""CURRENCY:"" &amp; E3286 &amp; ""USD""))
"),1700000)</f>
        <v>1700000</v>
      </c>
      <c r="G3286" s="13">
        <f ca="1">IFERROR(__xludf.DUMMYFUNCTION("IF(E3286=""USD"",C3286,C3286 * GOOGLEFINANCE(""CURRENCY:"" &amp; E3286 &amp; ""USD""))
"),183490)</f>
        <v>183490</v>
      </c>
    </row>
    <row r="3287" spans="1:7" ht="15.75" customHeight="1" x14ac:dyDescent="0.25">
      <c r="A3287" s="14" t="s">
        <v>24</v>
      </c>
      <c r="B3287" s="15">
        <v>36000000</v>
      </c>
      <c r="C3287" s="15">
        <v>2954405</v>
      </c>
      <c r="D3287" s="15">
        <v>2000</v>
      </c>
      <c r="E3287" s="15" t="str">
        <f>VLOOKUP(A3287, Currency!$A$2:$B$100, 2, FALSE)</f>
        <v>USD</v>
      </c>
      <c r="F3287" s="15">
        <f ca="1">IFERROR(__xludf.DUMMYFUNCTION("IF(E3287=""USD"",B3287,B3287 * GOOGLEFINANCE(""CURRENCY:"" &amp; E3287 &amp; ""USD""))
"),36000000)</f>
        <v>36000000</v>
      </c>
      <c r="G3287" s="16">
        <f ca="1">IFERROR(__xludf.DUMMYFUNCTION("IF(E3287=""USD"",C3287,C3287 * GOOGLEFINANCE(""CURRENCY:"" &amp; E3287 &amp; ""USD""))
"),2954405)</f>
        <v>2954405</v>
      </c>
    </row>
    <row r="3288" spans="1:7" ht="15.75" customHeight="1" x14ac:dyDescent="0.25">
      <c r="A3288" s="11" t="s">
        <v>24</v>
      </c>
      <c r="B3288" s="12">
        <v>20000000</v>
      </c>
      <c r="C3288" s="12">
        <v>121697350</v>
      </c>
      <c r="D3288" s="12">
        <v>1992</v>
      </c>
      <c r="E3288" s="12" t="str">
        <f>VLOOKUP(A3288, Currency!$A$2:$B$100, 2, FALSE)</f>
        <v>USD</v>
      </c>
      <c r="F3288" s="12">
        <f ca="1">IFERROR(__xludf.DUMMYFUNCTION("IF(E3288=""USD"",B3288,B3288 * GOOGLEFINANCE(""CURRENCY:"" &amp; E3288 &amp; ""USD""))
"),20000000)</f>
        <v>20000000</v>
      </c>
      <c r="G3288" s="13">
        <f ca="1">IFERROR(__xludf.DUMMYFUNCTION("IF(E3288=""USD"",C3288,C3288 * GOOGLEFINANCE(""CURRENCY:"" &amp; E3288 &amp; ""USD""))
"),121697350)</f>
        <v>121697350</v>
      </c>
    </row>
    <row r="3289" spans="1:7" ht="15.75" customHeight="1" x14ac:dyDescent="0.25">
      <c r="A3289" s="14" t="s">
        <v>133</v>
      </c>
      <c r="B3289" s="15">
        <v>20000000</v>
      </c>
      <c r="C3289" s="15">
        <v>12134420</v>
      </c>
      <c r="D3289" s="15">
        <v>2010</v>
      </c>
      <c r="E3289" s="15" t="str">
        <f>VLOOKUP(A3289, Currency!$A$2:$B$100, 2, FALSE)</f>
        <v>GBP</v>
      </c>
      <c r="F3289" s="15">
        <f ca="1">IFERROR(__xludf.DUMMYFUNCTION("IF(E3289=""USD"",B3289,B3289 * GOOGLEFINANCE(""CURRENCY:"" &amp; E3289 &amp; ""USD""))
"),25707999.9999999)</f>
        <v>25707999.999999899</v>
      </c>
      <c r="G3289" s="16">
        <f ca="1">IFERROR(__xludf.DUMMYFUNCTION("IF(E3289=""USD"",C3289,C3289 * GOOGLEFINANCE(""CURRENCY:"" &amp; E3289 &amp; ""USD""))
"),15597583.4679999)</f>
        <v>15597583.4679999</v>
      </c>
    </row>
    <row r="3290" spans="1:7" ht="15.75" customHeight="1" x14ac:dyDescent="0.25">
      <c r="A3290" s="11" t="s">
        <v>24</v>
      </c>
      <c r="B3290" s="12">
        <v>500000</v>
      </c>
      <c r="C3290" s="12">
        <v>1111615</v>
      </c>
      <c r="D3290" s="12">
        <v>2003</v>
      </c>
      <c r="E3290" s="12" t="str">
        <f>VLOOKUP(A3290, Currency!$A$2:$B$100, 2, FALSE)</f>
        <v>USD</v>
      </c>
      <c r="F3290" s="12">
        <f ca="1">IFERROR(__xludf.DUMMYFUNCTION("IF(E3290=""USD"",B3290,B3290 * GOOGLEFINANCE(""CURRENCY:"" &amp; E3290 &amp; ""USD""))
"),500000)</f>
        <v>500000</v>
      </c>
      <c r="G3290" s="13">
        <f ca="1">IFERROR(__xludf.DUMMYFUNCTION("IF(E3290=""USD"",C3290,C3290 * GOOGLEFINANCE(""CURRENCY:"" &amp; E3290 &amp; ""USD""))
"),1111615)</f>
        <v>1111615</v>
      </c>
    </row>
    <row r="3291" spans="1:7" ht="15.75" customHeight="1" x14ac:dyDescent="0.25">
      <c r="A3291" s="14" t="s">
        <v>24</v>
      </c>
      <c r="B3291" s="15">
        <v>19000000</v>
      </c>
      <c r="C3291" s="15">
        <v>35033759</v>
      </c>
      <c r="D3291" s="15">
        <v>2011</v>
      </c>
      <c r="E3291" s="15" t="str">
        <f>VLOOKUP(A3291, Currency!$A$2:$B$100, 2, FALSE)</f>
        <v>USD</v>
      </c>
      <c r="F3291" s="15">
        <f ca="1">IFERROR(__xludf.DUMMYFUNCTION("IF(E3291=""USD"",B3291,B3291 * GOOGLEFINANCE(""CURRENCY:"" &amp; E3291 &amp; ""USD""))
"),19000000)</f>
        <v>19000000</v>
      </c>
      <c r="G3291" s="16">
        <f ca="1">IFERROR(__xludf.DUMMYFUNCTION("IF(E3291=""USD"",C3291,C3291 * GOOGLEFINANCE(""CURRENCY:"" &amp; E3291 &amp; ""USD""))
"),35033759)</f>
        <v>35033759</v>
      </c>
    </row>
    <row r="3292" spans="1:7" ht="15.75" customHeight="1" x14ac:dyDescent="0.25">
      <c r="A3292" s="11" t="s">
        <v>24</v>
      </c>
      <c r="B3292" s="12">
        <v>26000000</v>
      </c>
      <c r="C3292" s="12">
        <v>46455802</v>
      </c>
      <c r="D3292" s="12">
        <v>2003</v>
      </c>
      <c r="E3292" s="12" t="str">
        <f>VLOOKUP(A3292, Currency!$A$2:$B$100, 2, FALSE)</f>
        <v>USD</v>
      </c>
      <c r="F3292" s="12">
        <f ca="1">IFERROR(__xludf.DUMMYFUNCTION("IF(E3292=""USD"",B3292,B3292 * GOOGLEFINANCE(""CURRENCY:"" &amp; E3292 &amp; ""USD""))
"),26000000)</f>
        <v>26000000</v>
      </c>
      <c r="G3292" s="13">
        <f ca="1">IFERROR(__xludf.DUMMYFUNCTION("IF(E3292=""USD"",C3292,C3292 * GOOGLEFINANCE(""CURRENCY:"" &amp; E3292 &amp; ""USD""))
"),46455802)</f>
        <v>46455802</v>
      </c>
    </row>
    <row r="3293" spans="1:7" ht="15.75" customHeight="1" x14ac:dyDescent="0.25">
      <c r="A3293" s="14" t="s">
        <v>24</v>
      </c>
      <c r="B3293" s="15">
        <v>4000000</v>
      </c>
      <c r="C3293" s="15">
        <v>36000000</v>
      </c>
      <c r="D3293" s="15">
        <v>1952</v>
      </c>
      <c r="E3293" s="15" t="str">
        <f>VLOOKUP(A3293, Currency!$A$2:$B$100, 2, FALSE)</f>
        <v>USD</v>
      </c>
      <c r="F3293" s="15">
        <f ca="1">IFERROR(__xludf.DUMMYFUNCTION("IF(E3293=""USD"",B3293,B3293 * GOOGLEFINANCE(""CURRENCY:"" &amp; E3293 &amp; ""USD""))
"),4000000)</f>
        <v>4000000</v>
      </c>
      <c r="G3293" s="16">
        <f ca="1">IFERROR(__xludf.DUMMYFUNCTION("IF(E3293=""USD"",C3293,C3293 * GOOGLEFINANCE(""CURRENCY:"" &amp; E3293 &amp; ""USD""))
"),36000000)</f>
        <v>36000000</v>
      </c>
    </row>
    <row r="3294" spans="1:7" ht="15.75" customHeight="1" x14ac:dyDescent="0.25">
      <c r="A3294" s="11" t="s">
        <v>24</v>
      </c>
      <c r="B3294" s="12">
        <v>777000</v>
      </c>
      <c r="C3294" s="12">
        <v>115000000</v>
      </c>
      <c r="D3294" s="12">
        <v>1973</v>
      </c>
      <c r="E3294" s="12" t="str">
        <f>VLOOKUP(A3294, Currency!$A$2:$B$100, 2, FALSE)</f>
        <v>USD</v>
      </c>
      <c r="F3294" s="12">
        <f ca="1">IFERROR(__xludf.DUMMYFUNCTION("IF(E3294=""USD"",B3294,B3294 * GOOGLEFINANCE(""CURRENCY:"" &amp; E3294 &amp; ""USD""))
"),777000)</f>
        <v>777000</v>
      </c>
      <c r="G3294" s="13">
        <f ca="1">IFERROR(__xludf.DUMMYFUNCTION("IF(E3294=""USD"",C3294,C3294 * GOOGLEFINANCE(""CURRENCY:"" &amp; E3294 &amp; ""USD""))
"),115000000)</f>
        <v>115000000</v>
      </c>
    </row>
    <row r="3295" spans="1:7" ht="15.75" customHeight="1" x14ac:dyDescent="0.25">
      <c r="A3295" s="14" t="s">
        <v>24</v>
      </c>
      <c r="B3295" s="15">
        <v>32000000</v>
      </c>
      <c r="C3295" s="15">
        <v>54696902</v>
      </c>
      <c r="D3295" s="15">
        <v>2011</v>
      </c>
      <c r="E3295" s="15" t="str">
        <f>VLOOKUP(A3295, Currency!$A$2:$B$100, 2, FALSE)</f>
        <v>USD</v>
      </c>
      <c r="F3295" s="15">
        <f ca="1">IFERROR(__xludf.DUMMYFUNCTION("IF(E3295=""USD"",B3295,B3295 * GOOGLEFINANCE(""CURRENCY:"" &amp; E3295 &amp; ""USD""))
"),32000000)</f>
        <v>32000000</v>
      </c>
      <c r="G3295" s="16">
        <f ca="1">IFERROR(__xludf.DUMMYFUNCTION("IF(E3295=""USD"",C3295,C3295 * GOOGLEFINANCE(""CURRENCY:"" &amp; E3295 &amp; ""USD""))
"),54696902)</f>
        <v>54696902</v>
      </c>
    </row>
    <row r="3296" spans="1:7" ht="15.75" customHeight="1" x14ac:dyDescent="0.25">
      <c r="A3296" s="11" t="s">
        <v>24</v>
      </c>
      <c r="B3296" s="12">
        <v>20000000</v>
      </c>
      <c r="C3296" s="12">
        <v>80050171</v>
      </c>
      <c r="D3296" s="12">
        <v>2007</v>
      </c>
      <c r="E3296" s="12" t="str">
        <f>VLOOKUP(A3296, Currency!$A$2:$B$100, 2, FALSE)</f>
        <v>USD</v>
      </c>
      <c r="F3296" s="12">
        <f ca="1">IFERROR(__xludf.DUMMYFUNCTION("IF(E3296=""USD"",B3296,B3296 * GOOGLEFINANCE(""CURRENCY:"" &amp; E3296 &amp; ""USD""))
"),20000000)</f>
        <v>20000000</v>
      </c>
      <c r="G3296" s="13">
        <f ca="1">IFERROR(__xludf.DUMMYFUNCTION("IF(E3296=""USD"",C3296,C3296 * GOOGLEFINANCE(""CURRENCY:"" &amp; E3296 &amp; ""USD""))
"),80050171)</f>
        <v>80050171</v>
      </c>
    </row>
    <row r="3297" spans="1:7" ht="15.75" customHeight="1" x14ac:dyDescent="0.25">
      <c r="A3297" s="14" t="s">
        <v>24</v>
      </c>
      <c r="B3297" s="15">
        <v>20000000</v>
      </c>
      <c r="C3297" s="15">
        <v>13383737</v>
      </c>
      <c r="D3297" s="15">
        <v>1994</v>
      </c>
      <c r="E3297" s="15" t="str">
        <f>VLOOKUP(A3297, Currency!$A$2:$B$100, 2, FALSE)</f>
        <v>USD</v>
      </c>
      <c r="F3297" s="15">
        <f ca="1">IFERROR(__xludf.DUMMYFUNCTION("IF(E3297=""USD"",B3297,B3297 * GOOGLEFINANCE(""CURRENCY:"" &amp; E3297 &amp; ""USD""))
"),20000000)</f>
        <v>20000000</v>
      </c>
      <c r="G3297" s="16">
        <f ca="1">IFERROR(__xludf.DUMMYFUNCTION("IF(E3297=""USD"",C3297,C3297 * GOOGLEFINANCE(""CURRENCY:"" &amp; E3297 &amp; ""USD""))
"),13383737)</f>
        <v>13383737</v>
      </c>
    </row>
    <row r="3298" spans="1:7" ht="15.75" customHeight="1" x14ac:dyDescent="0.25">
      <c r="A3298" s="11" t="s">
        <v>133</v>
      </c>
      <c r="B3298" s="12">
        <v>55000000</v>
      </c>
      <c r="C3298" s="12">
        <v>76137505</v>
      </c>
      <c r="D3298" s="12">
        <v>2014</v>
      </c>
      <c r="E3298" s="12" t="str">
        <f>VLOOKUP(A3298, Currency!$A$2:$B$100, 2, FALSE)</f>
        <v>GBP</v>
      </c>
      <c r="F3298" s="12">
        <f ca="1">IFERROR(__xludf.DUMMYFUNCTION("IF(E3298=""USD"",B3298,B3298 * GOOGLEFINANCE(""CURRENCY:"" &amp; E3298 &amp; ""USD""))
"),70697000)</f>
        <v>70697000</v>
      </c>
      <c r="G3298" s="13">
        <f ca="1">IFERROR(__xludf.DUMMYFUNCTION("IF(E3298=""USD"",C3298,C3298 * GOOGLEFINANCE(""CURRENCY:"" &amp; E3298 &amp; ""USD""))
"),97867148.9269999)</f>
        <v>97867148.926999897</v>
      </c>
    </row>
    <row r="3299" spans="1:7" ht="15.75" customHeight="1" x14ac:dyDescent="0.25">
      <c r="A3299" s="14" t="s">
        <v>4041</v>
      </c>
      <c r="B3299" s="15">
        <v>45000000</v>
      </c>
      <c r="C3299" s="15">
        <v>145109</v>
      </c>
      <c r="D3299" s="15">
        <v>2008</v>
      </c>
      <c r="E3299" s="15" t="str">
        <f>VLOOKUP(A3299, Currency!$A$2:$B$100, 2, FALSE)</f>
        <v>DKK</v>
      </c>
      <c r="F3299" s="15">
        <f ca="1">IFERROR(__xludf.DUMMYFUNCTION("IF(E3299=""USD"",B3299,B3299 * GOOGLEFINANCE(""CURRENCY:"" &amp; E3299 &amp; ""USD""))
"),6540412.49999999)</f>
        <v>6540412.4999999898</v>
      </c>
      <c r="G3299" s="16">
        <f ca="1">IFERROR(__xludf.DUMMYFUNCTION("IF(E3299=""USD"",C3299,C3299 * GOOGLEFINANCE(""CURRENCY:"" &amp; E3299 &amp; ""USD""))
"),21090.5048325)</f>
        <v>21090.504832499999</v>
      </c>
    </row>
    <row r="3300" spans="1:7" ht="15.75" customHeight="1" x14ac:dyDescent="0.25">
      <c r="A3300" s="11" t="s">
        <v>24</v>
      </c>
      <c r="B3300" s="12">
        <v>15000000</v>
      </c>
      <c r="C3300" s="12">
        <v>26161406</v>
      </c>
      <c r="D3300" s="12">
        <v>2010</v>
      </c>
      <c r="E3300" s="12" t="str">
        <f>VLOOKUP(A3300, Currency!$A$2:$B$100, 2, FALSE)</f>
        <v>USD</v>
      </c>
      <c r="F3300" s="12">
        <f ca="1">IFERROR(__xludf.DUMMYFUNCTION("IF(E3300=""USD"",B3300,B3300 * GOOGLEFINANCE(""CURRENCY:"" &amp; E3300 &amp; ""USD""))
"),15000000)</f>
        <v>15000000</v>
      </c>
      <c r="G3300" s="13">
        <f ca="1">IFERROR(__xludf.DUMMYFUNCTION("IF(E3300=""USD"",C3300,C3300 * GOOGLEFINANCE(""CURRENCY:"" &amp; E3300 &amp; ""USD""))
"),26161406)</f>
        <v>26161406</v>
      </c>
    </row>
    <row r="3301" spans="1:7" ht="15.75" customHeight="1" x14ac:dyDescent="0.25">
      <c r="A3301" s="14" t="s">
        <v>24</v>
      </c>
      <c r="B3301" s="15">
        <v>130000000</v>
      </c>
      <c r="C3301" s="15">
        <v>138396624</v>
      </c>
      <c r="D3301" s="15">
        <v>2003</v>
      </c>
      <c r="E3301" s="15" t="str">
        <f>VLOOKUP(A3301, Currency!$A$2:$B$100, 2, FALSE)</f>
        <v>USD</v>
      </c>
      <c r="F3301" s="15">
        <f ca="1">IFERROR(__xludf.DUMMYFUNCTION("IF(E3301=""USD"",B3301,B3301 * GOOGLEFINANCE(""CURRENCY:"" &amp; E3301 &amp; ""USD""))
"),130000000)</f>
        <v>130000000</v>
      </c>
      <c r="G3301" s="16">
        <f ca="1">IFERROR(__xludf.DUMMYFUNCTION("IF(E3301=""USD"",C3301,C3301 * GOOGLEFINANCE(""CURRENCY:"" &amp; E3301 &amp; ""USD""))
"),138396624)</f>
        <v>138396624</v>
      </c>
    </row>
    <row r="3302" spans="1:7" ht="15.75" customHeight="1" x14ac:dyDescent="0.25">
      <c r="A3302" s="11" t="s">
        <v>24</v>
      </c>
      <c r="B3302" s="12">
        <v>11000000</v>
      </c>
      <c r="C3302" s="12">
        <v>111722000</v>
      </c>
      <c r="D3302" s="12">
        <v>1965</v>
      </c>
      <c r="E3302" s="12" t="str">
        <f>VLOOKUP(A3302, Currency!$A$2:$B$100, 2, FALSE)</f>
        <v>USD</v>
      </c>
      <c r="F3302" s="12">
        <f ca="1">IFERROR(__xludf.DUMMYFUNCTION("IF(E3302=""USD"",B3302,B3302 * GOOGLEFINANCE(""CURRENCY:"" &amp; E3302 &amp; ""USD""))
"),11000000)</f>
        <v>11000000</v>
      </c>
      <c r="G3302" s="13">
        <f ca="1">IFERROR(__xludf.DUMMYFUNCTION("IF(E3302=""USD"",C3302,C3302 * GOOGLEFINANCE(""CURRENCY:"" &amp; E3302 &amp; ""USD""))
"),111722000)</f>
        <v>111722000</v>
      </c>
    </row>
    <row r="3303" spans="1:7" ht="15.75" customHeight="1" x14ac:dyDescent="0.25">
      <c r="A3303" s="14" t="s">
        <v>133</v>
      </c>
      <c r="B3303" s="15">
        <v>20000000</v>
      </c>
      <c r="C3303" s="15">
        <v>11034436</v>
      </c>
      <c r="D3303" s="15">
        <v>2005</v>
      </c>
      <c r="E3303" s="15" t="str">
        <f>VLOOKUP(A3303, Currency!$A$2:$B$100, 2, FALSE)</f>
        <v>GBP</v>
      </c>
      <c r="F3303" s="15">
        <f ca="1">IFERROR(__xludf.DUMMYFUNCTION("IF(E3303=""USD"",B3303,B3303 * GOOGLEFINANCE(""CURRENCY:"" &amp; E3303 &amp; ""USD""))
"),25707999.9999999)</f>
        <v>25707999.999999899</v>
      </c>
      <c r="G3303" s="16">
        <f ca="1">IFERROR(__xludf.DUMMYFUNCTION("IF(E3303=""USD"",C3303,C3303 * GOOGLEFINANCE(""CURRENCY:"" &amp; E3303 &amp; ""USD""))
"),14183664.0344)</f>
        <v>14183664.034399999</v>
      </c>
    </row>
    <row r="3304" spans="1:7" ht="15.75" customHeight="1" x14ac:dyDescent="0.25">
      <c r="A3304" s="11" t="s">
        <v>220</v>
      </c>
      <c r="B3304" s="12">
        <v>25000000</v>
      </c>
      <c r="C3304" s="12">
        <v>129115</v>
      </c>
      <c r="D3304" s="12">
        <v>2014</v>
      </c>
      <c r="E3304" s="12" t="str">
        <f>VLOOKUP(A3304, Currency!$A$2:$B$100, 2, FALSE)</f>
        <v>CNY</v>
      </c>
      <c r="F3304" s="12">
        <f ca="1">IFERROR(__xludf.DUMMYFUNCTION("IF(E3304=""USD"",B3304,B3304 * GOOGLEFINANCE(""CURRENCY:"" &amp; E3304 &amp; ""USD""))
"),3457097.49999999)</f>
        <v>3457097.4999999902</v>
      </c>
      <c r="G3304" s="13">
        <f ca="1">IFERROR(__xludf.DUMMYFUNCTION("IF(E3304=""USD"",C3304,C3304 * GOOGLEFINANCE(""CURRENCY:"" &amp; E3304 &amp; ""USD""))
"),17854.5257484999)</f>
        <v>17854.525748499898</v>
      </c>
    </row>
    <row r="3305" spans="1:7" ht="15.75" customHeight="1" x14ac:dyDescent="0.25">
      <c r="A3305" s="14" t="s">
        <v>24</v>
      </c>
      <c r="B3305" s="15">
        <v>10000000</v>
      </c>
      <c r="C3305" s="15">
        <v>9801782</v>
      </c>
      <c r="D3305" s="15">
        <v>1998</v>
      </c>
      <c r="E3305" s="15" t="str">
        <f>VLOOKUP(A3305, Currency!$A$2:$B$100, 2, FALSE)</f>
        <v>USD</v>
      </c>
      <c r="F3305" s="15">
        <f ca="1">IFERROR(__xludf.DUMMYFUNCTION("IF(E3305=""USD"",B3305,B3305 * GOOGLEFINANCE(""CURRENCY:"" &amp; E3305 &amp; ""USD""))
"),10000000)</f>
        <v>10000000</v>
      </c>
      <c r="G3305" s="16">
        <f ca="1">IFERROR(__xludf.DUMMYFUNCTION("IF(E3305=""USD"",C3305,C3305 * GOOGLEFINANCE(""CURRENCY:"" &amp; E3305 &amp; ""USD""))
"),9801782)</f>
        <v>9801782</v>
      </c>
    </row>
    <row r="3306" spans="1:7" ht="15.75" customHeight="1" x14ac:dyDescent="0.25">
      <c r="A3306" s="11" t="s">
        <v>133</v>
      </c>
      <c r="B3306" s="12">
        <v>10000000</v>
      </c>
      <c r="C3306" s="12">
        <v>55865715</v>
      </c>
      <c r="D3306" s="12">
        <v>2005</v>
      </c>
      <c r="E3306" s="12" t="str">
        <f>VLOOKUP(A3306, Currency!$A$2:$B$100, 2, FALSE)</f>
        <v>GBP</v>
      </c>
      <c r="F3306" s="12">
        <f ca="1">IFERROR(__xludf.DUMMYFUNCTION("IF(E3306=""USD"",B3306,B3306 * GOOGLEFINANCE(""CURRENCY:"" &amp; E3306 &amp; ""USD""))
"),12853999.9999999)</f>
        <v>12853999.999999899</v>
      </c>
      <c r="G3306" s="13">
        <f ca="1">IFERROR(__xludf.DUMMYFUNCTION("IF(E3306=""USD"",C3306,C3306 * GOOGLEFINANCE(""CURRENCY:"" &amp; E3306 &amp; ""USD""))
"),71809790.0609999)</f>
        <v>71809790.0609999</v>
      </c>
    </row>
    <row r="3307" spans="1:7" ht="15.75" customHeight="1" x14ac:dyDescent="0.25">
      <c r="A3307" s="14" t="s">
        <v>24</v>
      </c>
      <c r="B3307" s="15">
        <v>45000000</v>
      </c>
      <c r="C3307" s="15">
        <v>7916887</v>
      </c>
      <c r="D3307" s="15">
        <v>2008</v>
      </c>
      <c r="E3307" s="15" t="str">
        <f>VLOOKUP(A3307, Currency!$A$2:$B$100, 2, FALSE)</f>
        <v>USD</v>
      </c>
      <c r="F3307" s="15">
        <f ca="1">IFERROR(__xludf.DUMMYFUNCTION("IF(E3307=""USD"",B3307,B3307 * GOOGLEFINANCE(""CURRENCY:"" &amp; E3307 &amp; ""USD""))
"),45000000)</f>
        <v>45000000</v>
      </c>
      <c r="G3307" s="16">
        <f ca="1">IFERROR(__xludf.DUMMYFUNCTION("IF(E3307=""USD"",C3307,C3307 * GOOGLEFINANCE(""CURRENCY:"" &amp; E3307 &amp; ""USD""))
"),7916887)</f>
        <v>7916887</v>
      </c>
    </row>
    <row r="3308" spans="1:7" ht="15.75" customHeight="1" x14ac:dyDescent="0.25">
      <c r="A3308" s="11" t="s">
        <v>24</v>
      </c>
      <c r="B3308" s="12">
        <v>45000000</v>
      </c>
      <c r="C3308" s="12">
        <v>48472213</v>
      </c>
      <c r="D3308" s="12">
        <v>2005</v>
      </c>
      <c r="E3308" s="12" t="str">
        <f>VLOOKUP(A3308, Currency!$A$2:$B$100, 2, FALSE)</f>
        <v>USD</v>
      </c>
      <c r="F3308" s="12">
        <f ca="1">IFERROR(__xludf.DUMMYFUNCTION("IF(E3308=""USD"",B3308,B3308 * GOOGLEFINANCE(""CURRENCY:"" &amp; E3308 &amp; ""USD""))
"),45000000)</f>
        <v>45000000</v>
      </c>
      <c r="G3308" s="13">
        <f ca="1">IFERROR(__xludf.DUMMYFUNCTION("IF(E3308=""USD"",C3308,C3308 * GOOGLEFINANCE(""CURRENCY:"" &amp; E3308 &amp; ""USD""))
"),48472213)</f>
        <v>48472213</v>
      </c>
    </row>
    <row r="3309" spans="1:7" ht="15.75" customHeight="1" x14ac:dyDescent="0.25">
      <c r="A3309" s="14" t="s">
        <v>24</v>
      </c>
      <c r="B3309" s="15">
        <v>20000000</v>
      </c>
      <c r="C3309" s="15">
        <v>39143839</v>
      </c>
      <c r="D3309" s="15">
        <v>2006</v>
      </c>
      <c r="E3309" s="15" t="str">
        <f>VLOOKUP(A3309, Currency!$A$2:$B$100, 2, FALSE)</f>
        <v>USD</v>
      </c>
      <c r="F3309" s="15">
        <f ca="1">IFERROR(__xludf.DUMMYFUNCTION("IF(E3309=""USD"",B3309,B3309 * GOOGLEFINANCE(""CURRENCY:"" &amp; E3309 &amp; ""USD""))
"),20000000)</f>
        <v>20000000</v>
      </c>
      <c r="G3309" s="16">
        <f ca="1">IFERROR(__xludf.DUMMYFUNCTION("IF(E3309=""USD"",C3309,C3309 * GOOGLEFINANCE(""CURRENCY:"" &amp; E3309 &amp; ""USD""))
"),39143839)</f>
        <v>39143839</v>
      </c>
    </row>
    <row r="3310" spans="1:7" ht="15.75" customHeight="1" x14ac:dyDescent="0.25">
      <c r="A3310" s="11" t="s">
        <v>24</v>
      </c>
      <c r="B3310" s="12">
        <v>105000000</v>
      </c>
      <c r="C3310" s="12">
        <v>90646554</v>
      </c>
      <c r="D3310" s="12">
        <v>1998</v>
      </c>
      <c r="E3310" s="12" t="str">
        <f>VLOOKUP(A3310, Currency!$A$2:$B$100, 2, FALSE)</f>
        <v>USD</v>
      </c>
      <c r="F3310" s="12">
        <f ca="1">IFERROR(__xludf.DUMMYFUNCTION("IF(E3310=""USD"",B3310,B3310 * GOOGLEFINANCE(""CURRENCY:"" &amp; E3310 &amp; ""USD""))
"),105000000)</f>
        <v>105000000</v>
      </c>
      <c r="G3310" s="13">
        <f ca="1">IFERROR(__xludf.DUMMYFUNCTION("IF(E3310=""USD"",C3310,C3310 * GOOGLEFINANCE(""CURRENCY:"" &amp; E3310 &amp; ""USD""))
"),90646554)</f>
        <v>90646554</v>
      </c>
    </row>
    <row r="3311" spans="1:7" ht="15.75" customHeight="1" x14ac:dyDescent="0.25">
      <c r="A3311" s="14" t="s">
        <v>24</v>
      </c>
      <c r="B3311" s="15">
        <v>379000</v>
      </c>
      <c r="C3311" s="15">
        <v>2808000</v>
      </c>
      <c r="D3311" s="15">
        <v>1929</v>
      </c>
      <c r="E3311" s="15" t="str">
        <f>VLOOKUP(A3311, Currency!$A$2:$B$100, 2, FALSE)</f>
        <v>USD</v>
      </c>
      <c r="F3311" s="15">
        <f ca="1">IFERROR(__xludf.DUMMYFUNCTION("IF(E3311=""USD"",B3311,B3311 * GOOGLEFINANCE(""CURRENCY:"" &amp; E3311 &amp; ""USD""))
"),379000)</f>
        <v>379000</v>
      </c>
      <c r="G3311" s="16">
        <f ca="1">IFERROR(__xludf.DUMMYFUNCTION("IF(E3311=""USD"",C3311,C3311 * GOOGLEFINANCE(""CURRENCY:"" &amp; E3311 &amp; ""USD""))
"),2808000)</f>
        <v>2808000</v>
      </c>
    </row>
    <row r="3312" spans="1:7" ht="15.75" customHeight="1" x14ac:dyDescent="0.25">
      <c r="A3312" s="11" t="s">
        <v>24</v>
      </c>
      <c r="B3312" s="12">
        <v>75000000</v>
      </c>
      <c r="C3312" s="12">
        <v>83077470</v>
      </c>
      <c r="D3312" s="12">
        <v>2008</v>
      </c>
      <c r="E3312" s="12" t="str">
        <f>VLOOKUP(A3312, Currency!$A$2:$B$100, 2, FALSE)</f>
        <v>USD</v>
      </c>
      <c r="F3312" s="12">
        <f ca="1">IFERROR(__xludf.DUMMYFUNCTION("IF(E3312=""USD"",B3312,B3312 * GOOGLEFINANCE(""CURRENCY:"" &amp; E3312 &amp; ""USD""))
"),75000000)</f>
        <v>75000000</v>
      </c>
      <c r="G3312" s="13">
        <f ca="1">IFERROR(__xludf.DUMMYFUNCTION("IF(E3312=""USD"",C3312,C3312 * GOOGLEFINANCE(""CURRENCY:"" &amp; E3312 &amp; ""USD""))
"),83077470)</f>
        <v>83077470</v>
      </c>
    </row>
    <row r="3313" spans="1:7" ht="15.75" customHeight="1" x14ac:dyDescent="0.25">
      <c r="A3313" s="14" t="s">
        <v>24</v>
      </c>
      <c r="B3313" s="15">
        <v>5000000</v>
      </c>
      <c r="C3313" s="15">
        <v>5480318</v>
      </c>
      <c r="D3313" s="15">
        <v>1998</v>
      </c>
      <c r="E3313" s="15" t="str">
        <f>VLOOKUP(A3313, Currency!$A$2:$B$100, 2, FALSE)</f>
        <v>USD</v>
      </c>
      <c r="F3313" s="15">
        <f ca="1">IFERROR(__xludf.DUMMYFUNCTION("IF(E3313=""USD"",B3313,B3313 * GOOGLEFINANCE(""CURRENCY:"" &amp; E3313 &amp; ""USD""))
"),5000000)</f>
        <v>5000000</v>
      </c>
      <c r="G3313" s="16">
        <f ca="1">IFERROR(__xludf.DUMMYFUNCTION("IF(E3313=""USD"",C3313,C3313 * GOOGLEFINANCE(""CURRENCY:"" &amp; E3313 &amp; ""USD""))
"),5480318)</f>
        <v>5480318</v>
      </c>
    </row>
    <row r="3314" spans="1:7" ht="15.75" customHeight="1" x14ac:dyDescent="0.25">
      <c r="A3314" s="11" t="s">
        <v>24</v>
      </c>
      <c r="B3314" s="12">
        <v>40000000</v>
      </c>
      <c r="C3314" s="12">
        <v>70163652</v>
      </c>
      <c r="D3314" s="12">
        <v>2006</v>
      </c>
      <c r="E3314" s="12" t="str">
        <f>VLOOKUP(A3314, Currency!$A$2:$B$100, 2, FALSE)</f>
        <v>USD</v>
      </c>
      <c r="F3314" s="12">
        <f ca="1">IFERROR(__xludf.DUMMYFUNCTION("IF(E3314=""USD"",B3314,B3314 * GOOGLEFINANCE(""CURRENCY:"" &amp; E3314 &amp; ""USD""))
"),40000000)</f>
        <v>40000000</v>
      </c>
      <c r="G3314" s="13">
        <f ca="1">IFERROR(__xludf.DUMMYFUNCTION("IF(E3314=""USD"",C3314,C3314 * GOOGLEFINANCE(""CURRENCY:"" &amp; E3314 &amp; ""USD""))
"),70163652)</f>
        <v>70163652</v>
      </c>
    </row>
    <row r="3315" spans="1:7" ht="15.75" customHeight="1" x14ac:dyDescent="0.25">
      <c r="A3315" s="14" t="s">
        <v>24</v>
      </c>
      <c r="B3315" s="15">
        <v>50000000</v>
      </c>
      <c r="C3315" s="15">
        <v>19593740</v>
      </c>
      <c r="D3315" s="15">
        <v>2003</v>
      </c>
      <c r="E3315" s="15" t="str">
        <f>VLOOKUP(A3315, Currency!$A$2:$B$100, 2, FALSE)</f>
        <v>USD</v>
      </c>
      <c r="F3315" s="15">
        <f ca="1">IFERROR(__xludf.DUMMYFUNCTION("IF(E3315=""USD"",B3315,B3315 * GOOGLEFINANCE(""CURRENCY:"" &amp; E3315 &amp; ""USD""))
"),50000000)</f>
        <v>50000000</v>
      </c>
      <c r="G3315" s="16">
        <f ca="1">IFERROR(__xludf.DUMMYFUNCTION("IF(E3315=""USD"",C3315,C3315 * GOOGLEFINANCE(""CURRENCY:"" &amp; E3315 &amp; ""USD""))
"),19593740)</f>
        <v>19593740</v>
      </c>
    </row>
    <row r="3316" spans="1:7" ht="15.75" customHeight="1" x14ac:dyDescent="0.25">
      <c r="A3316" s="11" t="s">
        <v>24</v>
      </c>
      <c r="B3316" s="12">
        <v>120000000</v>
      </c>
      <c r="C3316" s="12">
        <v>124976634</v>
      </c>
      <c r="D3316" s="12">
        <v>2012</v>
      </c>
      <c r="E3316" s="12" t="str">
        <f>VLOOKUP(A3316, Currency!$A$2:$B$100, 2, FALSE)</f>
        <v>USD</v>
      </c>
      <c r="F3316" s="12">
        <f ca="1">IFERROR(__xludf.DUMMYFUNCTION("IF(E3316=""USD"",B3316,B3316 * GOOGLEFINANCE(""CURRENCY:"" &amp; E3316 &amp; ""USD""))
"),120000000)</f>
        <v>120000000</v>
      </c>
      <c r="G3316" s="13">
        <f ca="1">IFERROR(__xludf.DUMMYFUNCTION("IF(E3316=""USD"",C3316,C3316 * GOOGLEFINANCE(""CURRENCY:"" &amp; E3316 &amp; ""USD""))
"),124976634)</f>
        <v>124976634</v>
      </c>
    </row>
    <row r="3317" spans="1:7" ht="15.75" customHeight="1" x14ac:dyDescent="0.25">
      <c r="A3317" s="14" t="s">
        <v>24</v>
      </c>
      <c r="B3317" s="15">
        <v>60000000</v>
      </c>
      <c r="C3317" s="15">
        <v>80574010</v>
      </c>
      <c r="D3317" s="15">
        <v>2010</v>
      </c>
      <c r="E3317" s="15" t="str">
        <f>VLOOKUP(A3317, Currency!$A$2:$B$100, 2, FALSE)</f>
        <v>USD</v>
      </c>
      <c r="F3317" s="15">
        <f ca="1">IFERROR(__xludf.DUMMYFUNCTION("IF(E3317=""USD"",B3317,B3317 * GOOGLEFINANCE(""CURRENCY:"" &amp; E3317 &amp; ""USD""))
"),60000000)</f>
        <v>60000000</v>
      </c>
      <c r="G3317" s="16">
        <f ca="1">IFERROR(__xludf.DUMMYFUNCTION("IF(E3317=""USD"",C3317,C3317 * GOOGLEFINANCE(""CURRENCY:"" &amp; E3317 &amp; ""USD""))
"),80574010)</f>
        <v>80574010</v>
      </c>
    </row>
    <row r="3318" spans="1:7" ht="15.75" customHeight="1" x14ac:dyDescent="0.25">
      <c r="A3318" s="11" t="s">
        <v>24</v>
      </c>
      <c r="B3318" s="12">
        <v>33000000</v>
      </c>
      <c r="C3318" s="12">
        <v>61280963</v>
      </c>
      <c r="D3318" s="12">
        <v>2000</v>
      </c>
      <c r="E3318" s="12" t="str">
        <f>VLOOKUP(A3318, Currency!$A$2:$B$100, 2, FALSE)</f>
        <v>USD</v>
      </c>
      <c r="F3318" s="12">
        <f ca="1">IFERROR(__xludf.DUMMYFUNCTION("IF(E3318=""USD"",B3318,B3318 * GOOGLEFINANCE(""CURRENCY:"" &amp; E3318 &amp; ""USD""))
"),33000000)</f>
        <v>33000000</v>
      </c>
      <c r="G3318" s="13">
        <f ca="1">IFERROR(__xludf.DUMMYFUNCTION("IF(E3318=""USD"",C3318,C3318 * GOOGLEFINANCE(""CURRENCY:"" &amp; E3318 &amp; ""USD""))
"),61280963)</f>
        <v>61280963</v>
      </c>
    </row>
    <row r="3319" spans="1:7" ht="15.75" customHeight="1" x14ac:dyDescent="0.25">
      <c r="A3319" s="14" t="s">
        <v>24</v>
      </c>
      <c r="B3319" s="15">
        <v>115000000</v>
      </c>
      <c r="C3319" s="15">
        <v>289907418</v>
      </c>
      <c r="D3319" s="15">
        <v>2001</v>
      </c>
      <c r="E3319" s="15" t="str">
        <f>VLOOKUP(A3319, Currency!$A$2:$B$100, 2, FALSE)</f>
        <v>USD</v>
      </c>
      <c r="F3319" s="15">
        <f ca="1">IFERROR(__xludf.DUMMYFUNCTION("IF(E3319=""USD"",B3319,B3319 * GOOGLEFINANCE(""CURRENCY:"" &amp; E3319 &amp; ""USD""))
"),115000000)</f>
        <v>115000000</v>
      </c>
      <c r="G3319" s="16">
        <f ca="1">IFERROR(__xludf.DUMMYFUNCTION("IF(E3319=""USD"",C3319,C3319 * GOOGLEFINANCE(""CURRENCY:"" &amp; E3319 &amp; ""USD""))
"),289907418)</f>
        <v>289907418</v>
      </c>
    </row>
    <row r="3320" spans="1:7" ht="15.75" customHeight="1" x14ac:dyDescent="0.25">
      <c r="A3320" s="11" t="s">
        <v>24</v>
      </c>
      <c r="B3320" s="12">
        <v>60000000</v>
      </c>
      <c r="C3320" s="12">
        <v>32940507</v>
      </c>
      <c r="D3320" s="12">
        <v>1998</v>
      </c>
      <c r="E3320" s="12" t="str">
        <f>VLOOKUP(A3320, Currency!$A$2:$B$100, 2, FALSE)</f>
        <v>USD</v>
      </c>
      <c r="F3320" s="12">
        <f ca="1">IFERROR(__xludf.DUMMYFUNCTION("IF(E3320=""USD"",B3320,B3320 * GOOGLEFINANCE(""CURRENCY:"" &amp; E3320 &amp; ""USD""))
"),60000000)</f>
        <v>60000000</v>
      </c>
      <c r="G3320" s="13">
        <f ca="1">IFERROR(__xludf.DUMMYFUNCTION("IF(E3320=""USD"",C3320,C3320 * GOOGLEFINANCE(""CURRENCY:"" &amp; E3320 &amp; ""USD""))
"),32940507)</f>
        <v>32940507</v>
      </c>
    </row>
    <row r="3321" spans="1:7" ht="15.75" customHeight="1" x14ac:dyDescent="0.25">
      <c r="A3321" s="14" t="s">
        <v>24</v>
      </c>
      <c r="B3321" s="15">
        <v>7000000</v>
      </c>
      <c r="C3321" s="15">
        <v>5694308</v>
      </c>
      <c r="D3321" s="15">
        <v>2007</v>
      </c>
      <c r="E3321" s="15" t="str">
        <f>VLOOKUP(A3321, Currency!$A$2:$B$100, 2, FALSE)</f>
        <v>USD</v>
      </c>
      <c r="F3321" s="15">
        <f ca="1">IFERROR(__xludf.DUMMYFUNCTION("IF(E3321=""USD"",B3321,B3321 * GOOGLEFINANCE(""CURRENCY:"" &amp; E3321 &amp; ""USD""))
"),7000000)</f>
        <v>7000000</v>
      </c>
      <c r="G3321" s="16">
        <f ca="1">IFERROR(__xludf.DUMMYFUNCTION("IF(E3321=""USD"",C3321,C3321 * GOOGLEFINANCE(""CURRENCY:"" &amp; E3321 &amp; ""USD""))
"),5694308)</f>
        <v>5694308</v>
      </c>
    </row>
    <row r="3322" spans="1:7" ht="15.75" customHeight="1" x14ac:dyDescent="0.25">
      <c r="A3322" s="11" t="s">
        <v>133</v>
      </c>
      <c r="B3322" s="12">
        <v>10000000</v>
      </c>
      <c r="C3322" s="12">
        <v>8111360</v>
      </c>
      <c r="D3322" s="12">
        <v>2002</v>
      </c>
      <c r="E3322" s="12" t="str">
        <f>VLOOKUP(A3322, Currency!$A$2:$B$100, 2, FALSE)</f>
        <v>GBP</v>
      </c>
      <c r="F3322" s="12">
        <f ca="1">IFERROR(__xludf.DUMMYFUNCTION("IF(E3322=""USD"",B3322,B3322 * GOOGLEFINANCE(""CURRENCY:"" &amp; E3322 &amp; ""USD""))
"),12853999.9999999)</f>
        <v>12853999.999999899</v>
      </c>
      <c r="G3322" s="13">
        <f ca="1">IFERROR(__xludf.DUMMYFUNCTION("IF(E3322=""USD"",C3322,C3322 * GOOGLEFINANCE(""CURRENCY:"" &amp; E3322 &amp; ""USD""))
"),10426342.144)</f>
        <v>10426342.143999999</v>
      </c>
    </row>
    <row r="3323" spans="1:7" ht="15.75" customHeight="1" x14ac:dyDescent="0.25">
      <c r="A3323" s="14" t="s">
        <v>24</v>
      </c>
      <c r="B3323" s="15">
        <v>20000000</v>
      </c>
      <c r="C3323" s="15">
        <v>24848292</v>
      </c>
      <c r="D3323" s="15">
        <v>2008</v>
      </c>
      <c r="E3323" s="15" t="str">
        <f>VLOOKUP(A3323, Currency!$A$2:$B$100, 2, FALSE)</f>
        <v>USD</v>
      </c>
      <c r="F3323" s="15">
        <f ca="1">IFERROR(__xludf.DUMMYFUNCTION("IF(E3323=""USD"",B3323,B3323 * GOOGLEFINANCE(""CURRENCY:"" &amp; E3323 &amp; ""USD""))
"),20000000)</f>
        <v>20000000</v>
      </c>
      <c r="G3323" s="16">
        <f ca="1">IFERROR(__xludf.DUMMYFUNCTION("IF(E3323=""USD"",C3323,C3323 * GOOGLEFINANCE(""CURRENCY:"" &amp; E3323 &amp; ""USD""))
"),24848292)</f>
        <v>24848292</v>
      </c>
    </row>
    <row r="3324" spans="1:7" ht="15.75" customHeight="1" x14ac:dyDescent="0.25">
      <c r="A3324" s="11" t="s">
        <v>24</v>
      </c>
      <c r="B3324" s="12">
        <v>35000000</v>
      </c>
      <c r="C3324" s="12">
        <v>70960517</v>
      </c>
      <c r="D3324" s="12">
        <v>1995</v>
      </c>
      <c r="E3324" s="12" t="str">
        <f>VLOOKUP(A3324, Currency!$A$2:$B$100, 2, FALSE)</f>
        <v>USD</v>
      </c>
      <c r="F3324" s="12">
        <f ca="1">IFERROR(__xludf.DUMMYFUNCTION("IF(E3324=""USD"",B3324,B3324 * GOOGLEFINANCE(""CURRENCY:"" &amp; E3324 &amp; ""USD""))
"),35000000)</f>
        <v>35000000</v>
      </c>
      <c r="G3324" s="13">
        <f ca="1">IFERROR(__xludf.DUMMYFUNCTION("IF(E3324=""USD"",C3324,C3324 * GOOGLEFINANCE(""CURRENCY:"" &amp; E3324 &amp; ""USD""))
"),70960517)</f>
        <v>70960517</v>
      </c>
    </row>
    <row r="3325" spans="1:7" ht="15.75" customHeight="1" x14ac:dyDescent="0.25">
      <c r="A3325" s="14" t="s">
        <v>24</v>
      </c>
      <c r="B3325" s="15">
        <v>60000</v>
      </c>
      <c r="C3325" s="15">
        <v>140530114</v>
      </c>
      <c r="D3325" s="15">
        <v>1999</v>
      </c>
      <c r="E3325" s="15" t="str">
        <f>VLOOKUP(A3325, Currency!$A$2:$B$100, 2, FALSE)</f>
        <v>USD</v>
      </c>
      <c r="F3325" s="15">
        <f ca="1">IFERROR(__xludf.DUMMYFUNCTION("IF(E3325=""USD"",B3325,B3325 * GOOGLEFINANCE(""CURRENCY:"" &amp; E3325 &amp; ""USD""))
"),60000)</f>
        <v>60000</v>
      </c>
      <c r="G3325" s="16">
        <f ca="1">IFERROR(__xludf.DUMMYFUNCTION("IF(E3325=""USD"",C3325,C3325 * GOOGLEFINANCE(""CURRENCY:"" &amp; E3325 &amp; ""USD""))
"),140530114)</f>
        <v>140530114</v>
      </c>
    </row>
    <row r="3326" spans="1:7" ht="15.75" customHeight="1" x14ac:dyDescent="0.25">
      <c r="A3326" s="11" t="s">
        <v>24</v>
      </c>
      <c r="B3326" s="12">
        <v>95000000</v>
      </c>
      <c r="C3326" s="12">
        <v>65653758</v>
      </c>
      <c r="D3326" s="12">
        <v>2003</v>
      </c>
      <c r="E3326" s="12" t="str">
        <f>VLOOKUP(A3326, Currency!$A$2:$B$100, 2, FALSE)</f>
        <v>USD</v>
      </c>
      <c r="F3326" s="12">
        <f ca="1">IFERROR(__xludf.DUMMYFUNCTION("IF(E3326=""USD"",B3326,B3326 * GOOGLEFINANCE(""CURRENCY:"" &amp; E3326 &amp; ""USD""))
"),95000000)</f>
        <v>95000000</v>
      </c>
      <c r="G3326" s="13">
        <f ca="1">IFERROR(__xludf.DUMMYFUNCTION("IF(E3326=""USD"",C3326,C3326 * GOOGLEFINANCE(""CURRENCY:"" &amp; E3326 &amp; ""USD""))
"),65653758)</f>
        <v>65653758</v>
      </c>
    </row>
    <row r="3327" spans="1:7" ht="15.75" customHeight="1" x14ac:dyDescent="0.25">
      <c r="A3327" s="14" t="s">
        <v>24</v>
      </c>
      <c r="B3327" s="15">
        <v>80000000</v>
      </c>
      <c r="C3327" s="15">
        <v>69102910</v>
      </c>
      <c r="D3327" s="15">
        <v>1998</v>
      </c>
      <c r="E3327" s="15" t="str">
        <f>VLOOKUP(A3327, Currency!$A$2:$B$100, 2, FALSE)</f>
        <v>USD</v>
      </c>
      <c r="F3327" s="15">
        <f ca="1">IFERROR(__xludf.DUMMYFUNCTION("IF(E3327=""USD"",B3327,B3327 * GOOGLEFINANCE(""CURRENCY:"" &amp; E3327 &amp; ""USD""))
"),80000000)</f>
        <v>80000000</v>
      </c>
      <c r="G3327" s="16">
        <f ca="1">IFERROR(__xludf.DUMMYFUNCTION("IF(E3327=""USD"",C3327,C3327 * GOOGLEFINANCE(""CURRENCY:"" &amp; E3327 &amp; ""USD""))
"),69102910)</f>
        <v>69102910</v>
      </c>
    </row>
    <row r="3328" spans="1:7" ht="15.75" customHeight="1" x14ac:dyDescent="0.25">
      <c r="A3328" s="11" t="s">
        <v>24</v>
      </c>
      <c r="B3328" s="12">
        <v>15500000</v>
      </c>
      <c r="C3328" s="12">
        <v>1181197</v>
      </c>
      <c r="D3328" s="12">
        <v>2005</v>
      </c>
      <c r="E3328" s="12" t="str">
        <f>VLOOKUP(A3328, Currency!$A$2:$B$100, 2, FALSE)</f>
        <v>USD</v>
      </c>
      <c r="F3328" s="12">
        <f ca="1">IFERROR(__xludf.DUMMYFUNCTION("IF(E3328=""USD"",B3328,B3328 * GOOGLEFINANCE(""CURRENCY:"" &amp; E3328 &amp; ""USD""))
"),15500000)</f>
        <v>15500000</v>
      </c>
      <c r="G3328" s="13">
        <f ca="1">IFERROR(__xludf.DUMMYFUNCTION("IF(E3328=""USD"",C3328,C3328 * GOOGLEFINANCE(""CURRENCY:"" &amp; E3328 &amp; ""USD""))
"),1181197)</f>
        <v>1181197</v>
      </c>
    </row>
    <row r="3329" spans="1:7" ht="15.75" customHeight="1" x14ac:dyDescent="0.25">
      <c r="A3329" s="14" t="s">
        <v>1005</v>
      </c>
      <c r="B3329" s="15">
        <v>207000000</v>
      </c>
      <c r="C3329" s="15">
        <v>218051260</v>
      </c>
      <c r="D3329" s="15">
        <v>2005</v>
      </c>
      <c r="E3329" s="15" t="str">
        <f>VLOOKUP(A3329, Currency!$A$2:$B$100, 2, FALSE)</f>
        <v>NZD</v>
      </c>
      <c r="F3329" s="15">
        <f ca="1">IFERROR(__xludf.DUMMYFUNCTION("IF(E3329=""USD"",B3329,B3329 * GOOGLEFINANCE(""CURRENCY:"" &amp; E3329 &amp; ""USD""))
"),121870214.999999)</f>
        <v>121870214.999999</v>
      </c>
      <c r="G3329" s="16">
        <f ca="1">IFERROR(__xludf.DUMMYFUNCTION("IF(E3329=""USD"",C3329,C3329 * GOOGLEFINANCE(""CURRENCY:"" &amp; E3329 &amp; ""USD""))
"),128376589.068699)</f>
        <v>128376589.068699</v>
      </c>
    </row>
    <row r="3330" spans="1:7" ht="15.75" customHeight="1" x14ac:dyDescent="0.25">
      <c r="A3330" s="11" t="s">
        <v>24</v>
      </c>
      <c r="B3330" s="12">
        <v>76000000</v>
      </c>
      <c r="C3330" s="12">
        <v>368049635</v>
      </c>
      <c r="D3330" s="12">
        <v>2013</v>
      </c>
      <c r="E3330" s="12" t="str">
        <f>VLOOKUP(A3330, Currency!$A$2:$B$100, 2, FALSE)</f>
        <v>USD</v>
      </c>
      <c r="F3330" s="12">
        <f ca="1">IFERROR(__xludf.DUMMYFUNCTION("IF(E3330=""USD"",B3330,B3330 * GOOGLEFINANCE(""CURRENCY:"" &amp; E3330 &amp; ""USD""))
"),76000000)</f>
        <v>76000000</v>
      </c>
      <c r="G3330" s="13">
        <f ca="1">IFERROR(__xludf.DUMMYFUNCTION("IF(E3330=""USD"",C3330,C3330 * GOOGLEFINANCE(""CURRENCY:"" &amp; E3330 &amp; ""USD""))
"),368049635)</f>
        <v>368049635</v>
      </c>
    </row>
    <row r="3331" spans="1:7" ht="15.75" customHeight="1" x14ac:dyDescent="0.25">
      <c r="A3331" s="14" t="s">
        <v>24</v>
      </c>
      <c r="B3331" s="15">
        <v>92000000</v>
      </c>
      <c r="C3331" s="15">
        <v>67344392</v>
      </c>
      <c r="D3331" s="15">
        <v>2013</v>
      </c>
      <c r="E3331" s="15" t="str">
        <f>VLOOKUP(A3331, Currency!$A$2:$B$100, 2, FALSE)</f>
        <v>USD</v>
      </c>
      <c r="F3331" s="15">
        <f ca="1">IFERROR(__xludf.DUMMYFUNCTION("IF(E3331=""USD"",B3331,B3331 * GOOGLEFINANCE(""CURRENCY:"" &amp; E3331 &amp; ""USD""))
"),92000000)</f>
        <v>92000000</v>
      </c>
      <c r="G3331" s="16">
        <f ca="1">IFERROR(__xludf.DUMMYFUNCTION("IF(E3331=""USD"",C3331,C3331 * GOOGLEFINANCE(""CURRENCY:"" &amp; E3331 &amp; ""USD""))
"),67344392)</f>
        <v>67344392</v>
      </c>
    </row>
    <row r="3332" spans="1:7" ht="15.75" customHeight="1" x14ac:dyDescent="0.25">
      <c r="A3332" s="11" t="s">
        <v>133</v>
      </c>
      <c r="B3332" s="12">
        <v>142000000</v>
      </c>
      <c r="C3332" s="12">
        <v>160201106</v>
      </c>
      <c r="D3332" s="12">
        <v>2002</v>
      </c>
      <c r="E3332" s="12" t="str">
        <f>VLOOKUP(A3332, Currency!$A$2:$B$100, 2, FALSE)</f>
        <v>GBP</v>
      </c>
      <c r="F3332" s="12">
        <f ca="1">IFERROR(__xludf.DUMMYFUNCTION("IF(E3332=""USD"",B3332,B3332 * GOOGLEFINANCE(""CURRENCY:"" &amp; E3332 &amp; ""USD""))
"),182526799.999999)</f>
        <v>182526799.99999899</v>
      </c>
      <c r="G3332" s="13">
        <f ca="1">IFERROR(__xludf.DUMMYFUNCTION("IF(E3332=""USD"",C3332,C3332 * GOOGLEFINANCE(""CURRENCY:"" &amp; E3332 &amp; ""USD""))
"),205922501.6524)</f>
        <v>205922501.65239999</v>
      </c>
    </row>
    <row r="3333" spans="1:7" ht="15.75" customHeight="1" x14ac:dyDescent="0.25">
      <c r="A3333" s="14" t="s">
        <v>24</v>
      </c>
      <c r="B3333" s="15">
        <v>60000000</v>
      </c>
      <c r="C3333" s="15">
        <v>88200225</v>
      </c>
      <c r="D3333" s="15">
        <v>2004</v>
      </c>
      <c r="E3333" s="15" t="str">
        <f>VLOOKUP(A3333, Currency!$A$2:$B$100, 2, FALSE)</f>
        <v>USD</v>
      </c>
      <c r="F3333" s="15">
        <f ca="1">IFERROR(__xludf.DUMMYFUNCTION("IF(E3333=""USD"",B3333,B3333 * GOOGLEFINANCE(""CURRENCY:"" &amp; E3333 &amp; ""USD""))
"),60000000)</f>
        <v>60000000</v>
      </c>
      <c r="G3333" s="16">
        <f ca="1">IFERROR(__xludf.DUMMYFUNCTION("IF(E3333=""USD"",C3333,C3333 * GOOGLEFINANCE(""CURRENCY:"" &amp; E3333 &amp; ""USD""))
"),88200225)</f>
        <v>88200225</v>
      </c>
    </row>
    <row r="3334" spans="1:7" ht="15.75" customHeight="1" x14ac:dyDescent="0.25">
      <c r="A3334" s="11" t="s">
        <v>176</v>
      </c>
      <c r="B3334" s="12">
        <v>25000000</v>
      </c>
      <c r="C3334" s="12">
        <v>22723</v>
      </c>
      <c r="D3334" s="12">
        <v>2001</v>
      </c>
      <c r="E3334" s="12" t="str">
        <f>VLOOKUP(A3334, Currency!$A$2:$B$100, 2, FALSE)</f>
        <v>EUR</v>
      </c>
      <c r="F3334" s="12">
        <f ca="1">IFERROR(__xludf.DUMMYFUNCTION("IF(E3334=""USD"",B3334,B3334 * GOOGLEFINANCE(""CURRENCY:"" &amp; E3334 &amp; ""USD""))
"),27118500)</f>
        <v>27118500</v>
      </c>
      <c r="G3334" s="13">
        <f ca="1">IFERROR(__xludf.DUMMYFUNCTION("IF(E3334=""USD"",C3334,C3334 * GOOGLEFINANCE(""CURRENCY:"" &amp; E3334 &amp; ""USD""))
"),24648.54702)</f>
        <v>24648.547020000002</v>
      </c>
    </row>
    <row r="3335" spans="1:7" ht="15.75" customHeight="1" x14ac:dyDescent="0.25">
      <c r="A3335" s="14" t="s">
        <v>611</v>
      </c>
      <c r="B3335" s="15">
        <v>35000000</v>
      </c>
      <c r="C3335" s="15">
        <v>32519322</v>
      </c>
      <c r="D3335" s="15">
        <v>2002</v>
      </c>
      <c r="E3335" s="15" t="str">
        <f>VLOOKUP(A3335, Currency!$A$2:$B$100, 2, FALSE)</f>
        <v>EUR</v>
      </c>
      <c r="F3335" s="15">
        <f ca="1">IFERROR(__xludf.DUMMYFUNCTION("IF(E3335=""USD"",B3335,B3335 * GOOGLEFINANCE(""CURRENCY:"" &amp; E3335 &amp; ""USD""))
"),37965900)</f>
        <v>37965900</v>
      </c>
      <c r="G3335" s="16">
        <f ca="1">IFERROR(__xludf.DUMMYFUNCTION("IF(E3335=""USD"",C3335,C3335 * GOOGLEFINANCE(""CURRENCY:"" &amp; E3335 &amp; ""USD""))
"),35275009.34628)</f>
        <v>35275009.346280001</v>
      </c>
    </row>
    <row r="3336" spans="1:7" ht="15.75" customHeight="1" x14ac:dyDescent="0.25">
      <c r="A3336" s="11" t="s">
        <v>133</v>
      </c>
      <c r="B3336" s="12">
        <v>4000000</v>
      </c>
      <c r="C3336" s="12">
        <v>864959</v>
      </c>
      <c r="D3336" s="12">
        <v>2005</v>
      </c>
      <c r="E3336" s="12" t="str">
        <f>VLOOKUP(A3336, Currency!$A$2:$B$100, 2, FALSE)</f>
        <v>GBP</v>
      </c>
      <c r="F3336" s="12">
        <f ca="1">IFERROR(__xludf.DUMMYFUNCTION("IF(E3336=""USD"",B3336,B3336 * GOOGLEFINANCE(""CURRENCY:"" &amp; E3336 &amp; ""USD""))
"),5141599.99999999)</f>
        <v>5141599.9999999898</v>
      </c>
      <c r="G3336" s="13">
        <f ca="1">IFERROR(__xludf.DUMMYFUNCTION("IF(E3336=""USD"",C3336,C3336 * GOOGLEFINANCE(""CURRENCY:"" &amp; E3336 &amp; ""USD""))
"),1111818.29859999)</f>
        <v>1111818.2985999901</v>
      </c>
    </row>
    <row r="3337" spans="1:7" ht="15.75" customHeight="1" x14ac:dyDescent="0.25">
      <c r="A3337" s="14" t="s">
        <v>24</v>
      </c>
      <c r="B3337" s="15">
        <v>17500000</v>
      </c>
      <c r="C3337" s="15">
        <v>325491</v>
      </c>
      <c r="D3337" s="15">
        <v>2002</v>
      </c>
      <c r="E3337" s="15" t="str">
        <f>VLOOKUP(A3337, Currency!$A$2:$B$100, 2, FALSE)</f>
        <v>USD</v>
      </c>
      <c r="F3337" s="15">
        <f ca="1">IFERROR(__xludf.DUMMYFUNCTION("IF(E3337=""USD"",B3337,B3337 * GOOGLEFINANCE(""CURRENCY:"" &amp; E3337 &amp; ""USD""))
"),17500000)</f>
        <v>17500000</v>
      </c>
      <c r="G3337" s="16">
        <f ca="1">IFERROR(__xludf.DUMMYFUNCTION("IF(E3337=""USD"",C3337,C3337 * GOOGLEFINANCE(""CURRENCY:"" &amp; E3337 &amp; ""USD""))
"),325491)</f>
        <v>325491</v>
      </c>
    </row>
    <row r="3338" spans="1:7" ht="15.75" customHeight="1" x14ac:dyDescent="0.25">
      <c r="A3338" s="11" t="s">
        <v>24</v>
      </c>
      <c r="B3338" s="12">
        <v>38000000</v>
      </c>
      <c r="C3338" s="12">
        <v>113502246</v>
      </c>
      <c r="D3338" s="12">
        <v>1991</v>
      </c>
      <c r="E3338" s="12" t="str">
        <f>VLOOKUP(A3338, Currency!$A$2:$B$100, 2, FALSE)</f>
        <v>USD</v>
      </c>
      <c r="F3338" s="12">
        <f ca="1">IFERROR(__xludf.DUMMYFUNCTION("IF(E3338=""USD"",B3338,B3338 * GOOGLEFINANCE(""CURRENCY:"" &amp; E3338 &amp; ""USD""))
"),38000000)</f>
        <v>38000000</v>
      </c>
      <c r="G3338" s="13">
        <f ca="1">IFERROR(__xludf.DUMMYFUNCTION("IF(E3338=""USD"",C3338,C3338 * GOOGLEFINANCE(""CURRENCY:"" &amp; E3338 &amp; ""USD""))
"),113502246)</f>
        <v>113502246</v>
      </c>
    </row>
    <row r="3339" spans="1:7" ht="15.75" customHeight="1" x14ac:dyDescent="0.25">
      <c r="A3339" s="14" t="s">
        <v>24</v>
      </c>
      <c r="B3339" s="15">
        <v>65000000</v>
      </c>
      <c r="C3339" s="15">
        <v>29655590</v>
      </c>
      <c r="D3339" s="15">
        <v>1999</v>
      </c>
      <c r="E3339" s="15" t="str">
        <f>VLOOKUP(A3339, Currency!$A$2:$B$100, 2, FALSE)</f>
        <v>USD</v>
      </c>
      <c r="F3339" s="15">
        <f ca="1">IFERROR(__xludf.DUMMYFUNCTION("IF(E3339=""USD"",B3339,B3339 * GOOGLEFINANCE(""CURRENCY:"" &amp; E3339 &amp; ""USD""))
"),65000000)</f>
        <v>65000000</v>
      </c>
      <c r="G3339" s="16">
        <f ca="1">IFERROR(__xludf.DUMMYFUNCTION("IF(E3339=""USD"",C3339,C3339 * GOOGLEFINANCE(""CURRENCY:"" &amp; E3339 &amp; ""USD""))
"),29655590)</f>
        <v>29655590</v>
      </c>
    </row>
    <row r="3340" spans="1:7" ht="15.75" customHeight="1" x14ac:dyDescent="0.25">
      <c r="A3340" s="11" t="s">
        <v>24</v>
      </c>
      <c r="B3340" s="12">
        <v>48000000</v>
      </c>
      <c r="C3340" s="12">
        <v>124107476</v>
      </c>
      <c r="D3340" s="12">
        <v>2000</v>
      </c>
      <c r="E3340" s="12" t="str">
        <f>VLOOKUP(A3340, Currency!$A$2:$B$100, 2, FALSE)</f>
        <v>USD</v>
      </c>
      <c r="F3340" s="12">
        <f ca="1">IFERROR(__xludf.DUMMYFUNCTION("IF(E3340=""USD"",B3340,B3340 * GOOGLEFINANCE(""CURRENCY:"" &amp; E3340 &amp; ""USD""))
"),48000000)</f>
        <v>48000000</v>
      </c>
      <c r="G3340" s="13">
        <f ca="1">IFERROR(__xludf.DUMMYFUNCTION("IF(E3340=""USD"",C3340,C3340 * GOOGLEFINANCE(""CURRENCY:"" &amp; E3340 &amp; ""USD""))
"),124107476)</f>
        <v>124107476</v>
      </c>
    </row>
    <row r="3341" spans="1:7" ht="15.75" customHeight="1" x14ac:dyDescent="0.25">
      <c r="A3341" s="14" t="s">
        <v>24</v>
      </c>
      <c r="B3341" s="15">
        <v>150000000</v>
      </c>
      <c r="C3341" s="15">
        <v>165230261</v>
      </c>
      <c r="D3341" s="15">
        <v>2011</v>
      </c>
      <c r="E3341" s="15" t="str">
        <f>VLOOKUP(A3341, Currency!$A$2:$B$100, 2, FALSE)</f>
        <v>USD</v>
      </c>
      <c r="F3341" s="15">
        <f ca="1">IFERROR(__xludf.DUMMYFUNCTION("IF(E3341=""USD"",B3341,B3341 * GOOGLEFINANCE(""CURRENCY:"" &amp; E3341 &amp; ""USD""))
"),150000000)</f>
        <v>150000000</v>
      </c>
      <c r="G3341" s="16">
        <f ca="1">IFERROR(__xludf.DUMMYFUNCTION("IF(E3341=""USD"",C3341,C3341 * GOOGLEFINANCE(""CURRENCY:"" &amp; E3341 &amp; ""USD""))
"),165230261)</f>
        <v>165230261</v>
      </c>
    </row>
    <row r="3342" spans="1:7" ht="15.75" customHeight="1" x14ac:dyDescent="0.25">
      <c r="A3342" s="11" t="s">
        <v>24</v>
      </c>
      <c r="B3342" s="12">
        <v>800000</v>
      </c>
      <c r="C3342" s="12">
        <v>1001437</v>
      </c>
      <c r="D3342" s="12">
        <v>1993</v>
      </c>
      <c r="E3342" s="12" t="str">
        <f>VLOOKUP(A3342, Currency!$A$2:$B$100, 2, FALSE)</f>
        <v>USD</v>
      </c>
      <c r="F3342" s="12">
        <f ca="1">IFERROR(__xludf.DUMMYFUNCTION("IF(E3342=""USD"",B3342,B3342 * GOOGLEFINANCE(""CURRENCY:"" &amp; E3342 &amp; ""USD""))
"),800000)</f>
        <v>800000</v>
      </c>
      <c r="G3342" s="13">
        <f ca="1">IFERROR(__xludf.DUMMYFUNCTION("IF(E3342=""USD"",C3342,C3342 * GOOGLEFINANCE(""CURRENCY:"" &amp; E3342 &amp; ""USD""))
"),1001437)</f>
        <v>1001437</v>
      </c>
    </row>
    <row r="3343" spans="1:7" ht="15.75" customHeight="1" x14ac:dyDescent="0.25">
      <c r="A3343" s="14" t="s">
        <v>133</v>
      </c>
      <c r="B3343" s="15">
        <v>175000000</v>
      </c>
      <c r="C3343" s="15">
        <v>362645141</v>
      </c>
      <c r="D3343" s="15">
        <v>2016</v>
      </c>
      <c r="E3343" s="15" t="str">
        <f>VLOOKUP(A3343, Currency!$A$2:$B$100, 2, FALSE)</f>
        <v>GBP</v>
      </c>
      <c r="F3343" s="15">
        <f ca="1">IFERROR(__xludf.DUMMYFUNCTION("IF(E3343=""USD"",B3343,B3343 * GOOGLEFINANCE(""CURRENCY:"" &amp; E3343 &amp; ""USD""))
"),224944999.999999)</f>
        <v>224944999.99999899</v>
      </c>
      <c r="G3343" s="16">
        <f ca="1">IFERROR(__xludf.DUMMYFUNCTION("IF(E3343=""USD"",C3343,C3343 * GOOGLEFINANCE(""CURRENCY:"" &amp; E3343 &amp; ""USD""))
"),466144064.241399)</f>
        <v>466144064.24139899</v>
      </c>
    </row>
    <row r="3344" spans="1:7" ht="15.75" customHeight="1" x14ac:dyDescent="0.25">
      <c r="A3344" s="11" t="s">
        <v>24</v>
      </c>
      <c r="B3344" s="12">
        <v>70000000</v>
      </c>
      <c r="C3344" s="12">
        <v>66257002</v>
      </c>
      <c r="D3344" s="12">
        <v>2003</v>
      </c>
      <c r="E3344" s="12" t="str">
        <f>VLOOKUP(A3344, Currency!$A$2:$B$100, 2, FALSE)</f>
        <v>USD</v>
      </c>
      <c r="F3344" s="12">
        <f ca="1">IFERROR(__xludf.DUMMYFUNCTION("IF(E3344=""USD"",B3344,B3344 * GOOGLEFINANCE(""CURRENCY:"" &amp; E3344 &amp; ""USD""))
"),70000000)</f>
        <v>70000000</v>
      </c>
      <c r="G3344" s="13">
        <f ca="1">IFERROR(__xludf.DUMMYFUNCTION("IF(E3344=""USD"",C3344,C3344 * GOOGLEFINANCE(""CURRENCY:"" &amp; E3344 &amp; ""USD""))
"),66257002)</f>
        <v>66257002</v>
      </c>
    </row>
    <row r="3345" spans="1:7" ht="15.75" customHeight="1" x14ac:dyDescent="0.25">
      <c r="A3345" s="14" t="s">
        <v>24</v>
      </c>
      <c r="B3345" s="15">
        <v>24000000</v>
      </c>
      <c r="C3345" s="15">
        <v>9639242</v>
      </c>
      <c r="D3345" s="15">
        <v>2011</v>
      </c>
      <c r="E3345" s="15" t="str">
        <f>VLOOKUP(A3345, Currency!$A$2:$B$100, 2, FALSE)</f>
        <v>USD</v>
      </c>
      <c r="F3345" s="15">
        <f ca="1">IFERROR(__xludf.DUMMYFUNCTION("IF(E3345=""USD"",B3345,B3345 * GOOGLEFINANCE(""CURRENCY:"" &amp; E3345 &amp; ""USD""))
"),24000000)</f>
        <v>24000000</v>
      </c>
      <c r="G3345" s="16">
        <f ca="1">IFERROR(__xludf.DUMMYFUNCTION("IF(E3345=""USD"",C3345,C3345 * GOOGLEFINANCE(""CURRENCY:"" &amp; E3345 &amp; ""USD""))
"),9639242)</f>
        <v>9639242</v>
      </c>
    </row>
    <row r="3346" spans="1:7" ht="15.75" customHeight="1" x14ac:dyDescent="0.25">
      <c r="A3346" s="11" t="s">
        <v>24</v>
      </c>
      <c r="B3346" s="12">
        <v>12000000</v>
      </c>
      <c r="C3346" s="12">
        <v>6754898</v>
      </c>
      <c r="D3346" s="12">
        <v>2006</v>
      </c>
      <c r="E3346" s="12" t="str">
        <f>VLOOKUP(A3346, Currency!$A$2:$B$100, 2, FALSE)</f>
        <v>USD</v>
      </c>
      <c r="F3346" s="12">
        <f ca="1">IFERROR(__xludf.DUMMYFUNCTION("IF(E3346=""USD"",B3346,B3346 * GOOGLEFINANCE(""CURRENCY:"" &amp; E3346 &amp; ""USD""))
"),12000000)</f>
        <v>12000000</v>
      </c>
      <c r="G3346" s="13">
        <f ca="1">IFERROR(__xludf.DUMMYFUNCTION("IF(E3346=""USD"",C3346,C3346 * GOOGLEFINANCE(""CURRENCY:"" &amp; E3346 &amp; ""USD""))
"),6754898)</f>
        <v>6754898</v>
      </c>
    </row>
    <row r="3347" spans="1:7" ht="15.75" customHeight="1" x14ac:dyDescent="0.25">
      <c r="A3347" s="14" t="s">
        <v>24</v>
      </c>
      <c r="B3347" s="15">
        <v>145000000</v>
      </c>
      <c r="C3347" s="15">
        <v>143523463</v>
      </c>
      <c r="D3347" s="15">
        <v>2016</v>
      </c>
      <c r="E3347" s="15" t="str">
        <f>VLOOKUP(A3347, Currency!$A$2:$B$100, 2, FALSE)</f>
        <v>USD</v>
      </c>
      <c r="F3347" s="15">
        <f ca="1">IFERROR(__xludf.DUMMYFUNCTION("IF(E3347=""USD"",B3347,B3347 * GOOGLEFINANCE(""CURRENCY:"" &amp; E3347 &amp; ""USD""))
"),145000000)</f>
        <v>145000000</v>
      </c>
      <c r="G3347" s="16">
        <f ca="1">IFERROR(__xludf.DUMMYFUNCTION("IF(E3347=""USD"",C3347,C3347 * GOOGLEFINANCE(""CURRENCY:"" &amp; E3347 &amp; ""USD""))
"),143523463)</f>
        <v>143523463</v>
      </c>
    </row>
    <row r="3348" spans="1:7" ht="15.75" customHeight="1" x14ac:dyDescent="0.25">
      <c r="A3348" s="11" t="s">
        <v>24</v>
      </c>
      <c r="B3348" s="12">
        <v>35000000</v>
      </c>
      <c r="C3348" s="12">
        <v>17596256</v>
      </c>
      <c r="D3348" s="12">
        <v>2010</v>
      </c>
      <c r="E3348" s="12" t="str">
        <f>VLOOKUP(A3348, Currency!$A$2:$B$100, 2, FALSE)</f>
        <v>USD</v>
      </c>
      <c r="F3348" s="12">
        <f ca="1">IFERROR(__xludf.DUMMYFUNCTION("IF(E3348=""USD"",B3348,B3348 * GOOGLEFINANCE(""CURRENCY:"" &amp; E3348 &amp; ""USD""))
"),35000000)</f>
        <v>35000000</v>
      </c>
      <c r="G3348" s="13">
        <f ca="1">IFERROR(__xludf.DUMMYFUNCTION("IF(E3348=""USD"",C3348,C3348 * GOOGLEFINANCE(""CURRENCY:"" &amp; E3348 &amp; ""USD""))
"),17596256)</f>
        <v>17596256</v>
      </c>
    </row>
    <row r="3349" spans="1:7" ht="15.75" customHeight="1" x14ac:dyDescent="0.25">
      <c r="A3349" s="14" t="s">
        <v>24</v>
      </c>
      <c r="B3349" s="15">
        <v>70000000</v>
      </c>
      <c r="C3349" s="15">
        <v>7097125</v>
      </c>
      <c r="D3349" s="15">
        <v>2015</v>
      </c>
      <c r="E3349" s="15" t="str">
        <f>VLOOKUP(A3349, Currency!$A$2:$B$100, 2, FALSE)</f>
        <v>USD</v>
      </c>
      <c r="F3349" s="15">
        <f ca="1">IFERROR(__xludf.DUMMYFUNCTION("IF(E3349=""USD"",B3349,B3349 * GOOGLEFINANCE(""CURRENCY:"" &amp; E3349 &amp; ""USD""))
"),70000000)</f>
        <v>70000000</v>
      </c>
      <c r="G3349" s="16">
        <f ca="1">IFERROR(__xludf.DUMMYFUNCTION("IF(E3349=""USD"",C3349,C3349 * GOOGLEFINANCE(""CURRENCY:"" &amp; E3349 &amp; ""USD""))
"),7097125)</f>
        <v>7097125</v>
      </c>
    </row>
    <row r="3350" spans="1:7" ht="15.75" customHeight="1" x14ac:dyDescent="0.25">
      <c r="A3350" s="11" t="s">
        <v>24</v>
      </c>
      <c r="B3350" s="12">
        <v>44000000</v>
      </c>
      <c r="C3350" s="12">
        <v>6105175</v>
      </c>
      <c r="D3350" s="12">
        <v>2014</v>
      </c>
      <c r="E3350" s="12" t="str">
        <f>VLOOKUP(A3350, Currency!$A$2:$B$100, 2, FALSE)</f>
        <v>USD</v>
      </c>
      <c r="F3350" s="12">
        <f ca="1">IFERROR(__xludf.DUMMYFUNCTION("IF(E3350=""USD"",B3350,B3350 * GOOGLEFINANCE(""CURRENCY:"" &amp; E3350 &amp; ""USD""))
"),44000000)</f>
        <v>44000000</v>
      </c>
      <c r="G3350" s="13">
        <f ca="1">IFERROR(__xludf.DUMMYFUNCTION("IF(E3350=""USD"",C3350,C3350 * GOOGLEFINANCE(""CURRENCY:"" &amp; E3350 &amp; ""USD""))
"),6105175)</f>
        <v>6105175</v>
      </c>
    </row>
    <row r="3351" spans="1:7" ht="15.75" customHeight="1" x14ac:dyDescent="0.25">
      <c r="A3351" s="14" t="s">
        <v>133</v>
      </c>
      <c r="B3351" s="15">
        <v>11000000</v>
      </c>
      <c r="C3351" s="15">
        <v>3753806</v>
      </c>
      <c r="D3351" s="15">
        <v>2004</v>
      </c>
      <c r="E3351" s="15" t="str">
        <f>VLOOKUP(A3351, Currency!$A$2:$B$100, 2, FALSE)</f>
        <v>GBP</v>
      </c>
      <c r="F3351" s="15">
        <f ca="1">IFERROR(__xludf.DUMMYFUNCTION("IF(E3351=""USD"",B3351,B3351 * GOOGLEFINANCE(""CURRENCY:"" &amp; E3351 &amp; ""USD""))
"),14139399.9999999)</f>
        <v>14139399.999999899</v>
      </c>
      <c r="G3351" s="16">
        <f ca="1">IFERROR(__xludf.DUMMYFUNCTION("IF(E3351=""USD"",C3351,C3351 * GOOGLEFINANCE(""CURRENCY:"" &amp; E3351 &amp; ""USD""))
"),4825142.23239999)</f>
        <v>4825142.2323999899</v>
      </c>
    </row>
    <row r="3352" spans="1:7" ht="15.75" customHeight="1" x14ac:dyDescent="0.25">
      <c r="A3352" s="11" t="s">
        <v>24</v>
      </c>
      <c r="B3352" s="12">
        <v>80000000</v>
      </c>
      <c r="C3352" s="12">
        <v>38542418</v>
      </c>
      <c r="D3352" s="12">
        <v>2009</v>
      </c>
      <c r="E3352" s="12" t="str">
        <f>VLOOKUP(A3352, Currency!$A$2:$B$100, 2, FALSE)</f>
        <v>USD</v>
      </c>
      <c r="F3352" s="12">
        <f ca="1">IFERROR(__xludf.DUMMYFUNCTION("IF(E3352=""USD"",B3352,B3352 * GOOGLEFINANCE(""CURRENCY:"" &amp; E3352 &amp; ""USD""))
"),80000000)</f>
        <v>80000000</v>
      </c>
      <c r="G3352" s="13">
        <f ca="1">IFERROR(__xludf.DUMMYFUNCTION("IF(E3352=""USD"",C3352,C3352 * GOOGLEFINANCE(""CURRENCY:"" &amp; E3352 &amp; ""USD""))
"),38542418)</f>
        <v>38542418</v>
      </c>
    </row>
    <row r="3353" spans="1:7" ht="15.75" customHeight="1" x14ac:dyDescent="0.25">
      <c r="A3353" s="14" t="s">
        <v>24</v>
      </c>
      <c r="B3353" s="15">
        <v>80000000</v>
      </c>
      <c r="C3353" s="15">
        <v>73215310</v>
      </c>
      <c r="D3353" s="15">
        <v>2002</v>
      </c>
      <c r="E3353" s="15" t="str">
        <f>VLOOKUP(A3353, Currency!$A$2:$B$100, 2, FALSE)</f>
        <v>USD</v>
      </c>
      <c r="F3353" s="15">
        <f ca="1">IFERROR(__xludf.DUMMYFUNCTION("IF(E3353=""USD"",B3353,B3353 * GOOGLEFINANCE(""CURRENCY:"" &amp; E3353 &amp; ""USD""))
"),80000000)</f>
        <v>80000000</v>
      </c>
      <c r="G3353" s="16">
        <f ca="1">IFERROR(__xludf.DUMMYFUNCTION("IF(E3353=""USD"",C3353,C3353 * GOOGLEFINANCE(""CURRENCY:"" &amp; E3353 &amp; ""USD""))
"),73215310)</f>
        <v>73215310</v>
      </c>
    </row>
    <row r="3354" spans="1:7" ht="15.75" customHeight="1" x14ac:dyDescent="0.25">
      <c r="A3354" s="11" t="s">
        <v>24</v>
      </c>
      <c r="B3354" s="12">
        <v>10000000</v>
      </c>
      <c r="C3354" s="12">
        <v>28873374</v>
      </c>
      <c r="D3354" s="12">
        <v>2013</v>
      </c>
      <c r="E3354" s="12" t="str">
        <f>VLOOKUP(A3354, Currency!$A$2:$B$100, 2, FALSE)</f>
        <v>USD</v>
      </c>
      <c r="F3354" s="12">
        <f ca="1">IFERROR(__xludf.DUMMYFUNCTION("IF(E3354=""USD"",B3354,B3354 * GOOGLEFINANCE(""CURRENCY:"" &amp; E3354 &amp; ""USD""))
"),10000000)</f>
        <v>10000000</v>
      </c>
      <c r="G3354" s="13">
        <f ca="1">IFERROR(__xludf.DUMMYFUNCTION("IF(E3354=""USD"",C3354,C3354 * GOOGLEFINANCE(""CURRENCY:"" &amp; E3354 &amp; ""USD""))
"),28873374)</f>
        <v>28873374</v>
      </c>
    </row>
    <row r="3355" spans="1:7" ht="15.75" customHeight="1" x14ac:dyDescent="0.25">
      <c r="A3355" s="14" t="s">
        <v>24</v>
      </c>
      <c r="B3355" s="15">
        <v>2000000</v>
      </c>
      <c r="C3355" s="15">
        <v>952620</v>
      </c>
      <c r="D3355" s="15">
        <v>2007</v>
      </c>
      <c r="E3355" s="15" t="str">
        <f>VLOOKUP(A3355, Currency!$A$2:$B$100, 2, FALSE)</f>
        <v>USD</v>
      </c>
      <c r="F3355" s="15">
        <f ca="1">IFERROR(__xludf.DUMMYFUNCTION("IF(E3355=""USD"",B3355,B3355 * GOOGLEFINANCE(""CURRENCY:"" &amp; E3355 &amp; ""USD""))
"),2000000)</f>
        <v>2000000</v>
      </c>
      <c r="G3355" s="16">
        <f ca="1">IFERROR(__xludf.DUMMYFUNCTION("IF(E3355=""USD"",C3355,C3355 * GOOGLEFINANCE(""CURRENCY:"" &amp; E3355 &amp; ""USD""))
"),952620)</f>
        <v>952620</v>
      </c>
    </row>
    <row r="3356" spans="1:7" ht="15.75" customHeight="1" x14ac:dyDescent="0.25">
      <c r="A3356" s="11" t="s">
        <v>24</v>
      </c>
      <c r="B3356" s="12">
        <v>25000000</v>
      </c>
      <c r="C3356" s="12">
        <v>172825435</v>
      </c>
      <c r="D3356" s="12">
        <v>1988</v>
      </c>
      <c r="E3356" s="12" t="str">
        <f>VLOOKUP(A3356, Currency!$A$2:$B$100, 2, FALSE)</f>
        <v>USD</v>
      </c>
      <c r="F3356" s="12">
        <f ca="1">IFERROR(__xludf.DUMMYFUNCTION("IF(E3356=""USD"",B3356,B3356 * GOOGLEFINANCE(""CURRENCY:"" &amp; E3356 &amp; ""USD""))
"),25000000)</f>
        <v>25000000</v>
      </c>
      <c r="G3356" s="13">
        <f ca="1">IFERROR(__xludf.DUMMYFUNCTION("IF(E3356=""USD"",C3356,C3356 * GOOGLEFINANCE(""CURRENCY:"" &amp; E3356 &amp; ""USD""))
"),172825435)</f>
        <v>172825435</v>
      </c>
    </row>
    <row r="3357" spans="1:7" ht="15.75" customHeight="1" x14ac:dyDescent="0.25">
      <c r="A3357" s="14" t="s">
        <v>24</v>
      </c>
      <c r="B3357" s="15">
        <v>40000000</v>
      </c>
      <c r="C3357" s="15">
        <v>21413502</v>
      </c>
      <c r="D3357" s="15">
        <v>1990</v>
      </c>
      <c r="E3357" s="15" t="str">
        <f>VLOOKUP(A3357, Currency!$A$2:$B$100, 2, FALSE)</f>
        <v>USD</v>
      </c>
      <c r="F3357" s="15">
        <f ca="1">IFERROR(__xludf.DUMMYFUNCTION("IF(E3357=""USD"",B3357,B3357 * GOOGLEFINANCE(""CURRENCY:"" &amp; E3357 &amp; ""USD""))
"),40000000)</f>
        <v>40000000</v>
      </c>
      <c r="G3357" s="16">
        <f ca="1">IFERROR(__xludf.DUMMYFUNCTION("IF(E3357=""USD"",C3357,C3357 * GOOGLEFINANCE(""CURRENCY:"" &amp; E3357 &amp; ""USD""))
"),21413502)</f>
        <v>21413502</v>
      </c>
    </row>
    <row r="3358" spans="1:7" ht="15.75" customHeight="1" x14ac:dyDescent="0.25">
      <c r="A3358" s="11" t="s">
        <v>24</v>
      </c>
      <c r="B3358" s="12">
        <v>910000</v>
      </c>
      <c r="C3358" s="12">
        <v>9600000</v>
      </c>
      <c r="D3358" s="12">
        <v>1954</v>
      </c>
      <c r="E3358" s="12" t="str">
        <f>VLOOKUP(A3358, Currency!$A$2:$B$100, 2, FALSE)</f>
        <v>USD</v>
      </c>
      <c r="F3358" s="12">
        <f ca="1">IFERROR(__xludf.DUMMYFUNCTION("IF(E3358=""USD"",B3358,B3358 * GOOGLEFINANCE(""CURRENCY:"" &amp; E3358 &amp; ""USD""))
"),910000)</f>
        <v>910000</v>
      </c>
      <c r="G3358" s="13">
        <f ca="1">IFERROR(__xludf.DUMMYFUNCTION("IF(E3358=""USD"",C3358,C3358 * GOOGLEFINANCE(""CURRENCY:"" &amp; E3358 &amp; ""USD""))
"),9600000)</f>
        <v>9600000</v>
      </c>
    </row>
    <row r="3359" spans="1:7" ht="15.75" customHeight="1" x14ac:dyDescent="0.25">
      <c r="A3359" s="14" t="s">
        <v>24</v>
      </c>
      <c r="B3359" s="15">
        <v>20000000</v>
      </c>
      <c r="C3359" s="15">
        <v>13801755</v>
      </c>
      <c r="D3359" s="15">
        <v>1997</v>
      </c>
      <c r="E3359" s="15" t="str">
        <f>VLOOKUP(A3359, Currency!$A$2:$B$100, 2, FALSE)</f>
        <v>USD</v>
      </c>
      <c r="F3359" s="15">
        <f ca="1">IFERROR(__xludf.DUMMYFUNCTION("IF(E3359=""USD"",B3359,B3359 * GOOGLEFINANCE(""CURRENCY:"" &amp; E3359 &amp; ""USD""))
"),20000000)</f>
        <v>20000000</v>
      </c>
      <c r="G3359" s="16">
        <f ca="1">IFERROR(__xludf.DUMMYFUNCTION("IF(E3359=""USD"",C3359,C3359 * GOOGLEFINANCE(""CURRENCY:"" &amp; E3359 &amp; ""USD""))
"),13801755)</f>
        <v>13801755</v>
      </c>
    </row>
    <row r="3360" spans="1:7" ht="15.75" customHeight="1" x14ac:dyDescent="0.25">
      <c r="A3360" s="11" t="s">
        <v>24</v>
      </c>
      <c r="B3360" s="12">
        <v>50000000</v>
      </c>
      <c r="C3360" s="12">
        <v>50150619</v>
      </c>
      <c r="D3360" s="12">
        <v>2014</v>
      </c>
      <c r="E3360" s="12" t="str">
        <f>VLOOKUP(A3360, Currency!$A$2:$B$100, 2, FALSE)</f>
        <v>USD</v>
      </c>
      <c r="F3360" s="12">
        <f ca="1">IFERROR(__xludf.DUMMYFUNCTION("IF(E3360=""USD"",B3360,B3360 * GOOGLEFINANCE(""CURRENCY:"" &amp; E3360 &amp; ""USD""))
"),50000000)</f>
        <v>50000000</v>
      </c>
      <c r="G3360" s="13">
        <f ca="1">IFERROR(__xludf.DUMMYFUNCTION("IF(E3360=""USD"",C3360,C3360 * GOOGLEFINANCE(""CURRENCY:"" &amp; E3360 &amp; ""USD""))
"),50150619)</f>
        <v>50150619</v>
      </c>
    </row>
    <row r="3361" spans="1:7" ht="15.75" customHeight="1" x14ac:dyDescent="0.25">
      <c r="A3361" s="14" t="s">
        <v>24</v>
      </c>
      <c r="B3361" s="15">
        <v>200000</v>
      </c>
      <c r="C3361" s="15">
        <v>856942</v>
      </c>
      <c r="D3361" s="15">
        <v>2008</v>
      </c>
      <c r="E3361" s="15" t="str">
        <f>VLOOKUP(A3361, Currency!$A$2:$B$100, 2, FALSE)</f>
        <v>USD</v>
      </c>
      <c r="F3361" s="15">
        <f ca="1">IFERROR(__xludf.DUMMYFUNCTION("IF(E3361=""USD"",B3361,B3361 * GOOGLEFINANCE(""CURRENCY:"" &amp; E3361 &amp; ""USD""))
"),200000)</f>
        <v>200000</v>
      </c>
      <c r="G3361" s="16">
        <f ca="1">IFERROR(__xludf.DUMMYFUNCTION("IF(E3361=""USD"",C3361,C3361 * GOOGLEFINANCE(""CURRENCY:"" &amp; E3361 &amp; ""USD""))
"),856942)</f>
        <v>856942</v>
      </c>
    </row>
    <row r="3362" spans="1:7" ht="15.75" customHeight="1" x14ac:dyDescent="0.25">
      <c r="A3362" s="11" t="s">
        <v>133</v>
      </c>
      <c r="B3362" s="12">
        <v>245000000</v>
      </c>
      <c r="C3362" s="12">
        <v>200074175</v>
      </c>
      <c r="D3362" s="12">
        <v>2015</v>
      </c>
      <c r="E3362" s="12" t="str">
        <f>VLOOKUP(A3362, Currency!$A$2:$B$100, 2, FALSE)</f>
        <v>GBP</v>
      </c>
      <c r="F3362" s="12">
        <f ca="1">IFERROR(__xludf.DUMMYFUNCTION("IF(E3362=""USD"",B3362,B3362 * GOOGLEFINANCE(""CURRENCY:"" &amp; E3362 &amp; ""USD""))
"),314922999.999999)</f>
        <v>314922999.99999899</v>
      </c>
      <c r="G3362" s="13">
        <f ca="1">IFERROR(__xludf.DUMMYFUNCTION("IF(E3362=""USD"",C3362,C3362 * GOOGLEFINANCE(""CURRENCY:"" &amp; E3362 &amp; ""USD""))
"),257175344.545)</f>
        <v>257175344.54499999</v>
      </c>
    </row>
    <row r="3363" spans="1:7" ht="15.75" customHeight="1" x14ac:dyDescent="0.25">
      <c r="A3363" s="14" t="s">
        <v>24</v>
      </c>
      <c r="B3363" s="15">
        <v>500000</v>
      </c>
      <c r="C3363" s="15">
        <v>32645</v>
      </c>
      <c r="D3363" s="15">
        <v>1973</v>
      </c>
      <c r="E3363" s="15" t="str">
        <f>VLOOKUP(A3363, Currency!$A$2:$B$100, 2, FALSE)</f>
        <v>USD</v>
      </c>
      <c r="F3363" s="15">
        <f ca="1">IFERROR(__xludf.DUMMYFUNCTION("IF(E3363=""USD"",B3363,B3363 * GOOGLEFINANCE(""CURRENCY:"" &amp; E3363 &amp; ""USD""))
"),500000)</f>
        <v>500000</v>
      </c>
      <c r="G3363" s="16">
        <f ca="1">IFERROR(__xludf.DUMMYFUNCTION("IF(E3363=""USD"",C3363,C3363 * GOOGLEFINANCE(""CURRENCY:"" &amp; E3363 &amp; ""USD""))
"),32645)</f>
        <v>32645</v>
      </c>
    </row>
    <row r="3364" spans="1:7" ht="15.75" customHeight="1" x14ac:dyDescent="0.25">
      <c r="A3364" s="11" t="s">
        <v>41</v>
      </c>
      <c r="B3364" s="12">
        <v>30000000</v>
      </c>
      <c r="C3364" s="12">
        <v>5300000</v>
      </c>
      <c r="D3364" s="12">
        <v>1984</v>
      </c>
      <c r="E3364" s="12" t="str">
        <f>VLOOKUP(A3364, Currency!$A$2:$B$100, 2, FALSE)</f>
        <v>EUR</v>
      </c>
      <c r="F3364" s="12">
        <f ca="1">IFERROR(__xludf.DUMMYFUNCTION("IF(E3364=""USD"",B3364,B3364 * GOOGLEFINANCE(""CURRENCY:"" &amp; E3364 &amp; ""USD""))
"),32542200)</f>
        <v>32542200</v>
      </c>
      <c r="G3364" s="13">
        <f ca="1">IFERROR(__xludf.DUMMYFUNCTION("IF(E3364=""USD"",C3364,C3364 * GOOGLEFINANCE(""CURRENCY:"" &amp; E3364 &amp; ""USD""))
"),5749122)</f>
        <v>5749122</v>
      </c>
    </row>
    <row r="3365" spans="1:7" ht="15.75" customHeight="1" x14ac:dyDescent="0.25">
      <c r="A3365" s="14" t="s">
        <v>24</v>
      </c>
      <c r="B3365" s="15">
        <v>258000000</v>
      </c>
      <c r="C3365" s="15">
        <v>336530303</v>
      </c>
      <c r="D3365" s="15">
        <v>2007</v>
      </c>
      <c r="E3365" s="15" t="str">
        <f>VLOOKUP(A3365, Currency!$A$2:$B$100, 2, FALSE)</f>
        <v>USD</v>
      </c>
      <c r="F3365" s="15">
        <f ca="1">IFERROR(__xludf.DUMMYFUNCTION("IF(E3365=""USD"",B3365,B3365 * GOOGLEFINANCE(""CURRENCY:"" &amp; E3365 &amp; ""USD""))
"),258000000)</f>
        <v>258000000</v>
      </c>
      <c r="G3365" s="16">
        <f ca="1">IFERROR(__xludf.DUMMYFUNCTION("IF(E3365=""USD"",C3365,C3365 * GOOGLEFINANCE(""CURRENCY:"" &amp; E3365 &amp; ""USD""))
"),336530303)</f>
        <v>336530303</v>
      </c>
    </row>
    <row r="3366" spans="1:7" ht="15.75" customHeight="1" x14ac:dyDescent="0.25">
      <c r="A3366" s="11" t="s">
        <v>24</v>
      </c>
      <c r="B3366" s="12">
        <v>9000000</v>
      </c>
      <c r="C3366" s="12">
        <v>71519230</v>
      </c>
      <c r="D3366" s="12">
        <v>2014</v>
      </c>
      <c r="E3366" s="12" t="str">
        <f>VLOOKUP(A3366, Currency!$A$2:$B$100, 2, FALSE)</f>
        <v>USD</v>
      </c>
      <c r="F3366" s="12">
        <f ca="1">IFERROR(__xludf.DUMMYFUNCTION("IF(E3366=""USD"",B3366,B3366 * GOOGLEFINANCE(""CURRENCY:"" &amp; E3366 &amp; ""USD""))
"),9000000)</f>
        <v>9000000</v>
      </c>
      <c r="G3366" s="13">
        <f ca="1">IFERROR(__xludf.DUMMYFUNCTION("IF(E3366=""USD"",C3366,C3366 * GOOGLEFINANCE(""CURRENCY:"" &amp; E3366 &amp; ""USD""))
"),71519230)</f>
        <v>71519230</v>
      </c>
    </row>
    <row r="3367" spans="1:7" ht="15.75" customHeight="1" x14ac:dyDescent="0.25">
      <c r="A3367" s="14" t="s">
        <v>627</v>
      </c>
      <c r="B3367" s="15">
        <v>50000000</v>
      </c>
      <c r="C3367" s="15">
        <v>46982632</v>
      </c>
      <c r="D3367" s="15">
        <v>2006</v>
      </c>
      <c r="E3367" s="15" t="str">
        <f>VLOOKUP(A3367, Currency!$A$2:$B$100, 2, FALSE)</f>
        <v>CAD</v>
      </c>
      <c r="F3367" s="15">
        <f ca="1">IFERROR(__xludf.DUMMYFUNCTION("IF(E3367=""USD"",B3367,B3367 * GOOGLEFINANCE(""CURRENCY:"" &amp; E3367 &amp; ""USD""))
"),36170250)</f>
        <v>36170250</v>
      </c>
      <c r="G3367" s="16">
        <f ca="1">IFERROR(__xludf.DUMMYFUNCTION("IF(E3367=""USD"",C3367,C3367 * GOOGLEFINANCE(""CURRENCY:"" &amp; E3367 &amp; ""USD""))
"),33987470.90196)</f>
        <v>33987470.90196</v>
      </c>
    </row>
    <row r="3368" spans="1:7" ht="15.75" customHeight="1" x14ac:dyDescent="0.25">
      <c r="A3368" s="11" t="s">
        <v>24</v>
      </c>
      <c r="B3368" s="12">
        <v>200000000</v>
      </c>
      <c r="C3368" s="12">
        <v>414984497</v>
      </c>
      <c r="D3368" s="12">
        <v>2010</v>
      </c>
      <c r="E3368" s="12" t="str">
        <f>VLOOKUP(A3368, Currency!$A$2:$B$100, 2, FALSE)</f>
        <v>USD</v>
      </c>
      <c r="F3368" s="12">
        <f ca="1">IFERROR(__xludf.DUMMYFUNCTION("IF(E3368=""USD"",B3368,B3368 * GOOGLEFINANCE(""CURRENCY:"" &amp; E3368 &amp; ""USD""))
"),200000000)</f>
        <v>200000000</v>
      </c>
      <c r="G3368" s="13">
        <f ca="1">IFERROR(__xludf.DUMMYFUNCTION("IF(E3368=""USD"",C3368,C3368 * GOOGLEFINANCE(""CURRENCY:"" &amp; E3368 &amp; ""USD""))
"),414984497)</f>
        <v>414984497</v>
      </c>
    </row>
    <row r="3369" spans="1:7" ht="15.75" customHeight="1" x14ac:dyDescent="0.25">
      <c r="A3369" s="14" t="s">
        <v>24</v>
      </c>
      <c r="B3369" s="15">
        <v>28000000</v>
      </c>
      <c r="C3369" s="15">
        <v>43097652</v>
      </c>
      <c r="D3369" s="15">
        <v>2007</v>
      </c>
      <c r="E3369" s="15" t="str">
        <f>VLOOKUP(A3369, Currency!$A$2:$B$100, 2, FALSE)</f>
        <v>USD</v>
      </c>
      <c r="F3369" s="15">
        <f ca="1">IFERROR(__xludf.DUMMYFUNCTION("IF(E3369=""USD"",B3369,B3369 * GOOGLEFINANCE(""CURRENCY:"" &amp; E3369 &amp; ""USD""))
"),28000000)</f>
        <v>28000000</v>
      </c>
      <c r="G3369" s="16">
        <f ca="1">IFERROR(__xludf.DUMMYFUNCTION("IF(E3369=""USD"",C3369,C3369 * GOOGLEFINANCE(""CURRENCY:"" &amp; E3369 &amp; ""USD""))
"),43097652)</f>
        <v>43097652</v>
      </c>
    </row>
    <row r="3370" spans="1:7" ht="15.75" customHeight="1" x14ac:dyDescent="0.25">
      <c r="A3370" s="11" t="s">
        <v>24</v>
      </c>
      <c r="B3370" s="12">
        <v>20000000</v>
      </c>
      <c r="C3370" s="12">
        <v>102922376</v>
      </c>
      <c r="D3370" s="12">
        <v>1978</v>
      </c>
      <c r="E3370" s="12" t="str">
        <f>VLOOKUP(A3370, Currency!$A$2:$B$100, 2, FALSE)</f>
        <v>USD</v>
      </c>
      <c r="F3370" s="12">
        <f ca="1">IFERROR(__xludf.DUMMYFUNCTION("IF(E3370=""USD"",B3370,B3370 * GOOGLEFINANCE(""CURRENCY:"" &amp; E3370 &amp; ""USD""))
"),20000000)</f>
        <v>20000000</v>
      </c>
      <c r="G3370" s="13">
        <f ca="1">IFERROR(__xludf.DUMMYFUNCTION("IF(E3370=""USD"",C3370,C3370 * GOOGLEFINANCE(""CURRENCY:"" &amp; E3370 &amp; ""USD""))
"),102922376)</f>
        <v>102922376</v>
      </c>
    </row>
    <row r="3371" spans="1:7" ht="15.75" customHeight="1" x14ac:dyDescent="0.25">
      <c r="A3371" s="14" t="s">
        <v>24</v>
      </c>
      <c r="B3371" s="15">
        <v>25000000</v>
      </c>
      <c r="C3371" s="15">
        <v>1550000</v>
      </c>
      <c r="D3371" s="15">
        <v>2005</v>
      </c>
      <c r="E3371" s="15" t="str">
        <f>VLOOKUP(A3371, Currency!$A$2:$B$100, 2, FALSE)</f>
        <v>USD</v>
      </c>
      <c r="F3371" s="15">
        <f ca="1">IFERROR(__xludf.DUMMYFUNCTION("IF(E3371=""USD"",B3371,B3371 * GOOGLEFINANCE(""CURRENCY:"" &amp; E3371 &amp; ""USD""))
"),25000000)</f>
        <v>25000000</v>
      </c>
      <c r="G3371" s="16">
        <f ca="1">IFERROR(__xludf.DUMMYFUNCTION("IF(E3371=""USD"",C3371,C3371 * GOOGLEFINANCE(""CURRENCY:"" &amp; E3371 &amp; ""USD""))
"),1550000)</f>
        <v>1550000</v>
      </c>
    </row>
    <row r="3372" spans="1:7" ht="15.75" customHeight="1" x14ac:dyDescent="0.25">
      <c r="A3372" s="11" t="s">
        <v>24</v>
      </c>
      <c r="B3372" s="12">
        <v>17000000</v>
      </c>
      <c r="C3372" s="12">
        <v>42672630</v>
      </c>
      <c r="D3372" s="12">
        <v>2003</v>
      </c>
      <c r="E3372" s="12" t="str">
        <f>VLOOKUP(A3372, Currency!$A$2:$B$100, 2, FALSE)</f>
        <v>USD</v>
      </c>
      <c r="F3372" s="12">
        <f ca="1">IFERROR(__xludf.DUMMYFUNCTION("IF(E3372=""USD"",B3372,B3372 * GOOGLEFINANCE(""CURRENCY:"" &amp; E3372 &amp; ""USD""))
"),17000000)</f>
        <v>17000000</v>
      </c>
      <c r="G3372" s="13">
        <f ca="1">IFERROR(__xludf.DUMMYFUNCTION("IF(E3372=""USD"",C3372,C3372 * GOOGLEFINANCE(""CURRENCY:"" &amp; E3372 &amp; ""USD""))
"),42672630)</f>
        <v>42672630</v>
      </c>
    </row>
    <row r="3373" spans="1:7" ht="15.75" customHeight="1" x14ac:dyDescent="0.25">
      <c r="A3373" s="14" t="s">
        <v>24</v>
      </c>
      <c r="B3373" s="15">
        <v>75000000</v>
      </c>
      <c r="C3373" s="15">
        <v>117698894</v>
      </c>
      <c r="D3373" s="15">
        <v>2013</v>
      </c>
      <c r="E3373" s="15" t="str">
        <f>VLOOKUP(A3373, Currency!$A$2:$B$100, 2, FALSE)</f>
        <v>USD</v>
      </c>
      <c r="F3373" s="15">
        <f ca="1">IFERROR(__xludf.DUMMYFUNCTION("IF(E3373=""USD"",B3373,B3373 * GOOGLEFINANCE(""CURRENCY:"" &amp; E3373 &amp; ""USD""))
"),75000000)</f>
        <v>75000000</v>
      </c>
      <c r="G3373" s="16">
        <f ca="1">IFERROR(__xludf.DUMMYFUNCTION("IF(E3373=""USD"",C3373,C3373 * GOOGLEFINANCE(""CURRENCY:"" &amp; E3373 &amp; ""USD""))
"),117698894)</f>
        <v>117698894</v>
      </c>
    </row>
    <row r="3374" spans="1:7" ht="15.75" customHeight="1" x14ac:dyDescent="0.25">
      <c r="A3374" s="11" t="s">
        <v>24</v>
      </c>
      <c r="B3374" s="12">
        <v>40000000</v>
      </c>
      <c r="C3374" s="12">
        <v>95001343</v>
      </c>
      <c r="D3374" s="12">
        <v>2013</v>
      </c>
      <c r="E3374" s="12" t="str">
        <f>VLOOKUP(A3374, Currency!$A$2:$B$100, 2, FALSE)</f>
        <v>USD</v>
      </c>
      <c r="F3374" s="12">
        <f ca="1">IFERROR(__xludf.DUMMYFUNCTION("IF(E3374=""USD"",B3374,B3374 * GOOGLEFINANCE(""CURRENCY:"" &amp; E3374 &amp; ""USD""))
"),40000000)</f>
        <v>40000000</v>
      </c>
      <c r="G3374" s="13">
        <f ca="1">IFERROR(__xludf.DUMMYFUNCTION("IF(E3374=""USD"",C3374,C3374 * GOOGLEFINANCE(""CURRENCY:"" &amp; E3374 &amp; ""USD""))
"),95001343)</f>
        <v>95001343</v>
      </c>
    </row>
    <row r="3375" spans="1:7" ht="15.75" customHeight="1" x14ac:dyDescent="0.25">
      <c r="A3375" s="14" t="s">
        <v>24</v>
      </c>
      <c r="B3375" s="15">
        <v>45000000</v>
      </c>
      <c r="C3375" s="15">
        <v>2154540</v>
      </c>
      <c r="D3375" s="15">
        <v>1997</v>
      </c>
      <c r="E3375" s="15" t="str">
        <f>VLOOKUP(A3375, Currency!$A$2:$B$100, 2, FALSE)</f>
        <v>USD</v>
      </c>
      <c r="F3375" s="15">
        <f ca="1">IFERROR(__xludf.DUMMYFUNCTION("IF(E3375=""USD"",B3375,B3375 * GOOGLEFINANCE(""CURRENCY:"" &amp; E3375 &amp; ""USD""))
"),45000000)</f>
        <v>45000000</v>
      </c>
      <c r="G3375" s="16">
        <f ca="1">IFERROR(__xludf.DUMMYFUNCTION("IF(E3375=""USD"",C3375,C3375 * GOOGLEFINANCE(""CURRENCY:"" &amp; E3375 &amp; ""USD""))
"),2154540)</f>
        <v>2154540</v>
      </c>
    </row>
    <row r="3376" spans="1:7" ht="15.75" customHeight="1" x14ac:dyDescent="0.25">
      <c r="A3376" s="11" t="s">
        <v>24</v>
      </c>
      <c r="B3376" s="12">
        <v>21000000</v>
      </c>
      <c r="C3376" s="12">
        <v>3081925</v>
      </c>
      <c r="D3376" s="12">
        <v>2008</v>
      </c>
      <c r="E3376" s="12" t="str">
        <f>VLOOKUP(A3376, Currency!$A$2:$B$100, 2, FALSE)</f>
        <v>USD</v>
      </c>
      <c r="F3376" s="12">
        <f ca="1">IFERROR(__xludf.DUMMYFUNCTION("IF(E3376=""USD"",B3376,B3376 * GOOGLEFINANCE(""CURRENCY:"" &amp; E3376 &amp; ""USD""))
"),21000000)</f>
        <v>21000000</v>
      </c>
      <c r="G3376" s="13">
        <f ca="1">IFERROR(__xludf.DUMMYFUNCTION("IF(E3376=""USD"",C3376,C3376 * GOOGLEFINANCE(""CURRENCY:"" &amp; E3376 &amp; ""USD""))
"),3081925)</f>
        <v>3081925</v>
      </c>
    </row>
    <row r="3377" spans="1:7" ht="15.75" customHeight="1" x14ac:dyDescent="0.25">
      <c r="A3377" s="14" t="s">
        <v>133</v>
      </c>
      <c r="B3377" s="15">
        <v>20000000</v>
      </c>
      <c r="C3377" s="15">
        <v>56154094</v>
      </c>
      <c r="D3377" s="15">
        <v>2016</v>
      </c>
      <c r="E3377" s="15" t="str">
        <f>VLOOKUP(A3377, Currency!$A$2:$B$100, 2, FALSE)</f>
        <v>GBP</v>
      </c>
      <c r="F3377" s="15">
        <f ca="1">IFERROR(__xludf.DUMMYFUNCTION("IF(E3377=""USD"",B3377,B3377 * GOOGLEFINANCE(""CURRENCY:"" &amp; E3377 &amp; ""USD""))
"),25707999.9999999)</f>
        <v>25707999.999999899</v>
      </c>
      <c r="G3377" s="16">
        <f ca="1">IFERROR(__xludf.DUMMYFUNCTION("IF(E3377=""USD"",C3377,C3377 * GOOGLEFINANCE(""CURRENCY:"" &amp; E3377 &amp; ""USD""))
"),72180472.4276)</f>
        <v>72180472.427599996</v>
      </c>
    </row>
    <row r="3378" spans="1:7" ht="15.75" customHeight="1" x14ac:dyDescent="0.25">
      <c r="A3378" s="11" t="s">
        <v>176</v>
      </c>
      <c r="B3378" s="12">
        <v>32000000</v>
      </c>
      <c r="C3378" s="12">
        <v>80197993</v>
      </c>
      <c r="D3378" s="12">
        <v>2006</v>
      </c>
      <c r="E3378" s="12" t="str">
        <f>VLOOKUP(A3378, Currency!$A$2:$B$100, 2, FALSE)</f>
        <v>EUR</v>
      </c>
      <c r="F3378" s="12">
        <f ca="1">IFERROR(__xludf.DUMMYFUNCTION("IF(E3378=""USD"",B3378,B3378 * GOOGLEFINANCE(""CURRENCY:"" &amp; E3378 &amp; ""USD""))
"),34711680)</f>
        <v>34711680</v>
      </c>
      <c r="G3378" s="13">
        <f ca="1">IFERROR(__xludf.DUMMYFUNCTION("IF(E3378=""USD"",C3378,C3378 * GOOGLEFINANCE(""CURRENCY:"" &amp; E3378 &amp; ""USD""))
"),86993970.92682)</f>
        <v>86993970.926819995</v>
      </c>
    </row>
    <row r="3379" spans="1:7" ht="15.75" customHeight="1" x14ac:dyDescent="0.25">
      <c r="A3379" s="14" t="s">
        <v>176</v>
      </c>
      <c r="B3379" s="15">
        <v>65000000</v>
      </c>
      <c r="C3379" s="15">
        <v>42345531</v>
      </c>
      <c r="D3379" s="15">
        <v>2012</v>
      </c>
      <c r="E3379" s="15" t="str">
        <f>VLOOKUP(A3379, Currency!$A$2:$B$100, 2, FALSE)</f>
        <v>EUR</v>
      </c>
      <c r="F3379" s="15">
        <f ca="1">IFERROR(__xludf.DUMMYFUNCTION("IF(E3379=""USD"",B3379,B3379 * GOOGLEFINANCE(""CURRENCY:"" &amp; E3379 &amp; ""USD""))
"),70508100)</f>
        <v>70508100</v>
      </c>
      <c r="G3379" s="16">
        <f ca="1">IFERROR(__xludf.DUMMYFUNCTION("IF(E3379=""USD"",C3379,C3379 * GOOGLEFINANCE(""CURRENCY:"" &amp; E3379 &amp; ""USD""))
"),45933891.29694)</f>
        <v>45933891.296939999</v>
      </c>
    </row>
    <row r="3380" spans="1:7" ht="15.75" customHeight="1" x14ac:dyDescent="0.25">
      <c r="A3380" s="11" t="s">
        <v>24</v>
      </c>
      <c r="B3380" s="12">
        <v>200000000</v>
      </c>
      <c r="C3380" s="12">
        <v>125320003</v>
      </c>
      <c r="D3380" s="12">
        <v>2009</v>
      </c>
      <c r="E3380" s="12" t="str">
        <f>VLOOKUP(A3380, Currency!$A$2:$B$100, 2, FALSE)</f>
        <v>USD</v>
      </c>
      <c r="F3380" s="12">
        <f ca="1">IFERROR(__xludf.DUMMYFUNCTION("IF(E3380=""USD"",B3380,B3380 * GOOGLEFINANCE(""CURRENCY:"" &amp; E3380 &amp; ""USD""))
"),200000000)</f>
        <v>200000000</v>
      </c>
      <c r="G3380" s="13">
        <f ca="1">IFERROR(__xludf.DUMMYFUNCTION("IF(E3380=""USD"",C3380,C3380 * GOOGLEFINANCE(""CURRENCY:"" &amp; E3380 &amp; ""USD""))
"),125320003)</f>
        <v>125320003</v>
      </c>
    </row>
    <row r="3381" spans="1:7" ht="15.75" customHeight="1" x14ac:dyDescent="0.25">
      <c r="A3381" s="14" t="s">
        <v>133</v>
      </c>
      <c r="B3381" s="15">
        <v>35000000</v>
      </c>
      <c r="C3381" s="15">
        <v>10991381</v>
      </c>
      <c r="D3381" s="15">
        <v>2009</v>
      </c>
      <c r="E3381" s="15" t="str">
        <f>VLOOKUP(A3381, Currency!$A$2:$B$100, 2, FALSE)</f>
        <v>GBP</v>
      </c>
      <c r="F3381" s="15">
        <f ca="1">IFERROR(__xludf.DUMMYFUNCTION("IF(E3381=""USD"",B3381,B3381 * GOOGLEFINANCE(""CURRENCY:"" &amp; E3381 &amp; ""USD""))
"),44988999.9999999)</f>
        <v>44988999.999999903</v>
      </c>
      <c r="G3381" s="16">
        <f ca="1">IFERROR(__xludf.DUMMYFUNCTION("IF(E3381=""USD"",C3381,C3381 * GOOGLEFINANCE(""CURRENCY:"" &amp; E3381 &amp; ""USD""))
"),14128321.1374)</f>
        <v>14128321.137399999</v>
      </c>
    </row>
    <row r="3382" spans="1:7" ht="15.75" customHeight="1" x14ac:dyDescent="0.25">
      <c r="A3382" s="11" t="s">
        <v>24</v>
      </c>
      <c r="B3382" s="12">
        <v>5000000</v>
      </c>
      <c r="C3382" s="12">
        <v>1100000</v>
      </c>
      <c r="D3382" s="12">
        <v>1992</v>
      </c>
      <c r="E3382" s="12" t="str">
        <f>VLOOKUP(A3382, Currency!$A$2:$B$100, 2, FALSE)</f>
        <v>USD</v>
      </c>
      <c r="F3382" s="12">
        <f ca="1">IFERROR(__xludf.DUMMYFUNCTION("IF(E3382=""USD"",B3382,B3382 * GOOGLEFINANCE(""CURRENCY:"" &amp; E3382 &amp; ""USD""))
"),5000000)</f>
        <v>5000000</v>
      </c>
      <c r="G3382" s="13">
        <f ca="1">IFERROR(__xludf.DUMMYFUNCTION("IF(E3382=""USD"",C3382,C3382 * GOOGLEFINANCE(""CURRENCY:"" &amp; E3382 &amp; ""USD""))
"),1100000)</f>
        <v>1100000</v>
      </c>
    </row>
    <row r="3383" spans="1:7" ht="15.75" customHeight="1" x14ac:dyDescent="0.25">
      <c r="A3383" s="14" t="s">
        <v>24</v>
      </c>
      <c r="B3383" s="15">
        <v>75000000</v>
      </c>
      <c r="C3383" s="15">
        <v>94999143</v>
      </c>
      <c r="D3383" s="15">
        <v>2000</v>
      </c>
      <c r="E3383" s="15" t="str">
        <f>VLOOKUP(A3383, Currency!$A$2:$B$100, 2, FALSE)</f>
        <v>USD</v>
      </c>
      <c r="F3383" s="15">
        <f ca="1">IFERROR(__xludf.DUMMYFUNCTION("IF(E3383=""USD"",B3383,B3383 * GOOGLEFINANCE(""CURRENCY:"" &amp; E3383 &amp; ""USD""))
"),75000000)</f>
        <v>75000000</v>
      </c>
      <c r="G3383" s="16">
        <f ca="1">IFERROR(__xludf.DUMMYFUNCTION("IF(E3383=""USD"",C3383,C3383 * GOOGLEFINANCE(""CURRENCY:"" &amp; E3383 &amp; ""USD""))
"),94999143)</f>
        <v>94999143</v>
      </c>
    </row>
    <row r="3384" spans="1:7" ht="15.75" customHeight="1" x14ac:dyDescent="0.25">
      <c r="A3384" s="11" t="s">
        <v>24</v>
      </c>
      <c r="B3384" s="12">
        <v>2300000</v>
      </c>
      <c r="C3384" s="12">
        <v>12985267</v>
      </c>
      <c r="D3384" s="12">
        <v>2015</v>
      </c>
      <c r="E3384" s="12" t="str">
        <f>VLOOKUP(A3384, Currency!$A$2:$B$100, 2, FALSE)</f>
        <v>USD</v>
      </c>
      <c r="F3384" s="12">
        <f ca="1">IFERROR(__xludf.DUMMYFUNCTION("IF(E3384=""USD"",B3384,B3384 * GOOGLEFINANCE(""CURRENCY:"" &amp; E3384 &amp; ""USD""))
"),2300000)</f>
        <v>2300000</v>
      </c>
      <c r="G3384" s="13">
        <f ca="1">IFERROR(__xludf.DUMMYFUNCTION("IF(E3384=""USD"",C3384,C3384 * GOOGLEFINANCE(""CURRENCY:"" &amp; E3384 &amp; ""USD""))
"),12985267)</f>
        <v>12985267</v>
      </c>
    </row>
    <row r="3385" spans="1:7" ht="15.75" customHeight="1" x14ac:dyDescent="0.25">
      <c r="A3385" s="14" t="s">
        <v>24</v>
      </c>
      <c r="B3385" s="15">
        <v>2000000</v>
      </c>
      <c r="C3385" s="15">
        <v>52166</v>
      </c>
      <c r="D3385" s="15">
        <v>2008</v>
      </c>
      <c r="E3385" s="15" t="str">
        <f>VLOOKUP(A3385, Currency!$A$2:$B$100, 2, FALSE)</f>
        <v>USD</v>
      </c>
      <c r="F3385" s="15">
        <f ca="1">IFERROR(__xludf.DUMMYFUNCTION("IF(E3385=""USD"",B3385,B3385 * GOOGLEFINANCE(""CURRENCY:"" &amp; E3385 &amp; ""USD""))
"),2000000)</f>
        <v>2000000</v>
      </c>
      <c r="G3385" s="16">
        <f ca="1">IFERROR(__xludf.DUMMYFUNCTION("IF(E3385=""USD"",C3385,C3385 * GOOGLEFINANCE(""CURRENCY:"" &amp; E3385 &amp; ""USD""))
"),52166)</f>
        <v>52166</v>
      </c>
    </row>
    <row r="3386" spans="1:7" ht="15.75" customHeight="1" x14ac:dyDescent="0.25">
      <c r="A3386" s="11" t="s">
        <v>24</v>
      </c>
      <c r="B3386" s="12">
        <v>3000000</v>
      </c>
      <c r="C3386" s="12">
        <v>24629916</v>
      </c>
      <c r="D3386" s="12">
        <v>1997</v>
      </c>
      <c r="E3386" s="12" t="str">
        <f>VLOOKUP(A3386, Currency!$A$2:$B$100, 2, FALSE)</f>
        <v>USD</v>
      </c>
      <c r="F3386" s="12">
        <f ca="1">IFERROR(__xludf.DUMMYFUNCTION("IF(E3386=""USD"",B3386,B3386 * GOOGLEFINANCE(""CURRENCY:"" &amp; E3386 &amp; ""USD""))
"),3000000)</f>
        <v>3000000</v>
      </c>
      <c r="G3386" s="13">
        <f ca="1">IFERROR(__xludf.DUMMYFUNCTION("IF(E3386=""USD"",C3386,C3386 * GOOGLEFINANCE(""CURRENCY:"" &amp; E3386 &amp; ""USD""))
"),24629916)</f>
        <v>24629916</v>
      </c>
    </row>
    <row r="3387" spans="1:7" ht="15.75" customHeight="1" x14ac:dyDescent="0.25">
      <c r="A3387" s="14" t="s">
        <v>24</v>
      </c>
      <c r="B3387" s="15">
        <v>21000000</v>
      </c>
      <c r="C3387" s="15">
        <v>132088910</v>
      </c>
      <c r="D3387" s="15">
        <v>2012</v>
      </c>
      <c r="E3387" s="15" t="str">
        <f>VLOOKUP(A3387, Currency!$A$2:$B$100, 2, FALSE)</f>
        <v>USD</v>
      </c>
      <c r="F3387" s="15">
        <f ca="1">IFERROR(__xludf.DUMMYFUNCTION("IF(E3387=""USD"",B3387,B3387 * GOOGLEFINANCE(""CURRENCY:"" &amp; E3387 &amp; ""USD""))
"),21000000)</f>
        <v>21000000</v>
      </c>
      <c r="G3387" s="16">
        <f ca="1">IFERROR(__xludf.DUMMYFUNCTION("IF(E3387=""USD"",C3387,C3387 * GOOGLEFINANCE(""CURRENCY:"" &amp; E3387 &amp; ""USD""))
"),132088910)</f>
        <v>132088910</v>
      </c>
    </row>
    <row r="3388" spans="1:7" ht="15.75" customHeight="1" x14ac:dyDescent="0.25">
      <c r="A3388" s="11" t="s">
        <v>24</v>
      </c>
      <c r="B3388" s="12">
        <v>27000000</v>
      </c>
      <c r="C3388" s="12">
        <v>38122105</v>
      </c>
      <c r="D3388" s="12">
        <v>1987</v>
      </c>
      <c r="E3388" s="12" t="str">
        <f>VLOOKUP(A3388, Currency!$A$2:$B$100, 2, FALSE)</f>
        <v>USD</v>
      </c>
      <c r="F3388" s="12">
        <f ca="1">IFERROR(__xludf.DUMMYFUNCTION("IF(E3388=""USD"",B3388,B3388 * GOOGLEFINANCE(""CURRENCY:"" &amp; E3388 &amp; ""USD""))
"),27000000)</f>
        <v>27000000</v>
      </c>
      <c r="G3388" s="13">
        <f ca="1">IFERROR(__xludf.DUMMYFUNCTION("IF(E3388=""USD"",C3388,C3388 * GOOGLEFINANCE(""CURRENCY:"" &amp; E3388 &amp; ""USD""))
"),38122105)</f>
        <v>38122105</v>
      </c>
    </row>
    <row r="3389" spans="1:7" ht="15.75" customHeight="1" x14ac:dyDescent="0.25">
      <c r="A3389" s="14" t="s">
        <v>24</v>
      </c>
      <c r="B3389" s="15">
        <v>20000000</v>
      </c>
      <c r="C3389" s="15">
        <v>12398628</v>
      </c>
      <c r="D3389" s="15">
        <v>2002</v>
      </c>
      <c r="E3389" s="15" t="str">
        <f>VLOOKUP(A3389, Currency!$A$2:$B$100, 2, FALSE)</f>
        <v>USD</v>
      </c>
      <c r="F3389" s="15">
        <f ca="1">IFERROR(__xludf.DUMMYFUNCTION("IF(E3389=""USD"",B3389,B3389 * GOOGLEFINANCE(""CURRENCY:"" &amp; E3389 &amp; ""USD""))
"),20000000)</f>
        <v>20000000</v>
      </c>
      <c r="G3389" s="16">
        <f ca="1">IFERROR(__xludf.DUMMYFUNCTION("IF(E3389=""USD"",C3389,C3389 * GOOGLEFINANCE(""CURRENCY:"" &amp; E3389 &amp; ""USD""))
"),12398628)</f>
        <v>12398628</v>
      </c>
    </row>
    <row r="3390" spans="1:7" ht="15.75" customHeight="1" x14ac:dyDescent="0.25">
      <c r="A3390" s="11" t="s">
        <v>24</v>
      </c>
      <c r="B3390" s="12">
        <v>500000</v>
      </c>
      <c r="C3390" s="12">
        <v>33451479</v>
      </c>
      <c r="D3390" s="12">
        <v>2008</v>
      </c>
      <c r="E3390" s="12" t="str">
        <f>VLOOKUP(A3390, Currency!$A$2:$B$100, 2, FALSE)</f>
        <v>USD</v>
      </c>
      <c r="F3390" s="12">
        <f ca="1">IFERROR(__xludf.DUMMYFUNCTION("IF(E3390=""USD"",B3390,B3390 * GOOGLEFINANCE(""CURRENCY:"" &amp; E3390 &amp; ""USD""))
"),500000)</f>
        <v>500000</v>
      </c>
      <c r="G3390" s="13">
        <f ca="1">IFERROR(__xludf.DUMMYFUNCTION("IF(E3390=""USD"",C3390,C3390 * GOOGLEFINANCE(""CURRENCY:"" &amp; E3390 &amp; ""USD""))
"),33451479)</f>
        <v>33451479</v>
      </c>
    </row>
    <row r="3391" spans="1:7" ht="15.75" customHeight="1" x14ac:dyDescent="0.25">
      <c r="A3391" s="14" t="s">
        <v>627</v>
      </c>
      <c r="B3391" s="15">
        <v>5000000</v>
      </c>
      <c r="C3391" s="15">
        <v>4306697</v>
      </c>
      <c r="D3391" s="15">
        <v>1997</v>
      </c>
      <c r="E3391" s="15" t="str">
        <f>VLOOKUP(A3391, Currency!$A$2:$B$100, 2, FALSE)</f>
        <v>CAD</v>
      </c>
      <c r="F3391" s="15">
        <f ca="1">IFERROR(__xludf.DUMMYFUNCTION("IF(E3391=""USD"",B3391,B3391 * GOOGLEFINANCE(""CURRENCY:"" &amp; E3391 &amp; ""USD""))
"),3617025)</f>
        <v>3617025</v>
      </c>
      <c r="G3391" s="16">
        <f ca="1">IFERROR(__xludf.DUMMYFUNCTION("IF(E3391=""USD"",C3391,C3391 * GOOGLEFINANCE(""CURRENCY:"" &amp; E3391 &amp; ""USD""))
"),3115486.14328499)</f>
        <v>3115486.14328499</v>
      </c>
    </row>
    <row r="3392" spans="1:7" ht="15.75" customHeight="1" x14ac:dyDescent="0.25">
      <c r="A3392" s="11" t="s">
        <v>611</v>
      </c>
      <c r="B3392" s="12">
        <v>2200000</v>
      </c>
      <c r="C3392" s="12">
        <v>3645438</v>
      </c>
      <c r="D3392" s="12">
        <v>2003</v>
      </c>
      <c r="E3392" s="12" t="str">
        <f>VLOOKUP(A3392, Currency!$A$2:$B$100, 2, FALSE)</f>
        <v>EUR</v>
      </c>
      <c r="F3392" s="12">
        <f ca="1">IFERROR(__xludf.DUMMYFUNCTION("IF(E3392=""USD"",B3392,B3392 * GOOGLEFINANCE(""CURRENCY:"" &amp; E3392 &amp; ""USD""))
"),2386428)</f>
        <v>2386428</v>
      </c>
      <c r="G3392" s="13">
        <f ca="1">IFERROR(__xludf.DUMMYFUNCTION("IF(E3392=""USD"",C3392,C3392 * GOOGLEFINANCE(""CURRENCY:"" &amp; E3392 &amp; ""USD""))
"),3954352.41612)</f>
        <v>3954352.4161200002</v>
      </c>
    </row>
    <row r="3393" spans="1:7" ht="15.75" customHeight="1" x14ac:dyDescent="0.25">
      <c r="A3393" s="14" t="s">
        <v>24</v>
      </c>
      <c r="B3393" s="15">
        <v>1592000</v>
      </c>
      <c r="C3393" s="15">
        <v>638951</v>
      </c>
      <c r="D3393" s="15">
        <v>2006</v>
      </c>
      <c r="E3393" s="15" t="str">
        <f>VLOOKUP(A3393, Currency!$A$2:$B$100, 2, FALSE)</f>
        <v>USD</v>
      </c>
      <c r="F3393" s="15">
        <f ca="1">IFERROR(__xludf.DUMMYFUNCTION("IF(E3393=""USD"",B3393,B3393 * GOOGLEFINANCE(""CURRENCY:"" &amp; E3393 &amp; ""USD""))
"),1592000)</f>
        <v>1592000</v>
      </c>
      <c r="G3393" s="16">
        <f ca="1">IFERROR(__xludf.DUMMYFUNCTION("IF(E3393=""USD"",C3393,C3393 * GOOGLEFINANCE(""CURRENCY:"" &amp; E3393 &amp; ""USD""))
"),638951)</f>
        <v>638951</v>
      </c>
    </row>
    <row r="3394" spans="1:7" ht="15.75" customHeight="1" x14ac:dyDescent="0.25">
      <c r="A3394" s="11" t="s">
        <v>24</v>
      </c>
      <c r="B3394" s="12">
        <v>60000000</v>
      </c>
      <c r="C3394" s="12">
        <v>217326336</v>
      </c>
      <c r="D3394" s="12">
        <v>2007</v>
      </c>
      <c r="E3394" s="12" t="str">
        <f>VLOOKUP(A3394, Currency!$A$2:$B$100, 2, FALSE)</f>
        <v>USD</v>
      </c>
      <c r="F3394" s="12">
        <f ca="1">IFERROR(__xludf.DUMMYFUNCTION("IF(E3394=""USD"",B3394,B3394 * GOOGLEFINANCE(""CURRENCY:"" &amp; E3394 &amp; ""USD""))
"),60000000)</f>
        <v>60000000</v>
      </c>
      <c r="G3394" s="13">
        <f ca="1">IFERROR(__xludf.DUMMYFUNCTION("IF(E3394=""USD"",C3394,C3394 * GOOGLEFINANCE(""CURRENCY:"" &amp; E3394 &amp; ""USD""))
"),217326336)</f>
        <v>217326336</v>
      </c>
    </row>
    <row r="3395" spans="1:7" ht="15.75" customHeight="1" x14ac:dyDescent="0.25">
      <c r="A3395" s="14" t="s">
        <v>24</v>
      </c>
      <c r="B3395" s="15">
        <v>80000000</v>
      </c>
      <c r="C3395" s="15">
        <v>102981571</v>
      </c>
      <c r="D3395" s="15">
        <v>2010</v>
      </c>
      <c r="E3395" s="15" t="str">
        <f>VLOOKUP(A3395, Currency!$A$2:$B$100, 2, FALSE)</f>
        <v>USD</v>
      </c>
      <c r="F3395" s="15">
        <f ca="1">IFERROR(__xludf.DUMMYFUNCTION("IF(E3395=""USD"",B3395,B3395 * GOOGLEFINANCE(""CURRENCY:"" &amp; E3395 &amp; ""USD""))
"),80000000)</f>
        <v>80000000</v>
      </c>
      <c r="G3395" s="16">
        <f ca="1">IFERROR(__xludf.DUMMYFUNCTION("IF(E3395=""USD"",C3395,C3395 * GOOGLEFINANCE(""CURRENCY:"" &amp; E3395 &amp; ""USD""))
"),102981571)</f>
        <v>102981571</v>
      </c>
    </row>
    <row r="3396" spans="1:7" ht="15.75" customHeight="1" x14ac:dyDescent="0.25">
      <c r="A3396" s="11" t="s">
        <v>24</v>
      </c>
      <c r="B3396" s="12">
        <v>55000000</v>
      </c>
      <c r="C3396" s="12">
        <v>34238611</v>
      </c>
      <c r="D3396" s="12">
        <v>2003</v>
      </c>
      <c r="E3396" s="12" t="str">
        <f>VLOOKUP(A3396, Currency!$A$2:$B$100, 2, FALSE)</f>
        <v>USD</v>
      </c>
      <c r="F3396" s="12">
        <f ca="1">IFERROR(__xludf.DUMMYFUNCTION("IF(E3396=""USD"",B3396,B3396 * GOOGLEFINANCE(""CURRENCY:"" &amp; E3396 &amp; ""USD""))
"),55000000)</f>
        <v>55000000</v>
      </c>
      <c r="G3396" s="13">
        <f ca="1">IFERROR(__xludf.DUMMYFUNCTION("IF(E3396=""USD"",C3396,C3396 * GOOGLEFINANCE(""CURRENCY:"" &amp; E3396 &amp; ""USD""))
"),34238611)</f>
        <v>34238611</v>
      </c>
    </row>
    <row r="3397" spans="1:7" ht="15.75" customHeight="1" x14ac:dyDescent="0.25">
      <c r="A3397" s="14" t="s">
        <v>176</v>
      </c>
      <c r="B3397" s="15">
        <v>50000000</v>
      </c>
      <c r="C3397" s="15">
        <v>44484065</v>
      </c>
      <c r="D3397" s="15">
        <v>1998</v>
      </c>
      <c r="E3397" s="15" t="str">
        <f>VLOOKUP(A3397, Currency!$A$2:$B$100, 2, FALSE)</f>
        <v>EUR</v>
      </c>
      <c r="F3397" s="15">
        <f ca="1">IFERROR(__xludf.DUMMYFUNCTION("IF(E3397=""USD"",B3397,B3397 * GOOGLEFINANCE(""CURRENCY:"" &amp; E3397 &amp; ""USD""))
"),54237000)</f>
        <v>54237000</v>
      </c>
      <c r="G3397" s="16">
        <f ca="1">IFERROR(__xludf.DUMMYFUNCTION("IF(E3397=""USD"",C3397,C3397 * GOOGLEFINANCE(""CURRENCY:"" &amp; E3397 &amp; ""USD""))
"),48253644.6681)</f>
        <v>48253644.668099999</v>
      </c>
    </row>
    <row r="3398" spans="1:7" ht="15.75" customHeight="1" x14ac:dyDescent="0.25">
      <c r="A3398" s="11" t="s">
        <v>24</v>
      </c>
      <c r="B3398" s="12">
        <v>25000000</v>
      </c>
      <c r="C3398" s="12">
        <v>40218903</v>
      </c>
      <c r="D3398" s="12">
        <v>2007</v>
      </c>
      <c r="E3398" s="12" t="str">
        <f>VLOOKUP(A3398, Currency!$A$2:$B$100, 2, FALSE)</f>
        <v>USD</v>
      </c>
      <c r="F3398" s="12">
        <f ca="1">IFERROR(__xludf.DUMMYFUNCTION("IF(E3398=""USD"",B3398,B3398 * GOOGLEFINANCE(""CURRENCY:"" &amp; E3398 &amp; ""USD""))
"),25000000)</f>
        <v>25000000</v>
      </c>
      <c r="G3398" s="13">
        <f ca="1">IFERROR(__xludf.DUMMYFUNCTION("IF(E3398=""USD"",C3398,C3398 * GOOGLEFINANCE(""CURRENCY:"" &amp; E3398 &amp; ""USD""))
"),40218903)</f>
        <v>40218903</v>
      </c>
    </row>
    <row r="3399" spans="1:7" ht="15.75" customHeight="1" x14ac:dyDescent="0.25">
      <c r="A3399" s="14" t="s">
        <v>24</v>
      </c>
      <c r="B3399" s="15">
        <v>16000000</v>
      </c>
      <c r="C3399" s="15">
        <v>52885587</v>
      </c>
      <c r="D3399" s="15">
        <v>1999</v>
      </c>
      <c r="E3399" s="15" t="str">
        <f>VLOOKUP(A3399, Currency!$A$2:$B$100, 2, FALSE)</f>
        <v>USD</v>
      </c>
      <c r="F3399" s="15">
        <f ca="1">IFERROR(__xludf.DUMMYFUNCTION("IF(E3399=""USD"",B3399,B3399 * GOOGLEFINANCE(""CURRENCY:"" &amp; E3399 &amp; ""USD""))
"),16000000)</f>
        <v>16000000</v>
      </c>
      <c r="G3399" s="16">
        <f ca="1">IFERROR(__xludf.DUMMYFUNCTION("IF(E3399=""USD"",C3399,C3399 * GOOGLEFINANCE(""CURRENCY:"" &amp; E3399 &amp; ""USD""))
"),52885587)</f>
        <v>52885587</v>
      </c>
    </row>
    <row r="3400" spans="1:7" ht="15.75" customHeight="1" x14ac:dyDescent="0.25">
      <c r="A3400" s="11" t="s">
        <v>24</v>
      </c>
      <c r="B3400" s="12">
        <v>50100000</v>
      </c>
      <c r="C3400" s="12">
        <v>53846915</v>
      </c>
      <c r="D3400" s="12">
        <v>2015</v>
      </c>
      <c r="E3400" s="12" t="str">
        <f>VLOOKUP(A3400, Currency!$A$2:$B$100, 2, FALSE)</f>
        <v>USD</v>
      </c>
      <c r="F3400" s="12">
        <f ca="1">IFERROR(__xludf.DUMMYFUNCTION("IF(E3400=""USD"",B3400,B3400 * GOOGLEFINANCE(""CURRENCY:"" &amp; E3400 &amp; ""USD""))
"),50100000)</f>
        <v>50100000</v>
      </c>
      <c r="G3400" s="13">
        <f ca="1">IFERROR(__xludf.DUMMYFUNCTION("IF(E3400=""USD"",C3400,C3400 * GOOGLEFINANCE(""CURRENCY:"" &amp; E3400 &amp; ""USD""))
"),53846915)</f>
        <v>53846915</v>
      </c>
    </row>
    <row r="3401" spans="1:7" ht="15.75" customHeight="1" x14ac:dyDescent="0.25">
      <c r="A3401" s="14" t="s">
        <v>24</v>
      </c>
      <c r="B3401" s="15">
        <v>35000000</v>
      </c>
      <c r="C3401" s="15">
        <v>66359959</v>
      </c>
      <c r="D3401" s="15">
        <v>2013</v>
      </c>
      <c r="E3401" s="15" t="str">
        <f>VLOOKUP(A3401, Currency!$A$2:$B$100, 2, FALSE)</f>
        <v>USD</v>
      </c>
      <c r="F3401" s="15">
        <f ca="1">IFERROR(__xludf.DUMMYFUNCTION("IF(E3401=""USD"",B3401,B3401 * GOOGLEFINANCE(""CURRENCY:"" &amp; E3401 &amp; ""USD""))
"),35000000)</f>
        <v>35000000</v>
      </c>
      <c r="G3401" s="16">
        <f ca="1">IFERROR(__xludf.DUMMYFUNCTION("IF(E3401=""USD"",C3401,C3401 * GOOGLEFINANCE(""CURRENCY:"" &amp; E3401 &amp; ""USD""))
"),66359959)</f>
        <v>66359959</v>
      </c>
    </row>
    <row r="3402" spans="1:7" ht="15.75" customHeight="1" x14ac:dyDescent="0.25">
      <c r="A3402" s="11" t="s">
        <v>24</v>
      </c>
      <c r="B3402" s="12">
        <v>3500000</v>
      </c>
      <c r="C3402" s="12">
        <v>83400000</v>
      </c>
      <c r="D3402" s="12">
        <v>1980</v>
      </c>
      <c r="E3402" s="12" t="str">
        <f>VLOOKUP(A3402, Currency!$A$2:$B$100, 2, FALSE)</f>
        <v>USD</v>
      </c>
      <c r="F3402" s="12">
        <f ca="1">IFERROR(__xludf.DUMMYFUNCTION("IF(E3402=""USD"",B3402,B3402 * GOOGLEFINANCE(""CURRENCY:"" &amp; E3402 &amp; ""USD""))
"),3500000)</f>
        <v>3500000</v>
      </c>
      <c r="G3402" s="13">
        <f ca="1">IFERROR(__xludf.DUMMYFUNCTION("IF(E3402=""USD"",C3402,C3402 * GOOGLEFINANCE(""CURRENCY:"" &amp; E3402 &amp; ""USD""))
"),83400000)</f>
        <v>83400000</v>
      </c>
    </row>
    <row r="3403" spans="1:7" ht="15.75" customHeight="1" x14ac:dyDescent="0.25">
      <c r="A3403" s="14" t="s">
        <v>24</v>
      </c>
      <c r="B3403" s="15">
        <v>92000000</v>
      </c>
      <c r="C3403" s="15">
        <v>241688385</v>
      </c>
      <c r="D3403" s="15">
        <v>1996</v>
      </c>
      <c r="E3403" s="15" t="str">
        <f>VLOOKUP(A3403, Currency!$A$2:$B$100, 2, FALSE)</f>
        <v>USD</v>
      </c>
      <c r="F3403" s="15">
        <f ca="1">IFERROR(__xludf.DUMMYFUNCTION("IF(E3403=""USD"",B3403,B3403 * GOOGLEFINANCE(""CURRENCY:"" &amp; E3403 &amp; ""USD""))
"),92000000)</f>
        <v>92000000</v>
      </c>
      <c r="G3403" s="16">
        <f ca="1">IFERROR(__xludf.DUMMYFUNCTION("IF(E3403=""USD"",C3403,C3403 * GOOGLEFINANCE(""CURRENCY:"" &amp; E3403 &amp; ""USD""))
"),241688385)</f>
        <v>241688385</v>
      </c>
    </row>
    <row r="3404" spans="1:7" ht="15.75" customHeight="1" x14ac:dyDescent="0.25">
      <c r="A3404" s="11" t="s">
        <v>176</v>
      </c>
      <c r="B3404" s="12">
        <v>25000000</v>
      </c>
      <c r="C3404" s="12">
        <v>54098051</v>
      </c>
      <c r="D3404" s="12">
        <v>2006</v>
      </c>
      <c r="E3404" s="12" t="str">
        <f>VLOOKUP(A3404, Currency!$A$2:$B$100, 2, FALSE)</f>
        <v>EUR</v>
      </c>
      <c r="F3404" s="12">
        <f ca="1">IFERROR(__xludf.DUMMYFUNCTION("IF(E3404=""USD"",B3404,B3404 * GOOGLEFINANCE(""CURRENCY:"" &amp; E3404 &amp; ""USD""))
"),27118500)</f>
        <v>27118500</v>
      </c>
      <c r="G3404" s="13">
        <f ca="1">IFERROR(__xludf.DUMMYFUNCTION("IF(E3404=""USD"",C3404,C3404 * GOOGLEFINANCE(""CURRENCY:"" &amp; E3404 &amp; ""USD""))
"),58682319.84174)</f>
        <v>58682319.841739997</v>
      </c>
    </row>
    <row r="3405" spans="1:7" ht="15.75" customHeight="1" x14ac:dyDescent="0.25">
      <c r="A3405" s="14" t="s">
        <v>24</v>
      </c>
      <c r="B3405" s="15">
        <v>10000000</v>
      </c>
      <c r="C3405" s="15">
        <v>8460995</v>
      </c>
      <c r="D3405" s="15">
        <v>2010</v>
      </c>
      <c r="E3405" s="15" t="str">
        <f>VLOOKUP(A3405, Currency!$A$2:$B$100, 2, FALSE)</f>
        <v>USD</v>
      </c>
      <c r="F3405" s="15">
        <f ca="1">IFERROR(__xludf.DUMMYFUNCTION("IF(E3405=""USD"",B3405,B3405 * GOOGLEFINANCE(""CURRENCY:"" &amp; E3405 &amp; ""USD""))
"),10000000)</f>
        <v>10000000</v>
      </c>
      <c r="G3405" s="16">
        <f ca="1">IFERROR(__xludf.DUMMYFUNCTION("IF(E3405=""USD"",C3405,C3405 * GOOGLEFINANCE(""CURRENCY:"" &amp; E3405 &amp; ""USD""))
"),8460995)</f>
        <v>8460995</v>
      </c>
    </row>
    <row r="3406" spans="1:7" ht="15.75" customHeight="1" x14ac:dyDescent="0.25">
      <c r="A3406" s="11" t="s">
        <v>24</v>
      </c>
      <c r="B3406" s="12">
        <v>62000000</v>
      </c>
      <c r="C3406" s="12">
        <v>172071312</v>
      </c>
      <c r="D3406" s="12">
        <v>1995</v>
      </c>
      <c r="E3406" s="12" t="str">
        <f>VLOOKUP(A3406, Currency!$A$2:$B$100, 2, FALSE)</f>
        <v>USD</v>
      </c>
      <c r="F3406" s="12">
        <f ca="1">IFERROR(__xludf.DUMMYFUNCTION("IF(E3406=""USD"",B3406,B3406 * GOOGLEFINANCE(""CURRENCY:"" &amp; E3406 &amp; ""USD""))
"),62000000)</f>
        <v>62000000</v>
      </c>
      <c r="G3406" s="13">
        <f ca="1">IFERROR(__xludf.DUMMYFUNCTION("IF(E3406=""USD"",C3406,C3406 * GOOGLEFINANCE(""CURRENCY:"" &amp; E3406 &amp; ""USD""))
"),172071312)</f>
        <v>172071312</v>
      </c>
    </row>
    <row r="3407" spans="1:7" ht="15.75" customHeight="1" x14ac:dyDescent="0.25">
      <c r="A3407" s="14" t="s">
        <v>24</v>
      </c>
      <c r="B3407" s="15">
        <v>40000000</v>
      </c>
      <c r="C3407" s="15">
        <v>141340178</v>
      </c>
      <c r="D3407" s="15">
        <v>1992</v>
      </c>
      <c r="E3407" s="15" t="str">
        <f>VLOOKUP(A3407, Currency!$A$2:$B$100, 2, FALSE)</f>
        <v>USD</v>
      </c>
      <c r="F3407" s="15">
        <f ca="1">IFERROR(__xludf.DUMMYFUNCTION("IF(E3407=""USD"",B3407,B3407 * GOOGLEFINANCE(""CURRENCY:"" &amp; E3407 &amp; ""USD""))
"),40000000)</f>
        <v>40000000</v>
      </c>
      <c r="G3407" s="16">
        <f ca="1">IFERROR(__xludf.DUMMYFUNCTION("IF(E3407=""USD"",C3407,C3407 * GOOGLEFINANCE(""CURRENCY:"" &amp; E3407 &amp; ""USD""))
"),141340178)</f>
        <v>141340178</v>
      </c>
    </row>
    <row r="3408" spans="1:7" ht="15.75" customHeight="1" x14ac:dyDescent="0.25">
      <c r="A3408" s="11" t="s">
        <v>24</v>
      </c>
      <c r="B3408" s="12">
        <v>30000000</v>
      </c>
      <c r="C3408" s="12">
        <v>21835784</v>
      </c>
      <c r="D3408" s="12">
        <v>2005</v>
      </c>
      <c r="E3408" s="12" t="str">
        <f>VLOOKUP(A3408, Currency!$A$2:$B$100, 2, FALSE)</f>
        <v>USD</v>
      </c>
      <c r="F3408" s="12">
        <f ca="1">IFERROR(__xludf.DUMMYFUNCTION("IF(E3408=""USD"",B3408,B3408 * GOOGLEFINANCE(""CURRENCY:"" &amp; E3408 &amp; ""USD""))
"),30000000)</f>
        <v>30000000</v>
      </c>
      <c r="G3408" s="13">
        <f ca="1">IFERROR(__xludf.DUMMYFUNCTION("IF(E3408=""USD"",C3408,C3408 * GOOGLEFINANCE(""CURRENCY:"" &amp; E3408 &amp; ""USD""))
"),21835784)</f>
        <v>21835784</v>
      </c>
    </row>
    <row r="3409" spans="1:7" ht="15.75" customHeight="1" x14ac:dyDescent="0.25">
      <c r="A3409" s="14" t="s">
        <v>24</v>
      </c>
      <c r="B3409" s="15">
        <v>26000000</v>
      </c>
      <c r="C3409" s="15">
        <v>16647384</v>
      </c>
      <c r="D3409" s="15">
        <v>2006</v>
      </c>
      <c r="E3409" s="15" t="str">
        <f>VLOOKUP(A3409, Currency!$A$2:$B$100, 2, FALSE)</f>
        <v>USD</v>
      </c>
      <c r="F3409" s="15">
        <f ca="1">IFERROR(__xludf.DUMMYFUNCTION("IF(E3409=""USD"",B3409,B3409 * GOOGLEFINANCE(""CURRENCY:"" &amp; E3409 &amp; ""USD""))
"),26000000)</f>
        <v>26000000</v>
      </c>
      <c r="G3409" s="16">
        <f ca="1">IFERROR(__xludf.DUMMYFUNCTION("IF(E3409=""USD"",C3409,C3409 * GOOGLEFINANCE(""CURRENCY:"" &amp; E3409 &amp; ""USD""))
"),16647384)</f>
        <v>16647384</v>
      </c>
    </row>
    <row r="3410" spans="1:7" ht="15.75" customHeight="1" x14ac:dyDescent="0.25">
      <c r="A3410" s="11" t="s">
        <v>24</v>
      </c>
      <c r="B3410" s="12">
        <v>110000000</v>
      </c>
      <c r="C3410" s="12">
        <v>118311368</v>
      </c>
      <c r="D3410" s="12">
        <v>2010</v>
      </c>
      <c r="E3410" s="12" t="str">
        <f>VLOOKUP(A3410, Currency!$A$2:$B$100, 2, FALSE)</f>
        <v>USD</v>
      </c>
      <c r="F3410" s="12">
        <f ca="1">IFERROR(__xludf.DUMMYFUNCTION("IF(E3410=""USD"",B3410,B3410 * GOOGLEFINANCE(""CURRENCY:"" &amp; E3410 &amp; ""USD""))
"),110000000)</f>
        <v>110000000</v>
      </c>
      <c r="G3410" s="13">
        <f ca="1">IFERROR(__xludf.DUMMYFUNCTION("IF(E3410=""USD"",C3410,C3410 * GOOGLEFINANCE(""CURRENCY:"" &amp; E3410 &amp; ""USD""))
"),118311368)</f>
        <v>118311368</v>
      </c>
    </row>
    <row r="3411" spans="1:7" ht="15.75" customHeight="1" x14ac:dyDescent="0.25">
      <c r="A3411" s="14" t="s">
        <v>220</v>
      </c>
      <c r="B3411" s="15">
        <v>45000000</v>
      </c>
      <c r="C3411" s="15">
        <v>6565495</v>
      </c>
      <c r="D3411" s="15">
        <v>2006</v>
      </c>
      <c r="E3411" s="15" t="str">
        <f>VLOOKUP(A3411, Currency!$A$2:$B$100, 2, FALSE)</f>
        <v>CNY</v>
      </c>
      <c r="F3411" s="15">
        <f ca="1">IFERROR(__xludf.DUMMYFUNCTION("IF(E3411=""USD"",B3411,B3411 * GOOGLEFINANCE(""CURRENCY:"" &amp; E3411 &amp; ""USD""))
"),6222775.49999999)</f>
        <v>6222775.4999999898</v>
      </c>
      <c r="G3411" s="16">
        <f ca="1">IFERROR(__xludf.DUMMYFUNCTION("IF(E3411=""USD"",C3411,C3411 * GOOGLEFINANCE(""CURRENCY:"" &amp; E3411 &amp; ""USD""))
"),907902.2540305)</f>
        <v>907902.25403049996</v>
      </c>
    </row>
    <row r="3412" spans="1:7" ht="15.75" customHeight="1" x14ac:dyDescent="0.25">
      <c r="A3412" s="11" t="s">
        <v>24</v>
      </c>
      <c r="B3412" s="12">
        <v>72000000</v>
      </c>
      <c r="C3412" s="12">
        <v>227965690</v>
      </c>
      <c r="D3412" s="12">
        <v>2002</v>
      </c>
      <c r="E3412" s="12" t="str">
        <f>VLOOKUP(A3412, Currency!$A$2:$B$100, 2, FALSE)</f>
        <v>USD</v>
      </c>
      <c r="F3412" s="12">
        <f ca="1">IFERROR(__xludf.DUMMYFUNCTION("IF(E3412=""USD"",B3412,B3412 * GOOGLEFINANCE(""CURRENCY:"" &amp; E3412 &amp; ""USD""))
"),72000000)</f>
        <v>72000000</v>
      </c>
      <c r="G3412" s="13">
        <f ca="1">IFERROR(__xludf.DUMMYFUNCTION("IF(E3412=""USD"",C3412,C3412 * GOOGLEFINANCE(""CURRENCY:"" &amp; E3412 &amp; ""USD""))
"),227965690)</f>
        <v>227965690</v>
      </c>
    </row>
    <row r="3413" spans="1:7" ht="15.75" customHeight="1" x14ac:dyDescent="0.25">
      <c r="A3413" s="14" t="s">
        <v>24</v>
      </c>
      <c r="B3413" s="15">
        <v>83532</v>
      </c>
      <c r="C3413" s="15">
        <v>30859000</v>
      </c>
      <c r="D3413" s="15">
        <v>1974</v>
      </c>
      <c r="E3413" s="15" t="str">
        <f>VLOOKUP(A3413, Currency!$A$2:$B$100, 2, FALSE)</f>
        <v>USD</v>
      </c>
      <c r="F3413" s="15">
        <f ca="1">IFERROR(__xludf.DUMMYFUNCTION("IF(E3413=""USD"",B3413,B3413 * GOOGLEFINANCE(""CURRENCY:"" &amp; E3413 &amp; ""USD""))
"),83532)</f>
        <v>83532</v>
      </c>
      <c r="G3413" s="16">
        <f ca="1">IFERROR(__xludf.DUMMYFUNCTION("IF(E3413=""USD"",C3413,C3413 * GOOGLEFINANCE(""CURRENCY:"" &amp; E3413 &amp; ""USD""))
"),30859000)</f>
        <v>30859000</v>
      </c>
    </row>
    <row r="3414" spans="1:7" ht="15.75" customHeight="1" x14ac:dyDescent="0.25">
      <c r="A3414" s="11" t="s">
        <v>24</v>
      </c>
      <c r="B3414" s="12">
        <v>35000000</v>
      </c>
      <c r="C3414" s="12">
        <v>49474048</v>
      </c>
      <c r="D3414" s="12">
        <v>2009</v>
      </c>
      <c r="E3414" s="12" t="str">
        <f>VLOOKUP(A3414, Currency!$A$2:$B$100, 2, FALSE)</f>
        <v>USD</v>
      </c>
      <c r="F3414" s="12">
        <f ca="1">IFERROR(__xludf.DUMMYFUNCTION("IF(E3414=""USD"",B3414,B3414 * GOOGLEFINANCE(""CURRENCY:"" &amp; E3414 &amp; ""USD""))
"),35000000)</f>
        <v>35000000</v>
      </c>
      <c r="G3414" s="13">
        <f ca="1">IFERROR(__xludf.DUMMYFUNCTION("IF(E3414=""USD"",C3414,C3414 * GOOGLEFINANCE(""CURRENCY:"" &amp; E3414 &amp; ""USD""))
"),49474048)</f>
        <v>49474048</v>
      </c>
    </row>
    <row r="3415" spans="1:7" ht="15.75" customHeight="1" x14ac:dyDescent="0.25">
      <c r="A3415" s="14" t="s">
        <v>24</v>
      </c>
      <c r="B3415" s="15">
        <v>55000000</v>
      </c>
      <c r="C3415" s="15">
        <v>35707327</v>
      </c>
      <c r="D3415" s="15">
        <v>2008</v>
      </c>
      <c r="E3415" s="15" t="str">
        <f>VLOOKUP(A3415, Currency!$A$2:$B$100, 2, FALSE)</f>
        <v>USD</v>
      </c>
      <c r="F3415" s="15">
        <f ca="1">IFERROR(__xludf.DUMMYFUNCTION("IF(E3415=""USD"",B3415,B3415 * GOOGLEFINANCE(""CURRENCY:"" &amp; E3415 &amp; ""USD""))
"),55000000)</f>
        <v>55000000</v>
      </c>
      <c r="G3415" s="16">
        <f ca="1">IFERROR(__xludf.DUMMYFUNCTION("IF(E3415=""USD"",C3415,C3415 * GOOGLEFINANCE(""CURRENCY:"" &amp; E3415 &amp; ""USD""))
"),35707327)</f>
        <v>35707327</v>
      </c>
    </row>
    <row r="3416" spans="1:7" ht="15.75" customHeight="1" x14ac:dyDescent="0.25">
      <c r="A3416" s="11" t="s">
        <v>24</v>
      </c>
      <c r="B3416" s="12">
        <v>1200000</v>
      </c>
      <c r="C3416" s="12">
        <v>2812029</v>
      </c>
      <c r="D3416" s="12">
        <v>1992</v>
      </c>
      <c r="E3416" s="12" t="str">
        <f>VLOOKUP(A3416, Currency!$A$2:$B$100, 2, FALSE)</f>
        <v>USD</v>
      </c>
      <c r="F3416" s="12">
        <f ca="1">IFERROR(__xludf.DUMMYFUNCTION("IF(E3416=""USD"",B3416,B3416 * GOOGLEFINANCE(""CURRENCY:"" &amp; E3416 &amp; ""USD""))
"),1200000)</f>
        <v>1200000</v>
      </c>
      <c r="G3416" s="13">
        <f ca="1">IFERROR(__xludf.DUMMYFUNCTION("IF(E3416=""USD"",C3416,C3416 * GOOGLEFINANCE(""CURRENCY:"" &amp; E3416 &amp; ""USD""))
"),2812029)</f>
        <v>2812029</v>
      </c>
    </row>
    <row r="3417" spans="1:7" ht="15.75" customHeight="1" x14ac:dyDescent="0.25">
      <c r="A3417" s="14" t="s">
        <v>24</v>
      </c>
      <c r="B3417" s="15">
        <v>18000000</v>
      </c>
      <c r="C3417" s="15">
        <v>25592632</v>
      </c>
      <c r="D3417" s="15">
        <v>2007</v>
      </c>
      <c r="E3417" s="15" t="str">
        <f>VLOOKUP(A3417, Currency!$A$2:$B$100, 2, FALSE)</f>
        <v>USD</v>
      </c>
      <c r="F3417" s="15">
        <f ca="1">IFERROR(__xludf.DUMMYFUNCTION("IF(E3417=""USD"",B3417,B3417 * GOOGLEFINANCE(""CURRENCY:"" &amp; E3417 &amp; ""USD""))
"),18000000)</f>
        <v>18000000</v>
      </c>
      <c r="G3417" s="16">
        <f ca="1">IFERROR(__xludf.DUMMYFUNCTION("IF(E3417=""USD"",C3417,C3417 * GOOGLEFINANCE(""CURRENCY:"" &amp; E3417 &amp; ""USD""))
"),25592632)</f>
        <v>25592632</v>
      </c>
    </row>
    <row r="3418" spans="1:7" ht="15.75" customHeight="1" x14ac:dyDescent="0.25">
      <c r="A3418" s="11" t="s">
        <v>24</v>
      </c>
      <c r="B3418" s="12">
        <v>22000000</v>
      </c>
      <c r="C3418" s="12">
        <v>177200000</v>
      </c>
      <c r="D3418" s="12">
        <v>1982</v>
      </c>
      <c r="E3418" s="12" t="str">
        <f>VLOOKUP(A3418, Currency!$A$2:$B$100, 2, FALSE)</f>
        <v>USD</v>
      </c>
      <c r="F3418" s="12">
        <f ca="1">IFERROR(__xludf.DUMMYFUNCTION("IF(E3418=""USD"",B3418,B3418 * GOOGLEFINANCE(""CURRENCY:"" &amp; E3418 &amp; ""USD""))
"),22000000)</f>
        <v>22000000</v>
      </c>
      <c r="G3418" s="13">
        <f ca="1">IFERROR(__xludf.DUMMYFUNCTION("IF(E3418=""USD"",C3418,C3418 * GOOGLEFINANCE(""CURRENCY:"" &amp; E3418 &amp; ""USD""))
"),177200000)</f>
        <v>177200000</v>
      </c>
    </row>
    <row r="3419" spans="1:7" ht="15.75" customHeight="1" x14ac:dyDescent="0.25">
      <c r="A3419" s="14" t="s">
        <v>24</v>
      </c>
      <c r="B3419" s="15">
        <v>1100000</v>
      </c>
      <c r="C3419" s="15">
        <v>1400000</v>
      </c>
      <c r="D3419" s="15">
        <v>1987</v>
      </c>
      <c r="E3419" s="15" t="str">
        <f>VLOOKUP(A3419, Currency!$A$2:$B$100, 2, FALSE)</f>
        <v>USD</v>
      </c>
      <c r="F3419" s="15">
        <f ca="1">IFERROR(__xludf.DUMMYFUNCTION("IF(E3419=""USD"",B3419,B3419 * GOOGLEFINANCE(""CURRENCY:"" &amp; E3419 &amp; ""USD""))
"),1100000)</f>
        <v>1100000</v>
      </c>
      <c r="G3419" s="16">
        <f ca="1">IFERROR(__xludf.DUMMYFUNCTION("IF(E3419=""USD"",C3419,C3419 * GOOGLEFINANCE(""CURRENCY:"" &amp; E3419 &amp; ""USD""))
"),1400000)</f>
        <v>1400000</v>
      </c>
    </row>
    <row r="3420" spans="1:7" ht="15.75" customHeight="1" x14ac:dyDescent="0.25">
      <c r="A3420" s="11" t="s">
        <v>24</v>
      </c>
      <c r="B3420" s="12">
        <v>36000000</v>
      </c>
      <c r="C3420" s="12">
        <v>14378353</v>
      </c>
      <c r="D3420" s="12">
        <v>1999</v>
      </c>
      <c r="E3420" s="12" t="str">
        <f>VLOOKUP(A3420, Currency!$A$2:$B$100, 2, FALSE)</f>
        <v>USD</v>
      </c>
      <c r="F3420" s="12">
        <f ca="1">IFERROR(__xludf.DUMMYFUNCTION("IF(E3420=""USD"",B3420,B3420 * GOOGLEFINANCE(""CURRENCY:"" &amp; E3420 &amp; ""USD""))
"),36000000)</f>
        <v>36000000</v>
      </c>
      <c r="G3420" s="13">
        <f ca="1">IFERROR(__xludf.DUMMYFUNCTION("IF(E3420=""USD"",C3420,C3420 * GOOGLEFINANCE(""CURRENCY:"" &amp; E3420 &amp; ""USD""))
"),14378353)</f>
        <v>14378353</v>
      </c>
    </row>
    <row r="3421" spans="1:7" ht="15.75" customHeight="1" x14ac:dyDescent="0.25">
      <c r="A3421" s="14" t="s">
        <v>24</v>
      </c>
      <c r="B3421" s="15">
        <v>19000000</v>
      </c>
      <c r="C3421" s="15">
        <v>130727000</v>
      </c>
      <c r="D3421" s="15">
        <v>1991</v>
      </c>
      <c r="E3421" s="15" t="str">
        <f>VLOOKUP(A3421, Currency!$A$2:$B$100, 2, FALSE)</f>
        <v>USD</v>
      </c>
      <c r="F3421" s="15">
        <f ca="1">IFERROR(__xludf.DUMMYFUNCTION("IF(E3421=""USD"",B3421,B3421 * GOOGLEFINANCE(""CURRENCY:"" &amp; E3421 &amp; ""USD""))
"),19000000)</f>
        <v>19000000</v>
      </c>
      <c r="G3421" s="16">
        <f ca="1">IFERROR(__xludf.DUMMYFUNCTION("IF(E3421=""USD"",C3421,C3421 * GOOGLEFINANCE(""CURRENCY:"" &amp; E3421 &amp; ""USD""))
"),130727000)</f>
        <v>130727000</v>
      </c>
    </row>
    <row r="3422" spans="1:7" ht="15.75" customHeight="1" x14ac:dyDescent="0.25">
      <c r="A3422" s="11" t="s">
        <v>24</v>
      </c>
      <c r="B3422" s="12">
        <v>85000000</v>
      </c>
      <c r="C3422" s="12">
        <v>62494975</v>
      </c>
      <c r="D3422" s="12">
        <v>2006</v>
      </c>
      <c r="E3422" s="12" t="str">
        <f>VLOOKUP(A3422, Currency!$A$2:$B$100, 2, FALSE)</f>
        <v>USD</v>
      </c>
      <c r="F3422" s="12">
        <f ca="1">IFERROR(__xludf.DUMMYFUNCTION("IF(E3422=""USD"",B3422,B3422 * GOOGLEFINANCE(""CURRENCY:"" &amp; E3422 &amp; ""USD""))
"),85000000)</f>
        <v>85000000</v>
      </c>
      <c r="G3422" s="13">
        <f ca="1">IFERROR(__xludf.DUMMYFUNCTION("IF(E3422=""USD"",C3422,C3422 * GOOGLEFINANCE(""CURRENCY:"" &amp; E3422 &amp; ""USD""))
"),62494975)</f>
        <v>62494975</v>
      </c>
    </row>
    <row r="3423" spans="1:7" ht="15.75" customHeight="1" x14ac:dyDescent="0.25">
      <c r="A3423" s="14" t="s">
        <v>24</v>
      </c>
      <c r="B3423" s="15">
        <v>30000000</v>
      </c>
      <c r="C3423" s="15">
        <v>100422786</v>
      </c>
      <c r="D3423" s="15">
        <v>2004</v>
      </c>
      <c r="E3423" s="15" t="str">
        <f>VLOOKUP(A3423, Currency!$A$2:$B$100, 2, FALSE)</f>
        <v>USD</v>
      </c>
      <c r="F3423" s="15">
        <f ca="1">IFERROR(__xludf.DUMMYFUNCTION("IF(E3423=""USD"",B3423,B3423 * GOOGLEFINANCE(""CURRENCY:"" &amp; E3423 &amp; ""USD""))
"),30000000)</f>
        <v>30000000</v>
      </c>
      <c r="G3423" s="16">
        <f ca="1">IFERROR(__xludf.DUMMYFUNCTION("IF(E3423=""USD"",C3423,C3423 * GOOGLEFINANCE(""CURRENCY:"" &amp; E3423 &amp; ""USD""))
"),100422786)</f>
        <v>100422786</v>
      </c>
    </row>
    <row r="3424" spans="1:7" ht="15.75" customHeight="1" x14ac:dyDescent="0.25">
      <c r="A3424" s="11" t="s">
        <v>133</v>
      </c>
      <c r="B3424" s="12">
        <v>10000000</v>
      </c>
      <c r="C3424" s="12">
        <v>46377022</v>
      </c>
      <c r="D3424" s="12">
        <v>2011</v>
      </c>
      <c r="E3424" s="12" t="str">
        <f>VLOOKUP(A3424, Currency!$A$2:$B$100, 2, FALSE)</f>
        <v>GBP</v>
      </c>
      <c r="F3424" s="12">
        <f ca="1">IFERROR(__xludf.DUMMYFUNCTION("IF(E3424=""USD"",B3424,B3424 * GOOGLEFINANCE(""CURRENCY:"" &amp; E3424 &amp; ""USD""))
"),12853999.9999999)</f>
        <v>12853999.999999899</v>
      </c>
      <c r="G3424" s="13">
        <f ca="1">IFERROR(__xludf.DUMMYFUNCTION("IF(E3424=""USD"",C3424,C3424 * GOOGLEFINANCE(""CURRENCY:"" &amp; E3424 &amp; ""USD""))
"),59613024.0787999)</f>
        <v>59613024.078799903</v>
      </c>
    </row>
    <row r="3425" spans="1:7" ht="15.75" customHeight="1" x14ac:dyDescent="0.25">
      <c r="A3425" s="14" t="s">
        <v>176</v>
      </c>
      <c r="B3425" s="15">
        <v>6000000</v>
      </c>
      <c r="C3425" s="15">
        <v>21005329</v>
      </c>
      <c r="D3425" s="15">
        <v>2002</v>
      </c>
      <c r="E3425" s="15" t="str">
        <f>VLOOKUP(A3425, Currency!$A$2:$B$100, 2, FALSE)</f>
        <v>EUR</v>
      </c>
      <c r="F3425" s="15">
        <f ca="1">IFERROR(__xludf.DUMMYFUNCTION("IF(E3425=""USD"",B3425,B3425 * GOOGLEFINANCE(""CURRENCY:"" &amp; E3425 &amp; ""USD""))
"),6508440)</f>
        <v>6508440</v>
      </c>
      <c r="G3425" s="16">
        <f ca="1">IFERROR(__xludf.DUMMYFUNCTION("IF(E3425=""USD"",C3425,C3425 * GOOGLEFINANCE(""CURRENCY:"" &amp; E3425 &amp; ""USD""))
"),22785320.57946)</f>
        <v>22785320.579459999</v>
      </c>
    </row>
    <row r="3426" spans="1:7" ht="15.75" customHeight="1" x14ac:dyDescent="0.25">
      <c r="A3426" s="11" t="s">
        <v>24</v>
      </c>
      <c r="B3426" s="12">
        <v>5500000</v>
      </c>
      <c r="C3426" s="12">
        <v>56007</v>
      </c>
      <c r="D3426" s="12">
        <v>2001</v>
      </c>
      <c r="E3426" s="12" t="str">
        <f>VLOOKUP(A3426, Currency!$A$2:$B$100, 2, FALSE)</f>
        <v>USD</v>
      </c>
      <c r="F3426" s="12">
        <f ca="1">IFERROR(__xludf.DUMMYFUNCTION("IF(E3426=""USD"",B3426,B3426 * GOOGLEFINANCE(""CURRENCY:"" &amp; E3426 &amp; ""USD""))
"),5500000)</f>
        <v>5500000</v>
      </c>
      <c r="G3426" s="13">
        <f ca="1">IFERROR(__xludf.DUMMYFUNCTION("IF(E3426=""USD"",C3426,C3426 * GOOGLEFINANCE(""CURRENCY:"" &amp; E3426 &amp; ""USD""))
"),56007)</f>
        <v>56007</v>
      </c>
    </row>
    <row r="3427" spans="1:7" ht="15.75" customHeight="1" x14ac:dyDescent="0.25">
      <c r="A3427" s="14" t="s">
        <v>24</v>
      </c>
      <c r="B3427" s="15">
        <v>55000000</v>
      </c>
      <c r="C3427" s="15">
        <v>166225040</v>
      </c>
      <c r="D3427" s="15">
        <v>2000</v>
      </c>
      <c r="E3427" s="15" t="str">
        <f>VLOOKUP(A3427, Currency!$A$2:$B$100, 2, FALSE)</f>
        <v>USD</v>
      </c>
      <c r="F3427" s="15">
        <f ca="1">IFERROR(__xludf.DUMMYFUNCTION("IF(E3427=""USD"",B3427,B3427 * GOOGLEFINANCE(""CURRENCY:"" &amp; E3427 &amp; ""USD""))
"),55000000)</f>
        <v>55000000</v>
      </c>
      <c r="G3427" s="16">
        <f ca="1">IFERROR(__xludf.DUMMYFUNCTION("IF(E3427=""USD"",C3427,C3427 * GOOGLEFINANCE(""CURRENCY:"" &amp; E3427 &amp; ""USD""))
"),166225040)</f>
        <v>166225040</v>
      </c>
    </row>
    <row r="3428" spans="1:7" ht="15.75" customHeight="1" x14ac:dyDescent="0.25">
      <c r="A3428" s="11" t="s">
        <v>24</v>
      </c>
      <c r="B3428" s="12">
        <v>75000000</v>
      </c>
      <c r="C3428" s="12">
        <v>140459099</v>
      </c>
      <c r="D3428" s="12">
        <v>1998</v>
      </c>
      <c r="E3428" s="12" t="str">
        <f>VLOOKUP(A3428, Currency!$A$2:$B$100, 2, FALSE)</f>
        <v>USD</v>
      </c>
      <c r="F3428" s="12">
        <f ca="1">IFERROR(__xludf.DUMMYFUNCTION("IF(E3428=""USD"",B3428,B3428 * GOOGLEFINANCE(""CURRENCY:"" &amp; E3428 &amp; ""USD""))
"),75000000)</f>
        <v>75000000</v>
      </c>
      <c r="G3428" s="13">
        <f ca="1">IFERROR(__xludf.DUMMYFUNCTION("IF(E3428=""USD"",C3428,C3428 * GOOGLEFINANCE(""CURRENCY:"" &amp; E3428 &amp; ""USD""))
"),140459099)</f>
        <v>140459099</v>
      </c>
    </row>
    <row r="3429" spans="1:7" ht="15.75" customHeight="1" x14ac:dyDescent="0.25">
      <c r="A3429" s="14" t="s">
        <v>24</v>
      </c>
      <c r="B3429" s="15">
        <v>20000000</v>
      </c>
      <c r="C3429" s="15">
        <v>19900000</v>
      </c>
      <c r="D3429" s="15">
        <v>1995</v>
      </c>
      <c r="E3429" s="15" t="str">
        <f>VLOOKUP(A3429, Currency!$A$2:$B$100, 2, FALSE)</f>
        <v>USD</v>
      </c>
      <c r="F3429" s="15">
        <f ca="1">IFERROR(__xludf.DUMMYFUNCTION("IF(E3429=""USD"",B3429,B3429 * GOOGLEFINANCE(""CURRENCY:"" &amp; E3429 &amp; ""USD""))
"),20000000)</f>
        <v>20000000</v>
      </c>
      <c r="G3429" s="16">
        <f ca="1">IFERROR(__xludf.DUMMYFUNCTION("IF(E3429=""USD"",C3429,C3429 * GOOGLEFINANCE(""CURRENCY:"" &amp; E3429 &amp; ""USD""))
"),19900000)</f>
        <v>19900000</v>
      </c>
    </row>
    <row r="3430" spans="1:7" ht="15.75" customHeight="1" x14ac:dyDescent="0.25">
      <c r="A3430" s="11" t="s">
        <v>24</v>
      </c>
      <c r="B3430" s="12">
        <v>2700000</v>
      </c>
      <c r="C3430" s="12">
        <v>3500000</v>
      </c>
      <c r="D3430" s="12">
        <v>1986</v>
      </c>
      <c r="E3430" s="12" t="str">
        <f>VLOOKUP(A3430, Currency!$A$2:$B$100, 2, FALSE)</f>
        <v>USD</v>
      </c>
      <c r="F3430" s="12">
        <f ca="1">IFERROR(__xludf.DUMMYFUNCTION("IF(E3430=""USD"",B3430,B3430 * GOOGLEFINANCE(""CURRENCY:"" &amp; E3430 &amp; ""USD""))
"),2700000)</f>
        <v>2700000</v>
      </c>
      <c r="G3430" s="13">
        <f ca="1">IFERROR(__xludf.DUMMYFUNCTION("IF(E3430=""USD"",C3430,C3430 * GOOGLEFINANCE(""CURRENCY:"" &amp; E3430 &amp; ""USD""))
"),3500000)</f>
        <v>3500000</v>
      </c>
    </row>
    <row r="3431" spans="1:7" ht="15.75" customHeight="1" x14ac:dyDescent="0.25">
      <c r="A3431" s="14" t="s">
        <v>24</v>
      </c>
      <c r="B3431" s="15">
        <v>16000000</v>
      </c>
      <c r="C3431" s="15">
        <v>4839383</v>
      </c>
      <c r="D3431" s="15">
        <v>2002</v>
      </c>
      <c r="E3431" s="15" t="str">
        <f>VLOOKUP(A3431, Currency!$A$2:$B$100, 2, FALSE)</f>
        <v>USD</v>
      </c>
      <c r="F3431" s="15">
        <f ca="1">IFERROR(__xludf.DUMMYFUNCTION("IF(E3431=""USD"",B3431,B3431 * GOOGLEFINANCE(""CURRENCY:"" &amp; E3431 &amp; ""USD""))
"),16000000)</f>
        <v>16000000</v>
      </c>
      <c r="G3431" s="16">
        <f ca="1">IFERROR(__xludf.DUMMYFUNCTION("IF(E3431=""USD"",C3431,C3431 * GOOGLEFINANCE(""CURRENCY:"" &amp; E3431 &amp; ""USD""))
"),4839383)</f>
        <v>4839383</v>
      </c>
    </row>
    <row r="3432" spans="1:7" ht="15.75" customHeight="1" x14ac:dyDescent="0.25">
      <c r="A3432" s="11" t="s">
        <v>24</v>
      </c>
      <c r="B3432" s="12">
        <v>60000000</v>
      </c>
      <c r="C3432" s="12">
        <v>22433915</v>
      </c>
      <c r="D3432" s="12">
        <v>2002</v>
      </c>
      <c r="E3432" s="12" t="str">
        <f>VLOOKUP(A3432, Currency!$A$2:$B$100, 2, FALSE)</f>
        <v>USD</v>
      </c>
      <c r="F3432" s="12">
        <f ca="1">IFERROR(__xludf.DUMMYFUNCTION("IF(E3432=""USD"",B3432,B3432 * GOOGLEFINANCE(""CURRENCY:"" &amp; E3432 &amp; ""USD""))
"),60000000)</f>
        <v>60000000</v>
      </c>
      <c r="G3432" s="13">
        <f ca="1">IFERROR(__xludf.DUMMYFUNCTION("IF(E3432=""USD"",C3432,C3432 * GOOGLEFINANCE(""CURRENCY:"" &amp; E3432 &amp; ""USD""))
"),22433915)</f>
        <v>22433915</v>
      </c>
    </row>
    <row r="3433" spans="1:7" ht="15.75" customHeight="1" x14ac:dyDescent="0.25">
      <c r="A3433" s="14" t="s">
        <v>24</v>
      </c>
      <c r="B3433" s="15">
        <v>80000000</v>
      </c>
      <c r="C3433" s="15">
        <v>112225777</v>
      </c>
      <c r="D3433" s="15">
        <v>1997</v>
      </c>
      <c r="E3433" s="15" t="str">
        <f>VLOOKUP(A3433, Currency!$A$2:$B$100, 2, FALSE)</f>
        <v>USD</v>
      </c>
      <c r="F3433" s="15">
        <f ca="1">IFERROR(__xludf.DUMMYFUNCTION("IF(E3433=""USD"",B3433,B3433 * GOOGLEFINANCE(""CURRENCY:"" &amp; E3433 &amp; ""USD""))
"),80000000)</f>
        <v>80000000</v>
      </c>
      <c r="G3433" s="16">
        <f ca="1">IFERROR(__xludf.DUMMYFUNCTION("IF(E3433=""USD"",C3433,C3433 * GOOGLEFINANCE(""CURRENCY:"" &amp; E3433 &amp; ""USD""))
"),112225777)</f>
        <v>112225777</v>
      </c>
    </row>
    <row r="3434" spans="1:7" ht="15.75" customHeight="1" x14ac:dyDescent="0.25">
      <c r="A3434" s="11" t="s">
        <v>133</v>
      </c>
      <c r="B3434" s="12">
        <v>30000000</v>
      </c>
      <c r="C3434" s="12">
        <v>17750583</v>
      </c>
      <c r="D3434" s="12">
        <v>2015</v>
      </c>
      <c r="E3434" s="12" t="str">
        <f>VLOOKUP(A3434, Currency!$A$2:$B$100, 2, FALSE)</f>
        <v>GBP</v>
      </c>
      <c r="F3434" s="12">
        <f ca="1">IFERROR(__xludf.DUMMYFUNCTION("IF(E3434=""USD"",B3434,B3434 * GOOGLEFINANCE(""CURRENCY:"" &amp; E3434 &amp; ""USD""))
"),38562000)</f>
        <v>38562000</v>
      </c>
      <c r="G3434" s="13">
        <f ca="1">IFERROR(__xludf.DUMMYFUNCTION("IF(E3434=""USD"",C3434,C3434 * GOOGLEFINANCE(""CURRENCY:"" &amp; E3434 &amp; ""USD""))
"),22816599.3881999)</f>
        <v>22816599.388199899</v>
      </c>
    </row>
    <row r="3435" spans="1:7" ht="15.75" customHeight="1" x14ac:dyDescent="0.25">
      <c r="A3435" s="14" t="s">
        <v>24</v>
      </c>
      <c r="B3435" s="15">
        <v>40000000</v>
      </c>
      <c r="C3435" s="15">
        <v>14358033</v>
      </c>
      <c r="D3435" s="15">
        <v>1992</v>
      </c>
      <c r="E3435" s="15" t="str">
        <f>VLOOKUP(A3435, Currency!$A$2:$B$100, 2, FALSE)</f>
        <v>USD</v>
      </c>
      <c r="F3435" s="15">
        <f ca="1">IFERROR(__xludf.DUMMYFUNCTION("IF(E3435=""USD"",B3435,B3435 * GOOGLEFINANCE(""CURRENCY:"" &amp; E3435 &amp; ""USD""))
"),40000000)</f>
        <v>40000000</v>
      </c>
      <c r="G3435" s="16">
        <f ca="1">IFERROR(__xludf.DUMMYFUNCTION("IF(E3435=""USD"",C3435,C3435 * GOOGLEFINANCE(""CURRENCY:"" &amp; E3435 &amp; ""USD""))
"),14358033)</f>
        <v>14358033</v>
      </c>
    </row>
    <row r="3436" spans="1:7" ht="15.75" customHeight="1" x14ac:dyDescent="0.25">
      <c r="A3436" s="11" t="s">
        <v>149</v>
      </c>
      <c r="B3436" s="12">
        <v>12000000</v>
      </c>
      <c r="C3436" s="12">
        <v>141853</v>
      </c>
      <c r="D3436" s="12">
        <v>1997</v>
      </c>
      <c r="E3436" s="12" t="str">
        <f>VLOOKUP(A3436, Currency!$A$2:$B$100, 2, FALSE)</f>
        <v>AUD</v>
      </c>
      <c r="F3436" s="12">
        <f ca="1">IFERROR(__xludf.DUMMYFUNCTION("IF(E3436=""USD"",B3436,B3436 * GOOGLEFINANCE(""CURRENCY:"" &amp; E3436 &amp; ""USD""))
"),7846560)</f>
        <v>7846560</v>
      </c>
      <c r="G3436" s="13">
        <f ca="1">IFERROR(__xludf.DUMMYFUNCTION("IF(E3436=""USD"",C3436,C3436 * GOOGLEFINANCE(""CURRENCY:"" &amp; E3436 &amp; ""USD""))
"),92754.83964)</f>
        <v>92754.839640000006</v>
      </c>
    </row>
    <row r="3437" spans="1:7" ht="15.75" customHeight="1" x14ac:dyDescent="0.25">
      <c r="A3437" s="14" t="s">
        <v>24</v>
      </c>
      <c r="B3437" s="15">
        <v>55000000</v>
      </c>
      <c r="C3437" s="15">
        <v>68750000</v>
      </c>
      <c r="D3437" s="15">
        <v>1996</v>
      </c>
      <c r="E3437" s="15" t="str">
        <f>VLOOKUP(A3437, Currency!$A$2:$B$100, 2, FALSE)</f>
        <v>USD</v>
      </c>
      <c r="F3437" s="15">
        <f ca="1">IFERROR(__xludf.DUMMYFUNCTION("IF(E3437=""USD"",B3437,B3437 * GOOGLEFINANCE(""CURRENCY:"" &amp; E3437 &amp; ""USD""))
"),55000000)</f>
        <v>55000000</v>
      </c>
      <c r="G3437" s="16">
        <f ca="1">IFERROR(__xludf.DUMMYFUNCTION("IF(E3437=""USD"",C3437,C3437 * GOOGLEFINANCE(""CURRENCY:"" &amp; E3437 &amp; ""USD""))
"),68750000)</f>
        <v>68750000</v>
      </c>
    </row>
    <row r="3438" spans="1:7" ht="15.75" customHeight="1" x14ac:dyDescent="0.25">
      <c r="A3438" s="11" t="s">
        <v>24</v>
      </c>
      <c r="B3438" s="12">
        <v>5000000</v>
      </c>
      <c r="C3438" s="12">
        <v>2445646</v>
      </c>
      <c r="D3438" s="12">
        <v>2014</v>
      </c>
      <c r="E3438" s="12" t="str">
        <f>VLOOKUP(A3438, Currency!$A$2:$B$100, 2, FALSE)</f>
        <v>USD</v>
      </c>
      <c r="F3438" s="12">
        <f ca="1">IFERROR(__xludf.DUMMYFUNCTION("IF(E3438=""USD"",B3438,B3438 * GOOGLEFINANCE(""CURRENCY:"" &amp; E3438 &amp; ""USD""))
"),5000000)</f>
        <v>5000000</v>
      </c>
      <c r="G3438" s="13">
        <f ca="1">IFERROR(__xludf.DUMMYFUNCTION("IF(E3438=""USD"",C3438,C3438 * GOOGLEFINANCE(""CURRENCY:"" &amp; E3438 &amp; ""USD""))
"),2445646)</f>
        <v>2445646</v>
      </c>
    </row>
    <row r="3439" spans="1:7" ht="15.75" customHeight="1" x14ac:dyDescent="0.25">
      <c r="A3439" s="14" t="s">
        <v>24</v>
      </c>
      <c r="B3439" s="15">
        <v>25000000</v>
      </c>
      <c r="C3439" s="15">
        <v>10070000</v>
      </c>
      <c r="D3439" s="15">
        <v>1996</v>
      </c>
      <c r="E3439" s="15" t="str">
        <f>VLOOKUP(A3439, Currency!$A$2:$B$100, 2, FALSE)</f>
        <v>USD</v>
      </c>
      <c r="F3439" s="15">
        <f ca="1">IFERROR(__xludf.DUMMYFUNCTION("IF(E3439=""USD"",B3439,B3439 * GOOGLEFINANCE(""CURRENCY:"" &amp; E3439 &amp; ""USD""))
"),25000000)</f>
        <v>25000000</v>
      </c>
      <c r="G3439" s="16">
        <f ca="1">IFERROR(__xludf.DUMMYFUNCTION("IF(E3439=""USD"",C3439,C3439 * GOOGLEFINANCE(""CURRENCY:"" &amp; E3439 &amp; ""USD""))
"),10070000)</f>
        <v>10070000</v>
      </c>
    </row>
    <row r="3440" spans="1:7" ht="15.75" customHeight="1" x14ac:dyDescent="0.25">
      <c r="A3440" s="11" t="s">
        <v>24</v>
      </c>
      <c r="B3440" s="12">
        <v>150000000</v>
      </c>
      <c r="C3440" s="12">
        <v>205343774</v>
      </c>
      <c r="D3440" s="12">
        <v>2005</v>
      </c>
      <c r="E3440" s="12" t="str">
        <f>VLOOKUP(A3440, Currency!$A$2:$B$100, 2, FALSE)</f>
        <v>USD</v>
      </c>
      <c r="F3440" s="12">
        <f ca="1">IFERROR(__xludf.DUMMYFUNCTION("IF(E3440=""USD"",B3440,B3440 * GOOGLEFINANCE(""CURRENCY:"" &amp; E3440 &amp; ""USD""))
"),150000000)</f>
        <v>150000000</v>
      </c>
      <c r="G3440" s="13">
        <f ca="1">IFERROR(__xludf.DUMMYFUNCTION("IF(E3440=""USD"",C3440,C3440 * GOOGLEFINANCE(""CURRENCY:"" &amp; E3440 &amp; ""USD""))
"),205343774)</f>
        <v>205343774</v>
      </c>
    </row>
    <row r="3441" spans="1:7" ht="15.75" customHeight="1" x14ac:dyDescent="0.25">
      <c r="A3441" s="14" t="s">
        <v>24</v>
      </c>
      <c r="B3441" s="15">
        <v>35000000</v>
      </c>
      <c r="C3441" s="15">
        <v>75367693</v>
      </c>
      <c r="D3441" s="15">
        <v>2004</v>
      </c>
      <c r="E3441" s="15" t="str">
        <f>VLOOKUP(A3441, Currency!$A$2:$B$100, 2, FALSE)</f>
        <v>USD</v>
      </c>
      <c r="F3441" s="15">
        <f ca="1">IFERROR(__xludf.DUMMYFUNCTION("IF(E3441=""USD"",B3441,B3441 * GOOGLEFINANCE(""CURRENCY:"" &amp; E3441 &amp; ""USD""))
"),35000000)</f>
        <v>35000000</v>
      </c>
      <c r="G3441" s="16">
        <f ca="1">IFERROR(__xludf.DUMMYFUNCTION("IF(E3441=""USD"",C3441,C3441 * GOOGLEFINANCE(""CURRENCY:"" &amp; E3441 &amp; ""USD""))
"),75367693)</f>
        <v>75367693</v>
      </c>
    </row>
    <row r="3442" spans="1:7" ht="15.75" customHeight="1" x14ac:dyDescent="0.25">
      <c r="A3442" s="11" t="s">
        <v>24</v>
      </c>
      <c r="B3442" s="12">
        <v>12000000</v>
      </c>
      <c r="C3442" s="12">
        <v>21133087</v>
      </c>
      <c r="D3442" s="12">
        <v>1999</v>
      </c>
      <c r="E3442" s="12" t="str">
        <f>VLOOKUP(A3442, Currency!$A$2:$B$100, 2, FALSE)</f>
        <v>USD</v>
      </c>
      <c r="F3442" s="12">
        <f ca="1">IFERROR(__xludf.DUMMYFUNCTION("IF(E3442=""USD"",B3442,B3442 * GOOGLEFINANCE(""CURRENCY:"" &amp; E3442 &amp; ""USD""))
"),12000000)</f>
        <v>12000000</v>
      </c>
      <c r="G3442" s="13">
        <f ca="1">IFERROR(__xludf.DUMMYFUNCTION("IF(E3442=""USD"",C3442,C3442 * GOOGLEFINANCE(""CURRENCY:"" &amp; E3442 &amp; ""USD""))
"),21133087)</f>
        <v>21133087</v>
      </c>
    </row>
    <row r="3443" spans="1:7" ht="15.75" customHeight="1" x14ac:dyDescent="0.25">
      <c r="A3443" s="14" t="s">
        <v>24</v>
      </c>
      <c r="B3443" s="15">
        <v>21000000</v>
      </c>
      <c r="C3443" s="15">
        <v>28563179</v>
      </c>
      <c r="D3443" s="15">
        <v>2007</v>
      </c>
      <c r="E3443" s="15" t="str">
        <f>VLOOKUP(A3443, Currency!$A$2:$B$100, 2, FALSE)</f>
        <v>USD</v>
      </c>
      <c r="F3443" s="15">
        <f ca="1">IFERROR(__xludf.DUMMYFUNCTION("IF(E3443=""USD"",B3443,B3443 * GOOGLEFINANCE(""CURRENCY:"" &amp; E3443 &amp; ""USD""))
"),21000000)</f>
        <v>21000000</v>
      </c>
      <c r="G3443" s="16">
        <f ca="1">IFERROR(__xludf.DUMMYFUNCTION("IF(E3443=""USD"",C3443,C3443 * GOOGLEFINANCE(""CURRENCY:"" &amp; E3443 &amp; ""USD""))
"),28563179)</f>
        <v>28563179</v>
      </c>
    </row>
    <row r="3444" spans="1:7" ht="15.75" customHeight="1" x14ac:dyDescent="0.25">
      <c r="A3444" s="11" t="s">
        <v>133</v>
      </c>
      <c r="B3444" s="12">
        <v>140000000</v>
      </c>
      <c r="C3444" s="12">
        <v>52792307</v>
      </c>
      <c r="D3444" s="12">
        <v>2016</v>
      </c>
      <c r="E3444" s="12" t="str">
        <f>VLOOKUP(A3444, Currency!$A$2:$B$100, 2, FALSE)</f>
        <v>GBP</v>
      </c>
      <c r="F3444" s="12">
        <f ca="1">IFERROR(__xludf.DUMMYFUNCTION("IF(E3444=""USD"",B3444,B3444 * GOOGLEFINANCE(""CURRENCY:"" &amp; E3444 &amp; ""USD""))
"),179955999.999999)</f>
        <v>179955999.99999899</v>
      </c>
      <c r="G3444" s="13">
        <f ca="1">IFERROR(__xludf.DUMMYFUNCTION("IF(E3444=""USD"",C3444,C3444 * GOOGLEFINANCE(""CURRENCY:"" &amp; E3444 &amp; ""USD""))
"),67859231.4178)</f>
        <v>67859231.417799994</v>
      </c>
    </row>
    <row r="3445" spans="1:7" ht="15.75" customHeight="1" x14ac:dyDescent="0.25">
      <c r="A3445" s="14" t="s">
        <v>24</v>
      </c>
      <c r="B3445" s="15">
        <v>20000000</v>
      </c>
      <c r="C3445" s="15">
        <v>56667870</v>
      </c>
      <c r="D3445" s="15">
        <v>2013</v>
      </c>
      <c r="E3445" s="15" t="str">
        <f>VLOOKUP(A3445, Currency!$A$2:$B$100, 2, FALSE)</f>
        <v>USD</v>
      </c>
      <c r="F3445" s="15">
        <f ca="1">IFERROR(__xludf.DUMMYFUNCTION("IF(E3445=""USD"",B3445,B3445 * GOOGLEFINANCE(""CURRENCY:"" &amp; E3445 &amp; ""USD""))
"),20000000)</f>
        <v>20000000</v>
      </c>
      <c r="G3445" s="16">
        <f ca="1">IFERROR(__xludf.DUMMYFUNCTION("IF(E3445=""USD"",C3445,C3445 * GOOGLEFINANCE(""CURRENCY:"" &amp; E3445 &amp; ""USD""))
"),56667870)</f>
        <v>56667870</v>
      </c>
    </row>
    <row r="3446" spans="1:7" ht="15.75" customHeight="1" x14ac:dyDescent="0.25">
      <c r="A3446" s="11" t="s">
        <v>24</v>
      </c>
      <c r="B3446" s="12">
        <v>500000</v>
      </c>
      <c r="C3446" s="12">
        <v>243347</v>
      </c>
      <c r="D3446" s="12">
        <v>2002</v>
      </c>
      <c r="E3446" s="12" t="str">
        <f>VLOOKUP(A3446, Currency!$A$2:$B$100, 2, FALSE)</f>
        <v>USD</v>
      </c>
      <c r="F3446" s="12">
        <f ca="1">IFERROR(__xludf.DUMMYFUNCTION("IF(E3446=""USD"",B3446,B3446 * GOOGLEFINANCE(""CURRENCY:"" &amp; E3446 &amp; ""USD""))
"),500000)</f>
        <v>500000</v>
      </c>
      <c r="G3446" s="13">
        <f ca="1">IFERROR(__xludf.DUMMYFUNCTION("IF(E3446=""USD"",C3446,C3446 * GOOGLEFINANCE(""CURRENCY:"" &amp; E3446 &amp; ""USD""))
"),243347)</f>
        <v>243347</v>
      </c>
    </row>
    <row r="3447" spans="1:7" ht="15.75" customHeight="1" x14ac:dyDescent="0.25">
      <c r="A3447" s="14" t="s">
        <v>24</v>
      </c>
      <c r="B3447" s="15">
        <v>38000000</v>
      </c>
      <c r="C3447" s="15">
        <v>46813366</v>
      </c>
      <c r="D3447" s="15">
        <v>2016</v>
      </c>
      <c r="E3447" s="15" t="str">
        <f>VLOOKUP(A3447, Currency!$A$2:$B$100, 2, FALSE)</f>
        <v>USD</v>
      </c>
      <c r="F3447" s="15">
        <f ca="1">IFERROR(__xludf.DUMMYFUNCTION("IF(E3447=""USD"",B3447,B3447 * GOOGLEFINANCE(""CURRENCY:"" &amp; E3447 &amp; ""USD""))
"),38000000)</f>
        <v>38000000</v>
      </c>
      <c r="G3447" s="16">
        <f ca="1">IFERROR(__xludf.DUMMYFUNCTION("IF(E3447=""USD"",C3447,C3447 * GOOGLEFINANCE(""CURRENCY:"" &amp; E3447 &amp; ""USD""))
"),46813366)</f>
        <v>46813366</v>
      </c>
    </row>
    <row r="3448" spans="1:7" ht="15.75" customHeight="1" x14ac:dyDescent="0.25">
      <c r="A3448" s="11" t="s">
        <v>24</v>
      </c>
      <c r="B3448" s="12">
        <v>110000000</v>
      </c>
      <c r="C3448" s="12">
        <v>24004159</v>
      </c>
      <c r="D3448" s="12">
        <v>2004</v>
      </c>
      <c r="E3448" s="12" t="str">
        <f>VLOOKUP(A3448, Currency!$A$2:$B$100, 2, FALSE)</f>
        <v>USD</v>
      </c>
      <c r="F3448" s="12">
        <f ca="1">IFERROR(__xludf.DUMMYFUNCTION("IF(E3448=""USD"",B3448,B3448 * GOOGLEFINANCE(""CURRENCY:"" &amp; E3448 &amp; ""USD""))
"),110000000)</f>
        <v>110000000</v>
      </c>
      <c r="G3448" s="13">
        <f ca="1">IFERROR(__xludf.DUMMYFUNCTION("IF(E3448=""USD"",C3448,C3448 * GOOGLEFINANCE(""CURRENCY:"" &amp; E3448 &amp; ""USD""))
"),24004159)</f>
        <v>24004159</v>
      </c>
    </row>
    <row r="3449" spans="1:7" ht="15.75" customHeight="1" x14ac:dyDescent="0.25">
      <c r="A3449" s="14" t="s">
        <v>24</v>
      </c>
      <c r="B3449" s="15">
        <v>50000000</v>
      </c>
      <c r="C3449" s="15">
        <v>52752475</v>
      </c>
      <c r="D3449" s="15">
        <v>2002</v>
      </c>
      <c r="E3449" s="15" t="str">
        <f>VLOOKUP(A3449, Currency!$A$2:$B$100, 2, FALSE)</f>
        <v>USD</v>
      </c>
      <c r="F3449" s="15">
        <f ca="1">IFERROR(__xludf.DUMMYFUNCTION("IF(E3449=""USD"",B3449,B3449 * GOOGLEFINANCE(""CURRENCY:"" &amp; E3449 &amp; ""USD""))
"),50000000)</f>
        <v>50000000</v>
      </c>
      <c r="G3449" s="16">
        <f ca="1">IFERROR(__xludf.DUMMYFUNCTION("IF(E3449=""USD"",C3449,C3449 * GOOGLEFINANCE(""CURRENCY:"" &amp; E3449 &amp; ""USD""))
"),52752475)</f>
        <v>52752475</v>
      </c>
    </row>
    <row r="3450" spans="1:7" ht="15.75" customHeight="1" x14ac:dyDescent="0.25">
      <c r="A3450" s="11" t="s">
        <v>24</v>
      </c>
      <c r="B3450" s="12">
        <v>100000000</v>
      </c>
      <c r="C3450" s="12">
        <v>58607007</v>
      </c>
      <c r="D3450" s="12">
        <v>2014</v>
      </c>
      <c r="E3450" s="12" t="str">
        <f>VLOOKUP(A3450, Currency!$A$2:$B$100, 2, FALSE)</f>
        <v>USD</v>
      </c>
      <c r="F3450" s="12">
        <f ca="1">IFERROR(__xludf.DUMMYFUNCTION("IF(E3450=""USD"",B3450,B3450 * GOOGLEFINANCE(""CURRENCY:"" &amp; E3450 &amp; ""USD""))
"),100000000)</f>
        <v>100000000</v>
      </c>
      <c r="G3450" s="13">
        <f ca="1">IFERROR(__xludf.DUMMYFUNCTION("IF(E3450=""USD"",C3450,C3450 * GOOGLEFINANCE(""CURRENCY:"" &amp; E3450 &amp; ""USD""))
"),58607007)</f>
        <v>58607007</v>
      </c>
    </row>
    <row r="3451" spans="1:7" ht="15.75" customHeight="1" x14ac:dyDescent="0.25">
      <c r="A3451" s="14" t="s">
        <v>24</v>
      </c>
      <c r="B3451" s="15">
        <v>17000000</v>
      </c>
      <c r="C3451" s="15">
        <v>30050028</v>
      </c>
      <c r="D3451" s="15">
        <v>1989</v>
      </c>
      <c r="E3451" s="15" t="str">
        <f>VLOOKUP(A3451, Currency!$A$2:$B$100, 2, FALSE)</f>
        <v>USD</v>
      </c>
      <c r="F3451" s="15">
        <f ca="1">IFERROR(__xludf.DUMMYFUNCTION("IF(E3451=""USD"",B3451,B3451 * GOOGLEFINANCE(""CURRENCY:"" &amp; E3451 &amp; ""USD""))
"),17000000)</f>
        <v>17000000</v>
      </c>
      <c r="G3451" s="16">
        <f ca="1">IFERROR(__xludf.DUMMYFUNCTION("IF(E3451=""USD"",C3451,C3451 * GOOGLEFINANCE(""CURRENCY:"" &amp; E3451 &amp; ""USD""))
"),30050028)</f>
        <v>30050028</v>
      </c>
    </row>
    <row r="3452" spans="1:7" ht="15.75" customHeight="1" x14ac:dyDescent="0.25">
      <c r="A3452" s="11" t="s">
        <v>24</v>
      </c>
      <c r="B3452" s="12">
        <v>60000000</v>
      </c>
      <c r="C3452" s="12">
        <v>56443482</v>
      </c>
      <c r="D3452" s="12">
        <v>2015</v>
      </c>
      <c r="E3452" s="12" t="str">
        <f>VLOOKUP(A3452, Currency!$A$2:$B$100, 2, FALSE)</f>
        <v>USD</v>
      </c>
      <c r="F3452" s="12">
        <f ca="1">IFERROR(__xludf.DUMMYFUNCTION("IF(E3452=""USD"",B3452,B3452 * GOOGLEFINANCE(""CURRENCY:"" &amp; E3452 &amp; ""USD""))
"),60000000)</f>
        <v>60000000</v>
      </c>
      <c r="G3452" s="13">
        <f ca="1">IFERROR(__xludf.DUMMYFUNCTION("IF(E3452=""USD"",C3452,C3452 * GOOGLEFINANCE(""CURRENCY:"" &amp; E3452 &amp; ""USD""))
"),56443482)</f>
        <v>56443482</v>
      </c>
    </row>
    <row r="3453" spans="1:7" ht="15.75" customHeight="1" x14ac:dyDescent="0.25">
      <c r="A3453" s="14" t="s">
        <v>24</v>
      </c>
      <c r="B3453" s="15">
        <v>190000000</v>
      </c>
      <c r="C3453" s="15">
        <v>202351611</v>
      </c>
      <c r="D3453" s="15">
        <v>2013</v>
      </c>
      <c r="E3453" s="15" t="str">
        <f>VLOOKUP(A3453, Currency!$A$2:$B$100, 2, FALSE)</f>
        <v>USD</v>
      </c>
      <c r="F3453" s="15">
        <f ca="1">IFERROR(__xludf.DUMMYFUNCTION("IF(E3453=""USD"",B3453,B3453 * GOOGLEFINANCE(""CURRENCY:"" &amp; E3453 &amp; ""USD""))
"),190000000)</f>
        <v>190000000</v>
      </c>
      <c r="G3453" s="16">
        <f ca="1">IFERROR(__xludf.DUMMYFUNCTION("IF(E3453=""USD"",C3453,C3453 * GOOGLEFINANCE(""CURRENCY:"" &amp; E3453 &amp; ""USD""))
"),202351611)</f>
        <v>202351611</v>
      </c>
    </row>
    <row r="3454" spans="1:7" ht="15.75" customHeight="1" x14ac:dyDescent="0.25">
      <c r="A3454" s="11" t="s">
        <v>24</v>
      </c>
      <c r="B3454" s="12">
        <v>32000000</v>
      </c>
      <c r="C3454" s="12">
        <v>39568996</v>
      </c>
      <c r="D3454" s="12">
        <v>2007</v>
      </c>
      <c r="E3454" s="12" t="str">
        <f>VLOOKUP(A3454, Currency!$A$2:$B$100, 2, FALSE)</f>
        <v>USD</v>
      </c>
      <c r="F3454" s="12">
        <f ca="1">IFERROR(__xludf.DUMMYFUNCTION("IF(E3454=""USD"",B3454,B3454 * GOOGLEFINANCE(""CURRENCY:"" &amp; E3454 &amp; ""USD""))
"),32000000)</f>
        <v>32000000</v>
      </c>
      <c r="G3454" s="13">
        <f ca="1">IFERROR(__xludf.DUMMYFUNCTION("IF(E3454=""USD"",C3454,C3454 * GOOGLEFINANCE(""CURRENCY:"" &amp; E3454 &amp; ""USD""))
"),39568996)</f>
        <v>39568996</v>
      </c>
    </row>
    <row r="3455" spans="1:7" ht="15.75" customHeight="1" x14ac:dyDescent="0.25">
      <c r="A3455" s="14" t="s">
        <v>24</v>
      </c>
      <c r="B3455" s="15">
        <v>38000000</v>
      </c>
      <c r="C3455" s="15">
        <v>111760631</v>
      </c>
      <c r="D3455" s="15">
        <v>2003</v>
      </c>
      <c r="E3455" s="15" t="str">
        <f>VLOOKUP(A3455, Currency!$A$2:$B$100, 2, FALSE)</f>
        <v>USD</v>
      </c>
      <c r="F3455" s="15">
        <f ca="1">IFERROR(__xludf.DUMMYFUNCTION("IF(E3455=""USD"",B3455,B3455 * GOOGLEFINANCE(""CURRENCY:"" &amp; E3455 &amp; ""USD""))
"),38000000)</f>
        <v>38000000</v>
      </c>
      <c r="G3455" s="16">
        <f ca="1">IFERROR(__xludf.DUMMYFUNCTION("IF(E3455=""USD"",C3455,C3455 * GOOGLEFINANCE(""CURRENCY:"" &amp; E3455 &amp; ""USD""))
"),111760631)</f>
        <v>111760631</v>
      </c>
    </row>
    <row r="3456" spans="1:7" ht="15.75" customHeight="1" x14ac:dyDescent="0.25">
      <c r="A3456" s="11" t="s">
        <v>24</v>
      </c>
      <c r="B3456" s="12">
        <v>45000000</v>
      </c>
      <c r="C3456" s="12">
        <v>4584886</v>
      </c>
      <c r="D3456" s="12">
        <v>2007</v>
      </c>
      <c r="E3456" s="12" t="str">
        <f>VLOOKUP(A3456, Currency!$A$2:$B$100, 2, FALSE)</f>
        <v>USD</v>
      </c>
      <c r="F3456" s="12">
        <f ca="1">IFERROR(__xludf.DUMMYFUNCTION("IF(E3456=""USD"",B3456,B3456 * GOOGLEFINANCE(""CURRENCY:"" &amp; E3456 &amp; ""USD""))
"),45000000)</f>
        <v>45000000</v>
      </c>
      <c r="G3456" s="13">
        <f ca="1">IFERROR(__xludf.DUMMYFUNCTION("IF(E3456=""USD"",C3456,C3456 * GOOGLEFINANCE(""CURRENCY:"" &amp; E3456 &amp; ""USD""))
"),4584886)</f>
        <v>4584886</v>
      </c>
    </row>
    <row r="3457" spans="1:7" ht="15.75" customHeight="1" x14ac:dyDescent="0.25">
      <c r="A3457" s="14" t="s">
        <v>24</v>
      </c>
      <c r="B3457" s="15">
        <v>9000000</v>
      </c>
      <c r="C3457" s="15">
        <v>24530513</v>
      </c>
      <c r="D3457" s="15">
        <v>2007</v>
      </c>
      <c r="E3457" s="15" t="str">
        <f>VLOOKUP(A3457, Currency!$A$2:$B$100, 2, FALSE)</f>
        <v>USD</v>
      </c>
      <c r="F3457" s="15">
        <f ca="1">IFERROR(__xludf.DUMMYFUNCTION("IF(E3457=""USD"",B3457,B3457 * GOOGLEFINANCE(""CURRENCY:"" &amp; E3457 &amp; ""USD""))
"),9000000)</f>
        <v>9000000</v>
      </c>
      <c r="G3457" s="16">
        <f ca="1">IFERROR(__xludf.DUMMYFUNCTION("IF(E3457=""USD"",C3457,C3457 * GOOGLEFINANCE(""CURRENCY:"" &amp; E3457 &amp; ""USD""))
"),24530513)</f>
        <v>24530513</v>
      </c>
    </row>
    <row r="3458" spans="1:7" ht="15.75" customHeight="1" x14ac:dyDescent="0.25">
      <c r="A3458" s="11" t="s">
        <v>133</v>
      </c>
      <c r="B3458" s="12">
        <v>14000000</v>
      </c>
      <c r="C3458" s="12">
        <v>115504</v>
      </c>
      <c r="D3458" s="12">
        <v>2008</v>
      </c>
      <c r="E3458" s="12" t="str">
        <f>VLOOKUP(A3458, Currency!$A$2:$B$100, 2, FALSE)</f>
        <v>GBP</v>
      </c>
      <c r="F3458" s="12">
        <f ca="1">IFERROR(__xludf.DUMMYFUNCTION("IF(E3458=""USD"",B3458,B3458 * GOOGLEFINANCE(""CURRENCY:"" &amp; E3458 &amp; ""USD""))
"),17995600)</f>
        <v>17995600</v>
      </c>
      <c r="G3458" s="13">
        <f ca="1">IFERROR(__xludf.DUMMYFUNCTION("IF(E3458=""USD"",C3458,C3458 * GOOGLEFINANCE(""CURRENCY:"" &amp; E3458 &amp; ""USD""))
"),148468.841599999)</f>
        <v>148468.841599999</v>
      </c>
    </row>
    <row r="3459" spans="1:7" ht="15.75" customHeight="1" x14ac:dyDescent="0.25">
      <c r="A3459" s="14" t="s">
        <v>24</v>
      </c>
      <c r="B3459" s="15">
        <v>40000000</v>
      </c>
      <c r="C3459" s="15">
        <v>93952276</v>
      </c>
      <c r="D3459" s="15">
        <v>2009</v>
      </c>
      <c r="E3459" s="15" t="str">
        <f>VLOOKUP(A3459, Currency!$A$2:$B$100, 2, FALSE)</f>
        <v>USD</v>
      </c>
      <c r="F3459" s="15">
        <f ca="1">IFERROR(__xludf.DUMMYFUNCTION("IF(E3459=""USD"",B3459,B3459 * GOOGLEFINANCE(""CURRENCY:"" &amp; E3459 &amp; ""USD""))
"),40000000)</f>
        <v>40000000</v>
      </c>
      <c r="G3459" s="16">
        <f ca="1">IFERROR(__xludf.DUMMYFUNCTION("IF(E3459=""USD"",C3459,C3459 * GOOGLEFINANCE(""CURRENCY:"" &amp; E3459 &amp; ""USD""))
"),93952276)</f>
        <v>93952276</v>
      </c>
    </row>
    <row r="3460" spans="1:7" ht="15.75" customHeight="1" x14ac:dyDescent="0.25">
      <c r="A3460" s="11" t="s">
        <v>24</v>
      </c>
      <c r="B3460" s="12">
        <v>30000000</v>
      </c>
      <c r="C3460" s="12">
        <v>12831121</v>
      </c>
      <c r="D3460" s="12">
        <v>2004</v>
      </c>
      <c r="E3460" s="12" t="str">
        <f>VLOOKUP(A3460, Currency!$A$2:$B$100, 2, FALSE)</f>
        <v>USD</v>
      </c>
      <c r="F3460" s="12">
        <f ca="1">IFERROR(__xludf.DUMMYFUNCTION("IF(E3460=""USD"",B3460,B3460 * GOOGLEFINANCE(""CURRENCY:"" &amp; E3460 &amp; ""USD""))
"),30000000)</f>
        <v>30000000</v>
      </c>
      <c r="G3460" s="13">
        <f ca="1">IFERROR(__xludf.DUMMYFUNCTION("IF(E3460=""USD"",C3460,C3460 * GOOGLEFINANCE(""CURRENCY:"" &amp; E3460 &amp; ""USD""))
"),12831121)</f>
        <v>12831121</v>
      </c>
    </row>
    <row r="3461" spans="1:7" ht="15.75" customHeight="1" x14ac:dyDescent="0.25">
      <c r="A3461" s="14" t="s">
        <v>24</v>
      </c>
      <c r="B3461" s="15">
        <v>20000000</v>
      </c>
      <c r="C3461" s="15">
        <v>32014289</v>
      </c>
      <c r="D3461" s="15">
        <v>2013</v>
      </c>
      <c r="E3461" s="15" t="str">
        <f>VLOOKUP(A3461, Currency!$A$2:$B$100, 2, FALSE)</f>
        <v>USD</v>
      </c>
      <c r="F3461" s="15">
        <f ca="1">IFERROR(__xludf.DUMMYFUNCTION("IF(E3461=""USD"",B3461,B3461 * GOOGLEFINANCE(""CURRENCY:"" &amp; E3461 &amp; ""USD""))
"),20000000)</f>
        <v>20000000</v>
      </c>
      <c r="G3461" s="16">
        <f ca="1">IFERROR(__xludf.DUMMYFUNCTION("IF(E3461=""USD"",C3461,C3461 * GOOGLEFINANCE(""CURRENCY:"" &amp; E3461 &amp; ""USD""))
"),32014289)</f>
        <v>32014289</v>
      </c>
    </row>
    <row r="3462" spans="1:7" ht="15.75" customHeight="1" x14ac:dyDescent="0.25">
      <c r="A3462" s="11" t="s">
        <v>24</v>
      </c>
      <c r="B3462" s="12">
        <v>25000000</v>
      </c>
      <c r="C3462" s="12">
        <v>60443237</v>
      </c>
      <c r="D3462" s="12">
        <v>2012</v>
      </c>
      <c r="E3462" s="12" t="str">
        <f>VLOOKUP(A3462, Currency!$A$2:$B$100, 2, FALSE)</f>
        <v>USD</v>
      </c>
      <c r="F3462" s="12">
        <f ca="1">IFERROR(__xludf.DUMMYFUNCTION("IF(E3462=""USD"",B3462,B3462 * GOOGLEFINANCE(""CURRENCY:"" &amp; E3462 &amp; ""USD""))
"),25000000)</f>
        <v>25000000</v>
      </c>
      <c r="G3462" s="13">
        <f ca="1">IFERROR(__xludf.DUMMYFUNCTION("IF(E3462=""USD"",C3462,C3462 * GOOGLEFINANCE(""CURRENCY:"" &amp; E3462 &amp; ""USD""))
"),60443237)</f>
        <v>60443237</v>
      </c>
    </row>
    <row r="3463" spans="1:7" ht="15.75" customHeight="1" x14ac:dyDescent="0.25">
      <c r="A3463" s="14" t="s">
        <v>24</v>
      </c>
      <c r="B3463" s="15">
        <v>8000000</v>
      </c>
      <c r="C3463" s="15">
        <v>14879556</v>
      </c>
      <c r="D3463" s="15">
        <v>1999</v>
      </c>
      <c r="E3463" s="15" t="str">
        <f>VLOOKUP(A3463, Currency!$A$2:$B$100, 2, FALSE)</f>
        <v>USD</v>
      </c>
      <c r="F3463" s="15">
        <f ca="1">IFERROR(__xludf.DUMMYFUNCTION("IF(E3463=""USD"",B3463,B3463 * GOOGLEFINANCE(""CURRENCY:"" &amp; E3463 &amp; ""USD""))
"),8000000)</f>
        <v>8000000</v>
      </c>
      <c r="G3463" s="16">
        <f ca="1">IFERROR(__xludf.DUMMYFUNCTION("IF(E3463=""USD"",C3463,C3463 * GOOGLEFINANCE(""CURRENCY:"" &amp; E3463 &amp; ""USD""))
"),14879556)</f>
        <v>14879556</v>
      </c>
    </row>
    <row r="3464" spans="1:7" ht="15.75" customHeight="1" x14ac:dyDescent="0.25">
      <c r="A3464" s="11" t="s">
        <v>24</v>
      </c>
      <c r="B3464" s="12">
        <v>16000000</v>
      </c>
      <c r="C3464" s="12">
        <v>1984743</v>
      </c>
      <c r="D3464" s="12">
        <v>2013</v>
      </c>
      <c r="E3464" s="12" t="str">
        <f>VLOOKUP(A3464, Currency!$A$2:$B$100, 2, FALSE)</f>
        <v>USD</v>
      </c>
      <c r="F3464" s="12">
        <f ca="1">IFERROR(__xludf.DUMMYFUNCTION("IF(E3464=""USD"",B3464,B3464 * GOOGLEFINANCE(""CURRENCY:"" &amp; E3464 &amp; ""USD""))
"),16000000)</f>
        <v>16000000</v>
      </c>
      <c r="G3464" s="13">
        <f ca="1">IFERROR(__xludf.DUMMYFUNCTION("IF(E3464=""USD"",C3464,C3464 * GOOGLEFINANCE(""CURRENCY:"" &amp; E3464 &amp; ""USD""))
"),1984743)</f>
        <v>1984743</v>
      </c>
    </row>
    <row r="3465" spans="1:7" ht="15.75" customHeight="1" x14ac:dyDescent="0.25">
      <c r="A3465" s="14" t="s">
        <v>627</v>
      </c>
      <c r="B3465" s="15">
        <v>35000000</v>
      </c>
      <c r="C3465" s="15">
        <v>81150692</v>
      </c>
      <c r="D3465" s="15">
        <v>2002</v>
      </c>
      <c r="E3465" s="15" t="str">
        <f>VLOOKUP(A3465, Currency!$A$2:$B$100, 2, FALSE)</f>
        <v>CAD</v>
      </c>
      <c r="F3465" s="15">
        <f ca="1">IFERROR(__xludf.DUMMYFUNCTION("IF(E3465=""USD"",B3465,B3465 * GOOGLEFINANCE(""CURRENCY:"" &amp; E3465 &amp; ""USD""))
"),25319175)</f>
        <v>25319175</v>
      </c>
      <c r="G3465" s="16">
        <f ca="1">IFERROR(__xludf.DUMMYFUNCTION("IF(E3465=""USD"",C3465,C3465 * GOOGLEFINANCE(""CURRENCY:"" &amp; E3465 &amp; ""USD""))
"),58704816.34626)</f>
        <v>58704816.346259996</v>
      </c>
    </row>
    <row r="3466" spans="1:7" ht="15.75" customHeight="1" x14ac:dyDescent="0.25">
      <c r="A3466" s="11" t="s">
        <v>24</v>
      </c>
      <c r="B3466" s="12">
        <v>10000000</v>
      </c>
      <c r="C3466" s="12">
        <v>5561</v>
      </c>
      <c r="D3466" s="12">
        <v>2007</v>
      </c>
      <c r="E3466" s="12" t="str">
        <f>VLOOKUP(A3466, Currency!$A$2:$B$100, 2, FALSE)</f>
        <v>USD</v>
      </c>
      <c r="F3466" s="12">
        <f ca="1">IFERROR(__xludf.DUMMYFUNCTION("IF(E3466=""USD"",B3466,B3466 * GOOGLEFINANCE(""CURRENCY:"" &amp; E3466 &amp; ""USD""))
"),10000000)</f>
        <v>10000000</v>
      </c>
      <c r="G3466" s="13">
        <f ca="1">IFERROR(__xludf.DUMMYFUNCTION("IF(E3466=""USD"",C3466,C3466 * GOOGLEFINANCE(""CURRENCY:"" &amp; E3466 &amp; ""USD""))
"),5561)</f>
        <v>5561</v>
      </c>
    </row>
    <row r="3467" spans="1:7" ht="15.75" customHeight="1" x14ac:dyDescent="0.25">
      <c r="A3467" s="14" t="s">
        <v>24</v>
      </c>
      <c r="B3467" s="15">
        <v>85000000</v>
      </c>
      <c r="C3467" s="15">
        <v>80170146</v>
      </c>
      <c r="D3467" s="15">
        <v>2008</v>
      </c>
      <c r="E3467" s="15" t="str">
        <f>VLOOKUP(A3467, Currency!$A$2:$B$100, 2, FALSE)</f>
        <v>USD</v>
      </c>
      <c r="F3467" s="15">
        <f ca="1">IFERROR(__xludf.DUMMYFUNCTION("IF(E3467=""USD"",B3467,B3467 * GOOGLEFINANCE(""CURRENCY:"" &amp; E3467 &amp; ""USD""))
"),85000000)</f>
        <v>85000000</v>
      </c>
      <c r="G3467" s="16">
        <f ca="1">IFERROR(__xludf.DUMMYFUNCTION("IF(E3467=""USD"",C3467,C3467 * GOOGLEFINANCE(""CURRENCY:"" &amp; E3467 &amp; ""USD""))
"),80170146)</f>
        <v>80170146</v>
      </c>
    </row>
    <row r="3468" spans="1:7" ht="15.75" customHeight="1" x14ac:dyDescent="0.25">
      <c r="A3468" s="11" t="s">
        <v>24</v>
      </c>
      <c r="B3468" s="12">
        <v>61000000</v>
      </c>
      <c r="C3468" s="12">
        <v>148775460</v>
      </c>
      <c r="D3468" s="12">
        <v>2012</v>
      </c>
      <c r="E3468" s="12" t="str">
        <f>VLOOKUP(A3468, Currency!$A$2:$B$100, 2, FALSE)</f>
        <v>USD</v>
      </c>
      <c r="F3468" s="12">
        <f ca="1">IFERROR(__xludf.DUMMYFUNCTION("IF(E3468=""USD"",B3468,B3468 * GOOGLEFINANCE(""CURRENCY:"" &amp; E3468 &amp; ""USD""))
"),61000000)</f>
        <v>61000000</v>
      </c>
      <c r="G3468" s="13">
        <f ca="1">IFERROR(__xludf.DUMMYFUNCTION("IF(E3468=""USD"",C3468,C3468 * GOOGLEFINANCE(""CURRENCY:"" &amp; E3468 &amp; ""USD""))
"),148775460)</f>
        <v>148775460</v>
      </c>
    </row>
    <row r="3469" spans="1:7" ht="15.75" customHeight="1" x14ac:dyDescent="0.25">
      <c r="A3469" s="14" t="s">
        <v>24</v>
      </c>
      <c r="B3469" s="15">
        <v>10000000</v>
      </c>
      <c r="C3469" s="15">
        <v>131617</v>
      </c>
      <c r="D3469" s="15">
        <v>2005</v>
      </c>
      <c r="E3469" s="15" t="str">
        <f>VLOOKUP(A3469, Currency!$A$2:$B$100, 2, FALSE)</f>
        <v>USD</v>
      </c>
      <c r="F3469" s="15">
        <f ca="1">IFERROR(__xludf.DUMMYFUNCTION("IF(E3469=""USD"",B3469,B3469 * GOOGLEFINANCE(""CURRENCY:"" &amp; E3469 &amp; ""USD""))
"),10000000)</f>
        <v>10000000</v>
      </c>
      <c r="G3469" s="16">
        <f ca="1">IFERROR(__xludf.DUMMYFUNCTION("IF(E3469=""USD"",C3469,C3469 * GOOGLEFINANCE(""CURRENCY:"" &amp; E3469 &amp; ""USD""))
"),131617)</f>
        <v>131617</v>
      </c>
    </row>
    <row r="3470" spans="1:7" ht="15.75" customHeight="1" x14ac:dyDescent="0.25">
      <c r="A3470" s="11" t="s">
        <v>24</v>
      </c>
      <c r="B3470" s="12">
        <v>30000000</v>
      </c>
      <c r="C3470" s="12">
        <v>46875468</v>
      </c>
      <c r="D3470" s="12">
        <v>2015</v>
      </c>
      <c r="E3470" s="12" t="str">
        <f>VLOOKUP(A3470, Currency!$A$2:$B$100, 2, FALSE)</f>
        <v>USD</v>
      </c>
      <c r="F3470" s="12">
        <f ca="1">IFERROR(__xludf.DUMMYFUNCTION("IF(E3470=""USD"",B3470,B3470 * GOOGLEFINANCE(""CURRENCY:"" &amp; E3470 &amp; ""USD""))
"),30000000)</f>
        <v>30000000</v>
      </c>
      <c r="G3470" s="13">
        <f ca="1">IFERROR(__xludf.DUMMYFUNCTION("IF(E3470=""USD"",C3470,C3470 * GOOGLEFINANCE(""CURRENCY:"" &amp; E3470 &amp; ""USD""))
"),46875468)</f>
        <v>46875468</v>
      </c>
    </row>
    <row r="3471" spans="1:7" ht="15.75" customHeight="1" x14ac:dyDescent="0.25">
      <c r="A3471" s="14" t="s">
        <v>133</v>
      </c>
      <c r="B3471" s="15">
        <v>1500000</v>
      </c>
      <c r="C3471" s="15">
        <v>327919</v>
      </c>
      <c r="D3471" s="15">
        <v>2006</v>
      </c>
      <c r="E3471" s="15" t="str">
        <f>VLOOKUP(A3471, Currency!$A$2:$B$100, 2, FALSE)</f>
        <v>GBP</v>
      </c>
      <c r="F3471" s="15">
        <f ca="1">IFERROR(__xludf.DUMMYFUNCTION("IF(E3471=""USD"",B3471,B3471 * GOOGLEFINANCE(""CURRENCY:"" &amp; E3471 &amp; ""USD""))
"),1928099.99999999)</f>
        <v>1928099.99999999</v>
      </c>
      <c r="G3471" s="16">
        <f ca="1">IFERROR(__xludf.DUMMYFUNCTION("IF(E3471=""USD"",C3471,C3471 * GOOGLEFINANCE(""CURRENCY:"" &amp; E3471 &amp; ""USD""))
"),421507.082599999)</f>
        <v>421507.08259999898</v>
      </c>
    </row>
    <row r="3472" spans="1:7" ht="15.75" customHeight="1" x14ac:dyDescent="0.25">
      <c r="A3472" s="11" t="s">
        <v>133</v>
      </c>
      <c r="B3472" s="12">
        <v>4500000</v>
      </c>
      <c r="C3472" s="12">
        <v>871577</v>
      </c>
      <c r="D3472" s="12">
        <v>2007</v>
      </c>
      <c r="E3472" s="12" t="str">
        <f>VLOOKUP(A3472, Currency!$A$2:$B$100, 2, FALSE)</f>
        <v>GBP</v>
      </c>
      <c r="F3472" s="12">
        <f ca="1">IFERROR(__xludf.DUMMYFUNCTION("IF(E3472=""USD"",B3472,B3472 * GOOGLEFINANCE(""CURRENCY:"" &amp; E3472 &amp; ""USD""))
"),5784299.99999999)</f>
        <v>5784299.9999999898</v>
      </c>
      <c r="G3472" s="13">
        <f ca="1">IFERROR(__xludf.DUMMYFUNCTION("IF(E3472=""USD"",C3472,C3472 * GOOGLEFINANCE(""CURRENCY:"" &amp; E3472 &amp; ""USD""))
"),1120325.0758)</f>
        <v>1120325.0758</v>
      </c>
    </row>
    <row r="3473" spans="1:7" ht="15.75" customHeight="1" x14ac:dyDescent="0.25">
      <c r="A3473" s="14" t="s">
        <v>24</v>
      </c>
      <c r="B3473" s="15">
        <v>500000</v>
      </c>
      <c r="C3473" s="15">
        <v>23000</v>
      </c>
      <c r="D3473" s="15">
        <v>2006</v>
      </c>
      <c r="E3473" s="15" t="str">
        <f>VLOOKUP(A3473, Currency!$A$2:$B$100, 2, FALSE)</f>
        <v>USD</v>
      </c>
      <c r="F3473" s="15">
        <f ca="1">IFERROR(__xludf.DUMMYFUNCTION("IF(E3473=""USD"",B3473,B3473 * GOOGLEFINANCE(""CURRENCY:"" &amp; E3473 &amp; ""USD""))
"),500000)</f>
        <v>500000</v>
      </c>
      <c r="G3473" s="16">
        <f ca="1">IFERROR(__xludf.DUMMYFUNCTION("IF(E3473=""USD"",C3473,C3473 * GOOGLEFINANCE(""CURRENCY:"" &amp; E3473 &amp; ""USD""))
"),23000)</f>
        <v>23000</v>
      </c>
    </row>
    <row r="3474" spans="1:7" ht="15.75" customHeight="1" x14ac:dyDescent="0.25">
      <c r="A3474" s="11" t="s">
        <v>24</v>
      </c>
      <c r="B3474" s="12">
        <v>105000000</v>
      </c>
      <c r="C3474" s="12">
        <v>54700065</v>
      </c>
      <c r="D3474" s="12">
        <v>1997</v>
      </c>
      <c r="E3474" s="12" t="str">
        <f>VLOOKUP(A3474, Currency!$A$2:$B$100, 2, FALSE)</f>
        <v>USD</v>
      </c>
      <c r="F3474" s="12">
        <f ca="1">IFERROR(__xludf.DUMMYFUNCTION("IF(E3474=""USD"",B3474,B3474 * GOOGLEFINANCE(""CURRENCY:"" &amp; E3474 &amp; ""USD""))
"),105000000)</f>
        <v>105000000</v>
      </c>
      <c r="G3474" s="13">
        <f ca="1">IFERROR(__xludf.DUMMYFUNCTION("IF(E3474=""USD"",C3474,C3474 * GOOGLEFINANCE(""CURRENCY:"" &amp; E3474 &amp; ""USD""))
"),54700065)</f>
        <v>54700065</v>
      </c>
    </row>
    <row r="3475" spans="1:7" ht="15.75" customHeight="1" x14ac:dyDescent="0.25">
      <c r="A3475" s="14" t="s">
        <v>24</v>
      </c>
      <c r="B3475" s="15">
        <v>70000000</v>
      </c>
      <c r="C3475" s="15">
        <v>14294842</v>
      </c>
      <c r="D3475" s="15">
        <v>2002</v>
      </c>
      <c r="E3475" s="15" t="str">
        <f>VLOOKUP(A3475, Currency!$A$2:$B$100, 2, FALSE)</f>
        <v>USD</v>
      </c>
      <c r="F3475" s="15">
        <f ca="1">IFERROR(__xludf.DUMMYFUNCTION("IF(E3475=""USD"",B3475,B3475 * GOOGLEFINANCE(""CURRENCY:"" &amp; E3475 &amp; ""USD""))
"),70000000)</f>
        <v>70000000</v>
      </c>
      <c r="G3475" s="16">
        <f ca="1">IFERROR(__xludf.DUMMYFUNCTION("IF(E3475=""USD"",C3475,C3475 * GOOGLEFINANCE(""CURRENCY:"" &amp; E3475 &amp; ""USD""))
"),14294842)</f>
        <v>14294842</v>
      </c>
    </row>
    <row r="3476" spans="1:7" ht="15.75" customHeight="1" x14ac:dyDescent="0.25">
      <c r="A3476" s="11" t="s">
        <v>24</v>
      </c>
      <c r="B3476" s="12">
        <v>2300000</v>
      </c>
      <c r="C3476" s="12">
        <v>792966</v>
      </c>
      <c r="D3476" s="12">
        <v>1989</v>
      </c>
      <c r="E3476" s="12" t="str">
        <f>VLOOKUP(A3476, Currency!$A$2:$B$100, 2, FALSE)</f>
        <v>USD</v>
      </c>
      <c r="F3476" s="12">
        <f ca="1">IFERROR(__xludf.DUMMYFUNCTION("IF(E3476=""USD"",B3476,B3476 * GOOGLEFINANCE(""CURRENCY:"" &amp; E3476 &amp; ""USD""))
"),2300000)</f>
        <v>2300000</v>
      </c>
      <c r="G3476" s="13">
        <f ca="1">IFERROR(__xludf.DUMMYFUNCTION("IF(E3476=""USD"",C3476,C3476 * GOOGLEFINANCE(""CURRENCY:"" &amp; E3476 &amp; ""USD""))
"),792966)</f>
        <v>792966</v>
      </c>
    </row>
    <row r="3477" spans="1:7" ht="15.75" customHeight="1" x14ac:dyDescent="0.25">
      <c r="A3477" s="14" t="s">
        <v>24</v>
      </c>
      <c r="B3477" s="15">
        <v>125000000</v>
      </c>
      <c r="C3477" s="15">
        <v>163192114</v>
      </c>
      <c r="D3477" s="15">
        <v>2010</v>
      </c>
      <c r="E3477" s="15" t="str">
        <f>VLOOKUP(A3477, Currency!$A$2:$B$100, 2, FALSE)</f>
        <v>USD</v>
      </c>
      <c r="F3477" s="15">
        <f ca="1">IFERROR(__xludf.DUMMYFUNCTION("IF(E3477=""USD"",B3477,B3477 * GOOGLEFINANCE(""CURRENCY:"" &amp; E3477 &amp; ""USD""))
"),125000000)</f>
        <v>125000000</v>
      </c>
      <c r="G3477" s="16">
        <f ca="1">IFERROR(__xludf.DUMMYFUNCTION("IF(E3477=""USD"",C3477,C3477 * GOOGLEFINANCE(""CURRENCY:"" &amp; E3477 &amp; ""USD""))
"),163192114)</f>
        <v>163192114</v>
      </c>
    </row>
    <row r="3478" spans="1:7" ht="15.75" customHeight="1" x14ac:dyDescent="0.25">
      <c r="A3478" s="11" t="s">
        <v>133</v>
      </c>
      <c r="B3478" s="12">
        <v>125000000</v>
      </c>
      <c r="C3478" s="12">
        <v>317557891</v>
      </c>
      <c r="D3478" s="12">
        <v>2001</v>
      </c>
      <c r="E3478" s="12" t="str">
        <f>VLOOKUP(A3478, Currency!$A$2:$B$100, 2, FALSE)</f>
        <v>GBP</v>
      </c>
      <c r="F3478" s="12">
        <f ca="1">IFERROR(__xludf.DUMMYFUNCTION("IF(E3478=""USD"",B3478,B3478 * GOOGLEFINANCE(""CURRENCY:"" &amp; E3478 &amp; ""USD""))
"),160674999.999999)</f>
        <v>160674999.99999899</v>
      </c>
      <c r="G3478" s="13">
        <f ca="1">IFERROR(__xludf.DUMMYFUNCTION("IF(E3478=""USD"",C3478,C3478 * GOOGLEFINANCE(""CURRENCY:"" &amp; E3478 &amp; ""USD""))
"),408188913.091399)</f>
        <v>408188913.09139901</v>
      </c>
    </row>
    <row r="3479" spans="1:7" ht="15.75" customHeight="1" x14ac:dyDescent="0.25">
      <c r="A3479" s="14" t="s">
        <v>24</v>
      </c>
      <c r="B3479" s="15">
        <v>75000000</v>
      </c>
      <c r="C3479" s="15">
        <v>68473360</v>
      </c>
      <c r="D3479" s="15">
        <v>2000</v>
      </c>
      <c r="E3479" s="15" t="str">
        <f>VLOOKUP(A3479, Currency!$A$2:$B$100, 2, FALSE)</f>
        <v>USD</v>
      </c>
      <c r="F3479" s="15">
        <f ca="1">IFERROR(__xludf.DUMMYFUNCTION("IF(E3479=""USD"",B3479,B3479 * GOOGLEFINANCE(""CURRENCY:"" &amp; E3479 &amp; ""USD""))
"),75000000)</f>
        <v>75000000</v>
      </c>
      <c r="G3479" s="16">
        <f ca="1">IFERROR(__xludf.DUMMYFUNCTION("IF(E3479=""USD"",C3479,C3479 * GOOGLEFINANCE(""CURRENCY:"" &amp; E3479 &amp; ""USD""))
"),68473360)</f>
        <v>68473360</v>
      </c>
    </row>
    <row r="3480" spans="1:7" ht="15.75" customHeight="1" x14ac:dyDescent="0.25">
      <c r="A3480" s="11" t="s">
        <v>24</v>
      </c>
      <c r="B3480" s="12">
        <v>28000000</v>
      </c>
      <c r="C3480" s="12">
        <v>8434601</v>
      </c>
      <c r="D3480" s="12">
        <v>2001</v>
      </c>
      <c r="E3480" s="12" t="str">
        <f>VLOOKUP(A3480, Currency!$A$2:$B$100, 2, FALSE)</f>
        <v>USD</v>
      </c>
      <c r="F3480" s="12">
        <f ca="1">IFERROR(__xludf.DUMMYFUNCTION("IF(E3480=""USD"",B3480,B3480 * GOOGLEFINANCE(""CURRENCY:"" &amp; E3480 &amp; ""USD""))
"),28000000)</f>
        <v>28000000</v>
      </c>
      <c r="G3480" s="13">
        <f ca="1">IFERROR(__xludf.DUMMYFUNCTION("IF(E3480=""USD"",C3480,C3480 * GOOGLEFINANCE(""CURRENCY:"" &amp; E3480 &amp; ""USD""))
"),8434601)</f>
        <v>8434601</v>
      </c>
    </row>
    <row r="3481" spans="1:7" ht="15.75" customHeight="1" x14ac:dyDescent="0.25">
      <c r="A3481" s="14" t="s">
        <v>10652</v>
      </c>
      <c r="B3481" s="15">
        <v>35000000</v>
      </c>
      <c r="C3481" s="15">
        <v>10076136</v>
      </c>
      <c r="D3481" s="15">
        <v>1998</v>
      </c>
      <c r="E3481" s="15" t="str">
        <f>VLOOKUP(A3481, Currency!$A$2:$B$100, 2, FALSE)</f>
        <v>AWG</v>
      </c>
      <c r="F3481" s="15">
        <f ca="1">IFERROR(__xludf.DUMMYFUNCTION("IF(E3481=""USD"",B3481,B3481 * GOOGLEFINANCE(""CURRENCY:"" &amp; E3481 &amp; ""USD""))
"),19445044.4999999)</f>
        <v>19445044.499999899</v>
      </c>
      <c r="G3481" s="16">
        <f ca="1">IFERROR(__xludf.DUMMYFUNCTION("IF(E3481=""USD"",C3481,C3481 * GOOGLEFINANCE(""CURRENCY:"" &amp; E3481 &amp; ""USD""))
"),5598026.08308719)</f>
        <v>5598026.0830871901</v>
      </c>
    </row>
    <row r="3482" spans="1:7" ht="15.75" customHeight="1" x14ac:dyDescent="0.25">
      <c r="A3482" s="11" t="s">
        <v>24</v>
      </c>
      <c r="B3482" s="12">
        <v>12500000</v>
      </c>
      <c r="C3482" s="12">
        <v>21078145</v>
      </c>
      <c r="D3482" s="12">
        <v>2002</v>
      </c>
      <c r="E3482" s="12" t="str">
        <f>VLOOKUP(A3482, Currency!$A$2:$B$100, 2, FALSE)</f>
        <v>USD</v>
      </c>
      <c r="F3482" s="12">
        <f ca="1">IFERROR(__xludf.DUMMYFUNCTION("IF(E3482=""USD"",B3482,B3482 * GOOGLEFINANCE(""CURRENCY:"" &amp; E3482 &amp; ""USD""))
"),12500000)</f>
        <v>12500000</v>
      </c>
      <c r="G3482" s="13">
        <f ca="1">IFERROR(__xludf.DUMMYFUNCTION("IF(E3482=""USD"",C3482,C3482 * GOOGLEFINANCE(""CURRENCY:"" &amp; E3482 &amp; ""USD""))
"),21078145)</f>
        <v>21078145</v>
      </c>
    </row>
    <row r="3483" spans="1:7" ht="15.75" customHeight="1" x14ac:dyDescent="0.25">
      <c r="A3483" s="14" t="s">
        <v>24</v>
      </c>
      <c r="B3483" s="15">
        <v>27000000</v>
      </c>
      <c r="C3483" s="15">
        <v>13248477</v>
      </c>
      <c r="D3483" s="15">
        <v>2009</v>
      </c>
      <c r="E3483" s="15" t="str">
        <f>VLOOKUP(A3483, Currency!$A$2:$B$100, 2, FALSE)</f>
        <v>USD</v>
      </c>
      <c r="F3483" s="15">
        <f ca="1">IFERROR(__xludf.DUMMYFUNCTION("IF(E3483=""USD"",B3483,B3483 * GOOGLEFINANCE(""CURRENCY:"" &amp; E3483 &amp; ""USD""))
"),27000000)</f>
        <v>27000000</v>
      </c>
      <c r="G3483" s="16">
        <f ca="1">IFERROR(__xludf.DUMMYFUNCTION("IF(E3483=""USD"",C3483,C3483 * GOOGLEFINANCE(""CURRENCY:"" &amp; E3483 &amp; ""USD""))
"),13248477)</f>
        <v>13248477</v>
      </c>
    </row>
    <row r="3484" spans="1:7" ht="15.75" customHeight="1" x14ac:dyDescent="0.25">
      <c r="A3484" s="11" t="s">
        <v>24</v>
      </c>
      <c r="B3484" s="12">
        <v>45000000</v>
      </c>
      <c r="C3484" s="12">
        <v>25200412</v>
      </c>
      <c r="D3484" s="12">
        <v>2009</v>
      </c>
      <c r="E3484" s="12" t="str">
        <f>VLOOKUP(A3484, Currency!$A$2:$B$100, 2, FALSE)</f>
        <v>USD</v>
      </c>
      <c r="F3484" s="12">
        <f ca="1">IFERROR(__xludf.DUMMYFUNCTION("IF(E3484=""USD"",B3484,B3484 * GOOGLEFINANCE(""CURRENCY:"" &amp; E3484 &amp; ""USD""))
"),45000000)</f>
        <v>45000000</v>
      </c>
      <c r="G3484" s="13">
        <f ca="1">IFERROR(__xludf.DUMMYFUNCTION("IF(E3484=""USD"",C3484,C3484 * GOOGLEFINANCE(""CURRENCY:"" &amp; E3484 &amp; ""USD""))
"),25200412)</f>
        <v>25200412</v>
      </c>
    </row>
    <row r="3485" spans="1:7" ht="15.75" customHeight="1" x14ac:dyDescent="0.25">
      <c r="A3485" s="14" t="s">
        <v>24</v>
      </c>
      <c r="B3485" s="15">
        <v>25000000</v>
      </c>
      <c r="C3485" s="15">
        <v>70625986</v>
      </c>
      <c r="D3485" s="15">
        <v>2011</v>
      </c>
      <c r="E3485" s="15" t="str">
        <f>VLOOKUP(A3485, Currency!$A$2:$B$100, 2, FALSE)</f>
        <v>USD</v>
      </c>
      <c r="F3485" s="15">
        <f ca="1">IFERROR(__xludf.DUMMYFUNCTION("IF(E3485=""USD"",B3485,B3485 * GOOGLEFINANCE(""CURRENCY:"" &amp; E3485 &amp; ""USD""))
"),25000000)</f>
        <v>25000000</v>
      </c>
      <c r="G3485" s="16">
        <f ca="1">IFERROR(__xludf.DUMMYFUNCTION("IF(E3485=""USD"",C3485,C3485 * GOOGLEFINANCE(""CURRENCY:"" &amp; E3485 &amp; ""USD""))
"),70625986)</f>
        <v>70625986</v>
      </c>
    </row>
    <row r="3486" spans="1:7" ht="15.75" customHeight="1" x14ac:dyDescent="0.25">
      <c r="A3486" s="11" t="s">
        <v>24</v>
      </c>
      <c r="B3486" s="12">
        <v>54000000</v>
      </c>
      <c r="C3486" s="12">
        <v>75604320</v>
      </c>
      <c r="D3486" s="12">
        <v>2006</v>
      </c>
      <c r="E3486" s="12" t="str">
        <f>VLOOKUP(A3486, Currency!$A$2:$B$100, 2, FALSE)</f>
        <v>USD</v>
      </c>
      <c r="F3486" s="12">
        <f ca="1">IFERROR(__xludf.DUMMYFUNCTION("IF(E3486=""USD"",B3486,B3486 * GOOGLEFINANCE(""CURRENCY:"" &amp; E3486 &amp; ""USD""))
"),54000000)</f>
        <v>54000000</v>
      </c>
      <c r="G3486" s="13">
        <f ca="1">IFERROR(__xludf.DUMMYFUNCTION("IF(E3486=""USD"",C3486,C3486 * GOOGLEFINANCE(""CURRENCY:"" &amp; E3486 &amp; ""USD""))
"),75604320)</f>
        <v>75604320</v>
      </c>
    </row>
    <row r="3487" spans="1:7" ht="15.75" customHeight="1" x14ac:dyDescent="0.25">
      <c r="A3487" s="14" t="s">
        <v>176</v>
      </c>
      <c r="B3487" s="15">
        <v>10000000</v>
      </c>
      <c r="C3487" s="15">
        <v>10561238</v>
      </c>
      <c r="D3487" s="15">
        <v>1999</v>
      </c>
      <c r="E3487" s="15" t="str">
        <f>VLOOKUP(A3487, Currency!$A$2:$B$100, 2, FALSE)</f>
        <v>EUR</v>
      </c>
      <c r="F3487" s="15">
        <f ca="1">IFERROR(__xludf.DUMMYFUNCTION("IF(E3487=""USD"",B3487,B3487 * GOOGLEFINANCE(""CURRENCY:"" &amp; E3487 &amp; ""USD""))
"),10847400)</f>
        <v>10847400</v>
      </c>
      <c r="G3487" s="16">
        <f ca="1">IFERROR(__xludf.DUMMYFUNCTION("IF(E3487=""USD"",C3487,C3487 * GOOGLEFINANCE(""CURRENCY:"" &amp; E3487 &amp; ""USD""))
"),11456197.30812)</f>
        <v>11456197.308119999</v>
      </c>
    </row>
    <row r="3488" spans="1:7" ht="15.75" customHeight="1" x14ac:dyDescent="0.25">
      <c r="A3488" s="11" t="s">
        <v>24</v>
      </c>
      <c r="B3488" s="12">
        <v>30000000</v>
      </c>
      <c r="C3488" s="12">
        <v>38413606</v>
      </c>
      <c r="D3488" s="12">
        <v>1988</v>
      </c>
      <c r="E3488" s="12" t="str">
        <f>VLOOKUP(A3488, Currency!$A$2:$B$100, 2, FALSE)</f>
        <v>USD</v>
      </c>
      <c r="F3488" s="12">
        <f ca="1">IFERROR(__xludf.DUMMYFUNCTION("IF(E3488=""USD"",B3488,B3488 * GOOGLEFINANCE(""CURRENCY:"" &amp; E3488 &amp; ""USD""))
"),30000000)</f>
        <v>30000000</v>
      </c>
      <c r="G3488" s="13">
        <f ca="1">IFERROR(__xludf.DUMMYFUNCTION("IF(E3488=""USD"",C3488,C3488 * GOOGLEFINANCE(""CURRENCY:"" &amp; E3488 &amp; ""USD""))
"),38413606)</f>
        <v>38413606</v>
      </c>
    </row>
    <row r="3489" spans="1:7" ht="15.75" customHeight="1" x14ac:dyDescent="0.25">
      <c r="A3489" s="14" t="s">
        <v>24</v>
      </c>
      <c r="B3489" s="15">
        <v>1000000</v>
      </c>
      <c r="C3489" s="15">
        <v>17986000</v>
      </c>
      <c r="D3489" s="15">
        <v>1981</v>
      </c>
      <c r="E3489" s="15" t="str">
        <f>VLOOKUP(A3489, Currency!$A$2:$B$100, 2, FALSE)</f>
        <v>USD</v>
      </c>
      <c r="F3489" s="15">
        <f ca="1">IFERROR(__xludf.DUMMYFUNCTION("IF(E3489=""USD"",B3489,B3489 * GOOGLEFINANCE(""CURRENCY:"" &amp; E3489 &amp; ""USD""))
"),1000000)</f>
        <v>1000000</v>
      </c>
      <c r="G3489" s="16">
        <f ca="1">IFERROR(__xludf.DUMMYFUNCTION("IF(E3489=""USD"",C3489,C3489 * GOOGLEFINANCE(""CURRENCY:"" &amp; E3489 &amp; ""USD""))
"),17986000)</f>
        <v>17986000</v>
      </c>
    </row>
    <row r="3490" spans="1:7" ht="15.75" customHeight="1" x14ac:dyDescent="0.25">
      <c r="A3490" s="11" t="s">
        <v>133</v>
      </c>
      <c r="B3490" s="12">
        <v>3500000</v>
      </c>
      <c r="C3490" s="12">
        <v>26005908</v>
      </c>
      <c r="D3490" s="12">
        <v>2005</v>
      </c>
      <c r="E3490" s="12" t="str">
        <f>VLOOKUP(A3490, Currency!$A$2:$B$100, 2, FALSE)</f>
        <v>GBP</v>
      </c>
      <c r="F3490" s="12">
        <f ca="1">IFERROR(__xludf.DUMMYFUNCTION("IF(E3490=""USD"",B3490,B3490 * GOOGLEFINANCE(""CURRENCY:"" &amp; E3490 &amp; ""USD""))
"),4498900)</f>
        <v>4498900</v>
      </c>
      <c r="G3490" s="13">
        <f ca="1">IFERROR(__xludf.DUMMYFUNCTION("IF(E3490=""USD"",C3490,C3490 * GOOGLEFINANCE(""CURRENCY:"" &amp; E3490 &amp; ""USD""))
"),33427994.1431999)</f>
        <v>33427994.143199898</v>
      </c>
    </row>
    <row r="3491" spans="1:7" ht="15.75" customHeight="1" x14ac:dyDescent="0.25">
      <c r="A3491" s="14" t="s">
        <v>24</v>
      </c>
      <c r="B3491" s="15">
        <v>90000000</v>
      </c>
      <c r="C3491" s="15">
        <v>27356090</v>
      </c>
      <c r="D3491" s="15">
        <v>2015</v>
      </c>
      <c r="E3491" s="15" t="str">
        <f>VLOOKUP(A3491, Currency!$A$2:$B$100, 2, FALSE)</f>
        <v>USD</v>
      </c>
      <c r="F3491" s="15">
        <f ca="1">IFERROR(__xludf.DUMMYFUNCTION("IF(E3491=""USD"",B3491,B3491 * GOOGLEFINANCE(""CURRENCY:"" &amp; E3491 &amp; ""USD""))
"),90000000)</f>
        <v>90000000</v>
      </c>
      <c r="G3491" s="16">
        <f ca="1">IFERROR(__xludf.DUMMYFUNCTION("IF(E3491=""USD"",C3491,C3491 * GOOGLEFINANCE(""CURRENCY:"" &amp; E3491 &amp; ""USD""))
"),27356090)</f>
        <v>27356090</v>
      </c>
    </row>
    <row r="3492" spans="1:7" ht="15.75" customHeight="1" x14ac:dyDescent="0.25">
      <c r="A3492" s="11" t="s">
        <v>24</v>
      </c>
      <c r="B3492" s="12">
        <v>10000000</v>
      </c>
      <c r="C3492" s="12">
        <v>6982680</v>
      </c>
      <c r="D3492" s="12">
        <v>2000</v>
      </c>
      <c r="E3492" s="12" t="str">
        <f>VLOOKUP(A3492, Currency!$A$2:$B$100, 2, FALSE)</f>
        <v>USD</v>
      </c>
      <c r="F3492" s="12">
        <f ca="1">IFERROR(__xludf.DUMMYFUNCTION("IF(E3492=""USD"",B3492,B3492 * GOOGLEFINANCE(""CURRENCY:"" &amp; E3492 &amp; ""USD""))
"),10000000)</f>
        <v>10000000</v>
      </c>
      <c r="G3492" s="13">
        <f ca="1">IFERROR(__xludf.DUMMYFUNCTION("IF(E3492=""USD"",C3492,C3492 * GOOGLEFINANCE(""CURRENCY:"" &amp; E3492 &amp; ""USD""))
"),6982680)</f>
        <v>6982680</v>
      </c>
    </row>
    <row r="3493" spans="1:7" ht="15.75" customHeight="1" x14ac:dyDescent="0.25">
      <c r="A3493" s="14" t="s">
        <v>133</v>
      </c>
      <c r="B3493" s="15">
        <v>10000000</v>
      </c>
      <c r="C3493" s="15">
        <v>3205244</v>
      </c>
      <c r="D3493" s="15">
        <v>2010</v>
      </c>
      <c r="E3493" s="15" t="str">
        <f>VLOOKUP(A3493, Currency!$A$2:$B$100, 2, FALSE)</f>
        <v>GBP</v>
      </c>
      <c r="F3493" s="15">
        <f ca="1">IFERROR(__xludf.DUMMYFUNCTION("IF(E3493=""USD"",B3493,B3493 * GOOGLEFINANCE(""CURRENCY:"" &amp; E3493 &amp; ""USD""))
"),12853999.9999999)</f>
        <v>12853999.999999899</v>
      </c>
      <c r="G3493" s="16">
        <f ca="1">IFERROR(__xludf.DUMMYFUNCTION("IF(E3493=""USD"",C3493,C3493 * GOOGLEFINANCE(""CURRENCY:"" &amp; E3493 &amp; ""USD""))
"),4120020.63759999)</f>
        <v>4120020.6375999898</v>
      </c>
    </row>
    <row r="3494" spans="1:7" ht="15.75" customHeight="1" x14ac:dyDescent="0.25">
      <c r="A3494" s="11" t="s">
        <v>24</v>
      </c>
      <c r="B3494" s="12">
        <v>30000000</v>
      </c>
      <c r="C3494" s="12">
        <v>35266619</v>
      </c>
      <c r="D3494" s="12">
        <v>2013</v>
      </c>
      <c r="E3494" s="12" t="str">
        <f>VLOOKUP(A3494, Currency!$A$2:$B$100, 2, FALSE)</f>
        <v>USD</v>
      </c>
      <c r="F3494" s="12">
        <f ca="1">IFERROR(__xludf.DUMMYFUNCTION("IF(E3494=""USD"",B3494,B3494 * GOOGLEFINANCE(""CURRENCY:"" &amp; E3494 &amp; ""USD""))
"),30000000)</f>
        <v>30000000</v>
      </c>
      <c r="G3494" s="13">
        <f ca="1">IFERROR(__xludf.DUMMYFUNCTION("IF(E3494=""USD"",C3494,C3494 * GOOGLEFINANCE(""CURRENCY:"" &amp; E3494 &amp; ""USD""))
"),35266619)</f>
        <v>35266619</v>
      </c>
    </row>
    <row r="3495" spans="1:7" ht="15.75" customHeight="1" x14ac:dyDescent="0.25">
      <c r="A3495" s="14" t="s">
        <v>24</v>
      </c>
      <c r="B3495" s="15">
        <v>5000000</v>
      </c>
      <c r="C3495" s="15">
        <v>9658370</v>
      </c>
      <c r="D3495" s="15">
        <v>2016</v>
      </c>
      <c r="E3495" s="15" t="str">
        <f>VLOOKUP(A3495, Currency!$A$2:$B$100, 2, FALSE)</f>
        <v>USD</v>
      </c>
      <c r="F3495" s="15">
        <f ca="1">IFERROR(__xludf.DUMMYFUNCTION("IF(E3495=""USD"",B3495,B3495 * GOOGLEFINANCE(""CURRENCY:"" &amp; E3495 &amp; ""USD""))
"),5000000)</f>
        <v>5000000</v>
      </c>
      <c r="G3495" s="16">
        <f ca="1">IFERROR(__xludf.DUMMYFUNCTION("IF(E3495=""USD"",C3495,C3495 * GOOGLEFINANCE(""CURRENCY:"" &amp; E3495 &amp; ""USD""))
"),9658370)</f>
        <v>9658370</v>
      </c>
    </row>
    <row r="3496" spans="1:7" ht="15.75" customHeight="1" x14ac:dyDescent="0.25">
      <c r="A3496" s="11" t="s">
        <v>24</v>
      </c>
      <c r="B3496" s="12">
        <v>18000000</v>
      </c>
      <c r="C3496" s="12">
        <v>114968774</v>
      </c>
      <c r="D3496" s="12">
        <v>1988</v>
      </c>
      <c r="E3496" s="12" t="str">
        <f>VLOOKUP(A3496, Currency!$A$2:$B$100, 2, FALSE)</f>
        <v>USD</v>
      </c>
      <c r="F3496" s="12">
        <f ca="1">IFERROR(__xludf.DUMMYFUNCTION("IF(E3496=""USD"",B3496,B3496 * GOOGLEFINANCE(""CURRENCY:"" &amp; E3496 &amp; ""USD""))
"),18000000)</f>
        <v>18000000</v>
      </c>
      <c r="G3496" s="13">
        <f ca="1">IFERROR(__xludf.DUMMYFUNCTION("IF(E3496=""USD"",C3496,C3496 * GOOGLEFINANCE(""CURRENCY:"" &amp; E3496 &amp; ""USD""))
"),114968774)</f>
        <v>114968774</v>
      </c>
    </row>
    <row r="3497" spans="1:7" ht="15.75" customHeight="1" x14ac:dyDescent="0.25">
      <c r="A3497" s="14" t="s">
        <v>24</v>
      </c>
      <c r="B3497" s="15">
        <v>110000000</v>
      </c>
      <c r="C3497" s="15">
        <v>142614158</v>
      </c>
      <c r="D3497" s="15">
        <v>2011</v>
      </c>
      <c r="E3497" s="15" t="str">
        <f>VLOOKUP(A3497, Currency!$A$2:$B$100, 2, FALSE)</f>
        <v>USD</v>
      </c>
      <c r="F3497" s="15">
        <f ca="1">IFERROR(__xludf.DUMMYFUNCTION("IF(E3497=""USD"",B3497,B3497 * GOOGLEFINANCE(""CURRENCY:"" &amp; E3497 &amp; ""USD""))
"),110000000)</f>
        <v>110000000</v>
      </c>
      <c r="G3497" s="16">
        <f ca="1">IFERROR(__xludf.DUMMYFUNCTION("IF(E3497=""USD"",C3497,C3497 * GOOGLEFINANCE(""CURRENCY:"" &amp; E3497 &amp; ""USD""))
"),142614158)</f>
        <v>142614158</v>
      </c>
    </row>
    <row r="3498" spans="1:7" ht="15.75" customHeight="1" x14ac:dyDescent="0.25">
      <c r="A3498" s="11" t="s">
        <v>24</v>
      </c>
      <c r="B3498" s="12">
        <v>1500000</v>
      </c>
      <c r="C3498" s="12">
        <v>703</v>
      </c>
      <c r="D3498" s="12">
        <v>2001</v>
      </c>
      <c r="E3498" s="12" t="str">
        <f>VLOOKUP(A3498, Currency!$A$2:$B$100, 2, FALSE)</f>
        <v>USD</v>
      </c>
      <c r="F3498" s="12">
        <f ca="1">IFERROR(__xludf.DUMMYFUNCTION("IF(E3498=""USD"",B3498,B3498 * GOOGLEFINANCE(""CURRENCY:"" &amp; E3498 &amp; ""USD""))
"),1500000)</f>
        <v>1500000</v>
      </c>
      <c r="G3498" s="13">
        <f ca="1">IFERROR(__xludf.DUMMYFUNCTION("IF(E3498=""USD"",C3498,C3498 * GOOGLEFINANCE(""CURRENCY:"" &amp; E3498 &amp; ""USD""))
"),703)</f>
        <v>703</v>
      </c>
    </row>
    <row r="3499" spans="1:7" ht="15.75" customHeight="1" x14ac:dyDescent="0.25">
      <c r="A3499" s="14" t="s">
        <v>133</v>
      </c>
      <c r="B3499" s="15">
        <v>11500000</v>
      </c>
      <c r="C3499" s="15">
        <v>3275585</v>
      </c>
      <c r="D3499" s="15">
        <v>1993</v>
      </c>
      <c r="E3499" s="15" t="str">
        <f>VLOOKUP(A3499, Currency!$A$2:$B$100, 2, FALSE)</f>
        <v>GBP</v>
      </c>
      <c r="F3499" s="15">
        <f ca="1">IFERROR(__xludf.DUMMYFUNCTION("IF(E3499=""USD"",B3499,B3499 * GOOGLEFINANCE(""CURRENCY:"" &amp; E3499 &amp; ""USD""))
"),14782099.9999999)</f>
        <v>14782099.999999899</v>
      </c>
      <c r="G3499" s="16">
        <f ca="1">IFERROR(__xludf.DUMMYFUNCTION("IF(E3499=""USD"",C3499,C3499 * GOOGLEFINANCE(""CURRENCY:"" &amp; E3499 &amp; ""USD""))
"),4210436.959)</f>
        <v>4210436.9589999998</v>
      </c>
    </row>
    <row r="3500" spans="1:7" ht="15.75" customHeight="1" x14ac:dyDescent="0.25">
      <c r="A3500" s="11" t="s">
        <v>149</v>
      </c>
      <c r="B3500" s="12">
        <v>2000000</v>
      </c>
      <c r="C3500" s="12">
        <v>9003011</v>
      </c>
      <c r="D3500" s="12">
        <v>1981</v>
      </c>
      <c r="E3500" s="12" t="str">
        <f>VLOOKUP(A3500, Currency!$A$2:$B$100, 2, FALSE)</f>
        <v>AUD</v>
      </c>
      <c r="F3500" s="12">
        <f ca="1">IFERROR(__xludf.DUMMYFUNCTION("IF(E3500=""USD"",B3500,B3500 * GOOGLEFINANCE(""CURRENCY:"" &amp; E3500 &amp; ""USD""))
"),1307760)</f>
        <v>1307760</v>
      </c>
      <c r="G3500" s="13">
        <f ca="1">IFERROR(__xludf.DUMMYFUNCTION("IF(E3500=""USD"",C3500,C3500 * GOOGLEFINANCE(""CURRENCY:"" &amp; E3500 &amp; ""USD""))
"),5886888.83268)</f>
        <v>5886888.83268</v>
      </c>
    </row>
    <row r="3501" spans="1:7" ht="15.75" customHeight="1" x14ac:dyDescent="0.25">
      <c r="A3501" s="14" t="s">
        <v>24</v>
      </c>
      <c r="B3501" s="15">
        <v>45000000</v>
      </c>
      <c r="C3501" s="15">
        <v>181395380</v>
      </c>
      <c r="D3501" s="15">
        <v>1997</v>
      </c>
      <c r="E3501" s="15" t="str">
        <f>VLOOKUP(A3501, Currency!$A$2:$B$100, 2, FALSE)</f>
        <v>USD</v>
      </c>
      <c r="F3501" s="15">
        <f ca="1">IFERROR(__xludf.DUMMYFUNCTION("IF(E3501=""USD"",B3501,B3501 * GOOGLEFINANCE(""CURRENCY:"" &amp; E3501 &amp; ""USD""))
"),45000000)</f>
        <v>45000000</v>
      </c>
      <c r="G3501" s="16">
        <f ca="1">IFERROR(__xludf.DUMMYFUNCTION("IF(E3501=""USD"",C3501,C3501 * GOOGLEFINANCE(""CURRENCY:"" &amp; E3501 &amp; ""USD""))
"),181395380)</f>
        <v>181395380</v>
      </c>
    </row>
    <row r="3502" spans="1:7" ht="15.75" customHeight="1" x14ac:dyDescent="0.25">
      <c r="A3502" s="11" t="s">
        <v>24</v>
      </c>
      <c r="B3502" s="12">
        <v>120000000</v>
      </c>
      <c r="C3502" s="12">
        <v>292298923</v>
      </c>
      <c r="D3502" s="12">
        <v>2012</v>
      </c>
      <c r="E3502" s="12" t="str">
        <f>VLOOKUP(A3502, Currency!$A$2:$B$100, 2, FALSE)</f>
        <v>USD</v>
      </c>
      <c r="F3502" s="12">
        <f ca="1">IFERROR(__xludf.DUMMYFUNCTION("IF(E3502=""USD"",B3502,B3502 * GOOGLEFINANCE(""CURRENCY:"" &amp; E3502 &amp; ""USD""))
"),120000000)</f>
        <v>120000000</v>
      </c>
      <c r="G3502" s="13">
        <f ca="1">IFERROR(__xludf.DUMMYFUNCTION("IF(E3502=""USD"",C3502,C3502 * GOOGLEFINANCE(""CURRENCY:"" &amp; E3502 &amp; ""USD""))
"),292298923)</f>
        <v>292298923</v>
      </c>
    </row>
    <row r="3503" spans="1:7" ht="15.75" customHeight="1" x14ac:dyDescent="0.25">
      <c r="A3503" s="14" t="s">
        <v>24</v>
      </c>
      <c r="B3503" s="15">
        <v>160000</v>
      </c>
      <c r="C3503" s="15">
        <v>155984</v>
      </c>
      <c r="D3503" s="15">
        <v>2009</v>
      </c>
      <c r="E3503" s="15" t="str">
        <f>VLOOKUP(A3503, Currency!$A$2:$B$100, 2, FALSE)</f>
        <v>USD</v>
      </c>
      <c r="F3503" s="15">
        <f ca="1">IFERROR(__xludf.DUMMYFUNCTION("IF(E3503=""USD"",B3503,B3503 * GOOGLEFINANCE(""CURRENCY:"" &amp; E3503 &amp; ""USD""))
"),160000)</f>
        <v>160000</v>
      </c>
      <c r="G3503" s="16">
        <f ca="1">IFERROR(__xludf.DUMMYFUNCTION("IF(E3503=""USD"",C3503,C3503 * GOOGLEFINANCE(""CURRENCY:"" &amp; E3503 &amp; ""USD""))
"),155984)</f>
        <v>155984</v>
      </c>
    </row>
    <row r="3504" spans="1:7" ht="15.75" customHeight="1" x14ac:dyDescent="0.25">
      <c r="A3504" s="11" t="s">
        <v>24</v>
      </c>
      <c r="B3504" s="12">
        <v>21000000</v>
      </c>
      <c r="C3504" s="12">
        <v>958319</v>
      </c>
      <c r="D3504" s="12">
        <v>2011</v>
      </c>
      <c r="E3504" s="12" t="str">
        <f>VLOOKUP(A3504, Currency!$A$2:$B$100, 2, FALSE)</f>
        <v>USD</v>
      </c>
      <c r="F3504" s="12">
        <f ca="1">IFERROR(__xludf.DUMMYFUNCTION("IF(E3504=""USD"",B3504,B3504 * GOOGLEFINANCE(""CURRENCY:"" &amp; E3504 &amp; ""USD""))
"),21000000)</f>
        <v>21000000</v>
      </c>
      <c r="G3504" s="13">
        <f ca="1">IFERROR(__xludf.DUMMYFUNCTION("IF(E3504=""USD"",C3504,C3504 * GOOGLEFINANCE(""CURRENCY:"" &amp; E3504 &amp; ""USD""))
"),958319)</f>
        <v>958319</v>
      </c>
    </row>
    <row r="3505" spans="1:7" ht="15.75" customHeight="1" x14ac:dyDescent="0.25">
      <c r="A3505" s="14" t="s">
        <v>24</v>
      </c>
      <c r="B3505" s="15">
        <v>144000000</v>
      </c>
      <c r="C3505" s="15">
        <v>118099659</v>
      </c>
      <c r="D3505" s="15">
        <v>2016</v>
      </c>
      <c r="E3505" s="15" t="str">
        <f>VLOOKUP(A3505, Currency!$A$2:$B$100, 2, FALSE)</f>
        <v>USD</v>
      </c>
      <c r="F3505" s="15">
        <f ca="1">IFERROR(__xludf.DUMMYFUNCTION("IF(E3505=""USD"",B3505,B3505 * GOOGLEFINANCE(""CURRENCY:"" &amp; E3505 &amp; ""USD""))
"),144000000)</f>
        <v>144000000</v>
      </c>
      <c r="G3505" s="16">
        <f ca="1">IFERROR(__xludf.DUMMYFUNCTION("IF(E3505=""USD"",C3505,C3505 * GOOGLEFINANCE(""CURRENCY:"" &amp; E3505 &amp; ""USD""))
"),118099659)</f>
        <v>118099659</v>
      </c>
    </row>
    <row r="3506" spans="1:7" ht="15.75" customHeight="1" x14ac:dyDescent="0.25">
      <c r="A3506" s="11" t="s">
        <v>133</v>
      </c>
      <c r="B3506" s="12">
        <v>57000000</v>
      </c>
      <c r="C3506" s="12">
        <v>25528495</v>
      </c>
      <c r="D3506" s="12">
        <v>2001</v>
      </c>
      <c r="E3506" s="12" t="str">
        <f>VLOOKUP(A3506, Currency!$A$2:$B$100, 2, FALSE)</f>
        <v>GBP</v>
      </c>
      <c r="F3506" s="12">
        <f ca="1">IFERROR(__xludf.DUMMYFUNCTION("IF(E3506=""USD"",B3506,B3506 * GOOGLEFINANCE(""CURRENCY:"" &amp; E3506 &amp; ""USD""))
"),73267800)</f>
        <v>73267800</v>
      </c>
      <c r="G3506" s="13">
        <f ca="1">IFERROR(__xludf.DUMMYFUNCTION("IF(E3506=""USD"",C3506,C3506 * GOOGLEFINANCE(""CURRENCY:"" &amp; E3506 &amp; ""USD""))
"),32814327.4729999)</f>
        <v>32814327.472999901</v>
      </c>
    </row>
    <row r="3507" spans="1:7" ht="15.75" customHeight="1" x14ac:dyDescent="0.25">
      <c r="A3507" s="14" t="s">
        <v>24</v>
      </c>
      <c r="B3507" s="15">
        <v>200000000</v>
      </c>
      <c r="C3507" s="15">
        <v>90755643</v>
      </c>
      <c r="D3507" s="15">
        <v>2010</v>
      </c>
      <c r="E3507" s="15" t="str">
        <f>VLOOKUP(A3507, Currency!$A$2:$B$100, 2, FALSE)</f>
        <v>USD</v>
      </c>
      <c r="F3507" s="15">
        <f ca="1">IFERROR(__xludf.DUMMYFUNCTION("IF(E3507=""USD"",B3507,B3507 * GOOGLEFINANCE(""CURRENCY:"" &amp; E3507 &amp; ""USD""))
"),200000000)</f>
        <v>200000000</v>
      </c>
      <c r="G3507" s="16">
        <f ca="1">IFERROR(__xludf.DUMMYFUNCTION("IF(E3507=""USD"",C3507,C3507 * GOOGLEFINANCE(""CURRENCY:"" &amp; E3507 &amp; ""USD""))
"),90755643)</f>
        <v>90755643</v>
      </c>
    </row>
    <row r="3508" spans="1:7" ht="15.75" customHeight="1" x14ac:dyDescent="0.25">
      <c r="A3508" s="11" t="s">
        <v>24</v>
      </c>
      <c r="B3508" s="12">
        <v>165000000</v>
      </c>
      <c r="C3508" s="12">
        <v>187991439</v>
      </c>
      <c r="D3508" s="12">
        <v>2014</v>
      </c>
      <c r="E3508" s="12" t="str">
        <f>VLOOKUP(A3508, Currency!$A$2:$B$100, 2, FALSE)</f>
        <v>USD</v>
      </c>
      <c r="F3508" s="12">
        <f ca="1">IFERROR(__xludf.DUMMYFUNCTION("IF(E3508=""USD"",B3508,B3508 * GOOGLEFINANCE(""CURRENCY:"" &amp; E3508 &amp; ""USD""))
"),165000000)</f>
        <v>165000000</v>
      </c>
      <c r="G3508" s="13">
        <f ca="1">IFERROR(__xludf.DUMMYFUNCTION("IF(E3508=""USD"",C3508,C3508 * GOOGLEFINANCE(""CURRENCY:"" &amp; E3508 &amp; ""USD""))
"),187991439)</f>
        <v>187991439</v>
      </c>
    </row>
    <row r="3509" spans="1:7" ht="15.75" customHeight="1" x14ac:dyDescent="0.25">
      <c r="A3509" s="14" t="s">
        <v>24</v>
      </c>
      <c r="B3509" s="15">
        <v>15000000</v>
      </c>
      <c r="C3509" s="15">
        <v>55184721</v>
      </c>
      <c r="D3509" s="15">
        <v>2007</v>
      </c>
      <c r="E3509" s="15" t="str">
        <f>VLOOKUP(A3509, Currency!$A$2:$B$100, 2, FALSE)</f>
        <v>USD</v>
      </c>
      <c r="F3509" s="15">
        <f ca="1">IFERROR(__xludf.DUMMYFUNCTION("IF(E3509=""USD"",B3509,B3509 * GOOGLEFINANCE(""CURRENCY:"" &amp; E3509 &amp; ""USD""))
"),15000000)</f>
        <v>15000000</v>
      </c>
      <c r="G3509" s="16">
        <f ca="1">IFERROR(__xludf.DUMMYFUNCTION("IF(E3509=""USD"",C3509,C3509 * GOOGLEFINANCE(""CURRENCY:"" &amp; E3509 &amp; ""USD""))
"),55184721)</f>
        <v>55184721</v>
      </c>
    </row>
    <row r="3510" spans="1:7" ht="15.75" customHeight="1" x14ac:dyDescent="0.25">
      <c r="A3510" s="11" t="s">
        <v>149</v>
      </c>
      <c r="B3510" s="12">
        <v>13000000</v>
      </c>
      <c r="C3510" s="12">
        <v>28399192</v>
      </c>
      <c r="D3510" s="12">
        <v>2002</v>
      </c>
      <c r="E3510" s="12" t="str">
        <f>VLOOKUP(A3510, Currency!$A$2:$B$100, 2, FALSE)</f>
        <v>AUD</v>
      </c>
      <c r="F3510" s="12">
        <f ca="1">IFERROR(__xludf.DUMMYFUNCTION("IF(E3510=""USD"",B3510,B3510 * GOOGLEFINANCE(""CURRENCY:"" &amp; E3510 &amp; ""USD""))
"),8500440)</f>
        <v>8500440</v>
      </c>
      <c r="G3510" s="13">
        <f ca="1">IFERROR(__xludf.DUMMYFUNCTION("IF(E3510=""USD"",C3510,C3510 * GOOGLEFINANCE(""CURRENCY:"" &amp; E3510 &amp; ""USD""))
"),18569663.66496)</f>
        <v>18569663.664960001</v>
      </c>
    </row>
    <row r="3511" spans="1:7" ht="15.75" customHeight="1" x14ac:dyDescent="0.25">
      <c r="A3511" s="14" t="s">
        <v>24</v>
      </c>
      <c r="B3511" s="15">
        <v>16000000</v>
      </c>
      <c r="C3511" s="15">
        <v>54000000</v>
      </c>
      <c r="D3511" s="15">
        <v>1982</v>
      </c>
      <c r="E3511" s="15" t="str">
        <f>VLOOKUP(A3511, Currency!$A$2:$B$100, 2, FALSE)</f>
        <v>USD</v>
      </c>
      <c r="F3511" s="15">
        <f ca="1">IFERROR(__xludf.DUMMYFUNCTION("IF(E3511=""USD"",B3511,B3511 * GOOGLEFINANCE(""CURRENCY:"" &amp; E3511 &amp; ""USD""))
"),16000000)</f>
        <v>16000000</v>
      </c>
      <c r="G3511" s="16">
        <f ca="1">IFERROR(__xludf.DUMMYFUNCTION("IF(E3511=""USD"",C3511,C3511 * GOOGLEFINANCE(""CURRENCY:"" &amp; E3511 &amp; ""USD""))
"),54000000)</f>
        <v>54000000</v>
      </c>
    </row>
    <row r="3512" spans="1:7" ht="15.75" customHeight="1" x14ac:dyDescent="0.25">
      <c r="A3512" s="11" t="s">
        <v>133</v>
      </c>
      <c r="B3512" s="12">
        <v>2000000</v>
      </c>
      <c r="C3512" s="12">
        <v>7369373</v>
      </c>
      <c r="D3512" s="12">
        <v>1986</v>
      </c>
      <c r="E3512" s="12" t="str">
        <f>VLOOKUP(A3512, Currency!$A$2:$B$100, 2, FALSE)</f>
        <v>GBP</v>
      </c>
      <c r="F3512" s="12">
        <f ca="1">IFERROR(__xludf.DUMMYFUNCTION("IF(E3512=""USD"",B3512,B3512 * GOOGLEFINANCE(""CURRENCY:"" &amp; E3512 &amp; ""USD""))
"),2570799.99999999)</f>
        <v>2570799.9999999902</v>
      </c>
      <c r="G3512" s="13">
        <f ca="1">IFERROR(__xludf.DUMMYFUNCTION("IF(E3512=""USD"",C3512,C3512 * GOOGLEFINANCE(""CURRENCY:"" &amp; E3512 &amp; ""USD""))
"),9472592.0542)</f>
        <v>9472592.0541999992</v>
      </c>
    </row>
    <row r="3513" spans="1:7" ht="15.75" customHeight="1" x14ac:dyDescent="0.25">
      <c r="A3513" s="14" t="s">
        <v>24</v>
      </c>
      <c r="B3513" s="15">
        <v>20000000</v>
      </c>
      <c r="C3513" s="15">
        <v>60072596</v>
      </c>
      <c r="D3513" s="15">
        <v>2010</v>
      </c>
      <c r="E3513" s="15" t="str">
        <f>VLOOKUP(A3513, Currency!$A$2:$B$100, 2, FALSE)</f>
        <v>USD</v>
      </c>
      <c r="F3513" s="15">
        <f ca="1">IFERROR(__xludf.DUMMYFUNCTION("IF(E3513=""USD"",B3513,B3513 * GOOGLEFINANCE(""CURRENCY:"" &amp; E3513 &amp; ""USD""))
"),20000000)</f>
        <v>20000000</v>
      </c>
      <c r="G3513" s="16">
        <f ca="1">IFERROR(__xludf.DUMMYFUNCTION("IF(E3513=""USD"",C3513,C3513 * GOOGLEFINANCE(""CURRENCY:"" &amp; E3513 &amp; ""USD""))
"),60072596)</f>
        <v>60072596</v>
      </c>
    </row>
    <row r="3514" spans="1:7" ht="15.75" customHeight="1" x14ac:dyDescent="0.25">
      <c r="A3514" s="11" t="s">
        <v>24</v>
      </c>
      <c r="B3514" s="12">
        <v>75000000</v>
      </c>
      <c r="C3514" s="12">
        <v>176049130</v>
      </c>
      <c r="D3514" s="12">
        <v>2004</v>
      </c>
      <c r="E3514" s="12" t="str">
        <f>VLOOKUP(A3514, Currency!$A$2:$B$100, 2, FALSE)</f>
        <v>USD</v>
      </c>
      <c r="F3514" s="12">
        <f ca="1">IFERROR(__xludf.DUMMYFUNCTION("IF(E3514=""USD"",B3514,B3514 * GOOGLEFINANCE(""CURRENCY:"" &amp; E3514 &amp; ""USD""))
"),75000000)</f>
        <v>75000000</v>
      </c>
      <c r="G3514" s="13">
        <f ca="1">IFERROR(__xludf.DUMMYFUNCTION("IF(E3514=""USD"",C3514,C3514 * GOOGLEFINANCE(""CURRENCY:"" &amp; E3514 &amp; ""USD""))
"),176049130)</f>
        <v>176049130</v>
      </c>
    </row>
    <row r="3515" spans="1:7" ht="15.75" customHeight="1" x14ac:dyDescent="0.25">
      <c r="A3515" s="14" t="s">
        <v>24</v>
      </c>
      <c r="B3515" s="15">
        <v>4800000</v>
      </c>
      <c r="C3515" s="15">
        <v>47277326</v>
      </c>
      <c r="D3515" s="15">
        <v>2005</v>
      </c>
      <c r="E3515" s="15" t="str">
        <f>VLOOKUP(A3515, Currency!$A$2:$B$100, 2, FALSE)</f>
        <v>USD</v>
      </c>
      <c r="F3515" s="15">
        <f ca="1">IFERROR(__xludf.DUMMYFUNCTION("IF(E3515=""USD"",B3515,B3515 * GOOGLEFINANCE(""CURRENCY:"" &amp; E3515 &amp; ""USD""))
"),4800000)</f>
        <v>4800000</v>
      </c>
      <c r="G3515" s="16">
        <f ca="1">IFERROR(__xludf.DUMMYFUNCTION("IF(E3515=""USD"",C3515,C3515 * GOOGLEFINANCE(""CURRENCY:"" &amp; E3515 &amp; ""USD""))
"),47277326)</f>
        <v>47277326</v>
      </c>
    </row>
    <row r="3516" spans="1:7" ht="15.75" customHeight="1" x14ac:dyDescent="0.25">
      <c r="A3516" s="11" t="s">
        <v>24</v>
      </c>
      <c r="B3516" s="12">
        <v>35000000</v>
      </c>
      <c r="C3516" s="12">
        <v>109712885</v>
      </c>
      <c r="D3516" s="12">
        <v>2015</v>
      </c>
      <c r="E3516" s="12" t="str">
        <f>VLOOKUP(A3516, Currency!$A$2:$B$100, 2, FALSE)</f>
        <v>USD</v>
      </c>
      <c r="F3516" s="12">
        <f ca="1">IFERROR(__xludf.DUMMYFUNCTION("IF(E3516=""USD"",B3516,B3516 * GOOGLEFINANCE(""CURRENCY:"" &amp; E3516 &amp; ""USD""))
"),35000000)</f>
        <v>35000000</v>
      </c>
      <c r="G3516" s="13">
        <f ca="1">IFERROR(__xludf.DUMMYFUNCTION("IF(E3516=""USD"",C3516,C3516 * GOOGLEFINANCE(""CURRENCY:"" &amp; E3516 &amp; ""USD""))
"),109712885)</f>
        <v>109712885</v>
      </c>
    </row>
    <row r="3517" spans="1:7" ht="15.75" customHeight="1" x14ac:dyDescent="0.25">
      <c r="A3517" s="14" t="s">
        <v>24</v>
      </c>
      <c r="B3517" s="15">
        <v>1000000</v>
      </c>
      <c r="C3517" s="15">
        <v>62480</v>
      </c>
      <c r="D3517" s="15">
        <v>2015</v>
      </c>
      <c r="E3517" s="15" t="str">
        <f>VLOOKUP(A3517, Currency!$A$2:$B$100, 2, FALSE)</f>
        <v>USD</v>
      </c>
      <c r="F3517" s="15">
        <f ca="1">IFERROR(__xludf.DUMMYFUNCTION("IF(E3517=""USD"",B3517,B3517 * GOOGLEFINANCE(""CURRENCY:"" &amp; E3517 &amp; ""USD""))
"),1000000)</f>
        <v>1000000</v>
      </c>
      <c r="G3517" s="16">
        <f ca="1">IFERROR(__xludf.DUMMYFUNCTION("IF(E3517=""USD"",C3517,C3517 * GOOGLEFINANCE(""CURRENCY:"" &amp; E3517 &amp; ""USD""))
"),62480)</f>
        <v>62480</v>
      </c>
    </row>
    <row r="3518" spans="1:7" ht="15.75" customHeight="1" x14ac:dyDescent="0.25">
      <c r="A3518" s="11" t="s">
        <v>24</v>
      </c>
      <c r="B3518" s="12">
        <v>15000000</v>
      </c>
      <c r="C3518" s="12">
        <v>35007180</v>
      </c>
      <c r="D3518" s="12">
        <v>2000</v>
      </c>
      <c r="E3518" s="12" t="str">
        <f>VLOOKUP(A3518, Currency!$A$2:$B$100, 2, FALSE)</f>
        <v>USD</v>
      </c>
      <c r="F3518" s="12">
        <f ca="1">IFERROR(__xludf.DUMMYFUNCTION("IF(E3518=""USD"",B3518,B3518 * GOOGLEFINANCE(""CURRENCY:"" &amp; E3518 &amp; ""USD""))
"),15000000)</f>
        <v>15000000</v>
      </c>
      <c r="G3518" s="13">
        <f ca="1">IFERROR(__xludf.DUMMYFUNCTION("IF(E3518=""USD"",C3518,C3518 * GOOGLEFINANCE(""CURRENCY:"" &amp; E3518 &amp; ""USD""))
"),35007180)</f>
        <v>35007180</v>
      </c>
    </row>
    <row r="3519" spans="1:7" ht="15.75" customHeight="1" x14ac:dyDescent="0.25">
      <c r="A3519" s="14" t="s">
        <v>24</v>
      </c>
      <c r="B3519" s="15">
        <v>10000000</v>
      </c>
      <c r="C3519" s="15">
        <v>5484375</v>
      </c>
      <c r="D3519" s="15">
        <v>2006</v>
      </c>
      <c r="E3519" s="15" t="str">
        <f>VLOOKUP(A3519, Currency!$A$2:$B$100, 2, FALSE)</f>
        <v>USD</v>
      </c>
      <c r="F3519" s="15">
        <f ca="1">IFERROR(__xludf.DUMMYFUNCTION("IF(E3519=""USD"",B3519,B3519 * GOOGLEFINANCE(""CURRENCY:"" &amp; E3519 &amp; ""USD""))
"),10000000)</f>
        <v>10000000</v>
      </c>
      <c r="G3519" s="16">
        <f ca="1">IFERROR(__xludf.DUMMYFUNCTION("IF(E3519=""USD"",C3519,C3519 * GOOGLEFINANCE(""CURRENCY:"" &amp; E3519 &amp; ""USD""))
"),5484375)</f>
        <v>5484375</v>
      </c>
    </row>
    <row r="3520" spans="1:7" ht="15.75" customHeight="1" x14ac:dyDescent="0.25">
      <c r="A3520" s="11" t="s">
        <v>24</v>
      </c>
      <c r="B3520" s="12">
        <v>20000000</v>
      </c>
      <c r="C3520" s="12">
        <v>25584685</v>
      </c>
      <c r="D3520" s="12">
        <v>2007</v>
      </c>
      <c r="E3520" s="12" t="str">
        <f>VLOOKUP(A3520, Currency!$A$2:$B$100, 2, FALSE)</f>
        <v>USD</v>
      </c>
      <c r="F3520" s="12">
        <f ca="1">IFERROR(__xludf.DUMMYFUNCTION("IF(E3520=""USD"",B3520,B3520 * GOOGLEFINANCE(""CURRENCY:"" &amp; E3520 &amp; ""USD""))
"),20000000)</f>
        <v>20000000</v>
      </c>
      <c r="G3520" s="13">
        <f ca="1">IFERROR(__xludf.DUMMYFUNCTION("IF(E3520=""USD"",C3520,C3520 * GOOGLEFINANCE(""CURRENCY:"" &amp; E3520 &amp; ""USD""))
"),25584685)</f>
        <v>25584685</v>
      </c>
    </row>
    <row r="3521" spans="1:7" ht="15.75" customHeight="1" x14ac:dyDescent="0.25">
      <c r="A3521" s="14" t="s">
        <v>24</v>
      </c>
      <c r="B3521" s="15">
        <v>7500000</v>
      </c>
      <c r="C3521" s="15">
        <v>9176553</v>
      </c>
      <c r="D3521" s="15">
        <v>2009</v>
      </c>
      <c r="E3521" s="15" t="str">
        <f>VLOOKUP(A3521, Currency!$A$2:$B$100, 2, FALSE)</f>
        <v>USD</v>
      </c>
      <c r="F3521" s="15">
        <f ca="1">IFERROR(__xludf.DUMMYFUNCTION("IF(E3521=""USD"",B3521,B3521 * GOOGLEFINANCE(""CURRENCY:"" &amp; E3521 &amp; ""USD""))
"),7500000)</f>
        <v>7500000</v>
      </c>
      <c r="G3521" s="16">
        <f ca="1">IFERROR(__xludf.DUMMYFUNCTION("IF(E3521=""USD"",C3521,C3521 * GOOGLEFINANCE(""CURRENCY:"" &amp; E3521 &amp; ""USD""))
"),9176553)</f>
        <v>9176553</v>
      </c>
    </row>
    <row r="3522" spans="1:7" ht="15.75" customHeight="1" x14ac:dyDescent="0.25">
      <c r="A3522" s="11" t="s">
        <v>24</v>
      </c>
      <c r="B3522" s="12">
        <v>85000000</v>
      </c>
      <c r="C3522" s="12">
        <v>55350897</v>
      </c>
      <c r="D3522" s="12">
        <v>1998</v>
      </c>
      <c r="E3522" s="12" t="str">
        <f>VLOOKUP(A3522, Currency!$A$2:$B$100, 2, FALSE)</f>
        <v>USD</v>
      </c>
      <c r="F3522" s="12">
        <f ca="1">IFERROR(__xludf.DUMMYFUNCTION("IF(E3522=""USD"",B3522,B3522 * GOOGLEFINANCE(""CURRENCY:"" &amp; E3522 &amp; ""USD""))
"),85000000)</f>
        <v>85000000</v>
      </c>
      <c r="G3522" s="13">
        <f ca="1">IFERROR(__xludf.DUMMYFUNCTION("IF(E3522=""USD"",C3522,C3522 * GOOGLEFINANCE(""CURRENCY:"" &amp; E3522 &amp; ""USD""))
"),55350897)</f>
        <v>55350897</v>
      </c>
    </row>
    <row r="3523" spans="1:7" ht="15.75" customHeight="1" x14ac:dyDescent="0.25">
      <c r="A3523" s="14" t="s">
        <v>133</v>
      </c>
      <c r="B3523" s="15">
        <v>28000000</v>
      </c>
      <c r="C3523" s="15">
        <v>62300000</v>
      </c>
      <c r="D3523" s="15">
        <v>1981</v>
      </c>
      <c r="E3523" s="15" t="str">
        <f>VLOOKUP(A3523, Currency!$A$2:$B$100, 2, FALSE)</f>
        <v>GBP</v>
      </c>
      <c r="F3523" s="15">
        <f ca="1">IFERROR(__xludf.DUMMYFUNCTION("IF(E3523=""USD"",B3523,B3523 * GOOGLEFINANCE(""CURRENCY:"" &amp; E3523 &amp; ""USD""))
"),35991200)</f>
        <v>35991200</v>
      </c>
      <c r="G3523" s="16">
        <f ca="1">IFERROR(__xludf.DUMMYFUNCTION("IF(E3523=""USD"",C3523,C3523 * GOOGLEFINANCE(""CURRENCY:"" &amp; E3523 &amp; ""USD""))
"),80080419.9999999)</f>
        <v>80080419.999999896</v>
      </c>
    </row>
    <row r="3524" spans="1:7" ht="15.75" customHeight="1" x14ac:dyDescent="0.25">
      <c r="A3524" s="11" t="s">
        <v>24</v>
      </c>
      <c r="B3524" s="12">
        <v>66000000</v>
      </c>
      <c r="C3524" s="12">
        <v>83892374</v>
      </c>
      <c r="D3524" s="12">
        <v>1998</v>
      </c>
      <c r="E3524" s="12" t="str">
        <f>VLOOKUP(A3524, Currency!$A$2:$B$100, 2, FALSE)</f>
        <v>USD</v>
      </c>
      <c r="F3524" s="12">
        <f ca="1">IFERROR(__xludf.DUMMYFUNCTION("IF(E3524=""USD"",B3524,B3524 * GOOGLEFINANCE(""CURRENCY:"" &amp; E3524 &amp; ""USD""))
"),66000000)</f>
        <v>66000000</v>
      </c>
      <c r="G3524" s="13">
        <f ca="1">IFERROR(__xludf.DUMMYFUNCTION("IF(E3524=""USD"",C3524,C3524 * GOOGLEFINANCE(""CURRENCY:"" &amp; E3524 &amp; ""USD""))
"),83892374)</f>
        <v>83892374</v>
      </c>
    </row>
    <row r="3525" spans="1:7" ht="15.75" customHeight="1" x14ac:dyDescent="0.25">
      <c r="A3525" s="14" t="s">
        <v>4347</v>
      </c>
      <c r="B3525" s="15">
        <v>30000000</v>
      </c>
      <c r="C3525" s="15">
        <v>115646235</v>
      </c>
      <c r="D3525" s="15">
        <v>2009</v>
      </c>
      <c r="E3525" s="15" t="str">
        <f>VLOOKUP(A3525, Currency!$A$2:$B$100, 2, FALSE)</f>
        <v>ZAR</v>
      </c>
      <c r="F3525" s="15">
        <f ca="1">IFERROR(__xludf.DUMMYFUNCTION("IF(E3525=""USD"",B3525,B3525 * GOOGLEFINANCE(""CURRENCY:"" &amp; E3525 &amp; ""USD""))
"),1633035)</f>
        <v>1633035</v>
      </c>
      <c r="G3525" s="16">
        <f ca="1">IFERROR(__xludf.DUMMYFUNCTION("IF(E3525=""USD"",C3525,C3525 * GOOGLEFINANCE(""CURRENCY:"" &amp; E3525 &amp; ""USD""))
"),6295144.9791075)</f>
        <v>6295144.9791075001</v>
      </c>
    </row>
    <row r="3526" spans="1:7" ht="15.75" customHeight="1" x14ac:dyDescent="0.25">
      <c r="A3526" s="11" t="s">
        <v>24</v>
      </c>
      <c r="B3526" s="12">
        <v>10000000</v>
      </c>
      <c r="C3526" s="12">
        <v>2185266</v>
      </c>
      <c r="D3526" s="12">
        <v>2000</v>
      </c>
      <c r="E3526" s="12" t="str">
        <f>VLOOKUP(A3526, Currency!$A$2:$B$100, 2, FALSE)</f>
        <v>USD</v>
      </c>
      <c r="F3526" s="12">
        <f ca="1">IFERROR(__xludf.DUMMYFUNCTION("IF(E3526=""USD"",B3526,B3526 * GOOGLEFINANCE(""CURRENCY:"" &amp; E3526 &amp; ""USD""))
"),10000000)</f>
        <v>10000000</v>
      </c>
      <c r="G3526" s="13">
        <f ca="1">IFERROR(__xludf.DUMMYFUNCTION("IF(E3526=""USD"",C3526,C3526 * GOOGLEFINANCE(""CURRENCY:"" &amp; E3526 &amp; ""USD""))
"),2185266)</f>
        <v>2185266</v>
      </c>
    </row>
    <row r="3527" spans="1:7" ht="15.75" customHeight="1" x14ac:dyDescent="0.25">
      <c r="A3527" s="14" t="s">
        <v>133</v>
      </c>
      <c r="B3527" s="15">
        <v>42000000</v>
      </c>
      <c r="C3527" s="15">
        <v>116006080</v>
      </c>
      <c r="D3527" s="15">
        <v>1999</v>
      </c>
      <c r="E3527" s="15" t="str">
        <f>VLOOKUP(A3527, Currency!$A$2:$B$100, 2, FALSE)</f>
        <v>GBP</v>
      </c>
      <c r="F3527" s="15">
        <f ca="1">IFERROR(__xludf.DUMMYFUNCTION("IF(E3527=""USD"",B3527,B3527 * GOOGLEFINANCE(""CURRENCY:"" &amp; E3527 &amp; ""USD""))
"),53986799.9999999)</f>
        <v>53986799.999999903</v>
      </c>
      <c r="G3527" s="16">
        <f ca="1">IFERROR(__xludf.DUMMYFUNCTION("IF(E3527=""USD"",C3527,C3527 * GOOGLEFINANCE(""CURRENCY:"" &amp; E3527 &amp; ""USD""))
"),149114215.232)</f>
        <v>149114215.23199999</v>
      </c>
    </row>
    <row r="3528" spans="1:7" ht="15.75" customHeight="1" x14ac:dyDescent="0.25">
      <c r="A3528" s="11" t="s">
        <v>24</v>
      </c>
      <c r="B3528" s="12">
        <v>17000000</v>
      </c>
      <c r="C3528" s="12">
        <v>96471845</v>
      </c>
      <c r="D3528" s="12">
        <v>2001</v>
      </c>
      <c r="E3528" s="12" t="str">
        <f>VLOOKUP(A3528, Currency!$A$2:$B$100, 2, FALSE)</f>
        <v>USD</v>
      </c>
      <c r="F3528" s="12">
        <f ca="1">IFERROR(__xludf.DUMMYFUNCTION("IF(E3528=""USD"",B3528,B3528 * GOOGLEFINANCE(""CURRENCY:"" &amp; E3528 &amp; ""USD""))
"),17000000)</f>
        <v>17000000</v>
      </c>
      <c r="G3528" s="13">
        <f ca="1">IFERROR(__xludf.DUMMYFUNCTION("IF(E3528=""USD"",C3528,C3528 * GOOGLEFINANCE(""CURRENCY:"" &amp; E3528 &amp; ""USD""))
"),96471845)</f>
        <v>96471845</v>
      </c>
    </row>
    <row r="3529" spans="1:7" ht="15.75" customHeight="1" x14ac:dyDescent="0.25">
      <c r="A3529" s="14" t="s">
        <v>24</v>
      </c>
      <c r="B3529" s="15">
        <v>45000000</v>
      </c>
      <c r="C3529" s="15">
        <v>19377727</v>
      </c>
      <c r="D3529" s="15">
        <v>2005</v>
      </c>
      <c r="E3529" s="15" t="str">
        <f>VLOOKUP(A3529, Currency!$A$2:$B$100, 2, FALSE)</f>
        <v>USD</v>
      </c>
      <c r="F3529" s="15">
        <f ca="1">IFERROR(__xludf.DUMMYFUNCTION("IF(E3529=""USD"",B3529,B3529 * GOOGLEFINANCE(""CURRENCY:"" &amp; E3529 &amp; ""USD""))
"),45000000)</f>
        <v>45000000</v>
      </c>
      <c r="G3529" s="16">
        <f ca="1">IFERROR(__xludf.DUMMYFUNCTION("IF(E3529=""USD"",C3529,C3529 * GOOGLEFINANCE(""CURRENCY:"" &amp; E3529 &amp; ""USD""))
"),19377727)</f>
        <v>19377727</v>
      </c>
    </row>
    <row r="3530" spans="1:7" ht="15.75" customHeight="1" x14ac:dyDescent="0.25">
      <c r="A3530" s="11" t="s">
        <v>149</v>
      </c>
      <c r="B3530" s="12">
        <v>27000000</v>
      </c>
      <c r="C3530" s="12">
        <v>14337579</v>
      </c>
      <c r="D3530" s="12">
        <v>1998</v>
      </c>
      <c r="E3530" s="12" t="str">
        <f>VLOOKUP(A3530, Currency!$A$2:$B$100, 2, FALSE)</f>
        <v>AUD</v>
      </c>
      <c r="F3530" s="12">
        <f ca="1">IFERROR(__xludf.DUMMYFUNCTION("IF(E3530=""USD"",B3530,B3530 * GOOGLEFINANCE(""CURRENCY:"" &amp; E3530 &amp; ""USD""))
"),17654760)</f>
        <v>17654760</v>
      </c>
      <c r="G3530" s="13">
        <f ca="1">IFERROR(__xludf.DUMMYFUNCTION("IF(E3530=""USD"",C3530,C3530 * GOOGLEFINANCE(""CURRENCY:"" &amp; E3530 &amp; ""USD""))
"),9375056.15652)</f>
        <v>9375056.1565199997</v>
      </c>
    </row>
    <row r="3531" spans="1:7" ht="15.75" customHeight="1" x14ac:dyDescent="0.25">
      <c r="A3531" s="14" t="s">
        <v>24</v>
      </c>
      <c r="B3531" s="15">
        <v>40000000</v>
      </c>
      <c r="C3531" s="15">
        <v>29802761</v>
      </c>
      <c r="D3531" s="15">
        <v>2013</v>
      </c>
      <c r="E3531" s="15" t="str">
        <f>VLOOKUP(A3531, Currency!$A$2:$B$100, 2, FALSE)</f>
        <v>USD</v>
      </c>
      <c r="F3531" s="15">
        <f ca="1">IFERROR(__xludf.DUMMYFUNCTION("IF(E3531=""USD"",B3531,B3531 * GOOGLEFINANCE(""CURRENCY:"" &amp; E3531 &amp; ""USD""))
"),40000000)</f>
        <v>40000000</v>
      </c>
      <c r="G3531" s="16">
        <f ca="1">IFERROR(__xludf.DUMMYFUNCTION("IF(E3531=""USD"",C3531,C3531 * GOOGLEFINANCE(""CURRENCY:"" &amp; E3531 &amp; ""USD""))
"),29802761)</f>
        <v>29802761</v>
      </c>
    </row>
    <row r="3532" spans="1:7" ht="15.75" customHeight="1" x14ac:dyDescent="0.25">
      <c r="A3532" s="11" t="s">
        <v>24</v>
      </c>
      <c r="B3532" s="12">
        <v>60000000</v>
      </c>
      <c r="C3532" s="12">
        <v>32122249</v>
      </c>
      <c r="D3532" s="12">
        <v>2002</v>
      </c>
      <c r="E3532" s="12" t="str">
        <f>VLOOKUP(A3532, Currency!$A$2:$B$100, 2, FALSE)</f>
        <v>USD</v>
      </c>
      <c r="F3532" s="12">
        <f ca="1">IFERROR(__xludf.DUMMYFUNCTION("IF(E3532=""USD"",B3532,B3532 * GOOGLEFINANCE(""CURRENCY:"" &amp; E3532 &amp; ""USD""))
"),60000000)</f>
        <v>60000000</v>
      </c>
      <c r="G3532" s="13">
        <f ca="1">IFERROR(__xludf.DUMMYFUNCTION("IF(E3532=""USD"",C3532,C3532 * GOOGLEFINANCE(""CURRENCY:"" &amp; E3532 &amp; ""USD""))
"),32122249)</f>
        <v>32122249</v>
      </c>
    </row>
    <row r="3533" spans="1:7" ht="15.75" customHeight="1" x14ac:dyDescent="0.25">
      <c r="A3533" s="14" t="s">
        <v>24</v>
      </c>
      <c r="B3533" s="15">
        <v>8000000</v>
      </c>
      <c r="C3533" s="15">
        <v>204565000</v>
      </c>
      <c r="D3533" s="15">
        <v>1973</v>
      </c>
      <c r="E3533" s="15" t="str">
        <f>VLOOKUP(A3533, Currency!$A$2:$B$100, 2, FALSE)</f>
        <v>USD</v>
      </c>
      <c r="F3533" s="15">
        <f ca="1">IFERROR(__xludf.DUMMYFUNCTION("IF(E3533=""USD"",B3533,B3533 * GOOGLEFINANCE(""CURRENCY:"" &amp; E3533 &amp; ""USD""))
"),8000000)</f>
        <v>8000000</v>
      </c>
      <c r="G3533" s="16">
        <f ca="1">IFERROR(__xludf.DUMMYFUNCTION("IF(E3533=""USD"",C3533,C3533 * GOOGLEFINANCE(""CURRENCY:"" &amp; E3533 &amp; ""USD""))
"),204565000)</f>
        <v>204565000</v>
      </c>
    </row>
    <row r="3534" spans="1:7" ht="15.75" customHeight="1" x14ac:dyDescent="0.25">
      <c r="A3534" s="11" t="s">
        <v>24</v>
      </c>
      <c r="B3534" s="12">
        <v>170000000</v>
      </c>
      <c r="C3534" s="12">
        <v>113745408</v>
      </c>
      <c r="D3534" s="12">
        <v>1999</v>
      </c>
      <c r="E3534" s="12" t="str">
        <f>VLOOKUP(A3534, Currency!$A$2:$B$100, 2, FALSE)</f>
        <v>USD</v>
      </c>
      <c r="F3534" s="12">
        <f ca="1">IFERROR(__xludf.DUMMYFUNCTION("IF(E3534=""USD"",B3534,B3534 * GOOGLEFINANCE(""CURRENCY:"" &amp; E3534 &amp; ""USD""))
"),170000000)</f>
        <v>170000000</v>
      </c>
      <c r="G3534" s="13">
        <f ca="1">IFERROR(__xludf.DUMMYFUNCTION("IF(E3534=""USD"",C3534,C3534 * GOOGLEFINANCE(""CURRENCY:"" &amp; E3534 &amp; ""USD""))
"),113745408)</f>
        <v>113745408</v>
      </c>
    </row>
    <row r="3535" spans="1:7" ht="15.75" customHeight="1" x14ac:dyDescent="0.25">
      <c r="A3535" s="14" t="s">
        <v>24</v>
      </c>
      <c r="B3535" s="15">
        <v>1000000</v>
      </c>
      <c r="C3535" s="15">
        <v>10042266</v>
      </c>
      <c r="D3535" s="15">
        <v>2005</v>
      </c>
      <c r="E3535" s="15" t="str">
        <f>VLOOKUP(A3535, Currency!$A$2:$B$100, 2, FALSE)</f>
        <v>USD</v>
      </c>
      <c r="F3535" s="15">
        <f ca="1">IFERROR(__xludf.DUMMYFUNCTION("IF(E3535=""USD"",B3535,B3535 * GOOGLEFINANCE(""CURRENCY:"" &amp; E3535 &amp; ""USD""))
"),1000000)</f>
        <v>1000000</v>
      </c>
      <c r="G3535" s="16">
        <f ca="1">IFERROR(__xludf.DUMMYFUNCTION("IF(E3535=""USD"",C3535,C3535 * GOOGLEFINANCE(""CURRENCY:"" &amp; E3535 &amp; ""USD""))
"),10042266)</f>
        <v>10042266</v>
      </c>
    </row>
    <row r="3536" spans="1:7" ht="15.75" customHeight="1" x14ac:dyDescent="0.25">
      <c r="A3536" s="11" t="s">
        <v>24</v>
      </c>
      <c r="B3536" s="12">
        <v>25100000</v>
      </c>
      <c r="C3536" s="12">
        <v>25517500</v>
      </c>
      <c r="D3536" s="12">
        <v>2008</v>
      </c>
      <c r="E3536" s="12" t="str">
        <f>VLOOKUP(A3536, Currency!$A$2:$B$100, 2, FALSE)</f>
        <v>USD</v>
      </c>
      <c r="F3536" s="12">
        <f ca="1">IFERROR(__xludf.DUMMYFUNCTION("IF(E3536=""USD"",B3536,B3536 * GOOGLEFINANCE(""CURRENCY:"" &amp; E3536 &amp; ""USD""))
"),25100000)</f>
        <v>25100000</v>
      </c>
      <c r="G3536" s="13">
        <f ca="1">IFERROR(__xludf.DUMMYFUNCTION("IF(E3536=""USD"",C3536,C3536 * GOOGLEFINANCE(""CURRENCY:"" &amp; E3536 &amp; ""USD""))
"),25517500)</f>
        <v>25517500</v>
      </c>
    </row>
    <row r="3537" spans="1:7" ht="15.75" customHeight="1" x14ac:dyDescent="0.25">
      <c r="A3537" s="14" t="s">
        <v>133</v>
      </c>
      <c r="B3537" s="15">
        <v>150000000</v>
      </c>
      <c r="C3537" s="15">
        <v>289994397</v>
      </c>
      <c r="D3537" s="15">
        <v>2005</v>
      </c>
      <c r="E3537" s="15" t="str">
        <f>VLOOKUP(A3537, Currency!$A$2:$B$100, 2, FALSE)</f>
        <v>GBP</v>
      </c>
      <c r="F3537" s="15">
        <f ca="1">IFERROR(__xludf.DUMMYFUNCTION("IF(E3537=""USD"",B3537,B3537 * GOOGLEFINANCE(""CURRENCY:"" &amp; E3537 &amp; ""USD""))
"),192809999.999999)</f>
        <v>192809999.99999899</v>
      </c>
      <c r="G3537" s="16">
        <f ca="1">IFERROR(__xludf.DUMMYFUNCTION("IF(E3537=""USD"",C3537,C3537 * GOOGLEFINANCE(""CURRENCY:"" &amp; E3537 &amp; ""USD""))
"),372758797.903799)</f>
        <v>372758797.903799</v>
      </c>
    </row>
    <row r="3538" spans="1:7" ht="15.75" customHeight="1" x14ac:dyDescent="0.25">
      <c r="A3538" s="11" t="s">
        <v>133</v>
      </c>
      <c r="B3538" s="12">
        <v>25000000</v>
      </c>
      <c r="C3538" s="12">
        <v>15091542</v>
      </c>
      <c r="D3538" s="12">
        <v>1996</v>
      </c>
      <c r="E3538" s="12" t="str">
        <f>VLOOKUP(A3538, Currency!$A$2:$B$100, 2, FALSE)</f>
        <v>GBP</v>
      </c>
      <c r="F3538" s="12">
        <f ca="1">IFERROR(__xludf.DUMMYFUNCTION("IF(E3538=""USD"",B3538,B3538 * GOOGLEFINANCE(""CURRENCY:"" &amp; E3538 &amp; ""USD""))
"),32134999.9999999)</f>
        <v>32134999.999999899</v>
      </c>
      <c r="G3538" s="13">
        <f ca="1">IFERROR(__xludf.DUMMYFUNCTION("IF(E3538=""USD"",C3538,C3538 * GOOGLEFINANCE(""CURRENCY:"" &amp; E3538 &amp; ""USD""))
"),19398668.0867999)</f>
        <v>19398668.086799901</v>
      </c>
    </row>
    <row r="3539" spans="1:7" ht="15.75" customHeight="1" x14ac:dyDescent="0.25">
      <c r="A3539" s="14" t="s">
        <v>24</v>
      </c>
      <c r="B3539" s="15">
        <v>75000000</v>
      </c>
      <c r="C3539" s="15">
        <v>193136719</v>
      </c>
      <c r="D3539" s="15">
        <v>2005</v>
      </c>
      <c r="E3539" s="15" t="str">
        <f>VLOOKUP(A3539, Currency!$A$2:$B$100, 2, FALSE)</f>
        <v>USD</v>
      </c>
      <c r="F3539" s="15">
        <f ca="1">IFERROR(__xludf.DUMMYFUNCTION("IF(E3539=""USD"",B3539,B3539 * GOOGLEFINANCE(""CURRENCY:"" &amp; E3539 &amp; ""USD""))
"),75000000)</f>
        <v>75000000</v>
      </c>
      <c r="G3539" s="16">
        <f ca="1">IFERROR(__xludf.DUMMYFUNCTION("IF(E3539=""USD"",C3539,C3539 * GOOGLEFINANCE(""CURRENCY:"" &amp; E3539 &amp; ""USD""))
"),193136719)</f>
        <v>193136719</v>
      </c>
    </row>
    <row r="3540" spans="1:7" ht="15.75" customHeight="1" x14ac:dyDescent="0.25">
      <c r="A3540" s="11" t="s">
        <v>24</v>
      </c>
      <c r="B3540" s="12">
        <v>135000000</v>
      </c>
      <c r="C3540" s="12">
        <v>177343675</v>
      </c>
      <c r="D3540" s="12">
        <v>2015</v>
      </c>
      <c r="E3540" s="12" t="str">
        <f>VLOOKUP(A3540, Currency!$A$2:$B$100, 2, FALSE)</f>
        <v>USD</v>
      </c>
      <c r="F3540" s="12">
        <f ca="1">IFERROR(__xludf.DUMMYFUNCTION("IF(E3540=""USD"",B3540,B3540 * GOOGLEFINANCE(""CURRENCY:"" &amp; E3540 &amp; ""USD""))
"),135000000)</f>
        <v>135000000</v>
      </c>
      <c r="G3540" s="13">
        <f ca="1">IFERROR(__xludf.DUMMYFUNCTION("IF(E3540=""USD"",C3540,C3540 * GOOGLEFINANCE(""CURRENCY:"" &amp; E3540 &amp; ""USD""))
"),177343675)</f>
        <v>177343675</v>
      </c>
    </row>
    <row r="3541" spans="1:7" ht="15.75" customHeight="1" x14ac:dyDescent="0.25">
      <c r="A3541" s="14" t="s">
        <v>133</v>
      </c>
      <c r="B3541" s="15">
        <v>1000000</v>
      </c>
      <c r="C3541" s="15">
        <v>484221</v>
      </c>
      <c r="D3541" s="15">
        <v>2012</v>
      </c>
      <c r="E3541" s="15" t="str">
        <f>VLOOKUP(A3541, Currency!$A$2:$B$100, 2, FALSE)</f>
        <v>GBP</v>
      </c>
      <c r="F3541" s="15">
        <f ca="1">IFERROR(__xludf.DUMMYFUNCTION("IF(E3541=""USD"",B3541,B3541 * GOOGLEFINANCE(""CURRENCY:"" &amp; E3541 &amp; ""USD""))
"),1285399.99999999)</f>
        <v>1285399.99999999</v>
      </c>
      <c r="G3541" s="16">
        <f ca="1">IFERROR(__xludf.DUMMYFUNCTION("IF(E3541=""USD"",C3541,C3541 * GOOGLEFINANCE(""CURRENCY:"" &amp; E3541 &amp; ""USD""))
"),622417.6734)</f>
        <v>622417.67339999997</v>
      </c>
    </row>
    <row r="3542" spans="1:7" ht="15.75" customHeight="1" x14ac:dyDescent="0.25">
      <c r="A3542" s="11" t="s">
        <v>133</v>
      </c>
      <c r="B3542" s="12">
        <v>13500000</v>
      </c>
      <c r="C3542" s="12">
        <v>13823741</v>
      </c>
      <c r="D3542" s="12">
        <v>2008</v>
      </c>
      <c r="E3542" s="12" t="str">
        <f>VLOOKUP(A3542, Currency!$A$2:$B$100, 2, FALSE)</f>
        <v>GBP</v>
      </c>
      <c r="F3542" s="12">
        <f ca="1">IFERROR(__xludf.DUMMYFUNCTION("IF(E3542=""USD"",B3542,B3542 * GOOGLEFINANCE(""CURRENCY:"" &amp; E3542 &amp; ""USD""))
"),17352900)</f>
        <v>17352900</v>
      </c>
      <c r="G3542" s="13">
        <f ca="1">IFERROR(__xludf.DUMMYFUNCTION("IF(E3542=""USD"",C3542,C3542 * GOOGLEFINANCE(""CURRENCY:"" &amp; E3542 &amp; ""USD""))
"),17769036.6813999)</f>
        <v>17769036.6813999</v>
      </c>
    </row>
    <row r="3543" spans="1:7" ht="15.75" customHeight="1" x14ac:dyDescent="0.25">
      <c r="A3543" s="14" t="s">
        <v>24</v>
      </c>
      <c r="B3543" s="15">
        <v>17000000</v>
      </c>
      <c r="C3543" s="15">
        <v>11634458</v>
      </c>
      <c r="D3543" s="15">
        <v>1999</v>
      </c>
      <c r="E3543" s="15" t="str">
        <f>VLOOKUP(A3543, Currency!$A$2:$B$100, 2, FALSE)</f>
        <v>USD</v>
      </c>
      <c r="F3543" s="15">
        <f ca="1">IFERROR(__xludf.DUMMYFUNCTION("IF(E3543=""USD"",B3543,B3543 * GOOGLEFINANCE(""CURRENCY:"" &amp; E3543 &amp; ""USD""))
"),17000000)</f>
        <v>17000000</v>
      </c>
      <c r="G3543" s="16">
        <f ca="1">IFERROR(__xludf.DUMMYFUNCTION("IF(E3543=""USD"",C3543,C3543 * GOOGLEFINANCE(""CURRENCY:"" &amp; E3543 &amp; ""USD""))
"),11634458)</f>
        <v>11634458</v>
      </c>
    </row>
    <row r="3544" spans="1:7" ht="15.75" customHeight="1" x14ac:dyDescent="0.25">
      <c r="A3544" s="11" t="s">
        <v>24</v>
      </c>
      <c r="B3544" s="12">
        <v>90000000</v>
      </c>
      <c r="C3544" s="12">
        <v>100853835</v>
      </c>
      <c r="D3544" s="12">
        <v>1997</v>
      </c>
      <c r="E3544" s="12" t="str">
        <f>VLOOKUP(A3544, Currency!$A$2:$B$100, 2, FALSE)</f>
        <v>USD</v>
      </c>
      <c r="F3544" s="12">
        <f ca="1">IFERROR(__xludf.DUMMYFUNCTION("IF(E3544=""USD"",B3544,B3544 * GOOGLEFINANCE(""CURRENCY:"" &amp; E3544 &amp; ""USD""))
"),90000000)</f>
        <v>90000000</v>
      </c>
      <c r="G3544" s="13">
        <f ca="1">IFERROR(__xludf.DUMMYFUNCTION("IF(E3544=""USD"",C3544,C3544 * GOOGLEFINANCE(""CURRENCY:"" &amp; E3544 &amp; ""USD""))
"),100853835)</f>
        <v>100853835</v>
      </c>
    </row>
    <row r="3545" spans="1:7" ht="15.75" customHeight="1" x14ac:dyDescent="0.25">
      <c r="A3545" s="14" t="s">
        <v>24</v>
      </c>
      <c r="B3545" s="15">
        <v>20000000</v>
      </c>
      <c r="C3545" s="15">
        <v>32983713</v>
      </c>
      <c r="D3545" s="15">
        <v>2002</v>
      </c>
      <c r="E3545" s="15" t="str">
        <f>VLOOKUP(A3545, Currency!$A$2:$B$100, 2, FALSE)</f>
        <v>USD</v>
      </c>
      <c r="F3545" s="15">
        <f ca="1">IFERROR(__xludf.DUMMYFUNCTION("IF(E3545=""USD"",B3545,B3545 * GOOGLEFINANCE(""CURRENCY:"" &amp; E3545 &amp; ""USD""))
"),20000000)</f>
        <v>20000000</v>
      </c>
      <c r="G3545" s="16">
        <f ca="1">IFERROR(__xludf.DUMMYFUNCTION("IF(E3545=""USD"",C3545,C3545 * GOOGLEFINANCE(""CURRENCY:"" &amp; E3545 &amp; ""USD""))
"),32983713)</f>
        <v>32983713</v>
      </c>
    </row>
    <row r="3546" spans="1:7" ht="15.75" customHeight="1" x14ac:dyDescent="0.25">
      <c r="A3546" s="11" t="s">
        <v>133</v>
      </c>
      <c r="B3546" s="12">
        <v>8000000</v>
      </c>
      <c r="C3546" s="12">
        <v>3014541</v>
      </c>
      <c r="D3546" s="12">
        <v>2011</v>
      </c>
      <c r="E3546" s="12" t="str">
        <f>VLOOKUP(A3546, Currency!$A$2:$B$100, 2, FALSE)</f>
        <v>GBP</v>
      </c>
      <c r="F3546" s="12">
        <f ca="1">IFERROR(__xludf.DUMMYFUNCTION("IF(E3546=""USD"",B3546,B3546 * GOOGLEFINANCE(""CURRENCY:"" &amp; E3546 &amp; ""USD""))
"),10283199.9999999)</f>
        <v>10283199.999999899</v>
      </c>
      <c r="G3546" s="13">
        <f ca="1">IFERROR(__xludf.DUMMYFUNCTION("IF(E3546=""USD"",C3546,C3546 * GOOGLEFINANCE(""CURRENCY:"" &amp; E3546 &amp; ""USD""))
"),3874891.00139999)</f>
        <v>3874891.0013999902</v>
      </c>
    </row>
    <row r="3547" spans="1:7" ht="15.75" customHeight="1" x14ac:dyDescent="0.25">
      <c r="A3547" s="14" t="s">
        <v>24</v>
      </c>
      <c r="B3547" s="15">
        <v>45000000</v>
      </c>
      <c r="C3547" s="15">
        <v>83287363</v>
      </c>
      <c r="D3547" s="15">
        <v>1992</v>
      </c>
      <c r="E3547" s="15" t="str">
        <f>VLOOKUP(A3547, Currency!$A$2:$B$100, 2, FALSE)</f>
        <v>USD</v>
      </c>
      <c r="F3547" s="15">
        <f ca="1">IFERROR(__xludf.DUMMYFUNCTION("IF(E3547=""USD"",B3547,B3547 * GOOGLEFINANCE(""CURRENCY:"" &amp; E3547 &amp; ""USD""))
"),45000000)</f>
        <v>45000000</v>
      </c>
      <c r="G3547" s="16">
        <f ca="1">IFERROR(__xludf.DUMMYFUNCTION("IF(E3547=""USD"",C3547,C3547 * GOOGLEFINANCE(""CURRENCY:"" &amp; E3547 &amp; ""USD""))
"),83287363)</f>
        <v>83287363</v>
      </c>
    </row>
    <row r="3548" spans="1:7" ht="15.75" customHeight="1" x14ac:dyDescent="0.25">
      <c r="A3548" s="11" t="s">
        <v>24</v>
      </c>
      <c r="B3548" s="12">
        <v>68000000</v>
      </c>
      <c r="C3548" s="12">
        <v>118471320</v>
      </c>
      <c r="D3548" s="12">
        <v>2002</v>
      </c>
      <c r="E3548" s="12" t="str">
        <f>VLOOKUP(A3548, Currency!$A$2:$B$100, 2, FALSE)</f>
        <v>USD</v>
      </c>
      <c r="F3548" s="12">
        <f ca="1">IFERROR(__xludf.DUMMYFUNCTION("IF(E3548=""USD"",B3548,B3548 * GOOGLEFINANCE(""CURRENCY:"" &amp; E3548 &amp; ""USD""))
"),68000000)</f>
        <v>68000000</v>
      </c>
      <c r="G3548" s="13">
        <f ca="1">IFERROR(__xludf.DUMMYFUNCTION("IF(E3548=""USD"",C3548,C3548 * GOOGLEFINANCE(""CURRENCY:"" &amp; E3548 &amp; ""USD""))
"),118471320)</f>
        <v>118471320</v>
      </c>
    </row>
    <row r="3549" spans="1:7" ht="15.75" customHeight="1" x14ac:dyDescent="0.25">
      <c r="A3549" s="14" t="s">
        <v>24</v>
      </c>
      <c r="B3549" s="15">
        <v>15000000</v>
      </c>
      <c r="C3549" s="15">
        <v>30127963</v>
      </c>
      <c r="D3549" s="15">
        <v>2014</v>
      </c>
      <c r="E3549" s="15" t="str">
        <f>VLOOKUP(A3549, Currency!$A$2:$B$100, 2, FALSE)</f>
        <v>USD</v>
      </c>
      <c r="F3549" s="15">
        <f ca="1">IFERROR(__xludf.DUMMYFUNCTION("IF(E3549=""USD"",B3549,B3549 * GOOGLEFINANCE(""CURRENCY:"" &amp; E3549 &amp; ""USD""))
"),15000000)</f>
        <v>15000000</v>
      </c>
      <c r="G3549" s="16">
        <f ca="1">IFERROR(__xludf.DUMMYFUNCTION("IF(E3549=""USD"",C3549,C3549 * GOOGLEFINANCE(""CURRENCY:"" &amp; E3549 &amp; ""USD""))
"),30127963)</f>
        <v>30127963</v>
      </c>
    </row>
    <row r="3550" spans="1:7" ht="15.75" customHeight="1" x14ac:dyDescent="0.25">
      <c r="A3550" s="11" t="s">
        <v>24</v>
      </c>
      <c r="B3550" s="12">
        <v>20000000</v>
      </c>
      <c r="C3550" s="12">
        <v>8104069</v>
      </c>
      <c r="D3550" s="12">
        <v>2007</v>
      </c>
      <c r="E3550" s="12" t="str">
        <f>VLOOKUP(A3550, Currency!$A$2:$B$100, 2, FALSE)</f>
        <v>USD</v>
      </c>
      <c r="F3550" s="12">
        <f ca="1">IFERROR(__xludf.DUMMYFUNCTION("IF(E3550=""USD"",B3550,B3550 * GOOGLEFINANCE(""CURRENCY:"" &amp; E3550 &amp; ""USD""))
"),20000000)</f>
        <v>20000000</v>
      </c>
      <c r="G3550" s="13">
        <f ca="1">IFERROR(__xludf.DUMMYFUNCTION("IF(E3550=""USD"",C3550,C3550 * GOOGLEFINANCE(""CURRENCY:"" &amp; E3550 &amp; ""USD""))
"),8104069)</f>
        <v>8104069</v>
      </c>
    </row>
    <row r="3551" spans="1:7" ht="15.75" customHeight="1" x14ac:dyDescent="0.25">
      <c r="A3551" s="14" t="s">
        <v>24</v>
      </c>
      <c r="B3551" s="15">
        <v>11000000</v>
      </c>
      <c r="C3551" s="15">
        <v>1066555</v>
      </c>
      <c r="D3551" s="15">
        <v>2007</v>
      </c>
      <c r="E3551" s="15" t="str">
        <f>VLOOKUP(A3551, Currency!$A$2:$B$100, 2, FALSE)</f>
        <v>USD</v>
      </c>
      <c r="F3551" s="15">
        <f ca="1">IFERROR(__xludf.DUMMYFUNCTION("IF(E3551=""USD"",B3551,B3551 * GOOGLEFINANCE(""CURRENCY:"" &amp; E3551 &amp; ""USD""))
"),11000000)</f>
        <v>11000000</v>
      </c>
      <c r="G3551" s="16">
        <f ca="1">IFERROR(__xludf.DUMMYFUNCTION("IF(E3551=""USD"",C3551,C3551 * GOOGLEFINANCE(""CURRENCY:"" &amp; E3551 &amp; ""USD""))
"),1066555)</f>
        <v>1066555</v>
      </c>
    </row>
    <row r="3552" spans="1:7" ht="15.75" customHeight="1" x14ac:dyDescent="0.25">
      <c r="A3552" s="11" t="s">
        <v>176</v>
      </c>
      <c r="B3552" s="12">
        <v>55000000</v>
      </c>
      <c r="C3552" s="12">
        <v>7221458</v>
      </c>
      <c r="D3552" s="12">
        <v>2006</v>
      </c>
      <c r="E3552" s="12" t="str">
        <f>VLOOKUP(A3552, Currency!$A$2:$B$100, 2, FALSE)</f>
        <v>EUR</v>
      </c>
      <c r="F3552" s="12">
        <f ca="1">IFERROR(__xludf.DUMMYFUNCTION("IF(E3552=""USD"",B3552,B3552 * GOOGLEFINANCE(""CURRENCY:"" &amp; E3552 &amp; ""USD""))
"),59660700)</f>
        <v>59660700</v>
      </c>
      <c r="G3552" s="13">
        <f ca="1">IFERROR(__xludf.DUMMYFUNCTION("IF(E3552=""USD"",C3552,C3552 * GOOGLEFINANCE(""CURRENCY:"" &amp; E3552 &amp; ""USD""))
"),7833404.35092)</f>
        <v>7833404.3509200001</v>
      </c>
    </row>
    <row r="3553" spans="1:7" ht="15.75" customHeight="1" x14ac:dyDescent="0.25">
      <c r="A3553" s="14" t="s">
        <v>24</v>
      </c>
      <c r="B3553" s="15">
        <v>40000000</v>
      </c>
      <c r="C3553" s="15">
        <v>94125426</v>
      </c>
      <c r="D3553" s="15">
        <v>2009</v>
      </c>
      <c r="E3553" s="15" t="str">
        <f>VLOOKUP(A3553, Currency!$A$2:$B$100, 2, FALSE)</f>
        <v>USD</v>
      </c>
      <c r="F3553" s="15">
        <f ca="1">IFERROR(__xludf.DUMMYFUNCTION("IF(E3553=""USD"",B3553,B3553 * GOOGLEFINANCE(""CURRENCY:"" &amp; E3553 &amp; ""USD""))
"),40000000)</f>
        <v>40000000</v>
      </c>
      <c r="G3553" s="16">
        <f ca="1">IFERROR(__xludf.DUMMYFUNCTION("IF(E3553=""USD"",C3553,C3553 * GOOGLEFINANCE(""CURRENCY:"" &amp; E3553 &amp; ""USD""))
"),94125426)</f>
        <v>94125426</v>
      </c>
    </row>
    <row r="3554" spans="1:7" ht="15.75" customHeight="1" x14ac:dyDescent="0.25">
      <c r="A3554" s="11" t="s">
        <v>24</v>
      </c>
      <c r="B3554" s="12">
        <v>6000000</v>
      </c>
      <c r="C3554" s="12">
        <v>14821531</v>
      </c>
      <c r="D3554" s="12">
        <v>1997</v>
      </c>
      <c r="E3554" s="12" t="str">
        <f>VLOOKUP(A3554, Currency!$A$2:$B$100, 2, FALSE)</f>
        <v>USD</v>
      </c>
      <c r="F3554" s="12">
        <f ca="1">IFERROR(__xludf.DUMMYFUNCTION("IF(E3554=""USD"",B3554,B3554 * GOOGLEFINANCE(""CURRENCY:"" &amp; E3554 &amp; ""USD""))
"),6000000)</f>
        <v>6000000</v>
      </c>
      <c r="G3554" s="13">
        <f ca="1">IFERROR(__xludf.DUMMYFUNCTION("IF(E3554=""USD"",C3554,C3554 * GOOGLEFINANCE(""CURRENCY:"" &amp; E3554 &amp; ""USD""))
"),14821531)</f>
        <v>14821531</v>
      </c>
    </row>
    <row r="3555" spans="1:7" ht="15.75" customHeight="1" x14ac:dyDescent="0.25">
      <c r="A3555" s="14" t="s">
        <v>10842</v>
      </c>
      <c r="B3555" s="15">
        <v>1500000</v>
      </c>
      <c r="C3555" s="15">
        <v>2283276</v>
      </c>
      <c r="D3555" s="15">
        <v>2008</v>
      </c>
      <c r="E3555" s="15" t="str">
        <f>VLOOKUP(A3555, Currency!$A$2:$B$100, 2, FALSE)</f>
        <v>ILS</v>
      </c>
      <c r="F3555" s="15">
        <f ca="1">IFERROR(__xludf.DUMMYFUNCTION("IF(E3555=""USD"",B3555,B3555 * GOOGLEFINANCE(""CURRENCY:"" &amp; E3555 &amp; ""USD""))
"),408957.81)</f>
        <v>408957.81</v>
      </c>
      <c r="G3555" s="16">
        <f ca="1">IFERROR(__xludf.DUMMYFUNCTION("IF(E3555=""USD"",C3555,C3555 * GOOGLEFINANCE(""CURRENCY:"" &amp; E3555 &amp; ""USD""))
"),622509.035057039)</f>
        <v>622509.035057039</v>
      </c>
    </row>
    <row r="3556" spans="1:7" ht="15.75" customHeight="1" x14ac:dyDescent="0.25">
      <c r="A3556" s="11" t="s">
        <v>24</v>
      </c>
      <c r="B3556" s="12">
        <v>70000000</v>
      </c>
      <c r="C3556" s="12">
        <v>39380442</v>
      </c>
      <c r="D3556" s="12">
        <v>2008</v>
      </c>
      <c r="E3556" s="12" t="str">
        <f>VLOOKUP(A3556, Currency!$A$2:$B$100, 2, FALSE)</f>
        <v>USD</v>
      </c>
      <c r="F3556" s="12">
        <f ca="1">IFERROR(__xludf.DUMMYFUNCTION("IF(E3556=""USD"",B3556,B3556 * GOOGLEFINANCE(""CURRENCY:"" &amp; E3556 &amp; ""USD""))
"),70000000)</f>
        <v>70000000</v>
      </c>
      <c r="G3556" s="13">
        <f ca="1">IFERROR(__xludf.DUMMYFUNCTION("IF(E3556=""USD"",C3556,C3556 * GOOGLEFINANCE(""CURRENCY:"" &amp; E3556 &amp; ""USD""))
"),39380442)</f>
        <v>39380442</v>
      </c>
    </row>
    <row r="3557" spans="1:7" ht="15.75" customHeight="1" x14ac:dyDescent="0.25">
      <c r="A3557" s="14" t="s">
        <v>24</v>
      </c>
      <c r="B3557" s="15">
        <v>25000000</v>
      </c>
      <c r="C3557" s="15">
        <v>876671</v>
      </c>
      <c r="D3557" s="15">
        <v>2007</v>
      </c>
      <c r="E3557" s="15" t="str">
        <f>VLOOKUP(A3557, Currency!$A$2:$B$100, 2, FALSE)</f>
        <v>USD</v>
      </c>
      <c r="F3557" s="15">
        <f ca="1">IFERROR(__xludf.DUMMYFUNCTION("IF(E3557=""USD"",B3557,B3557 * GOOGLEFINANCE(""CURRENCY:"" &amp; E3557 &amp; ""USD""))
"),25000000)</f>
        <v>25000000</v>
      </c>
      <c r="G3557" s="16">
        <f ca="1">IFERROR(__xludf.DUMMYFUNCTION("IF(E3557=""USD"",C3557,C3557 * GOOGLEFINANCE(""CURRENCY:"" &amp; E3557 &amp; ""USD""))
"),876671)</f>
        <v>876671</v>
      </c>
    </row>
    <row r="3558" spans="1:7" ht="15.75" customHeight="1" x14ac:dyDescent="0.25">
      <c r="A3558" s="11" t="s">
        <v>24</v>
      </c>
      <c r="B3558" s="12">
        <v>30000000</v>
      </c>
      <c r="C3558" s="12">
        <v>25472967</v>
      </c>
      <c r="D3558" s="12">
        <v>2005</v>
      </c>
      <c r="E3558" s="12" t="str">
        <f>VLOOKUP(A3558, Currency!$A$2:$B$100, 2, FALSE)</f>
        <v>USD</v>
      </c>
      <c r="F3558" s="12">
        <f ca="1">IFERROR(__xludf.DUMMYFUNCTION("IF(E3558=""USD"",B3558,B3558 * GOOGLEFINANCE(""CURRENCY:"" &amp; E3558 &amp; ""USD""))
"),30000000)</f>
        <v>30000000</v>
      </c>
      <c r="G3558" s="13">
        <f ca="1">IFERROR(__xludf.DUMMYFUNCTION("IF(E3558=""USD"",C3558,C3558 * GOOGLEFINANCE(""CURRENCY:"" &amp; E3558 &amp; ""USD""))
"),25472967)</f>
        <v>25472967</v>
      </c>
    </row>
    <row r="3559" spans="1:7" ht="15.75" customHeight="1" x14ac:dyDescent="0.25">
      <c r="A3559" s="14" t="s">
        <v>133</v>
      </c>
      <c r="B3559" s="15">
        <v>20000000</v>
      </c>
      <c r="C3559" s="15">
        <v>52066000</v>
      </c>
      <c r="D3559" s="15">
        <v>2014</v>
      </c>
      <c r="E3559" s="15" t="str">
        <f>VLOOKUP(A3559, Currency!$A$2:$B$100, 2, FALSE)</f>
        <v>GBP</v>
      </c>
      <c r="F3559" s="15">
        <f ca="1">IFERROR(__xludf.DUMMYFUNCTION("IF(E3559=""USD"",B3559,B3559 * GOOGLEFINANCE(""CURRENCY:"" &amp; E3559 &amp; ""USD""))
"),25707999.9999999)</f>
        <v>25707999.999999899</v>
      </c>
      <c r="G3559" s="16">
        <f ca="1">IFERROR(__xludf.DUMMYFUNCTION("IF(E3559=""USD"",C3559,C3559 * GOOGLEFINANCE(""CURRENCY:"" &amp; E3559 &amp; ""USD""))
"),66925636.3999999)</f>
        <v>66925636.399999902</v>
      </c>
    </row>
    <row r="3560" spans="1:7" ht="15.75" customHeight="1" x14ac:dyDescent="0.25">
      <c r="A3560" s="11" t="s">
        <v>24</v>
      </c>
      <c r="B3560" s="12">
        <v>30000000</v>
      </c>
      <c r="C3560" s="12">
        <v>34703228</v>
      </c>
      <c r="D3560" s="12">
        <v>2006</v>
      </c>
      <c r="E3560" s="12" t="str">
        <f>VLOOKUP(A3560, Currency!$A$2:$B$100, 2, FALSE)</f>
        <v>USD</v>
      </c>
      <c r="F3560" s="12">
        <f ca="1">IFERROR(__xludf.DUMMYFUNCTION("IF(E3560=""USD"",B3560,B3560 * GOOGLEFINANCE(""CURRENCY:"" &amp; E3560 &amp; ""USD""))
"),30000000)</f>
        <v>30000000</v>
      </c>
      <c r="G3560" s="13">
        <f ca="1">IFERROR(__xludf.DUMMYFUNCTION("IF(E3560=""USD"",C3560,C3560 * GOOGLEFINANCE(""CURRENCY:"" &amp; E3560 &amp; ""USD""))
"),34703228)</f>
        <v>34703228</v>
      </c>
    </row>
    <row r="3561" spans="1:7" ht="15.75" customHeight="1" x14ac:dyDescent="0.25">
      <c r="A3561" s="14" t="s">
        <v>24</v>
      </c>
      <c r="B3561" s="15">
        <v>25000000</v>
      </c>
      <c r="C3561" s="15">
        <v>78656813</v>
      </c>
      <c r="D3561" s="15">
        <v>1991</v>
      </c>
      <c r="E3561" s="15" t="str">
        <f>VLOOKUP(A3561, Currency!$A$2:$B$100, 2, FALSE)</f>
        <v>USD</v>
      </c>
      <c r="F3561" s="15">
        <f ca="1">IFERROR(__xludf.DUMMYFUNCTION("IF(E3561=""USD"",B3561,B3561 * GOOGLEFINANCE(""CURRENCY:"" &amp; E3561 &amp; ""USD""))
"),25000000)</f>
        <v>25000000</v>
      </c>
      <c r="G3561" s="16">
        <f ca="1">IFERROR(__xludf.DUMMYFUNCTION("IF(E3561=""USD"",C3561,C3561 * GOOGLEFINANCE(""CURRENCY:"" &amp; E3561 &amp; ""USD""))
"),78656813)</f>
        <v>78656813</v>
      </c>
    </row>
    <row r="3562" spans="1:7" ht="15.75" customHeight="1" x14ac:dyDescent="0.25">
      <c r="A3562" s="11" t="s">
        <v>24</v>
      </c>
      <c r="B3562" s="12">
        <v>20000000</v>
      </c>
      <c r="C3562" s="12">
        <v>114324072</v>
      </c>
      <c r="D3562" s="12">
        <v>2004</v>
      </c>
      <c r="E3562" s="12" t="str">
        <f>VLOOKUP(A3562, Currency!$A$2:$B$100, 2, FALSE)</f>
        <v>USD</v>
      </c>
      <c r="F3562" s="12">
        <f ca="1">IFERROR(__xludf.DUMMYFUNCTION("IF(E3562=""USD"",B3562,B3562 * GOOGLEFINANCE(""CURRENCY:"" &amp; E3562 &amp; ""USD""))
"),20000000)</f>
        <v>20000000</v>
      </c>
      <c r="G3562" s="13">
        <f ca="1">IFERROR(__xludf.DUMMYFUNCTION("IF(E3562=""USD"",C3562,C3562 * GOOGLEFINANCE(""CURRENCY:"" &amp; E3562 &amp; ""USD""))
"),114324072)</f>
        <v>114324072</v>
      </c>
    </row>
    <row r="3563" spans="1:7" ht="15.75" customHeight="1" x14ac:dyDescent="0.25">
      <c r="A3563" s="14" t="s">
        <v>24</v>
      </c>
      <c r="B3563" s="15">
        <v>30000000</v>
      </c>
      <c r="C3563" s="15">
        <v>24048000</v>
      </c>
      <c r="D3563" s="15">
        <v>1995</v>
      </c>
      <c r="E3563" s="15" t="str">
        <f>VLOOKUP(A3563, Currency!$A$2:$B$100, 2, FALSE)</f>
        <v>USD</v>
      </c>
      <c r="F3563" s="15">
        <f ca="1">IFERROR(__xludf.DUMMYFUNCTION("IF(E3563=""USD"",B3563,B3563 * GOOGLEFINANCE(""CURRENCY:"" &amp; E3563 &amp; ""USD""))
"),30000000)</f>
        <v>30000000</v>
      </c>
      <c r="G3563" s="16">
        <f ca="1">IFERROR(__xludf.DUMMYFUNCTION("IF(E3563=""USD"",C3563,C3563 * GOOGLEFINANCE(""CURRENCY:"" &amp; E3563 &amp; ""USD""))
"),24048000)</f>
        <v>24048000</v>
      </c>
    </row>
    <row r="3564" spans="1:7" ht="15.75" customHeight="1" x14ac:dyDescent="0.25">
      <c r="A3564" s="11" t="s">
        <v>24</v>
      </c>
      <c r="B3564" s="12">
        <v>20000000</v>
      </c>
      <c r="C3564" s="12">
        <v>8000000</v>
      </c>
      <c r="D3564" s="12">
        <v>1965</v>
      </c>
      <c r="E3564" s="12" t="str">
        <f>VLOOKUP(A3564, Currency!$A$2:$B$100, 2, FALSE)</f>
        <v>USD</v>
      </c>
      <c r="F3564" s="12">
        <f ca="1">IFERROR(__xludf.DUMMYFUNCTION("IF(E3564=""USD"",B3564,B3564 * GOOGLEFINANCE(""CURRENCY:"" &amp; E3564 &amp; ""USD""))
"),20000000)</f>
        <v>20000000</v>
      </c>
      <c r="G3564" s="13">
        <f ca="1">IFERROR(__xludf.DUMMYFUNCTION("IF(E3564=""USD"",C3564,C3564 * GOOGLEFINANCE(""CURRENCY:"" &amp; E3564 &amp; ""USD""))
"),8000000)</f>
        <v>8000000</v>
      </c>
    </row>
    <row r="3565" spans="1:7" ht="15.75" customHeight="1" x14ac:dyDescent="0.25">
      <c r="A3565" s="14" t="s">
        <v>149</v>
      </c>
      <c r="B3565" s="15">
        <v>20000000</v>
      </c>
      <c r="C3565" s="15">
        <v>21413105</v>
      </c>
      <c r="D3565" s="15">
        <v>1990</v>
      </c>
      <c r="E3565" s="15" t="str">
        <f>VLOOKUP(A3565, Currency!$A$2:$B$100, 2, FALSE)</f>
        <v>AUD</v>
      </c>
      <c r="F3565" s="15">
        <f ca="1">IFERROR(__xludf.DUMMYFUNCTION("IF(E3565=""USD"",B3565,B3565 * GOOGLEFINANCE(""CURRENCY:"" &amp; E3565 &amp; ""USD""))
"),13077600)</f>
        <v>13077600</v>
      </c>
      <c r="G3565" s="16">
        <f ca="1">IFERROR(__xludf.DUMMYFUNCTION("IF(E3565=""USD"",C3565,C3565 * GOOGLEFINANCE(""CURRENCY:"" &amp; E3565 &amp; ""USD""))
"),14001601.0974)</f>
        <v>14001601.0974</v>
      </c>
    </row>
    <row r="3566" spans="1:7" ht="15.75" customHeight="1" x14ac:dyDescent="0.25">
      <c r="A3566" s="11" t="s">
        <v>220</v>
      </c>
      <c r="B3566" s="12">
        <v>12000000</v>
      </c>
      <c r="C3566" s="12">
        <v>119922</v>
      </c>
      <c r="D3566" s="12">
        <v>2009</v>
      </c>
      <c r="E3566" s="12" t="str">
        <f>VLOOKUP(A3566, Currency!$A$2:$B$100, 2, FALSE)</f>
        <v>CNY</v>
      </c>
      <c r="F3566" s="12">
        <f ca="1">IFERROR(__xludf.DUMMYFUNCTION("IF(E3566=""USD"",B3566,B3566 * GOOGLEFINANCE(""CURRENCY:"" &amp; E3566 &amp; ""USD""))
"),1659406.79999999)</f>
        <v>1659406.79999999</v>
      </c>
      <c r="G3566" s="13">
        <f ca="1">IFERROR(__xludf.DUMMYFUNCTION("IF(E3566=""USD"",C3566,C3566 * GOOGLEFINANCE(""CURRENCY:"" &amp; E3566 &amp; ""USD""))
"),16583.2818558)</f>
        <v>16583.2818558</v>
      </c>
    </row>
    <row r="3567" spans="1:7" ht="15.75" customHeight="1" x14ac:dyDescent="0.25">
      <c r="A3567" s="14" t="s">
        <v>24</v>
      </c>
      <c r="B3567" s="15">
        <v>500000</v>
      </c>
      <c r="C3567" s="15">
        <v>603943</v>
      </c>
      <c r="D3567" s="15">
        <v>2004</v>
      </c>
      <c r="E3567" s="15" t="str">
        <f>VLOOKUP(A3567, Currency!$A$2:$B$100, 2, FALSE)</f>
        <v>USD</v>
      </c>
      <c r="F3567" s="15">
        <f ca="1">IFERROR(__xludf.DUMMYFUNCTION("IF(E3567=""USD"",B3567,B3567 * GOOGLEFINANCE(""CURRENCY:"" &amp; E3567 &amp; ""USD""))
"),500000)</f>
        <v>500000</v>
      </c>
      <c r="G3567" s="16">
        <f ca="1">IFERROR(__xludf.DUMMYFUNCTION("IF(E3567=""USD"",C3567,C3567 * GOOGLEFINANCE(""CURRENCY:"" &amp; E3567 &amp; ""USD""))
"),603943)</f>
        <v>603943</v>
      </c>
    </row>
    <row r="3568" spans="1:7" ht="15.75" customHeight="1" x14ac:dyDescent="0.25">
      <c r="A3568" s="11" t="s">
        <v>24</v>
      </c>
      <c r="B3568" s="12">
        <v>33000000</v>
      </c>
      <c r="C3568" s="12">
        <v>57651794</v>
      </c>
      <c r="D3568" s="12">
        <v>2006</v>
      </c>
      <c r="E3568" s="12" t="str">
        <f>VLOOKUP(A3568, Currency!$A$2:$B$100, 2, FALSE)</f>
        <v>USD</v>
      </c>
      <c r="F3568" s="12">
        <f ca="1">IFERROR(__xludf.DUMMYFUNCTION("IF(E3568=""USD"",B3568,B3568 * GOOGLEFINANCE(""CURRENCY:"" &amp; E3568 &amp; ""USD""))
"),33000000)</f>
        <v>33000000</v>
      </c>
      <c r="G3568" s="13">
        <f ca="1">IFERROR(__xludf.DUMMYFUNCTION("IF(E3568=""USD"",C3568,C3568 * GOOGLEFINANCE(""CURRENCY:"" &amp; E3568 &amp; ""USD""))
"),57651794)</f>
        <v>57651794</v>
      </c>
    </row>
    <row r="3569" spans="1:7" ht="15.75" customHeight="1" x14ac:dyDescent="0.25">
      <c r="A3569" s="14" t="s">
        <v>24</v>
      </c>
      <c r="B3569" s="15">
        <v>25000000</v>
      </c>
      <c r="C3569" s="15">
        <v>14637490</v>
      </c>
      <c r="D3569" s="15">
        <v>2010</v>
      </c>
      <c r="E3569" s="15" t="str">
        <f>VLOOKUP(A3569, Currency!$A$2:$B$100, 2, FALSE)</f>
        <v>USD</v>
      </c>
      <c r="F3569" s="15">
        <f ca="1">IFERROR(__xludf.DUMMYFUNCTION("IF(E3569=""USD"",B3569,B3569 * GOOGLEFINANCE(""CURRENCY:"" &amp; E3569 &amp; ""USD""))
"),25000000)</f>
        <v>25000000</v>
      </c>
      <c r="G3569" s="16">
        <f ca="1">IFERROR(__xludf.DUMMYFUNCTION("IF(E3569=""USD"",C3569,C3569 * GOOGLEFINANCE(""CURRENCY:"" &amp; E3569 &amp; ""USD""))
"),14637490)</f>
        <v>14637490</v>
      </c>
    </row>
    <row r="3570" spans="1:7" ht="15.75" customHeight="1" x14ac:dyDescent="0.25">
      <c r="A3570" s="11" t="s">
        <v>24</v>
      </c>
      <c r="B3570" s="12">
        <v>3500000</v>
      </c>
      <c r="C3570" s="12">
        <v>25138292</v>
      </c>
      <c r="D3570" s="12">
        <v>2015</v>
      </c>
      <c r="E3570" s="12" t="str">
        <f>VLOOKUP(A3570, Currency!$A$2:$B$100, 2, FALSE)</f>
        <v>USD</v>
      </c>
      <c r="F3570" s="12">
        <f ca="1">IFERROR(__xludf.DUMMYFUNCTION("IF(E3570=""USD"",B3570,B3570 * GOOGLEFINANCE(""CURRENCY:"" &amp; E3570 &amp; ""USD""))
"),3500000)</f>
        <v>3500000</v>
      </c>
      <c r="G3570" s="13">
        <f ca="1">IFERROR(__xludf.DUMMYFUNCTION("IF(E3570=""USD"",C3570,C3570 * GOOGLEFINANCE(""CURRENCY:"" &amp; E3570 &amp; ""USD""))
"),25138292)</f>
        <v>25138292</v>
      </c>
    </row>
    <row r="3571" spans="1:7" ht="15.75" customHeight="1" x14ac:dyDescent="0.25">
      <c r="A3571" s="14" t="s">
        <v>160</v>
      </c>
      <c r="B3571" s="15">
        <v>20000000</v>
      </c>
      <c r="C3571" s="15">
        <v>17104669</v>
      </c>
      <c r="D3571" s="15">
        <v>2004</v>
      </c>
      <c r="E3571" s="15" t="str">
        <f>VLOOKUP(A3571, Currency!$A$2:$B$100, 2, FALSE)</f>
        <v>HKD</v>
      </c>
      <c r="F3571" s="15">
        <f ca="1">IFERROR(__xludf.DUMMYFUNCTION("IF(E3571=""USD"",B3571,B3571 * GOOGLEFINANCE(""CURRENCY:"" &amp; E3571 &amp; ""USD""))
"),2561886)</f>
        <v>2561886</v>
      </c>
      <c r="G3571" s="16">
        <f ca="1">IFERROR(__xludf.DUMMYFUNCTION("IF(E3571=""USD"",C3571,C3571 * GOOGLEFINANCE(""CURRENCY:"" &amp; E3571 &amp; ""USD""))
"),2191010.60228669)</f>
        <v>2191010.6022866899</v>
      </c>
    </row>
    <row r="3572" spans="1:7" ht="15.75" customHeight="1" x14ac:dyDescent="0.25">
      <c r="A3572" s="11" t="s">
        <v>24</v>
      </c>
      <c r="B3572" s="12">
        <v>55000000</v>
      </c>
      <c r="C3572" s="12">
        <v>33472850</v>
      </c>
      <c r="D3572" s="12">
        <v>2008</v>
      </c>
      <c r="E3572" s="12" t="str">
        <f>VLOOKUP(A3572, Currency!$A$2:$B$100, 2, FALSE)</f>
        <v>USD</v>
      </c>
      <c r="F3572" s="12">
        <f ca="1">IFERROR(__xludf.DUMMYFUNCTION("IF(E3572=""USD"",B3572,B3572 * GOOGLEFINANCE(""CURRENCY:"" &amp; E3572 &amp; ""USD""))
"),55000000)</f>
        <v>55000000</v>
      </c>
      <c r="G3572" s="13">
        <f ca="1">IFERROR(__xludf.DUMMYFUNCTION("IF(E3572=""USD"",C3572,C3572 * GOOGLEFINANCE(""CURRENCY:"" &amp; E3572 &amp; ""USD""))
"),33472850)</f>
        <v>33472850</v>
      </c>
    </row>
    <row r="3573" spans="1:7" ht="15.75" customHeight="1" x14ac:dyDescent="0.25">
      <c r="A3573" s="14" t="s">
        <v>611</v>
      </c>
      <c r="B3573" s="15">
        <v>100000000</v>
      </c>
      <c r="C3573" s="15">
        <v>35024475</v>
      </c>
      <c r="D3573" s="15">
        <v>2010</v>
      </c>
      <c r="E3573" s="15" t="str">
        <f>VLOOKUP(A3573, Currency!$A$2:$B$100, 2, FALSE)</f>
        <v>EUR</v>
      </c>
      <c r="F3573" s="15">
        <f ca="1">IFERROR(__xludf.DUMMYFUNCTION("IF(E3573=""USD"",B3573,B3573 * GOOGLEFINANCE(""CURRENCY:"" &amp; E3573 &amp; ""USD""))
"),108474000)</f>
        <v>108474000</v>
      </c>
      <c r="G3573" s="16">
        <f ca="1">IFERROR(__xludf.DUMMYFUNCTION("IF(E3573=""USD"",C3573,C3573 * GOOGLEFINANCE(""CURRENCY:"" &amp; E3573 &amp; ""USD""))
"),37992449.0115)</f>
        <v>37992449.011500001</v>
      </c>
    </row>
    <row r="3574" spans="1:7" ht="15.75" customHeight="1" x14ac:dyDescent="0.25">
      <c r="A3574" s="11" t="s">
        <v>24</v>
      </c>
      <c r="B3574" s="12">
        <v>160000</v>
      </c>
      <c r="C3574" s="12">
        <v>12438</v>
      </c>
      <c r="D3574" s="12">
        <v>1964</v>
      </c>
      <c r="E3574" s="12" t="str">
        <f>VLOOKUP(A3574, Currency!$A$2:$B$100, 2, FALSE)</f>
        <v>USD</v>
      </c>
      <c r="F3574" s="12">
        <f ca="1">IFERROR(__xludf.DUMMYFUNCTION("IF(E3574=""USD"",B3574,B3574 * GOOGLEFINANCE(""CURRENCY:"" &amp; E3574 &amp; ""USD""))
"),160000)</f>
        <v>160000</v>
      </c>
      <c r="G3574" s="13">
        <f ca="1">IFERROR(__xludf.DUMMYFUNCTION("IF(E3574=""USD"",C3574,C3574 * GOOGLEFINANCE(""CURRENCY:"" &amp; E3574 &amp; ""USD""))
"),12438)</f>
        <v>12438</v>
      </c>
    </row>
    <row r="3575" spans="1:7" ht="15.75" customHeight="1" x14ac:dyDescent="0.25">
      <c r="A3575" s="14" t="s">
        <v>10842</v>
      </c>
      <c r="B3575" s="15">
        <v>450000</v>
      </c>
      <c r="C3575" s="15">
        <v>34151</v>
      </c>
      <c r="D3575" s="15">
        <v>2015</v>
      </c>
      <c r="E3575" s="15" t="str">
        <f>VLOOKUP(A3575, Currency!$A$2:$B$100, 2, FALSE)</f>
        <v>ILS</v>
      </c>
      <c r="F3575" s="15">
        <f ca="1">IFERROR(__xludf.DUMMYFUNCTION("IF(E3575=""USD"",B3575,B3575 * GOOGLEFINANCE(""CURRENCY:"" &amp; E3575 &amp; ""USD""))
"),122687.343)</f>
        <v>122687.34299999999</v>
      </c>
      <c r="G3575" s="16">
        <f ca="1">IFERROR(__xludf.DUMMYFUNCTION("IF(E3575=""USD"",C3575,C3575 * GOOGLEFINANCE(""CURRENCY:"" &amp; E3575 &amp; ""USD""))
"),9310.87877954)</f>
        <v>9310.8787795400003</v>
      </c>
    </row>
    <row r="3576" spans="1:7" ht="15.75" customHeight="1" x14ac:dyDescent="0.25">
      <c r="A3576" s="11" t="s">
        <v>24</v>
      </c>
      <c r="B3576" s="12">
        <v>40000000</v>
      </c>
      <c r="C3576" s="12">
        <v>29374178</v>
      </c>
      <c r="D3576" s="12">
        <v>2000</v>
      </c>
      <c r="E3576" s="12" t="str">
        <f>VLOOKUP(A3576, Currency!$A$2:$B$100, 2, FALSE)</f>
        <v>USD</v>
      </c>
      <c r="F3576" s="12">
        <f ca="1">IFERROR(__xludf.DUMMYFUNCTION("IF(E3576=""USD"",B3576,B3576 * GOOGLEFINANCE(""CURRENCY:"" &amp; E3576 &amp; ""USD""))
"),40000000)</f>
        <v>40000000</v>
      </c>
      <c r="G3576" s="13">
        <f ca="1">IFERROR(__xludf.DUMMYFUNCTION("IF(E3576=""USD"",C3576,C3576 * GOOGLEFINANCE(""CURRENCY:"" &amp; E3576 &amp; ""USD""))
"),29374178)</f>
        <v>29374178</v>
      </c>
    </row>
    <row r="3577" spans="1:7" ht="15.75" customHeight="1" x14ac:dyDescent="0.25">
      <c r="A3577" s="14" t="s">
        <v>24</v>
      </c>
      <c r="B3577" s="15">
        <v>50000000</v>
      </c>
      <c r="C3577" s="15">
        <v>126088877</v>
      </c>
      <c r="D3577" s="15">
        <v>2016</v>
      </c>
      <c r="E3577" s="15" t="str">
        <f>VLOOKUP(A3577, Currency!$A$2:$B$100, 2, FALSE)</f>
        <v>USD</v>
      </c>
      <c r="F3577" s="15">
        <f ca="1">IFERROR(__xludf.DUMMYFUNCTION("IF(E3577=""USD"",B3577,B3577 * GOOGLEFINANCE(""CURRENCY:"" &amp; E3577 &amp; ""USD""))
"),50000000)</f>
        <v>50000000</v>
      </c>
      <c r="G3577" s="16">
        <f ca="1">IFERROR(__xludf.DUMMYFUNCTION("IF(E3577=""USD"",C3577,C3577 * GOOGLEFINANCE(""CURRENCY:"" &amp; E3577 &amp; ""USD""))
"),126088877)</f>
        <v>126088877</v>
      </c>
    </row>
    <row r="3578" spans="1:7" ht="15.75" customHeight="1" x14ac:dyDescent="0.25">
      <c r="A3578" s="11" t="s">
        <v>24</v>
      </c>
      <c r="B3578" s="12">
        <v>13000000</v>
      </c>
      <c r="C3578" s="12">
        <v>25675765</v>
      </c>
      <c r="D3578" s="12">
        <v>2013</v>
      </c>
      <c r="E3578" s="12" t="str">
        <f>VLOOKUP(A3578, Currency!$A$2:$B$100, 2, FALSE)</f>
        <v>USD</v>
      </c>
      <c r="F3578" s="12">
        <f ca="1">IFERROR(__xludf.DUMMYFUNCTION("IF(E3578=""USD"",B3578,B3578 * GOOGLEFINANCE(""CURRENCY:"" &amp; E3578 &amp; ""USD""))
"),13000000)</f>
        <v>13000000</v>
      </c>
      <c r="G3578" s="13">
        <f ca="1">IFERROR(__xludf.DUMMYFUNCTION("IF(E3578=""USD"",C3578,C3578 * GOOGLEFINANCE(""CURRENCY:"" &amp; E3578 &amp; ""USD""))
"),25675765)</f>
        <v>25675765</v>
      </c>
    </row>
    <row r="3579" spans="1:7" ht="15.75" customHeight="1" x14ac:dyDescent="0.25">
      <c r="A3579" s="14" t="s">
        <v>24</v>
      </c>
      <c r="B3579" s="15">
        <v>8000000</v>
      </c>
      <c r="C3579" s="15">
        <v>27362712</v>
      </c>
      <c r="D3579" s="15">
        <v>2002</v>
      </c>
      <c r="E3579" s="15" t="str">
        <f>VLOOKUP(A3579, Currency!$A$2:$B$100, 2, FALSE)</f>
        <v>USD</v>
      </c>
      <c r="F3579" s="15">
        <f ca="1">IFERROR(__xludf.DUMMYFUNCTION("IF(E3579=""USD"",B3579,B3579 * GOOGLEFINANCE(""CURRENCY:"" &amp; E3579 &amp; ""USD""))
"),8000000)</f>
        <v>8000000</v>
      </c>
      <c r="G3579" s="16">
        <f ca="1">IFERROR(__xludf.DUMMYFUNCTION("IF(E3579=""USD"",C3579,C3579 * GOOGLEFINANCE(""CURRENCY:"" &amp; E3579 &amp; ""USD""))
"),27362712)</f>
        <v>27362712</v>
      </c>
    </row>
    <row r="3580" spans="1:7" ht="15.75" customHeight="1" x14ac:dyDescent="0.25">
      <c r="A3580" s="11" t="s">
        <v>133</v>
      </c>
      <c r="B3580" s="12">
        <v>15000000</v>
      </c>
      <c r="C3580" s="12">
        <v>25440971</v>
      </c>
      <c r="D3580" s="12">
        <v>2015</v>
      </c>
      <c r="E3580" s="12" t="str">
        <f>VLOOKUP(A3580, Currency!$A$2:$B$100, 2, FALSE)</f>
        <v>GBP</v>
      </c>
      <c r="F3580" s="12">
        <f ca="1">IFERROR(__xludf.DUMMYFUNCTION("IF(E3580=""USD"",B3580,B3580 * GOOGLEFINANCE(""CURRENCY:"" &amp; E3580 &amp; ""USD""))
"),19281000)</f>
        <v>19281000</v>
      </c>
      <c r="G3580" s="13">
        <f ca="1">IFERROR(__xludf.DUMMYFUNCTION("IF(E3580=""USD"",C3580,C3580 * GOOGLEFINANCE(""CURRENCY:"" &amp; E3580 &amp; ""USD""))
"),32701824.1233999)</f>
        <v>32701824.123399898</v>
      </c>
    </row>
    <row r="3581" spans="1:7" ht="15.75" customHeight="1" x14ac:dyDescent="0.25">
      <c r="A3581" s="14" t="s">
        <v>133</v>
      </c>
      <c r="B3581" s="15">
        <v>70000000</v>
      </c>
      <c r="C3581" s="15">
        <v>38345403</v>
      </c>
      <c r="D3581" s="15">
        <v>2007</v>
      </c>
      <c r="E3581" s="15" t="str">
        <f>VLOOKUP(A3581, Currency!$A$2:$B$100, 2, FALSE)</f>
        <v>GBP</v>
      </c>
      <c r="F3581" s="15">
        <f ca="1">IFERROR(__xludf.DUMMYFUNCTION("IF(E3581=""USD"",B3581,B3581 * GOOGLEFINANCE(""CURRENCY:"" &amp; E3581 &amp; ""USD""))
"),89977999.9999999)</f>
        <v>89977999.999999896</v>
      </c>
      <c r="G3581" s="16">
        <f ca="1">IFERROR(__xludf.DUMMYFUNCTION("IF(E3581=""USD"",C3581,C3581 * GOOGLEFINANCE(""CURRENCY:"" &amp; E3581 &amp; ""USD""))
"),49289181.0162)</f>
        <v>49289181.016199999</v>
      </c>
    </row>
    <row r="3582" spans="1:7" ht="15.75" customHeight="1" x14ac:dyDescent="0.25">
      <c r="A3582" s="11" t="s">
        <v>1111</v>
      </c>
      <c r="B3582" s="12">
        <v>45000000</v>
      </c>
      <c r="C3582" s="12">
        <v>18996755</v>
      </c>
      <c r="D3582" s="12">
        <v>2012</v>
      </c>
      <c r="E3582" s="12" t="str">
        <f>VLOOKUP(A3582, Currency!$A$2:$B$100, 2, FALSE)</f>
        <v>EUR</v>
      </c>
      <c r="F3582" s="12">
        <f ca="1">IFERROR(__xludf.DUMMYFUNCTION("IF(E3582=""USD"",B3582,B3582 * GOOGLEFINANCE(""CURRENCY:"" &amp; E3582 &amp; ""USD""))
"),48813300)</f>
        <v>48813300</v>
      </c>
      <c r="G3582" s="13">
        <f ca="1">IFERROR(__xludf.DUMMYFUNCTION("IF(E3582=""USD"",C3582,C3582 * GOOGLEFINANCE(""CURRENCY:"" &amp; E3582 &amp; ""USD""))
"),20606540.0187)</f>
        <v>20606540.0187</v>
      </c>
    </row>
    <row r="3583" spans="1:7" ht="15.75" customHeight="1" x14ac:dyDescent="0.25">
      <c r="A3583" s="14" t="s">
        <v>24</v>
      </c>
      <c r="B3583" s="15">
        <v>170000000</v>
      </c>
      <c r="C3583" s="15">
        <v>172051787</v>
      </c>
      <c r="D3583" s="15">
        <v>2010</v>
      </c>
      <c r="E3583" s="15" t="str">
        <f>VLOOKUP(A3583, Currency!$A$2:$B$100, 2, FALSE)</f>
        <v>USD</v>
      </c>
      <c r="F3583" s="15">
        <f ca="1">IFERROR(__xludf.DUMMYFUNCTION("IF(E3583=""USD"",B3583,B3583 * GOOGLEFINANCE(""CURRENCY:"" &amp; E3583 &amp; ""USD""))
"),170000000)</f>
        <v>170000000</v>
      </c>
      <c r="G3583" s="16">
        <f ca="1">IFERROR(__xludf.DUMMYFUNCTION("IF(E3583=""USD"",C3583,C3583 * GOOGLEFINANCE(""CURRENCY:"" &amp; E3583 &amp; ""USD""))
"),172051787)</f>
        <v>172051787</v>
      </c>
    </row>
    <row r="3584" spans="1:7" ht="15.75" customHeight="1" x14ac:dyDescent="0.25">
      <c r="A3584" s="11" t="s">
        <v>24</v>
      </c>
      <c r="B3584" s="12">
        <v>200000000</v>
      </c>
      <c r="C3584" s="12">
        <v>202853933</v>
      </c>
      <c r="D3584" s="12">
        <v>2014</v>
      </c>
      <c r="E3584" s="12" t="str">
        <f>VLOOKUP(A3584, Currency!$A$2:$B$100, 2, FALSE)</f>
        <v>USD</v>
      </c>
      <c r="F3584" s="12">
        <f ca="1">IFERROR(__xludf.DUMMYFUNCTION("IF(E3584=""USD"",B3584,B3584 * GOOGLEFINANCE(""CURRENCY:"" &amp; E3584 &amp; ""USD""))
"),200000000)</f>
        <v>200000000</v>
      </c>
      <c r="G3584" s="13">
        <f ca="1">IFERROR(__xludf.DUMMYFUNCTION("IF(E3584=""USD"",C3584,C3584 * GOOGLEFINANCE(""CURRENCY:"" &amp; E3584 &amp; ""USD""))
"),202853933)</f>
        <v>202853933</v>
      </c>
    </row>
    <row r="3585" spans="1:7" ht="15.75" customHeight="1" x14ac:dyDescent="0.25">
      <c r="A3585" s="14" t="s">
        <v>24</v>
      </c>
      <c r="B3585" s="15">
        <v>1000000</v>
      </c>
      <c r="C3585" s="15">
        <v>464126</v>
      </c>
      <c r="D3585" s="15">
        <v>2002</v>
      </c>
      <c r="E3585" s="15" t="str">
        <f>VLOOKUP(A3585, Currency!$A$2:$B$100, 2, FALSE)</f>
        <v>USD</v>
      </c>
      <c r="F3585" s="15">
        <f ca="1">IFERROR(__xludf.DUMMYFUNCTION("IF(E3585=""USD"",B3585,B3585 * GOOGLEFINANCE(""CURRENCY:"" &amp; E3585 &amp; ""USD""))
"),1000000)</f>
        <v>1000000</v>
      </c>
      <c r="G3585" s="16">
        <f ca="1">IFERROR(__xludf.DUMMYFUNCTION("IF(E3585=""USD"",C3585,C3585 * GOOGLEFINANCE(""CURRENCY:"" &amp; E3585 &amp; ""USD""))
"),464126)</f>
        <v>464126</v>
      </c>
    </row>
    <row r="3586" spans="1:7" ht="15.75" customHeight="1" x14ac:dyDescent="0.25">
      <c r="A3586" s="11" t="s">
        <v>24</v>
      </c>
      <c r="B3586" s="12">
        <v>42000000</v>
      </c>
      <c r="C3586" s="12">
        <v>158348400</v>
      </c>
      <c r="D3586" s="12">
        <v>1993</v>
      </c>
      <c r="E3586" s="12" t="str">
        <f>VLOOKUP(A3586, Currency!$A$2:$B$100, 2, FALSE)</f>
        <v>USD</v>
      </c>
      <c r="F3586" s="12">
        <f ca="1">IFERROR(__xludf.DUMMYFUNCTION("IF(E3586=""USD"",B3586,B3586 * GOOGLEFINANCE(""CURRENCY:"" &amp; E3586 &amp; ""USD""))
"),42000000)</f>
        <v>42000000</v>
      </c>
      <c r="G3586" s="13">
        <f ca="1">IFERROR(__xludf.DUMMYFUNCTION("IF(E3586=""USD"",C3586,C3586 * GOOGLEFINANCE(""CURRENCY:"" &amp; E3586 &amp; ""USD""))
"),158348400)</f>
        <v>158348400</v>
      </c>
    </row>
    <row r="3587" spans="1:7" ht="15.75" customHeight="1" x14ac:dyDescent="0.25">
      <c r="A3587" s="14" t="s">
        <v>24</v>
      </c>
      <c r="B3587" s="15">
        <v>26000000</v>
      </c>
      <c r="C3587" s="15">
        <v>20819129</v>
      </c>
      <c r="D3587" s="15">
        <v>2009</v>
      </c>
      <c r="E3587" s="15" t="str">
        <f>VLOOKUP(A3587, Currency!$A$2:$B$100, 2, FALSE)</f>
        <v>USD</v>
      </c>
      <c r="F3587" s="15">
        <f ca="1">IFERROR(__xludf.DUMMYFUNCTION("IF(E3587=""USD"",B3587,B3587 * GOOGLEFINANCE(""CURRENCY:"" &amp; E3587 &amp; ""USD""))
"),26000000)</f>
        <v>26000000</v>
      </c>
      <c r="G3587" s="16">
        <f ca="1">IFERROR(__xludf.DUMMYFUNCTION("IF(E3587=""USD"",C3587,C3587 * GOOGLEFINANCE(""CURRENCY:"" &amp; E3587 &amp; ""USD""))
"),20819129)</f>
        <v>20819129</v>
      </c>
    </row>
    <row r="3588" spans="1:7" ht="15.75" customHeight="1" x14ac:dyDescent="0.25">
      <c r="A3588" s="17" t="s">
        <v>24</v>
      </c>
      <c r="B3588" s="18">
        <v>35000000</v>
      </c>
      <c r="C3588" s="18">
        <v>16295774</v>
      </c>
      <c r="D3588" s="18">
        <v>1986</v>
      </c>
      <c r="E3588" s="18" t="str">
        <f>VLOOKUP(A3588, Currency!$A$2:$B$100, 2, FALSE)</f>
        <v>USD</v>
      </c>
      <c r="F3588" s="18">
        <f ca="1">IFERROR(__xludf.DUMMYFUNCTION("IF(E3588=""USD"",B3588,B3588 * GOOGLEFINANCE(""CURRENCY:"" &amp; E3588 &amp; ""USD""))
"),35000000)</f>
        <v>35000000</v>
      </c>
      <c r="G3588" s="19">
        <f ca="1">IFERROR(__xludf.DUMMYFUNCTION("IF(E3588=""USD"",C3588,C3588 * GOOGLEFINANCE(""CURRENCY:"" &amp; E3588 &amp; ""USD""))
"),16295774)</f>
        <v>16295774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 x14ac:dyDescent="0.25"/>
  <cols>
    <col min="1" max="1" width="14.7109375" customWidth="1"/>
    <col min="2" max="2" width="14.5703125" customWidth="1"/>
    <col min="3" max="6" width="14.42578125" customWidth="1"/>
  </cols>
  <sheetData>
    <row r="1" spans="1:6" x14ac:dyDescent="0.25">
      <c r="A1" s="20" t="s">
        <v>10927</v>
      </c>
      <c r="B1" s="21" t="s">
        <v>10928</v>
      </c>
    </row>
    <row r="2" spans="1:6" x14ac:dyDescent="0.25">
      <c r="A2" s="22" t="s">
        <v>24</v>
      </c>
      <c r="B2" s="23" t="s">
        <v>10929</v>
      </c>
    </row>
    <row r="3" spans="1:6" x14ac:dyDescent="0.25">
      <c r="A3" s="24" t="s">
        <v>41</v>
      </c>
      <c r="B3" s="25" t="s">
        <v>10930</v>
      </c>
    </row>
    <row r="4" spans="1:6" x14ac:dyDescent="0.25">
      <c r="A4" s="22" t="s">
        <v>133</v>
      </c>
      <c r="B4" s="23" t="s">
        <v>10931</v>
      </c>
    </row>
    <row r="5" spans="1:6" x14ac:dyDescent="0.25">
      <c r="A5" s="24" t="s">
        <v>149</v>
      </c>
      <c r="B5" s="25" t="s">
        <v>10932</v>
      </c>
    </row>
    <row r="6" spans="1:6" x14ac:dyDescent="0.25">
      <c r="A6" s="22" t="s">
        <v>160</v>
      </c>
      <c r="B6" s="23" t="s">
        <v>10933</v>
      </c>
    </row>
    <row r="7" spans="1:6" x14ac:dyDescent="0.25">
      <c r="A7" s="24" t="s">
        <v>176</v>
      </c>
      <c r="B7" s="25" t="s">
        <v>10930</v>
      </c>
    </row>
    <row r="8" spans="1:6" x14ac:dyDescent="0.25">
      <c r="A8" s="22" t="s">
        <v>220</v>
      </c>
      <c r="B8" s="23" t="s">
        <v>10934</v>
      </c>
    </row>
    <row r="9" spans="1:6" x14ac:dyDescent="0.25">
      <c r="A9" s="24" t="s">
        <v>596</v>
      </c>
      <c r="B9" s="25" t="s">
        <v>10930</v>
      </c>
    </row>
    <row r="10" spans="1:6" x14ac:dyDescent="0.25">
      <c r="A10" s="22" t="s">
        <v>611</v>
      </c>
      <c r="B10" s="23" t="s">
        <v>10930</v>
      </c>
    </row>
    <row r="11" spans="1:6" x14ac:dyDescent="0.25">
      <c r="A11" s="24" t="s">
        <v>627</v>
      </c>
      <c r="B11" s="25" t="s">
        <v>10935</v>
      </c>
    </row>
    <row r="12" spans="1:6" x14ac:dyDescent="0.25">
      <c r="A12" s="22" t="s">
        <v>674</v>
      </c>
      <c r="B12" s="23" t="s">
        <v>10936</v>
      </c>
    </row>
    <row r="13" spans="1:6" x14ac:dyDescent="0.25">
      <c r="A13" s="24" t="s">
        <v>1005</v>
      </c>
      <c r="B13" s="25" t="s">
        <v>10937</v>
      </c>
      <c r="F13" s="26"/>
    </row>
    <row r="14" spans="1:6" x14ac:dyDescent="0.25">
      <c r="A14" s="22" t="s">
        <v>1111</v>
      </c>
      <c r="B14" s="23" t="s">
        <v>10930</v>
      </c>
    </row>
    <row r="15" spans="1:6" x14ac:dyDescent="0.25">
      <c r="A15" s="24" t="s">
        <v>1220</v>
      </c>
      <c r="B15" s="25" t="s">
        <v>10938</v>
      </c>
    </row>
    <row r="16" spans="1:6" x14ac:dyDescent="0.25">
      <c r="A16" s="22" t="s">
        <v>1491</v>
      </c>
      <c r="B16" s="23" t="s">
        <v>10939</v>
      </c>
    </row>
    <row r="17" spans="1:2" x14ac:dyDescent="0.25">
      <c r="A17" s="24" t="s">
        <v>1551</v>
      </c>
      <c r="B17" s="25" t="s">
        <v>10940</v>
      </c>
    </row>
    <row r="18" spans="1:2" x14ac:dyDescent="0.25">
      <c r="A18" s="22" t="s">
        <v>2083</v>
      </c>
      <c r="B18" s="23" t="s">
        <v>10930</v>
      </c>
    </row>
    <row r="19" spans="1:2" x14ac:dyDescent="0.25">
      <c r="A19" s="24" t="s">
        <v>2236</v>
      </c>
      <c r="B19" s="25" t="s">
        <v>10941</v>
      </c>
    </row>
    <row r="20" spans="1:2" x14ac:dyDescent="0.25">
      <c r="A20" s="22" t="s">
        <v>2546</v>
      </c>
      <c r="B20" s="23" t="s">
        <v>10942</v>
      </c>
    </row>
    <row r="21" spans="1:2" ht="15.75" customHeight="1" x14ac:dyDescent="0.25">
      <c r="A21" s="24" t="s">
        <v>2940</v>
      </c>
      <c r="B21" s="25" t="s">
        <v>10943</v>
      </c>
    </row>
    <row r="22" spans="1:2" ht="15.75" customHeight="1" x14ac:dyDescent="0.25">
      <c r="A22" s="22" t="s">
        <v>3252</v>
      </c>
      <c r="B22" s="23" t="s">
        <v>10944</v>
      </c>
    </row>
    <row r="23" spans="1:2" ht="15.75" customHeight="1" x14ac:dyDescent="0.25">
      <c r="A23" s="24" t="s">
        <v>3280</v>
      </c>
      <c r="B23" s="25" t="s">
        <v>10945</v>
      </c>
    </row>
    <row r="24" spans="1:2" ht="15.75" customHeight="1" x14ac:dyDescent="0.25">
      <c r="A24" s="22" t="s">
        <v>3634</v>
      </c>
      <c r="B24" s="23" t="s">
        <v>10946</v>
      </c>
    </row>
    <row r="25" spans="1:2" ht="15.75" customHeight="1" x14ac:dyDescent="0.25">
      <c r="A25" s="24" t="s">
        <v>4041</v>
      </c>
      <c r="B25" s="25" t="s">
        <v>10947</v>
      </c>
    </row>
    <row r="26" spans="1:2" ht="15.75" customHeight="1" x14ac:dyDescent="0.25">
      <c r="A26" s="22" t="s">
        <v>4175</v>
      </c>
      <c r="B26" s="23" t="s">
        <v>10930</v>
      </c>
    </row>
    <row r="27" spans="1:2" ht="15.75" customHeight="1" x14ac:dyDescent="0.25">
      <c r="A27" s="24" t="s">
        <v>4347</v>
      </c>
      <c r="B27" s="25" t="s">
        <v>10948</v>
      </c>
    </row>
    <row r="28" spans="1:2" ht="15.75" customHeight="1" x14ac:dyDescent="0.25">
      <c r="A28" s="22" t="s">
        <v>4887</v>
      </c>
      <c r="B28" s="23" t="s">
        <v>10930</v>
      </c>
    </row>
    <row r="29" spans="1:2" ht="15.75" customHeight="1" x14ac:dyDescent="0.25">
      <c r="A29" s="24" t="s">
        <v>5169</v>
      </c>
      <c r="B29" s="25" t="s">
        <v>10949</v>
      </c>
    </row>
    <row r="30" spans="1:2" ht="15.75" customHeight="1" x14ac:dyDescent="0.25">
      <c r="A30" s="22" t="s">
        <v>5268</v>
      </c>
      <c r="B30" s="23" t="s">
        <v>10950</v>
      </c>
    </row>
    <row r="31" spans="1:2" ht="15.75" customHeight="1" x14ac:dyDescent="0.25">
      <c r="A31" s="24" t="s">
        <v>6331</v>
      </c>
      <c r="B31" s="25" t="s">
        <v>10951</v>
      </c>
    </row>
    <row r="32" spans="1:2" ht="15.75" customHeight="1" x14ac:dyDescent="0.25">
      <c r="A32" s="22" t="s">
        <v>6390</v>
      </c>
      <c r="B32" s="23" t="s">
        <v>10952</v>
      </c>
    </row>
    <row r="33" spans="1:2" ht="15.75" customHeight="1" x14ac:dyDescent="0.25">
      <c r="A33" s="24" t="s">
        <v>6573</v>
      </c>
      <c r="B33" s="25" t="s">
        <v>10930</v>
      </c>
    </row>
    <row r="34" spans="1:2" ht="15.75" customHeight="1" x14ac:dyDescent="0.25">
      <c r="A34" s="22" t="s">
        <v>6962</v>
      </c>
      <c r="B34" s="23" t="s">
        <v>10953</v>
      </c>
    </row>
    <row r="35" spans="1:2" ht="15.75" customHeight="1" x14ac:dyDescent="0.25">
      <c r="A35" s="24" t="s">
        <v>7191</v>
      </c>
      <c r="B35" s="25" t="s">
        <v>10954</v>
      </c>
    </row>
    <row r="36" spans="1:2" ht="15.75" customHeight="1" x14ac:dyDescent="0.25">
      <c r="A36" s="22" t="s">
        <v>7358</v>
      </c>
      <c r="B36" s="23" t="s">
        <v>10955</v>
      </c>
    </row>
    <row r="37" spans="1:2" ht="15.75" customHeight="1" x14ac:dyDescent="0.25">
      <c r="A37" s="24" t="s">
        <v>7490</v>
      </c>
      <c r="B37" s="25" t="s">
        <v>10956</v>
      </c>
    </row>
    <row r="38" spans="1:2" ht="15.75" customHeight="1" x14ac:dyDescent="0.25">
      <c r="A38" s="22" t="s">
        <v>7917</v>
      </c>
      <c r="B38" s="23" t="s">
        <v>10957</v>
      </c>
    </row>
    <row r="39" spans="1:2" ht="15.75" customHeight="1" x14ac:dyDescent="0.25">
      <c r="A39" s="24" t="s">
        <v>7956</v>
      </c>
      <c r="B39" s="25" t="s">
        <v>10958</v>
      </c>
    </row>
    <row r="40" spans="1:2" ht="15.75" customHeight="1" x14ac:dyDescent="0.25">
      <c r="A40" s="22" t="s">
        <v>7968</v>
      </c>
      <c r="B40" s="23" t="s">
        <v>10959</v>
      </c>
    </row>
    <row r="41" spans="1:2" ht="15.75" customHeight="1" x14ac:dyDescent="0.25">
      <c r="A41" s="24" t="s">
        <v>8048</v>
      </c>
      <c r="B41" s="25" t="s">
        <v>10960</v>
      </c>
    </row>
    <row r="42" spans="1:2" ht="15.75" customHeight="1" x14ac:dyDescent="0.25">
      <c r="A42" s="22" t="s">
        <v>8393</v>
      </c>
      <c r="B42" s="23" t="s">
        <v>10961</v>
      </c>
    </row>
    <row r="43" spans="1:2" ht="15.75" customHeight="1" x14ac:dyDescent="0.25">
      <c r="A43" s="24" t="s">
        <v>9646</v>
      </c>
      <c r="B43" s="25" t="s">
        <v>10930</v>
      </c>
    </row>
    <row r="44" spans="1:2" ht="15.75" customHeight="1" x14ac:dyDescent="0.25">
      <c r="A44" s="22" t="s">
        <v>10024</v>
      </c>
      <c r="B44" s="23" t="s">
        <v>10962</v>
      </c>
    </row>
    <row r="45" spans="1:2" ht="15.75" customHeight="1" x14ac:dyDescent="0.25">
      <c r="A45" s="24" t="s">
        <v>10652</v>
      </c>
      <c r="B45" s="25" t="s">
        <v>10963</v>
      </c>
    </row>
    <row r="46" spans="1:2" ht="15.75" customHeight="1" x14ac:dyDescent="0.25">
      <c r="A46" s="27" t="s">
        <v>10842</v>
      </c>
      <c r="B46" s="28" t="s">
        <v>10964</v>
      </c>
    </row>
    <row r="47" spans="1:2" ht="15.75" customHeight="1" x14ac:dyDescent="0.25"/>
    <row r="48" spans="1:2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588"/>
  <sheetViews>
    <sheetView topLeftCell="I1" workbookViewId="0">
      <selection activeCell="D1" sqref="D1"/>
    </sheetView>
  </sheetViews>
  <sheetFormatPr defaultColWidth="14.42578125" defaultRowHeight="15" customHeight="1" x14ac:dyDescent="0.25"/>
  <cols>
    <col min="1" max="1" width="30.140625" customWidth="1"/>
    <col min="2" max="2" width="24" customWidth="1"/>
    <col min="3" max="3" width="10.85546875" customWidth="1"/>
    <col min="4" max="4" width="63.85546875" customWidth="1"/>
    <col min="5" max="5" width="25.42578125" customWidth="1"/>
    <col min="6" max="6" width="36.28515625" customWidth="1"/>
    <col min="7" max="7" width="19" customWidth="1"/>
    <col min="8" max="8" width="79.85546875" customWidth="1"/>
    <col min="9" max="9" width="23.5703125" customWidth="1"/>
    <col min="10" max="10" width="11.140625" customWidth="1"/>
    <col min="11" max="11" width="17.42578125" customWidth="1"/>
    <col min="12" max="13" width="12.140625" customWidth="1"/>
    <col min="14" max="14" width="13.42578125" customWidth="1"/>
    <col min="15" max="15" width="18.5703125" customWidth="1"/>
    <col min="16" max="16" width="20.85546875" customWidth="1"/>
    <col min="17" max="17" width="17.7109375" customWidth="1"/>
    <col min="18" max="18" width="18.42578125" customWidth="1"/>
    <col min="19" max="19" width="16.42578125" customWidth="1"/>
    <col min="20" max="20" width="17.5703125" customWidth="1"/>
  </cols>
  <sheetData>
    <row r="1" spans="1:19" x14ac:dyDescent="0.25">
      <c r="A1" s="1" t="s">
        <v>0</v>
      </c>
      <c r="B1" s="2" t="s">
        <v>1</v>
      </c>
      <c r="C1" s="2" t="s">
        <v>2</v>
      </c>
      <c r="D1" s="58" t="s">
        <v>3</v>
      </c>
      <c r="E1" s="2" t="s">
        <v>4</v>
      </c>
      <c r="F1" s="58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58" t="s">
        <v>10</v>
      </c>
      <c r="L1" s="2" t="s">
        <v>11</v>
      </c>
      <c r="M1" s="2" t="s">
        <v>12</v>
      </c>
      <c r="N1" s="2" t="s">
        <v>13</v>
      </c>
      <c r="O1" s="58" t="s">
        <v>14</v>
      </c>
      <c r="P1" s="57" t="s">
        <v>15</v>
      </c>
      <c r="Q1" s="2" t="s">
        <v>16</v>
      </c>
      <c r="R1" s="3" t="s">
        <v>17</v>
      </c>
      <c r="S1" s="44" t="s">
        <v>10992</v>
      </c>
    </row>
    <row r="2" spans="1:19" x14ac:dyDescent="0.25">
      <c r="A2" s="4" t="s">
        <v>18</v>
      </c>
      <c r="B2" s="4">
        <v>83</v>
      </c>
      <c r="C2" s="4">
        <v>57011847</v>
      </c>
      <c r="D2" s="4" t="s">
        <v>19</v>
      </c>
      <c r="E2" s="4" t="s">
        <v>20</v>
      </c>
      <c r="F2" s="4" t="s">
        <v>21</v>
      </c>
      <c r="G2" s="4">
        <v>20615</v>
      </c>
      <c r="H2" s="4" t="s">
        <v>22</v>
      </c>
      <c r="I2" s="4">
        <v>44</v>
      </c>
      <c r="J2" s="4" t="s">
        <v>23</v>
      </c>
      <c r="K2" s="4" t="s">
        <v>24</v>
      </c>
      <c r="L2" s="4">
        <v>40000000</v>
      </c>
      <c r="M2" s="4">
        <v>2013</v>
      </c>
      <c r="N2" s="4">
        <v>5.9</v>
      </c>
      <c r="O2" s="4">
        <f ca="1">IFERROR(__xludf.DUMMYFUNCTION("IF(Cost_in_dollars!E2=""USD"",Cost_in_dollars!B2,Cost_in_dollars!B2 * GOOGLEFINANCE(""CURRENCY:"" &amp; Cost_in_dollars!E2 &amp; ""USD""))
"),40000000)</f>
        <v>40000000</v>
      </c>
      <c r="P2" s="4">
        <f ca="1">IFERROR(__xludf.DUMMYFUNCTION("IF(Cost_in_dollars!E2=""USD"",Cost_in_dollars!C2,Cost_in_dollars!C2 * GOOGLEFINANCE(""CURRENCY:"" &amp; Cost_in_dollars!E2 &amp; ""USD""))
"),57011847)</f>
        <v>57011847</v>
      </c>
      <c r="Q2" s="4">
        <f t="shared" ref="Q2:Q256" ca="1" si="0">P2-O2</f>
        <v>17011847</v>
      </c>
      <c r="R2" s="5" t="str">
        <f t="shared" ref="R2:R256" si="1">LEFT(F2,LEN(F2)-2)</f>
        <v>Escape from Planet Earth</v>
      </c>
      <c r="S2" s="42" t="str">
        <f t="shared" ref="S2:S65" si="2">IF(ISNUMBER(FIND("|", D2)), LEFT(D2, FIND("|", D2) - 1), D2)</f>
        <v>Adventure</v>
      </c>
    </row>
    <row r="3" spans="1:19" x14ac:dyDescent="0.25">
      <c r="A3" s="6" t="s">
        <v>25</v>
      </c>
      <c r="B3" s="6">
        <v>163</v>
      </c>
      <c r="C3" s="6">
        <v>28772222</v>
      </c>
      <c r="D3" s="6" t="s">
        <v>26</v>
      </c>
      <c r="E3" s="6" t="s">
        <v>27</v>
      </c>
      <c r="F3" s="6" t="s">
        <v>28</v>
      </c>
      <c r="G3" s="6">
        <v>33958</v>
      </c>
      <c r="H3" s="6" t="s">
        <v>29</v>
      </c>
      <c r="I3" s="6">
        <v>163</v>
      </c>
      <c r="J3" s="6" t="s">
        <v>23</v>
      </c>
      <c r="K3" s="6" t="s">
        <v>24</v>
      </c>
      <c r="L3" s="6">
        <v>105000000</v>
      </c>
      <c r="M3" s="6">
        <v>2015</v>
      </c>
      <c r="N3" s="6">
        <v>5.3</v>
      </c>
      <c r="O3" s="4">
        <f ca="1">IFERROR(__xludf.DUMMYFUNCTION("IF(Cost_in_dollars!E3=""USD"",Cost_in_dollars!B3,Cost_in_dollars!B3 * GOOGLEFINANCE(""CURRENCY:"" &amp; Cost_in_dollars!E3 &amp; ""USD""))
"),105000000)</f>
        <v>105000000</v>
      </c>
      <c r="P3" s="4">
        <f ca="1">IFERROR(__xludf.DUMMYFUNCTION("IF(Cost_in_dollars!E3=""USD"",Cost_in_dollars!C3,Cost_in_dollars!C3 * GOOGLEFINANCE(""CURRENCY:"" &amp; Cost_in_dollars!E3 &amp; ""USD""))
"),28772222)</f>
        <v>28772222</v>
      </c>
      <c r="Q3" s="6">
        <f t="shared" ca="1" si="0"/>
        <v>-76227778</v>
      </c>
      <c r="R3" s="7" t="str">
        <f t="shared" si="1"/>
        <v>Point Break</v>
      </c>
      <c r="S3" s="43" t="str">
        <f t="shared" si="2"/>
        <v>Action</v>
      </c>
    </row>
    <row r="4" spans="1:19" x14ac:dyDescent="0.25">
      <c r="A4" s="4" t="s">
        <v>30</v>
      </c>
      <c r="B4" s="4">
        <v>129</v>
      </c>
      <c r="C4" s="4">
        <v>64371181</v>
      </c>
      <c r="D4" s="4" t="s">
        <v>31</v>
      </c>
      <c r="E4" s="4" t="s">
        <v>32</v>
      </c>
      <c r="F4" s="4" t="s">
        <v>33</v>
      </c>
      <c r="G4" s="4">
        <v>36636</v>
      </c>
      <c r="H4" s="4" t="s">
        <v>34</v>
      </c>
      <c r="I4" s="4">
        <v>289</v>
      </c>
      <c r="J4" s="4" t="s">
        <v>23</v>
      </c>
      <c r="K4" s="4" t="s">
        <v>24</v>
      </c>
      <c r="L4" s="4">
        <v>28000000</v>
      </c>
      <c r="M4" s="4">
        <v>2004</v>
      </c>
      <c r="N4" s="4">
        <v>7.5</v>
      </c>
      <c r="O4" s="4">
        <f ca="1">IFERROR(__xludf.DUMMYFUNCTION("IF(Cost_in_dollars!E4=""USD"",Cost_in_dollars!B4,Cost_in_dollars!B4 * GOOGLEFINANCE(""CURRENCY:"" &amp; Cost_in_dollars!E4 &amp; ""USD""))
"),28000000)</f>
        <v>28000000</v>
      </c>
      <c r="P4" s="4">
        <f ca="1">IFERROR(__xludf.DUMMYFUNCTION("IF(Cost_in_dollars!E4=""USD"",Cost_in_dollars!C4,Cost_in_dollars!C4 * GOOGLEFINANCE(""CURRENCY:"" &amp; Cost_in_dollars!E4 &amp; ""USD""))
"),64371181)</f>
        <v>64371181</v>
      </c>
      <c r="Q4" s="4">
        <f t="shared" ca="1" si="0"/>
        <v>36371181</v>
      </c>
      <c r="R4" s="5" t="str">
        <f t="shared" si="1"/>
        <v>Miracle</v>
      </c>
      <c r="S4" s="43" t="str">
        <f t="shared" si="2"/>
        <v>Biography</v>
      </c>
    </row>
    <row r="5" spans="1:19" x14ac:dyDescent="0.25">
      <c r="A5" s="6" t="s">
        <v>35</v>
      </c>
      <c r="B5" s="6">
        <v>122</v>
      </c>
      <c r="C5" s="6">
        <v>3500000</v>
      </c>
      <c r="D5" s="6" t="s">
        <v>36</v>
      </c>
      <c r="E5" s="6" t="s">
        <v>37</v>
      </c>
      <c r="F5" s="59" t="s">
        <v>38</v>
      </c>
      <c r="G5" s="6">
        <v>147566</v>
      </c>
      <c r="H5" s="6" t="s">
        <v>39</v>
      </c>
      <c r="I5" s="6">
        <v>235</v>
      </c>
      <c r="J5" s="6" t="s">
        <v>40</v>
      </c>
      <c r="K5" s="6" t="s">
        <v>41</v>
      </c>
      <c r="L5" s="6">
        <v>200000</v>
      </c>
      <c r="M5" s="6">
        <v>1964</v>
      </c>
      <c r="N5" s="6">
        <v>8</v>
      </c>
      <c r="O5" s="4">
        <f ca="1">IFERROR(__xludf.DUMMYFUNCTION("IF(Cost_in_dollars!E5=""USD"",Cost_in_dollars!B5,Cost_in_dollars!B5 * GOOGLEFINANCE(""CURRENCY:"" &amp; Cost_in_dollars!E5 &amp; ""USD""))
"),216948)</f>
        <v>216948</v>
      </c>
      <c r="P5" s="4">
        <f ca="1">IFERROR(__xludf.DUMMYFUNCTION("IF(Cost_in_dollars!E5=""USD"",Cost_in_dollars!C5,Cost_in_dollars!C5 * GOOGLEFINANCE(""CURRENCY:"" &amp; Cost_in_dollars!E5 &amp; ""USD""))
"),3796590)</f>
        <v>3796590</v>
      </c>
      <c r="Q5" s="6">
        <f t="shared" ca="1" si="0"/>
        <v>3579642</v>
      </c>
      <c r="R5" s="7" t="str">
        <f t="shared" si="1"/>
        <v>A Fistful of Dollars</v>
      </c>
      <c r="S5" s="43" t="str">
        <f t="shared" si="2"/>
        <v>Action</v>
      </c>
    </row>
    <row r="6" spans="1:19" x14ac:dyDescent="0.25">
      <c r="A6" s="4" t="s">
        <v>42</v>
      </c>
      <c r="B6" s="4">
        <v>168</v>
      </c>
      <c r="C6" s="4">
        <v>44983704</v>
      </c>
      <c r="D6" s="4" t="s">
        <v>43</v>
      </c>
      <c r="E6" s="4" t="s">
        <v>44</v>
      </c>
      <c r="F6" s="4" t="s">
        <v>45</v>
      </c>
      <c r="G6" s="4">
        <v>81866</v>
      </c>
      <c r="H6" s="4" t="s">
        <v>46</v>
      </c>
      <c r="I6" s="4">
        <v>510</v>
      </c>
      <c r="J6" s="4" t="s">
        <v>23</v>
      </c>
      <c r="K6" s="4" t="s">
        <v>24</v>
      </c>
      <c r="L6" s="4">
        <v>31000000</v>
      </c>
      <c r="M6" s="4">
        <v>2000</v>
      </c>
      <c r="N6" s="4">
        <v>7.3</v>
      </c>
      <c r="O6" s="4">
        <f ca="1">IFERROR(__xludf.DUMMYFUNCTION("IF(Cost_in_dollars!E6=""USD"",Cost_in_dollars!B6,Cost_in_dollars!B6 * GOOGLEFINANCE(""CURRENCY:"" &amp; Cost_in_dollars!E6 &amp; ""USD""))
"),31000000)</f>
        <v>31000000</v>
      </c>
      <c r="P6" s="4">
        <f ca="1">IFERROR(__xludf.DUMMYFUNCTION("IF(Cost_in_dollars!E6=""USD"",Cost_in_dollars!C6,Cost_in_dollars!C6 * GOOGLEFINANCE(""CURRENCY:"" &amp; Cost_in_dollars!E6 &amp; ""USD""))
"),44983704)</f>
        <v>44983704</v>
      </c>
      <c r="Q6" s="4">
        <f t="shared" ca="1" si="0"/>
        <v>13983704</v>
      </c>
      <c r="R6" s="5" t="str">
        <f t="shared" si="1"/>
        <v>Frequency</v>
      </c>
      <c r="S6" s="43" t="str">
        <f t="shared" si="2"/>
        <v>Crime</v>
      </c>
    </row>
    <row r="7" spans="1:19" x14ac:dyDescent="0.25">
      <c r="A7" s="6" t="s">
        <v>47</v>
      </c>
      <c r="B7" s="6">
        <v>117</v>
      </c>
      <c r="C7" s="6">
        <v>45860039</v>
      </c>
      <c r="D7" s="6" t="s">
        <v>48</v>
      </c>
      <c r="E7" s="6" t="s">
        <v>49</v>
      </c>
      <c r="F7" s="6" t="s">
        <v>50</v>
      </c>
      <c r="G7" s="6">
        <v>53118</v>
      </c>
      <c r="H7" s="6" t="s">
        <v>51</v>
      </c>
      <c r="I7" s="6">
        <v>221</v>
      </c>
      <c r="J7" s="6" t="s">
        <v>23</v>
      </c>
      <c r="K7" s="6" t="s">
        <v>24</v>
      </c>
      <c r="L7" s="6">
        <v>56000000</v>
      </c>
      <c r="M7" s="6">
        <v>2004</v>
      </c>
      <c r="N7" s="6">
        <v>6.2</v>
      </c>
      <c r="O7" s="4">
        <f ca="1">IFERROR(__xludf.DUMMYFUNCTION("IF(Cost_in_dollars!E7=""USD"",Cost_in_dollars!B7,Cost_in_dollars!B7 * GOOGLEFINANCE(""CURRENCY:"" &amp; Cost_in_dollars!E7 &amp; ""USD""))
"),56000000)</f>
        <v>56000000</v>
      </c>
      <c r="P7" s="4">
        <f ca="1">IFERROR(__xludf.DUMMYFUNCTION("IF(Cost_in_dollars!E7=""USD"",Cost_in_dollars!C7,Cost_in_dollars!C7 * GOOGLEFINANCE(""CURRENCY:"" &amp; Cost_in_dollars!E7 &amp; ""USD""))
"),45860039)</f>
        <v>45860039</v>
      </c>
      <c r="Q7" s="6">
        <f t="shared" ca="1" si="0"/>
        <v>-10139961</v>
      </c>
      <c r="R7" s="7" t="str">
        <f t="shared" si="1"/>
        <v>Walking Tall</v>
      </c>
      <c r="S7" s="43" t="str">
        <f t="shared" si="2"/>
        <v>Action</v>
      </c>
    </row>
    <row r="8" spans="1:19" x14ac:dyDescent="0.25">
      <c r="A8" s="4" t="s">
        <v>52</v>
      </c>
      <c r="B8" s="4">
        <v>215</v>
      </c>
      <c r="C8" s="4">
        <v>107930000</v>
      </c>
      <c r="D8" s="4" t="s">
        <v>53</v>
      </c>
      <c r="E8" s="4" t="s">
        <v>54</v>
      </c>
      <c r="F8" s="4" t="s">
        <v>55</v>
      </c>
      <c r="G8" s="4">
        <v>1324680</v>
      </c>
      <c r="H8" s="4" t="s">
        <v>56</v>
      </c>
      <c r="I8" s="4">
        <v>2195</v>
      </c>
      <c r="J8" s="4" t="s">
        <v>23</v>
      </c>
      <c r="K8" s="4" t="s">
        <v>24</v>
      </c>
      <c r="L8" s="4">
        <v>8000000</v>
      </c>
      <c r="M8" s="4">
        <v>1994</v>
      </c>
      <c r="N8" s="4">
        <v>8.9</v>
      </c>
      <c r="O8" s="4">
        <f ca="1">IFERROR(__xludf.DUMMYFUNCTION("IF(Cost_in_dollars!E8=""USD"",Cost_in_dollars!B8,Cost_in_dollars!B8 * GOOGLEFINANCE(""CURRENCY:"" &amp; Cost_in_dollars!E8 &amp; ""USD""))
"),8000000)</f>
        <v>8000000</v>
      </c>
      <c r="P8" s="4">
        <f ca="1">IFERROR(__xludf.DUMMYFUNCTION("IF(Cost_in_dollars!E8=""USD"",Cost_in_dollars!C8,Cost_in_dollars!C8 * GOOGLEFINANCE(""CURRENCY:"" &amp; Cost_in_dollars!E8 &amp; ""USD""))
"),107930000)</f>
        <v>107930000</v>
      </c>
      <c r="Q8" s="4">
        <f t="shared" ca="1" si="0"/>
        <v>99930000</v>
      </c>
      <c r="R8" s="5" t="str">
        <f t="shared" si="1"/>
        <v>Pulp Fiction</v>
      </c>
      <c r="S8" s="43" t="str">
        <f t="shared" si="2"/>
        <v>Crime</v>
      </c>
    </row>
    <row r="9" spans="1:19" x14ac:dyDescent="0.25">
      <c r="A9" s="6" t="s">
        <v>57</v>
      </c>
      <c r="B9" s="6">
        <v>92</v>
      </c>
      <c r="C9" s="6">
        <v>46611204</v>
      </c>
      <c r="D9" s="6" t="s">
        <v>58</v>
      </c>
      <c r="E9" s="6" t="s">
        <v>59</v>
      </c>
      <c r="F9" s="6" t="s">
        <v>60</v>
      </c>
      <c r="G9" s="6">
        <v>55749</v>
      </c>
      <c r="H9" s="6" t="s">
        <v>61</v>
      </c>
      <c r="I9" s="6">
        <v>257</v>
      </c>
      <c r="J9" s="6" t="s">
        <v>23</v>
      </c>
      <c r="K9" s="6" t="s">
        <v>24</v>
      </c>
      <c r="L9" s="6">
        <v>48000000</v>
      </c>
      <c r="M9" s="6">
        <v>1998</v>
      </c>
      <c r="N9" s="6">
        <v>6.1</v>
      </c>
      <c r="O9" s="4">
        <f ca="1">IFERROR(__xludf.DUMMYFUNCTION("IF(Cost_in_dollars!E9=""USD"",Cost_in_dollars!B9,Cost_in_dollars!B9 * GOOGLEFINANCE(""CURRENCY:"" &amp; Cost_in_dollars!E9 &amp; ""USD""))
"),48000000)</f>
        <v>48000000</v>
      </c>
      <c r="P9" s="4">
        <f ca="1">IFERROR(__xludf.DUMMYFUNCTION("IF(Cost_in_dollars!E9=""USD"",Cost_in_dollars!C9,Cost_in_dollars!C9 * GOOGLEFINANCE(""CURRENCY:"" &amp; Cost_in_dollars!E9 &amp; ""USD""))
"),46611204)</f>
        <v>46611204</v>
      </c>
      <c r="Q9" s="6">
        <f t="shared" ca="1" si="0"/>
        <v>-1388796</v>
      </c>
      <c r="R9" s="7" t="str">
        <f t="shared" si="1"/>
        <v>Practical Magic</v>
      </c>
      <c r="S9" s="43" t="str">
        <f t="shared" si="2"/>
        <v>Comedy</v>
      </c>
    </row>
    <row r="10" spans="1:19" x14ac:dyDescent="0.25">
      <c r="A10" s="4" t="s">
        <v>62</v>
      </c>
      <c r="B10" s="4">
        <v>158</v>
      </c>
      <c r="C10" s="4">
        <v>18500966</v>
      </c>
      <c r="D10" s="4" t="s">
        <v>63</v>
      </c>
      <c r="E10" s="4" t="s">
        <v>64</v>
      </c>
      <c r="F10" s="4" t="s">
        <v>65</v>
      </c>
      <c r="G10" s="4">
        <v>70341</v>
      </c>
      <c r="H10" s="4" t="s">
        <v>66</v>
      </c>
      <c r="I10" s="4">
        <v>830</v>
      </c>
      <c r="J10" s="4" t="s">
        <v>23</v>
      </c>
      <c r="K10" s="4" t="s">
        <v>24</v>
      </c>
      <c r="L10" s="4">
        <v>30000000</v>
      </c>
      <c r="M10" s="4">
        <v>2006</v>
      </c>
      <c r="N10" s="4">
        <v>4.4000000000000004</v>
      </c>
      <c r="O10" s="4">
        <f ca="1">IFERROR(__xludf.DUMMYFUNCTION("IF(Cost_in_dollars!E10=""USD"",Cost_in_dollars!B10,Cost_in_dollars!B10 * GOOGLEFINANCE(""CURRENCY:"" &amp; Cost_in_dollars!E10 &amp; ""USD""))
"),30000000)</f>
        <v>30000000</v>
      </c>
      <c r="P10" s="4">
        <f ca="1">IFERROR(__xludf.DUMMYFUNCTION("IF(Cost_in_dollars!E10=""USD"",Cost_in_dollars!C10,Cost_in_dollars!C10 * GOOGLEFINANCE(""CURRENCY:"" &amp; Cost_in_dollars!E10 &amp; ""USD""))
"),18500966)</f>
        <v>18500966</v>
      </c>
      <c r="Q10" s="4">
        <f t="shared" ca="1" si="0"/>
        <v>-11499034</v>
      </c>
      <c r="R10" s="5" t="str">
        <f t="shared" si="1"/>
        <v>Ultraviolet</v>
      </c>
      <c r="S10" s="43" t="str">
        <f t="shared" si="2"/>
        <v>Action</v>
      </c>
    </row>
    <row r="11" spans="1:19" x14ac:dyDescent="0.25">
      <c r="A11" s="6" t="s">
        <v>67</v>
      </c>
      <c r="B11" s="6">
        <v>61</v>
      </c>
      <c r="C11" s="6">
        <v>48169908</v>
      </c>
      <c r="D11" s="6" t="s">
        <v>68</v>
      </c>
      <c r="E11" s="6" t="s">
        <v>69</v>
      </c>
      <c r="F11" s="6" t="s">
        <v>70</v>
      </c>
      <c r="G11" s="6">
        <v>63923</v>
      </c>
      <c r="H11" s="6" t="s">
        <v>71</v>
      </c>
      <c r="I11" s="6">
        <v>156</v>
      </c>
      <c r="J11" s="6" t="s">
        <v>23</v>
      </c>
      <c r="K11" s="6" t="s">
        <v>24</v>
      </c>
      <c r="L11" s="6">
        <v>33000000</v>
      </c>
      <c r="M11" s="6">
        <v>1992</v>
      </c>
      <c r="N11" s="6">
        <v>7.7</v>
      </c>
      <c r="O11" s="4">
        <f ca="1">IFERROR(__xludf.DUMMYFUNCTION("IF(Cost_in_dollars!E11=""USD"",Cost_in_dollars!B11,Cost_in_dollars!B11 * GOOGLEFINANCE(""CURRENCY:"" &amp; Cost_in_dollars!E11 &amp; ""USD""))
"),33000000)</f>
        <v>33000000</v>
      </c>
      <c r="P11" s="4">
        <f ca="1">IFERROR(__xludf.DUMMYFUNCTION("IF(Cost_in_dollars!E11=""USD"",Cost_in_dollars!C11,Cost_in_dollars!C11 * GOOGLEFINANCE(""CURRENCY:"" &amp; Cost_in_dollars!E11 &amp; ""USD""))
"),48169908)</f>
        <v>48169908</v>
      </c>
      <c r="Q11" s="6">
        <f t="shared" ca="1" si="0"/>
        <v>15169908</v>
      </c>
      <c r="R11" s="7" t="str">
        <f t="shared" si="1"/>
        <v>Malcolm X</v>
      </c>
      <c r="S11" s="43" t="str">
        <f t="shared" si="2"/>
        <v>Biography</v>
      </c>
    </row>
    <row r="12" spans="1:19" x14ac:dyDescent="0.25">
      <c r="A12" s="4" t="s">
        <v>72</v>
      </c>
      <c r="B12" s="4">
        <v>200</v>
      </c>
      <c r="C12" s="4">
        <v>108638745</v>
      </c>
      <c r="D12" s="4" t="s">
        <v>73</v>
      </c>
      <c r="E12" s="4" t="s">
        <v>74</v>
      </c>
      <c r="F12" s="4" t="s">
        <v>75</v>
      </c>
      <c r="G12" s="4">
        <v>292022</v>
      </c>
      <c r="H12" s="4" t="s">
        <v>76</v>
      </c>
      <c r="I12" s="4">
        <v>1103</v>
      </c>
      <c r="J12" s="4" t="s">
        <v>23</v>
      </c>
      <c r="K12" s="4" t="s">
        <v>24</v>
      </c>
      <c r="L12" s="4">
        <v>92000000</v>
      </c>
      <c r="M12" s="4">
        <v>2001</v>
      </c>
      <c r="N12" s="4">
        <v>7.7</v>
      </c>
      <c r="O12" s="4">
        <f ca="1">IFERROR(__xludf.DUMMYFUNCTION("IF(Cost_in_dollars!E12=""USD"",Cost_in_dollars!B12,Cost_in_dollars!B12 * GOOGLEFINANCE(""CURRENCY:"" &amp; Cost_in_dollars!E12 &amp; ""USD""))
"),92000000)</f>
        <v>92000000</v>
      </c>
      <c r="P12" s="4">
        <f ca="1">IFERROR(__xludf.DUMMYFUNCTION("IF(Cost_in_dollars!E12=""USD"",Cost_in_dollars!C12,Cost_in_dollars!C12 * GOOGLEFINANCE(""CURRENCY:"" &amp; Cost_in_dollars!E12 &amp; ""USD""))
"),108638745)</f>
        <v>108638745</v>
      </c>
      <c r="Q12" s="4">
        <f t="shared" ca="1" si="0"/>
        <v>16638745</v>
      </c>
      <c r="R12" s="5" t="str">
        <f t="shared" si="1"/>
        <v>Black Hawk Down</v>
      </c>
      <c r="S12" s="43" t="str">
        <f t="shared" si="2"/>
        <v>Drama</v>
      </c>
    </row>
    <row r="13" spans="1:19" x14ac:dyDescent="0.25">
      <c r="A13" s="6" t="s">
        <v>77</v>
      </c>
      <c r="B13" s="6">
        <v>68</v>
      </c>
      <c r="C13" s="6">
        <v>13269963</v>
      </c>
      <c r="D13" s="6" t="s">
        <v>78</v>
      </c>
      <c r="E13" s="6" t="s">
        <v>79</v>
      </c>
      <c r="F13" s="6" t="s">
        <v>80</v>
      </c>
      <c r="G13" s="6">
        <v>23202</v>
      </c>
      <c r="H13" s="6" t="s">
        <v>81</v>
      </c>
      <c r="I13" s="6">
        <v>173</v>
      </c>
      <c r="J13" s="6" t="s">
        <v>23</v>
      </c>
      <c r="K13" s="6" t="s">
        <v>24</v>
      </c>
      <c r="L13" s="6">
        <v>5000000</v>
      </c>
      <c r="M13" s="6">
        <v>1996</v>
      </c>
      <c r="N13" s="6">
        <v>7.6</v>
      </c>
      <c r="O13" s="4">
        <f ca="1">IFERROR(__xludf.DUMMYFUNCTION("IF(Cost_in_dollars!E13=""USD"",Cost_in_dollars!B13,Cost_in_dollars!B13 * GOOGLEFINANCE(""CURRENCY:"" &amp; Cost_in_dollars!E13 &amp; ""USD""))
"),5000000)</f>
        <v>5000000</v>
      </c>
      <c r="P13" s="4">
        <f ca="1">IFERROR(__xludf.DUMMYFUNCTION("IF(Cost_in_dollars!E13=""USD"",Cost_in_dollars!C13,Cost_in_dollars!C13 * GOOGLEFINANCE(""CURRENCY:"" &amp; Cost_in_dollars!E13 &amp; ""USD""))
"),13269963)</f>
        <v>13269963</v>
      </c>
      <c r="Q13" s="6">
        <f t="shared" ca="1" si="0"/>
        <v>8269963</v>
      </c>
      <c r="R13" s="7" t="str">
        <f t="shared" si="1"/>
        <v>Lone Star</v>
      </c>
      <c r="S13" s="43" t="str">
        <f t="shared" si="2"/>
        <v>Drama</v>
      </c>
    </row>
    <row r="14" spans="1:19" x14ac:dyDescent="0.25">
      <c r="A14" s="4" t="s">
        <v>82</v>
      </c>
      <c r="B14" s="4">
        <v>321</v>
      </c>
      <c r="C14" s="4">
        <v>67631157</v>
      </c>
      <c r="D14" s="4" t="s">
        <v>83</v>
      </c>
      <c r="E14" s="4" t="s">
        <v>84</v>
      </c>
      <c r="F14" s="4" t="s">
        <v>85</v>
      </c>
      <c r="G14" s="4">
        <v>176606</v>
      </c>
      <c r="H14" s="4" t="s">
        <v>86</v>
      </c>
      <c r="I14" s="4">
        <v>374</v>
      </c>
      <c r="J14" s="4" t="s">
        <v>23</v>
      </c>
      <c r="K14" s="4" t="s">
        <v>24</v>
      </c>
      <c r="L14" s="4">
        <v>100000000</v>
      </c>
      <c r="M14" s="4">
        <v>2010</v>
      </c>
      <c r="N14" s="4">
        <v>6</v>
      </c>
      <c r="O14" s="4">
        <f ca="1">IFERROR(__xludf.DUMMYFUNCTION("IF(Cost_in_dollars!E14=""USD"",Cost_in_dollars!B14,Cost_in_dollars!B14 * GOOGLEFINANCE(""CURRENCY:"" &amp; Cost_in_dollars!E14 &amp; ""USD""))
"),100000000)</f>
        <v>100000000</v>
      </c>
      <c r="P14" s="4">
        <f ca="1">IFERROR(__xludf.DUMMYFUNCTION("IF(Cost_in_dollars!E14=""USD"",Cost_in_dollars!C14,Cost_in_dollars!C14 * GOOGLEFINANCE(""CURRENCY:"" &amp; Cost_in_dollars!E14 &amp; ""USD""))
"),67631157)</f>
        <v>67631157</v>
      </c>
      <c r="Q14" s="4">
        <f t="shared" ca="1" si="0"/>
        <v>-32368843</v>
      </c>
      <c r="R14" s="5" t="str">
        <f t="shared" si="1"/>
        <v>The Tourist</v>
      </c>
      <c r="S14" s="43" t="str">
        <f t="shared" si="2"/>
        <v>Action</v>
      </c>
    </row>
    <row r="15" spans="1:19" x14ac:dyDescent="0.25">
      <c r="A15" s="6" t="s">
        <v>87</v>
      </c>
      <c r="B15" s="6">
        <v>13</v>
      </c>
      <c r="C15" s="6">
        <v>428535</v>
      </c>
      <c r="D15" s="6" t="s">
        <v>88</v>
      </c>
      <c r="E15" s="6" t="s">
        <v>89</v>
      </c>
      <c r="F15" s="6" t="s">
        <v>90</v>
      </c>
      <c r="G15" s="6">
        <v>505</v>
      </c>
      <c r="H15" s="6" t="s">
        <v>91</v>
      </c>
      <c r="I15" s="6">
        <v>32</v>
      </c>
      <c r="J15" s="6" t="s">
        <v>23</v>
      </c>
      <c r="K15" s="6" t="s">
        <v>24</v>
      </c>
      <c r="L15" s="6">
        <v>1000000</v>
      </c>
      <c r="M15" s="6">
        <v>2000</v>
      </c>
      <c r="N15" s="6">
        <v>3.6</v>
      </c>
      <c r="O15" s="4">
        <f ca="1">IFERROR(__xludf.DUMMYFUNCTION("IF(Cost_in_dollars!E15=""USD"",Cost_in_dollars!B15,Cost_in_dollars!B15 * GOOGLEFINANCE(""CURRENCY:"" &amp; Cost_in_dollars!E15 &amp; ""USD""))
"),1000000)</f>
        <v>1000000</v>
      </c>
      <c r="P15" s="4">
        <f ca="1">IFERROR(__xludf.DUMMYFUNCTION("IF(Cost_in_dollars!E15=""USD"",Cost_in_dollars!C15,Cost_in_dollars!C15 * GOOGLEFINANCE(""CURRENCY:"" &amp; Cost_in_dollars!E15 &amp; ""USD""))
"),428535)</f>
        <v>428535</v>
      </c>
      <c r="Q15" s="6">
        <f t="shared" ca="1" si="0"/>
        <v>-571465</v>
      </c>
      <c r="R15" s="7" t="str">
        <f t="shared" si="1"/>
        <v>Luminarias</v>
      </c>
      <c r="S15" s="43" t="str">
        <f t="shared" si="2"/>
        <v>Comedy</v>
      </c>
    </row>
    <row r="16" spans="1:19" x14ac:dyDescent="0.25">
      <c r="A16" s="4" t="s">
        <v>92</v>
      </c>
      <c r="B16" s="4">
        <v>108</v>
      </c>
      <c r="C16" s="4">
        <v>21468807</v>
      </c>
      <c r="D16" s="4" t="s">
        <v>93</v>
      </c>
      <c r="E16" s="4" t="s">
        <v>94</v>
      </c>
      <c r="F16" s="4" t="s">
        <v>95</v>
      </c>
      <c r="G16" s="4">
        <v>13048</v>
      </c>
      <c r="H16" s="4" t="s">
        <v>96</v>
      </c>
      <c r="I16" s="4">
        <v>227</v>
      </c>
      <c r="J16" s="4" t="s">
        <v>23</v>
      </c>
      <c r="K16" s="4" t="s">
        <v>24</v>
      </c>
      <c r="L16" s="4">
        <v>14000000</v>
      </c>
      <c r="M16" s="4">
        <v>2000</v>
      </c>
      <c r="N16" s="4">
        <v>4.0999999999999996</v>
      </c>
      <c r="O16" s="4">
        <f ca="1">IFERROR(__xludf.DUMMYFUNCTION("IF(Cost_in_dollars!E16=""USD"",Cost_in_dollars!B16,Cost_in_dollars!B16 * GOOGLEFINANCE(""CURRENCY:"" &amp; Cost_in_dollars!E16 &amp; ""USD""))
"),14000000)</f>
        <v>14000000</v>
      </c>
      <c r="P16" s="4">
        <f ca="1">IFERROR(__xludf.DUMMYFUNCTION("IF(Cost_in_dollars!E16=""USD"",Cost_in_dollars!C16,Cost_in_dollars!C16 * GOOGLEFINANCE(""CURRENCY:"" &amp; Cost_in_dollars!E16 &amp; ""USD""))
"),21468807)</f>
        <v>21468807</v>
      </c>
      <c r="Q16" s="4">
        <f t="shared" ca="1" si="0"/>
        <v>7468807</v>
      </c>
      <c r="R16" s="5" t="str">
        <f t="shared" si="1"/>
        <v>Urban Legends: Final Cut</v>
      </c>
      <c r="S16" s="43" t="str">
        <f t="shared" si="2"/>
        <v>Horror</v>
      </c>
    </row>
    <row r="17" spans="1:19" x14ac:dyDescent="0.25">
      <c r="A17" s="6" t="s">
        <v>97</v>
      </c>
      <c r="B17" s="6">
        <v>65</v>
      </c>
      <c r="C17" s="6">
        <v>12189514</v>
      </c>
      <c r="D17" s="6" t="s">
        <v>88</v>
      </c>
      <c r="E17" s="6" t="s">
        <v>98</v>
      </c>
      <c r="F17" s="6" t="s">
        <v>99</v>
      </c>
      <c r="G17" s="6">
        <v>30092</v>
      </c>
      <c r="H17" s="6" t="s">
        <v>100</v>
      </c>
      <c r="I17" s="6">
        <v>129</v>
      </c>
      <c r="J17" s="6" t="s">
        <v>23</v>
      </c>
      <c r="K17" s="6" t="s">
        <v>24</v>
      </c>
      <c r="L17" s="6">
        <v>23000000</v>
      </c>
      <c r="M17" s="6">
        <v>2004</v>
      </c>
      <c r="N17" s="6">
        <v>6.1</v>
      </c>
      <c r="O17" s="4">
        <f ca="1">IFERROR(__xludf.DUMMYFUNCTION("IF(Cost_in_dollars!E17=""USD"",Cost_in_dollars!B17,Cost_in_dollars!B17 * GOOGLEFINANCE(""CURRENCY:"" &amp; Cost_in_dollars!E17 &amp; ""USD""))
"),23000000)</f>
        <v>23000000</v>
      </c>
      <c r="P17" s="4">
        <f ca="1">IFERROR(__xludf.DUMMYFUNCTION("IF(Cost_in_dollars!E17=""USD"",Cost_in_dollars!C17,Cost_in_dollars!C17 * GOOGLEFINANCE(""CURRENCY:"" &amp; Cost_in_dollars!E17 &amp; ""USD""))
"),12189514)</f>
        <v>12189514</v>
      </c>
      <c r="Q17" s="6">
        <f t="shared" ca="1" si="0"/>
        <v>-10810486</v>
      </c>
      <c r="R17" s="7" t="str">
        <f t="shared" si="1"/>
        <v>Chasing Liberty</v>
      </c>
      <c r="S17" s="43" t="str">
        <f t="shared" si="2"/>
        <v>Comedy</v>
      </c>
    </row>
    <row r="18" spans="1:19" x14ac:dyDescent="0.25">
      <c r="A18" s="4" t="s">
        <v>101</v>
      </c>
      <c r="B18" s="4">
        <v>54</v>
      </c>
      <c r="C18" s="4">
        <v>985341</v>
      </c>
      <c r="D18" s="4" t="s">
        <v>102</v>
      </c>
      <c r="E18" s="4" t="s">
        <v>103</v>
      </c>
      <c r="F18" s="4" t="s">
        <v>104</v>
      </c>
      <c r="G18" s="4">
        <v>3479</v>
      </c>
      <c r="H18" s="4" t="s">
        <v>105</v>
      </c>
      <c r="I18" s="4">
        <v>87</v>
      </c>
      <c r="J18" s="4" t="s">
        <v>23</v>
      </c>
      <c r="K18" s="4" t="s">
        <v>24</v>
      </c>
      <c r="L18" s="4">
        <v>500000</v>
      </c>
      <c r="M18" s="4">
        <v>1999</v>
      </c>
      <c r="N18" s="4">
        <v>7.3</v>
      </c>
      <c r="O18" s="4">
        <f ca="1">IFERROR(__xludf.DUMMYFUNCTION("IF(Cost_in_dollars!E18=""USD"",Cost_in_dollars!B18,Cost_in_dollars!B18 * GOOGLEFINANCE(""CURRENCY:"" &amp; Cost_in_dollars!E18 &amp; ""USD""))
"),500000)</f>
        <v>500000</v>
      </c>
      <c r="P18" s="4">
        <f ca="1">IFERROR(__xludf.DUMMYFUNCTION("IF(Cost_in_dollars!E18=""USD"",Cost_in_dollars!C18,Cost_in_dollars!C18 * GOOGLEFINANCE(""CURRENCY:"" &amp; Cost_in_dollars!E18 &amp; ""USD""))
"),985341)</f>
        <v>985341</v>
      </c>
      <c r="Q18" s="4">
        <f t="shared" ca="1" si="0"/>
        <v>485341</v>
      </c>
      <c r="R18" s="5" t="str">
        <f t="shared" si="1"/>
        <v>Twin Falls Idaho</v>
      </c>
      <c r="S18" s="43" t="str">
        <f t="shared" si="2"/>
        <v>Drama</v>
      </c>
    </row>
    <row r="19" spans="1:19" x14ac:dyDescent="0.25">
      <c r="A19" s="6" t="s">
        <v>106</v>
      </c>
      <c r="B19" s="6">
        <v>3</v>
      </c>
      <c r="C19" s="6">
        <v>118666</v>
      </c>
      <c r="D19" s="6" t="s">
        <v>102</v>
      </c>
      <c r="E19" s="6" t="s">
        <v>107</v>
      </c>
      <c r="F19" s="6" t="s">
        <v>108</v>
      </c>
      <c r="G19" s="6">
        <v>91</v>
      </c>
      <c r="H19" s="6" t="s">
        <v>109</v>
      </c>
      <c r="I19" s="6">
        <v>3</v>
      </c>
      <c r="J19" s="6" t="s">
        <v>23</v>
      </c>
      <c r="K19" s="6" t="s">
        <v>24</v>
      </c>
      <c r="L19" s="6">
        <v>2500000</v>
      </c>
      <c r="M19" s="6">
        <v>2006</v>
      </c>
      <c r="N19" s="6">
        <v>6.6</v>
      </c>
      <c r="O19" s="4">
        <f ca="1">IFERROR(__xludf.DUMMYFUNCTION("IF(Cost_in_dollars!E19=""USD"",Cost_in_dollars!B19,Cost_in_dollars!B19 * GOOGLEFINANCE(""CURRENCY:"" &amp; Cost_in_dollars!E19 &amp; ""USD""))
"),2500000)</f>
        <v>2500000</v>
      </c>
      <c r="P19" s="4">
        <f ca="1">IFERROR(__xludf.DUMMYFUNCTION("IF(Cost_in_dollars!E19=""USD"",Cost_in_dollars!C19,Cost_in_dollars!C19 * GOOGLEFINANCE(""CURRENCY:"" &amp; Cost_in_dollars!E19 &amp; ""USD""))
"),118666)</f>
        <v>118666</v>
      </c>
      <c r="Q19" s="6">
        <f t="shared" ca="1" si="0"/>
        <v>-2381334</v>
      </c>
      <c r="R19" s="7" t="str">
        <f t="shared" si="1"/>
        <v>Valley of the Heart's Delight</v>
      </c>
      <c r="S19" s="43" t="str">
        <f t="shared" si="2"/>
        <v>Drama</v>
      </c>
    </row>
    <row r="20" spans="1:19" x14ac:dyDescent="0.25">
      <c r="A20" s="4" t="s">
        <v>110</v>
      </c>
      <c r="B20" s="4">
        <v>152</v>
      </c>
      <c r="C20" s="4">
        <v>31768374</v>
      </c>
      <c r="D20" s="4" t="s">
        <v>111</v>
      </c>
      <c r="E20" s="4" t="s">
        <v>112</v>
      </c>
      <c r="F20" s="4" t="s">
        <v>113</v>
      </c>
      <c r="G20" s="4">
        <v>42761</v>
      </c>
      <c r="H20" s="4" t="s">
        <v>114</v>
      </c>
      <c r="I20" s="4">
        <v>366</v>
      </c>
      <c r="J20" s="4" t="s">
        <v>23</v>
      </c>
      <c r="K20" s="4" t="s">
        <v>24</v>
      </c>
      <c r="L20" s="4">
        <v>27000000</v>
      </c>
      <c r="M20" s="4">
        <v>1999</v>
      </c>
      <c r="N20" s="4">
        <v>5.6</v>
      </c>
      <c r="O20" s="4">
        <f ca="1">IFERROR(__xludf.DUMMYFUNCTION("IF(Cost_in_dollars!E20=""USD"",Cost_in_dollars!B20,Cost_in_dollars!B20 * GOOGLEFINANCE(""CURRENCY:"" &amp; Cost_in_dollars!E20 &amp; ""USD""))
"),27000000)</f>
        <v>27000000</v>
      </c>
      <c r="P20" s="4">
        <f ca="1">IFERROR(__xludf.DUMMYFUNCTION("IF(Cost_in_dollars!E20=""USD"",Cost_in_dollars!C20,Cost_in_dollars!C20 * GOOGLEFINANCE(""CURRENCY:"" &amp; Cost_in_dollars!E20 &amp; ""USD""))
"),31768374)</f>
        <v>31768374</v>
      </c>
      <c r="Q20" s="4">
        <f t="shared" ca="1" si="0"/>
        <v>4768374</v>
      </c>
      <c r="R20" s="5" t="str">
        <f t="shared" si="1"/>
        <v>Lake Placid</v>
      </c>
      <c r="S20" s="43" t="str">
        <f t="shared" si="2"/>
        <v>Action</v>
      </c>
    </row>
    <row r="21" spans="1:19" ht="15.75" customHeight="1" x14ac:dyDescent="0.25">
      <c r="A21" s="6" t="s">
        <v>115</v>
      </c>
      <c r="B21" s="6">
        <v>129</v>
      </c>
      <c r="C21" s="6">
        <v>71026631</v>
      </c>
      <c r="D21" s="6" t="s">
        <v>116</v>
      </c>
      <c r="E21" s="6" t="s">
        <v>69</v>
      </c>
      <c r="F21" s="6" t="s">
        <v>117</v>
      </c>
      <c r="G21" s="6">
        <v>98899</v>
      </c>
      <c r="H21" s="6" t="s">
        <v>118</v>
      </c>
      <c r="I21" s="6">
        <v>394</v>
      </c>
      <c r="J21" s="6" t="s">
        <v>23</v>
      </c>
      <c r="K21" s="6" t="s">
        <v>24</v>
      </c>
      <c r="L21" s="6">
        <v>36000000</v>
      </c>
      <c r="M21" s="6">
        <v>2002</v>
      </c>
      <c r="N21" s="6">
        <v>7</v>
      </c>
      <c r="O21" s="4">
        <f ca="1">IFERROR(__xludf.DUMMYFUNCTION("IF(Cost_in_dollars!E21=""USD"",Cost_in_dollars!B21,Cost_in_dollars!B21 * GOOGLEFINANCE(""CURRENCY:"" &amp; Cost_in_dollars!E21 &amp; ""USD""))
"),36000000)</f>
        <v>36000000</v>
      </c>
      <c r="P21" s="4">
        <f ca="1">IFERROR(__xludf.DUMMYFUNCTION("IF(Cost_in_dollars!E21=""USD"",Cost_in_dollars!C21,Cost_in_dollars!C21 * GOOGLEFINANCE(""CURRENCY:"" &amp; Cost_in_dollars!E21 &amp; ""USD""))
"),71026631)</f>
        <v>71026631</v>
      </c>
      <c r="Q21" s="6">
        <f t="shared" ca="1" si="0"/>
        <v>35026631</v>
      </c>
      <c r="R21" s="7" t="str">
        <f t="shared" si="1"/>
        <v>John Q</v>
      </c>
      <c r="S21" s="43" t="str">
        <f t="shared" si="2"/>
        <v>Crime</v>
      </c>
    </row>
    <row r="22" spans="1:19" ht="15.75" customHeight="1" x14ac:dyDescent="0.25">
      <c r="A22" s="4" t="s">
        <v>119</v>
      </c>
      <c r="B22" s="4">
        <v>41</v>
      </c>
      <c r="C22" s="4">
        <v>2956000</v>
      </c>
      <c r="D22" s="4" t="s">
        <v>120</v>
      </c>
      <c r="E22" s="4" t="s">
        <v>121</v>
      </c>
      <c r="F22" s="4" t="s">
        <v>122</v>
      </c>
      <c r="G22" s="4">
        <v>3258</v>
      </c>
      <c r="H22" s="4" t="s">
        <v>123</v>
      </c>
      <c r="I22" s="4">
        <v>54</v>
      </c>
      <c r="J22" s="4" t="s">
        <v>23</v>
      </c>
      <c r="K22" s="4" t="s">
        <v>24</v>
      </c>
      <c r="L22" s="4">
        <v>3700000</v>
      </c>
      <c r="M22" s="4">
        <v>1948</v>
      </c>
      <c r="N22" s="4">
        <v>7.1</v>
      </c>
      <c r="O22" s="4">
        <f ca="1">IFERROR(__xludf.DUMMYFUNCTION("IF(Cost_in_dollars!E22=""USD"",Cost_in_dollars!B22,Cost_in_dollars!B22 * GOOGLEFINANCE(""CURRENCY:"" &amp; Cost_in_dollars!E22 &amp; ""USD""))
"),3700000)</f>
        <v>3700000</v>
      </c>
      <c r="P22" s="4">
        <f ca="1">IFERROR(__xludf.DUMMYFUNCTION("IF(Cost_in_dollars!E22=""USD"",Cost_in_dollars!C22,Cost_in_dollars!C22 * GOOGLEFINANCE(""CURRENCY:"" &amp; Cost_in_dollars!E22 &amp; ""USD""))
"),2956000)</f>
        <v>2956000</v>
      </c>
      <c r="Q22" s="4">
        <f t="shared" ca="1" si="0"/>
        <v>-744000</v>
      </c>
      <c r="R22" s="5" t="str">
        <f t="shared" si="1"/>
        <v>The Pirate</v>
      </c>
      <c r="S22" s="43" t="str">
        <f t="shared" si="2"/>
        <v>Adventure</v>
      </c>
    </row>
    <row r="23" spans="1:19" ht="15.75" customHeight="1" x14ac:dyDescent="0.25">
      <c r="A23" s="6" t="s">
        <v>124</v>
      </c>
      <c r="B23" s="6">
        <v>87</v>
      </c>
      <c r="C23" s="6">
        <v>5516708</v>
      </c>
      <c r="D23" s="6" t="s">
        <v>88</v>
      </c>
      <c r="E23" s="6" t="s">
        <v>125</v>
      </c>
      <c r="F23" s="6" t="s">
        <v>126</v>
      </c>
      <c r="G23" s="6">
        <v>11375</v>
      </c>
      <c r="H23" s="6" t="s">
        <v>127</v>
      </c>
      <c r="I23" s="6">
        <v>91</v>
      </c>
      <c r="J23" s="6" t="s">
        <v>23</v>
      </c>
      <c r="K23" s="6" t="s">
        <v>24</v>
      </c>
      <c r="L23" s="6">
        <v>25000000</v>
      </c>
      <c r="M23" s="6">
        <v>2001</v>
      </c>
      <c r="N23" s="6">
        <v>4.9000000000000004</v>
      </c>
      <c r="O23" s="4">
        <f ca="1">IFERROR(__xludf.DUMMYFUNCTION("IF(Cost_in_dollars!E23=""USD"",Cost_in_dollars!B23,Cost_in_dollars!B23 * GOOGLEFINANCE(""CURRENCY:"" &amp; Cost_in_dollars!E23 &amp; ""USD""))
"),25000000)</f>
        <v>25000000</v>
      </c>
      <c r="P23" s="4">
        <f ca="1">IFERROR(__xludf.DUMMYFUNCTION("IF(Cost_in_dollars!E23=""USD"",Cost_in_dollars!C23,Cost_in_dollars!C23 * GOOGLEFINANCE(""CURRENCY:"" &amp; Cost_in_dollars!E23 &amp; ""USD""))
"),5516708)</f>
        <v>5516708</v>
      </c>
      <c r="Q23" s="6">
        <f t="shared" ca="1" si="0"/>
        <v>-19483292</v>
      </c>
      <c r="R23" s="7" t="str">
        <f t="shared" si="1"/>
        <v>Say It Isn't So</v>
      </c>
      <c r="S23" s="43" t="str">
        <f t="shared" si="2"/>
        <v>Comedy</v>
      </c>
    </row>
    <row r="24" spans="1:19" ht="15.75" customHeight="1" x14ac:dyDescent="0.25">
      <c r="A24" s="4" t="s">
        <v>128</v>
      </c>
      <c r="B24" s="4">
        <v>285</v>
      </c>
      <c r="C24" s="4">
        <v>23618786</v>
      </c>
      <c r="D24" s="4" t="s">
        <v>129</v>
      </c>
      <c r="E24" s="4" t="s">
        <v>130</v>
      </c>
      <c r="F24" s="4" t="s">
        <v>131</v>
      </c>
      <c r="G24" s="4">
        <v>352695</v>
      </c>
      <c r="H24" s="4" t="s">
        <v>132</v>
      </c>
      <c r="I24" s="4">
        <v>687</v>
      </c>
      <c r="J24" s="4" t="s">
        <v>23</v>
      </c>
      <c r="K24" s="4" t="s">
        <v>133</v>
      </c>
      <c r="L24" s="4">
        <v>8000000</v>
      </c>
      <c r="M24" s="4">
        <v>2007</v>
      </c>
      <c r="N24" s="4">
        <v>7.9</v>
      </c>
      <c r="O24" s="4">
        <f ca="1">IFERROR(__xludf.DUMMYFUNCTION("IF(Cost_in_dollars!E24=""USD"",Cost_in_dollars!B24,Cost_in_dollars!B24 * GOOGLEFINANCE(""CURRENCY:"" &amp; Cost_in_dollars!E24 &amp; ""USD""))
"),10283199.9999999)</f>
        <v>10283199.999999899</v>
      </c>
      <c r="P24" s="4">
        <f ca="1">IFERROR(__xludf.DUMMYFUNCTION("IF(Cost_in_dollars!E24=""USD"",Cost_in_dollars!C24,Cost_in_dollars!C24 * GOOGLEFINANCE(""CURRENCY:"" &amp; Cost_in_dollars!E24 &amp; ""USD""))
"),30359587.5243999)</f>
        <v>30359587.524399899</v>
      </c>
      <c r="Q24" s="4">
        <f t="shared" ca="1" si="0"/>
        <v>20076387.5244</v>
      </c>
      <c r="R24" s="5" t="str">
        <f t="shared" si="1"/>
        <v>Hot Fuzz</v>
      </c>
      <c r="S24" s="43" t="str">
        <f t="shared" si="2"/>
        <v>Action</v>
      </c>
    </row>
    <row r="25" spans="1:19" ht="15.75" customHeight="1" x14ac:dyDescent="0.25">
      <c r="A25" s="6" t="s">
        <v>134</v>
      </c>
      <c r="B25" s="6">
        <v>34</v>
      </c>
      <c r="C25" s="6">
        <v>1889522</v>
      </c>
      <c r="D25" s="6" t="s">
        <v>135</v>
      </c>
      <c r="E25" s="6" t="s">
        <v>136</v>
      </c>
      <c r="F25" s="6" t="s">
        <v>137</v>
      </c>
      <c r="G25" s="6">
        <v>1119</v>
      </c>
      <c r="H25" s="6" t="s">
        <v>138</v>
      </c>
      <c r="I25" s="6">
        <v>12</v>
      </c>
      <c r="J25" s="6" t="s">
        <v>23</v>
      </c>
      <c r="K25" s="6" t="s">
        <v>24</v>
      </c>
      <c r="L25" s="6">
        <v>7000000</v>
      </c>
      <c r="M25" s="6">
        <v>2009</v>
      </c>
      <c r="N25" s="6">
        <v>6.5</v>
      </c>
      <c r="O25" s="4">
        <f ca="1">IFERROR(__xludf.DUMMYFUNCTION("IF(Cost_in_dollars!E25=""USD"",Cost_in_dollars!B25,Cost_in_dollars!B25 * GOOGLEFINANCE(""CURRENCY:"" &amp; Cost_in_dollars!E25 &amp; ""USD""))
"),7000000)</f>
        <v>7000000</v>
      </c>
      <c r="P25" s="4">
        <f ca="1">IFERROR(__xludf.DUMMYFUNCTION("IF(Cost_in_dollars!E25=""USD"",Cost_in_dollars!C25,Cost_in_dollars!C25 * GOOGLEFINANCE(""CURRENCY:"" &amp; Cost_in_dollars!E25 &amp; ""USD""))
"),1889522)</f>
        <v>1889522</v>
      </c>
      <c r="Q25" s="6">
        <f t="shared" ca="1" si="0"/>
        <v>-5110478</v>
      </c>
      <c r="R25" s="7" t="str">
        <f t="shared" si="1"/>
        <v>The Mighty Macs</v>
      </c>
      <c r="S25" s="43" t="str">
        <f t="shared" si="2"/>
        <v>Drama</v>
      </c>
    </row>
    <row r="26" spans="1:19" ht="15.75" customHeight="1" x14ac:dyDescent="0.25">
      <c r="A26" s="4" t="s">
        <v>139</v>
      </c>
      <c r="B26" s="4">
        <v>45</v>
      </c>
      <c r="C26" s="4">
        <v>81200000</v>
      </c>
      <c r="D26" s="4" t="s">
        <v>140</v>
      </c>
      <c r="E26" s="4" t="s">
        <v>141</v>
      </c>
      <c r="F26" s="4" t="s">
        <v>142</v>
      </c>
      <c r="G26" s="4">
        <v>87739</v>
      </c>
      <c r="H26" s="4" t="s">
        <v>143</v>
      </c>
      <c r="I26" s="4">
        <v>133</v>
      </c>
      <c r="J26" s="4" t="s">
        <v>23</v>
      </c>
      <c r="K26" s="4" t="s">
        <v>24</v>
      </c>
      <c r="L26" s="4">
        <v>4500000</v>
      </c>
      <c r="M26" s="4">
        <v>1984</v>
      </c>
      <c r="N26" s="4">
        <v>6.7</v>
      </c>
      <c r="O26" s="4">
        <f ca="1">IFERROR(__xludf.DUMMYFUNCTION("IF(Cost_in_dollars!E26=""USD"",Cost_in_dollars!B26,Cost_in_dollars!B26 * GOOGLEFINANCE(""CURRENCY:"" &amp; Cost_in_dollars!E26 &amp; ""USD""))
"),4500000)</f>
        <v>4500000</v>
      </c>
      <c r="P26" s="4">
        <f ca="1">IFERROR(__xludf.DUMMYFUNCTION("IF(Cost_in_dollars!E26=""USD"",Cost_in_dollars!C26,Cost_in_dollars!C26 * GOOGLEFINANCE(""CURRENCY:"" &amp; Cost_in_dollars!E26 &amp; ""USD""))
"),81200000)</f>
        <v>81200000</v>
      </c>
      <c r="Q26" s="4">
        <f t="shared" ca="1" si="0"/>
        <v>76700000</v>
      </c>
      <c r="R26" s="5" t="str">
        <f t="shared" si="1"/>
        <v>Police Academy</v>
      </c>
      <c r="S26" s="43" t="str">
        <f t="shared" si="2"/>
        <v>Comedy</v>
      </c>
    </row>
    <row r="27" spans="1:19" ht="15.75" customHeight="1" x14ac:dyDescent="0.25">
      <c r="A27" s="6" t="s">
        <v>144</v>
      </c>
      <c r="B27" s="6">
        <v>60</v>
      </c>
      <c r="C27" s="6">
        <v>17300889</v>
      </c>
      <c r="D27" s="6" t="s">
        <v>145</v>
      </c>
      <c r="E27" s="6" t="s">
        <v>146</v>
      </c>
      <c r="F27" s="6" t="s">
        <v>147</v>
      </c>
      <c r="G27" s="6">
        <v>27648</v>
      </c>
      <c r="H27" s="6" t="s">
        <v>148</v>
      </c>
      <c r="I27" s="6">
        <v>148</v>
      </c>
      <c r="J27" s="6" t="s">
        <v>23</v>
      </c>
      <c r="K27" s="6" t="s">
        <v>149</v>
      </c>
      <c r="L27" s="6">
        <v>45000000</v>
      </c>
      <c r="M27" s="6">
        <v>1996</v>
      </c>
      <c r="N27" s="6">
        <v>4.9000000000000004</v>
      </c>
      <c r="O27" s="4">
        <f ca="1">IFERROR(__xludf.DUMMYFUNCTION("IF(Cost_in_dollars!E27=""USD"",Cost_in_dollars!B27,Cost_in_dollars!B27 * GOOGLEFINANCE(""CURRENCY:"" &amp; Cost_in_dollars!E27 &amp; ""USD""))
"),29424600)</f>
        <v>29424600</v>
      </c>
      <c r="P27" s="4">
        <f ca="1">IFERROR(__xludf.DUMMYFUNCTION("IF(Cost_in_dollars!E27=""USD"",Cost_in_dollars!C27,Cost_in_dollars!C27 * GOOGLEFINANCE(""CURRENCY:"" &amp; Cost_in_dollars!E27 &amp; ""USD""))
"),11312705.29932)</f>
        <v>11312705.299319999</v>
      </c>
      <c r="Q27" s="6">
        <f t="shared" ca="1" si="0"/>
        <v>-18111894.700680003</v>
      </c>
      <c r="R27" s="7" t="str">
        <f t="shared" si="1"/>
        <v>The Phantom</v>
      </c>
      <c r="S27" s="43" t="str">
        <f t="shared" si="2"/>
        <v>Action</v>
      </c>
    </row>
    <row r="28" spans="1:19" ht="15.75" customHeight="1" x14ac:dyDescent="0.25">
      <c r="A28" s="4" t="s">
        <v>150</v>
      </c>
      <c r="B28" s="4">
        <v>256</v>
      </c>
      <c r="C28" s="4">
        <v>26505000</v>
      </c>
      <c r="D28" s="4" t="s">
        <v>151</v>
      </c>
      <c r="E28" s="4" t="s">
        <v>84</v>
      </c>
      <c r="F28" s="4" t="s">
        <v>152</v>
      </c>
      <c r="G28" s="4">
        <v>149285</v>
      </c>
      <c r="H28" s="4" t="s">
        <v>153</v>
      </c>
      <c r="I28" s="4">
        <v>668</v>
      </c>
      <c r="J28" s="4" t="s">
        <v>23</v>
      </c>
      <c r="K28" s="4" t="s">
        <v>24</v>
      </c>
      <c r="L28" s="4">
        <v>1800000</v>
      </c>
      <c r="M28" s="4">
        <v>1984</v>
      </c>
      <c r="N28" s="4">
        <v>7.5</v>
      </c>
      <c r="O28" s="4">
        <f ca="1">IFERROR(__xludf.DUMMYFUNCTION("IF(Cost_in_dollars!E28=""USD"",Cost_in_dollars!B28,Cost_in_dollars!B28 * GOOGLEFINANCE(""CURRENCY:"" &amp; Cost_in_dollars!E28 &amp; ""USD""))
"),1800000)</f>
        <v>1800000</v>
      </c>
      <c r="P28" s="4">
        <f ca="1">IFERROR(__xludf.DUMMYFUNCTION("IF(Cost_in_dollars!E28=""USD"",Cost_in_dollars!C28,Cost_in_dollars!C28 * GOOGLEFINANCE(""CURRENCY:"" &amp; Cost_in_dollars!E28 &amp; ""USD""))
"),26505000)</f>
        <v>26505000</v>
      </c>
      <c r="Q28" s="4">
        <f t="shared" ca="1" si="0"/>
        <v>24705000</v>
      </c>
      <c r="R28" s="5" t="str">
        <f t="shared" si="1"/>
        <v>A Nightmare on Elm Street</v>
      </c>
      <c r="S28" s="43" t="str">
        <f t="shared" si="2"/>
        <v>Horror</v>
      </c>
    </row>
    <row r="29" spans="1:19" ht="15.75" customHeight="1" x14ac:dyDescent="0.25">
      <c r="A29" s="6" t="s">
        <v>154</v>
      </c>
      <c r="B29" s="6">
        <v>98</v>
      </c>
      <c r="C29" s="6">
        <v>49413</v>
      </c>
      <c r="D29" s="6" t="s">
        <v>155</v>
      </c>
      <c r="E29" s="6" t="s">
        <v>156</v>
      </c>
      <c r="F29" s="6" t="s">
        <v>157</v>
      </c>
      <c r="G29" s="6">
        <v>6919</v>
      </c>
      <c r="H29" s="6" t="s">
        <v>158</v>
      </c>
      <c r="I29" s="6">
        <v>26</v>
      </c>
      <c r="J29" s="6" t="s">
        <v>159</v>
      </c>
      <c r="K29" s="6" t="s">
        <v>160</v>
      </c>
      <c r="L29" s="6">
        <v>35000000</v>
      </c>
      <c r="M29" s="6">
        <v>2006</v>
      </c>
      <c r="N29" s="6">
        <v>7.3</v>
      </c>
      <c r="O29" s="4">
        <f ca="1">IFERROR(__xludf.DUMMYFUNCTION("IF(Cost_in_dollars!E29=""USD"",Cost_in_dollars!B29,Cost_in_dollars!B29 * GOOGLEFINANCE(""CURRENCY:"" &amp; Cost_in_dollars!E29 &amp; ""USD""))
"),4483300.5)</f>
        <v>4483300.5</v>
      </c>
      <c r="P29" s="4">
        <f ca="1">IFERROR(__xludf.DUMMYFUNCTION("IF(Cost_in_dollars!E29=""USD"",Cost_in_dollars!C29,Cost_in_dollars!C29 * GOOGLEFINANCE(""CURRENCY:"" &amp; Cost_in_dollars!E29 &amp; ""USD""))
"),6329.5236459)</f>
        <v>6329.5236458999998</v>
      </c>
      <c r="Q29" s="6">
        <f t="shared" ca="1" si="0"/>
        <v>-4476970.9763540998</v>
      </c>
      <c r="R29" s="7" t="str">
        <f t="shared" si="1"/>
        <v>Exiled</v>
      </c>
      <c r="S29" s="43" t="str">
        <f t="shared" si="2"/>
        <v>Action</v>
      </c>
    </row>
    <row r="30" spans="1:19" ht="15.75" customHeight="1" x14ac:dyDescent="0.25">
      <c r="A30" s="4" t="s">
        <v>161</v>
      </c>
      <c r="B30" s="4">
        <v>168</v>
      </c>
      <c r="C30" s="4">
        <v>30212620</v>
      </c>
      <c r="D30" s="4" t="s">
        <v>162</v>
      </c>
      <c r="E30" s="4" t="s">
        <v>163</v>
      </c>
      <c r="F30" s="4" t="s">
        <v>164</v>
      </c>
      <c r="G30" s="4">
        <v>35066</v>
      </c>
      <c r="H30" s="4" t="s">
        <v>165</v>
      </c>
      <c r="I30" s="4">
        <v>196</v>
      </c>
      <c r="J30" s="4" t="s">
        <v>23</v>
      </c>
      <c r="K30" s="4" t="s">
        <v>24</v>
      </c>
      <c r="L30" s="4">
        <v>120000000</v>
      </c>
      <c r="M30" s="4">
        <v>2010</v>
      </c>
      <c r="N30" s="4">
        <v>5.3</v>
      </c>
      <c r="O30" s="4">
        <f ca="1">IFERROR(__xludf.DUMMYFUNCTION("IF(Cost_in_dollars!E30=""USD"",Cost_in_dollars!B30,Cost_in_dollars!B30 * GOOGLEFINANCE(""CURRENCY:"" &amp; Cost_in_dollars!E30 &amp; ""USD""))
"),120000000)</f>
        <v>120000000</v>
      </c>
      <c r="P30" s="4">
        <f ca="1">IFERROR(__xludf.DUMMYFUNCTION("IF(Cost_in_dollars!E30=""USD"",Cost_in_dollars!C30,Cost_in_dollars!C30 * GOOGLEFINANCE(""CURRENCY:"" &amp; Cost_in_dollars!E30 &amp; ""USD""))
"),30212620)</f>
        <v>30212620</v>
      </c>
      <c r="Q30" s="4">
        <f t="shared" ca="1" si="0"/>
        <v>-89787380</v>
      </c>
      <c r="R30" s="5" t="str">
        <f t="shared" si="1"/>
        <v>How Do You Know</v>
      </c>
      <c r="S30" s="43" t="str">
        <f t="shared" si="2"/>
        <v>Comedy</v>
      </c>
    </row>
    <row r="31" spans="1:19" ht="15.75" customHeight="1" x14ac:dyDescent="0.25">
      <c r="A31" s="6" t="s">
        <v>166</v>
      </c>
      <c r="B31" s="6">
        <v>29</v>
      </c>
      <c r="C31" s="6">
        <v>36049108</v>
      </c>
      <c r="D31" s="6" t="s">
        <v>167</v>
      </c>
      <c r="E31" s="6" t="s">
        <v>168</v>
      </c>
      <c r="F31" s="6" t="s">
        <v>169</v>
      </c>
      <c r="G31" s="6">
        <v>10139</v>
      </c>
      <c r="H31" s="6" t="s">
        <v>170</v>
      </c>
      <c r="I31" s="6">
        <v>70</v>
      </c>
      <c r="J31" s="6" t="s">
        <v>23</v>
      </c>
      <c r="K31" s="6" t="s">
        <v>24</v>
      </c>
      <c r="L31" s="6">
        <v>9000000</v>
      </c>
      <c r="M31" s="6">
        <v>1996</v>
      </c>
      <c r="N31" s="6">
        <v>6.8</v>
      </c>
      <c r="O31" s="4">
        <f ca="1">IFERROR(__xludf.DUMMYFUNCTION("IF(Cost_in_dollars!E31=""USD"",Cost_in_dollars!B31,Cost_in_dollars!B31 * GOOGLEFINANCE(""CURRENCY:"" &amp; Cost_in_dollars!E31 &amp; ""USD""))
"),9000000)</f>
        <v>9000000</v>
      </c>
      <c r="P31" s="4">
        <f ca="1">IFERROR(__xludf.DUMMYFUNCTION("IF(Cost_in_dollars!E31=""USD"",Cost_in_dollars!C31,Cost_in_dollars!C31 * GOOGLEFINANCE(""CURRENCY:"" &amp; Cost_in_dollars!E31 &amp; ""USD""))
"),36049108)</f>
        <v>36049108</v>
      </c>
      <c r="Q31" s="6">
        <f t="shared" ca="1" si="0"/>
        <v>27049108</v>
      </c>
      <c r="R31" s="7" t="str">
        <f t="shared" si="1"/>
        <v>Set It Off</v>
      </c>
      <c r="S31" s="43" t="str">
        <f t="shared" si="2"/>
        <v>Action</v>
      </c>
    </row>
    <row r="32" spans="1:19" ht="15.75" customHeight="1" x14ac:dyDescent="0.25">
      <c r="A32" s="4" t="s">
        <v>171</v>
      </c>
      <c r="B32" s="4">
        <v>156</v>
      </c>
      <c r="C32" s="4">
        <v>25167270</v>
      </c>
      <c r="D32" s="4" t="s">
        <v>172</v>
      </c>
      <c r="E32" s="4" t="s">
        <v>173</v>
      </c>
      <c r="F32" s="4" t="s">
        <v>174</v>
      </c>
      <c r="G32" s="4">
        <v>30119</v>
      </c>
      <c r="H32" s="4" t="s">
        <v>175</v>
      </c>
      <c r="I32" s="4">
        <v>263</v>
      </c>
      <c r="J32" s="4" t="s">
        <v>23</v>
      </c>
      <c r="K32" s="4" t="s">
        <v>176</v>
      </c>
      <c r="L32" s="4">
        <v>24000000</v>
      </c>
      <c r="M32" s="4">
        <v>2000</v>
      </c>
      <c r="N32" s="4">
        <v>6.3</v>
      </c>
      <c r="O32" s="4">
        <f ca="1">IFERROR(__xludf.DUMMYFUNCTION("IF(Cost_in_dollars!E32=""USD"",Cost_in_dollars!B32,Cost_in_dollars!B32 * GOOGLEFINANCE(""CURRENCY:"" &amp; Cost_in_dollars!E32 &amp; ""USD""))
"),26033760)</f>
        <v>26033760</v>
      </c>
      <c r="P32" s="4">
        <f ca="1">IFERROR(__xludf.DUMMYFUNCTION("IF(Cost_in_dollars!E32=""USD"",Cost_in_dollars!C32,Cost_in_dollars!C32 * GOOGLEFINANCE(""CURRENCY:"" &amp; Cost_in_dollars!E32 &amp; ""USD""))
"),27299944.4598)</f>
        <v>27299944.459800001</v>
      </c>
      <c r="Q32" s="4">
        <f t="shared" ca="1" si="0"/>
        <v>1266184.4598000012</v>
      </c>
      <c r="R32" s="5" t="str">
        <f t="shared" si="1"/>
        <v>Nurse Betty</v>
      </c>
      <c r="S32" s="43" t="str">
        <f t="shared" si="2"/>
        <v>Comedy</v>
      </c>
    </row>
    <row r="33" spans="1:19" ht="15.75" customHeight="1" x14ac:dyDescent="0.25">
      <c r="A33" s="6" t="s">
        <v>177</v>
      </c>
      <c r="B33" s="6">
        <v>339</v>
      </c>
      <c r="C33" s="6">
        <v>73103784</v>
      </c>
      <c r="D33" s="6" t="s">
        <v>178</v>
      </c>
      <c r="E33" s="6" t="s">
        <v>179</v>
      </c>
      <c r="F33" s="6" t="s">
        <v>180</v>
      </c>
      <c r="G33" s="6">
        <v>164238</v>
      </c>
      <c r="H33" s="6" t="s">
        <v>181</v>
      </c>
      <c r="I33" s="6">
        <v>434</v>
      </c>
      <c r="J33" s="6" t="s">
        <v>23</v>
      </c>
      <c r="K33" s="6" t="s">
        <v>24</v>
      </c>
      <c r="L33" s="6">
        <v>150000000</v>
      </c>
      <c r="M33" s="6">
        <v>2013</v>
      </c>
      <c r="N33" s="6">
        <v>6.4</v>
      </c>
      <c r="O33" s="4">
        <f ca="1">IFERROR(__xludf.DUMMYFUNCTION("IF(Cost_in_dollars!E33=""USD"",Cost_in_dollars!B33,Cost_in_dollars!B33 * GOOGLEFINANCE(""CURRENCY:"" &amp; Cost_in_dollars!E33 &amp; ""USD""))
"),150000000)</f>
        <v>150000000</v>
      </c>
      <c r="P33" s="4">
        <f ca="1">IFERROR(__xludf.DUMMYFUNCTION("IF(Cost_in_dollars!E33=""USD"",Cost_in_dollars!C33,Cost_in_dollars!C33 * GOOGLEFINANCE(""CURRENCY:"" &amp; Cost_in_dollars!E33 &amp; ""USD""))
"),73103784)</f>
        <v>73103784</v>
      </c>
      <c r="Q33" s="6">
        <f t="shared" ca="1" si="0"/>
        <v>-76896216</v>
      </c>
      <c r="R33" s="7" t="str">
        <f t="shared" si="1"/>
        <v>White House Down</v>
      </c>
      <c r="S33" s="43" t="str">
        <f t="shared" si="2"/>
        <v>Action</v>
      </c>
    </row>
    <row r="34" spans="1:19" ht="15.75" customHeight="1" x14ac:dyDescent="0.25">
      <c r="A34" s="4" t="s">
        <v>182</v>
      </c>
      <c r="B34" s="4">
        <v>153</v>
      </c>
      <c r="C34" s="4">
        <v>162831698</v>
      </c>
      <c r="D34" s="4" t="s">
        <v>183</v>
      </c>
      <c r="E34" s="4" t="s">
        <v>184</v>
      </c>
      <c r="F34" s="4" t="s">
        <v>185</v>
      </c>
      <c r="G34" s="4">
        <v>215255</v>
      </c>
      <c r="H34" s="4" t="s">
        <v>186</v>
      </c>
      <c r="I34" s="4">
        <v>610</v>
      </c>
      <c r="J34" s="4" t="s">
        <v>23</v>
      </c>
      <c r="K34" s="4" t="s">
        <v>24</v>
      </c>
      <c r="L34" s="4">
        <v>80000000</v>
      </c>
      <c r="M34" s="4">
        <v>1992</v>
      </c>
      <c r="N34" s="4">
        <v>7</v>
      </c>
      <c r="O34" s="4">
        <f ca="1">IFERROR(__xludf.DUMMYFUNCTION("IF(Cost_in_dollars!E34=""USD"",Cost_in_dollars!B34,Cost_in_dollars!B34 * GOOGLEFINANCE(""CURRENCY:"" &amp; Cost_in_dollars!E34 &amp; ""USD""))
"),80000000)</f>
        <v>80000000</v>
      </c>
      <c r="P34" s="4">
        <f ca="1">IFERROR(__xludf.DUMMYFUNCTION("IF(Cost_in_dollars!E34=""USD"",Cost_in_dollars!C34,Cost_in_dollars!C34 * GOOGLEFINANCE(""CURRENCY:"" &amp; Cost_in_dollars!E34 &amp; ""USD""))
"),162831698)</f>
        <v>162831698</v>
      </c>
      <c r="Q34" s="4">
        <f t="shared" ca="1" si="0"/>
        <v>82831698</v>
      </c>
      <c r="R34" s="5" t="str">
        <f t="shared" si="1"/>
        <v>Batman Returns</v>
      </c>
      <c r="S34" s="43" t="str">
        <f t="shared" si="2"/>
        <v>Action</v>
      </c>
    </row>
    <row r="35" spans="1:19" ht="15.75" customHeight="1" x14ac:dyDescent="0.25">
      <c r="A35" s="6" t="s">
        <v>187</v>
      </c>
      <c r="B35" s="6">
        <v>250</v>
      </c>
      <c r="C35" s="6">
        <v>85200000</v>
      </c>
      <c r="D35" s="6" t="s">
        <v>188</v>
      </c>
      <c r="E35" s="6" t="s">
        <v>189</v>
      </c>
      <c r="F35" s="6" t="s">
        <v>190</v>
      </c>
      <c r="G35" s="6">
        <v>488537</v>
      </c>
      <c r="H35" s="6" t="s">
        <v>191</v>
      </c>
      <c r="I35" s="6">
        <v>1076</v>
      </c>
      <c r="J35" s="6" t="s">
        <v>23</v>
      </c>
      <c r="K35" s="6" t="s">
        <v>24</v>
      </c>
      <c r="L35" s="6">
        <v>18500000</v>
      </c>
      <c r="M35" s="6">
        <v>1986</v>
      </c>
      <c r="N35" s="6">
        <v>8.4</v>
      </c>
      <c r="O35" s="4">
        <f ca="1">IFERROR(__xludf.DUMMYFUNCTION("IF(Cost_in_dollars!E35=""USD"",Cost_in_dollars!B35,Cost_in_dollars!B35 * GOOGLEFINANCE(""CURRENCY:"" &amp; Cost_in_dollars!E35 &amp; ""USD""))
"),18500000)</f>
        <v>18500000</v>
      </c>
      <c r="P35" s="4">
        <f ca="1">IFERROR(__xludf.DUMMYFUNCTION("IF(Cost_in_dollars!E35=""USD"",Cost_in_dollars!C35,Cost_in_dollars!C35 * GOOGLEFINANCE(""CURRENCY:"" &amp; Cost_in_dollars!E35 &amp; ""USD""))
"),85200000)</f>
        <v>85200000</v>
      </c>
      <c r="Q35" s="6">
        <f t="shared" ca="1" si="0"/>
        <v>66700000</v>
      </c>
      <c r="R35" s="7" t="str">
        <f t="shared" si="1"/>
        <v>Aliens</v>
      </c>
      <c r="S35" s="43" t="str">
        <f t="shared" si="2"/>
        <v>Action</v>
      </c>
    </row>
    <row r="36" spans="1:19" ht="15.75" customHeight="1" x14ac:dyDescent="0.25">
      <c r="A36" s="4" t="s">
        <v>192</v>
      </c>
      <c r="B36" s="4">
        <v>140</v>
      </c>
      <c r="C36" s="4">
        <v>47000485</v>
      </c>
      <c r="D36" s="4" t="s">
        <v>193</v>
      </c>
      <c r="E36" s="4" t="s">
        <v>194</v>
      </c>
      <c r="F36" s="4" t="s">
        <v>195</v>
      </c>
      <c r="G36" s="4">
        <v>72867</v>
      </c>
      <c r="H36" s="4" t="s">
        <v>196</v>
      </c>
      <c r="I36" s="4">
        <v>120</v>
      </c>
      <c r="J36" s="4" t="s">
        <v>23</v>
      </c>
      <c r="K36" s="4" t="s">
        <v>24</v>
      </c>
      <c r="L36" s="4">
        <v>75000000</v>
      </c>
      <c r="M36" s="4">
        <v>2010</v>
      </c>
      <c r="N36" s="4">
        <v>5.4</v>
      </c>
      <c r="O36" s="4">
        <f ca="1">IFERROR(__xludf.DUMMYFUNCTION("IF(Cost_in_dollars!E36=""USD"",Cost_in_dollars!B36,Cost_in_dollars!B36 * GOOGLEFINANCE(""CURRENCY:"" &amp; Cost_in_dollars!E36 &amp; ""USD""))
"),75000000)</f>
        <v>75000000</v>
      </c>
      <c r="P36" s="4">
        <f ca="1">IFERROR(__xludf.DUMMYFUNCTION("IF(Cost_in_dollars!E36=""USD"",Cost_in_dollars!C36,Cost_in_dollars!C36 * GOOGLEFINANCE(""CURRENCY:"" &amp; Cost_in_dollars!E36 &amp; ""USD""))
"),47000485)</f>
        <v>47000485</v>
      </c>
      <c r="Q36" s="4">
        <f t="shared" ca="1" si="0"/>
        <v>-27999515</v>
      </c>
      <c r="R36" s="5" t="str">
        <f t="shared" si="1"/>
        <v>Killers</v>
      </c>
      <c r="S36" s="43" t="str">
        <f t="shared" si="2"/>
        <v>Action</v>
      </c>
    </row>
    <row r="37" spans="1:19" ht="15.75" customHeight="1" x14ac:dyDescent="0.25">
      <c r="A37" s="6" t="s">
        <v>197</v>
      </c>
      <c r="B37" s="6">
        <v>195</v>
      </c>
      <c r="C37" s="6">
        <v>60057639</v>
      </c>
      <c r="D37" s="6" t="s">
        <v>172</v>
      </c>
      <c r="E37" s="6" t="s">
        <v>198</v>
      </c>
      <c r="F37" s="6" t="s">
        <v>199</v>
      </c>
      <c r="G37" s="6">
        <v>107815</v>
      </c>
      <c r="H37" s="6" t="s">
        <v>200</v>
      </c>
      <c r="I37" s="6">
        <v>485</v>
      </c>
      <c r="J37" s="6" t="s">
        <v>23</v>
      </c>
      <c r="K37" s="6" t="s">
        <v>24</v>
      </c>
      <c r="L37" s="6">
        <v>18000000</v>
      </c>
      <c r="M37" s="6">
        <v>2003</v>
      </c>
      <c r="N37" s="6">
        <v>7.1</v>
      </c>
      <c r="O37" s="4">
        <f ca="1">IFERROR(__xludf.DUMMYFUNCTION("IF(Cost_in_dollars!E37=""USD"",Cost_in_dollars!B37,Cost_in_dollars!B37 * GOOGLEFINANCE(""CURRENCY:"" &amp; Cost_in_dollars!E37 &amp; ""USD""))
"),18000000)</f>
        <v>18000000</v>
      </c>
      <c r="P37" s="4">
        <f ca="1">IFERROR(__xludf.DUMMYFUNCTION("IF(Cost_in_dollars!E37=""USD"",Cost_in_dollars!C37,Cost_in_dollars!C37 * GOOGLEFINANCE(""CURRENCY:"" &amp; Cost_in_dollars!E37 &amp; ""USD""))
"),60057639)</f>
        <v>60057639</v>
      </c>
      <c r="Q37" s="6">
        <f t="shared" ca="1" si="0"/>
        <v>42057639</v>
      </c>
      <c r="R37" s="7" t="str">
        <f t="shared" si="1"/>
        <v>Bad Santa</v>
      </c>
      <c r="S37" s="43" t="str">
        <f t="shared" si="2"/>
        <v>Comedy</v>
      </c>
    </row>
    <row r="38" spans="1:19" ht="15.75" customHeight="1" x14ac:dyDescent="0.25">
      <c r="A38" s="4" t="s">
        <v>201</v>
      </c>
      <c r="B38" s="4">
        <v>226</v>
      </c>
      <c r="C38" s="4">
        <v>51483949</v>
      </c>
      <c r="D38" s="4" t="s">
        <v>202</v>
      </c>
      <c r="E38" s="4" t="s">
        <v>203</v>
      </c>
      <c r="F38" s="4" t="s">
        <v>204</v>
      </c>
      <c r="G38" s="4">
        <v>208092</v>
      </c>
      <c r="H38" s="4" t="s">
        <v>205</v>
      </c>
      <c r="I38" s="4">
        <v>806</v>
      </c>
      <c r="J38" s="4" t="s">
        <v>23</v>
      </c>
      <c r="K38" s="4" t="s">
        <v>133</v>
      </c>
      <c r="L38" s="4">
        <v>22000000</v>
      </c>
      <c r="M38" s="4">
        <v>2003</v>
      </c>
      <c r="N38" s="4">
        <v>7</v>
      </c>
      <c r="O38" s="4">
        <f ca="1">IFERROR(__xludf.DUMMYFUNCTION("IF(Cost_in_dollars!E38=""USD"",Cost_in_dollars!B38,Cost_in_dollars!B38 * GOOGLEFINANCE(""CURRENCY:"" &amp; Cost_in_dollars!E38 &amp; ""USD""))
"),28278799.9999999)</f>
        <v>28278799.999999899</v>
      </c>
      <c r="P38" s="4">
        <f ca="1">IFERROR(__xludf.DUMMYFUNCTION("IF(Cost_in_dollars!E38=""USD"",Cost_in_dollars!C38,Cost_in_dollars!C38 * GOOGLEFINANCE(""CURRENCY:"" &amp; Cost_in_dollars!E38 &amp; ""USD""))
"),66177468.0445999)</f>
        <v>66177468.044599898</v>
      </c>
      <c r="Q38" s="4">
        <f t="shared" ca="1" si="0"/>
        <v>37898668.044599995</v>
      </c>
      <c r="R38" s="5" t="str">
        <f t="shared" si="1"/>
        <v>Underworld</v>
      </c>
      <c r="S38" s="43" t="str">
        <f t="shared" si="2"/>
        <v>Action</v>
      </c>
    </row>
    <row r="39" spans="1:19" ht="15.75" customHeight="1" x14ac:dyDescent="0.25">
      <c r="A39" s="6" t="s">
        <v>206</v>
      </c>
      <c r="B39" s="6">
        <v>135</v>
      </c>
      <c r="C39" s="6">
        <v>2775593</v>
      </c>
      <c r="D39" s="6" t="s">
        <v>162</v>
      </c>
      <c r="E39" s="6" t="s">
        <v>207</v>
      </c>
      <c r="F39" s="6" t="s">
        <v>208</v>
      </c>
      <c r="G39" s="6">
        <v>61269</v>
      </c>
      <c r="H39" s="6" t="s">
        <v>209</v>
      </c>
      <c r="I39" s="6">
        <v>98</v>
      </c>
      <c r="J39" s="6" t="s">
        <v>23</v>
      </c>
      <c r="K39" s="6" t="s">
        <v>133</v>
      </c>
      <c r="L39" s="6">
        <v>27000000</v>
      </c>
      <c r="M39" s="6">
        <v>2008</v>
      </c>
      <c r="N39" s="6">
        <v>6.5</v>
      </c>
      <c r="O39" s="4">
        <f ca="1">IFERROR(__xludf.DUMMYFUNCTION("IF(Cost_in_dollars!E39=""USD"",Cost_in_dollars!B39,Cost_in_dollars!B39 * GOOGLEFINANCE(""CURRENCY:"" &amp; Cost_in_dollars!E39 &amp; ""USD""))
"),34705800)</f>
        <v>34705800</v>
      </c>
      <c r="P39" s="4">
        <f ca="1">IFERROR(__xludf.DUMMYFUNCTION("IF(Cost_in_dollars!E39=""USD"",Cost_in_dollars!C39,Cost_in_dollars!C39 * GOOGLEFINANCE(""CURRENCY:"" &amp; Cost_in_dollars!E39 &amp; ""USD""))
"),3567747.24219999)</f>
        <v>3567747.24219999</v>
      </c>
      <c r="Q39" s="6">
        <f t="shared" ca="1" si="0"/>
        <v>-31138052.757800009</v>
      </c>
      <c r="R39" s="7" t="str">
        <f t="shared" si="1"/>
        <v>How to Lose Friends &amp; Alienate People</v>
      </c>
      <c r="S39" s="43" t="str">
        <f t="shared" si="2"/>
        <v>Comedy</v>
      </c>
    </row>
    <row r="40" spans="1:19" ht="15.75" customHeight="1" x14ac:dyDescent="0.25">
      <c r="A40" s="4" t="s">
        <v>210</v>
      </c>
      <c r="B40" s="4">
        <v>40</v>
      </c>
      <c r="C40" s="4">
        <v>4000000</v>
      </c>
      <c r="D40" s="4" t="s">
        <v>211</v>
      </c>
      <c r="E40" s="4" t="s">
        <v>212</v>
      </c>
      <c r="F40" s="4" t="s">
        <v>213</v>
      </c>
      <c r="G40" s="4">
        <v>6046</v>
      </c>
      <c r="H40" s="4" t="s">
        <v>214</v>
      </c>
      <c r="I40" s="4">
        <v>46</v>
      </c>
      <c r="J40" s="4" t="s">
        <v>23</v>
      </c>
      <c r="K40" s="4" t="s">
        <v>24</v>
      </c>
      <c r="L40" s="4">
        <v>350000</v>
      </c>
      <c r="M40" s="4">
        <v>1987</v>
      </c>
      <c r="N40" s="4">
        <v>4.7</v>
      </c>
      <c r="O40" s="4">
        <f ca="1">IFERROR(__xludf.DUMMYFUNCTION("IF(Cost_in_dollars!E40=""USD"",Cost_in_dollars!B40,Cost_in_dollars!B40 * GOOGLEFINANCE(""CURRENCY:"" &amp; Cost_in_dollars!E40 &amp; ""USD""))
"),350000)</f>
        <v>350000</v>
      </c>
      <c r="P40" s="4">
        <f ca="1">IFERROR(__xludf.DUMMYFUNCTION("IF(Cost_in_dollars!E40=""USD"",Cost_in_dollars!C40,Cost_in_dollars!C40 * GOOGLEFINANCE(""CURRENCY:"" &amp; Cost_in_dollars!E40 &amp; ""USD""))
"),4000000)</f>
        <v>4000000</v>
      </c>
      <c r="Q40" s="4">
        <f t="shared" ca="1" si="0"/>
        <v>3650000</v>
      </c>
      <c r="R40" s="5" t="str">
        <f t="shared" si="1"/>
        <v>American Ninja 2: The Confrontation</v>
      </c>
      <c r="S40" s="43" t="str">
        <f t="shared" si="2"/>
        <v>Action</v>
      </c>
    </row>
    <row r="41" spans="1:19" ht="15.75" customHeight="1" x14ac:dyDescent="0.25">
      <c r="A41" s="6" t="s">
        <v>215</v>
      </c>
      <c r="B41" s="6">
        <v>56</v>
      </c>
      <c r="C41" s="6">
        <v>1346503</v>
      </c>
      <c r="D41" s="6" t="s">
        <v>216</v>
      </c>
      <c r="E41" s="6" t="s">
        <v>217</v>
      </c>
      <c r="F41" s="6" t="s">
        <v>218</v>
      </c>
      <c r="G41" s="6">
        <v>3024</v>
      </c>
      <c r="H41" s="6" t="s">
        <v>219</v>
      </c>
      <c r="I41" s="6">
        <v>22</v>
      </c>
      <c r="J41" s="6" t="s">
        <v>23</v>
      </c>
      <c r="K41" s="6" t="s">
        <v>220</v>
      </c>
      <c r="L41" s="6">
        <v>6000000</v>
      </c>
      <c r="M41" s="6">
        <v>2011</v>
      </c>
      <c r="N41" s="6">
        <v>6.1</v>
      </c>
      <c r="O41" s="4">
        <f ca="1">IFERROR(__xludf.DUMMYFUNCTION("IF(Cost_in_dollars!E41=""USD"",Cost_in_dollars!B41,Cost_in_dollars!B41 * GOOGLEFINANCE(""CURRENCY:"" &amp; Cost_in_dollars!E41 &amp; ""USD""))
"),829703.399999999)</f>
        <v>829703.39999999898</v>
      </c>
      <c r="P41" s="4">
        <f ca="1">IFERROR(__xludf.DUMMYFUNCTION("IF(Cost_in_dollars!E41=""USD"",Cost_in_dollars!C41,Cost_in_dollars!C41 * GOOGLEFINANCE(""CURRENCY:"" &amp; Cost_in_dollars!E41 &amp; ""USD""))
"),186199.686201699)</f>
        <v>186199.68620169899</v>
      </c>
      <c r="Q41" s="6">
        <f t="shared" ca="1" si="0"/>
        <v>-643503.71379830001</v>
      </c>
      <c r="R41" s="7" t="str">
        <f t="shared" si="1"/>
        <v>Snow Flower and the Secret Fan</v>
      </c>
      <c r="S41" s="43" t="str">
        <f t="shared" si="2"/>
        <v>Drama</v>
      </c>
    </row>
    <row r="42" spans="1:19" ht="15.75" customHeight="1" x14ac:dyDescent="0.25">
      <c r="A42" s="4" t="s">
        <v>221</v>
      </c>
      <c r="B42" s="4">
        <v>283</v>
      </c>
      <c r="C42" s="4">
        <v>76418654</v>
      </c>
      <c r="D42" s="4" t="s">
        <v>222</v>
      </c>
      <c r="E42" s="4" t="s">
        <v>223</v>
      </c>
      <c r="F42" s="4" t="s">
        <v>224</v>
      </c>
      <c r="G42" s="4">
        <v>148280</v>
      </c>
      <c r="H42" s="4" t="s">
        <v>225</v>
      </c>
      <c r="I42" s="4">
        <v>348</v>
      </c>
      <c r="J42" s="4" t="s">
        <v>23</v>
      </c>
      <c r="K42" s="4" t="s">
        <v>24</v>
      </c>
      <c r="L42" s="4">
        <v>117000000</v>
      </c>
      <c r="M42" s="4">
        <v>2010</v>
      </c>
      <c r="N42" s="4">
        <v>6.3</v>
      </c>
      <c r="O42" s="4">
        <f ca="1">IFERROR(__xludf.DUMMYFUNCTION("IF(Cost_in_dollars!E42=""USD"",Cost_in_dollars!B42,Cost_in_dollars!B42 * GOOGLEFINANCE(""CURRENCY:"" &amp; Cost_in_dollars!E42 &amp; ""USD""))
"),117000000)</f>
        <v>117000000</v>
      </c>
      <c r="P42" s="4">
        <f ca="1">IFERROR(__xludf.DUMMYFUNCTION("IF(Cost_in_dollars!E42=""USD"",Cost_in_dollars!C42,Cost_in_dollars!C42 * GOOGLEFINANCE(""CURRENCY:"" &amp; Cost_in_dollars!E42 &amp; ""USD""))
"),76418654)</f>
        <v>76418654</v>
      </c>
      <c r="Q42" s="4">
        <f t="shared" ca="1" si="0"/>
        <v>-40581346</v>
      </c>
      <c r="R42" s="5" t="str">
        <f t="shared" si="1"/>
        <v>Knight and Day</v>
      </c>
      <c r="S42" s="43" t="str">
        <f t="shared" si="2"/>
        <v>Action</v>
      </c>
    </row>
    <row r="43" spans="1:19" ht="15.75" customHeight="1" x14ac:dyDescent="0.25">
      <c r="A43" s="6" t="s">
        <v>226</v>
      </c>
      <c r="B43" s="6">
        <v>17</v>
      </c>
      <c r="C43" s="6">
        <v>13134</v>
      </c>
      <c r="D43" s="6" t="s">
        <v>135</v>
      </c>
      <c r="E43" s="6" t="s">
        <v>227</v>
      </c>
      <c r="F43" s="6" t="s">
        <v>228</v>
      </c>
      <c r="G43" s="6">
        <v>2004</v>
      </c>
      <c r="H43" s="6" t="s">
        <v>229</v>
      </c>
      <c r="I43" s="6">
        <v>32</v>
      </c>
      <c r="J43" s="6" t="s">
        <v>23</v>
      </c>
      <c r="K43" s="6" t="s">
        <v>24</v>
      </c>
      <c r="L43" s="6">
        <v>500000</v>
      </c>
      <c r="M43" s="6">
        <v>2002</v>
      </c>
      <c r="N43" s="6">
        <v>6.1</v>
      </c>
      <c r="O43" s="4">
        <f ca="1">IFERROR(__xludf.DUMMYFUNCTION("IF(Cost_in_dollars!E43=""USD"",Cost_in_dollars!B43,Cost_in_dollars!B43 * GOOGLEFINANCE(""CURRENCY:"" &amp; Cost_in_dollars!E43 &amp; ""USD""))
"),500000)</f>
        <v>500000</v>
      </c>
      <c r="P43" s="4">
        <f ca="1">IFERROR(__xludf.DUMMYFUNCTION("IF(Cost_in_dollars!E43=""USD"",Cost_in_dollars!C43,Cost_in_dollars!C43 * GOOGLEFINANCE(""CURRENCY:"" &amp; Cost_in_dollars!E43 &amp; ""USD""))
"),13134)</f>
        <v>13134</v>
      </c>
      <c r="Q43" s="6">
        <f t="shared" ca="1" si="0"/>
        <v>-486866</v>
      </c>
      <c r="R43" s="7" t="str">
        <f t="shared" si="1"/>
        <v>The Slaughter Rule</v>
      </c>
      <c r="S43" s="43" t="str">
        <f t="shared" si="2"/>
        <v>Drama</v>
      </c>
    </row>
    <row r="44" spans="1:19" ht="15.75" customHeight="1" x14ac:dyDescent="0.25">
      <c r="A44" s="4" t="s">
        <v>230</v>
      </c>
      <c r="B44" s="4">
        <v>108</v>
      </c>
      <c r="C44" s="4">
        <v>22160085</v>
      </c>
      <c r="D44" s="4" t="s">
        <v>151</v>
      </c>
      <c r="E44" s="4" t="s">
        <v>231</v>
      </c>
      <c r="F44" s="4" t="s">
        <v>232</v>
      </c>
      <c r="G44" s="4">
        <v>16747</v>
      </c>
      <c r="H44" s="4" t="s">
        <v>233</v>
      </c>
      <c r="I44" s="4">
        <v>349</v>
      </c>
      <c r="J44" s="4" t="s">
        <v>23</v>
      </c>
      <c r="K44" s="4" t="s">
        <v>24</v>
      </c>
      <c r="L44" s="4">
        <v>10600000</v>
      </c>
      <c r="M44" s="4">
        <v>2002</v>
      </c>
      <c r="N44" s="4">
        <v>5.4</v>
      </c>
      <c r="O44" s="4">
        <f ca="1">IFERROR(__xludf.DUMMYFUNCTION("IF(Cost_in_dollars!E44=""USD"",Cost_in_dollars!B44,Cost_in_dollars!B44 * GOOGLEFINANCE(""CURRENCY:"" &amp; Cost_in_dollars!E44 &amp; ""USD""))
"),10600000)</f>
        <v>10600000</v>
      </c>
      <c r="P44" s="4">
        <f ca="1">IFERROR(__xludf.DUMMYFUNCTION("IF(Cost_in_dollars!E44=""USD"",Cost_in_dollars!C44,Cost_in_dollars!C44 * GOOGLEFINANCE(""CURRENCY:"" &amp; Cost_in_dollars!E44 &amp; ""USD""))
"),22160085)</f>
        <v>22160085</v>
      </c>
      <c r="Q44" s="4">
        <f t="shared" ca="1" si="0"/>
        <v>11560085</v>
      </c>
      <c r="R44" s="5" t="str">
        <f t="shared" si="1"/>
        <v>Darkness</v>
      </c>
      <c r="S44" s="43" t="str">
        <f t="shared" si="2"/>
        <v>Horror</v>
      </c>
    </row>
    <row r="45" spans="1:19" ht="15.75" customHeight="1" x14ac:dyDescent="0.25">
      <c r="A45" s="6" t="s">
        <v>234</v>
      </c>
      <c r="B45" s="6">
        <v>141</v>
      </c>
      <c r="C45" s="6">
        <v>317125</v>
      </c>
      <c r="D45" s="6" t="s">
        <v>235</v>
      </c>
      <c r="E45" s="6" t="s">
        <v>236</v>
      </c>
      <c r="F45" s="6" t="s">
        <v>237</v>
      </c>
      <c r="G45" s="6">
        <v>23334</v>
      </c>
      <c r="H45" s="6" t="s">
        <v>238</v>
      </c>
      <c r="I45" s="6">
        <v>87</v>
      </c>
      <c r="J45" s="6" t="s">
        <v>23</v>
      </c>
      <c r="K45" s="6" t="s">
        <v>149</v>
      </c>
      <c r="L45" s="6">
        <v>16000000</v>
      </c>
      <c r="M45" s="6">
        <v>2013</v>
      </c>
      <c r="N45" s="6">
        <v>6.2</v>
      </c>
      <c r="O45" s="4">
        <f ca="1">IFERROR(__xludf.DUMMYFUNCTION("IF(Cost_in_dollars!E45=""USD"",Cost_in_dollars!B45,Cost_in_dollars!B45 * GOOGLEFINANCE(""CURRENCY:"" &amp; Cost_in_dollars!E45 &amp; ""USD""))
"),10462080)</f>
        <v>10462080</v>
      </c>
      <c r="P45" s="4">
        <f ca="1">IFERROR(__xludf.DUMMYFUNCTION("IF(Cost_in_dollars!E45=""USD"",Cost_in_dollars!C45,Cost_in_dollars!C45 * GOOGLEFINANCE(""CURRENCY:"" &amp; Cost_in_dollars!E45 &amp; ""USD""))
"),207361.695)</f>
        <v>207361.69500000001</v>
      </c>
      <c r="Q45" s="6">
        <f t="shared" ca="1" si="0"/>
        <v>-10254718.305</v>
      </c>
      <c r="R45" s="7" t="str">
        <f t="shared" si="1"/>
        <v>Adore</v>
      </c>
      <c r="S45" s="43" t="str">
        <f t="shared" si="2"/>
        <v>Drama</v>
      </c>
    </row>
    <row r="46" spans="1:19" ht="15.75" customHeight="1" x14ac:dyDescent="0.25">
      <c r="A46" s="4" t="s">
        <v>239</v>
      </c>
      <c r="B46" s="4">
        <v>58</v>
      </c>
      <c r="C46" s="4">
        <v>22954968</v>
      </c>
      <c r="D46" s="4" t="s">
        <v>235</v>
      </c>
      <c r="E46" s="4" t="s">
        <v>240</v>
      </c>
      <c r="F46" s="4" t="s">
        <v>241</v>
      </c>
      <c r="G46" s="4">
        <v>45703</v>
      </c>
      <c r="H46" s="4" t="s">
        <v>242</v>
      </c>
      <c r="I46" s="4">
        <v>156</v>
      </c>
      <c r="J46" s="4" t="s">
        <v>23</v>
      </c>
      <c r="K46" s="4" t="s">
        <v>133</v>
      </c>
      <c r="L46" s="4">
        <v>11500000</v>
      </c>
      <c r="M46" s="4">
        <v>1993</v>
      </c>
      <c r="N46" s="4">
        <v>7.9</v>
      </c>
      <c r="O46" s="4">
        <f ca="1">IFERROR(__xludf.DUMMYFUNCTION("IF(Cost_in_dollars!E46=""USD"",Cost_in_dollars!B46,Cost_in_dollars!B46 * GOOGLEFINANCE(""CURRENCY:"" &amp; Cost_in_dollars!E46 &amp; ""USD""))
"),14782099.9999999)</f>
        <v>14782099.999999899</v>
      </c>
      <c r="P46" s="4">
        <f ca="1">IFERROR(__xludf.DUMMYFUNCTION("IF(Cost_in_dollars!E46=""USD"",Cost_in_dollars!C46,Cost_in_dollars!C46 * GOOGLEFINANCE(""CURRENCY:"" &amp; Cost_in_dollars!E46 &amp; ""USD""))
"),29506315.8672)</f>
        <v>29506315.867199998</v>
      </c>
      <c r="Q46" s="4">
        <f t="shared" ca="1" si="0"/>
        <v>14724215.867200099</v>
      </c>
      <c r="R46" s="5" t="str">
        <f t="shared" si="1"/>
        <v>The Remains of the Day</v>
      </c>
      <c r="S46" s="43" t="str">
        <f t="shared" si="2"/>
        <v>Drama</v>
      </c>
    </row>
    <row r="47" spans="1:19" ht="15.75" customHeight="1" x14ac:dyDescent="0.25">
      <c r="A47" s="6" t="s">
        <v>243</v>
      </c>
      <c r="B47" s="6">
        <v>116</v>
      </c>
      <c r="C47" s="6">
        <v>40334024</v>
      </c>
      <c r="D47" s="6" t="s">
        <v>244</v>
      </c>
      <c r="E47" s="6" t="s">
        <v>245</v>
      </c>
      <c r="F47" s="6" t="s">
        <v>246</v>
      </c>
      <c r="G47" s="6">
        <v>44168</v>
      </c>
      <c r="H47" s="6" t="s">
        <v>247</v>
      </c>
      <c r="I47" s="6">
        <v>216</v>
      </c>
      <c r="J47" s="6" t="s">
        <v>23</v>
      </c>
      <c r="K47" s="6" t="s">
        <v>24</v>
      </c>
      <c r="L47" s="6">
        <v>35000000</v>
      </c>
      <c r="M47" s="6">
        <v>2001</v>
      </c>
      <c r="N47" s="6">
        <v>6.2</v>
      </c>
      <c r="O47" s="4">
        <f ca="1">IFERROR(__xludf.DUMMYFUNCTION("IF(Cost_in_dollars!E47=""USD"",Cost_in_dollars!B47,Cost_in_dollars!B47 * GOOGLEFINANCE(""CURRENCY:"" &amp; Cost_in_dollars!E47 &amp; ""USD""))
"),35000000)</f>
        <v>35000000</v>
      </c>
      <c r="P47" s="4">
        <f ca="1">IFERROR(__xludf.DUMMYFUNCTION("IF(Cost_in_dollars!E47=""USD"",Cost_in_dollars!C47,Cost_in_dollars!C47 * GOOGLEFINANCE(""CURRENCY:"" &amp; Cost_in_dollars!E47 &amp; ""USD""))
"),40334024)</f>
        <v>40334024</v>
      </c>
      <c r="Q47" s="6">
        <f t="shared" ca="1" si="0"/>
        <v>5334024</v>
      </c>
      <c r="R47" s="7" t="str">
        <f t="shared" si="1"/>
        <v>Heartbreakers</v>
      </c>
      <c r="S47" s="43" t="str">
        <f t="shared" si="2"/>
        <v>Comedy</v>
      </c>
    </row>
    <row r="48" spans="1:19" ht="15.75" customHeight="1" x14ac:dyDescent="0.25">
      <c r="A48" s="4" t="s">
        <v>248</v>
      </c>
      <c r="B48" s="4">
        <v>464</v>
      </c>
      <c r="C48" s="4">
        <v>118099659</v>
      </c>
      <c r="D48" s="4" t="s">
        <v>249</v>
      </c>
      <c r="E48" s="4" t="s">
        <v>250</v>
      </c>
      <c r="F48" s="4" t="s">
        <v>251</v>
      </c>
      <c r="G48" s="4">
        <v>69790</v>
      </c>
      <c r="H48" s="4" t="s">
        <v>252</v>
      </c>
      <c r="I48" s="4">
        <v>1211</v>
      </c>
      <c r="J48" s="4" t="s">
        <v>23</v>
      </c>
      <c r="K48" s="4" t="s">
        <v>24</v>
      </c>
      <c r="L48" s="4">
        <v>144000000</v>
      </c>
      <c r="M48" s="4">
        <v>2016</v>
      </c>
      <c r="N48" s="4">
        <v>5.5</v>
      </c>
      <c r="O48" s="4">
        <f ca="1">IFERROR(__xludf.DUMMYFUNCTION("IF(Cost_in_dollars!E48=""USD"",Cost_in_dollars!B48,Cost_in_dollars!B48 * GOOGLEFINANCE(""CURRENCY:"" &amp; Cost_in_dollars!E48 &amp; ""USD""))
"),144000000)</f>
        <v>144000000</v>
      </c>
      <c r="P48" s="4">
        <f ca="1">IFERROR(__xludf.DUMMYFUNCTION("IF(Cost_in_dollars!E48=""USD"",Cost_in_dollars!C48,Cost_in_dollars!C48 * GOOGLEFINANCE(""CURRENCY:"" &amp; Cost_in_dollars!E48 &amp; ""USD""))
"),118099659)</f>
        <v>118099659</v>
      </c>
      <c r="Q48" s="4">
        <f t="shared" ca="1" si="0"/>
        <v>-25900341</v>
      </c>
      <c r="R48" s="5" t="str">
        <f t="shared" si="1"/>
        <v>Ghostbusters</v>
      </c>
      <c r="S48" s="43" t="str">
        <f t="shared" si="2"/>
        <v>Action</v>
      </c>
    </row>
    <row r="49" spans="1:19" ht="15.75" customHeight="1" x14ac:dyDescent="0.25">
      <c r="A49" s="6" t="s">
        <v>253</v>
      </c>
      <c r="B49" s="6">
        <v>52</v>
      </c>
      <c r="C49" s="6">
        <v>3713002</v>
      </c>
      <c r="D49" s="6" t="s">
        <v>254</v>
      </c>
      <c r="E49" s="6" t="s">
        <v>255</v>
      </c>
      <c r="F49" s="6" t="s">
        <v>256</v>
      </c>
      <c r="G49" s="6">
        <v>3611</v>
      </c>
      <c r="H49" s="6" t="s">
        <v>257</v>
      </c>
      <c r="I49" s="6">
        <v>62</v>
      </c>
      <c r="J49" s="6" t="s">
        <v>23</v>
      </c>
      <c r="K49" s="6" t="s">
        <v>24</v>
      </c>
      <c r="L49" s="6">
        <v>8000000</v>
      </c>
      <c r="M49" s="6">
        <v>2003</v>
      </c>
      <c r="N49" s="6">
        <v>2.7</v>
      </c>
      <c r="O49" s="4">
        <f ca="1">IFERROR(__xludf.DUMMYFUNCTION("IF(Cost_in_dollars!E49=""USD"",Cost_in_dollars!B49,Cost_in_dollars!B49 * GOOGLEFINANCE(""CURRENCY:"" &amp; Cost_in_dollars!E49 &amp; ""USD""))
"),8000000)</f>
        <v>8000000</v>
      </c>
      <c r="P49" s="4">
        <f ca="1">IFERROR(__xludf.DUMMYFUNCTION("IF(Cost_in_dollars!E49=""USD"",Cost_in_dollars!C49,Cost_in_dollars!C49 * GOOGLEFINANCE(""CURRENCY:"" &amp; Cost_in_dollars!E49 &amp; ""USD""))
"),3713002)</f>
        <v>3713002</v>
      </c>
      <c r="Q49" s="6">
        <f t="shared" ca="1" si="0"/>
        <v>-4286998</v>
      </c>
      <c r="R49" s="7" t="str">
        <f t="shared" si="1"/>
        <v>The Real Cancun</v>
      </c>
      <c r="S49" s="43" t="str">
        <f t="shared" si="2"/>
        <v>Documentary</v>
      </c>
    </row>
    <row r="50" spans="1:19" ht="15.75" customHeight="1" x14ac:dyDescent="0.25">
      <c r="A50" s="4" t="s">
        <v>258</v>
      </c>
      <c r="B50" s="4">
        <v>167</v>
      </c>
      <c r="C50" s="4">
        <v>179982968</v>
      </c>
      <c r="D50" s="4" t="s">
        <v>259</v>
      </c>
      <c r="E50" s="4" t="s">
        <v>198</v>
      </c>
      <c r="F50" s="4" t="s">
        <v>260</v>
      </c>
      <c r="G50" s="4">
        <v>146019</v>
      </c>
      <c r="H50" s="4" t="s">
        <v>261</v>
      </c>
      <c r="I50" s="4">
        <v>119</v>
      </c>
      <c r="J50" s="4" t="s">
        <v>23</v>
      </c>
      <c r="K50" s="4" t="s">
        <v>24</v>
      </c>
      <c r="L50" s="4">
        <v>150000000</v>
      </c>
      <c r="M50" s="4">
        <v>2008</v>
      </c>
      <c r="N50" s="4">
        <v>6.7</v>
      </c>
      <c r="O50" s="4">
        <f ca="1">IFERROR(__xludf.DUMMYFUNCTION("IF(Cost_in_dollars!E50=""USD"",Cost_in_dollars!B50,Cost_in_dollars!B50 * GOOGLEFINANCE(""CURRENCY:"" &amp; Cost_in_dollars!E50 &amp; ""USD""))
"),150000000)</f>
        <v>150000000</v>
      </c>
      <c r="P50" s="4">
        <f ca="1">IFERROR(__xludf.DUMMYFUNCTION("IF(Cost_in_dollars!E50=""USD"",Cost_in_dollars!C50,Cost_in_dollars!C50 * GOOGLEFINANCE(""CURRENCY:"" &amp; Cost_in_dollars!E50 &amp; ""USD""))
"),179982968)</f>
        <v>179982968</v>
      </c>
      <c r="Q50" s="4">
        <f t="shared" ca="1" si="0"/>
        <v>29982968</v>
      </c>
      <c r="R50" s="5" t="str">
        <f t="shared" si="1"/>
        <v>Madagascar: Escape 2 Africa</v>
      </c>
      <c r="S50" s="43" t="str">
        <f t="shared" si="2"/>
        <v>Action</v>
      </c>
    </row>
    <row r="51" spans="1:19" ht="15.75" customHeight="1" x14ac:dyDescent="0.25">
      <c r="A51" s="6" t="s">
        <v>262</v>
      </c>
      <c r="B51" s="6">
        <v>293</v>
      </c>
      <c r="C51" s="6">
        <v>300523113</v>
      </c>
      <c r="D51" s="6" t="s">
        <v>263</v>
      </c>
      <c r="E51" s="6" t="s">
        <v>264</v>
      </c>
      <c r="F51" s="6" t="s">
        <v>265</v>
      </c>
      <c r="G51" s="6">
        <v>184637</v>
      </c>
      <c r="H51" s="6" t="s">
        <v>266</v>
      </c>
      <c r="I51" s="6">
        <v>498</v>
      </c>
      <c r="J51" s="6" t="s">
        <v>23</v>
      </c>
      <c r="K51" s="6" t="s">
        <v>24</v>
      </c>
      <c r="L51" s="6">
        <v>68000000</v>
      </c>
      <c r="M51" s="6">
        <v>2010</v>
      </c>
      <c r="N51" s="6">
        <v>4.9000000000000004</v>
      </c>
      <c r="O51" s="4">
        <f ca="1">IFERROR(__xludf.DUMMYFUNCTION("IF(Cost_in_dollars!E51=""USD"",Cost_in_dollars!B51,Cost_in_dollars!B51 * GOOGLEFINANCE(""CURRENCY:"" &amp; Cost_in_dollars!E51 &amp; ""USD""))
"),68000000)</f>
        <v>68000000</v>
      </c>
      <c r="P51" s="4">
        <f ca="1">IFERROR(__xludf.DUMMYFUNCTION("IF(Cost_in_dollars!E51=""USD"",Cost_in_dollars!C51,Cost_in_dollars!C51 * GOOGLEFINANCE(""CURRENCY:"" &amp; Cost_in_dollars!E51 &amp; ""USD""))
"),300523113)</f>
        <v>300523113</v>
      </c>
      <c r="Q51" s="6">
        <f t="shared" ca="1" si="0"/>
        <v>232523113</v>
      </c>
      <c r="R51" s="7" t="str">
        <f t="shared" si="1"/>
        <v>The Twilight Saga: Eclipse</v>
      </c>
      <c r="S51" s="43" t="str">
        <f t="shared" si="2"/>
        <v>Adventure</v>
      </c>
    </row>
    <row r="52" spans="1:19" ht="15.75" customHeight="1" x14ac:dyDescent="0.25">
      <c r="A52" s="4" t="s">
        <v>267</v>
      </c>
      <c r="B52" s="4">
        <v>8</v>
      </c>
      <c r="C52" s="4">
        <v>29392418</v>
      </c>
      <c r="D52" s="4" t="s">
        <v>268</v>
      </c>
      <c r="E52" s="4" t="s">
        <v>269</v>
      </c>
      <c r="F52" s="4" t="s">
        <v>270</v>
      </c>
      <c r="G52" s="4">
        <v>3924</v>
      </c>
      <c r="H52" s="4" t="s">
        <v>271</v>
      </c>
      <c r="I52" s="4">
        <v>26</v>
      </c>
      <c r="J52" s="4" t="s">
        <v>23</v>
      </c>
      <c r="K52" s="4" t="s">
        <v>24</v>
      </c>
      <c r="L52" s="4">
        <v>10000000</v>
      </c>
      <c r="M52" s="4">
        <v>1994</v>
      </c>
      <c r="N52" s="4">
        <v>5.8</v>
      </c>
      <c r="O52" s="4">
        <f ca="1">IFERROR(__xludf.DUMMYFUNCTION("IF(Cost_in_dollars!E52=""USD"",Cost_in_dollars!B52,Cost_in_dollars!B52 * GOOGLEFINANCE(""CURRENCY:"" &amp; Cost_in_dollars!E52 &amp; ""USD""))
"),10000000)</f>
        <v>10000000</v>
      </c>
      <c r="P52" s="4">
        <f ca="1">IFERROR(__xludf.DUMMYFUNCTION("IF(Cost_in_dollars!E52=""USD"",Cost_in_dollars!C52,Cost_in_dollars!C52 * GOOGLEFINANCE(""CURRENCY:"" &amp; Cost_in_dollars!E52 &amp; ""USD""))
"),29392418)</f>
        <v>29392418</v>
      </c>
      <c r="Q52" s="4">
        <f t="shared" ca="1" si="0"/>
        <v>19392418</v>
      </c>
      <c r="R52" s="5" t="str">
        <f t="shared" si="1"/>
        <v>A Low Down Dirty Shame</v>
      </c>
      <c r="S52" s="43" t="str">
        <f t="shared" si="2"/>
        <v>Action</v>
      </c>
    </row>
    <row r="53" spans="1:19" ht="15.75" customHeight="1" x14ac:dyDescent="0.25">
      <c r="A53" s="6" t="s">
        <v>272</v>
      </c>
      <c r="B53" s="6">
        <v>133</v>
      </c>
      <c r="C53" s="6">
        <v>74058698</v>
      </c>
      <c r="D53" s="6" t="s">
        <v>116</v>
      </c>
      <c r="E53" s="6" t="s">
        <v>173</v>
      </c>
      <c r="F53" s="6" t="s">
        <v>273</v>
      </c>
      <c r="G53" s="6">
        <v>59232</v>
      </c>
      <c r="H53" s="6" t="s">
        <v>274</v>
      </c>
      <c r="I53" s="6">
        <v>317</v>
      </c>
      <c r="J53" s="6" t="s">
        <v>23</v>
      </c>
      <c r="K53" s="6" t="s">
        <v>24</v>
      </c>
      <c r="L53" s="6">
        <v>60000000</v>
      </c>
      <c r="M53" s="6">
        <v>2001</v>
      </c>
      <c r="N53" s="6">
        <v>6.3</v>
      </c>
      <c r="O53" s="4">
        <f ca="1">IFERROR(__xludf.DUMMYFUNCTION("IF(Cost_in_dollars!E53=""USD"",Cost_in_dollars!B53,Cost_in_dollars!B53 * GOOGLEFINANCE(""CURRENCY:"" &amp; Cost_in_dollars!E53 &amp; ""USD""))
"),60000000)</f>
        <v>60000000</v>
      </c>
      <c r="P53" s="4">
        <f ca="1">IFERROR(__xludf.DUMMYFUNCTION("IF(Cost_in_dollars!E53=""USD"",Cost_in_dollars!C53,Cost_in_dollars!C53 * GOOGLEFINANCE(""CURRENCY:"" &amp; Cost_in_dollars!E53 &amp; ""USD""))
"),74058698)</f>
        <v>74058698</v>
      </c>
      <c r="Q53" s="6">
        <f t="shared" ca="1" si="0"/>
        <v>14058698</v>
      </c>
      <c r="R53" s="7" t="str">
        <f t="shared" si="1"/>
        <v>Along Came a Spider</v>
      </c>
      <c r="S53" s="43" t="str">
        <f t="shared" si="2"/>
        <v>Crime</v>
      </c>
    </row>
    <row r="54" spans="1:19" ht="15.75" customHeight="1" x14ac:dyDescent="0.25">
      <c r="A54" s="4" t="s">
        <v>275</v>
      </c>
      <c r="B54" s="4">
        <v>75</v>
      </c>
      <c r="C54" s="4">
        <v>32701088</v>
      </c>
      <c r="D54" s="4" t="s">
        <v>276</v>
      </c>
      <c r="E54" s="4" t="s">
        <v>277</v>
      </c>
      <c r="F54" s="4" t="s">
        <v>278</v>
      </c>
      <c r="G54" s="4">
        <v>10018</v>
      </c>
      <c r="H54" s="4" t="s">
        <v>279</v>
      </c>
      <c r="I54" s="4">
        <v>108</v>
      </c>
      <c r="J54" s="4" t="s">
        <v>23</v>
      </c>
      <c r="K54" s="4" t="s">
        <v>24</v>
      </c>
      <c r="L54" s="4">
        <v>32000000</v>
      </c>
      <c r="M54" s="4">
        <v>2005</v>
      </c>
      <c r="N54" s="4">
        <v>6.9</v>
      </c>
      <c r="O54" s="4">
        <f ca="1">IFERROR(__xludf.DUMMYFUNCTION("IF(Cost_in_dollars!E54=""USD"",Cost_in_dollars!B54,Cost_in_dollars!B54 * GOOGLEFINANCE(""CURRENCY:"" &amp; Cost_in_dollars!E54 &amp; ""USD""))
"),32000000)</f>
        <v>32000000</v>
      </c>
      <c r="P54" s="4">
        <f ca="1">IFERROR(__xludf.DUMMYFUNCTION("IF(Cost_in_dollars!E54=""USD"",Cost_in_dollars!C54,Cost_in_dollars!C54 * GOOGLEFINANCE(""CURRENCY:"" &amp; Cost_in_dollars!E54 &amp; ""USD""))
"),32701088)</f>
        <v>32701088</v>
      </c>
      <c r="Q54" s="4">
        <f t="shared" ca="1" si="0"/>
        <v>701088</v>
      </c>
      <c r="R54" s="5" t="str">
        <f t="shared" si="1"/>
        <v>Dreamer: Inspired by a True Story</v>
      </c>
      <c r="S54" s="43" t="str">
        <f t="shared" si="2"/>
        <v>Drama</v>
      </c>
    </row>
    <row r="55" spans="1:19" ht="15.75" customHeight="1" x14ac:dyDescent="0.25">
      <c r="A55" s="6" t="s">
        <v>280</v>
      </c>
      <c r="B55" s="6">
        <v>60</v>
      </c>
      <c r="C55" s="6">
        <v>51317350</v>
      </c>
      <c r="D55" s="6" t="s">
        <v>281</v>
      </c>
      <c r="E55" s="6" t="s">
        <v>44</v>
      </c>
      <c r="F55" s="6" t="s">
        <v>282</v>
      </c>
      <c r="G55" s="6">
        <v>78343</v>
      </c>
      <c r="H55" s="6" t="s">
        <v>283</v>
      </c>
      <c r="I55" s="6">
        <v>139</v>
      </c>
      <c r="J55" s="6" t="s">
        <v>23</v>
      </c>
      <c r="K55" s="6" t="s">
        <v>24</v>
      </c>
      <c r="L55" s="6">
        <v>57000000</v>
      </c>
      <c r="M55" s="6">
        <v>1996</v>
      </c>
      <c r="N55" s="6">
        <v>6.4</v>
      </c>
      <c r="O55" s="4">
        <f ca="1">IFERROR(__xludf.DUMMYFUNCTION("IF(Cost_in_dollars!E55=""USD"",Cost_in_dollars!B55,Cost_in_dollars!B55 * GOOGLEFINANCE(""CURRENCY:"" &amp; Cost_in_dollars!E55 &amp; ""USD""))
"),57000000)</f>
        <v>57000000</v>
      </c>
      <c r="P55" s="4">
        <f ca="1">IFERROR(__xludf.DUMMYFUNCTION("IF(Cost_in_dollars!E55=""USD"",Cost_in_dollars!C55,Cost_in_dollars!C55 * GOOGLEFINANCE(""CURRENCY:"" &amp; Cost_in_dollars!E55 &amp; ""USD""))
"),51317350)</f>
        <v>51317350</v>
      </c>
      <c r="Q55" s="6">
        <f t="shared" ca="1" si="0"/>
        <v>-5682650</v>
      </c>
      <c r="R55" s="7" t="str">
        <f t="shared" si="1"/>
        <v>DragonHeart</v>
      </c>
      <c r="S55" s="43" t="str">
        <f t="shared" si="2"/>
        <v>Action</v>
      </c>
    </row>
    <row r="56" spans="1:19" ht="15.75" customHeight="1" x14ac:dyDescent="0.25">
      <c r="A56" s="4" t="s">
        <v>284</v>
      </c>
      <c r="B56" s="4">
        <v>265</v>
      </c>
      <c r="C56" s="4">
        <v>119219978</v>
      </c>
      <c r="D56" s="4" t="s">
        <v>268</v>
      </c>
      <c r="E56" s="4" t="s">
        <v>49</v>
      </c>
      <c r="F56" s="4" t="s">
        <v>285</v>
      </c>
      <c r="G56" s="4">
        <v>189806</v>
      </c>
      <c r="H56" s="4" t="s">
        <v>286</v>
      </c>
      <c r="I56" s="4">
        <v>316</v>
      </c>
      <c r="J56" s="4" t="s">
        <v>23</v>
      </c>
      <c r="K56" s="4" t="s">
        <v>24</v>
      </c>
      <c r="L56" s="4">
        <v>100000000</v>
      </c>
      <c r="M56" s="4">
        <v>2010</v>
      </c>
      <c r="N56" s="4">
        <v>6.7</v>
      </c>
      <c r="O56" s="4">
        <f ca="1">IFERROR(__xludf.DUMMYFUNCTION("IF(Cost_in_dollars!E56=""USD"",Cost_in_dollars!B56,Cost_in_dollars!B56 * GOOGLEFINANCE(""CURRENCY:"" &amp; Cost_in_dollars!E56 &amp; ""USD""))
"),100000000)</f>
        <v>100000000</v>
      </c>
      <c r="P56" s="4">
        <f ca="1">IFERROR(__xludf.DUMMYFUNCTION("IF(Cost_in_dollars!E56=""USD"",Cost_in_dollars!C56,Cost_in_dollars!C56 * GOOGLEFINANCE(""CURRENCY:"" &amp; Cost_in_dollars!E56 &amp; ""USD""))
"),119219978)</f>
        <v>119219978</v>
      </c>
      <c r="Q56" s="4">
        <f t="shared" ca="1" si="0"/>
        <v>19219978</v>
      </c>
      <c r="R56" s="5" t="str">
        <f t="shared" si="1"/>
        <v>The Other Guys</v>
      </c>
      <c r="S56" s="43" t="str">
        <f t="shared" si="2"/>
        <v>Action</v>
      </c>
    </row>
    <row r="57" spans="1:19" ht="15.75" customHeight="1" x14ac:dyDescent="0.25">
      <c r="A57" s="6" t="s">
        <v>287</v>
      </c>
      <c r="B57" s="6">
        <v>159</v>
      </c>
      <c r="C57" s="6">
        <v>35794166</v>
      </c>
      <c r="D57" s="6" t="s">
        <v>93</v>
      </c>
      <c r="E57" s="6" t="s">
        <v>288</v>
      </c>
      <c r="F57" s="6" t="s">
        <v>289</v>
      </c>
      <c r="G57" s="6">
        <v>35654</v>
      </c>
      <c r="H57" s="6" t="s">
        <v>290</v>
      </c>
      <c r="I57" s="6">
        <v>155</v>
      </c>
      <c r="J57" s="6" t="s">
        <v>23</v>
      </c>
      <c r="K57" s="6" t="s">
        <v>24</v>
      </c>
      <c r="L57" s="6">
        <v>10000000</v>
      </c>
      <c r="M57" s="6">
        <v>2016</v>
      </c>
      <c r="N57" s="6">
        <v>6</v>
      </c>
      <c r="O57" s="4">
        <f ca="1">IFERROR(__xludf.DUMMYFUNCTION("IF(Cost_in_dollars!E57=""USD"",Cost_in_dollars!B57,Cost_in_dollars!B57 * GOOGLEFINANCE(""CURRENCY:"" &amp; Cost_in_dollars!E57 &amp; ""USD""))
"),10000000)</f>
        <v>10000000</v>
      </c>
      <c r="P57" s="4">
        <f ca="1">IFERROR(__xludf.DUMMYFUNCTION("IF(Cost_in_dollars!E57=""USD"",Cost_in_dollars!C57,Cost_in_dollars!C57 * GOOGLEFINANCE(""CURRENCY:"" &amp; Cost_in_dollars!E57 &amp; ""USD""))
"),35794166)</f>
        <v>35794166</v>
      </c>
      <c r="Q57" s="6">
        <f t="shared" ca="1" si="0"/>
        <v>25794166</v>
      </c>
      <c r="R57" s="7" t="str">
        <f t="shared" si="1"/>
        <v>The Boy</v>
      </c>
      <c r="S57" s="43" t="str">
        <f t="shared" si="2"/>
        <v>Horror</v>
      </c>
    </row>
    <row r="58" spans="1:19" ht="15.75" customHeight="1" x14ac:dyDescent="0.25">
      <c r="A58" s="4" t="s">
        <v>291</v>
      </c>
      <c r="B58" s="4">
        <v>168</v>
      </c>
      <c r="C58" s="4">
        <v>241437427</v>
      </c>
      <c r="D58" s="4" t="s">
        <v>292</v>
      </c>
      <c r="E58" s="4" t="s">
        <v>293</v>
      </c>
      <c r="F58" s="4" t="s">
        <v>294</v>
      </c>
      <c r="G58" s="4">
        <v>102071</v>
      </c>
      <c r="H58" s="4" t="s">
        <v>295</v>
      </c>
      <c r="I58" s="4">
        <v>756</v>
      </c>
      <c r="J58" s="4" t="s">
        <v>23</v>
      </c>
      <c r="K58" s="4" t="s">
        <v>24</v>
      </c>
      <c r="L58" s="4">
        <v>5000000</v>
      </c>
      <c r="M58" s="4">
        <v>2002</v>
      </c>
      <c r="N58" s="4">
        <v>6.6</v>
      </c>
      <c r="O58" s="4">
        <f ca="1">IFERROR(__xludf.DUMMYFUNCTION("IF(Cost_in_dollars!E58=""USD"",Cost_in_dollars!B58,Cost_in_dollars!B58 * GOOGLEFINANCE(""CURRENCY:"" &amp; Cost_in_dollars!E58 &amp; ""USD""))
"),5000000)</f>
        <v>5000000</v>
      </c>
      <c r="P58" s="4">
        <f ca="1">IFERROR(__xludf.DUMMYFUNCTION("IF(Cost_in_dollars!E58=""USD"",Cost_in_dollars!C58,Cost_in_dollars!C58 * GOOGLEFINANCE(""CURRENCY:"" &amp; Cost_in_dollars!E58 &amp; ""USD""))
"),241437427)</f>
        <v>241437427</v>
      </c>
      <c r="Q58" s="4">
        <f t="shared" ca="1" si="0"/>
        <v>236437427</v>
      </c>
      <c r="R58" s="5" t="str">
        <f t="shared" si="1"/>
        <v>My Big Fat Greek Wedding</v>
      </c>
      <c r="S58" s="43" t="str">
        <f t="shared" si="2"/>
        <v>Comedy</v>
      </c>
    </row>
    <row r="59" spans="1:19" ht="15.75" customHeight="1" x14ac:dyDescent="0.25">
      <c r="A59" s="6" t="s">
        <v>296</v>
      </c>
      <c r="B59" s="6">
        <v>40</v>
      </c>
      <c r="C59" s="6">
        <v>6706368</v>
      </c>
      <c r="D59" s="6" t="s">
        <v>254</v>
      </c>
      <c r="E59" s="6" t="s">
        <v>296</v>
      </c>
      <c r="F59" s="6" t="s">
        <v>297</v>
      </c>
      <c r="G59" s="6">
        <v>22800</v>
      </c>
      <c r="H59" s="6" t="s">
        <v>298</v>
      </c>
      <c r="I59" s="6">
        <v>133</v>
      </c>
      <c r="J59" s="6" t="s">
        <v>23</v>
      </c>
      <c r="K59" s="6" t="s">
        <v>24</v>
      </c>
      <c r="L59" s="6">
        <v>160000</v>
      </c>
      <c r="M59" s="6">
        <v>1989</v>
      </c>
      <c r="N59" s="6">
        <v>7.5</v>
      </c>
      <c r="O59" s="4">
        <f ca="1">IFERROR(__xludf.DUMMYFUNCTION("IF(Cost_in_dollars!E59=""USD"",Cost_in_dollars!B59,Cost_in_dollars!B59 * GOOGLEFINANCE(""CURRENCY:"" &amp; Cost_in_dollars!E59 &amp; ""USD""))
"),160000)</f>
        <v>160000</v>
      </c>
      <c r="P59" s="4">
        <f ca="1">IFERROR(__xludf.DUMMYFUNCTION("IF(Cost_in_dollars!E59=""USD"",Cost_in_dollars!C59,Cost_in_dollars!C59 * GOOGLEFINANCE(""CURRENCY:"" &amp; Cost_in_dollars!E59 &amp; ""USD""))
"),6706368)</f>
        <v>6706368</v>
      </c>
      <c r="Q59" s="6">
        <f t="shared" ca="1" si="0"/>
        <v>6546368</v>
      </c>
      <c r="R59" s="7" t="str">
        <f t="shared" si="1"/>
        <v>Roger &amp; Me</v>
      </c>
      <c r="S59" s="43" t="str">
        <f t="shared" si="2"/>
        <v>Documentary</v>
      </c>
    </row>
    <row r="60" spans="1:19" ht="15.75" customHeight="1" x14ac:dyDescent="0.25">
      <c r="A60" s="4" t="s">
        <v>299</v>
      </c>
      <c r="B60" s="4">
        <v>16</v>
      </c>
      <c r="C60" s="4">
        <v>7680</v>
      </c>
      <c r="D60" s="4" t="s">
        <v>235</v>
      </c>
      <c r="E60" s="4" t="s">
        <v>300</v>
      </c>
      <c r="F60" s="4" t="s">
        <v>301</v>
      </c>
      <c r="G60" s="4">
        <v>704</v>
      </c>
      <c r="H60" s="4" t="s">
        <v>302</v>
      </c>
      <c r="I60" s="4">
        <v>18</v>
      </c>
      <c r="J60" s="4" t="s">
        <v>23</v>
      </c>
      <c r="K60" s="4" t="s">
        <v>24</v>
      </c>
      <c r="L60" s="4">
        <v>2000000</v>
      </c>
      <c r="M60" s="4">
        <v>1999</v>
      </c>
      <c r="N60" s="4">
        <v>6.4</v>
      </c>
      <c r="O60" s="4">
        <f ca="1">IFERROR(__xludf.DUMMYFUNCTION("IF(Cost_in_dollars!E60=""USD"",Cost_in_dollars!B60,Cost_in_dollars!B60 * GOOGLEFINANCE(""CURRENCY:"" &amp; Cost_in_dollars!E60 &amp; ""USD""))
"),2000000)</f>
        <v>2000000</v>
      </c>
      <c r="P60" s="4">
        <f ca="1">IFERROR(__xludf.DUMMYFUNCTION("IF(Cost_in_dollars!E60=""USD"",Cost_in_dollars!C60,Cost_in_dollars!C60 * GOOGLEFINANCE(""CURRENCY:"" &amp; Cost_in_dollars!E60 &amp; ""USD""))
"),7680)</f>
        <v>7680</v>
      </c>
      <c r="Q60" s="4">
        <f t="shared" ca="1" si="0"/>
        <v>-1992320</v>
      </c>
      <c r="R60" s="5" t="str">
        <f t="shared" si="1"/>
        <v>Dreaming of Joseph Lees</v>
      </c>
      <c r="S60" s="43" t="str">
        <f t="shared" si="2"/>
        <v>Drama</v>
      </c>
    </row>
    <row r="61" spans="1:19" ht="15.75" customHeight="1" x14ac:dyDescent="0.25">
      <c r="A61" s="6" t="s">
        <v>303</v>
      </c>
      <c r="B61" s="6">
        <v>227</v>
      </c>
      <c r="C61" s="6">
        <v>320706665</v>
      </c>
      <c r="D61" s="6" t="s">
        <v>304</v>
      </c>
      <c r="E61" s="6" t="s">
        <v>305</v>
      </c>
      <c r="F61" s="6" t="s">
        <v>306</v>
      </c>
      <c r="G61" s="6">
        <v>211971</v>
      </c>
      <c r="H61" s="6" t="s">
        <v>307</v>
      </c>
      <c r="I61" s="6">
        <v>326</v>
      </c>
      <c r="J61" s="6" t="s">
        <v>23</v>
      </c>
      <c r="K61" s="6" t="s">
        <v>24</v>
      </c>
      <c r="L61" s="6">
        <v>160000000</v>
      </c>
      <c r="M61" s="6">
        <v>2007</v>
      </c>
      <c r="N61" s="6">
        <v>6.1</v>
      </c>
      <c r="O61" s="4">
        <f ca="1">IFERROR(__xludf.DUMMYFUNCTION("IF(Cost_in_dollars!E61=""USD"",Cost_in_dollars!B61,Cost_in_dollars!B61 * GOOGLEFINANCE(""CURRENCY:"" &amp; Cost_in_dollars!E61 &amp; ""USD""))
"),160000000)</f>
        <v>160000000</v>
      </c>
      <c r="P61" s="4">
        <f ca="1">IFERROR(__xludf.DUMMYFUNCTION("IF(Cost_in_dollars!E61=""USD"",Cost_in_dollars!C61,Cost_in_dollars!C61 * GOOGLEFINANCE(""CURRENCY:"" &amp; Cost_in_dollars!E61 &amp; ""USD""))
"),320706665)</f>
        <v>320706665</v>
      </c>
      <c r="Q61" s="6">
        <f t="shared" ca="1" si="0"/>
        <v>160706665</v>
      </c>
      <c r="R61" s="7" t="str">
        <f t="shared" si="1"/>
        <v>Shrek the Third</v>
      </c>
      <c r="S61" s="43" t="str">
        <f t="shared" si="2"/>
        <v>Adventure</v>
      </c>
    </row>
    <row r="62" spans="1:19" ht="15.75" customHeight="1" x14ac:dyDescent="0.25">
      <c r="A62" s="4" t="s">
        <v>308</v>
      </c>
      <c r="B62" s="4">
        <v>371</v>
      </c>
      <c r="C62" s="4">
        <v>65069140</v>
      </c>
      <c r="D62" s="4" t="s">
        <v>309</v>
      </c>
      <c r="E62" s="4" t="s">
        <v>310</v>
      </c>
      <c r="F62" s="4" t="s">
        <v>311</v>
      </c>
      <c r="G62" s="4">
        <v>65299</v>
      </c>
      <c r="H62" s="4" t="s">
        <v>312</v>
      </c>
      <c r="I62" s="4">
        <v>455</v>
      </c>
      <c r="J62" s="4" t="s">
        <v>23</v>
      </c>
      <c r="K62" s="4" t="s">
        <v>24</v>
      </c>
      <c r="L62" s="4">
        <v>5000000</v>
      </c>
      <c r="M62" s="4">
        <v>2015</v>
      </c>
      <c r="N62" s="4">
        <v>6.2</v>
      </c>
      <c r="O62" s="4">
        <f ca="1">IFERROR(__xludf.DUMMYFUNCTION("IF(Cost_in_dollars!E62=""USD"",Cost_in_dollars!B62,Cost_in_dollars!B62 * GOOGLEFINANCE(""CURRENCY:"" &amp; Cost_in_dollars!E62 &amp; ""USD""))
"),5000000)</f>
        <v>5000000</v>
      </c>
      <c r="P62" s="4">
        <f ca="1">IFERROR(__xludf.DUMMYFUNCTION("IF(Cost_in_dollars!E62=""USD"",Cost_in_dollars!C62,Cost_in_dollars!C62 * GOOGLEFINANCE(""CURRENCY:"" &amp; Cost_in_dollars!E62 &amp; ""USD""))
"),65069140)</f>
        <v>65069140</v>
      </c>
      <c r="Q62" s="4">
        <f t="shared" ca="1" si="0"/>
        <v>60069140</v>
      </c>
      <c r="R62" s="5" t="str">
        <f t="shared" si="1"/>
        <v>The Visit</v>
      </c>
      <c r="S62" s="43" t="str">
        <f t="shared" si="2"/>
        <v>Horror</v>
      </c>
    </row>
    <row r="63" spans="1:19" ht="15.75" customHeight="1" x14ac:dyDescent="0.25">
      <c r="A63" s="6" t="s">
        <v>313</v>
      </c>
      <c r="B63" s="6">
        <v>253</v>
      </c>
      <c r="C63" s="6">
        <v>80050171</v>
      </c>
      <c r="D63" s="6" t="s">
        <v>314</v>
      </c>
      <c r="E63" s="6" t="s">
        <v>315</v>
      </c>
      <c r="F63" s="6" t="s">
        <v>316</v>
      </c>
      <c r="G63" s="6">
        <v>186984</v>
      </c>
      <c r="H63" s="6" t="s">
        <v>317</v>
      </c>
      <c r="I63" s="6">
        <v>491</v>
      </c>
      <c r="J63" s="6" t="s">
        <v>23</v>
      </c>
      <c r="K63" s="6" t="s">
        <v>24</v>
      </c>
      <c r="L63" s="6">
        <v>20000000</v>
      </c>
      <c r="M63" s="6">
        <v>2007</v>
      </c>
      <c r="N63" s="6">
        <v>6.9</v>
      </c>
      <c r="O63" s="4">
        <f ca="1">IFERROR(__xludf.DUMMYFUNCTION("IF(Cost_in_dollars!E63=""USD"",Cost_in_dollars!B63,Cost_in_dollars!B63 * GOOGLEFINANCE(""CURRENCY:"" &amp; Cost_in_dollars!E63 &amp; ""USD""))
"),20000000)</f>
        <v>20000000</v>
      </c>
      <c r="P63" s="4">
        <f ca="1">IFERROR(__xludf.DUMMYFUNCTION("IF(Cost_in_dollars!E63=""USD"",Cost_in_dollars!C63,Cost_in_dollars!C63 * GOOGLEFINANCE(""CURRENCY:"" &amp; Cost_in_dollars!E63 &amp; ""USD""))
"),80050171)</f>
        <v>80050171</v>
      </c>
      <c r="Q63" s="6">
        <f t="shared" ca="1" si="0"/>
        <v>60050171</v>
      </c>
      <c r="R63" s="7" t="str">
        <f t="shared" si="1"/>
        <v>Disturbia</v>
      </c>
      <c r="S63" s="43" t="str">
        <f t="shared" si="2"/>
        <v>Drama</v>
      </c>
    </row>
    <row r="64" spans="1:19" ht="15.75" customHeight="1" x14ac:dyDescent="0.25">
      <c r="A64" s="4" t="s">
        <v>318</v>
      </c>
      <c r="B64" s="4">
        <v>238</v>
      </c>
      <c r="C64" s="4">
        <v>117144465</v>
      </c>
      <c r="D64" s="4" t="s">
        <v>319</v>
      </c>
      <c r="E64" s="4" t="s">
        <v>320</v>
      </c>
      <c r="F64" s="4" t="s">
        <v>321</v>
      </c>
      <c r="G64" s="4">
        <v>256928</v>
      </c>
      <c r="H64" s="4" t="s">
        <v>322</v>
      </c>
      <c r="I64" s="4">
        <v>288</v>
      </c>
      <c r="J64" s="4" t="s">
        <v>23</v>
      </c>
      <c r="K64" s="4" t="s">
        <v>24</v>
      </c>
      <c r="L64" s="4">
        <v>85000000</v>
      </c>
      <c r="M64" s="4">
        <v>2007</v>
      </c>
      <c r="N64" s="4">
        <v>6.9</v>
      </c>
      <c r="O64" s="4">
        <f ca="1">IFERROR(__xludf.DUMMYFUNCTION("IF(Cost_in_dollars!E64=""USD"",Cost_in_dollars!B64,Cost_in_dollars!B64 * GOOGLEFINANCE(""CURRENCY:"" &amp; Cost_in_dollars!E64 &amp; ""USD""))
"),85000000)</f>
        <v>85000000</v>
      </c>
      <c r="P64" s="4">
        <f ca="1">IFERROR(__xludf.DUMMYFUNCTION("IF(Cost_in_dollars!E64=""USD"",Cost_in_dollars!C64,Cost_in_dollars!C64 * GOOGLEFINANCE(""CURRENCY:"" &amp; Cost_in_dollars!E64 &amp; ""USD""))
"),117144465)</f>
        <v>117144465</v>
      </c>
      <c r="Q64" s="4">
        <f t="shared" ca="1" si="0"/>
        <v>32144465</v>
      </c>
      <c r="R64" s="5" t="str">
        <f t="shared" si="1"/>
        <v>Ocean's Thirteen</v>
      </c>
      <c r="S64" s="43" t="str">
        <f t="shared" si="2"/>
        <v>Crime</v>
      </c>
    </row>
    <row r="65" spans="1:19" ht="15.75" customHeight="1" x14ac:dyDescent="0.25">
      <c r="A65" s="6" t="s">
        <v>323</v>
      </c>
      <c r="B65" s="6">
        <v>129</v>
      </c>
      <c r="C65" s="6">
        <v>4881867</v>
      </c>
      <c r="D65" s="6" t="s">
        <v>324</v>
      </c>
      <c r="E65" s="6" t="s">
        <v>325</v>
      </c>
      <c r="F65" s="6" t="s">
        <v>326</v>
      </c>
      <c r="G65" s="6">
        <v>15200</v>
      </c>
      <c r="H65" s="6" t="s">
        <v>327</v>
      </c>
      <c r="I65" s="6">
        <v>76</v>
      </c>
      <c r="J65" s="6" t="s">
        <v>23</v>
      </c>
      <c r="K65" s="6" t="s">
        <v>24</v>
      </c>
      <c r="L65" s="6">
        <v>9000000</v>
      </c>
      <c r="M65" s="6">
        <v>2008</v>
      </c>
      <c r="N65" s="6">
        <v>6.4</v>
      </c>
      <c r="O65" s="4">
        <f ca="1">IFERROR(__xludf.DUMMYFUNCTION("IF(Cost_in_dollars!E65=""USD"",Cost_in_dollars!B65,Cost_in_dollars!B65 * GOOGLEFINANCE(""CURRENCY:"" &amp; Cost_in_dollars!E65 &amp; ""USD""))
"),9000000)</f>
        <v>9000000</v>
      </c>
      <c r="P65" s="4">
        <f ca="1">IFERROR(__xludf.DUMMYFUNCTION("IF(Cost_in_dollars!E65=""USD"",Cost_in_dollars!C65,Cost_in_dollars!C65 * GOOGLEFINANCE(""CURRENCY:"" &amp; Cost_in_dollars!E65 &amp; ""USD""))
"),4881867)</f>
        <v>4881867</v>
      </c>
      <c r="Q65" s="6">
        <f t="shared" ca="1" si="0"/>
        <v>-4118133</v>
      </c>
      <c r="R65" s="7" t="str">
        <f t="shared" si="1"/>
        <v>Hamlet 2</v>
      </c>
      <c r="S65" s="43" t="str">
        <f t="shared" si="2"/>
        <v>Comedy</v>
      </c>
    </row>
    <row r="66" spans="1:19" ht="15.75" customHeight="1" x14ac:dyDescent="0.25">
      <c r="A66" s="4" t="s">
        <v>328</v>
      </c>
      <c r="B66" s="4">
        <v>66</v>
      </c>
      <c r="C66" s="4">
        <v>336456</v>
      </c>
      <c r="D66" s="4" t="s">
        <v>329</v>
      </c>
      <c r="E66" s="4" t="s">
        <v>330</v>
      </c>
      <c r="F66" s="4" t="s">
        <v>331</v>
      </c>
      <c r="G66" s="4">
        <v>7116</v>
      </c>
      <c r="H66" s="4" t="s">
        <v>332</v>
      </c>
      <c r="I66" s="4">
        <v>79</v>
      </c>
      <c r="J66" s="4" t="s">
        <v>23</v>
      </c>
      <c r="K66" s="4" t="s">
        <v>24</v>
      </c>
      <c r="L66" s="4">
        <v>8000000</v>
      </c>
      <c r="M66" s="4">
        <v>2003</v>
      </c>
      <c r="N66" s="4">
        <v>5.6</v>
      </c>
      <c r="O66" s="4">
        <f ca="1">IFERROR(__xludf.DUMMYFUNCTION("IF(Cost_in_dollars!E66=""USD"",Cost_in_dollars!B66,Cost_in_dollars!B66 * GOOGLEFINANCE(""CURRENCY:"" &amp; Cost_in_dollars!E66 &amp; ""USD""))
"),8000000)</f>
        <v>8000000</v>
      </c>
      <c r="P66" s="4">
        <f ca="1">IFERROR(__xludf.DUMMYFUNCTION("IF(Cost_in_dollars!E66=""USD"",Cost_in_dollars!C66,Cost_in_dollars!C66 * GOOGLEFINANCE(""CURRENCY:"" &amp; Cost_in_dollars!E66 &amp; ""USD""))
"),336456)</f>
        <v>336456</v>
      </c>
      <c r="Q66" s="4">
        <f t="shared" ca="1" si="0"/>
        <v>-7663544</v>
      </c>
      <c r="R66" s="5" t="str">
        <f t="shared" si="1"/>
        <v>The Singing Detective</v>
      </c>
      <c r="S66" s="43" t="str">
        <f t="shared" ref="S66:S129" si="3">IF(ISNUMBER(FIND("|", D66)), LEFT(D66, FIND("|", D66) - 1), D66)</f>
        <v>Comedy</v>
      </c>
    </row>
    <row r="67" spans="1:19" ht="15.75" customHeight="1" x14ac:dyDescent="0.25">
      <c r="A67" s="6" t="s">
        <v>333</v>
      </c>
      <c r="B67" s="6">
        <v>197</v>
      </c>
      <c r="C67" s="6">
        <v>39440655</v>
      </c>
      <c r="D67" s="6" t="s">
        <v>334</v>
      </c>
      <c r="E67" s="6" t="s">
        <v>335</v>
      </c>
      <c r="F67" s="6" t="s">
        <v>336</v>
      </c>
      <c r="G67" s="6">
        <v>61680</v>
      </c>
      <c r="H67" s="6" t="s">
        <v>337</v>
      </c>
      <c r="I67" s="6">
        <v>222</v>
      </c>
      <c r="J67" s="6" t="s">
        <v>23</v>
      </c>
      <c r="K67" s="6" t="s">
        <v>24</v>
      </c>
      <c r="L67" s="6">
        <v>55000000</v>
      </c>
      <c r="M67" s="6">
        <v>2010</v>
      </c>
      <c r="N67" s="6">
        <v>6.4</v>
      </c>
      <c r="O67" s="4">
        <f ca="1">IFERROR(__xludf.DUMMYFUNCTION("IF(Cost_in_dollars!E67=""USD"",Cost_in_dollars!B67,Cost_in_dollars!B67 * GOOGLEFINANCE(""CURRENCY:"" &amp; Cost_in_dollars!E67 &amp; ""USD""))
"),55000000)</f>
        <v>55000000</v>
      </c>
      <c r="P67" s="4">
        <f ca="1">IFERROR(__xludf.DUMMYFUNCTION("IF(Cost_in_dollars!E67=""USD"",Cost_in_dollars!C67,Cost_in_dollars!C67 * GOOGLEFINANCE(""CURRENCY:"" &amp; Cost_in_dollars!E67 &amp; ""USD""))
"),39440655)</f>
        <v>39440655</v>
      </c>
      <c r="Q67" s="6">
        <f t="shared" ca="1" si="0"/>
        <v>-15559345</v>
      </c>
      <c r="R67" s="7" t="str">
        <f t="shared" si="1"/>
        <v>Burlesque</v>
      </c>
      <c r="S67" s="43" t="str">
        <f t="shared" si="3"/>
        <v>Drama</v>
      </c>
    </row>
    <row r="68" spans="1:19" ht="15.75" customHeight="1" x14ac:dyDescent="0.25">
      <c r="A68" s="4" t="s">
        <v>338</v>
      </c>
      <c r="B68" s="4">
        <v>421</v>
      </c>
      <c r="C68" s="4">
        <v>40962534</v>
      </c>
      <c r="D68" s="4" t="s">
        <v>102</v>
      </c>
      <c r="E68" s="4" t="s">
        <v>227</v>
      </c>
      <c r="F68" s="4" t="s">
        <v>339</v>
      </c>
      <c r="G68" s="4">
        <v>188652</v>
      </c>
      <c r="H68" s="4" t="s">
        <v>340</v>
      </c>
      <c r="I68" s="4">
        <v>288</v>
      </c>
      <c r="J68" s="4" t="s">
        <v>23</v>
      </c>
      <c r="K68" s="4" t="s">
        <v>24</v>
      </c>
      <c r="L68" s="4">
        <v>12500000</v>
      </c>
      <c r="M68" s="4">
        <v>2011</v>
      </c>
      <c r="N68" s="4">
        <v>7.1</v>
      </c>
      <c r="O68" s="4">
        <f ca="1">IFERROR(__xludf.DUMMYFUNCTION("IF(Cost_in_dollars!E68=""USD"",Cost_in_dollars!B68,Cost_in_dollars!B68 * GOOGLEFINANCE(""CURRENCY:"" &amp; Cost_in_dollars!E68 &amp; ""USD""))
"),12500000)</f>
        <v>12500000</v>
      </c>
      <c r="P68" s="4">
        <f ca="1">IFERROR(__xludf.DUMMYFUNCTION("IF(Cost_in_dollars!E68=""USD"",Cost_in_dollars!C68,Cost_in_dollars!C68 * GOOGLEFINANCE(""CURRENCY:"" &amp; Cost_in_dollars!E68 &amp; ""USD""))
"),40962534)</f>
        <v>40962534</v>
      </c>
      <c r="Q68" s="4">
        <f t="shared" ca="1" si="0"/>
        <v>28462534</v>
      </c>
      <c r="R68" s="5" t="str">
        <f t="shared" si="1"/>
        <v>The Ides of March</v>
      </c>
      <c r="S68" s="43" t="str">
        <f t="shared" si="3"/>
        <v>Drama</v>
      </c>
    </row>
    <row r="69" spans="1:19" ht="15.75" customHeight="1" x14ac:dyDescent="0.25">
      <c r="A69" s="6" t="s">
        <v>341</v>
      </c>
      <c r="B69" s="6">
        <v>144</v>
      </c>
      <c r="C69" s="6">
        <v>27400000</v>
      </c>
      <c r="D69" s="6" t="s">
        <v>188</v>
      </c>
      <c r="E69" s="6" t="s">
        <v>342</v>
      </c>
      <c r="F69" s="6" t="s">
        <v>343</v>
      </c>
      <c r="G69" s="6">
        <v>97087</v>
      </c>
      <c r="H69" s="6" t="s">
        <v>344</v>
      </c>
      <c r="I69" s="6">
        <v>569</v>
      </c>
      <c r="J69" s="6" t="s">
        <v>23</v>
      </c>
      <c r="K69" s="6" t="s">
        <v>24</v>
      </c>
      <c r="L69" s="6">
        <v>40000000</v>
      </c>
      <c r="M69" s="6">
        <v>1984</v>
      </c>
      <c r="N69" s="6">
        <v>6.6</v>
      </c>
      <c r="O69" s="4">
        <f ca="1">IFERROR(__xludf.DUMMYFUNCTION("IF(Cost_in_dollars!E69=""USD"",Cost_in_dollars!B69,Cost_in_dollars!B69 * GOOGLEFINANCE(""CURRENCY:"" &amp; Cost_in_dollars!E69 &amp; ""USD""))
"),40000000)</f>
        <v>40000000</v>
      </c>
      <c r="P69" s="4">
        <f ca="1">IFERROR(__xludf.DUMMYFUNCTION("IF(Cost_in_dollars!E69=""USD"",Cost_in_dollars!C69,Cost_in_dollars!C69 * GOOGLEFINANCE(""CURRENCY:"" &amp; Cost_in_dollars!E69 &amp; ""USD""))
"),27400000)</f>
        <v>27400000</v>
      </c>
      <c r="Q69" s="6">
        <f t="shared" ca="1" si="0"/>
        <v>-12600000</v>
      </c>
      <c r="R69" s="7" t="str">
        <f t="shared" si="1"/>
        <v>Dune</v>
      </c>
      <c r="S69" s="43" t="str">
        <f t="shared" si="3"/>
        <v>Action</v>
      </c>
    </row>
    <row r="70" spans="1:19" ht="15.75" customHeight="1" x14ac:dyDescent="0.25">
      <c r="A70" s="4" t="s">
        <v>345</v>
      </c>
      <c r="B70" s="4">
        <v>131</v>
      </c>
      <c r="C70" s="4">
        <v>79566871</v>
      </c>
      <c r="D70" s="4" t="s">
        <v>346</v>
      </c>
      <c r="E70" s="4" t="s">
        <v>347</v>
      </c>
      <c r="F70" s="4" t="s">
        <v>348</v>
      </c>
      <c r="G70" s="4">
        <v>31760</v>
      </c>
      <c r="H70" s="4" t="s">
        <v>349</v>
      </c>
      <c r="I70" s="4">
        <v>140</v>
      </c>
      <c r="J70" s="4" t="s">
        <v>23</v>
      </c>
      <c r="K70" s="4" t="s">
        <v>24</v>
      </c>
      <c r="L70" s="4">
        <v>30000000</v>
      </c>
      <c r="M70" s="4">
        <v>2009</v>
      </c>
      <c r="N70" s="4">
        <v>4.2</v>
      </c>
      <c r="O70" s="4">
        <f ca="1">IFERROR(__xludf.DUMMYFUNCTION("IF(Cost_in_dollars!E70=""USD"",Cost_in_dollars!B70,Cost_in_dollars!B70 * GOOGLEFINANCE(""CURRENCY:"" &amp; Cost_in_dollars!E70 &amp; ""USD""))
"),30000000)</f>
        <v>30000000</v>
      </c>
      <c r="P70" s="4">
        <f ca="1">IFERROR(__xludf.DUMMYFUNCTION("IF(Cost_in_dollars!E70=""USD"",Cost_in_dollars!C70,Cost_in_dollars!C70 * GOOGLEFINANCE(""CURRENCY:"" &amp; Cost_in_dollars!E70 &amp; ""USD""))
"),79566871)</f>
        <v>79566871</v>
      </c>
      <c r="Q70" s="4">
        <f t="shared" ca="1" si="0"/>
        <v>49566871</v>
      </c>
      <c r="R70" s="5" t="str">
        <f t="shared" si="1"/>
        <v>Hannah Montana: The Movie</v>
      </c>
      <c r="S70" s="43" t="str">
        <f t="shared" si="3"/>
        <v>Comedy</v>
      </c>
    </row>
    <row r="71" spans="1:19" ht="15.75" customHeight="1" x14ac:dyDescent="0.25">
      <c r="A71" s="6" t="s">
        <v>350</v>
      </c>
      <c r="B71" s="6">
        <v>258</v>
      </c>
      <c r="C71" s="6">
        <v>141614023</v>
      </c>
      <c r="D71" s="6" t="s">
        <v>351</v>
      </c>
      <c r="E71" s="6" t="s">
        <v>352</v>
      </c>
      <c r="F71" s="6" t="s">
        <v>353</v>
      </c>
      <c r="G71" s="6">
        <v>149922</v>
      </c>
      <c r="H71" s="6" t="s">
        <v>354</v>
      </c>
      <c r="I71" s="6">
        <v>438</v>
      </c>
      <c r="J71" s="6" t="s">
        <v>23</v>
      </c>
      <c r="K71" s="6" t="s">
        <v>24</v>
      </c>
      <c r="L71" s="6">
        <v>225000000</v>
      </c>
      <c r="M71" s="6">
        <v>2008</v>
      </c>
      <c r="N71" s="6">
        <v>6.6</v>
      </c>
      <c r="O71" s="4">
        <f ca="1">IFERROR(__xludf.DUMMYFUNCTION("IF(Cost_in_dollars!E71=""USD"",Cost_in_dollars!B71,Cost_in_dollars!B71 * GOOGLEFINANCE(""CURRENCY:"" &amp; Cost_in_dollars!E71 &amp; ""USD""))
"),225000000)</f>
        <v>225000000</v>
      </c>
      <c r="P71" s="4">
        <f ca="1">IFERROR(__xludf.DUMMYFUNCTION("IF(Cost_in_dollars!E71=""USD"",Cost_in_dollars!C71,Cost_in_dollars!C71 * GOOGLEFINANCE(""CURRENCY:"" &amp; Cost_in_dollars!E71 &amp; ""USD""))
"),141614023)</f>
        <v>141614023</v>
      </c>
      <c r="Q71" s="6">
        <f t="shared" ca="1" si="0"/>
        <v>-83385977</v>
      </c>
      <c r="R71" s="7" t="str">
        <f t="shared" si="1"/>
        <v>The Chronicles of Narnia: Prince Caspian</v>
      </c>
      <c r="S71" s="43" t="str">
        <f t="shared" si="3"/>
        <v>Action</v>
      </c>
    </row>
    <row r="72" spans="1:19" ht="15.75" customHeight="1" x14ac:dyDescent="0.25">
      <c r="A72" s="4" t="s">
        <v>355</v>
      </c>
      <c r="B72" s="4">
        <v>31</v>
      </c>
      <c r="C72" s="4">
        <v>10174663</v>
      </c>
      <c r="D72" s="4" t="s">
        <v>135</v>
      </c>
      <c r="E72" s="4" t="s">
        <v>355</v>
      </c>
      <c r="F72" s="4" t="s">
        <v>356</v>
      </c>
      <c r="G72" s="4">
        <v>12399</v>
      </c>
      <c r="H72" s="4" t="s">
        <v>357</v>
      </c>
      <c r="I72" s="4">
        <v>382</v>
      </c>
      <c r="J72" s="4" t="s">
        <v>23</v>
      </c>
      <c r="K72" s="4" t="s">
        <v>24</v>
      </c>
      <c r="L72" s="4">
        <v>100000</v>
      </c>
      <c r="M72" s="4">
        <v>2006</v>
      </c>
      <c r="N72" s="4">
        <v>6.7</v>
      </c>
      <c r="O72" s="4">
        <f ca="1">IFERROR(__xludf.DUMMYFUNCTION("IF(Cost_in_dollars!E72=""USD"",Cost_in_dollars!B72,Cost_in_dollars!B72 * GOOGLEFINANCE(""CURRENCY:"" &amp; Cost_in_dollars!E72 &amp; ""USD""))
"),100000)</f>
        <v>100000</v>
      </c>
      <c r="P72" s="4">
        <f ca="1">IFERROR(__xludf.DUMMYFUNCTION("IF(Cost_in_dollars!E72=""USD"",Cost_in_dollars!C72,Cost_in_dollars!C72 * GOOGLEFINANCE(""CURRENCY:"" &amp; Cost_in_dollars!E72 &amp; ""USD""))
"),10174663)</f>
        <v>10174663</v>
      </c>
      <c r="Q72" s="4">
        <f t="shared" ca="1" si="0"/>
        <v>10074663</v>
      </c>
      <c r="R72" s="5" t="str">
        <f t="shared" si="1"/>
        <v>Facing the Giants</v>
      </c>
      <c r="S72" s="43" t="str">
        <f t="shared" si="3"/>
        <v>Drama</v>
      </c>
    </row>
    <row r="73" spans="1:19" ht="15.75" customHeight="1" x14ac:dyDescent="0.25">
      <c r="A73" s="6" t="s">
        <v>358</v>
      </c>
      <c r="B73" s="6">
        <v>292</v>
      </c>
      <c r="C73" s="6">
        <v>101530738</v>
      </c>
      <c r="D73" s="6" t="s">
        <v>155</v>
      </c>
      <c r="E73" s="6" t="s">
        <v>69</v>
      </c>
      <c r="F73" s="6" t="s">
        <v>359</v>
      </c>
      <c r="G73" s="6">
        <v>229574</v>
      </c>
      <c r="H73" s="6" t="s">
        <v>360</v>
      </c>
      <c r="I73" s="6">
        <v>436</v>
      </c>
      <c r="J73" s="6" t="s">
        <v>23</v>
      </c>
      <c r="K73" s="6" t="s">
        <v>24</v>
      </c>
      <c r="L73" s="6">
        <v>55000000</v>
      </c>
      <c r="M73" s="6">
        <v>2014</v>
      </c>
      <c r="N73" s="6">
        <v>7.2</v>
      </c>
      <c r="O73" s="4">
        <f ca="1">IFERROR(__xludf.DUMMYFUNCTION("IF(Cost_in_dollars!E73=""USD"",Cost_in_dollars!B73,Cost_in_dollars!B73 * GOOGLEFINANCE(""CURRENCY:"" &amp; Cost_in_dollars!E73 &amp; ""USD""))
"),55000000)</f>
        <v>55000000</v>
      </c>
      <c r="P73" s="4">
        <f ca="1">IFERROR(__xludf.DUMMYFUNCTION("IF(Cost_in_dollars!E73=""USD"",Cost_in_dollars!C73,Cost_in_dollars!C73 * GOOGLEFINANCE(""CURRENCY:"" &amp; Cost_in_dollars!E73 &amp; ""USD""))
"),101530738)</f>
        <v>101530738</v>
      </c>
      <c r="Q73" s="6">
        <f t="shared" ca="1" si="0"/>
        <v>46530738</v>
      </c>
      <c r="R73" s="7" t="str">
        <f t="shared" si="1"/>
        <v>The Equalizer</v>
      </c>
      <c r="S73" s="43" t="str">
        <f t="shared" si="3"/>
        <v>Action</v>
      </c>
    </row>
    <row r="74" spans="1:19" ht="15.75" customHeight="1" x14ac:dyDescent="0.25">
      <c r="A74" s="4" t="s">
        <v>361</v>
      </c>
      <c r="B74" s="4">
        <v>99</v>
      </c>
      <c r="C74" s="4">
        <v>4234040</v>
      </c>
      <c r="D74" s="4" t="s">
        <v>362</v>
      </c>
      <c r="E74" s="4" t="s">
        <v>363</v>
      </c>
      <c r="F74" s="4" t="s">
        <v>364</v>
      </c>
      <c r="G74" s="4">
        <v>14301</v>
      </c>
      <c r="H74" s="4" t="s">
        <v>365</v>
      </c>
      <c r="I74" s="4">
        <v>45</v>
      </c>
      <c r="J74" s="4" t="s">
        <v>23</v>
      </c>
      <c r="K74" s="4" t="s">
        <v>24</v>
      </c>
      <c r="L74" s="4">
        <v>20000000</v>
      </c>
      <c r="M74" s="4">
        <v>2008</v>
      </c>
      <c r="N74" s="4">
        <v>7</v>
      </c>
      <c r="O74" s="4">
        <f ca="1">IFERROR(__xludf.DUMMYFUNCTION("IF(Cost_in_dollars!E74=""USD"",Cost_in_dollars!B74,Cost_in_dollars!B74 * GOOGLEFINANCE(""CURRENCY:"" &amp; Cost_in_dollars!E74 &amp; ""USD""))
"),20000000)</f>
        <v>20000000</v>
      </c>
      <c r="P74" s="4">
        <f ca="1">IFERROR(__xludf.DUMMYFUNCTION("IF(Cost_in_dollars!E74=""USD"",Cost_in_dollars!C74,Cost_in_dollars!C74 * GOOGLEFINANCE(""CURRENCY:"" &amp; Cost_in_dollars!E74 &amp; ""USD""))
"),4234040)</f>
        <v>4234040</v>
      </c>
      <c r="Q74" s="4">
        <f t="shared" ca="1" si="0"/>
        <v>-15765960</v>
      </c>
      <c r="R74" s="5" t="str">
        <f t="shared" si="1"/>
        <v>Flash of Genius</v>
      </c>
      <c r="S74" s="43" t="str">
        <f t="shared" si="3"/>
        <v>Biography</v>
      </c>
    </row>
    <row r="75" spans="1:19" ht="15.75" customHeight="1" x14ac:dyDescent="0.25">
      <c r="A75" s="6" t="s">
        <v>366</v>
      </c>
      <c r="B75" s="6">
        <v>29</v>
      </c>
      <c r="C75" s="6">
        <v>1332</v>
      </c>
      <c r="D75" s="6" t="s">
        <v>367</v>
      </c>
      <c r="E75" s="6" t="s">
        <v>368</v>
      </c>
      <c r="F75" s="6" t="s">
        <v>369</v>
      </c>
      <c r="G75" s="6">
        <v>2038</v>
      </c>
      <c r="H75" s="6" t="s">
        <v>370</v>
      </c>
      <c r="I75" s="6">
        <v>20</v>
      </c>
      <c r="J75" s="6" t="s">
        <v>23</v>
      </c>
      <c r="K75" s="6" t="s">
        <v>24</v>
      </c>
      <c r="L75" s="6">
        <v>500000</v>
      </c>
      <c r="M75" s="6">
        <v>2012</v>
      </c>
      <c r="N75" s="6">
        <v>4.5999999999999996</v>
      </c>
      <c r="O75" s="4">
        <f ca="1">IFERROR(__xludf.DUMMYFUNCTION("IF(Cost_in_dollars!E75=""USD"",Cost_in_dollars!B75,Cost_in_dollars!B75 * GOOGLEFINANCE(""CURRENCY:"" &amp; Cost_in_dollars!E75 &amp; ""USD""))
"),500000)</f>
        <v>500000</v>
      </c>
      <c r="P75" s="4">
        <f ca="1">IFERROR(__xludf.DUMMYFUNCTION("IF(Cost_in_dollars!E75=""USD"",Cost_in_dollars!C75,Cost_in_dollars!C75 * GOOGLEFINANCE(""CURRENCY:"" &amp; Cost_in_dollars!E75 &amp; ""USD""))
"),1332)</f>
        <v>1332</v>
      </c>
      <c r="Q75" s="6">
        <f t="shared" ca="1" si="0"/>
        <v>-498668</v>
      </c>
      <c r="R75" s="7" t="str">
        <f t="shared" si="1"/>
        <v>Detention of the Dead</v>
      </c>
      <c r="S75" s="43" t="str">
        <f t="shared" si="3"/>
        <v>Comedy</v>
      </c>
    </row>
    <row r="76" spans="1:19" ht="15.75" customHeight="1" x14ac:dyDescent="0.25">
      <c r="A76" s="4" t="s">
        <v>371</v>
      </c>
      <c r="B76" s="4">
        <v>100</v>
      </c>
      <c r="C76" s="4">
        <v>34098563</v>
      </c>
      <c r="D76" s="4" t="s">
        <v>372</v>
      </c>
      <c r="E76" s="4" t="s">
        <v>240</v>
      </c>
      <c r="F76" s="4" t="s">
        <v>373</v>
      </c>
      <c r="G76" s="4">
        <v>27191</v>
      </c>
      <c r="H76" s="4" t="s">
        <v>374</v>
      </c>
      <c r="I76" s="4">
        <v>232</v>
      </c>
      <c r="J76" s="4" t="s">
        <v>23</v>
      </c>
      <c r="K76" s="4" t="s">
        <v>24</v>
      </c>
      <c r="L76" s="4">
        <v>55000000</v>
      </c>
      <c r="M76" s="4">
        <v>1999</v>
      </c>
      <c r="N76" s="4">
        <v>6.5</v>
      </c>
      <c r="O76" s="4">
        <f ca="1">IFERROR(__xludf.DUMMYFUNCTION("IF(Cost_in_dollars!E76=""USD"",Cost_in_dollars!B76,Cost_in_dollars!B76 * GOOGLEFINANCE(""CURRENCY:"" &amp; Cost_in_dollars!E76 &amp; ""USD""))
"),55000000)</f>
        <v>55000000</v>
      </c>
      <c r="P76" s="4">
        <f ca="1">IFERROR(__xludf.DUMMYFUNCTION("IF(Cost_in_dollars!E76=""USD"",Cost_in_dollars!C76,Cost_in_dollars!C76 * GOOGLEFINANCE(""CURRENCY:"" &amp; Cost_in_dollars!E76 &amp; ""USD""))
"),34098563)</f>
        <v>34098563</v>
      </c>
      <c r="Q76" s="4">
        <f t="shared" ca="1" si="0"/>
        <v>-20901437</v>
      </c>
      <c r="R76" s="5" t="str">
        <f t="shared" si="1"/>
        <v>Instinct</v>
      </c>
      <c r="S76" s="43" t="str">
        <f t="shared" si="3"/>
        <v>Drama</v>
      </c>
    </row>
    <row r="77" spans="1:19" ht="15.75" customHeight="1" x14ac:dyDescent="0.25">
      <c r="A77" s="6" t="s">
        <v>375</v>
      </c>
      <c r="B77" s="6">
        <v>119</v>
      </c>
      <c r="C77" s="6">
        <v>163214286</v>
      </c>
      <c r="D77" s="6" t="s">
        <v>376</v>
      </c>
      <c r="E77" s="6" t="s">
        <v>377</v>
      </c>
      <c r="F77" s="6" t="s">
        <v>378</v>
      </c>
      <c r="G77" s="6">
        <v>148172</v>
      </c>
      <c r="H77" s="6" t="s">
        <v>379</v>
      </c>
      <c r="I77" s="6">
        <v>406</v>
      </c>
      <c r="J77" s="6" t="s">
        <v>23</v>
      </c>
      <c r="K77" s="6" t="s">
        <v>24</v>
      </c>
      <c r="L77" s="6">
        <v>8200000</v>
      </c>
      <c r="M77" s="6">
        <v>1965</v>
      </c>
      <c r="N77" s="6">
        <v>8</v>
      </c>
      <c r="O77" s="4">
        <f ca="1">IFERROR(__xludf.DUMMYFUNCTION("IF(Cost_in_dollars!E77=""USD"",Cost_in_dollars!B77,Cost_in_dollars!B77 * GOOGLEFINANCE(""CURRENCY:"" &amp; Cost_in_dollars!E77 &amp; ""USD""))
"),8200000)</f>
        <v>8200000</v>
      </c>
      <c r="P77" s="4">
        <f ca="1">IFERROR(__xludf.DUMMYFUNCTION("IF(Cost_in_dollars!E77=""USD"",Cost_in_dollars!C77,Cost_in_dollars!C77 * GOOGLEFINANCE(""CURRENCY:"" &amp; Cost_in_dollars!E77 &amp; ""USD""))
"),163214286)</f>
        <v>163214286</v>
      </c>
      <c r="Q77" s="6">
        <f t="shared" ca="1" si="0"/>
        <v>155014286</v>
      </c>
      <c r="R77" s="7" t="str">
        <f t="shared" si="1"/>
        <v>The Sound of Music</v>
      </c>
      <c r="S77" s="43" t="str">
        <f t="shared" si="3"/>
        <v>Biography</v>
      </c>
    </row>
    <row r="78" spans="1:19" ht="15.75" customHeight="1" x14ac:dyDescent="0.25">
      <c r="A78" s="4" t="s">
        <v>380</v>
      </c>
      <c r="B78" s="4">
        <v>97</v>
      </c>
      <c r="C78" s="4">
        <v>26284475</v>
      </c>
      <c r="D78" s="4" t="s">
        <v>140</v>
      </c>
      <c r="E78" s="4" t="s">
        <v>381</v>
      </c>
      <c r="F78" s="4" t="s">
        <v>382</v>
      </c>
      <c r="G78" s="4">
        <v>9051</v>
      </c>
      <c r="H78" s="4" t="s">
        <v>383</v>
      </c>
      <c r="I78" s="4">
        <v>68</v>
      </c>
      <c r="J78" s="4" t="s">
        <v>23</v>
      </c>
      <c r="K78" s="4" t="s">
        <v>24</v>
      </c>
      <c r="L78" s="4">
        <v>17000000</v>
      </c>
      <c r="M78" s="4">
        <v>2015</v>
      </c>
      <c r="N78" s="4">
        <v>5.7</v>
      </c>
      <c r="O78" s="4">
        <f ca="1">IFERROR(__xludf.DUMMYFUNCTION("IF(Cost_in_dollars!E78=""USD"",Cost_in_dollars!B78,Cost_in_dollars!B78 * GOOGLEFINANCE(""CURRENCY:"" &amp; Cost_in_dollars!E78 &amp; ""USD""))
"),17000000)</f>
        <v>17000000</v>
      </c>
      <c r="P78" s="4">
        <f ca="1">IFERROR(__xludf.DUMMYFUNCTION("IF(Cost_in_dollars!E78=""USD"",Cost_in_dollars!C78,Cost_in_dollars!C78 * GOOGLEFINANCE(""CURRENCY:"" &amp; Cost_in_dollars!E78 &amp; ""USD""))
"),26284475)</f>
        <v>26284475</v>
      </c>
      <c r="Q78" s="4">
        <f t="shared" ca="1" si="0"/>
        <v>9284475</v>
      </c>
      <c r="R78" s="5" t="str">
        <f t="shared" si="1"/>
        <v>Love the Coopers</v>
      </c>
      <c r="S78" s="43" t="str">
        <f t="shared" si="3"/>
        <v>Comedy</v>
      </c>
    </row>
    <row r="79" spans="1:19" ht="15.75" customHeight="1" x14ac:dyDescent="0.25">
      <c r="A79" s="6" t="s">
        <v>384</v>
      </c>
      <c r="B79" s="6">
        <v>147</v>
      </c>
      <c r="C79" s="6">
        <v>44700000</v>
      </c>
      <c r="D79" s="6" t="s">
        <v>53</v>
      </c>
      <c r="E79" s="6" t="s">
        <v>320</v>
      </c>
      <c r="F79" s="6" t="s">
        <v>385</v>
      </c>
      <c r="G79" s="6">
        <v>537442</v>
      </c>
      <c r="H79" s="6" t="s">
        <v>386</v>
      </c>
      <c r="I79" s="6">
        <v>851</v>
      </c>
      <c r="J79" s="6" t="s">
        <v>23</v>
      </c>
      <c r="K79" s="6" t="s">
        <v>24</v>
      </c>
      <c r="L79" s="6">
        <v>25000000</v>
      </c>
      <c r="M79" s="6">
        <v>1983</v>
      </c>
      <c r="N79" s="6">
        <v>8.3000000000000007</v>
      </c>
      <c r="O79" s="4">
        <f ca="1">IFERROR(__xludf.DUMMYFUNCTION("IF(Cost_in_dollars!E79=""USD"",Cost_in_dollars!B79,Cost_in_dollars!B79 * GOOGLEFINANCE(""CURRENCY:"" &amp; Cost_in_dollars!E79 &amp; ""USD""))
"),25000000)</f>
        <v>25000000</v>
      </c>
      <c r="P79" s="4">
        <f ca="1">IFERROR(__xludf.DUMMYFUNCTION("IF(Cost_in_dollars!E79=""USD"",Cost_in_dollars!C79,Cost_in_dollars!C79 * GOOGLEFINANCE(""CURRENCY:"" &amp; Cost_in_dollars!E79 &amp; ""USD""))
"),44700000)</f>
        <v>44700000</v>
      </c>
      <c r="Q79" s="6">
        <f t="shared" ca="1" si="0"/>
        <v>19700000</v>
      </c>
      <c r="R79" s="7" t="str">
        <f t="shared" si="1"/>
        <v>Scarface</v>
      </c>
      <c r="S79" s="43" t="str">
        <f t="shared" si="3"/>
        <v>Crime</v>
      </c>
    </row>
    <row r="80" spans="1:19" ht="15.75" customHeight="1" x14ac:dyDescent="0.25">
      <c r="A80" s="4" t="s">
        <v>387</v>
      </c>
      <c r="B80" s="4">
        <v>211</v>
      </c>
      <c r="C80" s="4">
        <v>41797066</v>
      </c>
      <c r="D80" s="4" t="s">
        <v>63</v>
      </c>
      <c r="E80" s="4" t="s">
        <v>388</v>
      </c>
      <c r="F80" s="4" t="s">
        <v>389</v>
      </c>
      <c r="G80" s="4">
        <v>92789</v>
      </c>
      <c r="H80" s="4" t="s">
        <v>390</v>
      </c>
      <c r="I80" s="4">
        <v>998</v>
      </c>
      <c r="J80" s="4" t="s">
        <v>23</v>
      </c>
      <c r="K80" s="4" t="s">
        <v>24</v>
      </c>
      <c r="L80" s="4">
        <v>40000000</v>
      </c>
      <c r="M80" s="4">
        <v>2007</v>
      </c>
      <c r="N80" s="4">
        <v>4.7</v>
      </c>
      <c r="O80" s="4">
        <f ca="1">IFERROR(__xludf.DUMMYFUNCTION("IF(Cost_in_dollars!E80=""USD"",Cost_in_dollars!B80,Cost_in_dollars!B80 * GOOGLEFINANCE(""CURRENCY:"" &amp; Cost_in_dollars!E80 &amp; ""USD""))
"),40000000)</f>
        <v>40000000</v>
      </c>
      <c r="P80" s="4">
        <f ca="1">IFERROR(__xludf.DUMMYFUNCTION("IF(Cost_in_dollars!E80=""USD"",Cost_in_dollars!C80,Cost_in_dollars!C80 * GOOGLEFINANCE(""CURRENCY:"" &amp; Cost_in_dollars!E80 &amp; ""USD""))
"),41797066)</f>
        <v>41797066</v>
      </c>
      <c r="Q80" s="4">
        <f t="shared" ca="1" si="0"/>
        <v>1797066</v>
      </c>
      <c r="R80" s="5" t="str">
        <f t="shared" si="1"/>
        <v>Aliens vs. Predator: Requiem</v>
      </c>
      <c r="S80" s="43" t="str">
        <f t="shared" si="3"/>
        <v>Action</v>
      </c>
    </row>
    <row r="81" spans="1:19" ht="15.75" customHeight="1" x14ac:dyDescent="0.25">
      <c r="A81" s="6" t="s">
        <v>391</v>
      </c>
      <c r="B81" s="6">
        <v>151</v>
      </c>
      <c r="C81" s="6">
        <v>30259652</v>
      </c>
      <c r="D81" s="6" t="s">
        <v>392</v>
      </c>
      <c r="E81" s="6" t="s">
        <v>393</v>
      </c>
      <c r="F81" s="6" t="s">
        <v>394</v>
      </c>
      <c r="G81" s="6">
        <v>26905</v>
      </c>
      <c r="H81" s="6" t="s">
        <v>395</v>
      </c>
      <c r="I81" s="6">
        <v>614</v>
      </c>
      <c r="J81" s="6" t="s">
        <v>23</v>
      </c>
      <c r="K81" s="6" t="s">
        <v>24</v>
      </c>
      <c r="L81" s="6">
        <v>15000000</v>
      </c>
      <c r="M81" s="6">
        <v>2002</v>
      </c>
      <c r="N81" s="6">
        <v>4.0999999999999996</v>
      </c>
      <c r="O81" s="4">
        <f ca="1">IFERROR(__xludf.DUMMYFUNCTION("IF(Cost_in_dollars!E81=""USD"",Cost_in_dollars!B81,Cost_in_dollars!B81 * GOOGLEFINANCE(""CURRENCY:"" &amp; Cost_in_dollars!E81 &amp; ""USD""))
"),15000000)</f>
        <v>15000000</v>
      </c>
      <c r="P81" s="4">
        <f ca="1">IFERROR(__xludf.DUMMYFUNCTION("IF(Cost_in_dollars!E81=""USD"",Cost_in_dollars!C81,Cost_in_dollars!C81 * GOOGLEFINANCE(""CURRENCY:"" &amp; Cost_in_dollars!E81 &amp; ""USD""))
"),30259652)</f>
        <v>30259652</v>
      </c>
      <c r="Q81" s="6">
        <f t="shared" ca="1" si="0"/>
        <v>15259652</v>
      </c>
      <c r="R81" s="7" t="str">
        <f t="shared" si="1"/>
        <v>Halloween: Resurrection</v>
      </c>
      <c r="S81" s="43" t="str">
        <f t="shared" si="3"/>
        <v>Comedy</v>
      </c>
    </row>
    <row r="82" spans="1:19" ht="15.75" customHeight="1" x14ac:dyDescent="0.25">
      <c r="A82" s="4" t="s">
        <v>396</v>
      </c>
      <c r="B82" s="4">
        <v>52</v>
      </c>
      <c r="C82" s="4">
        <v>37566230</v>
      </c>
      <c r="D82" s="4" t="s">
        <v>397</v>
      </c>
      <c r="E82" s="4" t="s">
        <v>398</v>
      </c>
      <c r="F82" s="4" t="s">
        <v>399</v>
      </c>
      <c r="G82" s="4">
        <v>3407</v>
      </c>
      <c r="H82" s="4" t="s">
        <v>400</v>
      </c>
      <c r="I82" s="4">
        <v>48</v>
      </c>
      <c r="J82" s="4" t="s">
        <v>23</v>
      </c>
      <c r="K82" s="4" t="s">
        <v>24</v>
      </c>
      <c r="L82" s="4">
        <v>17000000</v>
      </c>
      <c r="M82" s="4">
        <v>2003</v>
      </c>
      <c r="N82" s="4">
        <v>5.0999999999999996</v>
      </c>
      <c r="O82" s="4">
        <f ca="1">IFERROR(__xludf.DUMMYFUNCTION("IF(Cost_in_dollars!E82=""USD"",Cost_in_dollars!B82,Cost_in_dollars!B82 * GOOGLEFINANCE(""CURRENCY:"" &amp; Cost_in_dollars!E82 &amp; ""USD""))
"),17000000)</f>
        <v>17000000</v>
      </c>
      <c r="P82" s="4">
        <f ca="1">IFERROR(__xludf.DUMMYFUNCTION("IF(Cost_in_dollars!E82=""USD"",Cost_in_dollars!C82,Cost_in_dollars!C82 * GOOGLEFINANCE(""CURRENCY:"" &amp; Cost_in_dollars!E82 &amp; ""USD""))
"),37566230)</f>
        <v>37566230</v>
      </c>
      <c r="Q82" s="4">
        <f t="shared" ca="1" si="0"/>
        <v>20566230</v>
      </c>
      <c r="R82" s="5" t="str">
        <f t="shared" si="1"/>
        <v>Good Boy!</v>
      </c>
      <c r="S82" s="43" t="str">
        <f t="shared" si="3"/>
        <v>Comedy</v>
      </c>
    </row>
    <row r="83" spans="1:19" ht="15.75" customHeight="1" x14ac:dyDescent="0.25">
      <c r="A83" s="6" t="s">
        <v>401</v>
      </c>
      <c r="B83" s="6">
        <v>26</v>
      </c>
      <c r="C83" s="6">
        <v>53481</v>
      </c>
      <c r="D83" s="6" t="s">
        <v>116</v>
      </c>
      <c r="E83" s="6" t="s">
        <v>402</v>
      </c>
      <c r="F83" s="6" t="s">
        <v>403</v>
      </c>
      <c r="G83" s="6">
        <v>5557</v>
      </c>
      <c r="H83" s="6" t="s">
        <v>404</v>
      </c>
      <c r="I83" s="6">
        <v>34</v>
      </c>
      <c r="J83" s="6" t="s">
        <v>23</v>
      </c>
      <c r="K83" s="6" t="s">
        <v>24</v>
      </c>
      <c r="L83" s="6">
        <v>8000000</v>
      </c>
      <c r="M83" s="6">
        <v>2006</v>
      </c>
      <c r="N83" s="6">
        <v>6.4</v>
      </c>
      <c r="O83" s="4">
        <f ca="1">IFERROR(__xludf.DUMMYFUNCTION("IF(Cost_in_dollars!E83=""USD"",Cost_in_dollars!B83,Cost_in_dollars!B83 * GOOGLEFINANCE(""CURRENCY:"" &amp; Cost_in_dollars!E83 &amp; ""USD""))
"),8000000)</f>
        <v>8000000</v>
      </c>
      <c r="P83" s="4">
        <f ca="1">IFERROR(__xludf.DUMMYFUNCTION("IF(Cost_in_dollars!E83=""USD"",Cost_in_dollars!C83,Cost_in_dollars!C83 * GOOGLEFINANCE(""CURRENCY:"" &amp; Cost_in_dollars!E83 &amp; ""USD""))
"),53481)</f>
        <v>53481</v>
      </c>
      <c r="Q83" s="6">
        <f t="shared" ca="1" si="0"/>
        <v>-7946519</v>
      </c>
      <c r="R83" s="7" t="str">
        <f t="shared" si="1"/>
        <v>10th &amp; Wolf</v>
      </c>
      <c r="S83" s="43" t="str">
        <f t="shared" si="3"/>
        <v>Crime</v>
      </c>
    </row>
    <row r="84" spans="1:19" ht="15.75" customHeight="1" x14ac:dyDescent="0.25">
      <c r="A84" s="4" t="s">
        <v>405</v>
      </c>
      <c r="B84" s="4">
        <v>81</v>
      </c>
      <c r="C84" s="4">
        <v>10166502</v>
      </c>
      <c r="D84" s="4" t="s">
        <v>406</v>
      </c>
      <c r="E84" s="4" t="s">
        <v>407</v>
      </c>
      <c r="F84" s="4" t="s">
        <v>408</v>
      </c>
      <c r="G84" s="4">
        <v>18209</v>
      </c>
      <c r="H84" s="4" t="s">
        <v>409</v>
      </c>
      <c r="I84" s="4">
        <v>183</v>
      </c>
      <c r="J84" s="4" t="s">
        <v>410</v>
      </c>
      <c r="K84" s="4" t="s">
        <v>24</v>
      </c>
      <c r="L84" s="4">
        <v>80000000</v>
      </c>
      <c r="M84" s="4">
        <v>2005</v>
      </c>
      <c r="N84" s="4">
        <v>6.7</v>
      </c>
      <c r="O84" s="4">
        <f ca="1">IFERROR(__xludf.DUMMYFUNCTION("IF(Cost_in_dollars!E84=""USD"",Cost_in_dollars!B84,Cost_in_dollars!B84 * GOOGLEFINANCE(""CURRENCY:"" &amp; Cost_in_dollars!E84 &amp; ""USD""))
"),80000000)</f>
        <v>80000000</v>
      </c>
      <c r="P84" s="4">
        <f ca="1">IFERROR(__xludf.DUMMYFUNCTION("IF(Cost_in_dollars!E84=""USD"",Cost_in_dollars!C84,Cost_in_dollars!C84 * GOOGLEFINANCE(""CURRENCY:"" &amp; Cost_in_dollars!E84 &amp; ""USD""))
"),10166502)</f>
        <v>10166502</v>
      </c>
      <c r="Q84" s="4">
        <f t="shared" ca="1" si="0"/>
        <v>-69833498</v>
      </c>
      <c r="R84" s="5" t="str">
        <f t="shared" si="1"/>
        <v>The Great Raid</v>
      </c>
      <c r="S84" s="43" t="str">
        <f t="shared" si="3"/>
        <v>Action</v>
      </c>
    </row>
    <row r="85" spans="1:19" ht="15.75" customHeight="1" x14ac:dyDescent="0.25">
      <c r="A85" s="6" t="s">
        <v>411</v>
      </c>
      <c r="B85" s="6">
        <v>170</v>
      </c>
      <c r="C85" s="6">
        <v>34543701</v>
      </c>
      <c r="D85" s="6" t="s">
        <v>412</v>
      </c>
      <c r="E85" s="6" t="s">
        <v>413</v>
      </c>
      <c r="F85" s="6" t="s">
        <v>414</v>
      </c>
      <c r="G85" s="6">
        <v>100001</v>
      </c>
      <c r="H85" s="6" t="s">
        <v>415</v>
      </c>
      <c r="I85" s="6">
        <v>289</v>
      </c>
      <c r="J85" s="6" t="s">
        <v>23</v>
      </c>
      <c r="K85" s="6" t="s">
        <v>24</v>
      </c>
      <c r="L85" s="6">
        <v>82000000</v>
      </c>
      <c r="M85" s="6">
        <v>2000</v>
      </c>
      <c r="N85" s="6">
        <v>5.9</v>
      </c>
      <c r="O85" s="4">
        <f ca="1">IFERROR(__xludf.DUMMYFUNCTION("IF(Cost_in_dollars!E85=""USD"",Cost_in_dollars!B85,Cost_in_dollars!B85 * GOOGLEFINANCE(""CURRENCY:"" &amp; Cost_in_dollars!E85 &amp; ""USD""))
"),82000000)</f>
        <v>82000000</v>
      </c>
      <c r="P85" s="4">
        <f ca="1">IFERROR(__xludf.DUMMYFUNCTION("IF(Cost_in_dollars!E85=""USD"",Cost_in_dollars!C85,Cost_in_dollars!C85 * GOOGLEFINANCE(""CURRENCY:"" &amp; Cost_in_dollars!E85 &amp; ""USD""))
"),34543701)</f>
        <v>34543701</v>
      </c>
      <c r="Q85" s="6">
        <f t="shared" ca="1" si="0"/>
        <v>-47456299</v>
      </c>
      <c r="R85" s="7" t="str">
        <f t="shared" si="1"/>
        <v>The 6th Day</v>
      </c>
      <c r="S85" s="43" t="str">
        <f t="shared" si="3"/>
        <v>Action</v>
      </c>
    </row>
    <row r="86" spans="1:19" ht="15.75" customHeight="1" x14ac:dyDescent="0.25">
      <c r="A86" s="4" t="s">
        <v>416</v>
      </c>
      <c r="B86" s="4">
        <v>101</v>
      </c>
      <c r="C86" s="4">
        <v>20950820</v>
      </c>
      <c r="D86" s="4" t="s">
        <v>417</v>
      </c>
      <c r="E86" s="4" t="s">
        <v>20</v>
      </c>
      <c r="F86" s="4" t="s">
        <v>418</v>
      </c>
      <c r="G86" s="4">
        <v>24183</v>
      </c>
      <c r="H86" s="4" t="s">
        <v>419</v>
      </c>
      <c r="I86" s="4">
        <v>160</v>
      </c>
      <c r="J86" s="4" t="s">
        <v>23</v>
      </c>
      <c r="K86" s="4" t="s">
        <v>176</v>
      </c>
      <c r="L86" s="4">
        <v>80000000</v>
      </c>
      <c r="M86" s="4">
        <v>2003</v>
      </c>
      <c r="N86" s="4">
        <v>5.7</v>
      </c>
      <c r="O86" s="4">
        <f ca="1">IFERROR(__xludf.DUMMYFUNCTION("IF(Cost_in_dollars!E86=""USD"",Cost_in_dollars!B86,Cost_in_dollars!B86 * GOOGLEFINANCE(""CURRENCY:"" &amp; Cost_in_dollars!E86 &amp; ""USD""))
"),86779200)</f>
        <v>86779200</v>
      </c>
      <c r="P86" s="4">
        <f ca="1">IFERROR(__xludf.DUMMYFUNCTION("IF(Cost_in_dollars!E86=""USD"",Cost_in_dollars!C86,Cost_in_dollars!C86 * GOOGLEFINANCE(""CURRENCY:"" &amp; Cost_in_dollars!E86 &amp; ""USD""))
"),22726192.4868)</f>
        <v>22726192.4868</v>
      </c>
      <c r="Q86" s="4">
        <f t="shared" ca="1" si="0"/>
        <v>-64053007.5132</v>
      </c>
      <c r="R86" s="5" t="str">
        <f t="shared" si="1"/>
        <v>Looney Tunes: Back in Action</v>
      </c>
      <c r="S86" s="43" t="str">
        <f t="shared" si="3"/>
        <v>Adventure</v>
      </c>
    </row>
    <row r="87" spans="1:19" ht="15.75" customHeight="1" x14ac:dyDescent="0.25">
      <c r="A87" s="6" t="s">
        <v>420</v>
      </c>
      <c r="B87" s="6">
        <v>43</v>
      </c>
      <c r="C87" s="6">
        <v>20200</v>
      </c>
      <c r="D87" s="6" t="s">
        <v>421</v>
      </c>
      <c r="E87" s="6" t="s">
        <v>422</v>
      </c>
      <c r="F87" s="6" t="s">
        <v>423</v>
      </c>
      <c r="G87" s="6">
        <v>6797</v>
      </c>
      <c r="H87" s="6" t="s">
        <v>424</v>
      </c>
      <c r="I87" s="6">
        <v>21</v>
      </c>
      <c r="J87" s="6" t="s">
        <v>23</v>
      </c>
      <c r="K87" s="6" t="s">
        <v>24</v>
      </c>
      <c r="L87" s="6">
        <v>6000000</v>
      </c>
      <c r="M87" s="6">
        <v>2014</v>
      </c>
      <c r="N87" s="6">
        <v>5.8</v>
      </c>
      <c r="O87" s="4">
        <f ca="1">IFERROR(__xludf.DUMMYFUNCTION("IF(Cost_in_dollars!E87=""USD"",Cost_in_dollars!B87,Cost_in_dollars!B87 * GOOGLEFINANCE(""CURRENCY:"" &amp; Cost_in_dollars!E87 &amp; ""USD""))
"),6000000)</f>
        <v>6000000</v>
      </c>
      <c r="P87" s="4">
        <f ca="1">IFERROR(__xludf.DUMMYFUNCTION("IF(Cost_in_dollars!E87=""USD"",Cost_in_dollars!C87,Cost_in_dollars!C87 * GOOGLEFINANCE(""CURRENCY:"" &amp; Cost_in_dollars!E87 &amp; ""USD""))
"),20200)</f>
        <v>20200</v>
      </c>
      <c r="Q87" s="6">
        <f t="shared" ca="1" si="0"/>
        <v>-5979800</v>
      </c>
      <c r="R87" s="7" t="str">
        <f t="shared" si="1"/>
        <v>Song One</v>
      </c>
      <c r="S87" s="43" t="str">
        <f t="shared" si="3"/>
        <v>Drama</v>
      </c>
    </row>
    <row r="88" spans="1:19" ht="15.75" customHeight="1" x14ac:dyDescent="0.25">
      <c r="A88" s="4" t="s">
        <v>425</v>
      </c>
      <c r="B88" s="4">
        <v>116</v>
      </c>
      <c r="C88" s="4">
        <v>4360548</v>
      </c>
      <c r="D88" s="4" t="s">
        <v>162</v>
      </c>
      <c r="E88" s="4" t="s">
        <v>426</v>
      </c>
      <c r="F88" s="4" t="s">
        <v>427</v>
      </c>
      <c r="G88" s="4">
        <v>13371</v>
      </c>
      <c r="H88" s="4" t="s">
        <v>428</v>
      </c>
      <c r="I88" s="4">
        <v>60</v>
      </c>
      <c r="J88" s="4" t="s">
        <v>23</v>
      </c>
      <c r="K88" s="4" t="s">
        <v>24</v>
      </c>
      <c r="L88" s="4">
        <v>15000000</v>
      </c>
      <c r="M88" s="4">
        <v>2009</v>
      </c>
      <c r="N88" s="4">
        <v>6.4</v>
      </c>
      <c r="O88" s="4">
        <f ca="1">IFERROR(__xludf.DUMMYFUNCTION("IF(Cost_in_dollars!E88=""USD"",Cost_in_dollars!B88,Cost_in_dollars!B88 * GOOGLEFINANCE(""CURRENCY:"" &amp; Cost_in_dollars!E88 &amp; ""USD""))
"),15000000)</f>
        <v>15000000</v>
      </c>
      <c r="P88" s="4">
        <f ca="1">IFERROR(__xludf.DUMMYFUNCTION("IF(Cost_in_dollars!E88=""USD"",Cost_in_dollars!C88,Cost_in_dollars!C88 * GOOGLEFINANCE(""CURRENCY:"" &amp; Cost_in_dollars!E88 &amp; ""USD""))
"),4360548)</f>
        <v>4360548</v>
      </c>
      <c r="Q88" s="4">
        <f t="shared" ca="1" si="0"/>
        <v>-10639452</v>
      </c>
      <c r="R88" s="5" t="str">
        <f t="shared" si="1"/>
        <v>Solitary Man</v>
      </c>
      <c r="S88" s="43" t="str">
        <f t="shared" si="3"/>
        <v>Comedy</v>
      </c>
    </row>
    <row r="89" spans="1:19" ht="15.75" customHeight="1" x14ac:dyDescent="0.25">
      <c r="A89" s="6" t="s">
        <v>429</v>
      </c>
      <c r="B89" s="6">
        <v>156</v>
      </c>
      <c r="C89" s="6">
        <v>93771072</v>
      </c>
      <c r="D89" s="6" t="s">
        <v>430</v>
      </c>
      <c r="E89" s="6" t="s">
        <v>240</v>
      </c>
      <c r="F89" s="6" t="s">
        <v>431</v>
      </c>
      <c r="G89" s="6">
        <v>135404</v>
      </c>
      <c r="H89" s="6" t="s">
        <v>432</v>
      </c>
      <c r="I89" s="6">
        <v>318</v>
      </c>
      <c r="J89" s="6" t="s">
        <v>23</v>
      </c>
      <c r="K89" s="6" t="s">
        <v>24</v>
      </c>
      <c r="L89" s="6">
        <v>65000000</v>
      </c>
      <c r="M89" s="6">
        <v>1998</v>
      </c>
      <c r="N89" s="6">
        <v>6.7</v>
      </c>
      <c r="O89" s="4">
        <f ca="1">IFERROR(__xludf.DUMMYFUNCTION("IF(Cost_in_dollars!E89=""USD"",Cost_in_dollars!B89,Cost_in_dollars!B89 * GOOGLEFINANCE(""CURRENCY:"" &amp; Cost_in_dollars!E89 &amp; ""USD""))
"),65000000)</f>
        <v>65000000</v>
      </c>
      <c r="P89" s="4">
        <f ca="1">IFERROR(__xludf.DUMMYFUNCTION("IF(Cost_in_dollars!E89=""USD"",Cost_in_dollars!C89,Cost_in_dollars!C89 * GOOGLEFINANCE(""CURRENCY:"" &amp; Cost_in_dollars!E89 &amp; ""USD""))
"),93771072)</f>
        <v>93771072</v>
      </c>
      <c r="Q89" s="6">
        <f t="shared" ca="1" si="0"/>
        <v>28771072</v>
      </c>
      <c r="R89" s="7" t="str">
        <f t="shared" si="1"/>
        <v>The Mask of Zorro</v>
      </c>
      <c r="S89" s="43" t="str">
        <f t="shared" si="3"/>
        <v>Action</v>
      </c>
    </row>
    <row r="90" spans="1:19" ht="15.75" customHeight="1" x14ac:dyDescent="0.25">
      <c r="A90" s="4" t="s">
        <v>433</v>
      </c>
      <c r="B90" s="4">
        <v>345</v>
      </c>
      <c r="C90" s="4">
        <v>5702083</v>
      </c>
      <c r="D90" s="4" t="s">
        <v>434</v>
      </c>
      <c r="E90" s="4" t="s">
        <v>435</v>
      </c>
      <c r="F90" s="4" t="s">
        <v>436</v>
      </c>
      <c r="G90" s="4">
        <v>80617</v>
      </c>
      <c r="H90" s="4" t="s">
        <v>437</v>
      </c>
      <c r="I90" s="4">
        <v>190</v>
      </c>
      <c r="J90" s="4" t="s">
        <v>23</v>
      </c>
      <c r="K90" s="4" t="s">
        <v>133</v>
      </c>
      <c r="L90" s="4">
        <v>15000000</v>
      </c>
      <c r="M90" s="4">
        <v>2011</v>
      </c>
      <c r="N90" s="4">
        <v>6.5</v>
      </c>
      <c r="O90" s="4">
        <f ca="1">IFERROR(__xludf.DUMMYFUNCTION("IF(Cost_in_dollars!E90=""USD"",Cost_in_dollars!B90,Cost_in_dollars!B90 * GOOGLEFINANCE(""CURRENCY:"" &amp; Cost_in_dollars!E90 &amp; ""USD""))
"),19281000)</f>
        <v>19281000</v>
      </c>
      <c r="P90" s="4">
        <f ca="1">IFERROR(__xludf.DUMMYFUNCTION("IF(Cost_in_dollars!E90=""USD"",Cost_in_dollars!C90,Cost_in_dollars!C90 * GOOGLEFINANCE(""CURRENCY:"" &amp; Cost_in_dollars!E90 &amp; ""USD""))
"),7329457.4882)</f>
        <v>7329457.4881999996</v>
      </c>
      <c r="Q90" s="4">
        <f t="shared" ca="1" si="0"/>
        <v>-11951542.5118</v>
      </c>
      <c r="R90" s="5" t="str">
        <f t="shared" si="1"/>
        <v>A Dangerous Method</v>
      </c>
      <c r="S90" s="43" t="str">
        <f t="shared" si="3"/>
        <v>Biography</v>
      </c>
    </row>
    <row r="91" spans="1:19" ht="15.75" customHeight="1" x14ac:dyDescent="0.25">
      <c r="A91" s="6" t="s">
        <v>384</v>
      </c>
      <c r="B91" s="6">
        <v>240</v>
      </c>
      <c r="C91" s="6">
        <v>22518325</v>
      </c>
      <c r="D91" s="6" t="s">
        <v>438</v>
      </c>
      <c r="E91" s="6" t="s">
        <v>439</v>
      </c>
      <c r="F91" s="6" t="s">
        <v>440</v>
      </c>
      <c r="G91" s="6">
        <v>63363</v>
      </c>
      <c r="H91" s="6" t="s">
        <v>441</v>
      </c>
      <c r="I91" s="6">
        <v>644</v>
      </c>
      <c r="J91" s="6" t="s">
        <v>23</v>
      </c>
      <c r="K91" s="6" t="s">
        <v>176</v>
      </c>
      <c r="L91" s="6">
        <v>50000000</v>
      </c>
      <c r="M91" s="6">
        <v>2006</v>
      </c>
      <c r="N91" s="6">
        <v>5.6</v>
      </c>
      <c r="O91" s="4">
        <f ca="1">IFERROR(__xludf.DUMMYFUNCTION("IF(Cost_in_dollars!E91=""USD"",Cost_in_dollars!B91,Cost_in_dollars!B91 * GOOGLEFINANCE(""CURRENCY:"" &amp; Cost_in_dollars!E91 &amp; ""USD""))
"),54237000)</f>
        <v>54237000</v>
      </c>
      <c r="P91" s="4">
        <f ca="1">IFERROR(__xludf.DUMMYFUNCTION("IF(Cost_in_dollars!E91=""USD"",Cost_in_dollars!C91,Cost_in_dollars!C91 * GOOGLEFINANCE(""CURRENCY:"" &amp; Cost_in_dollars!E91 &amp; ""USD""))
"),24426527.8605)</f>
        <v>24426527.8605</v>
      </c>
      <c r="Q91" s="6">
        <f t="shared" ca="1" si="0"/>
        <v>-29810472.1395</v>
      </c>
      <c r="R91" s="7" t="str">
        <f t="shared" si="1"/>
        <v>The Black Dahlia</v>
      </c>
      <c r="S91" s="43" t="str">
        <f t="shared" si="3"/>
        <v>Crime</v>
      </c>
    </row>
    <row r="92" spans="1:19" ht="15.75" customHeight="1" x14ac:dyDescent="0.25">
      <c r="A92" s="4" t="s">
        <v>442</v>
      </c>
      <c r="B92" s="4">
        <v>129</v>
      </c>
      <c r="C92" s="4">
        <v>53868030</v>
      </c>
      <c r="D92" s="4" t="s">
        <v>443</v>
      </c>
      <c r="E92" s="4" t="s">
        <v>444</v>
      </c>
      <c r="F92" s="4" t="s">
        <v>445</v>
      </c>
      <c r="G92" s="4">
        <v>183425</v>
      </c>
      <c r="H92" s="4" t="s">
        <v>446</v>
      </c>
      <c r="I92" s="4">
        <v>425</v>
      </c>
      <c r="J92" s="4" t="s">
        <v>23</v>
      </c>
      <c r="K92" s="4" t="s">
        <v>24</v>
      </c>
      <c r="L92" s="4">
        <v>17000000</v>
      </c>
      <c r="M92" s="4">
        <v>1997</v>
      </c>
      <c r="N92" s="4">
        <v>7</v>
      </c>
      <c r="O92" s="4">
        <f ca="1">IFERROR(__xludf.DUMMYFUNCTION("IF(Cost_in_dollars!E92=""USD"",Cost_in_dollars!B92,Cost_in_dollars!B92 * GOOGLEFINANCE(""CURRENCY:"" &amp; Cost_in_dollars!E92 &amp; ""USD""))
"),17000000)</f>
        <v>17000000</v>
      </c>
      <c r="P92" s="4">
        <f ca="1">IFERROR(__xludf.DUMMYFUNCTION("IF(Cost_in_dollars!E92=""USD"",Cost_in_dollars!C92,Cost_in_dollars!C92 * GOOGLEFINANCE(""CURRENCY:"" &amp; Cost_in_dollars!E92 &amp; ""USD""))
"),53868030)</f>
        <v>53868030</v>
      </c>
      <c r="Q92" s="4">
        <f t="shared" ca="1" si="0"/>
        <v>36868030</v>
      </c>
      <c r="R92" s="5" t="str">
        <f t="shared" si="1"/>
        <v>Austin Powers: International Man of Mystery</v>
      </c>
      <c r="S92" s="43" t="str">
        <f t="shared" si="3"/>
        <v>Comedy</v>
      </c>
    </row>
    <row r="93" spans="1:19" ht="15.75" customHeight="1" x14ac:dyDescent="0.25">
      <c r="A93" s="6" t="s">
        <v>447</v>
      </c>
      <c r="B93" s="6">
        <v>71</v>
      </c>
      <c r="C93" s="6">
        <v>403932</v>
      </c>
      <c r="D93" s="6" t="s">
        <v>448</v>
      </c>
      <c r="E93" s="6" t="s">
        <v>64</v>
      </c>
      <c r="F93" s="6" t="s">
        <v>449</v>
      </c>
      <c r="G93" s="6">
        <v>5254</v>
      </c>
      <c r="H93" s="6" t="s">
        <v>450</v>
      </c>
      <c r="I93" s="6">
        <v>92</v>
      </c>
      <c r="J93" s="6" t="s">
        <v>23</v>
      </c>
      <c r="K93" s="6" t="s">
        <v>133</v>
      </c>
      <c r="L93" s="6">
        <v>20000000</v>
      </c>
      <c r="M93" s="6">
        <v>2000</v>
      </c>
      <c r="N93" s="6">
        <v>6.5</v>
      </c>
      <c r="O93" s="4">
        <f ca="1">IFERROR(__xludf.DUMMYFUNCTION("IF(Cost_in_dollars!E93=""USD"",Cost_in_dollars!B93,Cost_in_dollars!B93 * GOOGLEFINANCE(""CURRENCY:"" &amp; Cost_in_dollars!E93 &amp; ""USD""))
"),25707999.9999999)</f>
        <v>25707999.999999899</v>
      </c>
      <c r="P93" s="4">
        <f ca="1">IFERROR(__xludf.DUMMYFUNCTION("IF(Cost_in_dollars!E93=""USD"",Cost_in_dollars!C93,Cost_in_dollars!C93 * GOOGLEFINANCE(""CURRENCY:"" &amp; Cost_in_dollars!E93 &amp; ""USD""))
"),519214.192799999)</f>
        <v>519214.19279999897</v>
      </c>
      <c r="Q93" s="6">
        <f t="shared" ca="1" si="0"/>
        <v>-25188785.807199899</v>
      </c>
      <c r="R93" s="7" t="str">
        <f t="shared" si="1"/>
        <v>The Claim</v>
      </c>
      <c r="S93" s="43" t="str">
        <f t="shared" si="3"/>
        <v>Drama</v>
      </c>
    </row>
    <row r="94" spans="1:19" ht="15.75" customHeight="1" x14ac:dyDescent="0.25">
      <c r="A94" s="4" t="s">
        <v>451</v>
      </c>
      <c r="B94" s="4">
        <v>130</v>
      </c>
      <c r="C94" s="4">
        <v>9353573</v>
      </c>
      <c r="D94" s="4" t="s">
        <v>452</v>
      </c>
      <c r="E94" s="4" t="s">
        <v>453</v>
      </c>
      <c r="F94" s="4" t="s">
        <v>454</v>
      </c>
      <c r="G94" s="4">
        <v>56451</v>
      </c>
      <c r="H94" s="4" t="s">
        <v>455</v>
      </c>
      <c r="I94" s="4">
        <v>524</v>
      </c>
      <c r="J94" s="4" t="s">
        <v>23</v>
      </c>
      <c r="K94" s="4" t="s">
        <v>24</v>
      </c>
      <c r="L94" s="4">
        <v>45000000</v>
      </c>
      <c r="M94" s="4">
        <v>2009</v>
      </c>
      <c r="N94" s="4">
        <v>2.7</v>
      </c>
      <c r="O94" s="4">
        <f ca="1">IFERROR(__xludf.DUMMYFUNCTION("IF(Cost_in_dollars!E94=""USD"",Cost_in_dollars!B94,Cost_in_dollars!B94 * GOOGLEFINANCE(""CURRENCY:"" &amp; Cost_in_dollars!E94 &amp; ""USD""))
"),45000000)</f>
        <v>45000000</v>
      </c>
      <c r="P94" s="4">
        <f ca="1">IFERROR(__xludf.DUMMYFUNCTION("IF(Cost_in_dollars!E94=""USD"",Cost_in_dollars!C94,Cost_in_dollars!C94 * GOOGLEFINANCE(""CURRENCY:"" &amp; Cost_in_dollars!E94 &amp; ""USD""))
"),9353573)</f>
        <v>9353573</v>
      </c>
      <c r="Q94" s="4">
        <f t="shared" ca="1" si="0"/>
        <v>-35646427</v>
      </c>
      <c r="R94" s="5" t="str">
        <f t="shared" si="1"/>
        <v>Dragonball: Evolution</v>
      </c>
      <c r="S94" s="43" t="str">
        <f t="shared" si="3"/>
        <v>Action</v>
      </c>
    </row>
    <row r="95" spans="1:19" ht="15.75" customHeight="1" x14ac:dyDescent="0.25">
      <c r="A95" s="6" t="s">
        <v>456</v>
      </c>
      <c r="B95" s="6">
        <v>43</v>
      </c>
      <c r="C95" s="6">
        <v>695229</v>
      </c>
      <c r="D95" s="6" t="s">
        <v>457</v>
      </c>
      <c r="E95" s="6" t="s">
        <v>456</v>
      </c>
      <c r="F95" s="6" t="s">
        <v>458</v>
      </c>
      <c r="G95" s="6">
        <v>11369</v>
      </c>
      <c r="H95" s="6" t="s">
        <v>459</v>
      </c>
      <c r="I95" s="6">
        <v>65</v>
      </c>
      <c r="J95" s="6" t="s">
        <v>23</v>
      </c>
      <c r="K95" s="6" t="s">
        <v>24</v>
      </c>
      <c r="L95" s="6">
        <v>1300000</v>
      </c>
      <c r="M95" s="6">
        <v>1996</v>
      </c>
      <c r="N95" s="6">
        <v>7.2</v>
      </c>
      <c r="O95" s="4">
        <f ca="1">IFERROR(__xludf.DUMMYFUNCTION("IF(Cost_in_dollars!E95=""USD"",Cost_in_dollars!B95,Cost_in_dollars!B95 * GOOGLEFINANCE(""CURRENCY:"" &amp; Cost_in_dollars!E95 &amp; ""USD""))
"),1300000)</f>
        <v>1300000</v>
      </c>
      <c r="P95" s="4">
        <f ca="1">IFERROR(__xludf.DUMMYFUNCTION("IF(Cost_in_dollars!E95=""USD"",Cost_in_dollars!C95,Cost_in_dollars!C95 * GOOGLEFINANCE(""CURRENCY:"" &amp; Cost_in_dollars!E95 &amp; ""USD""))
"),695229)</f>
        <v>695229</v>
      </c>
      <c r="Q95" s="6">
        <f t="shared" ca="1" si="0"/>
        <v>-604771</v>
      </c>
      <c r="R95" s="7" t="str">
        <f t="shared" si="1"/>
        <v>Trees Lounge</v>
      </c>
      <c r="S95" s="43" t="str">
        <f t="shared" si="3"/>
        <v>Comedy</v>
      </c>
    </row>
    <row r="96" spans="1:19" ht="15.75" customHeight="1" x14ac:dyDescent="0.25">
      <c r="A96" s="4" t="s">
        <v>460</v>
      </c>
      <c r="B96" s="4">
        <v>280</v>
      </c>
      <c r="C96" s="4">
        <v>1697956</v>
      </c>
      <c r="D96" s="4" t="s">
        <v>53</v>
      </c>
      <c r="E96" s="4" t="s">
        <v>461</v>
      </c>
      <c r="F96" s="4" t="s">
        <v>462</v>
      </c>
      <c r="G96" s="4">
        <v>64944</v>
      </c>
      <c r="H96" s="4" t="s">
        <v>463</v>
      </c>
      <c r="I96" s="4">
        <v>212</v>
      </c>
      <c r="J96" s="4" t="s">
        <v>23</v>
      </c>
      <c r="K96" s="4" t="s">
        <v>24</v>
      </c>
      <c r="L96" s="4">
        <v>20000000</v>
      </c>
      <c r="M96" s="4">
        <v>2009</v>
      </c>
      <c r="N96" s="4">
        <v>6.7</v>
      </c>
      <c r="O96" s="4">
        <f ca="1">IFERROR(__xludf.DUMMYFUNCTION("IF(Cost_in_dollars!E96=""USD"",Cost_in_dollars!B96,Cost_in_dollars!B96 * GOOGLEFINANCE(""CURRENCY:"" &amp; Cost_in_dollars!E96 &amp; ""USD""))
"),20000000)</f>
        <v>20000000</v>
      </c>
      <c r="P96" s="4">
        <f ca="1">IFERROR(__xludf.DUMMYFUNCTION("IF(Cost_in_dollars!E96=""USD"",Cost_in_dollars!C96,Cost_in_dollars!C96 * GOOGLEFINANCE(""CURRENCY:"" &amp; Cost_in_dollars!E96 &amp; ""USD""))
"),1697956)</f>
        <v>1697956</v>
      </c>
      <c r="Q96" s="4">
        <f t="shared" ca="1" si="0"/>
        <v>-18302044</v>
      </c>
      <c r="R96" s="5" t="str">
        <f t="shared" si="1"/>
        <v>Bad Lieutenant: Port of Call New Orleans</v>
      </c>
      <c r="S96" s="43" t="str">
        <f t="shared" si="3"/>
        <v>Crime</v>
      </c>
    </row>
    <row r="97" spans="1:19" ht="15.75" customHeight="1" x14ac:dyDescent="0.25">
      <c r="A97" s="6" t="s">
        <v>464</v>
      </c>
      <c r="B97" s="6">
        <v>75</v>
      </c>
      <c r="C97" s="6">
        <v>25809813</v>
      </c>
      <c r="D97" s="6" t="s">
        <v>465</v>
      </c>
      <c r="E97" s="6" t="s">
        <v>464</v>
      </c>
      <c r="F97" s="6" t="s">
        <v>466</v>
      </c>
      <c r="G97" s="6">
        <v>50311</v>
      </c>
      <c r="H97" s="6" t="s">
        <v>467</v>
      </c>
      <c r="I97" s="6">
        <v>212</v>
      </c>
      <c r="J97" s="6" t="s">
        <v>23</v>
      </c>
      <c r="K97" s="6" t="s">
        <v>24</v>
      </c>
      <c r="L97" s="6">
        <v>26000000</v>
      </c>
      <c r="M97" s="6">
        <v>1996</v>
      </c>
      <c r="N97" s="6">
        <v>6.9</v>
      </c>
      <c r="O97" s="4">
        <f ca="1">IFERROR(__xludf.DUMMYFUNCTION("IF(Cost_in_dollars!E97=""USD"",Cost_in_dollars!B97,Cost_in_dollars!B97 * GOOGLEFINANCE(""CURRENCY:"" &amp; Cost_in_dollars!E97 &amp; ""USD""))
"),26000000)</f>
        <v>26000000</v>
      </c>
      <c r="P97" s="4">
        <f ca="1">IFERROR(__xludf.DUMMYFUNCTION("IF(Cost_in_dollars!E97=""USD"",Cost_in_dollars!C97,Cost_in_dollars!C97 * GOOGLEFINANCE(""CURRENCY:"" &amp; Cost_in_dollars!E97 &amp; ""USD""))
"),25809813)</f>
        <v>25809813</v>
      </c>
      <c r="Q97" s="6">
        <f t="shared" ca="1" si="0"/>
        <v>-190187</v>
      </c>
      <c r="R97" s="7" t="str">
        <f t="shared" si="1"/>
        <v>That Thing You Do!</v>
      </c>
      <c r="S97" s="43" t="str">
        <f t="shared" si="3"/>
        <v>Comedy</v>
      </c>
    </row>
    <row r="98" spans="1:19" ht="15.75" customHeight="1" x14ac:dyDescent="0.25">
      <c r="A98" s="4" t="s">
        <v>468</v>
      </c>
      <c r="B98" s="4">
        <v>171</v>
      </c>
      <c r="C98" s="4">
        <v>48745150</v>
      </c>
      <c r="D98" s="4" t="s">
        <v>319</v>
      </c>
      <c r="E98" s="4" t="s">
        <v>469</v>
      </c>
      <c r="F98" s="4" t="s">
        <v>470</v>
      </c>
      <c r="G98" s="4">
        <v>50170</v>
      </c>
      <c r="H98" s="4" t="s">
        <v>471</v>
      </c>
      <c r="I98" s="4">
        <v>306</v>
      </c>
      <c r="J98" s="4" t="s">
        <v>23</v>
      </c>
      <c r="K98" s="4" t="s">
        <v>24</v>
      </c>
      <c r="L98" s="4">
        <v>50000000</v>
      </c>
      <c r="M98" s="4">
        <v>2006</v>
      </c>
      <c r="N98" s="4">
        <v>5.8</v>
      </c>
      <c r="O98" s="4">
        <f ca="1">IFERROR(__xludf.DUMMYFUNCTION("IF(Cost_in_dollars!E98=""USD"",Cost_in_dollars!B98,Cost_in_dollars!B98 * GOOGLEFINANCE(""CURRENCY:"" &amp; Cost_in_dollars!E98 &amp; ""USD""))
"),50000000)</f>
        <v>50000000</v>
      </c>
      <c r="P98" s="4">
        <f ca="1">IFERROR(__xludf.DUMMYFUNCTION("IF(Cost_in_dollars!E98=""USD"",Cost_in_dollars!C98,Cost_in_dollars!C98 * GOOGLEFINANCE(""CURRENCY:"" &amp; Cost_in_dollars!E98 &amp; ""USD""))
"),48745150)</f>
        <v>48745150</v>
      </c>
      <c r="Q98" s="4">
        <f t="shared" ca="1" si="0"/>
        <v>-1254850</v>
      </c>
      <c r="R98" s="5" t="str">
        <f t="shared" si="1"/>
        <v>Firewall</v>
      </c>
      <c r="S98" s="43" t="str">
        <f t="shared" si="3"/>
        <v>Crime</v>
      </c>
    </row>
    <row r="99" spans="1:19" ht="15.75" customHeight="1" x14ac:dyDescent="0.25">
      <c r="A99" s="6" t="s">
        <v>472</v>
      </c>
      <c r="B99" s="6">
        <v>179</v>
      </c>
      <c r="C99" s="6">
        <v>17096053</v>
      </c>
      <c r="D99" s="6" t="s">
        <v>457</v>
      </c>
      <c r="E99" s="6" t="s">
        <v>473</v>
      </c>
      <c r="F99" s="6" t="s">
        <v>474</v>
      </c>
      <c r="G99" s="6">
        <v>134458</v>
      </c>
      <c r="H99" s="6" t="s">
        <v>475</v>
      </c>
      <c r="I99" s="6">
        <v>640</v>
      </c>
      <c r="J99" s="6" t="s">
        <v>23</v>
      </c>
      <c r="K99" s="6" t="s">
        <v>24</v>
      </c>
      <c r="L99" s="6">
        <v>9000000</v>
      </c>
      <c r="M99" s="6">
        <v>1998</v>
      </c>
      <c r="N99" s="6">
        <v>7.7</v>
      </c>
      <c r="O99" s="4">
        <f ca="1">IFERROR(__xludf.DUMMYFUNCTION("IF(Cost_in_dollars!E99=""USD"",Cost_in_dollars!B99,Cost_in_dollars!B99 * GOOGLEFINANCE(""CURRENCY:"" &amp; Cost_in_dollars!E99 &amp; ""USD""))
"),9000000)</f>
        <v>9000000</v>
      </c>
      <c r="P99" s="4">
        <f ca="1">IFERROR(__xludf.DUMMYFUNCTION("IF(Cost_in_dollars!E99=""USD"",Cost_in_dollars!C99,Cost_in_dollars!C99 * GOOGLEFINANCE(""CURRENCY:"" &amp; Cost_in_dollars!E99 &amp; ""USD""))
"),17096053)</f>
        <v>17096053</v>
      </c>
      <c r="Q99" s="6">
        <f t="shared" ca="1" si="0"/>
        <v>8096053</v>
      </c>
      <c r="R99" s="7" t="str">
        <f t="shared" si="1"/>
        <v>Rushmore</v>
      </c>
      <c r="S99" s="43" t="str">
        <f t="shared" si="3"/>
        <v>Comedy</v>
      </c>
    </row>
    <row r="100" spans="1:19" ht="15.75" customHeight="1" x14ac:dyDescent="0.25">
      <c r="A100" s="4" t="s">
        <v>476</v>
      </c>
      <c r="B100" s="4">
        <v>104</v>
      </c>
      <c r="C100" s="4">
        <v>122012643</v>
      </c>
      <c r="D100" s="4" t="s">
        <v>477</v>
      </c>
      <c r="E100" s="4" t="s">
        <v>478</v>
      </c>
      <c r="F100" s="4" t="s">
        <v>479</v>
      </c>
      <c r="G100" s="4">
        <v>143696</v>
      </c>
      <c r="H100" s="4" t="s">
        <v>480</v>
      </c>
      <c r="I100" s="4">
        <v>241</v>
      </c>
      <c r="J100" s="4" t="s">
        <v>23</v>
      </c>
      <c r="K100" s="4" t="s">
        <v>24</v>
      </c>
      <c r="L100" s="4">
        <v>30000000</v>
      </c>
      <c r="M100" s="4">
        <v>1990</v>
      </c>
      <c r="N100" s="4">
        <v>7.6</v>
      </c>
      <c r="O100" s="4">
        <f ca="1">IFERROR(__xludf.DUMMYFUNCTION("IF(Cost_in_dollars!E100=""USD"",Cost_in_dollars!B100,Cost_in_dollars!B100 * GOOGLEFINANCE(""CURRENCY:"" &amp; Cost_in_dollars!E100 &amp; ""USD""))
"),30000000)</f>
        <v>30000000</v>
      </c>
      <c r="P100" s="4">
        <f ca="1">IFERROR(__xludf.DUMMYFUNCTION("IF(Cost_in_dollars!E100=""USD"",Cost_in_dollars!C100,Cost_in_dollars!C100 * GOOGLEFINANCE(""CURRENCY:"" &amp; Cost_in_dollars!E100 &amp; ""USD""))
"),122012643)</f>
        <v>122012643</v>
      </c>
      <c r="Q100" s="4">
        <f t="shared" ca="1" si="0"/>
        <v>92012643</v>
      </c>
      <c r="R100" s="5" t="str">
        <f t="shared" si="1"/>
        <v>The Hunt for Red October</v>
      </c>
      <c r="S100" s="43" t="str">
        <f t="shared" si="3"/>
        <v>Action</v>
      </c>
    </row>
    <row r="101" spans="1:19" ht="15.75" customHeight="1" x14ac:dyDescent="0.25">
      <c r="A101" s="6" t="s">
        <v>481</v>
      </c>
      <c r="B101" s="6">
        <v>349</v>
      </c>
      <c r="C101" s="6">
        <v>55682070</v>
      </c>
      <c r="D101" s="6" t="s">
        <v>482</v>
      </c>
      <c r="E101" s="6" t="s">
        <v>483</v>
      </c>
      <c r="F101" s="6" t="s">
        <v>484</v>
      </c>
      <c r="G101" s="6">
        <v>159868</v>
      </c>
      <c r="H101" s="6" t="s">
        <v>485</v>
      </c>
      <c r="I101" s="6">
        <v>304</v>
      </c>
      <c r="J101" s="6" t="s">
        <v>23</v>
      </c>
      <c r="K101" s="6" t="s">
        <v>176</v>
      </c>
      <c r="L101" s="6">
        <v>50000000</v>
      </c>
      <c r="M101" s="6">
        <v>2013</v>
      </c>
      <c r="N101" s="6">
        <v>6.1</v>
      </c>
      <c r="O101" s="4">
        <f ca="1">IFERROR(__xludf.DUMMYFUNCTION("IF(Cost_in_dollars!E101=""USD"",Cost_in_dollars!B101,Cost_in_dollars!B101 * GOOGLEFINANCE(""CURRENCY:"" &amp; Cost_in_dollars!E101 &amp; ""USD""))
"),54237000)</f>
        <v>54237000</v>
      </c>
      <c r="P101" s="4">
        <f ca="1">IFERROR(__xludf.DUMMYFUNCTION("IF(Cost_in_dollars!E101=""USD"",Cost_in_dollars!C101,Cost_in_dollars!C101 * GOOGLEFINANCE(""CURRENCY:"" &amp; Cost_in_dollars!E101 &amp; ""USD""))
"),60400568.6118)</f>
        <v>60400568.6118</v>
      </c>
      <c r="Q101" s="6">
        <f t="shared" ca="1" si="0"/>
        <v>6163568.6118000001</v>
      </c>
      <c r="R101" s="7" t="str">
        <f t="shared" si="1"/>
        <v>Hansel &amp; Gretel: Witch Hunters</v>
      </c>
      <c r="S101" s="43" t="str">
        <f t="shared" si="3"/>
        <v>Action</v>
      </c>
    </row>
    <row r="102" spans="1:19" ht="15.75" customHeight="1" x14ac:dyDescent="0.25">
      <c r="A102" s="4" t="s">
        <v>486</v>
      </c>
      <c r="B102" s="4">
        <v>37</v>
      </c>
      <c r="C102" s="4">
        <v>326308</v>
      </c>
      <c r="D102" s="4" t="s">
        <v>116</v>
      </c>
      <c r="E102" s="4" t="s">
        <v>487</v>
      </c>
      <c r="F102" s="4" t="s">
        <v>488</v>
      </c>
      <c r="G102" s="4">
        <v>6632</v>
      </c>
      <c r="H102" s="4" t="s">
        <v>489</v>
      </c>
      <c r="I102" s="4">
        <v>69</v>
      </c>
      <c r="J102" s="4" t="s">
        <v>23</v>
      </c>
      <c r="K102" s="4" t="s">
        <v>24</v>
      </c>
      <c r="L102" s="4">
        <v>5000000</v>
      </c>
      <c r="M102" s="4">
        <v>1996</v>
      </c>
      <c r="N102" s="4">
        <v>6.1</v>
      </c>
      <c r="O102" s="4">
        <f ca="1">IFERROR(__xludf.DUMMYFUNCTION("IF(Cost_in_dollars!E102=""USD"",Cost_in_dollars!B102,Cost_in_dollars!B102 * GOOGLEFINANCE(""CURRENCY:"" &amp; Cost_in_dollars!E102 &amp; ""USD""))
"),5000000)</f>
        <v>5000000</v>
      </c>
      <c r="P102" s="4">
        <f ca="1">IFERROR(__xludf.DUMMYFUNCTION("IF(Cost_in_dollars!E102=""USD"",Cost_in_dollars!C102,Cost_in_dollars!C102 * GOOGLEFINANCE(""CURRENCY:"" &amp; Cost_in_dollars!E102 &amp; ""USD""))
"),326308)</f>
        <v>326308</v>
      </c>
      <c r="Q102" s="4">
        <f t="shared" ca="1" si="0"/>
        <v>-4673692</v>
      </c>
      <c r="R102" s="5" t="str">
        <f t="shared" si="1"/>
        <v>Albino Alligator</v>
      </c>
      <c r="S102" s="43" t="str">
        <f t="shared" si="3"/>
        <v>Crime</v>
      </c>
    </row>
    <row r="103" spans="1:19" ht="15.75" customHeight="1" x14ac:dyDescent="0.25">
      <c r="A103" s="6" t="s">
        <v>490</v>
      </c>
      <c r="B103" s="6">
        <v>13</v>
      </c>
      <c r="C103" s="6">
        <v>5199</v>
      </c>
      <c r="D103" s="6" t="s">
        <v>135</v>
      </c>
      <c r="E103" s="6" t="s">
        <v>491</v>
      </c>
      <c r="F103" s="6" t="s">
        <v>492</v>
      </c>
      <c r="G103" s="6">
        <v>720</v>
      </c>
      <c r="H103" s="6" t="s">
        <v>493</v>
      </c>
      <c r="I103" s="6">
        <v>23</v>
      </c>
      <c r="J103" s="6" t="s">
        <v>23</v>
      </c>
      <c r="K103" s="6" t="s">
        <v>24</v>
      </c>
      <c r="L103" s="6">
        <v>200000</v>
      </c>
      <c r="M103" s="6">
        <v>2004</v>
      </c>
      <c r="N103" s="6">
        <v>6.6</v>
      </c>
      <c r="O103" s="4">
        <f ca="1">IFERROR(__xludf.DUMMYFUNCTION("IF(Cost_in_dollars!E103=""USD"",Cost_in_dollars!B103,Cost_in_dollars!B103 * GOOGLEFINANCE(""CURRENCY:"" &amp; Cost_in_dollars!E103 &amp; ""USD""))
"),200000)</f>
        <v>200000</v>
      </c>
      <c r="P103" s="4">
        <f ca="1">IFERROR(__xludf.DUMMYFUNCTION("IF(Cost_in_dollars!E103=""USD"",Cost_in_dollars!C103,Cost_in_dollars!C103 * GOOGLEFINANCE(""CURRENCY:"" &amp; Cost_in_dollars!E103 &amp; ""USD""))
"),5199)</f>
        <v>5199</v>
      </c>
      <c r="Q103" s="6">
        <f t="shared" ca="1" si="0"/>
        <v>-194801</v>
      </c>
      <c r="R103" s="7" t="str">
        <f t="shared" si="1"/>
        <v>Fighting Tommy Riley</v>
      </c>
      <c r="S103" s="43" t="str">
        <f t="shared" si="3"/>
        <v>Drama</v>
      </c>
    </row>
    <row r="104" spans="1:19" ht="15.75" customHeight="1" x14ac:dyDescent="0.25">
      <c r="A104" s="4" t="s">
        <v>494</v>
      </c>
      <c r="B104" s="4">
        <v>57</v>
      </c>
      <c r="C104" s="4">
        <v>119938730</v>
      </c>
      <c r="D104" s="4" t="s">
        <v>495</v>
      </c>
      <c r="E104" s="4" t="s">
        <v>496</v>
      </c>
      <c r="F104" s="4" t="s">
        <v>497</v>
      </c>
      <c r="G104" s="4">
        <v>265818</v>
      </c>
      <c r="H104" s="4" t="s">
        <v>498</v>
      </c>
      <c r="I104" s="4">
        <v>213</v>
      </c>
      <c r="J104" s="4" t="s">
        <v>23</v>
      </c>
      <c r="K104" s="4" t="s">
        <v>24</v>
      </c>
      <c r="L104" s="4">
        <v>18000000</v>
      </c>
      <c r="M104" s="4">
        <v>1994</v>
      </c>
      <c r="N104" s="4">
        <v>6.9</v>
      </c>
      <c r="O104" s="4">
        <f ca="1">IFERROR(__xludf.DUMMYFUNCTION("IF(Cost_in_dollars!E104=""USD"",Cost_in_dollars!B104,Cost_in_dollars!B104 * GOOGLEFINANCE(""CURRENCY:"" &amp; Cost_in_dollars!E104 &amp; ""USD""))
"),18000000)</f>
        <v>18000000</v>
      </c>
      <c r="P104" s="4">
        <f ca="1">IFERROR(__xludf.DUMMYFUNCTION("IF(Cost_in_dollars!E104=""USD"",Cost_in_dollars!C104,Cost_in_dollars!C104 * GOOGLEFINANCE(""CURRENCY:"" &amp; Cost_in_dollars!E104 &amp; ""USD""))
"),119938730)</f>
        <v>119938730</v>
      </c>
      <c r="Q104" s="4">
        <f t="shared" ca="1" si="0"/>
        <v>101938730</v>
      </c>
      <c r="R104" s="5" t="str">
        <f t="shared" si="1"/>
        <v>The Mask</v>
      </c>
      <c r="S104" s="43" t="str">
        <f t="shared" si="3"/>
        <v>Action</v>
      </c>
    </row>
    <row r="105" spans="1:19" ht="15.75" customHeight="1" x14ac:dyDescent="0.25">
      <c r="A105" s="6" t="s">
        <v>499</v>
      </c>
      <c r="B105" s="6">
        <v>129</v>
      </c>
      <c r="C105" s="6">
        <v>48237389</v>
      </c>
      <c r="D105" s="6" t="s">
        <v>88</v>
      </c>
      <c r="E105" s="6" t="s">
        <v>500</v>
      </c>
      <c r="F105" s="6" t="s">
        <v>501</v>
      </c>
      <c r="G105" s="6">
        <v>63969</v>
      </c>
      <c r="H105" s="6" t="s">
        <v>502</v>
      </c>
      <c r="I105" s="6">
        <v>126</v>
      </c>
      <c r="J105" s="6" t="s">
        <v>23</v>
      </c>
      <c r="K105" s="6" t="s">
        <v>24</v>
      </c>
      <c r="L105" s="6">
        <v>25000000</v>
      </c>
      <c r="M105" s="6">
        <v>2008</v>
      </c>
      <c r="N105" s="6">
        <v>5.5</v>
      </c>
      <c r="O105" s="4">
        <f ca="1">IFERROR(__xludf.DUMMYFUNCTION("IF(Cost_in_dollars!E105=""USD"",Cost_in_dollars!B105,Cost_in_dollars!B105 * GOOGLEFINANCE(""CURRENCY:"" &amp; Cost_in_dollars!E105 &amp; ""USD""))
"),25000000)</f>
        <v>25000000</v>
      </c>
      <c r="P105" s="4">
        <f ca="1">IFERROR(__xludf.DUMMYFUNCTION("IF(Cost_in_dollars!E105=""USD"",Cost_in_dollars!C105,Cost_in_dollars!C105 * GOOGLEFINANCE(""CURRENCY:"" &amp; Cost_in_dollars!E105 &amp; ""USD""))
"),48237389)</f>
        <v>48237389</v>
      </c>
      <c r="Q105" s="6">
        <f t="shared" ca="1" si="0"/>
        <v>23237389</v>
      </c>
      <c r="R105" s="7" t="str">
        <f t="shared" si="1"/>
        <v>The House Bunny</v>
      </c>
      <c r="S105" s="43" t="str">
        <f t="shared" si="3"/>
        <v>Comedy</v>
      </c>
    </row>
    <row r="106" spans="1:19" ht="15.75" customHeight="1" x14ac:dyDescent="0.25">
      <c r="A106" s="4" t="s">
        <v>503</v>
      </c>
      <c r="B106" s="4">
        <v>143</v>
      </c>
      <c r="C106" s="4">
        <v>81517441</v>
      </c>
      <c r="D106" s="4" t="s">
        <v>504</v>
      </c>
      <c r="E106" s="4" t="s">
        <v>505</v>
      </c>
      <c r="F106" s="4" t="s">
        <v>506</v>
      </c>
      <c r="G106" s="4">
        <v>111368</v>
      </c>
      <c r="H106" s="4" t="s">
        <v>507</v>
      </c>
      <c r="I106" s="4">
        <v>394</v>
      </c>
      <c r="J106" s="4" t="s">
        <v>23</v>
      </c>
      <c r="K106" s="4" t="s">
        <v>24</v>
      </c>
      <c r="L106" s="4">
        <v>50000000</v>
      </c>
      <c r="M106" s="4">
        <v>1999</v>
      </c>
      <c r="N106" s="4">
        <v>7.1</v>
      </c>
      <c r="O106" s="4">
        <f ca="1">IFERROR(__xludf.DUMMYFUNCTION("IF(Cost_in_dollars!E106=""USD"",Cost_in_dollars!B106,Cost_in_dollars!B106 * GOOGLEFINANCE(""CURRENCY:"" &amp; Cost_in_dollars!E106 &amp; ""USD""))
"),50000000)</f>
        <v>50000000</v>
      </c>
      <c r="P106" s="4">
        <f ca="1">IFERROR(__xludf.DUMMYFUNCTION("IF(Cost_in_dollars!E106=""USD"",Cost_in_dollars!C106,Cost_in_dollars!C106 * GOOGLEFINANCE(""CURRENCY:"" &amp; Cost_in_dollars!E106 &amp; ""USD""))
"),81517441)</f>
        <v>81517441</v>
      </c>
      <c r="Q106" s="4">
        <f t="shared" ca="1" si="0"/>
        <v>31517441</v>
      </c>
      <c r="R106" s="5" t="str">
        <f t="shared" si="1"/>
        <v>Payback</v>
      </c>
      <c r="S106" s="43" t="str">
        <f t="shared" si="3"/>
        <v>Action</v>
      </c>
    </row>
    <row r="107" spans="1:19" ht="15.75" customHeight="1" x14ac:dyDescent="0.25">
      <c r="A107" s="6" t="s">
        <v>508</v>
      </c>
      <c r="B107" s="6">
        <v>370</v>
      </c>
      <c r="C107" s="6">
        <v>362645141</v>
      </c>
      <c r="D107" s="6" t="s">
        <v>509</v>
      </c>
      <c r="E107" s="6" t="s">
        <v>439</v>
      </c>
      <c r="F107" s="6" t="s">
        <v>510</v>
      </c>
      <c r="G107" s="6">
        <v>106221</v>
      </c>
      <c r="H107" s="6" t="s">
        <v>511</v>
      </c>
      <c r="I107" s="6">
        <v>398</v>
      </c>
      <c r="J107" s="6" t="s">
        <v>23</v>
      </c>
      <c r="K107" s="6" t="s">
        <v>133</v>
      </c>
      <c r="L107" s="6">
        <v>175000000</v>
      </c>
      <c r="M107" s="6">
        <v>2016</v>
      </c>
      <c r="N107" s="6">
        <v>7.8</v>
      </c>
      <c r="O107" s="4">
        <f ca="1">IFERROR(__xludf.DUMMYFUNCTION("IF(Cost_in_dollars!E107=""USD"",Cost_in_dollars!B107,Cost_in_dollars!B107 * GOOGLEFINANCE(""CURRENCY:"" &amp; Cost_in_dollars!E107 &amp; ""USD""))
"),224944999.999999)</f>
        <v>224944999.99999899</v>
      </c>
      <c r="P107" s="4">
        <f ca="1">IFERROR(__xludf.DUMMYFUNCTION("IF(Cost_in_dollars!E107=""USD"",Cost_in_dollars!C107,Cost_in_dollars!C107 * GOOGLEFINANCE(""CURRENCY:"" &amp; Cost_in_dollars!E107 &amp; ""USD""))
"),466144064.241399)</f>
        <v>466144064.24139899</v>
      </c>
      <c r="Q107" s="6">
        <f t="shared" ca="1" si="0"/>
        <v>241199064.2414</v>
      </c>
      <c r="R107" s="7" t="str">
        <f t="shared" si="1"/>
        <v>The Jungle Book</v>
      </c>
      <c r="S107" s="43" t="str">
        <f t="shared" si="3"/>
        <v>Adventure</v>
      </c>
    </row>
    <row r="108" spans="1:19" ht="15.75" customHeight="1" x14ac:dyDescent="0.25">
      <c r="A108" s="4" t="s">
        <v>512</v>
      </c>
      <c r="B108" s="4">
        <v>98</v>
      </c>
      <c r="C108" s="4">
        <v>30920167</v>
      </c>
      <c r="D108" s="4" t="s">
        <v>324</v>
      </c>
      <c r="E108" s="4" t="s">
        <v>513</v>
      </c>
      <c r="F108" s="4" t="s">
        <v>514</v>
      </c>
      <c r="G108" s="4">
        <v>6476</v>
      </c>
      <c r="H108" s="4" t="s">
        <v>515</v>
      </c>
      <c r="I108" s="4">
        <v>71</v>
      </c>
      <c r="J108" s="4" t="s">
        <v>23</v>
      </c>
      <c r="K108" s="4" t="s">
        <v>24</v>
      </c>
      <c r="L108" s="4">
        <v>25000000</v>
      </c>
      <c r="M108" s="4">
        <v>2012</v>
      </c>
      <c r="N108" s="4">
        <v>5.7</v>
      </c>
      <c r="O108" s="4">
        <f ca="1">IFERROR(__xludf.DUMMYFUNCTION("IF(Cost_in_dollars!E108=""USD"",Cost_in_dollars!B108,Cost_in_dollars!B108 * GOOGLEFINANCE(""CURRENCY:"" &amp; Cost_in_dollars!E108 &amp; ""USD""))
"),25000000)</f>
        <v>25000000</v>
      </c>
      <c r="P108" s="4">
        <f ca="1">IFERROR(__xludf.DUMMYFUNCTION("IF(Cost_in_dollars!E108=""USD"",Cost_in_dollars!C108,Cost_in_dollars!C108 * GOOGLEFINANCE(""CURRENCY:"" &amp; Cost_in_dollars!E108 &amp; ""USD""))
"),30920167)</f>
        <v>30920167</v>
      </c>
      <c r="Q108" s="4">
        <f t="shared" ca="1" si="0"/>
        <v>5920167</v>
      </c>
      <c r="R108" s="5" t="str">
        <f t="shared" si="1"/>
        <v>Joyful Noise</v>
      </c>
      <c r="S108" s="43" t="str">
        <f t="shared" si="3"/>
        <v>Comedy</v>
      </c>
    </row>
    <row r="109" spans="1:19" ht="15.75" customHeight="1" x14ac:dyDescent="0.25">
      <c r="A109" s="6" t="s">
        <v>516</v>
      </c>
      <c r="B109" s="6">
        <v>189</v>
      </c>
      <c r="C109" s="6">
        <v>68218041</v>
      </c>
      <c r="D109" s="6" t="s">
        <v>517</v>
      </c>
      <c r="E109" s="6" t="s">
        <v>518</v>
      </c>
      <c r="F109" s="6" t="s">
        <v>519</v>
      </c>
      <c r="G109" s="6">
        <v>67191</v>
      </c>
      <c r="H109" s="6" t="s">
        <v>520</v>
      </c>
      <c r="I109" s="6">
        <v>108</v>
      </c>
      <c r="J109" s="6" t="s">
        <v>23</v>
      </c>
      <c r="K109" s="6" t="s">
        <v>24</v>
      </c>
      <c r="L109" s="6">
        <v>55000000</v>
      </c>
      <c r="M109" s="6">
        <v>2011</v>
      </c>
      <c r="N109" s="6">
        <v>6</v>
      </c>
      <c r="O109" s="4">
        <f ca="1">IFERROR(__xludf.DUMMYFUNCTION("IF(Cost_in_dollars!E109=""USD"",Cost_in_dollars!B109,Cost_in_dollars!B109 * GOOGLEFINANCE(""CURRENCY:"" &amp; Cost_in_dollars!E109 &amp; ""USD""))
"),55000000)</f>
        <v>55000000</v>
      </c>
      <c r="P109" s="4">
        <f ca="1">IFERROR(__xludf.DUMMYFUNCTION("IF(Cost_in_dollars!E109=""USD"",Cost_in_dollars!C109,Cost_in_dollars!C109 * GOOGLEFINANCE(""CURRENCY:"" &amp; Cost_in_dollars!E109 &amp; ""USD""))
"),68218041)</f>
        <v>68218041</v>
      </c>
      <c r="Q109" s="6">
        <f t="shared" ca="1" si="0"/>
        <v>13218041</v>
      </c>
      <c r="R109" s="7" t="str">
        <f t="shared" si="1"/>
        <v>Mr. Popper's Penguins</v>
      </c>
      <c r="S109" s="43" t="str">
        <f t="shared" si="3"/>
        <v>Comedy</v>
      </c>
    </row>
    <row r="110" spans="1:19" ht="15.75" customHeight="1" x14ac:dyDescent="0.25">
      <c r="A110" s="4" t="s">
        <v>521</v>
      </c>
      <c r="B110" s="4">
        <v>70</v>
      </c>
      <c r="C110" s="4">
        <v>2899970</v>
      </c>
      <c r="D110" s="4" t="s">
        <v>102</v>
      </c>
      <c r="E110" s="4" t="s">
        <v>473</v>
      </c>
      <c r="F110" s="4" t="s">
        <v>522</v>
      </c>
      <c r="G110" s="4">
        <v>8039</v>
      </c>
      <c r="H110" s="4" t="s">
        <v>523</v>
      </c>
      <c r="I110" s="4">
        <v>161</v>
      </c>
      <c r="J110" s="4" t="s">
        <v>23</v>
      </c>
      <c r="K110" s="4" t="s">
        <v>24</v>
      </c>
      <c r="L110" s="4">
        <v>32000000</v>
      </c>
      <c r="M110" s="4">
        <v>1999</v>
      </c>
      <c r="N110" s="4">
        <v>6.9</v>
      </c>
      <c r="O110" s="4">
        <f ca="1">IFERROR(__xludf.DUMMYFUNCTION("IF(Cost_in_dollars!E110=""USD"",Cost_in_dollars!B110,Cost_in_dollars!B110 * GOOGLEFINANCE(""CURRENCY:"" &amp; Cost_in_dollars!E110 &amp; ""USD""))
"),32000000)</f>
        <v>32000000</v>
      </c>
      <c r="P110" s="4">
        <f ca="1">IFERROR(__xludf.DUMMYFUNCTION("IF(Cost_in_dollars!E110=""USD"",Cost_in_dollars!C110,Cost_in_dollars!C110 * GOOGLEFINANCE(""CURRENCY:"" &amp; Cost_in_dollars!E110 &amp; ""USD""))
"),2899970)</f>
        <v>2899970</v>
      </c>
      <c r="Q110" s="4">
        <f t="shared" ca="1" si="0"/>
        <v>-29100030</v>
      </c>
      <c r="R110" s="5" t="str">
        <f t="shared" si="1"/>
        <v>Cradle Will Rock</v>
      </c>
      <c r="S110" s="43" t="str">
        <f t="shared" si="3"/>
        <v>Drama</v>
      </c>
    </row>
    <row r="111" spans="1:19" ht="15.75" customHeight="1" x14ac:dyDescent="0.25">
      <c r="A111" s="6" t="s">
        <v>524</v>
      </c>
      <c r="B111" s="6">
        <v>149</v>
      </c>
      <c r="C111" s="6">
        <v>12987647</v>
      </c>
      <c r="D111" s="6" t="s">
        <v>525</v>
      </c>
      <c r="E111" s="6" t="s">
        <v>20</v>
      </c>
      <c r="F111" s="6" t="s">
        <v>526</v>
      </c>
      <c r="G111" s="6">
        <v>24019</v>
      </c>
      <c r="H111" s="6" t="s">
        <v>527</v>
      </c>
      <c r="I111" s="6">
        <v>199</v>
      </c>
      <c r="J111" s="6" t="s">
        <v>23</v>
      </c>
      <c r="K111" s="6" t="s">
        <v>133</v>
      </c>
      <c r="L111" s="6">
        <v>30000000</v>
      </c>
      <c r="M111" s="6">
        <v>2002</v>
      </c>
      <c r="N111" s="6">
        <v>7.1</v>
      </c>
      <c r="O111" s="4">
        <f ca="1">IFERROR(__xludf.DUMMYFUNCTION("IF(Cost_in_dollars!E111=""USD"",Cost_in_dollars!B111,Cost_in_dollars!B111 * GOOGLEFINANCE(""CURRENCY:"" &amp; Cost_in_dollars!E111 &amp; ""USD""))
"),38562000)</f>
        <v>38562000</v>
      </c>
      <c r="P111" s="4">
        <f ca="1">IFERROR(__xludf.DUMMYFUNCTION("IF(Cost_in_dollars!E111=""USD"",Cost_in_dollars!C111,Cost_in_dollars!C111 * GOOGLEFINANCE(""CURRENCY:"" &amp; Cost_in_dollars!E111 &amp; ""USD""))
"),16694321.4537999)</f>
        <v>16694321.4537999</v>
      </c>
      <c r="Q111" s="6">
        <f t="shared" ca="1" si="0"/>
        <v>-21867678.5462001</v>
      </c>
      <c r="R111" s="7" t="str">
        <f t="shared" si="1"/>
        <v>The Quiet American</v>
      </c>
      <c r="S111" s="43" t="str">
        <f t="shared" si="3"/>
        <v>Drama</v>
      </c>
    </row>
    <row r="112" spans="1:19" ht="15.75" customHeight="1" x14ac:dyDescent="0.25">
      <c r="A112" s="4" t="s">
        <v>528</v>
      </c>
      <c r="B112" s="4">
        <v>149</v>
      </c>
      <c r="C112" s="4">
        <v>6670712</v>
      </c>
      <c r="D112" s="4" t="s">
        <v>457</v>
      </c>
      <c r="E112" s="4" t="s">
        <v>529</v>
      </c>
      <c r="F112" s="4" t="s">
        <v>530</v>
      </c>
      <c r="G112" s="4">
        <v>27301</v>
      </c>
      <c r="H112" s="4" t="s">
        <v>531</v>
      </c>
      <c r="I112" s="4">
        <v>101</v>
      </c>
      <c r="J112" s="4" t="s">
        <v>23</v>
      </c>
      <c r="K112" s="4" t="s">
        <v>24</v>
      </c>
      <c r="L112" s="4">
        <v>6000000</v>
      </c>
      <c r="M112" s="4">
        <v>2009</v>
      </c>
      <c r="N112" s="4">
        <v>7.4</v>
      </c>
      <c r="O112" s="4">
        <f ca="1">IFERROR(__xludf.DUMMYFUNCTION("IF(Cost_in_dollars!E112=""USD"",Cost_in_dollars!B112,Cost_in_dollars!B112 * GOOGLEFINANCE(""CURRENCY:"" &amp; Cost_in_dollars!E112 &amp; ""USD""))
"),6000000)</f>
        <v>6000000</v>
      </c>
      <c r="P112" s="4">
        <f ca="1">IFERROR(__xludf.DUMMYFUNCTION("IF(Cost_in_dollars!E112=""USD"",Cost_in_dollars!C112,Cost_in_dollars!C112 * GOOGLEFINANCE(""CURRENCY:"" &amp; Cost_in_dollars!E112 &amp; ""USD""))
"),6670712)</f>
        <v>6670712</v>
      </c>
      <c r="Q112" s="4">
        <f t="shared" ca="1" si="0"/>
        <v>670712</v>
      </c>
      <c r="R112" s="5" t="str">
        <f t="shared" si="1"/>
        <v>City Island</v>
      </c>
      <c r="S112" s="43" t="str">
        <f t="shared" si="3"/>
        <v>Comedy</v>
      </c>
    </row>
    <row r="113" spans="1:19" ht="15.75" customHeight="1" x14ac:dyDescent="0.25">
      <c r="A113" s="6" t="s">
        <v>532</v>
      </c>
      <c r="B113" s="6">
        <v>144</v>
      </c>
      <c r="C113" s="6">
        <v>184031112</v>
      </c>
      <c r="D113" s="6" t="s">
        <v>281</v>
      </c>
      <c r="E113" s="6" t="s">
        <v>184</v>
      </c>
      <c r="F113" s="6" t="s">
        <v>533</v>
      </c>
      <c r="G113" s="6">
        <v>190786</v>
      </c>
      <c r="H113" s="6" t="s">
        <v>534</v>
      </c>
      <c r="I113" s="6">
        <v>539</v>
      </c>
      <c r="J113" s="6" t="s">
        <v>23</v>
      </c>
      <c r="K113" s="6" t="s">
        <v>24</v>
      </c>
      <c r="L113" s="6">
        <v>100000000</v>
      </c>
      <c r="M113" s="6">
        <v>1995</v>
      </c>
      <c r="N113" s="6">
        <v>5.4</v>
      </c>
      <c r="O113" s="4">
        <f ca="1">IFERROR(__xludf.DUMMYFUNCTION("IF(Cost_in_dollars!E113=""USD"",Cost_in_dollars!B113,Cost_in_dollars!B113 * GOOGLEFINANCE(""CURRENCY:"" &amp; Cost_in_dollars!E113 &amp; ""USD""))
"),100000000)</f>
        <v>100000000</v>
      </c>
      <c r="P113" s="4">
        <f ca="1">IFERROR(__xludf.DUMMYFUNCTION("IF(Cost_in_dollars!E113=""USD"",Cost_in_dollars!C113,Cost_in_dollars!C113 * GOOGLEFINANCE(""CURRENCY:"" &amp; Cost_in_dollars!E113 &amp; ""USD""))
"),184031112)</f>
        <v>184031112</v>
      </c>
      <c r="Q113" s="6">
        <f t="shared" ca="1" si="0"/>
        <v>84031112</v>
      </c>
      <c r="R113" s="7" t="str">
        <f t="shared" si="1"/>
        <v>Batman Forever</v>
      </c>
      <c r="S113" s="43" t="str">
        <f t="shared" si="3"/>
        <v>Action</v>
      </c>
    </row>
    <row r="114" spans="1:19" ht="15.75" customHeight="1" x14ac:dyDescent="0.25">
      <c r="A114" s="4" t="s">
        <v>535</v>
      </c>
      <c r="B114" s="4">
        <v>34</v>
      </c>
      <c r="C114" s="4">
        <v>12793213</v>
      </c>
      <c r="D114" s="4" t="s">
        <v>162</v>
      </c>
      <c r="E114" s="4" t="s">
        <v>536</v>
      </c>
      <c r="F114" s="4" t="s">
        <v>537</v>
      </c>
      <c r="G114" s="4">
        <v>18286</v>
      </c>
      <c r="H114" s="4" t="s">
        <v>538</v>
      </c>
      <c r="I114" s="4">
        <v>73</v>
      </c>
      <c r="J114" s="4" t="s">
        <v>23</v>
      </c>
      <c r="K114" s="4" t="s">
        <v>24</v>
      </c>
      <c r="L114" s="4">
        <v>6000000</v>
      </c>
      <c r="M114" s="4">
        <v>1988</v>
      </c>
      <c r="N114" s="4">
        <v>6.2</v>
      </c>
      <c r="O114" s="4">
        <f ca="1">IFERROR(__xludf.DUMMYFUNCTION("IF(Cost_in_dollars!E114=""USD"",Cost_in_dollars!B114,Cost_in_dollars!B114 * GOOGLEFINANCE(""CURRENCY:"" &amp; Cost_in_dollars!E114 &amp; ""USD""))
"),6000000)</f>
        <v>6000000</v>
      </c>
      <c r="P114" s="4">
        <f ca="1">IFERROR(__xludf.DUMMYFUNCTION("IF(Cost_in_dollars!E114=""USD"",Cost_in_dollars!C114,Cost_in_dollars!C114 * GOOGLEFINANCE(""CURRENCY:"" &amp; Cost_in_dollars!E114 &amp; ""USD""))
"),12793213)</f>
        <v>12793213</v>
      </c>
      <c r="Q114" s="4">
        <f t="shared" ca="1" si="0"/>
        <v>6793213</v>
      </c>
      <c r="R114" s="5" t="str">
        <f t="shared" si="1"/>
        <v>Mystic Pizza</v>
      </c>
      <c r="S114" s="43" t="str">
        <f t="shared" si="3"/>
        <v>Comedy</v>
      </c>
    </row>
    <row r="115" spans="1:19" ht="15.75" customHeight="1" x14ac:dyDescent="0.25">
      <c r="A115" s="6" t="s">
        <v>539</v>
      </c>
      <c r="B115" s="6">
        <v>287</v>
      </c>
      <c r="C115" s="6">
        <v>82161969</v>
      </c>
      <c r="D115" s="6" t="s">
        <v>540</v>
      </c>
      <c r="E115" s="6" t="s">
        <v>236</v>
      </c>
      <c r="F115" s="6" t="s">
        <v>541</v>
      </c>
      <c r="G115" s="6">
        <v>142440</v>
      </c>
      <c r="H115" s="6" t="s">
        <v>542</v>
      </c>
      <c r="I115" s="6">
        <v>505</v>
      </c>
      <c r="J115" s="6" t="s">
        <v>23</v>
      </c>
      <c r="K115" s="6" t="s">
        <v>24</v>
      </c>
      <c r="L115" s="6">
        <v>150000000</v>
      </c>
      <c r="M115" s="6">
        <v>2007</v>
      </c>
      <c r="N115" s="6">
        <v>6.3</v>
      </c>
      <c r="O115" s="4">
        <f ca="1">IFERROR(__xludf.DUMMYFUNCTION("IF(Cost_in_dollars!E115=""USD"",Cost_in_dollars!B115,Cost_in_dollars!B115 * GOOGLEFINANCE(""CURRENCY:"" &amp; Cost_in_dollars!E115 &amp; ""USD""))
"),150000000)</f>
        <v>150000000</v>
      </c>
      <c r="P115" s="4">
        <f ca="1">IFERROR(__xludf.DUMMYFUNCTION("IF(Cost_in_dollars!E115=""USD"",Cost_in_dollars!C115,Cost_in_dollars!C115 * GOOGLEFINANCE(""CURRENCY:"" &amp; Cost_in_dollars!E115 &amp; ""USD""))
"),82161969)</f>
        <v>82161969</v>
      </c>
      <c r="Q115" s="6">
        <f t="shared" ca="1" si="0"/>
        <v>-67838031</v>
      </c>
      <c r="R115" s="7" t="str">
        <f t="shared" si="1"/>
        <v>Beowulf</v>
      </c>
      <c r="S115" s="43" t="str">
        <f t="shared" si="3"/>
        <v>Action</v>
      </c>
    </row>
    <row r="116" spans="1:19" ht="15.75" customHeight="1" x14ac:dyDescent="0.25">
      <c r="A116" s="4" t="s">
        <v>543</v>
      </c>
      <c r="B116" s="4">
        <v>90</v>
      </c>
      <c r="C116" s="4">
        <v>5932060</v>
      </c>
      <c r="D116" s="4" t="s">
        <v>544</v>
      </c>
      <c r="E116" s="4" t="s">
        <v>545</v>
      </c>
      <c r="F116" s="4" t="s">
        <v>546</v>
      </c>
      <c r="G116" s="4">
        <v>29285</v>
      </c>
      <c r="H116" s="4" t="s">
        <v>547</v>
      </c>
      <c r="I116" s="4">
        <v>174</v>
      </c>
      <c r="J116" s="4" t="s">
        <v>23</v>
      </c>
      <c r="K116" s="4" t="s">
        <v>133</v>
      </c>
      <c r="L116" s="4">
        <v>35000000</v>
      </c>
      <c r="M116" s="4">
        <v>2007</v>
      </c>
      <c r="N116" s="4">
        <v>5.4</v>
      </c>
      <c r="O116" s="4">
        <f ca="1">IFERROR(__xludf.DUMMYFUNCTION("IF(Cost_in_dollars!E116=""USD"",Cost_in_dollars!B116,Cost_in_dollars!B116 * GOOGLEFINANCE(""CURRENCY:"" &amp; Cost_in_dollars!E116 &amp; ""USD""))
"),44988999.9999999)</f>
        <v>44988999.999999903</v>
      </c>
      <c r="P116" s="4">
        <f ca="1">IFERROR(__xludf.DUMMYFUNCTION("IF(Cost_in_dollars!E116=""USD"",Cost_in_dollars!C116,Cost_in_dollars!C116 * GOOGLEFINANCE(""CURRENCY:"" &amp; Cost_in_dollars!E116 &amp; ""USD""))
"),7625069.924)</f>
        <v>7625069.9239999996</v>
      </c>
      <c r="Q116" s="4">
        <f t="shared" ca="1" si="0"/>
        <v>-37363930.075999901</v>
      </c>
      <c r="R116" s="5" t="str">
        <f t="shared" si="1"/>
        <v>The Last Legion</v>
      </c>
      <c r="S116" s="43" t="str">
        <f t="shared" si="3"/>
        <v>Action</v>
      </c>
    </row>
    <row r="117" spans="1:19" ht="15.75" customHeight="1" x14ac:dyDescent="0.25">
      <c r="A117" s="6" t="s">
        <v>350</v>
      </c>
      <c r="B117" s="6">
        <v>205</v>
      </c>
      <c r="C117" s="6">
        <v>436471036</v>
      </c>
      <c r="D117" s="6" t="s">
        <v>548</v>
      </c>
      <c r="E117" s="6" t="s">
        <v>549</v>
      </c>
      <c r="F117" s="6" t="s">
        <v>550</v>
      </c>
      <c r="G117" s="6">
        <v>314630</v>
      </c>
      <c r="H117" s="6" t="s">
        <v>551</v>
      </c>
      <c r="I117" s="6">
        <v>483</v>
      </c>
      <c r="J117" s="6" t="s">
        <v>23</v>
      </c>
      <c r="K117" s="6" t="s">
        <v>24</v>
      </c>
      <c r="L117" s="6">
        <v>150000000</v>
      </c>
      <c r="M117" s="6">
        <v>2004</v>
      </c>
      <c r="N117" s="6">
        <v>7.2</v>
      </c>
      <c r="O117" s="4">
        <f ca="1">IFERROR(__xludf.DUMMYFUNCTION("IF(Cost_in_dollars!E117=""USD"",Cost_in_dollars!B117,Cost_in_dollars!B117 * GOOGLEFINANCE(""CURRENCY:"" &amp; Cost_in_dollars!E117 &amp; ""USD""))
"),150000000)</f>
        <v>150000000</v>
      </c>
      <c r="P117" s="4">
        <f ca="1">IFERROR(__xludf.DUMMYFUNCTION("IF(Cost_in_dollars!E117=""USD"",Cost_in_dollars!C117,Cost_in_dollars!C117 * GOOGLEFINANCE(""CURRENCY:"" &amp; Cost_in_dollars!E117 &amp; ""USD""))
"),436471036)</f>
        <v>436471036</v>
      </c>
      <c r="Q117" s="6">
        <f t="shared" ca="1" si="0"/>
        <v>286471036</v>
      </c>
      <c r="R117" s="7" t="str">
        <f t="shared" si="1"/>
        <v>Shrek 2</v>
      </c>
      <c r="S117" s="43" t="str">
        <f t="shared" si="3"/>
        <v>Adventure</v>
      </c>
    </row>
    <row r="118" spans="1:19" ht="15.75" customHeight="1" x14ac:dyDescent="0.25">
      <c r="A118" s="4" t="s">
        <v>552</v>
      </c>
      <c r="B118" s="4">
        <v>84</v>
      </c>
      <c r="C118" s="4">
        <v>126805112</v>
      </c>
      <c r="D118" s="4" t="s">
        <v>88</v>
      </c>
      <c r="E118" s="4" t="s">
        <v>536</v>
      </c>
      <c r="F118" s="4" t="s">
        <v>553</v>
      </c>
      <c r="G118" s="4">
        <v>98199</v>
      </c>
      <c r="H118" s="4" t="s">
        <v>554</v>
      </c>
      <c r="I118" s="4">
        <v>169</v>
      </c>
      <c r="J118" s="4" t="s">
        <v>23</v>
      </c>
      <c r="K118" s="4" t="s">
        <v>24</v>
      </c>
      <c r="L118" s="4">
        <v>46000000</v>
      </c>
      <c r="M118" s="4">
        <v>1997</v>
      </c>
      <c r="N118" s="4">
        <v>6.3</v>
      </c>
      <c r="O118" s="4">
        <f ca="1">IFERROR(__xludf.DUMMYFUNCTION("IF(Cost_in_dollars!E118=""USD"",Cost_in_dollars!B118,Cost_in_dollars!B118 * GOOGLEFINANCE(""CURRENCY:"" &amp; Cost_in_dollars!E118 &amp; ""USD""))
"),46000000)</f>
        <v>46000000</v>
      </c>
      <c r="P118" s="4">
        <f ca="1">IFERROR(__xludf.DUMMYFUNCTION("IF(Cost_in_dollars!E118=""USD"",Cost_in_dollars!C118,Cost_in_dollars!C118 * GOOGLEFINANCE(""CURRENCY:"" &amp; Cost_in_dollars!E118 &amp; ""USD""))
"),126805112)</f>
        <v>126805112</v>
      </c>
      <c r="Q118" s="4">
        <f t="shared" ca="1" si="0"/>
        <v>80805112</v>
      </c>
      <c r="R118" s="5" t="str">
        <f t="shared" si="1"/>
        <v>My Best Friend's Wedding</v>
      </c>
      <c r="S118" s="43" t="str">
        <f t="shared" si="3"/>
        <v>Comedy</v>
      </c>
    </row>
    <row r="119" spans="1:19" ht="15.75" customHeight="1" x14ac:dyDescent="0.25">
      <c r="A119" s="6" t="s">
        <v>555</v>
      </c>
      <c r="B119" s="6">
        <v>190</v>
      </c>
      <c r="C119" s="6">
        <v>26838389</v>
      </c>
      <c r="D119" s="6" t="s">
        <v>162</v>
      </c>
      <c r="E119" s="6" t="s">
        <v>556</v>
      </c>
      <c r="F119" s="6" t="s">
        <v>557</v>
      </c>
      <c r="G119" s="6">
        <v>58658</v>
      </c>
      <c r="H119" s="6" t="s">
        <v>558</v>
      </c>
      <c r="I119" s="6">
        <v>495</v>
      </c>
      <c r="J119" s="6" t="s">
        <v>23</v>
      </c>
      <c r="K119" s="6" t="s">
        <v>24</v>
      </c>
      <c r="L119" s="6">
        <v>57000000</v>
      </c>
      <c r="M119" s="6">
        <v>2005</v>
      </c>
      <c r="N119" s="6">
        <v>6.4</v>
      </c>
      <c r="O119" s="4">
        <f ca="1">IFERROR(__xludf.DUMMYFUNCTION("IF(Cost_in_dollars!E119=""USD"",Cost_in_dollars!B119,Cost_in_dollars!B119 * GOOGLEFINANCE(""CURRENCY:"" &amp; Cost_in_dollars!E119 &amp; ""USD""))
"),57000000)</f>
        <v>57000000</v>
      </c>
      <c r="P119" s="4">
        <f ca="1">IFERROR(__xludf.DUMMYFUNCTION("IF(Cost_in_dollars!E119=""USD"",Cost_in_dollars!C119,Cost_in_dollars!C119 * GOOGLEFINANCE(""CURRENCY:"" &amp; Cost_in_dollars!E119 &amp; ""USD""))
"),26838389)</f>
        <v>26838389</v>
      </c>
      <c r="Q119" s="6">
        <f t="shared" ca="1" si="0"/>
        <v>-30161611</v>
      </c>
      <c r="R119" s="7" t="str">
        <f t="shared" si="1"/>
        <v>Elizabethtown</v>
      </c>
      <c r="S119" s="43" t="str">
        <f t="shared" si="3"/>
        <v>Comedy</v>
      </c>
    </row>
    <row r="120" spans="1:19" ht="15.75" customHeight="1" x14ac:dyDescent="0.25">
      <c r="A120" s="4" t="s">
        <v>559</v>
      </c>
      <c r="B120" s="4">
        <v>454</v>
      </c>
      <c r="C120" s="4">
        <v>91121452</v>
      </c>
      <c r="D120" s="4" t="s">
        <v>560</v>
      </c>
      <c r="E120" s="4" t="s">
        <v>561</v>
      </c>
      <c r="F120" s="4" t="s">
        <v>562</v>
      </c>
      <c r="G120" s="4">
        <v>467613</v>
      </c>
      <c r="H120" s="4" t="s">
        <v>563</v>
      </c>
      <c r="I120" s="4">
        <v>608</v>
      </c>
      <c r="J120" s="4" t="s">
        <v>23</v>
      </c>
      <c r="K120" s="4" t="s">
        <v>133</v>
      </c>
      <c r="L120" s="4">
        <v>14000000</v>
      </c>
      <c r="M120" s="4">
        <v>2014</v>
      </c>
      <c r="N120" s="4">
        <v>8.1</v>
      </c>
      <c r="O120" s="4">
        <f ca="1">IFERROR(__xludf.DUMMYFUNCTION("IF(Cost_in_dollars!E120=""USD"",Cost_in_dollars!B120,Cost_in_dollars!B120 * GOOGLEFINANCE(""CURRENCY:"" &amp; Cost_in_dollars!E120 &amp; ""USD""))
"),17995600)</f>
        <v>17995600</v>
      </c>
      <c r="P120" s="4">
        <f ca="1">IFERROR(__xludf.DUMMYFUNCTION("IF(Cost_in_dollars!E120=""USD"",Cost_in_dollars!C120,Cost_in_dollars!C120 * GOOGLEFINANCE(""CURRENCY:"" &amp; Cost_in_dollars!E120 &amp; ""USD""))
"),117127514.400799)</f>
        <v>117127514.40079901</v>
      </c>
      <c r="Q120" s="4">
        <f t="shared" ca="1" si="0"/>
        <v>99131914.400799006</v>
      </c>
      <c r="R120" s="5" t="str">
        <f t="shared" si="1"/>
        <v>The Imitation Game</v>
      </c>
      <c r="S120" s="43" t="str">
        <f t="shared" si="3"/>
        <v>Biography</v>
      </c>
    </row>
    <row r="121" spans="1:19" ht="15.75" customHeight="1" x14ac:dyDescent="0.25">
      <c r="A121" s="6" t="s">
        <v>564</v>
      </c>
      <c r="B121" s="6">
        <v>154</v>
      </c>
      <c r="C121" s="6">
        <v>5739376</v>
      </c>
      <c r="D121" s="6" t="s">
        <v>457</v>
      </c>
      <c r="E121" s="6" t="s">
        <v>352</v>
      </c>
      <c r="F121" s="6" t="s">
        <v>565</v>
      </c>
      <c r="G121" s="6">
        <v>58260</v>
      </c>
      <c r="H121" s="6" t="s">
        <v>566</v>
      </c>
      <c r="I121" s="6">
        <v>286</v>
      </c>
      <c r="J121" s="6" t="s">
        <v>23</v>
      </c>
      <c r="K121" s="6" t="s">
        <v>24</v>
      </c>
      <c r="L121" s="6">
        <v>500000</v>
      </c>
      <c r="M121" s="6">
        <v>2003</v>
      </c>
      <c r="N121" s="6">
        <v>7.7</v>
      </c>
      <c r="O121" s="4">
        <f ca="1">IFERROR(__xludf.DUMMYFUNCTION("IF(Cost_in_dollars!E121=""USD"",Cost_in_dollars!B121,Cost_in_dollars!B121 * GOOGLEFINANCE(""CURRENCY:"" &amp; Cost_in_dollars!E121 &amp; ""USD""))
"),500000)</f>
        <v>500000</v>
      </c>
      <c r="P121" s="4">
        <f ca="1">IFERROR(__xludf.DUMMYFUNCTION("IF(Cost_in_dollars!E121=""USD"",Cost_in_dollars!C121,Cost_in_dollars!C121 * GOOGLEFINANCE(""CURRENCY:"" &amp; Cost_in_dollars!E121 &amp; ""USD""))
"),5739376)</f>
        <v>5739376</v>
      </c>
      <c r="Q121" s="6">
        <f t="shared" ca="1" si="0"/>
        <v>5239376</v>
      </c>
      <c r="R121" s="7" t="str">
        <f t="shared" si="1"/>
        <v>The Station Agent</v>
      </c>
      <c r="S121" s="43" t="str">
        <f t="shared" si="3"/>
        <v>Comedy</v>
      </c>
    </row>
    <row r="122" spans="1:19" ht="15.75" customHeight="1" x14ac:dyDescent="0.25">
      <c r="A122" s="4" t="s">
        <v>567</v>
      </c>
      <c r="B122" s="4">
        <v>411</v>
      </c>
      <c r="C122" s="4">
        <v>48056940</v>
      </c>
      <c r="D122" s="4" t="s">
        <v>568</v>
      </c>
      <c r="E122" s="4" t="s">
        <v>569</v>
      </c>
      <c r="F122" s="4" t="s">
        <v>570</v>
      </c>
      <c r="G122" s="4">
        <v>155153</v>
      </c>
      <c r="H122" s="4" t="s">
        <v>571</v>
      </c>
      <c r="I122" s="4">
        <v>524</v>
      </c>
      <c r="J122" s="4" t="s">
        <v>23</v>
      </c>
      <c r="K122" s="4" t="s">
        <v>24</v>
      </c>
      <c r="L122" s="4">
        <v>3000000</v>
      </c>
      <c r="M122" s="4">
        <v>2012</v>
      </c>
      <c r="N122" s="4">
        <v>6.8</v>
      </c>
      <c r="O122" s="4">
        <f ca="1">IFERROR(__xludf.DUMMYFUNCTION("IF(Cost_in_dollars!E122=""USD"",Cost_in_dollars!B122,Cost_in_dollars!B122 * GOOGLEFINANCE(""CURRENCY:"" &amp; Cost_in_dollars!E122 &amp; ""USD""))
"),3000000)</f>
        <v>3000000</v>
      </c>
      <c r="P122" s="4">
        <f ca="1">IFERROR(__xludf.DUMMYFUNCTION("IF(Cost_in_dollars!E122=""USD"",Cost_in_dollars!C122,Cost_in_dollars!C122 * GOOGLEFINANCE(""CURRENCY:"" &amp; Cost_in_dollars!E122 &amp; ""USD""))
"),48056940)</f>
        <v>48056940</v>
      </c>
      <c r="Q122" s="4">
        <f t="shared" ca="1" si="0"/>
        <v>45056940</v>
      </c>
      <c r="R122" s="5" t="str">
        <f t="shared" si="1"/>
        <v>Sinister</v>
      </c>
      <c r="S122" s="43" t="str">
        <f t="shared" si="3"/>
        <v>Horror</v>
      </c>
    </row>
    <row r="123" spans="1:19" ht="15.75" customHeight="1" x14ac:dyDescent="0.25">
      <c r="A123" s="6" t="s">
        <v>572</v>
      </c>
      <c r="B123" s="6">
        <v>6</v>
      </c>
      <c r="C123" s="6">
        <v>1000000</v>
      </c>
      <c r="D123" s="6" t="s">
        <v>573</v>
      </c>
      <c r="E123" s="6" t="s">
        <v>574</v>
      </c>
      <c r="F123" s="6" t="s">
        <v>575</v>
      </c>
      <c r="G123" s="6">
        <v>2215</v>
      </c>
      <c r="H123" s="6" t="s">
        <v>576</v>
      </c>
      <c r="I123" s="6">
        <v>26</v>
      </c>
      <c r="J123" s="6" t="s">
        <v>23</v>
      </c>
      <c r="K123" s="6" t="s">
        <v>133</v>
      </c>
      <c r="L123" s="6">
        <v>9000000</v>
      </c>
      <c r="M123" s="6">
        <v>1977</v>
      </c>
      <c r="N123" s="6">
        <v>6.3</v>
      </c>
      <c r="O123" s="4">
        <f ca="1">IFERROR(__xludf.DUMMYFUNCTION("IF(Cost_in_dollars!E123=""USD"",Cost_in_dollars!B123,Cost_in_dollars!B123 * GOOGLEFINANCE(""CURRENCY:"" &amp; Cost_in_dollars!E123 &amp; ""USD""))
"),11568599.9999999)</f>
        <v>11568599.999999899</v>
      </c>
      <c r="P123" s="4">
        <f ca="1">IFERROR(__xludf.DUMMYFUNCTION("IF(Cost_in_dollars!E123=""USD"",Cost_in_dollars!C123,Cost_in_dollars!C123 * GOOGLEFINANCE(""CURRENCY:"" &amp; Cost_in_dollars!E123 &amp; ""USD""))
"),1285399.99999999)</f>
        <v>1285399.99999999</v>
      </c>
      <c r="Q123" s="6">
        <f t="shared" ca="1" si="0"/>
        <v>-10283199.999999909</v>
      </c>
      <c r="R123" s="7" t="str">
        <f t="shared" si="1"/>
        <v>March or Die</v>
      </c>
      <c r="S123" s="43" t="str">
        <f t="shared" si="3"/>
        <v>Adventure</v>
      </c>
    </row>
    <row r="124" spans="1:19" ht="15.75" customHeight="1" x14ac:dyDescent="0.25">
      <c r="A124" s="4" t="s">
        <v>577</v>
      </c>
      <c r="B124" s="4">
        <v>136</v>
      </c>
      <c r="C124" s="4">
        <v>31874869</v>
      </c>
      <c r="D124" s="4" t="s">
        <v>578</v>
      </c>
      <c r="E124" s="4" t="s">
        <v>227</v>
      </c>
      <c r="F124" s="4" t="s">
        <v>579</v>
      </c>
      <c r="G124" s="4">
        <v>43574</v>
      </c>
      <c r="H124" s="4" t="s">
        <v>580</v>
      </c>
      <c r="I124" s="4">
        <v>302</v>
      </c>
      <c r="J124" s="4" t="s">
        <v>23</v>
      </c>
      <c r="K124" s="4" t="s">
        <v>24</v>
      </c>
      <c r="L124" s="4">
        <v>50000000</v>
      </c>
      <c r="M124" s="4">
        <v>2002</v>
      </c>
      <c r="N124" s="4">
        <v>6.1</v>
      </c>
      <c r="O124" s="4">
        <f ca="1">IFERROR(__xludf.DUMMYFUNCTION("IF(Cost_in_dollars!E124=""USD"",Cost_in_dollars!B124,Cost_in_dollars!B124 * GOOGLEFINANCE(""CURRENCY:"" &amp; Cost_in_dollars!E124 &amp; ""USD""))
"),50000000)</f>
        <v>50000000</v>
      </c>
      <c r="P124" s="4">
        <f ca="1">IFERROR(__xludf.DUMMYFUNCTION("IF(Cost_in_dollars!E124=""USD"",Cost_in_dollars!C124,Cost_in_dollars!C124 * GOOGLEFINANCE(""CURRENCY:"" &amp; Cost_in_dollars!E124 &amp; ""USD""))
"),31874869)</f>
        <v>31874869</v>
      </c>
      <c r="Q124" s="4">
        <f t="shared" ca="1" si="0"/>
        <v>-18125131</v>
      </c>
      <c r="R124" s="5" t="str">
        <f t="shared" si="1"/>
        <v>Murder by Numbers</v>
      </c>
      <c r="S124" s="43" t="str">
        <f t="shared" si="3"/>
        <v>Crime</v>
      </c>
    </row>
    <row r="125" spans="1:19" ht="15.75" customHeight="1" x14ac:dyDescent="0.25">
      <c r="A125" s="6" t="s">
        <v>581</v>
      </c>
      <c r="B125" s="6">
        <v>145</v>
      </c>
      <c r="C125" s="6">
        <v>119420252</v>
      </c>
      <c r="D125" s="6" t="s">
        <v>582</v>
      </c>
      <c r="E125" s="6" t="s">
        <v>583</v>
      </c>
      <c r="F125" s="6" t="s">
        <v>584</v>
      </c>
      <c r="G125" s="6">
        <v>33042</v>
      </c>
      <c r="H125" s="6" t="s">
        <v>585</v>
      </c>
      <c r="I125" s="6">
        <v>90</v>
      </c>
      <c r="J125" s="6" t="s">
        <v>23</v>
      </c>
      <c r="K125" s="6" t="s">
        <v>24</v>
      </c>
      <c r="L125" s="6">
        <v>150000000</v>
      </c>
      <c r="M125" s="6">
        <v>2009</v>
      </c>
      <c r="N125" s="6">
        <v>5.0999999999999996</v>
      </c>
      <c r="O125" s="4">
        <f ca="1">IFERROR(__xludf.DUMMYFUNCTION("IF(Cost_in_dollars!E125=""USD"",Cost_in_dollars!B125,Cost_in_dollars!B125 * GOOGLEFINANCE(""CURRENCY:"" &amp; Cost_in_dollars!E125 &amp; ""USD""))
"),150000000)</f>
        <v>150000000</v>
      </c>
      <c r="P125" s="4">
        <f ca="1">IFERROR(__xludf.DUMMYFUNCTION("IF(Cost_in_dollars!E125=""USD"",Cost_in_dollars!C125,Cost_in_dollars!C125 * GOOGLEFINANCE(""CURRENCY:"" &amp; Cost_in_dollars!E125 &amp; ""USD""))
"),119420252)</f>
        <v>119420252</v>
      </c>
      <c r="Q125" s="6">
        <f t="shared" ca="1" si="0"/>
        <v>-30579748</v>
      </c>
      <c r="R125" s="7" t="str">
        <f t="shared" si="1"/>
        <v>G-Force</v>
      </c>
      <c r="S125" s="43" t="str">
        <f t="shared" si="3"/>
        <v>Action</v>
      </c>
    </row>
    <row r="126" spans="1:19" ht="15.75" customHeight="1" x14ac:dyDescent="0.25">
      <c r="A126" s="4" t="s">
        <v>586</v>
      </c>
      <c r="B126" s="4">
        <v>103</v>
      </c>
      <c r="C126" s="4">
        <v>236266</v>
      </c>
      <c r="D126" s="4" t="s">
        <v>587</v>
      </c>
      <c r="E126" s="4" t="s">
        <v>588</v>
      </c>
      <c r="F126" s="4" t="s">
        <v>589</v>
      </c>
      <c r="G126" s="4">
        <v>15104</v>
      </c>
      <c r="H126" s="4" t="s">
        <v>590</v>
      </c>
      <c r="I126" s="4">
        <v>290</v>
      </c>
      <c r="J126" s="4" t="s">
        <v>23</v>
      </c>
      <c r="K126" s="4" t="s">
        <v>24</v>
      </c>
      <c r="L126" s="4">
        <v>3500000</v>
      </c>
      <c r="M126" s="4">
        <v>2002</v>
      </c>
      <c r="N126" s="4">
        <v>6.2</v>
      </c>
      <c r="O126" s="4">
        <f ca="1">IFERROR(__xludf.DUMMYFUNCTION("IF(Cost_in_dollars!E126=""USD"",Cost_in_dollars!B126,Cost_in_dollars!B126 * GOOGLEFINANCE(""CURRENCY:"" &amp; Cost_in_dollars!E126 &amp; ""USD""))
"),3500000)</f>
        <v>3500000</v>
      </c>
      <c r="P126" s="4">
        <f ca="1">IFERROR(__xludf.DUMMYFUNCTION("IF(Cost_in_dollars!E126=""USD"",Cost_in_dollars!C126,Cost_in_dollars!C126 * GOOGLEFINANCE(""CURRENCY:"" &amp; Cost_in_dollars!E126 &amp; ""USD""))
"),236266)</f>
        <v>236266</v>
      </c>
      <c r="Q126" s="4">
        <f t="shared" ca="1" si="0"/>
        <v>-3263734</v>
      </c>
      <c r="R126" s="5" t="str">
        <f t="shared" si="1"/>
        <v>Gerry</v>
      </c>
      <c r="S126" s="43" t="str">
        <f t="shared" si="3"/>
        <v>Adventure</v>
      </c>
    </row>
    <row r="127" spans="1:19" ht="15.75" customHeight="1" x14ac:dyDescent="0.25">
      <c r="A127" s="6" t="s">
        <v>591</v>
      </c>
      <c r="B127" s="6">
        <v>261</v>
      </c>
      <c r="C127" s="6">
        <v>5359774</v>
      </c>
      <c r="D127" s="6" t="s">
        <v>592</v>
      </c>
      <c r="E127" s="6" t="s">
        <v>593</v>
      </c>
      <c r="F127" s="6" t="s">
        <v>594</v>
      </c>
      <c r="G127" s="6">
        <v>64794</v>
      </c>
      <c r="H127" s="6" t="s">
        <v>595</v>
      </c>
      <c r="I127" s="6">
        <v>131</v>
      </c>
      <c r="J127" s="6" t="s">
        <v>23</v>
      </c>
      <c r="K127" s="6" t="s">
        <v>596</v>
      </c>
      <c r="L127" s="6">
        <v>6000000</v>
      </c>
      <c r="M127" s="6">
        <v>2011</v>
      </c>
      <c r="N127" s="6">
        <v>7.3</v>
      </c>
      <c r="O127" s="4">
        <f ca="1">IFERROR(__xludf.DUMMYFUNCTION("IF(Cost_in_dollars!E127=""USD"",Cost_in_dollars!B127,Cost_in_dollars!B127 * GOOGLEFINANCE(""CURRENCY:"" &amp; Cost_in_dollars!E127 &amp; ""USD""))
"),6508440)</f>
        <v>6508440</v>
      </c>
      <c r="P127" s="4">
        <f ca="1">IFERROR(__xludf.DUMMYFUNCTION("IF(Cost_in_dollars!E127=""USD"",Cost_in_dollars!C127,Cost_in_dollars!C127 * GOOGLEFINANCE(""CURRENCY:"" &amp; Cost_in_dollars!E127 &amp; ""USD""))
"),5813961.24876)</f>
        <v>5813961.2487599999</v>
      </c>
      <c r="Q127" s="6">
        <f t="shared" ca="1" si="0"/>
        <v>-694478.75124000013</v>
      </c>
      <c r="R127" s="7" t="str">
        <f t="shared" si="1"/>
        <v>The Guard</v>
      </c>
      <c r="S127" s="43" t="str">
        <f t="shared" si="3"/>
        <v>Comedy</v>
      </c>
    </row>
    <row r="128" spans="1:19" ht="15.75" customHeight="1" x14ac:dyDescent="0.25">
      <c r="A128" s="4" t="s">
        <v>597</v>
      </c>
      <c r="B128" s="4">
        <v>330</v>
      </c>
      <c r="C128" s="4">
        <v>191616238</v>
      </c>
      <c r="D128" s="4" t="s">
        <v>268</v>
      </c>
      <c r="E128" s="4" t="s">
        <v>179</v>
      </c>
      <c r="F128" s="4" t="s">
        <v>598</v>
      </c>
      <c r="G128" s="4">
        <v>258186</v>
      </c>
      <c r="H128" s="4" t="s">
        <v>599</v>
      </c>
      <c r="I128" s="4">
        <v>322</v>
      </c>
      <c r="J128" s="4" t="s">
        <v>23</v>
      </c>
      <c r="K128" s="4" t="s">
        <v>24</v>
      </c>
      <c r="L128" s="4">
        <v>50000000</v>
      </c>
      <c r="M128" s="4">
        <v>2014</v>
      </c>
      <c r="N128" s="4">
        <v>7.1</v>
      </c>
      <c r="O128" s="4">
        <f ca="1">IFERROR(__xludf.DUMMYFUNCTION("IF(Cost_in_dollars!E128=""USD"",Cost_in_dollars!B128,Cost_in_dollars!B128 * GOOGLEFINANCE(""CURRENCY:"" &amp; Cost_in_dollars!E128 &amp; ""USD""))
"),50000000)</f>
        <v>50000000</v>
      </c>
      <c r="P128" s="4">
        <f ca="1">IFERROR(__xludf.DUMMYFUNCTION("IF(Cost_in_dollars!E128=""USD"",Cost_in_dollars!C128,Cost_in_dollars!C128 * GOOGLEFINANCE(""CURRENCY:"" &amp; Cost_in_dollars!E128 &amp; ""USD""))
"),191616238)</f>
        <v>191616238</v>
      </c>
      <c r="Q128" s="4">
        <f t="shared" ca="1" si="0"/>
        <v>141616238</v>
      </c>
      <c r="R128" s="5" t="str">
        <f t="shared" si="1"/>
        <v>22 Jump Street</v>
      </c>
      <c r="S128" s="43" t="str">
        <f t="shared" si="3"/>
        <v>Action</v>
      </c>
    </row>
    <row r="129" spans="1:19" ht="15.75" customHeight="1" x14ac:dyDescent="0.25">
      <c r="A129" s="6" t="s">
        <v>215</v>
      </c>
      <c r="B129" s="6">
        <v>114</v>
      </c>
      <c r="C129" s="6">
        <v>93815117</v>
      </c>
      <c r="D129" s="6" t="s">
        <v>162</v>
      </c>
      <c r="E129" s="6" t="s">
        <v>600</v>
      </c>
      <c r="F129" s="6" t="s">
        <v>601</v>
      </c>
      <c r="G129" s="6">
        <v>68417</v>
      </c>
      <c r="H129" s="6" t="s">
        <v>602</v>
      </c>
      <c r="I129" s="6">
        <v>242</v>
      </c>
      <c r="J129" s="6" t="s">
        <v>23</v>
      </c>
      <c r="K129" s="6" t="s">
        <v>24</v>
      </c>
      <c r="L129" s="6">
        <v>55000000</v>
      </c>
      <c r="M129" s="6">
        <v>2002</v>
      </c>
      <c r="N129" s="6">
        <v>5.0999999999999996</v>
      </c>
      <c r="O129" s="4">
        <f ca="1">IFERROR(__xludf.DUMMYFUNCTION("IF(Cost_in_dollars!E129=""USD"",Cost_in_dollars!B129,Cost_in_dollars!B129 * GOOGLEFINANCE(""CURRENCY:"" &amp; Cost_in_dollars!E129 &amp; ""USD""))
"),55000000)</f>
        <v>55000000</v>
      </c>
      <c r="P129" s="4">
        <f ca="1">IFERROR(__xludf.DUMMYFUNCTION("IF(Cost_in_dollars!E129=""USD"",Cost_in_dollars!C129,Cost_in_dollars!C129 * GOOGLEFINANCE(""CURRENCY:"" &amp; Cost_in_dollars!E129 &amp; ""USD""))
"),93815117)</f>
        <v>93815117</v>
      </c>
      <c r="Q129" s="6">
        <f t="shared" ca="1" si="0"/>
        <v>38815117</v>
      </c>
      <c r="R129" s="7" t="str">
        <f t="shared" si="1"/>
        <v>Maid in Manhattan</v>
      </c>
      <c r="S129" s="43" t="str">
        <f t="shared" si="3"/>
        <v>Comedy</v>
      </c>
    </row>
    <row r="130" spans="1:19" ht="15.75" customHeight="1" x14ac:dyDescent="0.25">
      <c r="A130" s="4" t="s">
        <v>603</v>
      </c>
      <c r="B130" s="4">
        <v>126</v>
      </c>
      <c r="C130" s="4">
        <v>7764027</v>
      </c>
      <c r="D130" s="4" t="s">
        <v>457</v>
      </c>
      <c r="E130" s="4" t="s">
        <v>604</v>
      </c>
      <c r="F130" s="4" t="s">
        <v>605</v>
      </c>
      <c r="G130" s="4">
        <v>38459</v>
      </c>
      <c r="H130" s="4" t="s">
        <v>606</v>
      </c>
      <c r="I130" s="4">
        <v>119</v>
      </c>
      <c r="J130" s="4" t="s">
        <v>23</v>
      </c>
      <c r="K130" s="4" t="s">
        <v>24</v>
      </c>
      <c r="L130" s="4">
        <v>10000000</v>
      </c>
      <c r="M130" s="4">
        <v>2013</v>
      </c>
      <c r="N130" s="4">
        <v>6.7</v>
      </c>
      <c r="O130" s="4">
        <f ca="1">IFERROR(__xludf.DUMMYFUNCTION("IF(Cost_in_dollars!E130=""USD"",Cost_in_dollars!B130,Cost_in_dollars!B130 * GOOGLEFINANCE(""CURRENCY:"" &amp; Cost_in_dollars!E130 &amp; ""USD""))
"),10000000)</f>
        <v>10000000</v>
      </c>
      <c r="P130" s="4">
        <f ca="1">IFERROR(__xludf.DUMMYFUNCTION("IF(Cost_in_dollars!E130=""USD"",Cost_in_dollars!C130,Cost_in_dollars!C130 * GOOGLEFINANCE(""CURRENCY:"" &amp; Cost_in_dollars!E130 &amp; ""USD""))
"),7764027)</f>
        <v>7764027</v>
      </c>
      <c r="Q130" s="4">
        <f t="shared" ca="1" si="0"/>
        <v>-2235973</v>
      </c>
      <c r="R130" s="5" t="str">
        <f t="shared" si="1"/>
        <v>Bad Words</v>
      </c>
      <c r="S130" s="43" t="str">
        <f t="shared" ref="S130:S193" si="4">IF(ISNUMBER(FIND("|", D130)), LEFT(D130, FIND("|", D130) - 1), D130)</f>
        <v>Comedy</v>
      </c>
    </row>
    <row r="131" spans="1:19" ht="15.75" customHeight="1" x14ac:dyDescent="0.25">
      <c r="A131" s="6" t="s">
        <v>607</v>
      </c>
      <c r="B131" s="6">
        <v>358</v>
      </c>
      <c r="C131" s="6">
        <v>139852971</v>
      </c>
      <c r="D131" s="6" t="s">
        <v>155</v>
      </c>
      <c r="E131" s="6" t="s">
        <v>608</v>
      </c>
      <c r="F131" s="6" t="s">
        <v>609</v>
      </c>
      <c r="G131" s="6">
        <v>238671</v>
      </c>
      <c r="H131" s="6" t="s">
        <v>610</v>
      </c>
      <c r="I131" s="6">
        <v>461</v>
      </c>
      <c r="J131" s="6" t="s">
        <v>23</v>
      </c>
      <c r="K131" s="6" t="s">
        <v>611</v>
      </c>
      <c r="L131" s="6">
        <v>45000000</v>
      </c>
      <c r="M131" s="6">
        <v>2012</v>
      </c>
      <c r="N131" s="6">
        <v>6.3</v>
      </c>
      <c r="O131" s="4">
        <f ca="1">IFERROR(__xludf.DUMMYFUNCTION("IF(Cost_in_dollars!E131=""USD"",Cost_in_dollars!B131,Cost_in_dollars!B131 * GOOGLEFINANCE(""CURRENCY:"" &amp; Cost_in_dollars!E131 &amp; ""USD""))
"),48813300)</f>
        <v>48813300</v>
      </c>
      <c r="P131" s="4">
        <f ca="1">IFERROR(__xludf.DUMMYFUNCTION("IF(Cost_in_dollars!E131=""USD"",Cost_in_dollars!C131,Cost_in_dollars!C131 * GOOGLEFINANCE(""CURRENCY:"" &amp; Cost_in_dollars!E131 &amp; ""USD""))
"),151704111.76254)</f>
        <v>151704111.76254001</v>
      </c>
      <c r="Q131" s="6">
        <f t="shared" ca="1" si="0"/>
        <v>102890811.76254001</v>
      </c>
      <c r="R131" s="7" t="str">
        <f t="shared" si="1"/>
        <v>Taken 2</v>
      </c>
      <c r="S131" s="43" t="str">
        <f t="shared" si="4"/>
        <v>Action</v>
      </c>
    </row>
    <row r="132" spans="1:19" ht="15.75" customHeight="1" x14ac:dyDescent="0.25">
      <c r="A132" s="4" t="s">
        <v>612</v>
      </c>
      <c r="B132" s="4">
        <v>72</v>
      </c>
      <c r="C132" s="4">
        <v>50129186</v>
      </c>
      <c r="D132" s="4" t="s">
        <v>613</v>
      </c>
      <c r="E132" s="4" t="s">
        <v>614</v>
      </c>
      <c r="F132" s="4" t="s">
        <v>615</v>
      </c>
      <c r="G132" s="4">
        <v>38399</v>
      </c>
      <c r="H132" s="4" t="s">
        <v>616</v>
      </c>
      <c r="I132" s="4">
        <v>218</v>
      </c>
      <c r="J132" s="4" t="s">
        <v>23</v>
      </c>
      <c r="K132" s="4" t="s">
        <v>24</v>
      </c>
      <c r="L132" s="4">
        <v>36000000</v>
      </c>
      <c r="M132" s="4">
        <v>1997</v>
      </c>
      <c r="N132" s="4">
        <v>6.9</v>
      </c>
      <c r="O132" s="4">
        <f ca="1">IFERROR(__xludf.DUMMYFUNCTION("IF(Cost_in_dollars!E132=""USD"",Cost_in_dollars!B132,Cost_in_dollars!B132 * GOOGLEFINANCE(""CURRENCY:"" &amp; Cost_in_dollars!E132 &amp; ""USD""))
"),36000000)</f>
        <v>36000000</v>
      </c>
      <c r="P132" s="4">
        <f ca="1">IFERROR(__xludf.DUMMYFUNCTION("IF(Cost_in_dollars!E132=""USD"",Cost_in_dollars!C132,Cost_in_dollars!C132 * GOOGLEFINANCE(""CURRENCY:"" &amp; Cost_in_dollars!E132 &amp; ""USD""))
"),50129186)</f>
        <v>50129186</v>
      </c>
      <c r="Q132" s="4">
        <f t="shared" ca="1" si="0"/>
        <v>14129186</v>
      </c>
      <c r="R132" s="5" t="str">
        <f t="shared" si="1"/>
        <v>Breakdown</v>
      </c>
      <c r="S132" s="43" t="str">
        <f t="shared" si="4"/>
        <v>Action</v>
      </c>
    </row>
    <row r="133" spans="1:19" ht="15.75" customHeight="1" x14ac:dyDescent="0.25">
      <c r="A133" s="6" t="s">
        <v>617</v>
      </c>
      <c r="B133" s="6">
        <v>87</v>
      </c>
      <c r="C133" s="6">
        <v>39442871</v>
      </c>
      <c r="D133" s="6" t="s">
        <v>618</v>
      </c>
      <c r="E133" s="6" t="s">
        <v>619</v>
      </c>
      <c r="F133" s="6" t="s">
        <v>620</v>
      </c>
      <c r="G133" s="6">
        <v>80639</v>
      </c>
      <c r="H133" s="6" t="s">
        <v>621</v>
      </c>
      <c r="I133" s="6">
        <v>237</v>
      </c>
      <c r="J133" s="6" t="s">
        <v>23</v>
      </c>
      <c r="K133" s="6" t="s">
        <v>24</v>
      </c>
      <c r="L133" s="6">
        <v>80000000</v>
      </c>
      <c r="M133" s="6">
        <v>2000</v>
      </c>
      <c r="N133" s="6">
        <v>5.3</v>
      </c>
      <c r="O133" s="4">
        <f ca="1">IFERROR(__xludf.DUMMYFUNCTION("IF(Cost_in_dollars!E133=""USD"",Cost_in_dollars!B133,Cost_in_dollars!B133 * GOOGLEFINANCE(""CURRENCY:"" &amp; Cost_in_dollars!E133 &amp; ""USD""))
"),80000000)</f>
        <v>80000000</v>
      </c>
      <c r="P133" s="4">
        <f ca="1">IFERROR(__xludf.DUMMYFUNCTION("IF(Cost_in_dollars!E133=""USD"",Cost_in_dollars!C133,Cost_in_dollars!C133 * GOOGLEFINANCE(""CURRENCY:"" &amp; Cost_in_dollars!E133 &amp; ""USD""))
"),39442871)</f>
        <v>39442871</v>
      </c>
      <c r="Q133" s="6">
        <f t="shared" ca="1" si="0"/>
        <v>-40557129</v>
      </c>
      <c r="R133" s="7" t="str">
        <f t="shared" si="1"/>
        <v>Little Nicky</v>
      </c>
      <c r="S133" s="43" t="str">
        <f t="shared" si="4"/>
        <v>Comedy</v>
      </c>
    </row>
    <row r="134" spans="1:19" ht="15.75" customHeight="1" x14ac:dyDescent="0.25">
      <c r="A134" s="4" t="s">
        <v>622</v>
      </c>
      <c r="B134" s="4">
        <v>25</v>
      </c>
      <c r="C134" s="4">
        <v>4068087</v>
      </c>
      <c r="D134" s="4" t="s">
        <v>623</v>
      </c>
      <c r="E134" s="4" t="s">
        <v>624</v>
      </c>
      <c r="F134" s="4" t="s">
        <v>625</v>
      </c>
      <c r="G134" s="4">
        <v>2164</v>
      </c>
      <c r="H134" s="4" t="s">
        <v>626</v>
      </c>
      <c r="I134" s="4">
        <v>74</v>
      </c>
      <c r="J134" s="4" t="s">
        <v>23</v>
      </c>
      <c r="K134" s="4" t="s">
        <v>627</v>
      </c>
      <c r="L134" s="4">
        <v>17000000</v>
      </c>
      <c r="M134" s="4">
        <v>2003</v>
      </c>
      <c r="N134" s="4">
        <v>7.7</v>
      </c>
      <c r="O134" s="4">
        <f ca="1">IFERROR(__xludf.DUMMYFUNCTION("IF(Cost_in_dollars!E134=""USD"",Cost_in_dollars!B134,Cost_in_dollars!B134 * GOOGLEFINANCE(""CURRENCY:"" &amp; Cost_in_dollars!E134 &amp; ""USD""))
"),12297885)</f>
        <v>12297885</v>
      </c>
      <c r="P134" s="4">
        <f ca="1">IFERROR(__xludf.DUMMYFUNCTION("IF(Cost_in_dollars!E134=""USD"",Cost_in_dollars!C134,Cost_in_dollars!C134 * GOOGLEFINANCE(""CURRENCY:"" &amp; Cost_in_dollars!E134 &amp; ""USD""))
"),2942874.476235)</f>
        <v>2942874.476235</v>
      </c>
      <c r="Q134" s="4">
        <f t="shared" ca="1" si="0"/>
        <v>-9355010.5237649996</v>
      </c>
      <c r="R134" s="5" t="str">
        <f t="shared" si="1"/>
        <v>The Visual Bible: The Gospel of John</v>
      </c>
      <c r="S134" s="43" t="str">
        <f t="shared" si="4"/>
        <v>Biography</v>
      </c>
    </row>
    <row r="135" spans="1:19" ht="15.75" customHeight="1" x14ac:dyDescent="0.25">
      <c r="A135" s="6" t="s">
        <v>628</v>
      </c>
      <c r="B135" s="6">
        <v>60</v>
      </c>
      <c r="C135" s="6">
        <v>26830000</v>
      </c>
      <c r="D135" s="6" t="s">
        <v>73</v>
      </c>
      <c r="E135" s="6" t="s">
        <v>69</v>
      </c>
      <c r="F135" s="6" t="s">
        <v>629</v>
      </c>
      <c r="G135" s="6">
        <v>101888</v>
      </c>
      <c r="H135" s="6" t="s">
        <v>630</v>
      </c>
      <c r="I135" s="6">
        <v>365</v>
      </c>
      <c r="J135" s="6" t="s">
        <v>23</v>
      </c>
      <c r="K135" s="6" t="s">
        <v>24</v>
      </c>
      <c r="L135" s="6">
        <v>18000000</v>
      </c>
      <c r="M135" s="6">
        <v>1989</v>
      </c>
      <c r="N135" s="6">
        <v>7.9</v>
      </c>
      <c r="O135" s="4">
        <f ca="1">IFERROR(__xludf.DUMMYFUNCTION("IF(Cost_in_dollars!E135=""USD"",Cost_in_dollars!B135,Cost_in_dollars!B135 * GOOGLEFINANCE(""CURRENCY:"" &amp; Cost_in_dollars!E135 &amp; ""USD""))
"),18000000)</f>
        <v>18000000</v>
      </c>
      <c r="P135" s="4">
        <f ca="1">IFERROR(__xludf.DUMMYFUNCTION("IF(Cost_in_dollars!E135=""USD"",Cost_in_dollars!C135,Cost_in_dollars!C135 * GOOGLEFINANCE(""CURRENCY:"" &amp; Cost_in_dollars!E135 &amp; ""USD""))
"),26830000)</f>
        <v>26830000</v>
      </c>
      <c r="Q135" s="6">
        <f t="shared" ca="1" si="0"/>
        <v>8830000</v>
      </c>
      <c r="R135" s="7" t="str">
        <f t="shared" si="1"/>
        <v>Glory</v>
      </c>
      <c r="S135" s="43" t="str">
        <f t="shared" si="4"/>
        <v>Drama</v>
      </c>
    </row>
    <row r="136" spans="1:19" ht="15.75" customHeight="1" x14ac:dyDescent="0.25">
      <c r="A136" s="4" t="s">
        <v>187</v>
      </c>
      <c r="B136" s="4">
        <v>82</v>
      </c>
      <c r="C136" s="4">
        <v>54222000</v>
      </c>
      <c r="D136" s="4" t="s">
        <v>631</v>
      </c>
      <c r="E136" s="4" t="s">
        <v>189</v>
      </c>
      <c r="F136" s="4" t="s">
        <v>632</v>
      </c>
      <c r="G136" s="4">
        <v>131217</v>
      </c>
      <c r="H136" s="4" t="s">
        <v>633</v>
      </c>
      <c r="I136" s="4">
        <v>380</v>
      </c>
      <c r="J136" s="4" t="s">
        <v>23</v>
      </c>
      <c r="K136" s="4" t="s">
        <v>24</v>
      </c>
      <c r="L136" s="4">
        <v>69500000</v>
      </c>
      <c r="M136" s="4">
        <v>1989</v>
      </c>
      <c r="N136" s="4">
        <v>7.6</v>
      </c>
      <c r="O136" s="4">
        <f ca="1">IFERROR(__xludf.DUMMYFUNCTION("IF(Cost_in_dollars!E136=""USD"",Cost_in_dollars!B136,Cost_in_dollars!B136 * GOOGLEFINANCE(""CURRENCY:"" &amp; Cost_in_dollars!E136 &amp; ""USD""))
"),69500000)</f>
        <v>69500000</v>
      </c>
      <c r="P136" s="4">
        <f ca="1">IFERROR(__xludf.DUMMYFUNCTION("IF(Cost_in_dollars!E136=""USD"",Cost_in_dollars!C136,Cost_in_dollars!C136 * GOOGLEFINANCE(""CURRENCY:"" &amp; Cost_in_dollars!E136 &amp; ""USD""))
"),54222000)</f>
        <v>54222000</v>
      </c>
      <c r="Q136" s="4">
        <f t="shared" ca="1" si="0"/>
        <v>-15278000</v>
      </c>
      <c r="R136" s="5" t="str">
        <f t="shared" si="1"/>
        <v>The Abyss</v>
      </c>
      <c r="S136" s="43" t="str">
        <f t="shared" si="4"/>
        <v>Adventure</v>
      </c>
    </row>
    <row r="137" spans="1:19" ht="15.75" customHeight="1" x14ac:dyDescent="0.25">
      <c r="A137" s="6" t="s">
        <v>634</v>
      </c>
      <c r="B137" s="6">
        <v>68</v>
      </c>
      <c r="C137" s="6">
        <v>144731527</v>
      </c>
      <c r="D137" s="6" t="s">
        <v>155</v>
      </c>
      <c r="E137" s="6" t="s">
        <v>635</v>
      </c>
      <c r="F137" s="6" t="s">
        <v>636</v>
      </c>
      <c r="G137" s="6">
        <v>128010</v>
      </c>
      <c r="H137" s="6" t="s">
        <v>637</v>
      </c>
      <c r="I137" s="6">
        <v>136</v>
      </c>
      <c r="J137" s="6" t="s">
        <v>23</v>
      </c>
      <c r="K137" s="6" t="s">
        <v>24</v>
      </c>
      <c r="L137" s="6">
        <v>35000000</v>
      </c>
      <c r="M137" s="6">
        <v>1992</v>
      </c>
      <c r="N137" s="6">
        <v>6.7</v>
      </c>
      <c r="O137" s="4">
        <f ca="1">IFERROR(__xludf.DUMMYFUNCTION("IF(Cost_in_dollars!E137=""USD"",Cost_in_dollars!B137,Cost_in_dollars!B137 * GOOGLEFINANCE(""CURRENCY:"" &amp; Cost_in_dollars!E137 &amp; ""USD""))
"),35000000)</f>
        <v>35000000</v>
      </c>
      <c r="P137" s="4">
        <f ca="1">IFERROR(__xludf.DUMMYFUNCTION("IF(Cost_in_dollars!E137=""USD"",Cost_in_dollars!C137,Cost_in_dollars!C137 * GOOGLEFINANCE(""CURRENCY:"" &amp; Cost_in_dollars!E137 &amp; ""USD""))
"),144731527)</f>
        <v>144731527</v>
      </c>
      <c r="Q137" s="6">
        <f t="shared" ca="1" si="0"/>
        <v>109731527</v>
      </c>
      <c r="R137" s="7" t="str">
        <f t="shared" si="1"/>
        <v>Lethal Weapon 3</v>
      </c>
      <c r="S137" s="43" t="str">
        <f t="shared" si="4"/>
        <v>Action</v>
      </c>
    </row>
    <row r="138" spans="1:19" ht="15.75" customHeight="1" x14ac:dyDescent="0.25">
      <c r="A138" s="4" t="s">
        <v>638</v>
      </c>
      <c r="B138" s="4">
        <v>148</v>
      </c>
      <c r="C138" s="4">
        <v>179870271</v>
      </c>
      <c r="D138" s="4" t="s">
        <v>639</v>
      </c>
      <c r="E138" s="4" t="s">
        <v>640</v>
      </c>
      <c r="F138" s="4" t="s">
        <v>641</v>
      </c>
      <c r="G138" s="4">
        <v>329969</v>
      </c>
      <c r="H138" s="4" t="s">
        <v>642</v>
      </c>
      <c r="I138" s="4">
        <v>524</v>
      </c>
      <c r="J138" s="4" t="s">
        <v>23</v>
      </c>
      <c r="K138" s="4" t="s">
        <v>24</v>
      </c>
      <c r="L138" s="4">
        <v>28000000</v>
      </c>
      <c r="M138" s="4">
        <v>1984</v>
      </c>
      <c r="N138" s="4">
        <v>7.6</v>
      </c>
      <c r="O138" s="4">
        <f ca="1">IFERROR(__xludf.DUMMYFUNCTION("IF(Cost_in_dollars!E138=""USD"",Cost_in_dollars!B138,Cost_in_dollars!B138 * GOOGLEFINANCE(""CURRENCY:"" &amp; Cost_in_dollars!E138 &amp; ""USD""))
"),28000000)</f>
        <v>28000000</v>
      </c>
      <c r="P138" s="4">
        <f ca="1">IFERROR(__xludf.DUMMYFUNCTION("IF(Cost_in_dollars!E138=""USD"",Cost_in_dollars!C138,Cost_in_dollars!C138 * GOOGLEFINANCE(""CURRENCY:"" &amp; Cost_in_dollars!E138 &amp; ""USD""))
"),179870271)</f>
        <v>179870271</v>
      </c>
      <c r="Q138" s="4">
        <f t="shared" ca="1" si="0"/>
        <v>151870271</v>
      </c>
      <c r="R138" s="5" t="str">
        <f t="shared" si="1"/>
        <v>Indiana Jones and the Temple of Doom</v>
      </c>
      <c r="S138" s="43" t="str">
        <f t="shared" si="4"/>
        <v>Action</v>
      </c>
    </row>
    <row r="139" spans="1:19" ht="15.75" customHeight="1" x14ac:dyDescent="0.25">
      <c r="A139" s="6" t="s">
        <v>643</v>
      </c>
      <c r="B139" s="6">
        <v>150</v>
      </c>
      <c r="C139" s="6">
        <v>60652036</v>
      </c>
      <c r="D139" s="6" t="s">
        <v>644</v>
      </c>
      <c r="E139" s="6" t="s">
        <v>645</v>
      </c>
      <c r="F139" s="6" t="s">
        <v>646</v>
      </c>
      <c r="G139" s="6">
        <v>137854</v>
      </c>
      <c r="H139" s="6" t="s">
        <v>647</v>
      </c>
      <c r="I139" s="6">
        <v>560</v>
      </c>
      <c r="J139" s="6" t="s">
        <v>23</v>
      </c>
      <c r="K139" s="6" t="s">
        <v>24</v>
      </c>
      <c r="L139" s="6">
        <v>48000000</v>
      </c>
      <c r="M139" s="6">
        <v>1999</v>
      </c>
      <c r="N139" s="6">
        <v>7.1</v>
      </c>
      <c r="O139" s="4">
        <f ca="1">IFERROR(__xludf.DUMMYFUNCTION("IF(Cost_in_dollars!E139=""USD"",Cost_in_dollars!B139,Cost_in_dollars!B139 * GOOGLEFINANCE(""CURRENCY:"" &amp; Cost_in_dollars!E139 &amp; ""USD""))
"),48000000)</f>
        <v>48000000</v>
      </c>
      <c r="P139" s="4">
        <f ca="1">IFERROR(__xludf.DUMMYFUNCTION("IF(Cost_in_dollars!E139=""USD"",Cost_in_dollars!C139,Cost_in_dollars!C139 * GOOGLEFINANCE(""CURRENCY:"" &amp; Cost_in_dollars!E139 &amp; ""USD""))
"),60652036)</f>
        <v>60652036</v>
      </c>
      <c r="Q139" s="6">
        <f t="shared" ca="1" si="0"/>
        <v>12652036</v>
      </c>
      <c r="R139" s="7" t="str">
        <f t="shared" si="1"/>
        <v>Three Kings</v>
      </c>
      <c r="S139" s="43" t="str">
        <f t="shared" si="4"/>
        <v>Action</v>
      </c>
    </row>
    <row r="140" spans="1:19" ht="15.75" customHeight="1" x14ac:dyDescent="0.25">
      <c r="A140" s="4" t="s">
        <v>648</v>
      </c>
      <c r="B140" s="4">
        <v>213</v>
      </c>
      <c r="C140" s="4">
        <v>71423726</v>
      </c>
      <c r="D140" s="4" t="s">
        <v>649</v>
      </c>
      <c r="E140" s="4" t="s">
        <v>650</v>
      </c>
      <c r="F140" s="4" t="s">
        <v>651</v>
      </c>
      <c r="G140" s="4">
        <v>123558</v>
      </c>
      <c r="H140" s="4" t="s">
        <v>652</v>
      </c>
      <c r="I140" s="4">
        <v>609</v>
      </c>
      <c r="J140" s="4" t="s">
        <v>23</v>
      </c>
      <c r="K140" s="4" t="s">
        <v>24</v>
      </c>
      <c r="L140" s="4">
        <v>45000000</v>
      </c>
      <c r="M140" s="4">
        <v>1999</v>
      </c>
      <c r="N140" s="4">
        <v>7.3</v>
      </c>
      <c r="O140" s="4">
        <f ca="1">IFERROR(__xludf.DUMMYFUNCTION("IF(Cost_in_dollars!E140=""USD"",Cost_in_dollars!B140,Cost_in_dollars!B140 * GOOGLEFINANCE(""CURRENCY:"" &amp; Cost_in_dollars!E140 &amp; ""USD""))
"),45000000)</f>
        <v>45000000</v>
      </c>
      <c r="P140" s="4">
        <f ca="1">IFERROR(__xludf.DUMMYFUNCTION("IF(Cost_in_dollars!E140=""USD"",Cost_in_dollars!C140,Cost_in_dollars!C140 * GOOGLEFINANCE(""CURRENCY:"" &amp; Cost_in_dollars!E140 &amp; ""USD""))
"),71423726)</f>
        <v>71423726</v>
      </c>
      <c r="Q140" s="4">
        <f t="shared" ca="1" si="0"/>
        <v>26423726</v>
      </c>
      <c r="R140" s="5" t="str">
        <f t="shared" si="1"/>
        <v>Galaxy Quest</v>
      </c>
      <c r="S140" s="43" t="str">
        <f t="shared" si="4"/>
        <v>Adventure</v>
      </c>
    </row>
    <row r="141" spans="1:19" ht="15.75" customHeight="1" x14ac:dyDescent="0.25">
      <c r="A141" s="6" t="s">
        <v>653</v>
      </c>
      <c r="B141" s="6">
        <v>86</v>
      </c>
      <c r="C141" s="6">
        <v>14983572</v>
      </c>
      <c r="D141" s="6" t="s">
        <v>162</v>
      </c>
      <c r="E141" s="6" t="s">
        <v>654</v>
      </c>
      <c r="F141" s="6" t="s">
        <v>655</v>
      </c>
      <c r="G141" s="6">
        <v>9361</v>
      </c>
      <c r="H141" s="6" t="s">
        <v>656</v>
      </c>
      <c r="I141" s="6">
        <v>162</v>
      </c>
      <c r="J141" s="6" t="s">
        <v>23</v>
      </c>
      <c r="K141" s="6" t="s">
        <v>24</v>
      </c>
      <c r="L141" s="6">
        <v>25000000</v>
      </c>
      <c r="M141" s="6">
        <v>2000</v>
      </c>
      <c r="N141" s="6">
        <v>4.7</v>
      </c>
      <c r="O141" s="4">
        <f ca="1">IFERROR(__xludf.DUMMYFUNCTION("IF(Cost_in_dollars!E141=""USD"",Cost_in_dollars!B141,Cost_in_dollars!B141 * GOOGLEFINANCE(""CURRENCY:"" &amp; Cost_in_dollars!E141 &amp; ""USD""))
"),25000000)</f>
        <v>25000000</v>
      </c>
      <c r="P141" s="4">
        <f ca="1">IFERROR(__xludf.DUMMYFUNCTION("IF(Cost_in_dollars!E141=""USD"",Cost_in_dollars!C141,Cost_in_dollars!C141 * GOOGLEFINANCE(""CURRENCY:"" &amp; Cost_in_dollars!E141 &amp; ""USD""))
"),14983572)</f>
        <v>14983572</v>
      </c>
      <c r="Q141" s="6">
        <f t="shared" ca="1" si="0"/>
        <v>-10016428</v>
      </c>
      <c r="R141" s="7" t="str">
        <f t="shared" si="1"/>
        <v>The Next Best Thing</v>
      </c>
      <c r="S141" s="43" t="str">
        <f t="shared" si="4"/>
        <v>Comedy</v>
      </c>
    </row>
    <row r="142" spans="1:19" ht="15.75" customHeight="1" x14ac:dyDescent="0.25">
      <c r="A142" s="4" t="s">
        <v>657</v>
      </c>
      <c r="B142" s="4">
        <v>242</v>
      </c>
      <c r="C142" s="4">
        <v>33201661</v>
      </c>
      <c r="D142" s="4" t="s">
        <v>88</v>
      </c>
      <c r="E142" s="4" t="s">
        <v>658</v>
      </c>
      <c r="F142" s="4" t="s">
        <v>659</v>
      </c>
      <c r="G142" s="4">
        <v>534262</v>
      </c>
      <c r="H142" s="4" t="s">
        <v>660</v>
      </c>
      <c r="I142" s="4">
        <v>1314</v>
      </c>
      <c r="J142" s="4" t="s">
        <v>661</v>
      </c>
      <c r="K142" s="4" t="s">
        <v>611</v>
      </c>
      <c r="L142" s="4">
        <v>77000000</v>
      </c>
      <c r="M142" s="4">
        <v>2001</v>
      </c>
      <c r="N142" s="4">
        <v>8.4</v>
      </c>
      <c r="O142" s="4">
        <f ca="1">IFERROR(__xludf.DUMMYFUNCTION("IF(Cost_in_dollars!E142=""USD"",Cost_in_dollars!B142,Cost_in_dollars!B142 * GOOGLEFINANCE(""CURRENCY:"" &amp; Cost_in_dollars!E142 &amp; ""USD""))
"),83524980)</f>
        <v>83524980</v>
      </c>
      <c r="P142" s="4">
        <f ca="1">IFERROR(__xludf.DUMMYFUNCTION("IF(Cost_in_dollars!E142=""USD"",Cost_in_dollars!C142,Cost_in_dollars!C142 * GOOGLEFINANCE(""CURRENCY:"" &amp; Cost_in_dollars!E142 &amp; ""USD""))
"),36015169.75314)</f>
        <v>36015169.753140002</v>
      </c>
      <c r="Q142" s="4">
        <f t="shared" ca="1" si="0"/>
        <v>-47509810.246859998</v>
      </c>
      <c r="R142" s="5" t="str">
        <f t="shared" si="1"/>
        <v>AmÃ©lie</v>
      </c>
      <c r="S142" s="43" t="str">
        <f t="shared" si="4"/>
        <v>Comedy</v>
      </c>
    </row>
    <row r="143" spans="1:19" ht="15.75" customHeight="1" x14ac:dyDescent="0.25">
      <c r="A143" s="6" t="s">
        <v>662</v>
      </c>
      <c r="B143" s="6">
        <v>105</v>
      </c>
      <c r="C143" s="6">
        <v>28133159</v>
      </c>
      <c r="D143" s="6" t="s">
        <v>304</v>
      </c>
      <c r="E143" s="6" t="s">
        <v>461</v>
      </c>
      <c r="F143" s="6" t="s">
        <v>663</v>
      </c>
      <c r="G143" s="6">
        <v>30055</v>
      </c>
      <c r="H143" s="6" t="s">
        <v>664</v>
      </c>
      <c r="I143" s="6">
        <v>70</v>
      </c>
      <c r="J143" s="6" t="s">
        <v>23</v>
      </c>
      <c r="K143" s="6" t="s">
        <v>24</v>
      </c>
      <c r="L143" s="6">
        <v>50000000</v>
      </c>
      <c r="M143" s="6">
        <v>2006</v>
      </c>
      <c r="N143" s="6">
        <v>5.9</v>
      </c>
      <c r="O143" s="4">
        <f ca="1">IFERROR(__xludf.DUMMYFUNCTION("IF(Cost_in_dollars!E143=""USD"",Cost_in_dollars!B143,Cost_in_dollars!B143 * GOOGLEFINANCE(""CURRENCY:"" &amp; Cost_in_dollars!E143 &amp; ""USD""))
"),50000000)</f>
        <v>50000000</v>
      </c>
      <c r="P143" s="4">
        <f ca="1">IFERROR(__xludf.DUMMYFUNCTION("IF(Cost_in_dollars!E143=""USD"",Cost_in_dollars!C143,Cost_in_dollars!C143 * GOOGLEFINANCE(""CURRENCY:"" &amp; Cost_in_dollars!E143 &amp; ""USD""))
"),28133159)</f>
        <v>28133159</v>
      </c>
      <c r="Q143" s="6">
        <f t="shared" ca="1" si="0"/>
        <v>-21866841</v>
      </c>
      <c r="R143" s="7" t="str">
        <f t="shared" si="1"/>
        <v>The Ant Bully</v>
      </c>
      <c r="S143" s="43" t="str">
        <f t="shared" si="4"/>
        <v>Adventure</v>
      </c>
    </row>
    <row r="144" spans="1:19" ht="15.75" customHeight="1" x14ac:dyDescent="0.25">
      <c r="A144" s="4" t="s">
        <v>665</v>
      </c>
      <c r="B144" s="4">
        <v>238</v>
      </c>
      <c r="C144" s="4">
        <v>42919096</v>
      </c>
      <c r="D144" s="4" t="s">
        <v>178</v>
      </c>
      <c r="E144" s="4" t="s">
        <v>49</v>
      </c>
      <c r="F144" s="4" t="s">
        <v>666</v>
      </c>
      <c r="G144" s="4">
        <v>64748</v>
      </c>
      <c r="H144" s="4" t="s">
        <v>667</v>
      </c>
      <c r="I144" s="4">
        <v>122</v>
      </c>
      <c r="J144" s="4" t="s">
        <v>23</v>
      </c>
      <c r="K144" s="4" t="s">
        <v>24</v>
      </c>
      <c r="L144" s="4">
        <v>15000000</v>
      </c>
      <c r="M144" s="4">
        <v>2013</v>
      </c>
      <c r="N144" s="4">
        <v>6.5</v>
      </c>
      <c r="O144" s="4">
        <f ca="1">IFERROR(__xludf.DUMMYFUNCTION("IF(Cost_in_dollars!E144=""USD"",Cost_in_dollars!B144,Cost_in_dollars!B144 * GOOGLEFINANCE(""CURRENCY:"" &amp; Cost_in_dollars!E144 &amp; ""USD""))
"),15000000)</f>
        <v>15000000</v>
      </c>
      <c r="P144" s="4">
        <f ca="1">IFERROR(__xludf.DUMMYFUNCTION("IF(Cost_in_dollars!E144=""USD"",Cost_in_dollars!C144,Cost_in_dollars!C144 * GOOGLEFINANCE(""CURRENCY:"" &amp; Cost_in_dollars!E144 &amp; ""USD""))
"),42919096)</f>
        <v>42919096</v>
      </c>
      <c r="Q144" s="4">
        <f t="shared" ca="1" si="0"/>
        <v>27919096</v>
      </c>
      <c r="R144" s="5" t="str">
        <f t="shared" si="1"/>
        <v>Snitch</v>
      </c>
      <c r="S144" s="43" t="str">
        <f t="shared" si="4"/>
        <v>Action</v>
      </c>
    </row>
    <row r="145" spans="1:19" ht="15.75" customHeight="1" x14ac:dyDescent="0.25">
      <c r="A145" s="6" t="s">
        <v>668</v>
      </c>
      <c r="B145" s="6">
        <v>29</v>
      </c>
      <c r="C145" s="6">
        <v>2921738</v>
      </c>
      <c r="D145" s="6" t="s">
        <v>669</v>
      </c>
      <c r="E145" s="6" t="s">
        <v>670</v>
      </c>
      <c r="F145" s="6" t="s">
        <v>671</v>
      </c>
      <c r="G145" s="6">
        <v>34449</v>
      </c>
      <c r="H145" s="6" t="s">
        <v>672</v>
      </c>
      <c r="I145" s="6">
        <v>119</v>
      </c>
      <c r="J145" s="6" t="s">
        <v>673</v>
      </c>
      <c r="K145" s="6" t="s">
        <v>674</v>
      </c>
      <c r="L145" s="6">
        <v>7000000</v>
      </c>
      <c r="M145" s="6">
        <v>2004</v>
      </c>
      <c r="N145" s="6">
        <v>7.9</v>
      </c>
      <c r="O145" s="4">
        <f ca="1">IFERROR(__xludf.DUMMYFUNCTION("IF(Cost_in_dollars!E145=""USD"",Cost_in_dollars!B145,Cost_in_dollars!B145 * GOOGLEFINANCE(""CURRENCY:"" &amp; Cost_in_dollars!E145 &amp; ""USD""))
"),83590.22)</f>
        <v>83590.22</v>
      </c>
      <c r="P145" s="4">
        <f ca="1">IFERROR(__xludf.DUMMYFUNCTION("IF(Cost_in_dollars!E145=""USD"",Cost_in_dollars!C145,Cost_in_dollars!C145 * GOOGLEFINANCE(""CURRENCY:"" &amp; Cost_in_dollars!E145 &amp; ""USD""))
"),34889.81745748)</f>
        <v>34889.81745748</v>
      </c>
      <c r="Q145" s="6">
        <f t="shared" ca="1" si="0"/>
        <v>-48700.402542520002</v>
      </c>
      <c r="R145" s="7" t="str">
        <f t="shared" si="1"/>
        <v>Veer-Zaara</v>
      </c>
      <c r="S145" s="43" t="str">
        <f t="shared" si="4"/>
        <v>Drama</v>
      </c>
    </row>
    <row r="146" spans="1:19" ht="15.75" customHeight="1" x14ac:dyDescent="0.25">
      <c r="A146" s="4" t="s">
        <v>675</v>
      </c>
      <c r="B146" s="4">
        <v>96</v>
      </c>
      <c r="C146" s="4">
        <v>95860116</v>
      </c>
      <c r="D146" s="4" t="s">
        <v>457</v>
      </c>
      <c r="E146" s="4" t="s">
        <v>676</v>
      </c>
      <c r="F146" s="4" t="s">
        <v>677</v>
      </c>
      <c r="G146" s="4">
        <v>277451</v>
      </c>
      <c r="H146" s="4" t="s">
        <v>678</v>
      </c>
      <c r="I146" s="4">
        <v>491</v>
      </c>
      <c r="J146" s="4" t="s">
        <v>23</v>
      </c>
      <c r="K146" s="4" t="s">
        <v>24</v>
      </c>
      <c r="L146" s="4">
        <v>16400000</v>
      </c>
      <c r="M146" s="4">
        <v>1989</v>
      </c>
      <c r="N146" s="4">
        <v>8</v>
      </c>
      <c r="O146" s="4">
        <f ca="1">IFERROR(__xludf.DUMMYFUNCTION("IF(Cost_in_dollars!E146=""USD"",Cost_in_dollars!B146,Cost_in_dollars!B146 * GOOGLEFINANCE(""CURRENCY:"" &amp; Cost_in_dollars!E146 &amp; ""USD""))
"),16400000)</f>
        <v>16400000</v>
      </c>
      <c r="P146" s="4">
        <f ca="1">IFERROR(__xludf.DUMMYFUNCTION("IF(Cost_in_dollars!E146=""USD"",Cost_in_dollars!C146,Cost_in_dollars!C146 * GOOGLEFINANCE(""CURRENCY:"" &amp; Cost_in_dollars!E146 &amp; ""USD""))
"),95860116)</f>
        <v>95860116</v>
      </c>
      <c r="Q146" s="4">
        <f t="shared" ca="1" si="0"/>
        <v>79460116</v>
      </c>
      <c r="R146" s="5" t="str">
        <f t="shared" si="1"/>
        <v>Dead Poets Society</v>
      </c>
      <c r="S146" s="43" t="str">
        <f t="shared" si="4"/>
        <v>Comedy</v>
      </c>
    </row>
    <row r="147" spans="1:19" ht="15.75" customHeight="1" x14ac:dyDescent="0.25">
      <c r="A147" s="6" t="s">
        <v>679</v>
      </c>
      <c r="B147" s="6">
        <v>107</v>
      </c>
      <c r="C147" s="6">
        <v>16991902</v>
      </c>
      <c r="D147" s="6" t="s">
        <v>421</v>
      </c>
      <c r="E147" s="6" t="s">
        <v>604</v>
      </c>
      <c r="F147" s="6" t="s">
        <v>680</v>
      </c>
      <c r="G147" s="6">
        <v>34592</v>
      </c>
      <c r="H147" s="6" t="s">
        <v>681</v>
      </c>
      <c r="I147" s="6">
        <v>191</v>
      </c>
      <c r="J147" s="6" t="s">
        <v>23</v>
      </c>
      <c r="K147" s="6" t="s">
        <v>24</v>
      </c>
      <c r="L147" s="6">
        <v>57000000</v>
      </c>
      <c r="M147" s="6">
        <v>2001</v>
      </c>
      <c r="N147" s="6">
        <v>6.2</v>
      </c>
      <c r="O147" s="4">
        <f ca="1">IFERROR(__xludf.DUMMYFUNCTION("IF(Cost_in_dollars!E147=""USD"",Cost_in_dollars!B147,Cost_in_dollars!B147 * GOOGLEFINANCE(""CURRENCY:"" &amp; Cost_in_dollars!E147 &amp; ""USD""))
"),57000000)</f>
        <v>57000000</v>
      </c>
      <c r="P147" s="4">
        <f ca="1">IFERROR(__xludf.DUMMYFUNCTION("IF(Cost_in_dollars!E147=""USD"",Cost_in_dollars!C147,Cost_in_dollars!C147 * GOOGLEFINANCE(""CURRENCY:"" &amp; Cost_in_dollars!E147 &amp; ""USD""))
"),16991902)</f>
        <v>16991902</v>
      </c>
      <c r="Q147" s="6">
        <f t="shared" ca="1" si="0"/>
        <v>-40008098</v>
      </c>
      <c r="R147" s="7" t="str">
        <f t="shared" si="1"/>
        <v>Rock Star</v>
      </c>
      <c r="S147" s="43" t="str">
        <f t="shared" si="4"/>
        <v>Drama</v>
      </c>
    </row>
    <row r="148" spans="1:19" ht="15.75" customHeight="1" x14ac:dyDescent="0.25">
      <c r="A148" s="4" t="s">
        <v>638</v>
      </c>
      <c r="B148" s="4">
        <v>388</v>
      </c>
      <c r="C148" s="4">
        <v>79883359</v>
      </c>
      <c r="D148" s="4" t="s">
        <v>682</v>
      </c>
      <c r="E148" s="4" t="s">
        <v>683</v>
      </c>
      <c r="F148" s="4" t="s">
        <v>684</v>
      </c>
      <c r="G148" s="4">
        <v>116159</v>
      </c>
      <c r="H148" s="4" t="s">
        <v>685</v>
      </c>
      <c r="I148" s="4">
        <v>488</v>
      </c>
      <c r="J148" s="4" t="s">
        <v>23</v>
      </c>
      <c r="K148" s="4" t="s">
        <v>24</v>
      </c>
      <c r="L148" s="4">
        <v>66000000</v>
      </c>
      <c r="M148" s="4">
        <v>2011</v>
      </c>
      <c r="N148" s="4">
        <v>7.2</v>
      </c>
      <c r="O148" s="4">
        <f ca="1">IFERROR(__xludf.DUMMYFUNCTION("IF(Cost_in_dollars!E148=""USD"",Cost_in_dollars!B148,Cost_in_dollars!B148 * GOOGLEFINANCE(""CURRENCY:"" &amp; Cost_in_dollars!E148 &amp; ""USD""))
"),66000000)</f>
        <v>66000000</v>
      </c>
      <c r="P148" s="4">
        <f ca="1">IFERROR(__xludf.DUMMYFUNCTION("IF(Cost_in_dollars!E148=""USD"",Cost_in_dollars!C148,Cost_in_dollars!C148 * GOOGLEFINANCE(""CURRENCY:"" &amp; Cost_in_dollars!E148 &amp; ""USD""))
"),79883359)</f>
        <v>79883359</v>
      </c>
      <c r="Q148" s="4">
        <f t="shared" ca="1" si="0"/>
        <v>13883359</v>
      </c>
      <c r="R148" s="5" t="str">
        <f t="shared" si="1"/>
        <v>War Horse</v>
      </c>
      <c r="S148" s="43" t="str">
        <f t="shared" si="4"/>
        <v>Drama</v>
      </c>
    </row>
    <row r="149" spans="1:19" ht="15.75" customHeight="1" x14ac:dyDescent="0.25">
      <c r="A149" s="6" t="s">
        <v>101</v>
      </c>
      <c r="B149" s="6">
        <v>60</v>
      </c>
      <c r="C149" s="6">
        <v>1420578</v>
      </c>
      <c r="D149" s="6" t="s">
        <v>686</v>
      </c>
      <c r="E149" s="6" t="s">
        <v>687</v>
      </c>
      <c r="F149" s="6" t="s">
        <v>688</v>
      </c>
      <c r="G149" s="6">
        <v>4894</v>
      </c>
      <c r="H149" s="6" t="s">
        <v>689</v>
      </c>
      <c r="I149" s="6">
        <v>122</v>
      </c>
      <c r="J149" s="6" t="s">
        <v>23</v>
      </c>
      <c r="K149" s="6" t="s">
        <v>24</v>
      </c>
      <c r="L149" s="6">
        <v>1900000</v>
      </c>
      <c r="M149" s="6">
        <v>2003</v>
      </c>
      <c r="N149" s="6">
        <v>6.4</v>
      </c>
      <c r="O149" s="4">
        <f ca="1">IFERROR(__xludf.DUMMYFUNCTION("IF(Cost_in_dollars!E149=""USD"",Cost_in_dollars!B149,Cost_in_dollars!B149 * GOOGLEFINANCE(""CURRENCY:"" &amp; Cost_in_dollars!E149 &amp; ""USD""))
"),1900000)</f>
        <v>1900000</v>
      </c>
      <c r="P149" s="4">
        <f ca="1">IFERROR(__xludf.DUMMYFUNCTION("IF(Cost_in_dollars!E149=""USD"",Cost_in_dollars!C149,Cost_in_dollars!C149 * GOOGLEFINANCE(""CURRENCY:"" &amp; Cost_in_dollars!E149 &amp; ""USD""))
"),1420578)</f>
        <v>1420578</v>
      </c>
      <c r="Q149" s="6">
        <f t="shared" ca="1" si="0"/>
        <v>-479422</v>
      </c>
      <c r="R149" s="7" t="str">
        <f t="shared" si="1"/>
        <v>Northfork</v>
      </c>
      <c r="S149" s="43" t="str">
        <f t="shared" si="4"/>
        <v>Drama</v>
      </c>
    </row>
    <row r="150" spans="1:19" ht="15.75" customHeight="1" x14ac:dyDescent="0.25">
      <c r="A150" s="4" t="s">
        <v>690</v>
      </c>
      <c r="B150" s="4">
        <v>131</v>
      </c>
      <c r="C150" s="4">
        <v>59068786</v>
      </c>
      <c r="D150" s="4" t="s">
        <v>691</v>
      </c>
      <c r="E150" s="4" t="s">
        <v>692</v>
      </c>
      <c r="F150" s="4" t="s">
        <v>693</v>
      </c>
      <c r="G150" s="4">
        <v>86902</v>
      </c>
      <c r="H150" s="4" t="s">
        <v>694</v>
      </c>
      <c r="I150" s="4">
        <v>411</v>
      </c>
      <c r="J150" s="4" t="s">
        <v>23</v>
      </c>
      <c r="K150" s="4" t="s">
        <v>24</v>
      </c>
      <c r="L150" s="4">
        <v>40000000</v>
      </c>
      <c r="M150" s="4">
        <v>2001</v>
      </c>
      <c r="N150" s="4">
        <v>6.4</v>
      </c>
      <c r="O150" s="4">
        <f ca="1">IFERROR(__xludf.DUMMYFUNCTION("IF(Cost_in_dollars!E150=""USD"",Cost_in_dollars!B150,Cost_in_dollars!B150 * GOOGLEFINANCE(""CURRENCY:"" &amp; Cost_in_dollars!E150 &amp; ""USD""))
"),40000000)</f>
        <v>40000000</v>
      </c>
      <c r="P150" s="4">
        <f ca="1">IFERROR(__xludf.DUMMYFUNCTION("IF(Cost_in_dollars!E150=""USD"",Cost_in_dollars!C150,Cost_in_dollars!C150 * GOOGLEFINANCE(""CURRENCY:"" &amp; Cost_in_dollars!E150 &amp; ""USD""))
"),59068786)</f>
        <v>59068786</v>
      </c>
      <c r="Q150" s="4">
        <f t="shared" ca="1" si="0"/>
        <v>19068786</v>
      </c>
      <c r="R150" s="5" t="str">
        <f t="shared" si="1"/>
        <v>Behind Enemy Lines</v>
      </c>
      <c r="S150" s="43" t="str">
        <f t="shared" si="4"/>
        <v>Action</v>
      </c>
    </row>
    <row r="151" spans="1:19" ht="15.75" customHeight="1" x14ac:dyDescent="0.25">
      <c r="A151" s="6" t="s">
        <v>695</v>
      </c>
      <c r="B151" s="6">
        <v>27</v>
      </c>
      <c r="C151" s="6">
        <v>22294341</v>
      </c>
      <c r="D151" s="6" t="s">
        <v>696</v>
      </c>
      <c r="E151" s="6" t="s">
        <v>697</v>
      </c>
      <c r="F151" s="6" t="s">
        <v>698</v>
      </c>
      <c r="G151" s="6">
        <v>12278</v>
      </c>
      <c r="H151" s="6" t="s">
        <v>699</v>
      </c>
      <c r="I151" s="6">
        <v>71</v>
      </c>
      <c r="J151" s="6" t="s">
        <v>23</v>
      </c>
      <c r="K151" s="6" t="s">
        <v>24</v>
      </c>
      <c r="L151" s="6">
        <v>21500000</v>
      </c>
      <c r="M151" s="6">
        <v>1996</v>
      </c>
      <c r="N151" s="6">
        <v>6.5</v>
      </c>
      <c r="O151" s="4">
        <f ca="1">IFERROR(__xludf.DUMMYFUNCTION("IF(Cost_in_dollars!E151=""USD"",Cost_in_dollars!B151,Cost_in_dollars!B151 * GOOGLEFINANCE(""CURRENCY:"" &amp; Cost_in_dollars!E151 &amp; ""USD""))
"),21500000)</f>
        <v>21500000</v>
      </c>
      <c r="P151" s="4">
        <f ca="1">IFERROR(__xludf.DUMMYFUNCTION("IF(Cost_in_dollars!E151=""USD"",Cost_in_dollars!C151,Cost_in_dollars!C151 * GOOGLEFINANCE(""CURRENCY:"" &amp; Cost_in_dollars!E151 &amp; ""USD""))
"),22294341)</f>
        <v>22294341</v>
      </c>
      <c r="Q151" s="6">
        <f t="shared" ca="1" si="0"/>
        <v>794341</v>
      </c>
      <c r="R151" s="7" t="str">
        <f t="shared" si="1"/>
        <v>My Fellow Americans</v>
      </c>
      <c r="S151" s="43" t="str">
        <f t="shared" si="4"/>
        <v>Adventure</v>
      </c>
    </row>
    <row r="152" spans="1:19" ht="15.75" customHeight="1" x14ac:dyDescent="0.25">
      <c r="A152" s="4" t="s">
        <v>700</v>
      </c>
      <c r="B152" s="4">
        <v>50</v>
      </c>
      <c r="C152" s="4">
        <v>9795017</v>
      </c>
      <c r="D152" s="4" t="s">
        <v>116</v>
      </c>
      <c r="E152" s="4" t="s">
        <v>189</v>
      </c>
      <c r="F152" s="4" t="s">
        <v>701</v>
      </c>
      <c r="G152" s="4">
        <v>9227</v>
      </c>
      <c r="H152" s="4" t="s">
        <v>702</v>
      </c>
      <c r="I152" s="4">
        <v>70</v>
      </c>
      <c r="J152" s="4" t="s">
        <v>23</v>
      </c>
      <c r="K152" s="4" t="s">
        <v>24</v>
      </c>
      <c r="L152" s="4">
        <v>50000000</v>
      </c>
      <c r="M152" s="4">
        <v>1995</v>
      </c>
      <c r="N152" s="4">
        <v>5.0999999999999996</v>
      </c>
      <c r="O152" s="4">
        <f ca="1">IFERROR(__xludf.DUMMYFUNCTION("IF(Cost_in_dollars!E152=""USD"",Cost_in_dollars!B152,Cost_in_dollars!B152 * GOOGLEFINANCE(""CURRENCY:"" &amp; Cost_in_dollars!E152 &amp; ""USD""))
"),50000000)</f>
        <v>50000000</v>
      </c>
      <c r="P152" s="4">
        <f ca="1">IFERROR(__xludf.DUMMYFUNCTION("IF(Cost_in_dollars!E152=""USD"",Cost_in_dollars!C152,Cost_in_dollars!C152 * GOOGLEFINANCE(""CURRENCY:"" &amp; Cost_in_dollars!E152 &amp; ""USD""))
"),9795017)</f>
        <v>9795017</v>
      </c>
      <c r="Q152" s="4">
        <f t="shared" ca="1" si="0"/>
        <v>-40204983</v>
      </c>
      <c r="R152" s="5" t="str">
        <f t="shared" si="1"/>
        <v>Jade</v>
      </c>
      <c r="S152" s="43" t="str">
        <f t="shared" si="4"/>
        <v>Crime</v>
      </c>
    </row>
    <row r="153" spans="1:19" ht="15.75" customHeight="1" x14ac:dyDescent="0.25">
      <c r="A153" s="6" t="s">
        <v>703</v>
      </c>
      <c r="B153" s="6">
        <v>58</v>
      </c>
      <c r="C153" s="6">
        <v>15361537</v>
      </c>
      <c r="D153" s="6" t="s">
        <v>155</v>
      </c>
      <c r="E153" s="6" t="s">
        <v>704</v>
      </c>
      <c r="F153" s="6" t="s">
        <v>705</v>
      </c>
      <c r="G153" s="6">
        <v>12263</v>
      </c>
      <c r="H153" s="6" t="s">
        <v>706</v>
      </c>
      <c r="I153" s="6">
        <v>132</v>
      </c>
      <c r="J153" s="6" t="s">
        <v>23</v>
      </c>
      <c r="K153" s="6" t="s">
        <v>176</v>
      </c>
      <c r="L153" s="6">
        <v>13000000</v>
      </c>
      <c r="M153" s="6">
        <v>2002</v>
      </c>
      <c r="N153" s="6">
        <v>4.5999999999999996</v>
      </c>
      <c r="O153" s="4">
        <f ca="1">IFERROR(__xludf.DUMMYFUNCTION("IF(Cost_in_dollars!E153=""USD"",Cost_in_dollars!B153,Cost_in_dollars!B153 * GOOGLEFINANCE(""CURRENCY:"" &amp; Cost_in_dollars!E153 &amp; ""USD""))
"),14101620)</f>
        <v>14101620</v>
      </c>
      <c r="P153" s="4">
        <f ca="1">IFERROR(__xludf.DUMMYFUNCTION("IF(Cost_in_dollars!E153=""USD"",Cost_in_dollars!C153,Cost_in_dollars!C153 * GOOGLEFINANCE(""CURRENCY:"" &amp; Cost_in_dollars!E153 &amp; ""USD""))
"),16663273.64538)</f>
        <v>16663273.64538</v>
      </c>
      <c r="Q153" s="6">
        <f t="shared" ca="1" si="0"/>
        <v>2561653.6453799997</v>
      </c>
      <c r="R153" s="7" t="str">
        <f t="shared" si="1"/>
        <v>Half Past Dead</v>
      </c>
      <c r="S153" s="43" t="str">
        <f t="shared" si="4"/>
        <v>Action</v>
      </c>
    </row>
    <row r="154" spans="1:19" ht="15.75" customHeight="1" x14ac:dyDescent="0.25">
      <c r="A154" s="4" t="s">
        <v>318</v>
      </c>
      <c r="B154" s="4">
        <v>111</v>
      </c>
      <c r="C154" s="4">
        <v>3193102</v>
      </c>
      <c r="D154" s="4" t="s">
        <v>438</v>
      </c>
      <c r="E154" s="4" t="s">
        <v>707</v>
      </c>
      <c r="F154" s="4" t="s">
        <v>708</v>
      </c>
      <c r="G154" s="4">
        <v>24412</v>
      </c>
      <c r="H154" s="4" t="s">
        <v>709</v>
      </c>
      <c r="I154" s="4">
        <v>240</v>
      </c>
      <c r="J154" s="4" t="s">
        <v>23</v>
      </c>
      <c r="K154" s="4" t="s">
        <v>24</v>
      </c>
      <c r="L154" s="4">
        <v>9000000</v>
      </c>
      <c r="M154" s="4">
        <v>1999</v>
      </c>
      <c r="N154" s="4">
        <v>7.1</v>
      </c>
      <c r="O154" s="4">
        <f ca="1">IFERROR(__xludf.DUMMYFUNCTION("IF(Cost_in_dollars!E154=""USD"",Cost_in_dollars!B154,Cost_in_dollars!B154 * GOOGLEFINANCE(""CURRENCY:"" &amp; Cost_in_dollars!E154 &amp; ""USD""))
"),9000000)</f>
        <v>9000000</v>
      </c>
      <c r="P154" s="4">
        <f ca="1">IFERROR(__xludf.DUMMYFUNCTION("IF(Cost_in_dollars!E154=""USD"",Cost_in_dollars!C154,Cost_in_dollars!C154 * GOOGLEFINANCE(""CURRENCY:"" &amp; Cost_in_dollars!E154 &amp; ""USD""))
"),3193102)</f>
        <v>3193102</v>
      </c>
      <c r="Q154" s="4">
        <f t="shared" ca="1" si="0"/>
        <v>-5806898</v>
      </c>
      <c r="R154" s="5" t="str">
        <f t="shared" si="1"/>
        <v>The Limey</v>
      </c>
      <c r="S154" s="43" t="str">
        <f t="shared" si="4"/>
        <v>Crime</v>
      </c>
    </row>
    <row r="155" spans="1:19" ht="15.75" customHeight="1" x14ac:dyDescent="0.25">
      <c r="A155" s="6" t="s">
        <v>710</v>
      </c>
      <c r="B155" s="6">
        <v>479</v>
      </c>
      <c r="C155" s="6">
        <v>138795342</v>
      </c>
      <c r="D155" s="6" t="s">
        <v>68</v>
      </c>
      <c r="E155" s="6" t="s">
        <v>545</v>
      </c>
      <c r="F155" s="6" t="s">
        <v>711</v>
      </c>
      <c r="G155" s="6">
        <v>503631</v>
      </c>
      <c r="H155" s="6" t="s">
        <v>712</v>
      </c>
      <c r="I155" s="6">
        <v>636</v>
      </c>
      <c r="J155" s="6" t="s">
        <v>23</v>
      </c>
      <c r="K155" s="6" t="s">
        <v>133</v>
      </c>
      <c r="L155" s="6">
        <v>15000000</v>
      </c>
      <c r="M155" s="6">
        <v>2010</v>
      </c>
      <c r="N155" s="6">
        <v>8</v>
      </c>
      <c r="O155" s="4">
        <f ca="1">IFERROR(__xludf.DUMMYFUNCTION("IF(Cost_in_dollars!E155=""USD"",Cost_in_dollars!B155,Cost_in_dollars!B155 * GOOGLEFINANCE(""CURRENCY:"" &amp; Cost_in_dollars!E155 &amp; ""USD""))
"),19281000)</f>
        <v>19281000</v>
      </c>
      <c r="P155" s="4">
        <f ca="1">IFERROR(__xludf.DUMMYFUNCTION("IF(Cost_in_dollars!E155=""USD"",Cost_in_dollars!C155,Cost_in_dollars!C155 * GOOGLEFINANCE(""CURRENCY:"" &amp; Cost_in_dollars!E155 &amp; ""USD""))
"),178407532.6068)</f>
        <v>178407532.60679999</v>
      </c>
      <c r="Q155" s="6">
        <f t="shared" ca="1" si="0"/>
        <v>159126532.60679999</v>
      </c>
      <c r="R155" s="7" t="str">
        <f t="shared" si="1"/>
        <v>The King's Speech</v>
      </c>
      <c r="S155" s="43" t="str">
        <f t="shared" si="4"/>
        <v>Biography</v>
      </c>
    </row>
    <row r="156" spans="1:19" ht="15.75" customHeight="1" x14ac:dyDescent="0.25">
      <c r="A156" s="4" t="s">
        <v>713</v>
      </c>
      <c r="B156" s="4">
        <v>110</v>
      </c>
      <c r="C156" s="4">
        <v>30199105</v>
      </c>
      <c r="D156" s="4" t="s">
        <v>714</v>
      </c>
      <c r="E156" s="4" t="s">
        <v>189</v>
      </c>
      <c r="F156" s="4" t="s">
        <v>715</v>
      </c>
      <c r="G156" s="4">
        <v>25346</v>
      </c>
      <c r="H156" s="4" t="s">
        <v>716</v>
      </c>
      <c r="I156" s="4">
        <v>167</v>
      </c>
      <c r="J156" s="4" t="s">
        <v>23</v>
      </c>
      <c r="K156" s="4" t="s">
        <v>24</v>
      </c>
      <c r="L156" s="4">
        <v>40000000</v>
      </c>
      <c r="M156" s="4">
        <v>2000</v>
      </c>
      <c r="N156" s="4">
        <v>5.7</v>
      </c>
      <c r="O156" s="4">
        <f ca="1">IFERROR(__xludf.DUMMYFUNCTION("IF(Cost_in_dollars!E156=""USD"",Cost_in_dollars!B156,Cost_in_dollars!B156 * GOOGLEFINANCE(""CURRENCY:"" &amp; Cost_in_dollars!E156 &amp; ""USD""))
"),40000000)</f>
        <v>40000000</v>
      </c>
      <c r="P156" s="4">
        <f ca="1">IFERROR(__xludf.DUMMYFUNCTION("IF(Cost_in_dollars!E156=""USD"",Cost_in_dollars!C156,Cost_in_dollars!C156 * GOOGLEFINANCE(""CURRENCY:"" &amp; Cost_in_dollars!E156 &amp; ""USD""))
"),30199105)</f>
        <v>30199105</v>
      </c>
      <c r="Q156" s="4">
        <f t="shared" ca="1" si="0"/>
        <v>-9800895</v>
      </c>
      <c r="R156" s="5" t="str">
        <f t="shared" si="1"/>
        <v>The Art of War</v>
      </c>
      <c r="S156" s="43" t="str">
        <f t="shared" si="4"/>
        <v>Action</v>
      </c>
    </row>
    <row r="157" spans="1:19" ht="15.75" customHeight="1" x14ac:dyDescent="0.25">
      <c r="A157" s="6" t="s">
        <v>717</v>
      </c>
      <c r="B157" s="6">
        <v>84</v>
      </c>
      <c r="C157" s="6">
        <v>73000942</v>
      </c>
      <c r="D157" s="6" t="s">
        <v>718</v>
      </c>
      <c r="E157" s="6" t="s">
        <v>719</v>
      </c>
      <c r="F157" s="6" t="s">
        <v>720</v>
      </c>
      <c r="G157" s="6">
        <v>74351</v>
      </c>
      <c r="H157" s="6" t="s">
        <v>721</v>
      </c>
      <c r="I157" s="6">
        <v>233</v>
      </c>
      <c r="J157" s="6" t="s">
        <v>23</v>
      </c>
      <c r="K157" s="6" t="s">
        <v>24</v>
      </c>
      <c r="L157" s="6">
        <v>13000000</v>
      </c>
      <c r="M157" s="6">
        <v>2011</v>
      </c>
      <c r="N157" s="6">
        <v>1.6</v>
      </c>
      <c r="O157" s="4">
        <f ca="1">IFERROR(__xludf.DUMMYFUNCTION("IF(Cost_in_dollars!E157=""USD"",Cost_in_dollars!B157,Cost_in_dollars!B157 * GOOGLEFINANCE(""CURRENCY:"" &amp; Cost_in_dollars!E157 &amp; ""USD""))
"),13000000)</f>
        <v>13000000</v>
      </c>
      <c r="P157" s="4">
        <f ca="1">IFERROR(__xludf.DUMMYFUNCTION("IF(Cost_in_dollars!E157=""USD"",Cost_in_dollars!C157,Cost_in_dollars!C157 * GOOGLEFINANCE(""CURRENCY:"" &amp; Cost_in_dollars!E157 &amp; ""USD""))
"),73000942)</f>
        <v>73000942</v>
      </c>
      <c r="Q157" s="6">
        <f t="shared" ca="1" si="0"/>
        <v>60000942</v>
      </c>
      <c r="R157" s="7" t="str">
        <f t="shared" si="1"/>
        <v>Justin Bieber: Never Say Never</v>
      </c>
      <c r="S157" s="43" t="str">
        <f t="shared" si="4"/>
        <v>Documentary</v>
      </c>
    </row>
    <row r="158" spans="1:19" ht="15.75" customHeight="1" x14ac:dyDescent="0.25">
      <c r="A158" s="4" t="s">
        <v>722</v>
      </c>
      <c r="B158" s="4">
        <v>190</v>
      </c>
      <c r="C158" s="4">
        <v>73661010</v>
      </c>
      <c r="D158" s="4" t="s">
        <v>723</v>
      </c>
      <c r="E158" s="4" t="s">
        <v>456</v>
      </c>
      <c r="F158" s="4" t="s">
        <v>724</v>
      </c>
      <c r="G158" s="4">
        <v>71137</v>
      </c>
      <c r="H158" s="4" t="s">
        <v>725</v>
      </c>
      <c r="I158" s="4">
        <v>229</v>
      </c>
      <c r="J158" s="4" t="s">
        <v>23</v>
      </c>
      <c r="K158" s="4" t="s">
        <v>24</v>
      </c>
      <c r="L158" s="4">
        <v>75000000</v>
      </c>
      <c r="M158" s="4">
        <v>2006</v>
      </c>
      <c r="N158" s="4">
        <v>6.6</v>
      </c>
      <c r="O158" s="4">
        <f ca="1">IFERROR(__xludf.DUMMYFUNCTION("IF(Cost_in_dollars!E158=""USD"",Cost_in_dollars!B158,Cost_in_dollars!B158 * GOOGLEFINANCE(""CURRENCY:"" &amp; Cost_in_dollars!E158 &amp; ""USD""))
"),75000000)</f>
        <v>75000000</v>
      </c>
      <c r="P158" s="4">
        <f ca="1">IFERROR(__xludf.DUMMYFUNCTION("IF(Cost_in_dollars!E158=""USD"",Cost_in_dollars!C158,Cost_in_dollars!C158 * GOOGLEFINANCE(""CURRENCY:"" &amp; Cost_in_dollars!E158 &amp; ""USD""))
"),73661010)</f>
        <v>73661010</v>
      </c>
      <c r="Q158" s="4">
        <f t="shared" ca="1" si="0"/>
        <v>-1338990</v>
      </c>
      <c r="R158" s="5" t="str">
        <f t="shared" si="1"/>
        <v>Monster House</v>
      </c>
      <c r="S158" s="43" t="str">
        <f t="shared" si="4"/>
        <v>Animation</v>
      </c>
    </row>
    <row r="159" spans="1:19" ht="15.75" customHeight="1" x14ac:dyDescent="0.25">
      <c r="A159" s="6" t="s">
        <v>726</v>
      </c>
      <c r="B159" s="6">
        <v>154</v>
      </c>
      <c r="C159" s="6">
        <v>40064955</v>
      </c>
      <c r="D159" s="6" t="s">
        <v>727</v>
      </c>
      <c r="E159" s="6" t="s">
        <v>728</v>
      </c>
      <c r="F159" s="6" t="s">
        <v>729</v>
      </c>
      <c r="G159" s="6">
        <v>92074</v>
      </c>
      <c r="H159" s="6" t="s">
        <v>730</v>
      </c>
      <c r="I159" s="6">
        <v>502</v>
      </c>
      <c r="J159" s="6" t="s">
        <v>23</v>
      </c>
      <c r="K159" s="6" t="s">
        <v>24</v>
      </c>
      <c r="L159" s="6">
        <v>15000000</v>
      </c>
      <c r="M159" s="6">
        <v>1998</v>
      </c>
      <c r="N159" s="6">
        <v>6.4</v>
      </c>
      <c r="O159" s="4">
        <f ca="1">IFERROR(__xludf.DUMMYFUNCTION("IF(Cost_in_dollars!E159=""USD"",Cost_in_dollars!B159,Cost_in_dollars!B159 * GOOGLEFINANCE(""CURRENCY:"" &amp; Cost_in_dollars!E159 &amp; ""USD""))
"),15000000)</f>
        <v>15000000</v>
      </c>
      <c r="P159" s="4">
        <f ca="1">IFERROR(__xludf.DUMMYFUNCTION("IF(Cost_in_dollars!E159=""USD"",Cost_in_dollars!C159,Cost_in_dollars!C159 * GOOGLEFINANCE(""CURRENCY:"" &amp; Cost_in_dollars!E159 &amp; ""USD""))
"),40064955)</f>
        <v>40064955</v>
      </c>
      <c r="Q159" s="6">
        <f t="shared" ca="1" si="0"/>
        <v>25064955</v>
      </c>
      <c r="R159" s="7" t="str">
        <f t="shared" si="1"/>
        <v>The Faculty</v>
      </c>
      <c r="S159" s="43" t="str">
        <f t="shared" si="4"/>
        <v>Horror</v>
      </c>
    </row>
    <row r="160" spans="1:19" ht="15.75" customHeight="1" x14ac:dyDescent="0.25">
      <c r="A160" s="4" t="s">
        <v>731</v>
      </c>
      <c r="B160" s="4">
        <v>94</v>
      </c>
      <c r="C160" s="4">
        <v>9473382</v>
      </c>
      <c r="D160" s="4" t="s">
        <v>732</v>
      </c>
      <c r="E160" s="4" t="s">
        <v>733</v>
      </c>
      <c r="F160" s="4" t="s">
        <v>734</v>
      </c>
      <c r="G160" s="4">
        <v>26832</v>
      </c>
      <c r="H160" s="4" t="s">
        <v>735</v>
      </c>
      <c r="I160" s="4">
        <v>247</v>
      </c>
      <c r="J160" s="4" t="s">
        <v>661</v>
      </c>
      <c r="K160" s="4" t="s">
        <v>627</v>
      </c>
      <c r="L160" s="4">
        <v>10000000</v>
      </c>
      <c r="M160" s="4">
        <v>1998</v>
      </c>
      <c r="N160" s="4">
        <v>7.7</v>
      </c>
      <c r="O160" s="4">
        <f ca="1">IFERROR(__xludf.DUMMYFUNCTION("IF(Cost_in_dollars!E160=""USD"",Cost_in_dollars!B160,Cost_in_dollars!B160 * GOOGLEFINANCE(""CURRENCY:"" &amp; Cost_in_dollars!E160 &amp; ""USD""))
"),7234050)</f>
        <v>7234050</v>
      </c>
      <c r="P160" s="4">
        <f ca="1">IFERROR(__xludf.DUMMYFUNCTION("IF(Cost_in_dollars!E160=""USD"",Cost_in_dollars!C160,Cost_in_dollars!C160 * GOOGLEFINANCE(""CURRENCY:"" &amp; Cost_in_dollars!E160 &amp; ""USD""))
"),6853091.90571)</f>
        <v>6853091.9057099996</v>
      </c>
      <c r="Q160" s="4">
        <f t="shared" ca="1" si="0"/>
        <v>-380958.09429000039</v>
      </c>
      <c r="R160" s="5" t="str">
        <f t="shared" si="1"/>
        <v>The Red Violin</v>
      </c>
      <c r="S160" s="43" t="str">
        <f t="shared" si="4"/>
        <v>Drama</v>
      </c>
    </row>
    <row r="161" spans="1:19" ht="15.75" customHeight="1" x14ac:dyDescent="0.25">
      <c r="A161" s="6" t="s">
        <v>736</v>
      </c>
      <c r="B161" s="6">
        <v>68</v>
      </c>
      <c r="C161" s="6">
        <v>17174870</v>
      </c>
      <c r="D161" s="6" t="s">
        <v>737</v>
      </c>
      <c r="E161" s="6" t="s">
        <v>738</v>
      </c>
      <c r="F161" s="6" t="s">
        <v>739</v>
      </c>
      <c r="G161" s="6">
        <v>15817</v>
      </c>
      <c r="H161" s="6" t="s">
        <v>740</v>
      </c>
      <c r="I161" s="6">
        <v>210</v>
      </c>
      <c r="J161" s="6" t="s">
        <v>23</v>
      </c>
      <c r="K161" s="6" t="s">
        <v>24</v>
      </c>
      <c r="L161" s="6">
        <v>18000000</v>
      </c>
      <c r="M161" s="6">
        <v>2000</v>
      </c>
      <c r="N161" s="6">
        <v>6.7</v>
      </c>
      <c r="O161" s="4">
        <f ca="1">IFERROR(__xludf.DUMMYFUNCTION("IF(Cost_in_dollars!E161=""USD"",Cost_in_dollars!B161,Cost_in_dollars!B161 * GOOGLEFINANCE(""CURRENCY:"" &amp; Cost_in_dollars!E161 &amp; ""USD""))
"),18000000)</f>
        <v>18000000</v>
      </c>
      <c r="P161" s="4">
        <f ca="1">IFERROR(__xludf.DUMMYFUNCTION("IF(Cost_in_dollars!E161=""USD"",Cost_in_dollars!C161,Cost_in_dollars!C161 * GOOGLEFINANCE(""CURRENCY:"" &amp; Cost_in_dollars!E161 &amp; ""USD""))
"),17174870)</f>
        <v>17174870</v>
      </c>
      <c r="Q161" s="6">
        <f t="shared" ca="1" si="0"/>
        <v>-825130</v>
      </c>
      <c r="R161" s="7" t="str">
        <f t="shared" si="1"/>
        <v>Center Stage</v>
      </c>
      <c r="S161" s="43" t="str">
        <f t="shared" si="4"/>
        <v>Drama</v>
      </c>
    </row>
    <row r="162" spans="1:19" ht="15.75" customHeight="1" x14ac:dyDescent="0.25">
      <c r="A162" s="4" t="s">
        <v>741</v>
      </c>
      <c r="B162" s="4">
        <v>69</v>
      </c>
      <c r="C162" s="4">
        <v>274299</v>
      </c>
      <c r="D162" s="4" t="s">
        <v>742</v>
      </c>
      <c r="E162" s="4" t="s">
        <v>743</v>
      </c>
      <c r="F162" s="4" t="s">
        <v>744</v>
      </c>
      <c r="G162" s="4">
        <v>11077</v>
      </c>
      <c r="H162" s="4" t="s">
        <v>745</v>
      </c>
      <c r="I162" s="4">
        <v>55</v>
      </c>
      <c r="J162" s="4" t="s">
        <v>23</v>
      </c>
      <c r="K162" s="4" t="s">
        <v>611</v>
      </c>
      <c r="L162" s="4">
        <v>103000000</v>
      </c>
      <c r="M162" s="4">
        <v>2002</v>
      </c>
      <c r="N162" s="4">
        <v>7.3</v>
      </c>
      <c r="O162" s="4">
        <f ca="1">IFERROR(__xludf.DUMMYFUNCTION("IF(Cost_in_dollars!E162=""USD"",Cost_in_dollars!B162,Cost_in_dollars!B162 * GOOGLEFINANCE(""CURRENCY:"" &amp; Cost_in_dollars!E162 &amp; ""USD""))
"),111728220)</f>
        <v>111728220</v>
      </c>
      <c r="P162" s="4">
        <f ca="1">IFERROR(__xludf.DUMMYFUNCTION("IF(Cost_in_dollars!E162=""USD"",Cost_in_dollars!C162,Cost_in_dollars!C162 * GOOGLEFINANCE(""CURRENCY:"" &amp; Cost_in_dollars!E162 &amp; ""USD""))
"),297543.09726)</f>
        <v>297543.09726000001</v>
      </c>
      <c r="Q162" s="4">
        <f t="shared" ca="1" si="0"/>
        <v>-111430676.90274</v>
      </c>
      <c r="R162" s="5" t="str">
        <f t="shared" si="1"/>
        <v>Amen.</v>
      </c>
      <c r="S162" s="43" t="str">
        <f t="shared" si="4"/>
        <v>Biography</v>
      </c>
    </row>
    <row r="163" spans="1:19" ht="15.75" customHeight="1" x14ac:dyDescent="0.25">
      <c r="A163" s="6" t="s">
        <v>746</v>
      </c>
      <c r="B163" s="6">
        <v>78</v>
      </c>
      <c r="C163" s="6">
        <v>17010646</v>
      </c>
      <c r="D163" s="6" t="s">
        <v>517</v>
      </c>
      <c r="E163" s="6" t="s">
        <v>747</v>
      </c>
      <c r="F163" s="6" t="s">
        <v>748</v>
      </c>
      <c r="G163" s="6">
        <v>40751</v>
      </c>
      <c r="H163" s="6" t="s">
        <v>749</v>
      </c>
      <c r="I163" s="6">
        <v>239</v>
      </c>
      <c r="J163" s="6" t="s">
        <v>23</v>
      </c>
      <c r="K163" s="6" t="s">
        <v>24</v>
      </c>
      <c r="L163" s="6">
        <v>84000000</v>
      </c>
      <c r="M163" s="6">
        <v>2005</v>
      </c>
      <c r="N163" s="6">
        <v>2.2000000000000002</v>
      </c>
      <c r="O163" s="4">
        <f ca="1">IFERROR(__xludf.DUMMYFUNCTION("IF(Cost_in_dollars!E163=""USD"",Cost_in_dollars!B163,Cost_in_dollars!B163 * GOOGLEFINANCE(""CURRENCY:"" &amp; Cost_in_dollars!E163 &amp; ""USD""))
"),84000000)</f>
        <v>84000000</v>
      </c>
      <c r="P163" s="4">
        <f ca="1">IFERROR(__xludf.DUMMYFUNCTION("IF(Cost_in_dollars!E163=""USD"",Cost_in_dollars!C163,Cost_in_dollars!C163 * GOOGLEFINANCE(""CURRENCY:"" &amp; Cost_in_dollars!E163 &amp; ""USD""))
"),17010646)</f>
        <v>17010646</v>
      </c>
      <c r="Q163" s="6">
        <f t="shared" ca="1" si="0"/>
        <v>-66989354</v>
      </c>
      <c r="R163" s="7" t="str">
        <f t="shared" si="1"/>
        <v>Son of the Mask</v>
      </c>
      <c r="S163" s="43" t="str">
        <f t="shared" si="4"/>
        <v>Comedy</v>
      </c>
    </row>
    <row r="164" spans="1:19" ht="15.75" customHeight="1" x14ac:dyDescent="0.25">
      <c r="A164" s="4" t="s">
        <v>750</v>
      </c>
      <c r="B164" s="4">
        <v>21</v>
      </c>
      <c r="C164" s="4">
        <v>1953732</v>
      </c>
      <c r="D164" s="4" t="s">
        <v>751</v>
      </c>
      <c r="E164" s="4" t="s">
        <v>752</v>
      </c>
      <c r="F164" s="4" t="s">
        <v>753</v>
      </c>
      <c r="G164" s="4">
        <v>4996</v>
      </c>
      <c r="H164" s="4" t="s">
        <v>754</v>
      </c>
      <c r="I164" s="4">
        <v>62</v>
      </c>
      <c r="J164" s="4" t="s">
        <v>23</v>
      </c>
      <c r="K164" s="4" t="s">
        <v>24</v>
      </c>
      <c r="L164" s="4">
        <v>15000000</v>
      </c>
      <c r="M164" s="4">
        <v>1986</v>
      </c>
      <c r="N164" s="4">
        <v>5.3</v>
      </c>
      <c r="O164" s="4">
        <f ca="1">IFERROR(__xludf.DUMMYFUNCTION("IF(Cost_in_dollars!E164=""USD"",Cost_in_dollars!B164,Cost_in_dollars!B164 * GOOGLEFINANCE(""CURRENCY:"" &amp; Cost_in_dollars!E164 &amp; ""USD""))
"),15000000)</f>
        <v>15000000</v>
      </c>
      <c r="P164" s="4">
        <f ca="1">IFERROR(__xludf.DUMMYFUNCTION("IF(Cost_in_dollars!E164=""USD"",Cost_in_dollars!C164,Cost_in_dollars!C164 * GOOGLEFINANCE(""CURRENCY:"" &amp; Cost_in_dollars!E164 &amp; ""USD""))
"),1953732)</f>
        <v>1953732</v>
      </c>
      <c r="Q164" s="4">
        <f t="shared" ca="1" si="0"/>
        <v>-13046268</v>
      </c>
      <c r="R164" s="5" t="str">
        <f t="shared" si="1"/>
        <v>The Clan of the Cave Bear</v>
      </c>
      <c r="S164" s="43" t="str">
        <f t="shared" si="4"/>
        <v>Adventure</v>
      </c>
    </row>
    <row r="165" spans="1:19" ht="15.75" customHeight="1" x14ac:dyDescent="0.25">
      <c r="A165" s="6" t="s">
        <v>755</v>
      </c>
      <c r="B165" s="6">
        <v>117</v>
      </c>
      <c r="C165" s="6">
        <v>38966057</v>
      </c>
      <c r="D165" s="6" t="s">
        <v>457</v>
      </c>
      <c r="E165" s="6" t="s">
        <v>756</v>
      </c>
      <c r="F165" s="6" t="s">
        <v>757</v>
      </c>
      <c r="G165" s="6">
        <v>23940</v>
      </c>
      <c r="H165" s="6" t="s">
        <v>758</v>
      </c>
      <c r="I165" s="6">
        <v>157</v>
      </c>
      <c r="J165" s="6" t="s">
        <v>23</v>
      </c>
      <c r="K165" s="6" t="s">
        <v>611</v>
      </c>
      <c r="L165" s="6">
        <v>65000000</v>
      </c>
      <c r="M165" s="6">
        <v>1998</v>
      </c>
      <c r="N165" s="6">
        <v>6.7</v>
      </c>
      <c r="O165" s="4">
        <f ca="1">IFERROR(__xludf.DUMMYFUNCTION("IF(Cost_in_dollars!E165=""USD"",Cost_in_dollars!B165,Cost_in_dollars!B165 * GOOGLEFINANCE(""CURRENCY:"" &amp; Cost_in_dollars!E165 &amp; ""USD""))
"),70508100)</f>
        <v>70508100</v>
      </c>
      <c r="P165" s="4">
        <f ca="1">IFERROR(__xludf.DUMMYFUNCTION("IF(Cost_in_dollars!E165=""USD"",Cost_in_dollars!C165,Cost_in_dollars!C165 * GOOGLEFINANCE(""CURRENCY:"" &amp; Cost_in_dollars!E165 &amp; ""USD""))
"),42268040.67018)</f>
        <v>42268040.67018</v>
      </c>
      <c r="Q165" s="6">
        <f t="shared" ca="1" si="0"/>
        <v>-28240059.32982</v>
      </c>
      <c r="R165" s="7" t="str">
        <f t="shared" si="1"/>
        <v>Primary Colors</v>
      </c>
      <c r="S165" s="43" t="str">
        <f t="shared" si="4"/>
        <v>Comedy</v>
      </c>
    </row>
    <row r="166" spans="1:19" ht="15.75" customHeight="1" x14ac:dyDescent="0.25">
      <c r="A166" s="4" t="s">
        <v>759</v>
      </c>
      <c r="B166" s="4">
        <v>80</v>
      </c>
      <c r="C166" s="4">
        <v>41227069</v>
      </c>
      <c r="D166" s="4" t="s">
        <v>235</v>
      </c>
      <c r="E166" s="4" t="s">
        <v>760</v>
      </c>
      <c r="F166" s="4" t="s">
        <v>761</v>
      </c>
      <c r="G166" s="4">
        <v>162701</v>
      </c>
      <c r="H166" s="4" t="s">
        <v>762</v>
      </c>
      <c r="I166" s="4">
        <v>962</v>
      </c>
      <c r="J166" s="4" t="s">
        <v>23</v>
      </c>
      <c r="K166" s="4" t="s">
        <v>24</v>
      </c>
      <c r="L166" s="4">
        <v>11000000</v>
      </c>
      <c r="M166" s="4">
        <v>2002</v>
      </c>
      <c r="N166" s="4">
        <v>7.4</v>
      </c>
      <c r="O166" s="4">
        <f ca="1">IFERROR(__xludf.DUMMYFUNCTION("IF(Cost_in_dollars!E166=""USD"",Cost_in_dollars!B166,Cost_in_dollars!B166 * GOOGLEFINANCE(""CURRENCY:"" &amp; Cost_in_dollars!E166 &amp; ""USD""))
"),11000000)</f>
        <v>11000000</v>
      </c>
      <c r="P166" s="4">
        <f ca="1">IFERROR(__xludf.DUMMYFUNCTION("IF(Cost_in_dollars!E166=""USD"",Cost_in_dollars!C166,Cost_in_dollars!C166 * GOOGLEFINANCE(""CURRENCY:"" &amp; Cost_in_dollars!E166 &amp; ""USD""))
"),41227069)</f>
        <v>41227069</v>
      </c>
      <c r="Q166" s="4">
        <f t="shared" ca="1" si="0"/>
        <v>30227069</v>
      </c>
      <c r="R166" s="5" t="str">
        <f t="shared" si="1"/>
        <v>A Walk to Remember</v>
      </c>
      <c r="S166" s="43" t="str">
        <f t="shared" si="4"/>
        <v>Drama</v>
      </c>
    </row>
    <row r="167" spans="1:19" ht="15.75" customHeight="1" x14ac:dyDescent="0.25">
      <c r="A167" s="6" t="s">
        <v>763</v>
      </c>
      <c r="B167" s="6">
        <v>163</v>
      </c>
      <c r="C167" s="6">
        <v>16640210</v>
      </c>
      <c r="D167" s="6" t="s">
        <v>372</v>
      </c>
      <c r="E167" s="6" t="s">
        <v>461</v>
      </c>
      <c r="F167" s="6" t="s">
        <v>764</v>
      </c>
      <c r="G167" s="6">
        <v>53028</v>
      </c>
      <c r="H167" s="6" t="s">
        <v>765</v>
      </c>
      <c r="I167" s="6">
        <v>382</v>
      </c>
      <c r="J167" s="6" t="s">
        <v>23</v>
      </c>
      <c r="K167" s="6" t="s">
        <v>24</v>
      </c>
      <c r="L167" s="6">
        <v>55000000</v>
      </c>
      <c r="M167" s="6">
        <v>1999</v>
      </c>
      <c r="N167" s="6">
        <v>6.8</v>
      </c>
      <c r="O167" s="4">
        <f ca="1">IFERROR(__xludf.DUMMYFUNCTION("IF(Cost_in_dollars!E167=""USD"",Cost_in_dollars!B167,Cost_in_dollars!B167 * GOOGLEFINANCE(""CURRENCY:"" &amp; Cost_in_dollars!E167 &amp; ""USD""))
"),55000000)</f>
        <v>55000000</v>
      </c>
      <c r="P167" s="4">
        <f ca="1">IFERROR(__xludf.DUMMYFUNCTION("IF(Cost_in_dollars!E167=""USD"",Cost_in_dollars!C167,Cost_in_dollars!C167 * GOOGLEFINANCE(""CURRENCY:"" &amp; Cost_in_dollars!E167 &amp; ""USD""))
"),16640210)</f>
        <v>16640210</v>
      </c>
      <c r="Q167" s="6">
        <f t="shared" ca="1" si="0"/>
        <v>-38359790</v>
      </c>
      <c r="R167" s="7" t="str">
        <f t="shared" si="1"/>
        <v>Bringing Out the Dead</v>
      </c>
      <c r="S167" s="43" t="str">
        <f t="shared" si="4"/>
        <v>Drama</v>
      </c>
    </row>
    <row r="168" spans="1:19" ht="15.75" customHeight="1" x14ac:dyDescent="0.25">
      <c r="A168" s="4" t="s">
        <v>766</v>
      </c>
      <c r="B168" s="4">
        <v>143</v>
      </c>
      <c r="C168" s="4">
        <v>10911750</v>
      </c>
      <c r="D168" s="4" t="s">
        <v>682</v>
      </c>
      <c r="E168" s="4" t="s">
        <v>767</v>
      </c>
      <c r="F168" s="4" t="s">
        <v>768</v>
      </c>
      <c r="G168" s="4">
        <v>17757</v>
      </c>
      <c r="H168" s="4" t="s">
        <v>769</v>
      </c>
      <c r="I168" s="4">
        <v>99</v>
      </c>
      <c r="J168" s="4" t="s">
        <v>23</v>
      </c>
      <c r="K168" s="4" t="s">
        <v>24</v>
      </c>
      <c r="L168" s="4">
        <v>25000000</v>
      </c>
      <c r="M168" s="4">
        <v>2008</v>
      </c>
      <c r="N168" s="4">
        <v>6.5</v>
      </c>
      <c r="O168" s="4">
        <f ca="1">IFERROR(__xludf.DUMMYFUNCTION("IF(Cost_in_dollars!E168=""USD"",Cost_in_dollars!B168,Cost_in_dollars!B168 * GOOGLEFINANCE(""CURRENCY:"" &amp; Cost_in_dollars!E168 &amp; ""USD""))
"),25000000)</f>
        <v>25000000</v>
      </c>
      <c r="P168" s="4">
        <f ca="1">IFERROR(__xludf.DUMMYFUNCTION("IF(Cost_in_dollars!E168=""USD"",Cost_in_dollars!C168,Cost_in_dollars!C168 * GOOGLEFINANCE(""CURRENCY:"" &amp; Cost_in_dollars!E168 &amp; ""USD""))
"),10911750)</f>
        <v>10911750</v>
      </c>
      <c r="Q168" s="4">
        <f t="shared" ca="1" si="0"/>
        <v>-14088250</v>
      </c>
      <c r="R168" s="5" t="str">
        <f t="shared" si="1"/>
        <v>Stop-Loss</v>
      </c>
      <c r="S168" s="43" t="str">
        <f t="shared" si="4"/>
        <v>Drama</v>
      </c>
    </row>
    <row r="169" spans="1:19" ht="15.75" customHeight="1" x14ac:dyDescent="0.25">
      <c r="A169" s="6" t="s">
        <v>770</v>
      </c>
      <c r="B169" s="6">
        <v>154</v>
      </c>
      <c r="C169" s="6">
        <v>19661987</v>
      </c>
      <c r="D169" s="6" t="s">
        <v>102</v>
      </c>
      <c r="E169" s="6" t="s">
        <v>619</v>
      </c>
      <c r="F169" s="6" t="s">
        <v>771</v>
      </c>
      <c r="G169" s="6">
        <v>83786</v>
      </c>
      <c r="H169" s="6" t="s">
        <v>772</v>
      </c>
      <c r="I169" s="6">
        <v>231</v>
      </c>
      <c r="J169" s="6" t="s">
        <v>23</v>
      </c>
      <c r="K169" s="6" t="s">
        <v>24</v>
      </c>
      <c r="L169" s="6">
        <v>20000000</v>
      </c>
      <c r="M169" s="6">
        <v>2007</v>
      </c>
      <c r="N169" s="6">
        <v>7.5</v>
      </c>
      <c r="O169" s="4">
        <f ca="1">IFERROR(__xludf.DUMMYFUNCTION("IF(Cost_in_dollars!E169=""USD"",Cost_in_dollars!B169,Cost_in_dollars!B169 * GOOGLEFINANCE(""CURRENCY:"" &amp; Cost_in_dollars!E169 &amp; ""USD""))
"),20000000)</f>
        <v>20000000</v>
      </c>
      <c r="P169" s="4">
        <f ca="1">IFERROR(__xludf.DUMMYFUNCTION("IF(Cost_in_dollars!E169=""USD"",Cost_in_dollars!C169,Cost_in_dollars!C169 * GOOGLEFINANCE(""CURRENCY:"" &amp; Cost_in_dollars!E169 &amp; ""USD""))
"),19661987)</f>
        <v>19661987</v>
      </c>
      <c r="Q169" s="6">
        <f t="shared" ca="1" si="0"/>
        <v>-338013</v>
      </c>
      <c r="R169" s="7" t="str">
        <f t="shared" si="1"/>
        <v>Reign Over Me</v>
      </c>
      <c r="S169" s="43" t="str">
        <f t="shared" si="4"/>
        <v>Drama</v>
      </c>
    </row>
    <row r="170" spans="1:19" ht="15.75" customHeight="1" x14ac:dyDescent="0.25">
      <c r="A170" s="4" t="s">
        <v>773</v>
      </c>
      <c r="B170" s="4">
        <v>492</v>
      </c>
      <c r="C170" s="4">
        <v>58607007</v>
      </c>
      <c r="D170" s="4" t="s">
        <v>774</v>
      </c>
      <c r="E170" s="4" t="s">
        <v>775</v>
      </c>
      <c r="F170" s="4" t="s">
        <v>776</v>
      </c>
      <c r="G170" s="4">
        <v>182899</v>
      </c>
      <c r="H170" s="4" t="s">
        <v>777</v>
      </c>
      <c r="I170" s="4">
        <v>630</v>
      </c>
      <c r="J170" s="4" t="s">
        <v>23</v>
      </c>
      <c r="K170" s="4" t="s">
        <v>24</v>
      </c>
      <c r="L170" s="4">
        <v>100000000</v>
      </c>
      <c r="M170" s="4">
        <v>2014</v>
      </c>
      <c r="N170" s="4">
        <v>6.2</v>
      </c>
      <c r="O170" s="4">
        <f ca="1">IFERROR(__xludf.DUMMYFUNCTION("IF(Cost_in_dollars!E170=""USD"",Cost_in_dollars!B170,Cost_in_dollars!B170 * GOOGLEFINANCE(""CURRENCY:"" &amp; Cost_in_dollars!E170 &amp; ""USD""))
"),100000000)</f>
        <v>100000000</v>
      </c>
      <c r="P170" s="4">
        <f ca="1">IFERROR(__xludf.DUMMYFUNCTION("IF(Cost_in_dollars!E170=""USD"",Cost_in_dollars!C170,Cost_in_dollars!C170 * GOOGLEFINANCE(""CURRENCY:"" &amp; Cost_in_dollars!E170 &amp; ""USD""))
"),58607007)</f>
        <v>58607007</v>
      </c>
      <c r="Q170" s="4">
        <f t="shared" ca="1" si="0"/>
        <v>-41392993</v>
      </c>
      <c r="R170" s="5" t="str">
        <f t="shared" si="1"/>
        <v>RoboCop</v>
      </c>
      <c r="S170" s="43" t="str">
        <f t="shared" si="4"/>
        <v>Action</v>
      </c>
    </row>
    <row r="171" spans="1:19" ht="15.75" customHeight="1" x14ac:dyDescent="0.25">
      <c r="A171" s="6" t="s">
        <v>778</v>
      </c>
      <c r="B171" s="6">
        <v>459</v>
      </c>
      <c r="C171" s="6">
        <v>150832203</v>
      </c>
      <c r="D171" s="6" t="s">
        <v>779</v>
      </c>
      <c r="E171" s="6" t="s">
        <v>780</v>
      </c>
      <c r="F171" s="6" t="s">
        <v>781</v>
      </c>
      <c r="G171" s="6">
        <v>341058</v>
      </c>
      <c r="H171" s="6" t="s">
        <v>782</v>
      </c>
      <c r="I171" s="6">
        <v>713</v>
      </c>
      <c r="J171" s="6" t="s">
        <v>23</v>
      </c>
      <c r="K171" s="6" t="s">
        <v>24</v>
      </c>
      <c r="L171" s="6">
        <v>85000000</v>
      </c>
      <c r="M171" s="6">
        <v>2014</v>
      </c>
      <c r="N171" s="6">
        <v>6.7</v>
      </c>
      <c r="O171" s="4">
        <f ca="1">IFERROR(__xludf.DUMMYFUNCTION("IF(Cost_in_dollars!E171=""USD"",Cost_in_dollars!B171,Cost_in_dollars!B171 * GOOGLEFINANCE(""CURRENCY:"" &amp; Cost_in_dollars!E171 &amp; ""USD""))
"),85000000)</f>
        <v>85000000</v>
      </c>
      <c r="P171" s="4">
        <f ca="1">IFERROR(__xludf.DUMMYFUNCTION("IF(Cost_in_dollars!E171=""USD"",Cost_in_dollars!C171,Cost_in_dollars!C171 * GOOGLEFINANCE(""CURRENCY:"" &amp; Cost_in_dollars!E171 &amp; ""USD""))
"),150832203)</f>
        <v>150832203</v>
      </c>
      <c r="Q171" s="6">
        <f t="shared" ca="1" si="0"/>
        <v>65832203</v>
      </c>
      <c r="R171" s="7" t="str">
        <f t="shared" si="1"/>
        <v>Divergent</v>
      </c>
      <c r="S171" s="43" t="str">
        <f t="shared" si="4"/>
        <v>Adventure</v>
      </c>
    </row>
    <row r="172" spans="1:19" ht="15.75" customHeight="1" x14ac:dyDescent="0.25">
      <c r="A172" s="4" t="s">
        <v>638</v>
      </c>
      <c r="B172" s="4">
        <v>219</v>
      </c>
      <c r="C172" s="4">
        <v>216119491</v>
      </c>
      <c r="D172" s="4" t="s">
        <v>406</v>
      </c>
      <c r="E172" s="4" t="s">
        <v>464</v>
      </c>
      <c r="F172" s="4" t="s">
        <v>783</v>
      </c>
      <c r="G172" s="4">
        <v>881236</v>
      </c>
      <c r="H172" s="4" t="s">
        <v>784</v>
      </c>
      <c r="I172" s="4">
        <v>2277</v>
      </c>
      <c r="J172" s="4" t="s">
        <v>23</v>
      </c>
      <c r="K172" s="4" t="s">
        <v>24</v>
      </c>
      <c r="L172" s="4">
        <v>70000000</v>
      </c>
      <c r="M172" s="4">
        <v>1998</v>
      </c>
      <c r="N172" s="4">
        <v>8.6</v>
      </c>
      <c r="O172" s="4">
        <f ca="1">IFERROR(__xludf.DUMMYFUNCTION("IF(Cost_in_dollars!E172=""USD"",Cost_in_dollars!B172,Cost_in_dollars!B172 * GOOGLEFINANCE(""CURRENCY:"" &amp; Cost_in_dollars!E172 &amp; ""USD""))
"),70000000)</f>
        <v>70000000</v>
      </c>
      <c r="P172" s="4">
        <f ca="1">IFERROR(__xludf.DUMMYFUNCTION("IF(Cost_in_dollars!E172=""USD"",Cost_in_dollars!C172,Cost_in_dollars!C172 * GOOGLEFINANCE(""CURRENCY:"" &amp; Cost_in_dollars!E172 &amp; ""USD""))
"),216119491)</f>
        <v>216119491</v>
      </c>
      <c r="Q172" s="4">
        <f t="shared" ca="1" si="0"/>
        <v>146119491</v>
      </c>
      <c r="R172" s="5" t="str">
        <f t="shared" si="1"/>
        <v>Saving Private Ryan</v>
      </c>
      <c r="S172" s="43" t="str">
        <f t="shared" si="4"/>
        <v>Action</v>
      </c>
    </row>
    <row r="173" spans="1:19" ht="15.75" customHeight="1" x14ac:dyDescent="0.25">
      <c r="A173" s="6" t="s">
        <v>785</v>
      </c>
      <c r="B173" s="6">
        <v>32</v>
      </c>
      <c r="C173" s="6">
        <v>29200000</v>
      </c>
      <c r="D173" s="6" t="s">
        <v>737</v>
      </c>
      <c r="E173" s="6" t="s">
        <v>786</v>
      </c>
      <c r="F173" s="6" t="s">
        <v>787</v>
      </c>
      <c r="G173" s="6">
        <v>6142</v>
      </c>
      <c r="H173" s="6" t="s">
        <v>788</v>
      </c>
      <c r="I173" s="6">
        <v>52</v>
      </c>
      <c r="J173" s="6" t="s">
        <v>23</v>
      </c>
      <c r="K173" s="6" t="s">
        <v>24</v>
      </c>
      <c r="L173" s="6">
        <v>8500000</v>
      </c>
      <c r="M173" s="6">
        <v>1979</v>
      </c>
      <c r="N173" s="6">
        <v>6.9</v>
      </c>
      <c r="O173" s="4">
        <f ca="1">IFERROR(__xludf.DUMMYFUNCTION("IF(Cost_in_dollars!E173=""USD"",Cost_in_dollars!B173,Cost_in_dollars!B173 * GOOGLEFINANCE(""CURRENCY:"" &amp; Cost_in_dollars!E173 &amp; ""USD""))
"),8500000)</f>
        <v>8500000</v>
      </c>
      <c r="P173" s="4">
        <f ca="1">IFERROR(__xludf.DUMMYFUNCTION("IF(Cost_in_dollars!E173=""USD"",Cost_in_dollars!C173,Cost_in_dollars!C173 * GOOGLEFINANCE(""CURRENCY:"" &amp; Cost_in_dollars!E173 &amp; ""USD""))
"),29200000)</f>
        <v>29200000</v>
      </c>
      <c r="Q173" s="6">
        <f t="shared" ca="1" si="0"/>
        <v>20700000</v>
      </c>
      <c r="R173" s="7" t="str">
        <f t="shared" si="1"/>
        <v>The Rose</v>
      </c>
      <c r="S173" s="43" t="str">
        <f t="shared" si="4"/>
        <v>Drama</v>
      </c>
    </row>
    <row r="174" spans="1:19" ht="15.75" customHeight="1" x14ac:dyDescent="0.25">
      <c r="A174" s="4" t="s">
        <v>789</v>
      </c>
      <c r="B174" s="4">
        <v>22</v>
      </c>
      <c r="C174" s="4">
        <v>2580</v>
      </c>
      <c r="D174" s="4" t="s">
        <v>78</v>
      </c>
      <c r="E174" s="4" t="s">
        <v>645</v>
      </c>
      <c r="F174" s="4" t="s">
        <v>790</v>
      </c>
      <c r="G174" s="4">
        <v>1618</v>
      </c>
      <c r="H174" s="4" t="s">
        <v>791</v>
      </c>
      <c r="I174" s="4">
        <v>40</v>
      </c>
      <c r="J174" s="4" t="s">
        <v>23</v>
      </c>
      <c r="K174" s="4" t="s">
        <v>24</v>
      </c>
      <c r="L174" s="4">
        <v>1650000</v>
      </c>
      <c r="M174" s="4">
        <v>2003</v>
      </c>
      <c r="N174" s="4">
        <v>5.4</v>
      </c>
      <c r="O174" s="4">
        <f ca="1">IFERROR(__xludf.DUMMYFUNCTION("IF(Cost_in_dollars!E174=""USD"",Cost_in_dollars!B174,Cost_in_dollars!B174 * GOOGLEFINANCE(""CURRENCY:"" &amp; Cost_in_dollars!E174 &amp; ""USD""))
"),1650000)</f>
        <v>1650000</v>
      </c>
      <c r="P174" s="4">
        <f ca="1">IFERROR(__xludf.DUMMYFUNCTION("IF(Cost_in_dollars!E174=""USD"",Cost_in_dollars!C174,Cost_in_dollars!C174 * GOOGLEFINANCE(""CURRENCY:"" &amp; Cost_in_dollars!E174 &amp; ""USD""))
"),2580)</f>
        <v>2580</v>
      </c>
      <c r="Q174" s="4">
        <f t="shared" ca="1" si="0"/>
        <v>-1647420</v>
      </c>
      <c r="R174" s="5" t="str">
        <f t="shared" si="1"/>
        <v>I Love Your Work</v>
      </c>
      <c r="S174" s="43" t="str">
        <f t="shared" si="4"/>
        <v>Drama</v>
      </c>
    </row>
    <row r="175" spans="1:19" ht="15.75" customHeight="1" x14ac:dyDescent="0.25">
      <c r="A175" s="6" t="s">
        <v>792</v>
      </c>
      <c r="B175" s="6">
        <v>45</v>
      </c>
      <c r="C175" s="6">
        <v>20218</v>
      </c>
      <c r="D175" s="6" t="s">
        <v>793</v>
      </c>
      <c r="E175" s="6" t="s">
        <v>794</v>
      </c>
      <c r="F175" s="6" t="s">
        <v>795</v>
      </c>
      <c r="G175" s="6">
        <v>5431</v>
      </c>
      <c r="H175" s="6" t="s">
        <v>796</v>
      </c>
      <c r="I175" s="6">
        <v>50</v>
      </c>
      <c r="J175" s="6" t="s">
        <v>23</v>
      </c>
      <c r="K175" s="6" t="s">
        <v>24</v>
      </c>
      <c r="L175" s="6">
        <v>24000000</v>
      </c>
      <c r="M175" s="6">
        <v>2001</v>
      </c>
      <c r="N175" s="6">
        <v>5.3</v>
      </c>
      <c r="O175" s="4">
        <f ca="1">IFERROR(__xludf.DUMMYFUNCTION("IF(Cost_in_dollars!E175=""USD"",Cost_in_dollars!B175,Cost_in_dollars!B175 * GOOGLEFINANCE(""CURRENCY:"" &amp; Cost_in_dollars!E175 &amp; ""USD""))
"),24000000)</f>
        <v>24000000</v>
      </c>
      <c r="P175" s="4">
        <f ca="1">IFERROR(__xludf.DUMMYFUNCTION("IF(Cost_in_dollars!E175=""USD"",Cost_in_dollars!C175,Cost_in_dollars!C175 * GOOGLEFINANCE(""CURRENCY:"" &amp; Cost_in_dollars!E175 &amp; ""USD""))
"),20218)</f>
        <v>20218</v>
      </c>
      <c r="Q175" s="6">
        <f t="shared" ca="1" si="0"/>
        <v>-23979782</v>
      </c>
      <c r="R175" s="7" t="str">
        <f t="shared" si="1"/>
        <v>Double Take</v>
      </c>
      <c r="S175" s="43" t="str">
        <f t="shared" si="4"/>
        <v>Action</v>
      </c>
    </row>
    <row r="176" spans="1:19" ht="15.75" customHeight="1" x14ac:dyDescent="0.25">
      <c r="A176" s="4" t="s">
        <v>717</v>
      </c>
      <c r="B176" s="4">
        <v>351</v>
      </c>
      <c r="C176" s="4">
        <v>122512052</v>
      </c>
      <c r="D176" s="4" t="s">
        <v>797</v>
      </c>
      <c r="E176" s="4" t="s">
        <v>179</v>
      </c>
      <c r="F176" s="4" t="s">
        <v>798</v>
      </c>
      <c r="G176" s="4">
        <v>146352</v>
      </c>
      <c r="H176" s="4" t="s">
        <v>799</v>
      </c>
      <c r="I176" s="4">
        <v>288</v>
      </c>
      <c r="J176" s="4" t="s">
        <v>23</v>
      </c>
      <c r="K176" s="4" t="s">
        <v>24</v>
      </c>
      <c r="L176" s="4">
        <v>130000000</v>
      </c>
      <c r="M176" s="4">
        <v>2013</v>
      </c>
      <c r="N176" s="4">
        <v>5.8</v>
      </c>
      <c r="O176" s="4">
        <f ca="1">IFERROR(__xludf.DUMMYFUNCTION("IF(Cost_in_dollars!E176=""USD"",Cost_in_dollars!B176,Cost_in_dollars!B176 * GOOGLEFINANCE(""CURRENCY:"" &amp; Cost_in_dollars!E176 &amp; ""USD""))
"),130000000)</f>
        <v>130000000</v>
      </c>
      <c r="P176" s="4">
        <f ca="1">IFERROR(__xludf.DUMMYFUNCTION("IF(Cost_in_dollars!E176=""USD"",Cost_in_dollars!C176,Cost_in_dollars!C176 * GOOGLEFINANCE(""CURRENCY:"" &amp; Cost_in_dollars!E176 &amp; ""USD""))
"),122512052)</f>
        <v>122512052</v>
      </c>
      <c r="Q176" s="4">
        <f t="shared" ca="1" si="0"/>
        <v>-7487948</v>
      </c>
      <c r="R176" s="5" t="str">
        <f t="shared" si="1"/>
        <v>G.I. Joe: Retaliation</v>
      </c>
      <c r="S176" s="43" t="str">
        <f t="shared" si="4"/>
        <v>Action</v>
      </c>
    </row>
    <row r="177" spans="1:19" ht="15.75" customHeight="1" x14ac:dyDescent="0.25">
      <c r="A177" s="6" t="s">
        <v>800</v>
      </c>
      <c r="B177" s="6">
        <v>51</v>
      </c>
      <c r="C177" s="6">
        <v>8460990</v>
      </c>
      <c r="D177" s="6" t="s">
        <v>801</v>
      </c>
      <c r="E177" s="6" t="s">
        <v>802</v>
      </c>
      <c r="F177" s="6" t="s">
        <v>803</v>
      </c>
      <c r="G177" s="6">
        <v>5116</v>
      </c>
      <c r="H177" s="6" t="s">
        <v>804</v>
      </c>
      <c r="I177" s="6">
        <v>54</v>
      </c>
      <c r="J177" s="6" t="s">
        <v>23</v>
      </c>
      <c r="K177" s="6" t="s">
        <v>24</v>
      </c>
      <c r="L177" s="6">
        <v>70000000</v>
      </c>
      <c r="M177" s="6">
        <v>2013</v>
      </c>
      <c r="N177" s="6">
        <v>5.6</v>
      </c>
      <c r="O177" s="4">
        <f ca="1">IFERROR(__xludf.DUMMYFUNCTION("IF(Cost_in_dollars!E177=""USD"",Cost_in_dollars!B177,Cost_in_dollars!B177 * GOOGLEFINANCE(""CURRENCY:"" &amp; Cost_in_dollars!E177 &amp; ""USD""))
"),70000000)</f>
        <v>70000000</v>
      </c>
      <c r="P177" s="4">
        <f ca="1">IFERROR(__xludf.DUMMYFUNCTION("IF(Cost_in_dollars!E177=""USD"",Cost_in_dollars!C177,Cost_in_dollars!C177 * GOOGLEFINANCE(""CURRENCY:"" &amp; Cost_in_dollars!E177 &amp; ""USD""))
"),8460990)</f>
        <v>8460990</v>
      </c>
      <c r="Q177" s="6">
        <f t="shared" ca="1" si="0"/>
        <v>-61539010</v>
      </c>
      <c r="R177" s="7" t="str">
        <f t="shared" si="1"/>
        <v>Legends of Oz: Dorothy's Return</v>
      </c>
      <c r="S177" s="43" t="str">
        <f t="shared" si="4"/>
        <v>Adventure</v>
      </c>
    </row>
    <row r="178" spans="1:19" ht="15.75" customHeight="1" x14ac:dyDescent="0.25">
      <c r="A178" s="4" t="s">
        <v>37</v>
      </c>
      <c r="B178" s="4">
        <v>279</v>
      </c>
      <c r="C178" s="4">
        <v>33574332</v>
      </c>
      <c r="D178" s="4" t="s">
        <v>73</v>
      </c>
      <c r="E178" s="4" t="s">
        <v>805</v>
      </c>
      <c r="F178" s="4" t="s">
        <v>806</v>
      </c>
      <c r="G178" s="4">
        <v>101221</v>
      </c>
      <c r="H178" s="4" t="s">
        <v>807</v>
      </c>
      <c r="I178" s="4">
        <v>415</v>
      </c>
      <c r="J178" s="4" t="s">
        <v>23</v>
      </c>
      <c r="K178" s="4" t="s">
        <v>24</v>
      </c>
      <c r="L178" s="4">
        <v>90000000</v>
      </c>
      <c r="M178" s="4">
        <v>2006</v>
      </c>
      <c r="N178" s="4">
        <v>7.1</v>
      </c>
      <c r="O178" s="4">
        <f ca="1">IFERROR(__xludf.DUMMYFUNCTION("IF(Cost_in_dollars!E178=""USD"",Cost_in_dollars!B178,Cost_in_dollars!B178 * GOOGLEFINANCE(""CURRENCY:"" &amp; Cost_in_dollars!E178 &amp; ""USD""))
"),90000000)</f>
        <v>90000000</v>
      </c>
      <c r="P178" s="4">
        <f ca="1">IFERROR(__xludf.DUMMYFUNCTION("IF(Cost_in_dollars!E178=""USD"",Cost_in_dollars!C178,Cost_in_dollars!C178 * GOOGLEFINANCE(""CURRENCY:"" &amp; Cost_in_dollars!E178 &amp; ""USD""))
"),33574332)</f>
        <v>33574332</v>
      </c>
      <c r="Q178" s="4">
        <f t="shared" ca="1" si="0"/>
        <v>-56425668</v>
      </c>
      <c r="R178" s="5" t="str">
        <f t="shared" si="1"/>
        <v>Flags of Our Fathers</v>
      </c>
      <c r="S178" s="43" t="str">
        <f t="shared" si="4"/>
        <v>Drama</v>
      </c>
    </row>
    <row r="179" spans="1:19" ht="15.75" customHeight="1" x14ac:dyDescent="0.25">
      <c r="A179" s="6" t="s">
        <v>808</v>
      </c>
      <c r="B179" s="6">
        <v>110</v>
      </c>
      <c r="C179" s="6">
        <v>18208078</v>
      </c>
      <c r="D179" s="6" t="s">
        <v>178</v>
      </c>
      <c r="E179" s="6" t="s">
        <v>809</v>
      </c>
      <c r="F179" s="6" t="s">
        <v>810</v>
      </c>
      <c r="G179" s="6">
        <v>57100</v>
      </c>
      <c r="H179" s="6" t="s">
        <v>811</v>
      </c>
      <c r="I179" s="6">
        <v>281</v>
      </c>
      <c r="J179" s="6" t="s">
        <v>23</v>
      </c>
      <c r="K179" s="6" t="s">
        <v>24</v>
      </c>
      <c r="L179" s="6">
        <v>60000000</v>
      </c>
      <c r="M179" s="6">
        <v>2001</v>
      </c>
      <c r="N179" s="6">
        <v>6.9</v>
      </c>
      <c r="O179" s="4">
        <f ca="1">IFERROR(__xludf.DUMMYFUNCTION("IF(Cost_in_dollars!E179=""USD"",Cost_in_dollars!B179,Cost_in_dollars!B179 * GOOGLEFINANCE(""CURRENCY:"" &amp; Cost_in_dollars!E179 &amp; ""USD""))
"),60000000)</f>
        <v>60000000</v>
      </c>
      <c r="P179" s="4">
        <f ca="1">IFERROR(__xludf.DUMMYFUNCTION("IF(Cost_in_dollars!E179=""USD"",Cost_in_dollars!C179,Cost_in_dollars!C179 * GOOGLEFINANCE(""CURRENCY:"" &amp; Cost_in_dollars!E179 &amp; ""USD""))
"),18208078)</f>
        <v>18208078</v>
      </c>
      <c r="Q179" s="6">
        <f t="shared" ca="1" si="0"/>
        <v>-41791922</v>
      </c>
      <c r="R179" s="7" t="str">
        <f t="shared" si="1"/>
        <v>The Last Castle</v>
      </c>
      <c r="S179" s="43" t="str">
        <f t="shared" si="4"/>
        <v>Action</v>
      </c>
    </row>
    <row r="180" spans="1:19" ht="15.75" customHeight="1" x14ac:dyDescent="0.25">
      <c r="A180" s="4" t="s">
        <v>812</v>
      </c>
      <c r="B180" s="4">
        <v>106</v>
      </c>
      <c r="C180" s="4">
        <v>106869</v>
      </c>
      <c r="D180" s="4" t="s">
        <v>813</v>
      </c>
      <c r="E180" s="4" t="s">
        <v>814</v>
      </c>
      <c r="F180" s="4" t="s">
        <v>815</v>
      </c>
      <c r="G180" s="4">
        <v>13762</v>
      </c>
      <c r="H180" s="4" t="s">
        <v>816</v>
      </c>
      <c r="I180" s="4">
        <v>39</v>
      </c>
      <c r="J180" s="4" t="s">
        <v>23</v>
      </c>
      <c r="K180" s="4" t="s">
        <v>611</v>
      </c>
      <c r="L180" s="4">
        <v>17000000</v>
      </c>
      <c r="M180" s="4">
        <v>2014</v>
      </c>
      <c r="N180" s="4">
        <v>6.6</v>
      </c>
      <c r="O180" s="4">
        <f ca="1">IFERROR(__xludf.DUMMYFUNCTION("IF(Cost_in_dollars!E180=""USD"",Cost_in_dollars!B180,Cost_in_dollars!B180 * GOOGLEFINANCE(""CURRENCY:"" &amp; Cost_in_dollars!E180 &amp; ""USD""))
"),18440580)</f>
        <v>18440580</v>
      </c>
      <c r="P180" s="4">
        <f ca="1">IFERROR(__xludf.DUMMYFUNCTION("IF(Cost_in_dollars!E180=""USD"",Cost_in_dollars!C180,Cost_in_dollars!C180 * GOOGLEFINANCE(""CURRENCY:"" &amp; Cost_in_dollars!E180 &amp; ""USD""))
"),115925.07906)</f>
        <v>115925.07906</v>
      </c>
      <c r="Q180" s="4">
        <f t="shared" ca="1" si="0"/>
        <v>-18324654.920940001</v>
      </c>
      <c r="R180" s="5" t="str">
        <f t="shared" si="1"/>
        <v>Escobar: Paradise Lost</v>
      </c>
      <c r="S180" s="43" t="str">
        <f t="shared" si="4"/>
        <v>Crime</v>
      </c>
    </row>
    <row r="181" spans="1:19" ht="15.75" customHeight="1" x14ac:dyDescent="0.25">
      <c r="A181" s="6" t="s">
        <v>817</v>
      </c>
      <c r="B181" s="6">
        <v>320</v>
      </c>
      <c r="C181" s="6">
        <v>39292022</v>
      </c>
      <c r="D181" s="6" t="s">
        <v>477</v>
      </c>
      <c r="E181" s="6" t="s">
        <v>818</v>
      </c>
      <c r="F181" s="6" t="s">
        <v>819</v>
      </c>
      <c r="G181" s="6">
        <v>127258</v>
      </c>
      <c r="H181" s="6" t="s">
        <v>820</v>
      </c>
      <c r="I181" s="6">
        <v>351</v>
      </c>
      <c r="J181" s="6" t="s">
        <v>23</v>
      </c>
      <c r="K181" s="6" t="s">
        <v>24</v>
      </c>
      <c r="L181" s="6">
        <v>90000000</v>
      </c>
      <c r="M181" s="6">
        <v>2014</v>
      </c>
      <c r="N181" s="6">
        <v>6.1</v>
      </c>
      <c r="O181" s="4">
        <f ca="1">IFERROR(__xludf.DUMMYFUNCTION("IF(Cost_in_dollars!E181=""USD"",Cost_in_dollars!B181,Cost_in_dollars!B181 * GOOGLEFINANCE(""CURRENCY:"" &amp; Cost_in_dollars!E181 &amp; ""USD""))
"),90000000)</f>
        <v>90000000</v>
      </c>
      <c r="P181" s="4">
        <f ca="1">IFERROR(__xludf.DUMMYFUNCTION("IF(Cost_in_dollars!E181=""USD"",Cost_in_dollars!C181,Cost_in_dollars!C181 * GOOGLEFINANCE(""CURRENCY:"" &amp; Cost_in_dollars!E181 &amp; ""USD""))
"),39292022)</f>
        <v>39292022</v>
      </c>
      <c r="Q181" s="6">
        <f t="shared" ca="1" si="0"/>
        <v>-50707978</v>
      </c>
      <c r="R181" s="7" t="str">
        <f t="shared" si="1"/>
        <v>The Expendables 3</v>
      </c>
      <c r="S181" s="43" t="str">
        <f t="shared" si="4"/>
        <v>Action</v>
      </c>
    </row>
    <row r="182" spans="1:19" ht="15.75" customHeight="1" x14ac:dyDescent="0.25">
      <c r="A182" s="4" t="s">
        <v>821</v>
      </c>
      <c r="B182" s="4">
        <v>130</v>
      </c>
      <c r="C182" s="4">
        <v>1705139</v>
      </c>
      <c r="D182" s="4" t="s">
        <v>822</v>
      </c>
      <c r="E182" s="4" t="s">
        <v>823</v>
      </c>
      <c r="F182" s="4" t="s">
        <v>824</v>
      </c>
      <c r="G182" s="4">
        <v>4695</v>
      </c>
      <c r="H182" s="4" t="s">
        <v>825</v>
      </c>
      <c r="I182" s="4">
        <v>69</v>
      </c>
      <c r="J182" s="4" t="s">
        <v>23</v>
      </c>
      <c r="K182" s="4" t="s">
        <v>24</v>
      </c>
      <c r="L182" s="4">
        <v>4700000</v>
      </c>
      <c r="M182" s="4">
        <v>1988</v>
      </c>
      <c r="N182" s="4">
        <v>6.7</v>
      </c>
      <c r="O182" s="4">
        <f ca="1">IFERROR(__xludf.DUMMYFUNCTION("IF(Cost_in_dollars!E182=""USD"",Cost_in_dollars!B182,Cost_in_dollars!B182 * GOOGLEFINANCE(""CURRENCY:"" &amp; Cost_in_dollars!E182 &amp; ""USD""))
"),4700000)</f>
        <v>4700000</v>
      </c>
      <c r="P182" s="4">
        <f ca="1">IFERROR(__xludf.DUMMYFUNCTION("IF(Cost_in_dollars!E182=""USD"",Cost_in_dollars!C182,Cost_in_dollars!C182 * GOOGLEFINANCE(""CURRENCY:"" &amp; Cost_in_dollars!E182 &amp; ""USD""))
"),1705139)</f>
        <v>1705139</v>
      </c>
      <c r="Q182" s="4">
        <f t="shared" ca="1" si="0"/>
        <v>-2994861</v>
      </c>
      <c r="R182" s="5" t="str">
        <f t="shared" si="1"/>
        <v>Lady in White</v>
      </c>
      <c r="S182" s="43" t="str">
        <f t="shared" si="4"/>
        <v>Fantasy</v>
      </c>
    </row>
    <row r="183" spans="1:19" ht="15.75" customHeight="1" x14ac:dyDescent="0.25">
      <c r="A183" s="6" t="s">
        <v>826</v>
      </c>
      <c r="B183" s="6">
        <v>138</v>
      </c>
      <c r="C183" s="6">
        <v>87704396</v>
      </c>
      <c r="D183" s="6" t="s">
        <v>827</v>
      </c>
      <c r="E183" s="6" t="s">
        <v>828</v>
      </c>
      <c r="F183" s="6" t="s">
        <v>829</v>
      </c>
      <c r="G183" s="6">
        <v>88132</v>
      </c>
      <c r="H183" s="6" t="s">
        <v>830</v>
      </c>
      <c r="I183" s="6">
        <v>274</v>
      </c>
      <c r="J183" s="6" t="s">
        <v>23</v>
      </c>
      <c r="K183" s="6" t="s">
        <v>24</v>
      </c>
      <c r="L183" s="6">
        <v>66000000</v>
      </c>
      <c r="M183" s="6">
        <v>1999</v>
      </c>
      <c r="N183" s="6">
        <v>6.2</v>
      </c>
      <c r="O183" s="4">
        <f ca="1">IFERROR(__xludf.DUMMYFUNCTION("IF(Cost_in_dollars!E183=""USD"",Cost_in_dollars!B183,Cost_in_dollars!B183 * GOOGLEFINANCE(""CURRENCY:"" &amp; Cost_in_dollars!E183 &amp; ""USD""))
"),66000000)</f>
        <v>66000000</v>
      </c>
      <c r="P183" s="4">
        <f ca="1">IFERROR(__xludf.DUMMYFUNCTION("IF(Cost_in_dollars!E183=""USD"",Cost_in_dollars!C183,Cost_in_dollars!C183 * GOOGLEFINANCE(""CURRENCY:"" &amp; Cost_in_dollars!E183 &amp; ""USD""))
"),87704396)</f>
        <v>87704396</v>
      </c>
      <c r="Q183" s="6">
        <f t="shared" ca="1" si="0"/>
        <v>21704396</v>
      </c>
      <c r="R183" s="7" t="str">
        <f t="shared" si="1"/>
        <v>Entrapment</v>
      </c>
      <c r="S183" s="43" t="str">
        <f t="shared" si="4"/>
        <v>Action</v>
      </c>
    </row>
    <row r="184" spans="1:19" ht="15.75" customHeight="1" x14ac:dyDescent="0.25">
      <c r="A184" s="4" t="s">
        <v>831</v>
      </c>
      <c r="B184" s="4">
        <v>135</v>
      </c>
      <c r="C184" s="4">
        <v>13101142</v>
      </c>
      <c r="D184" s="4" t="s">
        <v>832</v>
      </c>
      <c r="E184" s="4" t="s">
        <v>833</v>
      </c>
      <c r="F184" s="4" t="s">
        <v>834</v>
      </c>
      <c r="G184" s="4">
        <v>23916</v>
      </c>
      <c r="H184" s="4" t="s">
        <v>835</v>
      </c>
      <c r="I184" s="4">
        <v>50</v>
      </c>
      <c r="J184" s="4" t="s">
        <v>23</v>
      </c>
      <c r="K184" s="4" t="s">
        <v>24</v>
      </c>
      <c r="L184" s="4">
        <v>35000000</v>
      </c>
      <c r="M184" s="4">
        <v>2012</v>
      </c>
      <c r="N184" s="4">
        <v>5.7</v>
      </c>
      <c r="O184" s="4">
        <f ca="1">IFERROR(__xludf.DUMMYFUNCTION("IF(Cost_in_dollars!E184=""USD"",Cost_in_dollars!B184,Cost_in_dollars!B184 * GOOGLEFINANCE(""CURRENCY:"" &amp; Cost_in_dollars!E184 &amp; ""USD""))
"),35000000)</f>
        <v>35000000</v>
      </c>
      <c r="P184" s="4">
        <f ca="1">IFERROR(__xludf.DUMMYFUNCTION("IF(Cost_in_dollars!E184=""USD"",Cost_in_dollars!C184,Cost_in_dollars!C184 * GOOGLEFINANCE(""CURRENCY:"" &amp; Cost_in_dollars!E184 &amp; ""USD""))
"),13101142)</f>
        <v>13101142</v>
      </c>
      <c r="Q184" s="4">
        <f t="shared" ca="1" si="0"/>
        <v>-21898858</v>
      </c>
      <c r="R184" s="5" t="str">
        <f t="shared" si="1"/>
        <v>Playing for Keeps</v>
      </c>
      <c r="S184" s="43" t="str">
        <f t="shared" si="4"/>
        <v>Comedy</v>
      </c>
    </row>
    <row r="185" spans="1:19" ht="15.75" customHeight="1" x14ac:dyDescent="0.25">
      <c r="A185" s="6" t="s">
        <v>836</v>
      </c>
      <c r="B185" s="6">
        <v>109</v>
      </c>
      <c r="C185" s="6">
        <v>1060591</v>
      </c>
      <c r="D185" s="6" t="s">
        <v>162</v>
      </c>
      <c r="E185" s="6" t="s">
        <v>837</v>
      </c>
      <c r="F185" s="6" t="s">
        <v>838</v>
      </c>
      <c r="G185" s="6">
        <v>9750</v>
      </c>
      <c r="H185" s="6" t="s">
        <v>839</v>
      </c>
      <c r="I185" s="6">
        <v>66</v>
      </c>
      <c r="J185" s="6" t="s">
        <v>840</v>
      </c>
      <c r="K185" s="6" t="s">
        <v>611</v>
      </c>
      <c r="L185" s="6">
        <v>1300000</v>
      </c>
      <c r="M185" s="6">
        <v>2007</v>
      </c>
      <c r="N185" s="6">
        <v>7.2</v>
      </c>
      <c r="O185" s="4">
        <f ca="1">IFERROR(__xludf.DUMMYFUNCTION("IF(Cost_in_dollars!E185=""USD"",Cost_in_dollars!B185,Cost_in_dollars!B185 * GOOGLEFINANCE(""CURRENCY:"" &amp; Cost_in_dollars!E185 &amp; ""USD""))
"),1410162)</f>
        <v>1410162</v>
      </c>
      <c r="P185" s="4">
        <f ca="1">IFERROR(__xludf.DUMMYFUNCTION("IF(Cost_in_dollars!E185=""USD"",Cost_in_dollars!C185,Cost_in_dollars!C185 * GOOGLEFINANCE(""CURRENCY:"" &amp; Cost_in_dollars!E185 &amp; ""USD""))
"),1150465.48134)</f>
        <v>1150465.4813399999</v>
      </c>
      <c r="Q185" s="6">
        <f t="shared" ca="1" si="0"/>
        <v>-259696.51866000006</v>
      </c>
      <c r="R185" s="7" t="str">
        <f t="shared" si="1"/>
        <v>Caramel</v>
      </c>
      <c r="S185" s="43" t="str">
        <f t="shared" si="4"/>
        <v>Comedy</v>
      </c>
    </row>
    <row r="186" spans="1:19" ht="15.75" customHeight="1" x14ac:dyDescent="0.25">
      <c r="A186" s="4" t="s">
        <v>841</v>
      </c>
      <c r="B186" s="4">
        <v>117</v>
      </c>
      <c r="C186" s="4">
        <v>34667015</v>
      </c>
      <c r="D186" s="4" t="s">
        <v>477</v>
      </c>
      <c r="E186" s="4" t="s">
        <v>842</v>
      </c>
      <c r="F186" s="4" t="s">
        <v>843</v>
      </c>
      <c r="G186" s="4">
        <v>74009</v>
      </c>
      <c r="H186" s="4" t="s">
        <v>844</v>
      </c>
      <c r="I186" s="4">
        <v>317</v>
      </c>
      <c r="J186" s="4" t="s">
        <v>23</v>
      </c>
      <c r="K186" s="4" t="s">
        <v>133</v>
      </c>
      <c r="L186" s="4">
        <v>32000000</v>
      </c>
      <c r="M186" s="4">
        <v>1989</v>
      </c>
      <c r="N186" s="4">
        <v>6.6</v>
      </c>
      <c r="O186" s="4">
        <f ca="1">IFERROR(__xludf.DUMMYFUNCTION("IF(Cost_in_dollars!E186=""USD"",Cost_in_dollars!B186,Cost_in_dollars!B186 * GOOGLEFINANCE(""CURRENCY:"" &amp; Cost_in_dollars!E186 &amp; ""USD""))
"),41132799.9999999)</f>
        <v>41132799.999999903</v>
      </c>
      <c r="P186" s="4">
        <f ca="1">IFERROR(__xludf.DUMMYFUNCTION("IF(Cost_in_dollars!E186=""USD"",Cost_in_dollars!C186,Cost_in_dollars!C186 * GOOGLEFINANCE(""CURRENCY:"" &amp; Cost_in_dollars!E186 &amp; ""USD""))
"),44560981.0809999)</f>
        <v>44560981.080999903</v>
      </c>
      <c r="Q186" s="4">
        <f t="shared" ca="1" si="0"/>
        <v>3428181.0810000002</v>
      </c>
      <c r="R186" s="5" t="str">
        <f t="shared" si="1"/>
        <v>Licence to Kill</v>
      </c>
      <c r="S186" s="43" t="str">
        <f t="shared" si="4"/>
        <v>Action</v>
      </c>
    </row>
    <row r="187" spans="1:19" ht="15.75" customHeight="1" x14ac:dyDescent="0.25">
      <c r="A187" s="6" t="s">
        <v>845</v>
      </c>
      <c r="B187" s="6">
        <v>401</v>
      </c>
      <c r="C187" s="6">
        <v>241407328</v>
      </c>
      <c r="D187" s="6" t="s">
        <v>846</v>
      </c>
      <c r="E187" s="6" t="s">
        <v>847</v>
      </c>
      <c r="F187" s="6" t="s">
        <v>848</v>
      </c>
      <c r="G187" s="6">
        <v>252257</v>
      </c>
      <c r="H187" s="6" t="s">
        <v>849</v>
      </c>
      <c r="I187" s="6">
        <v>634</v>
      </c>
      <c r="J187" s="6" t="s">
        <v>23</v>
      </c>
      <c r="K187" s="6" t="s">
        <v>24</v>
      </c>
      <c r="L187" s="6">
        <v>180000000</v>
      </c>
      <c r="M187" s="6">
        <v>2014</v>
      </c>
      <c r="N187" s="6">
        <v>7</v>
      </c>
      <c r="O187" s="4">
        <f ca="1">IFERROR(__xludf.DUMMYFUNCTION("IF(Cost_in_dollars!E187=""USD"",Cost_in_dollars!B187,Cost_in_dollars!B187 * GOOGLEFINANCE(""CURRENCY:"" &amp; Cost_in_dollars!E187 &amp; ""USD""))
"),180000000)</f>
        <v>180000000</v>
      </c>
      <c r="P187" s="4">
        <f ca="1">IFERROR(__xludf.DUMMYFUNCTION("IF(Cost_in_dollars!E187=""USD"",Cost_in_dollars!C187,Cost_in_dollars!C187 * GOOGLEFINANCE(""CURRENCY:"" &amp; Cost_in_dollars!E187 &amp; ""USD""))
"),241407328)</f>
        <v>241407328</v>
      </c>
      <c r="Q187" s="6">
        <f t="shared" ca="1" si="0"/>
        <v>61407328</v>
      </c>
      <c r="R187" s="7" t="str">
        <f t="shared" si="1"/>
        <v>Maleficent</v>
      </c>
      <c r="S187" s="43" t="str">
        <f t="shared" si="4"/>
        <v>Action</v>
      </c>
    </row>
    <row r="188" spans="1:19" ht="15.75" customHeight="1" x14ac:dyDescent="0.25">
      <c r="A188" s="4" t="s">
        <v>850</v>
      </c>
      <c r="B188" s="4">
        <v>275</v>
      </c>
      <c r="C188" s="4">
        <v>281492479</v>
      </c>
      <c r="D188" s="4" t="s">
        <v>851</v>
      </c>
      <c r="E188" s="4" t="s">
        <v>852</v>
      </c>
      <c r="F188" s="4" t="s">
        <v>853</v>
      </c>
      <c r="G188" s="4">
        <v>421818</v>
      </c>
      <c r="H188" s="4" t="s">
        <v>854</v>
      </c>
      <c r="I188" s="4">
        <v>2789</v>
      </c>
      <c r="J188" s="4" t="s">
        <v>23</v>
      </c>
      <c r="K188" s="4" t="s">
        <v>24</v>
      </c>
      <c r="L188" s="4">
        <v>150000000</v>
      </c>
      <c r="M188" s="4">
        <v>2003</v>
      </c>
      <c r="N188" s="4">
        <v>7.2</v>
      </c>
      <c r="O188" s="4">
        <f ca="1">IFERROR(__xludf.DUMMYFUNCTION("IF(Cost_in_dollars!E188=""USD"",Cost_in_dollars!B188,Cost_in_dollars!B188 * GOOGLEFINANCE(""CURRENCY:"" &amp; Cost_in_dollars!E188 &amp; ""USD""))
"),150000000)</f>
        <v>150000000</v>
      </c>
      <c r="P188" s="4">
        <f ca="1">IFERROR(__xludf.DUMMYFUNCTION("IF(Cost_in_dollars!E188=""USD"",Cost_in_dollars!C188,Cost_in_dollars!C188 * GOOGLEFINANCE(""CURRENCY:"" &amp; Cost_in_dollars!E188 &amp; ""USD""))
"),281492479)</f>
        <v>281492479</v>
      </c>
      <c r="Q188" s="4">
        <f t="shared" ca="1" si="0"/>
        <v>131492479</v>
      </c>
      <c r="R188" s="5" t="str">
        <f t="shared" si="1"/>
        <v>The Matrix Reloaded</v>
      </c>
      <c r="S188" s="43" t="str">
        <f t="shared" si="4"/>
        <v>Action</v>
      </c>
    </row>
    <row r="189" spans="1:19" ht="15.75" customHeight="1" x14ac:dyDescent="0.25">
      <c r="A189" s="6" t="s">
        <v>855</v>
      </c>
      <c r="B189" s="6">
        <v>30</v>
      </c>
      <c r="C189" s="6">
        <v>220234</v>
      </c>
      <c r="D189" s="6" t="s">
        <v>88</v>
      </c>
      <c r="E189" s="6" t="s">
        <v>856</v>
      </c>
      <c r="F189" s="6" t="s">
        <v>857</v>
      </c>
      <c r="G189" s="6">
        <v>1950</v>
      </c>
      <c r="H189" s="6" t="s">
        <v>858</v>
      </c>
      <c r="I189" s="6">
        <v>24</v>
      </c>
      <c r="J189" s="6" t="s">
        <v>23</v>
      </c>
      <c r="K189" s="6" t="s">
        <v>24</v>
      </c>
      <c r="L189" s="6">
        <v>3500000</v>
      </c>
      <c r="M189" s="6">
        <v>2006</v>
      </c>
      <c r="N189" s="6">
        <v>6.5</v>
      </c>
      <c r="O189" s="4">
        <f ca="1">IFERROR(__xludf.DUMMYFUNCTION("IF(Cost_in_dollars!E189=""USD"",Cost_in_dollars!B189,Cost_in_dollars!B189 * GOOGLEFINANCE(""CURRENCY:"" &amp; Cost_in_dollars!E189 &amp; ""USD""))
"),3500000)</f>
        <v>3500000</v>
      </c>
      <c r="P189" s="4">
        <f ca="1">IFERROR(__xludf.DUMMYFUNCTION("IF(Cost_in_dollars!E189=""USD"",Cost_in_dollars!C189,Cost_in_dollars!C189 * GOOGLEFINANCE(""CURRENCY:"" &amp; Cost_in_dollars!E189 &amp; ""USD""))
"),220234)</f>
        <v>220234</v>
      </c>
      <c r="Q189" s="6">
        <f t="shared" ca="1" si="0"/>
        <v>-3279766</v>
      </c>
      <c r="R189" s="7" t="str">
        <f t="shared" si="1"/>
        <v>Ira &amp; Abby</v>
      </c>
      <c r="S189" s="43" t="str">
        <f t="shared" si="4"/>
        <v>Comedy</v>
      </c>
    </row>
    <row r="190" spans="1:19" ht="15.75" customHeight="1" x14ac:dyDescent="0.25">
      <c r="A190" s="4" t="s">
        <v>859</v>
      </c>
      <c r="B190" s="4">
        <v>145</v>
      </c>
      <c r="C190" s="4">
        <v>150315155</v>
      </c>
      <c r="D190" s="4" t="s">
        <v>860</v>
      </c>
      <c r="E190" s="4" t="s">
        <v>444</v>
      </c>
      <c r="F190" s="4" t="s">
        <v>861</v>
      </c>
      <c r="G190" s="4">
        <v>54010</v>
      </c>
      <c r="H190" s="4" t="s">
        <v>862</v>
      </c>
      <c r="I190" s="4">
        <v>130</v>
      </c>
      <c r="J190" s="4" t="s">
        <v>23</v>
      </c>
      <c r="K190" s="4" t="s">
        <v>24</v>
      </c>
      <c r="L190" s="4">
        <v>50000000</v>
      </c>
      <c r="M190" s="4">
        <v>2015</v>
      </c>
      <c r="N190" s="4">
        <v>6.1</v>
      </c>
      <c r="O190" s="4">
        <f ca="1">IFERROR(__xludf.DUMMYFUNCTION("IF(Cost_in_dollars!E190=""USD"",Cost_in_dollars!B190,Cost_in_dollars!B190 * GOOGLEFINANCE(""CURRENCY:"" &amp; Cost_in_dollars!E190 &amp; ""USD""))
"),50000000)</f>
        <v>50000000</v>
      </c>
      <c r="P190" s="4">
        <f ca="1">IFERROR(__xludf.DUMMYFUNCTION("IF(Cost_in_dollars!E190=""USD"",Cost_in_dollars!C190,Cost_in_dollars!C190 * GOOGLEFINANCE(""CURRENCY:"" &amp; Cost_in_dollars!E190 &amp; ""USD""))
"),150315155)</f>
        <v>150315155</v>
      </c>
      <c r="Q190" s="4">
        <f t="shared" ca="1" si="0"/>
        <v>100315155</v>
      </c>
      <c r="R190" s="5" t="str">
        <f t="shared" si="1"/>
        <v>Daddy's Home</v>
      </c>
      <c r="S190" s="43" t="str">
        <f t="shared" si="4"/>
        <v>Comedy</v>
      </c>
    </row>
    <row r="191" spans="1:19" ht="15.75" customHeight="1" x14ac:dyDescent="0.25">
      <c r="A191" s="6" t="s">
        <v>863</v>
      </c>
      <c r="B191" s="6">
        <v>191</v>
      </c>
      <c r="C191" s="6">
        <v>198539855</v>
      </c>
      <c r="D191" s="6" t="s">
        <v>864</v>
      </c>
      <c r="E191" s="6" t="s">
        <v>865</v>
      </c>
      <c r="F191" s="6" t="s">
        <v>866</v>
      </c>
      <c r="G191" s="6">
        <v>254111</v>
      </c>
      <c r="H191" s="6" t="s">
        <v>867</v>
      </c>
      <c r="I191" s="6">
        <v>1999</v>
      </c>
      <c r="J191" s="6" t="s">
        <v>23</v>
      </c>
      <c r="K191" s="6" t="s">
        <v>24</v>
      </c>
      <c r="L191" s="6">
        <v>140000000</v>
      </c>
      <c r="M191" s="6">
        <v>2001</v>
      </c>
      <c r="N191" s="6">
        <v>6.1</v>
      </c>
      <c r="O191" s="4">
        <f ca="1">IFERROR(__xludf.DUMMYFUNCTION("IF(Cost_in_dollars!E191=""USD"",Cost_in_dollars!B191,Cost_in_dollars!B191 * GOOGLEFINANCE(""CURRENCY:"" &amp; Cost_in_dollars!E191 &amp; ""USD""))
"),140000000)</f>
        <v>140000000</v>
      </c>
      <c r="P191" s="4">
        <f ca="1">IFERROR(__xludf.DUMMYFUNCTION("IF(Cost_in_dollars!E191=""USD"",Cost_in_dollars!C191,Cost_in_dollars!C191 * GOOGLEFINANCE(""CURRENCY:"" &amp; Cost_in_dollars!E191 &amp; ""USD""))
"),198539855)</f>
        <v>198539855</v>
      </c>
      <c r="Q191" s="6">
        <f t="shared" ca="1" si="0"/>
        <v>58539855</v>
      </c>
      <c r="R191" s="7" t="str">
        <f t="shared" si="1"/>
        <v>Pearl Harbor</v>
      </c>
      <c r="S191" s="43" t="str">
        <f t="shared" si="4"/>
        <v>Action</v>
      </c>
    </row>
    <row r="192" spans="1:19" ht="15.75" customHeight="1" x14ac:dyDescent="0.25">
      <c r="A192" s="4" t="s">
        <v>539</v>
      </c>
      <c r="B192" s="4">
        <v>188</v>
      </c>
      <c r="C192" s="4">
        <v>665426</v>
      </c>
      <c r="D192" s="4" t="s">
        <v>868</v>
      </c>
      <c r="E192" s="4" t="s">
        <v>464</v>
      </c>
      <c r="F192" s="4" t="s">
        <v>869</v>
      </c>
      <c r="G192" s="4">
        <v>120798</v>
      </c>
      <c r="H192" s="4" t="s">
        <v>870</v>
      </c>
      <c r="I192" s="4">
        <v>444</v>
      </c>
      <c r="J192" s="4" t="s">
        <v>23</v>
      </c>
      <c r="K192" s="4" t="s">
        <v>24</v>
      </c>
      <c r="L192" s="4">
        <v>165000000</v>
      </c>
      <c r="M192" s="4">
        <v>2004</v>
      </c>
      <c r="N192" s="4">
        <v>6.6</v>
      </c>
      <c r="O192" s="4">
        <f ca="1">IFERROR(__xludf.DUMMYFUNCTION("IF(Cost_in_dollars!E192=""USD"",Cost_in_dollars!B192,Cost_in_dollars!B192 * GOOGLEFINANCE(""CURRENCY:"" &amp; Cost_in_dollars!E192 &amp; ""USD""))
"),165000000)</f>
        <v>165000000</v>
      </c>
      <c r="P192" s="4">
        <f ca="1">IFERROR(__xludf.DUMMYFUNCTION("IF(Cost_in_dollars!E192=""USD"",Cost_in_dollars!C192,Cost_in_dollars!C192 * GOOGLEFINANCE(""CURRENCY:"" &amp; Cost_in_dollars!E192 &amp; ""USD""))
"),665426)</f>
        <v>665426</v>
      </c>
      <c r="Q192" s="4">
        <f t="shared" ca="1" si="0"/>
        <v>-164334574</v>
      </c>
      <c r="R192" s="5" t="str">
        <f t="shared" si="1"/>
        <v>The Polar Express</v>
      </c>
      <c r="S192" s="43" t="str">
        <f t="shared" si="4"/>
        <v>Adventure</v>
      </c>
    </row>
    <row r="193" spans="1:19" ht="15.75" customHeight="1" x14ac:dyDescent="0.25">
      <c r="A193" s="6" t="s">
        <v>871</v>
      </c>
      <c r="B193" s="6">
        <v>72</v>
      </c>
      <c r="C193" s="6">
        <v>70450000</v>
      </c>
      <c r="D193" s="6" t="s">
        <v>155</v>
      </c>
      <c r="E193" s="6" t="s">
        <v>872</v>
      </c>
      <c r="F193" s="6" t="s">
        <v>873</v>
      </c>
      <c r="G193" s="6">
        <v>77390</v>
      </c>
      <c r="H193" s="6" t="s">
        <v>874</v>
      </c>
      <c r="I193" s="6">
        <v>189</v>
      </c>
      <c r="J193" s="6" t="s">
        <v>23</v>
      </c>
      <c r="K193" s="6" t="s">
        <v>24</v>
      </c>
      <c r="L193" s="6">
        <v>50000000</v>
      </c>
      <c r="M193" s="6">
        <v>1996</v>
      </c>
      <c r="N193" s="6">
        <v>6</v>
      </c>
      <c r="O193" s="4">
        <f ca="1">IFERROR(__xludf.DUMMYFUNCTION("IF(Cost_in_dollars!E193=""USD"",Cost_in_dollars!B193,Cost_in_dollars!B193 * GOOGLEFINANCE(""CURRENCY:"" &amp; Cost_in_dollars!E193 &amp; ""USD""))
"),50000000)</f>
        <v>50000000</v>
      </c>
      <c r="P193" s="4">
        <f ca="1">IFERROR(__xludf.DUMMYFUNCTION("IF(Cost_in_dollars!E193=""USD"",Cost_in_dollars!C193,Cost_in_dollars!C193 * GOOGLEFINANCE(""CURRENCY:"" &amp; Cost_in_dollars!E193 &amp; ""USD""))
"),70450000)</f>
        <v>70450000</v>
      </c>
      <c r="Q193" s="6">
        <f t="shared" ca="1" si="0"/>
        <v>20450000</v>
      </c>
      <c r="R193" s="7" t="str">
        <f t="shared" si="1"/>
        <v>Broken Arrow</v>
      </c>
      <c r="S193" s="43" t="str">
        <f t="shared" si="4"/>
        <v>Action</v>
      </c>
    </row>
    <row r="194" spans="1:19" ht="15.75" customHeight="1" x14ac:dyDescent="0.25">
      <c r="A194" s="4" t="s">
        <v>875</v>
      </c>
      <c r="B194" s="4">
        <v>250</v>
      </c>
      <c r="C194" s="4">
        <v>1294640</v>
      </c>
      <c r="D194" s="4" t="s">
        <v>876</v>
      </c>
      <c r="E194" s="4" t="s">
        <v>877</v>
      </c>
      <c r="F194" s="4" t="s">
        <v>878</v>
      </c>
      <c r="G194" s="4">
        <v>69569</v>
      </c>
      <c r="H194" s="4" t="s">
        <v>879</v>
      </c>
      <c r="I194" s="4">
        <v>436</v>
      </c>
      <c r="J194" s="4" t="s">
        <v>23</v>
      </c>
      <c r="K194" s="4" t="s">
        <v>24</v>
      </c>
      <c r="L194" s="4">
        <v>15000000</v>
      </c>
      <c r="M194" s="4">
        <v>2007</v>
      </c>
      <c r="N194" s="4">
        <v>6.5</v>
      </c>
      <c r="O194" s="4">
        <f ca="1">IFERROR(__xludf.DUMMYFUNCTION("IF(Cost_in_dollars!E194=""USD"",Cost_in_dollars!B194,Cost_in_dollars!B194 * GOOGLEFINANCE(""CURRENCY:"" &amp; Cost_in_dollars!E194 &amp; ""USD""))
"),15000000)</f>
        <v>15000000</v>
      </c>
      <c r="P194" s="4">
        <f ca="1">IFERROR(__xludf.DUMMYFUNCTION("IF(Cost_in_dollars!E194=""USD"",Cost_in_dollars!C194,Cost_in_dollars!C194 * GOOGLEFINANCE(""CURRENCY:"" &amp; Cost_in_dollars!E194 &amp; ""USD""))
"),1294640)</f>
        <v>1294640</v>
      </c>
      <c r="Q194" s="4">
        <f t="shared" ca="1" si="0"/>
        <v>-13705360</v>
      </c>
      <c r="R194" s="5" t="str">
        <f t="shared" si="1"/>
        <v>Funny Games</v>
      </c>
      <c r="S194" s="43" t="str">
        <f t="shared" ref="S194:S257" si="5">IF(ISNUMBER(FIND("|", D194)), LEFT(D194, FIND("|", D194) - 1), D194)</f>
        <v>Crime</v>
      </c>
    </row>
    <row r="195" spans="1:19" ht="15.75" customHeight="1" x14ac:dyDescent="0.25">
      <c r="A195" s="6" t="s">
        <v>880</v>
      </c>
      <c r="B195" s="6">
        <v>118</v>
      </c>
      <c r="C195" s="6">
        <v>3335839</v>
      </c>
      <c r="D195" s="6" t="s">
        <v>504</v>
      </c>
      <c r="E195" s="6" t="s">
        <v>881</v>
      </c>
      <c r="F195" s="6" t="s">
        <v>882</v>
      </c>
      <c r="G195" s="6">
        <v>54657</v>
      </c>
      <c r="H195" s="6" t="s">
        <v>883</v>
      </c>
      <c r="I195" s="6">
        <v>222</v>
      </c>
      <c r="J195" s="6" t="s">
        <v>23</v>
      </c>
      <c r="K195" s="6" t="s">
        <v>24</v>
      </c>
      <c r="L195" s="6">
        <v>2000000</v>
      </c>
      <c r="M195" s="6">
        <v>2005</v>
      </c>
      <c r="N195" s="6">
        <v>7</v>
      </c>
      <c r="O195" s="4">
        <f ca="1">IFERROR(__xludf.DUMMYFUNCTION("IF(Cost_in_dollars!E195=""USD"",Cost_in_dollars!B195,Cost_in_dollars!B195 * GOOGLEFINANCE(""CURRENCY:"" &amp; Cost_in_dollars!E195 &amp; ""USD""))
"),2000000)</f>
        <v>2000000</v>
      </c>
      <c r="P195" s="4">
        <f ca="1">IFERROR(__xludf.DUMMYFUNCTION("IF(Cost_in_dollars!E195=""USD"",Cost_in_dollars!C195,Cost_in_dollars!C195 * GOOGLEFINANCE(""CURRENCY:"" &amp; Cost_in_dollars!E195 &amp; ""USD""))
"),3335839)</f>
        <v>3335839</v>
      </c>
      <c r="Q195" s="6">
        <f t="shared" ca="1" si="0"/>
        <v>1335839</v>
      </c>
      <c r="R195" s="7" t="str">
        <f t="shared" si="1"/>
        <v>Harsh Times</v>
      </c>
      <c r="S195" s="43" t="str">
        <f t="shared" si="5"/>
        <v>Action</v>
      </c>
    </row>
    <row r="196" spans="1:19" ht="15.75" customHeight="1" x14ac:dyDescent="0.25">
      <c r="A196" s="4" t="s">
        <v>884</v>
      </c>
      <c r="B196" s="4">
        <v>230</v>
      </c>
      <c r="C196" s="4">
        <v>9929000</v>
      </c>
      <c r="D196" s="4" t="s">
        <v>885</v>
      </c>
      <c r="E196" s="4" t="s">
        <v>886</v>
      </c>
      <c r="F196" s="4" t="s">
        <v>887</v>
      </c>
      <c r="G196" s="4">
        <v>152306</v>
      </c>
      <c r="H196" s="4" t="s">
        <v>888</v>
      </c>
      <c r="I196" s="4">
        <v>513</v>
      </c>
      <c r="J196" s="4" t="s">
        <v>23</v>
      </c>
      <c r="K196" s="4" t="s">
        <v>133</v>
      </c>
      <c r="L196" s="4">
        <v>15000000</v>
      </c>
      <c r="M196" s="4">
        <v>1985</v>
      </c>
      <c r="N196" s="4">
        <v>8</v>
      </c>
      <c r="O196" s="4">
        <f ca="1">IFERROR(__xludf.DUMMYFUNCTION("IF(Cost_in_dollars!E196=""USD"",Cost_in_dollars!B196,Cost_in_dollars!B196 * GOOGLEFINANCE(""CURRENCY:"" &amp; Cost_in_dollars!E196 &amp; ""USD""))
"),19281000)</f>
        <v>19281000</v>
      </c>
      <c r="P196" s="4">
        <f ca="1">IFERROR(__xludf.DUMMYFUNCTION("IF(Cost_in_dollars!E196=""USD"",Cost_in_dollars!C196,Cost_in_dollars!C196 * GOOGLEFINANCE(""CURRENCY:"" &amp; Cost_in_dollars!E196 &amp; ""USD""))
"),12762736.6)</f>
        <v>12762736.6</v>
      </c>
      <c r="Q196" s="4">
        <f t="shared" ca="1" si="0"/>
        <v>-6518263.4000000004</v>
      </c>
      <c r="R196" s="5" t="str">
        <f t="shared" si="1"/>
        <v>Brazil</v>
      </c>
      <c r="S196" s="43" t="str">
        <f t="shared" si="5"/>
        <v>Drama</v>
      </c>
    </row>
    <row r="197" spans="1:19" ht="15.75" customHeight="1" x14ac:dyDescent="0.25">
      <c r="A197" s="6" t="s">
        <v>889</v>
      </c>
      <c r="B197" s="6">
        <v>184</v>
      </c>
      <c r="C197" s="6">
        <v>6615578</v>
      </c>
      <c r="D197" s="6" t="s">
        <v>890</v>
      </c>
      <c r="E197" s="6" t="s">
        <v>891</v>
      </c>
      <c r="F197" s="6" t="s">
        <v>892</v>
      </c>
      <c r="G197" s="6">
        <v>15352</v>
      </c>
      <c r="H197" s="6" t="s">
        <v>893</v>
      </c>
      <c r="I197" s="6">
        <v>82</v>
      </c>
      <c r="J197" s="6" t="s">
        <v>23</v>
      </c>
      <c r="K197" s="6" t="s">
        <v>176</v>
      </c>
      <c r="L197" s="6">
        <v>13000000</v>
      </c>
      <c r="M197" s="6">
        <v>2009</v>
      </c>
      <c r="N197" s="6">
        <v>7</v>
      </c>
      <c r="O197" s="4">
        <f ca="1">IFERROR(__xludf.DUMMYFUNCTION("IF(Cost_in_dollars!E197=""USD"",Cost_in_dollars!B197,Cost_in_dollars!B197 * GOOGLEFINANCE(""CURRENCY:"" &amp; Cost_in_dollars!E197 &amp; ""USD""))
"),14101620)</f>
        <v>14101620</v>
      </c>
      <c r="P197" s="4">
        <f ca="1">IFERROR(__xludf.DUMMYFUNCTION("IF(Cost_in_dollars!E197=""USD"",Cost_in_dollars!C197,Cost_in_dollars!C197 * GOOGLEFINANCE(""CURRENCY:"" &amp; Cost_in_dollars!E197 &amp; ""USD""))
"),7176182.07972)</f>
        <v>7176182.0797199998</v>
      </c>
      <c r="Q197" s="6">
        <f t="shared" ca="1" si="0"/>
        <v>-6925437.9202800002</v>
      </c>
      <c r="R197" s="7" t="str">
        <f t="shared" si="1"/>
        <v>The Last Station</v>
      </c>
      <c r="S197" s="43" t="str">
        <f t="shared" si="5"/>
        <v>Biography</v>
      </c>
    </row>
    <row r="198" spans="1:19" ht="15.75" customHeight="1" x14ac:dyDescent="0.25">
      <c r="A198" s="4" t="s">
        <v>894</v>
      </c>
      <c r="B198" s="4">
        <v>10</v>
      </c>
      <c r="C198" s="4">
        <v>34793160</v>
      </c>
      <c r="D198" s="4" t="s">
        <v>895</v>
      </c>
      <c r="E198" s="4" t="s">
        <v>896</v>
      </c>
      <c r="F198" s="4" t="s">
        <v>897</v>
      </c>
      <c r="G198" s="4">
        <v>15730</v>
      </c>
      <c r="H198" s="4" t="s">
        <v>898</v>
      </c>
      <c r="I198" s="4">
        <v>31</v>
      </c>
      <c r="J198" s="4" t="s">
        <v>23</v>
      </c>
      <c r="K198" s="4" t="s">
        <v>24</v>
      </c>
      <c r="L198" s="4">
        <v>14000000</v>
      </c>
      <c r="M198" s="4">
        <v>1991</v>
      </c>
      <c r="N198" s="4">
        <v>6.7</v>
      </c>
      <c r="O198" s="4">
        <f ca="1">IFERROR(__xludf.DUMMYFUNCTION("IF(Cost_in_dollars!E198=""USD"",Cost_in_dollars!B198,Cost_in_dollars!B198 * GOOGLEFINANCE(""CURRENCY:"" &amp; Cost_in_dollars!E198 &amp; ""USD""))
"),14000000)</f>
        <v>14000000</v>
      </c>
      <c r="P198" s="4">
        <f ca="1">IFERROR(__xludf.DUMMYFUNCTION("IF(Cost_in_dollars!E198=""USD"",Cost_in_dollars!C198,Cost_in_dollars!C198 * GOOGLEFINANCE(""CURRENCY:"" &amp; Cost_in_dollars!E198 &amp; ""USD""))
"),34793160)</f>
        <v>34793160</v>
      </c>
      <c r="Q198" s="4">
        <f t="shared" ca="1" si="0"/>
        <v>20793160</v>
      </c>
      <c r="R198" s="5" t="str">
        <f t="shared" si="1"/>
        <v>White Fang</v>
      </c>
      <c r="S198" s="43" t="str">
        <f t="shared" si="5"/>
        <v>Adventure</v>
      </c>
    </row>
    <row r="199" spans="1:19" ht="15.75" customHeight="1" x14ac:dyDescent="0.25">
      <c r="A199" s="6" t="s">
        <v>899</v>
      </c>
      <c r="B199" s="6">
        <v>164</v>
      </c>
      <c r="C199" s="6">
        <v>25266129</v>
      </c>
      <c r="D199" s="6" t="s">
        <v>162</v>
      </c>
      <c r="E199" s="6" t="s">
        <v>900</v>
      </c>
      <c r="F199" s="6" t="s">
        <v>901</v>
      </c>
      <c r="G199" s="6">
        <v>54346</v>
      </c>
      <c r="H199" s="6" t="s">
        <v>902</v>
      </c>
      <c r="I199" s="6">
        <v>358</v>
      </c>
      <c r="J199" s="6" t="s">
        <v>23</v>
      </c>
      <c r="K199" s="6" t="s">
        <v>24</v>
      </c>
      <c r="L199" s="6">
        <v>35000000</v>
      </c>
      <c r="M199" s="6">
        <v>2004</v>
      </c>
      <c r="N199" s="6">
        <v>6.2</v>
      </c>
      <c r="O199" s="4">
        <f ca="1">IFERROR(__xludf.DUMMYFUNCTION("IF(Cost_in_dollars!E199=""USD"",Cost_in_dollars!B199,Cost_in_dollars!B199 * GOOGLEFINANCE(""CURRENCY:"" &amp; Cost_in_dollars!E199 &amp; ""USD""))
"),35000000)</f>
        <v>35000000</v>
      </c>
      <c r="P199" s="4">
        <f ca="1">IFERROR(__xludf.DUMMYFUNCTION("IF(Cost_in_dollars!E199=""USD"",Cost_in_dollars!C199,Cost_in_dollars!C199 * GOOGLEFINANCE(""CURRENCY:"" &amp; Cost_in_dollars!E199 &amp; ""USD""))
"),25266129)</f>
        <v>25266129</v>
      </c>
      <c r="Q199" s="6">
        <f t="shared" ca="1" si="0"/>
        <v>-9733871</v>
      </c>
      <c r="R199" s="7" t="str">
        <f t="shared" si="1"/>
        <v>Jersey Girl</v>
      </c>
      <c r="S199" s="43" t="str">
        <f t="shared" si="5"/>
        <v>Comedy</v>
      </c>
    </row>
    <row r="200" spans="1:19" ht="15.75" customHeight="1" x14ac:dyDescent="0.25">
      <c r="A200" s="4" t="s">
        <v>903</v>
      </c>
      <c r="B200" s="4">
        <v>84</v>
      </c>
      <c r="C200" s="4">
        <v>15427192</v>
      </c>
      <c r="D200" s="4" t="s">
        <v>904</v>
      </c>
      <c r="E200" s="4" t="s">
        <v>444</v>
      </c>
      <c r="F200" s="4" t="s">
        <v>905</v>
      </c>
      <c r="G200" s="4">
        <v>11768</v>
      </c>
      <c r="H200" s="4" t="s">
        <v>906</v>
      </c>
      <c r="I200" s="4">
        <v>148</v>
      </c>
      <c r="J200" s="4" t="s">
        <v>23</v>
      </c>
      <c r="K200" s="4" t="s">
        <v>24</v>
      </c>
      <c r="L200" s="4">
        <v>16000000</v>
      </c>
      <c r="M200" s="4">
        <v>2000</v>
      </c>
      <c r="N200" s="4">
        <v>5.6</v>
      </c>
      <c r="O200" s="4">
        <f ca="1">IFERROR(__xludf.DUMMYFUNCTION("IF(Cost_in_dollars!E200=""USD"",Cost_in_dollars!B200,Cost_in_dollars!B200 * GOOGLEFINANCE(""CURRENCY:"" &amp; Cost_in_dollars!E200 &amp; ""USD""))
"),16000000)</f>
        <v>16000000</v>
      </c>
      <c r="P200" s="4">
        <f ca="1">IFERROR(__xludf.DUMMYFUNCTION("IF(Cost_in_dollars!E200=""USD"",Cost_in_dollars!C200,Cost_in_dollars!C200 * GOOGLEFINANCE(""CURRENCY:"" &amp; Cost_in_dollars!E200 &amp; ""USD""))
"),15427192)</f>
        <v>15427192</v>
      </c>
      <c r="Q200" s="4">
        <f t="shared" ca="1" si="0"/>
        <v>-572808</v>
      </c>
      <c r="R200" s="5" t="str">
        <f t="shared" si="1"/>
        <v>Drowning Mona</v>
      </c>
      <c r="S200" s="43" t="str">
        <f t="shared" si="5"/>
        <v>Comedy</v>
      </c>
    </row>
    <row r="201" spans="1:19" ht="15.75" customHeight="1" x14ac:dyDescent="0.25">
      <c r="A201" s="6" t="s">
        <v>907</v>
      </c>
      <c r="B201" s="6">
        <v>235</v>
      </c>
      <c r="C201" s="6">
        <v>38105077</v>
      </c>
      <c r="D201" s="6" t="s">
        <v>155</v>
      </c>
      <c r="E201" s="6" t="s">
        <v>908</v>
      </c>
      <c r="F201" s="6" t="s">
        <v>909</v>
      </c>
      <c r="G201" s="6">
        <v>58349</v>
      </c>
      <c r="H201" s="6" t="s">
        <v>910</v>
      </c>
      <c r="I201" s="6">
        <v>194</v>
      </c>
      <c r="J201" s="6" t="s">
        <v>23</v>
      </c>
      <c r="K201" s="6" t="s">
        <v>24</v>
      </c>
      <c r="L201" s="6">
        <v>40000000</v>
      </c>
      <c r="M201" s="6">
        <v>2009</v>
      </c>
      <c r="N201" s="6">
        <v>6.4</v>
      </c>
      <c r="O201" s="4">
        <f ca="1">IFERROR(__xludf.DUMMYFUNCTION("IF(Cost_in_dollars!E201=""USD"",Cost_in_dollars!B201,Cost_in_dollars!B201 * GOOGLEFINANCE(""CURRENCY:"" &amp; Cost_in_dollars!E201 &amp; ""USD""))
"),40000000)</f>
        <v>40000000</v>
      </c>
      <c r="P201" s="4">
        <f ca="1">IFERROR(__xludf.DUMMYFUNCTION("IF(Cost_in_dollars!E201=""USD"",Cost_in_dollars!C201,Cost_in_dollars!C201 * GOOGLEFINANCE(""CURRENCY:"" &amp; Cost_in_dollars!E201 &amp; ""USD""))
"),38105077)</f>
        <v>38105077</v>
      </c>
      <c r="Q201" s="6">
        <f t="shared" ca="1" si="0"/>
        <v>-1894923</v>
      </c>
      <c r="R201" s="7" t="str">
        <f t="shared" si="1"/>
        <v>Ninja Assassin</v>
      </c>
      <c r="S201" s="43" t="str">
        <f t="shared" si="5"/>
        <v>Action</v>
      </c>
    </row>
    <row r="202" spans="1:19" ht="15.75" customHeight="1" x14ac:dyDescent="0.25">
      <c r="A202" s="4" t="s">
        <v>911</v>
      </c>
      <c r="B202" s="4">
        <v>576</v>
      </c>
      <c r="C202" s="4">
        <v>44667095</v>
      </c>
      <c r="D202" s="4" t="s">
        <v>162</v>
      </c>
      <c r="E202" s="4" t="s">
        <v>912</v>
      </c>
      <c r="F202" s="4" t="s">
        <v>913</v>
      </c>
      <c r="G202" s="4">
        <v>190030</v>
      </c>
      <c r="H202" s="4" t="s">
        <v>914</v>
      </c>
      <c r="I202" s="4">
        <v>583</v>
      </c>
      <c r="J202" s="4" t="s">
        <v>23</v>
      </c>
      <c r="K202" s="4" t="s">
        <v>611</v>
      </c>
      <c r="L202" s="4">
        <v>15000000</v>
      </c>
      <c r="M202" s="4">
        <v>2011</v>
      </c>
      <c r="N202" s="4">
        <v>8</v>
      </c>
      <c r="O202" s="4">
        <f ca="1">IFERROR(__xludf.DUMMYFUNCTION("IF(Cost_in_dollars!E202=""USD"",Cost_in_dollars!B202,Cost_in_dollars!B202 * GOOGLEFINANCE(""CURRENCY:"" &amp; Cost_in_dollars!E202 &amp; ""USD""))
"),16271100)</f>
        <v>16271100</v>
      </c>
      <c r="P202" s="4">
        <f ca="1">IFERROR(__xludf.DUMMYFUNCTION("IF(Cost_in_dollars!E202=""USD"",Cost_in_dollars!C202,Cost_in_dollars!C202 * GOOGLEFINANCE(""CURRENCY:"" &amp; Cost_in_dollars!E202 &amp; ""USD""))
"),48452184.6303)</f>
        <v>48452184.6303</v>
      </c>
      <c r="Q202" s="4">
        <f t="shared" ca="1" si="0"/>
        <v>32181084.6303</v>
      </c>
      <c r="R202" s="5" t="str">
        <f t="shared" si="1"/>
        <v>The Artist</v>
      </c>
      <c r="S202" s="43" t="str">
        <f t="shared" si="5"/>
        <v>Comedy</v>
      </c>
    </row>
    <row r="203" spans="1:19" ht="15.75" customHeight="1" x14ac:dyDescent="0.25">
      <c r="A203" s="6" t="s">
        <v>915</v>
      </c>
      <c r="B203" s="6">
        <v>53</v>
      </c>
      <c r="C203" s="6">
        <v>10198766</v>
      </c>
      <c r="D203" s="6" t="s">
        <v>140</v>
      </c>
      <c r="E203" s="6" t="s">
        <v>916</v>
      </c>
      <c r="F203" s="6" t="s">
        <v>917</v>
      </c>
      <c r="G203" s="6">
        <v>12007</v>
      </c>
      <c r="H203" s="6" t="s">
        <v>918</v>
      </c>
      <c r="I203" s="6">
        <v>105</v>
      </c>
      <c r="J203" s="6" t="s">
        <v>23</v>
      </c>
      <c r="K203" s="6" t="s">
        <v>24</v>
      </c>
      <c r="L203" s="6">
        <v>12000000</v>
      </c>
      <c r="M203" s="6">
        <v>2002</v>
      </c>
      <c r="N203" s="6">
        <v>5.4</v>
      </c>
      <c r="O203" s="4">
        <f ca="1">IFERROR(__xludf.DUMMYFUNCTION("IF(Cost_in_dollars!E203=""USD"",Cost_in_dollars!B203,Cost_in_dollars!B203 * GOOGLEFINANCE(""CURRENCY:"" &amp; Cost_in_dollars!E203 &amp; ""USD""))
"),12000000)</f>
        <v>12000000</v>
      </c>
      <c r="P203" s="4">
        <f ca="1">IFERROR(__xludf.DUMMYFUNCTION("IF(Cost_in_dollars!E203=""USD"",Cost_in_dollars!C203,Cost_in_dollars!C203 * GOOGLEFINANCE(""CURRENCY:"" &amp; Cost_in_dollars!E203 &amp; ""USD""))
"),10198766)</f>
        <v>10198766</v>
      </c>
      <c r="Q203" s="6">
        <f t="shared" ca="1" si="0"/>
        <v>-1801234</v>
      </c>
      <c r="R203" s="7" t="str">
        <f t="shared" si="1"/>
        <v>Sorority Boys</v>
      </c>
      <c r="S203" s="43" t="str">
        <f t="shared" si="5"/>
        <v>Comedy</v>
      </c>
    </row>
    <row r="204" spans="1:19" ht="15.75" customHeight="1" x14ac:dyDescent="0.25">
      <c r="A204" s="4" t="s">
        <v>759</v>
      </c>
      <c r="B204" s="4">
        <v>125</v>
      </c>
      <c r="C204" s="4">
        <v>113006880</v>
      </c>
      <c r="D204" s="4" t="s">
        <v>919</v>
      </c>
      <c r="E204" s="4" t="s">
        <v>920</v>
      </c>
      <c r="F204" s="4" t="s">
        <v>921</v>
      </c>
      <c r="G204" s="4">
        <v>66308</v>
      </c>
      <c r="H204" s="4" t="s">
        <v>922</v>
      </c>
      <c r="I204" s="4">
        <v>225</v>
      </c>
      <c r="J204" s="4" t="s">
        <v>23</v>
      </c>
      <c r="K204" s="4" t="s">
        <v>627</v>
      </c>
      <c r="L204" s="4">
        <v>56000000</v>
      </c>
      <c r="M204" s="4">
        <v>2005</v>
      </c>
      <c r="N204" s="4">
        <v>5.5</v>
      </c>
      <c r="O204" s="4">
        <f ca="1">IFERROR(__xludf.DUMMYFUNCTION("IF(Cost_in_dollars!E204=""USD"",Cost_in_dollars!B204,Cost_in_dollars!B204 * GOOGLEFINANCE(""CURRENCY:"" &amp; Cost_in_dollars!E204 &amp; ""USD""))
"),40510680)</f>
        <v>40510680</v>
      </c>
      <c r="P204" s="4">
        <f ca="1">IFERROR(__xludf.DUMMYFUNCTION("IF(Cost_in_dollars!E204=""USD"",Cost_in_dollars!C204,Cost_in_dollars!C204 * GOOGLEFINANCE(""CURRENCY:"" &amp; Cost_in_dollars!E204 &amp; ""USD""))
"),81749742.0264)</f>
        <v>81749742.0264</v>
      </c>
      <c r="Q204" s="4">
        <f t="shared" ca="1" si="0"/>
        <v>41239062.0264</v>
      </c>
      <c r="R204" s="5" t="str">
        <f t="shared" si="1"/>
        <v>The Pacifier</v>
      </c>
      <c r="S204" s="43" t="str">
        <f t="shared" si="5"/>
        <v>Action</v>
      </c>
    </row>
    <row r="205" spans="1:19" ht="15.75" customHeight="1" x14ac:dyDescent="0.25">
      <c r="A205" s="6" t="s">
        <v>923</v>
      </c>
      <c r="B205" s="6">
        <v>86</v>
      </c>
      <c r="C205" s="6">
        <v>61356221</v>
      </c>
      <c r="D205" s="6" t="s">
        <v>737</v>
      </c>
      <c r="E205" s="6" t="s">
        <v>924</v>
      </c>
      <c r="F205" s="6" t="s">
        <v>925</v>
      </c>
      <c r="G205" s="6">
        <v>19505</v>
      </c>
      <c r="H205" s="6" t="s">
        <v>926</v>
      </c>
      <c r="I205" s="6">
        <v>162</v>
      </c>
      <c r="J205" s="6" t="s">
        <v>23</v>
      </c>
      <c r="K205" s="6" t="s">
        <v>24</v>
      </c>
      <c r="L205" s="6">
        <v>14000000</v>
      </c>
      <c r="M205" s="6">
        <v>2007</v>
      </c>
      <c r="N205" s="6">
        <v>5.2</v>
      </c>
      <c r="O205" s="4">
        <f ca="1">IFERROR(__xludf.DUMMYFUNCTION("IF(Cost_in_dollars!E205=""USD"",Cost_in_dollars!B205,Cost_in_dollars!B205 * GOOGLEFINANCE(""CURRENCY:"" &amp; Cost_in_dollars!E205 &amp; ""USD""))
"),14000000)</f>
        <v>14000000</v>
      </c>
      <c r="P205" s="4">
        <f ca="1">IFERROR(__xludf.DUMMYFUNCTION("IF(Cost_in_dollars!E205=""USD"",Cost_in_dollars!C205,Cost_in_dollars!C205 * GOOGLEFINANCE(""CURRENCY:"" &amp; Cost_in_dollars!E205 &amp; ""USD""))
"),61356221)</f>
        <v>61356221</v>
      </c>
      <c r="Q205" s="6">
        <f t="shared" ca="1" si="0"/>
        <v>47356221</v>
      </c>
      <c r="R205" s="7" t="str">
        <f t="shared" si="1"/>
        <v>Stomp the Yard</v>
      </c>
      <c r="S205" s="43" t="str">
        <f t="shared" si="5"/>
        <v>Drama</v>
      </c>
    </row>
    <row r="206" spans="1:19" ht="15.75" customHeight="1" x14ac:dyDescent="0.25">
      <c r="A206" s="4" t="s">
        <v>927</v>
      </c>
      <c r="B206" s="4">
        <v>231</v>
      </c>
      <c r="C206" s="4">
        <v>60655503</v>
      </c>
      <c r="D206" s="4" t="s">
        <v>928</v>
      </c>
      <c r="E206" s="4" t="s">
        <v>469</v>
      </c>
      <c r="F206" s="4" t="s">
        <v>929</v>
      </c>
      <c r="G206" s="4">
        <v>82380</v>
      </c>
      <c r="H206" s="4" t="s">
        <v>930</v>
      </c>
      <c r="I206" s="4">
        <v>629</v>
      </c>
      <c r="J206" s="4" t="s">
        <v>23</v>
      </c>
      <c r="K206" s="4" t="s">
        <v>24</v>
      </c>
      <c r="L206" s="4">
        <v>160000000</v>
      </c>
      <c r="M206" s="4">
        <v>2006</v>
      </c>
      <c r="N206" s="4">
        <v>5.6</v>
      </c>
      <c r="O206" s="4">
        <f ca="1">IFERROR(__xludf.DUMMYFUNCTION("IF(Cost_in_dollars!E206=""USD"",Cost_in_dollars!B206,Cost_in_dollars!B206 * GOOGLEFINANCE(""CURRENCY:"" &amp; Cost_in_dollars!E206 &amp; ""USD""))
"),160000000)</f>
        <v>160000000</v>
      </c>
      <c r="P206" s="4">
        <f ca="1">IFERROR(__xludf.DUMMYFUNCTION("IF(Cost_in_dollars!E206=""USD"",Cost_in_dollars!C206,Cost_in_dollars!C206 * GOOGLEFINANCE(""CURRENCY:"" &amp; Cost_in_dollars!E206 &amp; ""USD""))
"),60655503)</f>
        <v>60655503</v>
      </c>
      <c r="Q206" s="4">
        <f t="shared" ca="1" si="0"/>
        <v>-99344497</v>
      </c>
      <c r="R206" s="5" t="str">
        <f t="shared" si="1"/>
        <v>Poseidon</v>
      </c>
      <c r="S206" s="43" t="str">
        <f t="shared" si="5"/>
        <v>Action</v>
      </c>
    </row>
    <row r="207" spans="1:19" ht="15.75" customHeight="1" x14ac:dyDescent="0.25">
      <c r="A207" s="6" t="s">
        <v>931</v>
      </c>
      <c r="B207" s="6">
        <v>205</v>
      </c>
      <c r="C207" s="6">
        <v>19673424</v>
      </c>
      <c r="D207" s="6" t="s">
        <v>669</v>
      </c>
      <c r="E207" s="6" t="s">
        <v>932</v>
      </c>
      <c r="F207" s="6" t="s">
        <v>933</v>
      </c>
      <c r="G207" s="6">
        <v>37446</v>
      </c>
      <c r="H207" s="6" t="s">
        <v>934</v>
      </c>
      <c r="I207" s="6">
        <v>232</v>
      </c>
      <c r="J207" s="6" t="s">
        <v>23</v>
      </c>
      <c r="K207" s="6" t="s">
        <v>24</v>
      </c>
      <c r="L207" s="6">
        <v>80000000</v>
      </c>
      <c r="M207" s="6">
        <v>2009</v>
      </c>
      <c r="N207" s="6">
        <v>5.8</v>
      </c>
      <c r="O207" s="4">
        <f ca="1">IFERROR(__xludf.DUMMYFUNCTION("IF(Cost_in_dollars!E207=""USD"",Cost_in_dollars!B207,Cost_in_dollars!B207 * GOOGLEFINANCE(""CURRENCY:"" &amp; Cost_in_dollars!E207 &amp; ""USD""))
"),80000000)</f>
        <v>80000000</v>
      </c>
      <c r="P207" s="4">
        <f ca="1">IFERROR(__xludf.DUMMYFUNCTION("IF(Cost_in_dollars!E207=""USD"",Cost_in_dollars!C207,Cost_in_dollars!C207 * GOOGLEFINANCE(""CURRENCY:"" &amp; Cost_in_dollars!E207 &amp; ""USD""))
"),19673424)</f>
        <v>19673424</v>
      </c>
      <c r="Q207" s="6">
        <f t="shared" ca="1" si="0"/>
        <v>-60326576</v>
      </c>
      <c r="R207" s="7" t="str">
        <f t="shared" si="1"/>
        <v>Nine</v>
      </c>
      <c r="S207" s="43" t="str">
        <f t="shared" si="5"/>
        <v>Drama</v>
      </c>
    </row>
    <row r="208" spans="1:19" ht="15.75" customHeight="1" x14ac:dyDescent="0.25">
      <c r="A208" s="4" t="s">
        <v>935</v>
      </c>
      <c r="B208" s="4">
        <v>265</v>
      </c>
      <c r="C208" s="4">
        <v>44566004</v>
      </c>
      <c r="D208" s="4" t="s">
        <v>102</v>
      </c>
      <c r="E208" s="4" t="s">
        <v>439</v>
      </c>
      <c r="F208" s="4" t="s">
        <v>936</v>
      </c>
      <c r="G208" s="4">
        <v>321283</v>
      </c>
      <c r="H208" s="4" t="s">
        <v>937</v>
      </c>
      <c r="I208" s="4">
        <v>1848</v>
      </c>
      <c r="J208" s="4" t="s">
        <v>23</v>
      </c>
      <c r="K208" s="4" t="s">
        <v>24</v>
      </c>
      <c r="L208" s="4">
        <v>4000000</v>
      </c>
      <c r="M208" s="4">
        <v>2003</v>
      </c>
      <c r="N208" s="4">
        <v>7.8</v>
      </c>
      <c r="O208" s="4">
        <f ca="1">IFERROR(__xludf.DUMMYFUNCTION("IF(Cost_in_dollars!E208=""USD"",Cost_in_dollars!B208,Cost_in_dollars!B208 * GOOGLEFINANCE(""CURRENCY:"" &amp; Cost_in_dollars!E208 &amp; ""USD""))
"),4000000)</f>
        <v>4000000</v>
      </c>
      <c r="P208" s="4">
        <f ca="1">IFERROR(__xludf.DUMMYFUNCTION("IF(Cost_in_dollars!E208=""USD"",Cost_in_dollars!C208,Cost_in_dollars!C208 * GOOGLEFINANCE(""CURRENCY:"" &amp; Cost_in_dollars!E208 &amp; ""USD""))
"),44566004)</f>
        <v>44566004</v>
      </c>
      <c r="Q208" s="4">
        <f t="shared" ca="1" si="0"/>
        <v>40566004</v>
      </c>
      <c r="R208" s="5" t="str">
        <f t="shared" si="1"/>
        <v>Lost in Translation</v>
      </c>
      <c r="S208" s="43" t="str">
        <f t="shared" si="5"/>
        <v>Drama</v>
      </c>
    </row>
    <row r="209" spans="1:19" ht="15.75" customHeight="1" x14ac:dyDescent="0.25">
      <c r="A209" s="6" t="s">
        <v>938</v>
      </c>
      <c r="B209" s="6">
        <v>73</v>
      </c>
      <c r="C209" s="6">
        <v>144156464</v>
      </c>
      <c r="D209" s="6" t="s">
        <v>517</v>
      </c>
      <c r="E209" s="6" t="s">
        <v>112</v>
      </c>
      <c r="F209" s="6" t="s">
        <v>939</v>
      </c>
      <c r="G209" s="6">
        <v>74343</v>
      </c>
      <c r="H209" s="6" t="s">
        <v>940</v>
      </c>
      <c r="I209" s="6">
        <v>98</v>
      </c>
      <c r="J209" s="6" t="s">
        <v>23</v>
      </c>
      <c r="K209" s="6" t="s">
        <v>24</v>
      </c>
      <c r="L209" s="6">
        <v>71500000</v>
      </c>
      <c r="M209" s="6">
        <v>1998</v>
      </c>
      <c r="N209" s="6">
        <v>5.3</v>
      </c>
      <c r="O209" s="4">
        <f ca="1">IFERROR(__xludf.DUMMYFUNCTION("IF(Cost_in_dollars!E209=""USD"",Cost_in_dollars!B209,Cost_in_dollars!B209 * GOOGLEFINANCE(""CURRENCY:"" &amp; Cost_in_dollars!E209 &amp; ""USD""))
"),71500000)</f>
        <v>71500000</v>
      </c>
      <c r="P209" s="4">
        <f ca="1">IFERROR(__xludf.DUMMYFUNCTION("IF(Cost_in_dollars!E209=""USD"",Cost_in_dollars!C209,Cost_in_dollars!C209 * GOOGLEFINANCE(""CURRENCY:"" &amp; Cost_in_dollars!E209 &amp; ""USD""))
"),144156464)</f>
        <v>144156464</v>
      </c>
      <c r="Q209" s="6">
        <f t="shared" ca="1" si="0"/>
        <v>72656464</v>
      </c>
      <c r="R209" s="7" t="str">
        <f t="shared" si="1"/>
        <v>Doctor Dolittle</v>
      </c>
      <c r="S209" s="43" t="str">
        <f t="shared" si="5"/>
        <v>Comedy</v>
      </c>
    </row>
    <row r="210" spans="1:19" ht="15.75" customHeight="1" x14ac:dyDescent="0.25">
      <c r="A210" s="4" t="s">
        <v>941</v>
      </c>
      <c r="B210" s="4">
        <v>236</v>
      </c>
      <c r="C210" s="4">
        <v>26442251</v>
      </c>
      <c r="D210" s="4" t="s">
        <v>504</v>
      </c>
      <c r="E210" s="4" t="s">
        <v>608</v>
      </c>
      <c r="F210" s="4" t="s">
        <v>942</v>
      </c>
      <c r="G210" s="4">
        <v>76010</v>
      </c>
      <c r="H210" s="4" t="s">
        <v>943</v>
      </c>
      <c r="I210" s="4">
        <v>205</v>
      </c>
      <c r="J210" s="4" t="s">
        <v>23</v>
      </c>
      <c r="K210" s="4" t="s">
        <v>24</v>
      </c>
      <c r="L210" s="4">
        <v>50000000</v>
      </c>
      <c r="M210" s="4">
        <v>2015</v>
      </c>
      <c r="N210" s="4">
        <v>6.6</v>
      </c>
      <c r="O210" s="4">
        <f ca="1">IFERROR(__xludf.DUMMYFUNCTION("IF(Cost_in_dollars!E210=""USD"",Cost_in_dollars!B210,Cost_in_dollars!B210 * GOOGLEFINANCE(""CURRENCY:"" &amp; Cost_in_dollars!E210 &amp; ""USD""))
"),50000000)</f>
        <v>50000000</v>
      </c>
      <c r="P210" s="4">
        <f ca="1">IFERROR(__xludf.DUMMYFUNCTION("IF(Cost_in_dollars!E210=""USD"",Cost_in_dollars!C210,Cost_in_dollars!C210 * GOOGLEFINANCE(""CURRENCY:"" &amp; Cost_in_dollars!E210 &amp; ""USD""))
"),26442251)</f>
        <v>26442251</v>
      </c>
      <c r="Q210" s="4">
        <f t="shared" ca="1" si="0"/>
        <v>-23557749</v>
      </c>
      <c r="R210" s="5" t="str">
        <f t="shared" si="1"/>
        <v>Run All Night</v>
      </c>
      <c r="S210" s="43" t="str">
        <f t="shared" si="5"/>
        <v>Action</v>
      </c>
    </row>
    <row r="211" spans="1:19" ht="15.75" customHeight="1" x14ac:dyDescent="0.25">
      <c r="A211" s="6" t="s">
        <v>944</v>
      </c>
      <c r="B211" s="6">
        <v>65</v>
      </c>
      <c r="C211" s="6">
        <v>60033780</v>
      </c>
      <c r="D211" s="6" t="s">
        <v>235</v>
      </c>
      <c r="E211" s="6" t="s">
        <v>945</v>
      </c>
      <c r="F211" s="6" t="s">
        <v>946</v>
      </c>
      <c r="G211" s="6">
        <v>18973</v>
      </c>
      <c r="H211" s="6" t="s">
        <v>947</v>
      </c>
      <c r="I211" s="6">
        <v>162</v>
      </c>
      <c r="J211" s="6" t="s">
        <v>23</v>
      </c>
      <c r="K211" s="6" t="s">
        <v>24</v>
      </c>
      <c r="L211" s="6">
        <v>30000000</v>
      </c>
      <c r="M211" s="6">
        <v>1998</v>
      </c>
      <c r="N211" s="6">
        <v>5.9</v>
      </c>
      <c r="O211" s="4">
        <f ca="1">IFERROR(__xludf.DUMMYFUNCTION("IF(Cost_in_dollars!E211=""USD"",Cost_in_dollars!B211,Cost_in_dollars!B211 * GOOGLEFINANCE(""CURRENCY:"" &amp; Cost_in_dollars!E211 &amp; ""USD""))
"),30000000)</f>
        <v>30000000</v>
      </c>
      <c r="P211" s="4">
        <f ca="1">IFERROR(__xludf.DUMMYFUNCTION("IF(Cost_in_dollars!E211=""USD"",Cost_in_dollars!C211,Cost_in_dollars!C211 * GOOGLEFINANCE(""CURRENCY:"" &amp; Cost_in_dollars!E211 &amp; ""USD""))
"),60033780)</f>
        <v>60033780</v>
      </c>
      <c r="Q211" s="6">
        <f t="shared" ca="1" si="0"/>
        <v>30033780</v>
      </c>
      <c r="R211" s="7" t="str">
        <f t="shared" si="1"/>
        <v>Hope Floats</v>
      </c>
      <c r="S211" s="43" t="str">
        <f t="shared" si="5"/>
        <v>Drama</v>
      </c>
    </row>
    <row r="212" spans="1:19" ht="15.75" customHeight="1" x14ac:dyDescent="0.25">
      <c r="A212" s="4" t="s">
        <v>144</v>
      </c>
      <c r="B212" s="4">
        <v>71</v>
      </c>
      <c r="C212" s="4">
        <v>25590119</v>
      </c>
      <c r="D212" s="4" t="s">
        <v>948</v>
      </c>
      <c r="E212" s="4" t="s">
        <v>949</v>
      </c>
      <c r="F212" s="4" t="s">
        <v>950</v>
      </c>
      <c r="G212" s="4">
        <v>19699</v>
      </c>
      <c r="H212" s="4" t="s">
        <v>951</v>
      </c>
      <c r="I212" s="4">
        <v>119</v>
      </c>
      <c r="J212" s="4" t="s">
        <v>23</v>
      </c>
      <c r="K212" s="4" t="s">
        <v>149</v>
      </c>
      <c r="L212" s="4">
        <v>21150000</v>
      </c>
      <c r="M212" s="4">
        <v>2001</v>
      </c>
      <c r="N212" s="4">
        <v>4.8</v>
      </c>
      <c r="O212" s="4">
        <f ca="1">IFERROR(__xludf.DUMMYFUNCTION("IF(Cost_in_dollars!E212=""USD"",Cost_in_dollars!B212,Cost_in_dollars!B212 * GOOGLEFINANCE(""CURRENCY:"" &amp; Cost_in_dollars!E212 &amp; ""USD""))
"),13829562)</f>
        <v>13829562</v>
      </c>
      <c r="P212" s="4">
        <f ca="1">IFERROR(__xludf.DUMMYFUNCTION("IF(Cost_in_dollars!E212=""USD"",Cost_in_dollars!C212,Cost_in_dollars!C212 * GOOGLEFINANCE(""CURRENCY:"" &amp; Cost_in_dollars!E212 &amp; ""USD""))
"),16732867.01172)</f>
        <v>16732867.01172</v>
      </c>
      <c r="Q212" s="4">
        <f t="shared" ca="1" si="0"/>
        <v>2903305.0117199998</v>
      </c>
      <c r="R212" s="5" t="str">
        <f t="shared" si="1"/>
        <v>Crocodile Dundee in Los Angeles</v>
      </c>
      <c r="S212" s="43" t="str">
        <f t="shared" si="5"/>
        <v>Adventure</v>
      </c>
    </row>
    <row r="213" spans="1:19" ht="15.75" customHeight="1" x14ac:dyDescent="0.25">
      <c r="A213" s="6" t="s">
        <v>952</v>
      </c>
      <c r="B213" s="6">
        <v>78</v>
      </c>
      <c r="C213" s="6">
        <v>58297830</v>
      </c>
      <c r="D213" s="6" t="s">
        <v>953</v>
      </c>
      <c r="E213" s="6" t="s">
        <v>954</v>
      </c>
      <c r="F213" s="6" t="s">
        <v>955</v>
      </c>
      <c r="G213" s="6">
        <v>86347</v>
      </c>
      <c r="H213" s="6" t="s">
        <v>956</v>
      </c>
      <c r="I213" s="6">
        <v>191</v>
      </c>
      <c r="J213" s="6" t="s">
        <v>23</v>
      </c>
      <c r="K213" s="6" t="s">
        <v>24</v>
      </c>
      <c r="L213" s="6">
        <v>50000000</v>
      </c>
      <c r="M213" s="6">
        <v>1997</v>
      </c>
      <c r="N213" s="6">
        <v>7.1</v>
      </c>
      <c r="O213" s="4">
        <f ca="1">IFERROR(__xludf.DUMMYFUNCTION("IF(Cost_in_dollars!E213=""USD"",Cost_in_dollars!B213,Cost_in_dollars!B213 * GOOGLEFINANCE(""CURRENCY:"" &amp; Cost_in_dollars!E213 &amp; ""USD""))
"),50000000)</f>
        <v>50000000</v>
      </c>
      <c r="P213" s="4">
        <f ca="1">IFERROR(__xludf.DUMMYFUNCTION("IF(Cost_in_dollars!E213=""USD"",Cost_in_dollars!C213,Cost_in_dollars!C213 * GOOGLEFINANCE(""CURRENCY:"" &amp; Cost_in_dollars!E213 &amp; ""USD""))
"),58297830)</f>
        <v>58297830</v>
      </c>
      <c r="Q213" s="6">
        <f t="shared" ca="1" si="0"/>
        <v>8297830</v>
      </c>
      <c r="R213" s="7" t="str">
        <f t="shared" si="1"/>
        <v>Anastasia</v>
      </c>
      <c r="S213" s="43" t="str">
        <f t="shared" si="5"/>
        <v>Adventure</v>
      </c>
    </row>
    <row r="214" spans="1:19" ht="15.75" customHeight="1" x14ac:dyDescent="0.25">
      <c r="A214" s="4" t="s">
        <v>957</v>
      </c>
      <c r="B214" s="4">
        <v>112</v>
      </c>
      <c r="C214" s="4">
        <v>15935068</v>
      </c>
      <c r="D214" s="4" t="s">
        <v>958</v>
      </c>
      <c r="E214" s="4" t="s">
        <v>959</v>
      </c>
      <c r="F214" s="4" t="s">
        <v>960</v>
      </c>
      <c r="G214" s="4">
        <v>19331</v>
      </c>
      <c r="H214" s="4" t="s">
        <v>961</v>
      </c>
      <c r="I214" s="4">
        <v>317</v>
      </c>
      <c r="J214" s="4" t="s">
        <v>23</v>
      </c>
      <c r="K214" s="4" t="s">
        <v>24</v>
      </c>
      <c r="L214" s="4">
        <v>2500000</v>
      </c>
      <c r="M214" s="4">
        <v>1993</v>
      </c>
      <c r="N214" s="4">
        <v>4.3</v>
      </c>
      <c r="O214" s="4">
        <f ca="1">IFERROR(__xludf.DUMMYFUNCTION("IF(Cost_in_dollars!E214=""USD"",Cost_in_dollars!B214,Cost_in_dollars!B214 * GOOGLEFINANCE(""CURRENCY:"" &amp; Cost_in_dollars!E214 &amp; ""USD""))
"),2500000)</f>
        <v>2500000</v>
      </c>
      <c r="P214" s="4">
        <f ca="1">IFERROR(__xludf.DUMMYFUNCTION("IF(Cost_in_dollars!E214=""USD"",Cost_in_dollars!C214,Cost_in_dollars!C214 * GOOGLEFINANCE(""CURRENCY:"" &amp; Cost_in_dollars!E214 &amp; ""USD""))
"),15935068)</f>
        <v>15935068</v>
      </c>
      <c r="Q214" s="4">
        <f t="shared" ca="1" si="0"/>
        <v>13435068</v>
      </c>
      <c r="R214" s="5" t="str">
        <f t="shared" si="1"/>
        <v>Jason Goes to Hell: The Final Friday</v>
      </c>
      <c r="S214" s="43" t="str">
        <f t="shared" si="5"/>
        <v>Fantasy</v>
      </c>
    </row>
    <row r="215" spans="1:19" ht="15.75" customHeight="1" x14ac:dyDescent="0.25">
      <c r="A215" s="6" t="s">
        <v>665</v>
      </c>
      <c r="B215" s="6">
        <v>238</v>
      </c>
      <c r="C215" s="6">
        <v>42919096</v>
      </c>
      <c r="D215" s="6" t="s">
        <v>178</v>
      </c>
      <c r="E215" s="6" t="s">
        <v>49</v>
      </c>
      <c r="F215" s="6" t="s">
        <v>666</v>
      </c>
      <c r="G215" s="6">
        <v>64747</v>
      </c>
      <c r="H215" s="6" t="s">
        <v>667</v>
      </c>
      <c r="I215" s="6">
        <v>122</v>
      </c>
      <c r="J215" s="6" t="s">
        <v>23</v>
      </c>
      <c r="K215" s="6" t="s">
        <v>24</v>
      </c>
      <c r="L215" s="6">
        <v>15000000</v>
      </c>
      <c r="M215" s="6">
        <v>2013</v>
      </c>
      <c r="N215" s="6">
        <v>6.5</v>
      </c>
      <c r="O215" s="4">
        <f ca="1">IFERROR(__xludf.DUMMYFUNCTION("IF(Cost_in_dollars!E215=""USD"",Cost_in_dollars!B215,Cost_in_dollars!B215 * GOOGLEFINANCE(""CURRENCY:"" &amp; Cost_in_dollars!E215 &amp; ""USD""))
"),15000000)</f>
        <v>15000000</v>
      </c>
      <c r="P215" s="4">
        <f ca="1">IFERROR(__xludf.DUMMYFUNCTION("IF(Cost_in_dollars!E215=""USD"",Cost_in_dollars!C215,Cost_in_dollars!C215 * GOOGLEFINANCE(""CURRENCY:"" &amp; Cost_in_dollars!E215 &amp; ""USD""))
"),42919096)</f>
        <v>42919096</v>
      </c>
      <c r="Q215" s="6">
        <f t="shared" ca="1" si="0"/>
        <v>27919096</v>
      </c>
      <c r="R215" s="7" t="str">
        <f t="shared" si="1"/>
        <v>Snitch</v>
      </c>
      <c r="S215" s="43" t="str">
        <f t="shared" si="5"/>
        <v>Action</v>
      </c>
    </row>
    <row r="216" spans="1:19" ht="15.75" customHeight="1" x14ac:dyDescent="0.25">
      <c r="A216" s="4" t="s">
        <v>962</v>
      </c>
      <c r="B216" s="4">
        <v>242</v>
      </c>
      <c r="C216" s="4">
        <v>70236496</v>
      </c>
      <c r="D216" s="4" t="s">
        <v>963</v>
      </c>
      <c r="E216" s="4" t="s">
        <v>461</v>
      </c>
      <c r="F216" s="4" t="s">
        <v>964</v>
      </c>
      <c r="G216" s="4">
        <v>67395</v>
      </c>
      <c r="H216" s="4" t="s">
        <v>965</v>
      </c>
      <c r="I216" s="4">
        <v>564</v>
      </c>
      <c r="J216" s="4" t="s">
        <v>23</v>
      </c>
      <c r="K216" s="4" t="s">
        <v>24</v>
      </c>
      <c r="L216" s="4">
        <v>63000000</v>
      </c>
      <c r="M216" s="4">
        <v>2006</v>
      </c>
      <c r="N216" s="4">
        <v>6</v>
      </c>
      <c r="O216" s="4">
        <f ca="1">IFERROR(__xludf.DUMMYFUNCTION("IF(Cost_in_dollars!E216=""USD"",Cost_in_dollars!B216,Cost_in_dollars!B216 * GOOGLEFINANCE(""CURRENCY:"" &amp; Cost_in_dollars!E216 &amp; ""USD""))
"),63000000)</f>
        <v>63000000</v>
      </c>
      <c r="P216" s="4">
        <f ca="1">IFERROR(__xludf.DUMMYFUNCTION("IF(Cost_in_dollars!E216=""USD"",Cost_in_dollars!C216,Cost_in_dollars!C216 * GOOGLEFINANCE(""CURRENCY:"" &amp; Cost_in_dollars!E216 &amp; ""USD""))
"),70236496)</f>
        <v>70236496</v>
      </c>
      <c r="Q216" s="4">
        <f t="shared" ca="1" si="0"/>
        <v>7236496</v>
      </c>
      <c r="R216" s="5" t="str">
        <f t="shared" si="1"/>
        <v>World Trade Center</v>
      </c>
      <c r="S216" s="43" t="str">
        <f t="shared" si="5"/>
        <v>Drama</v>
      </c>
    </row>
    <row r="217" spans="1:19" ht="15.75" customHeight="1" x14ac:dyDescent="0.25">
      <c r="A217" s="6" t="s">
        <v>966</v>
      </c>
      <c r="B217" s="6">
        <v>310</v>
      </c>
      <c r="C217" s="6">
        <v>84244877</v>
      </c>
      <c r="D217" s="6" t="s">
        <v>162</v>
      </c>
      <c r="E217" s="6" t="s">
        <v>227</v>
      </c>
      <c r="F217" s="6" t="s">
        <v>967</v>
      </c>
      <c r="G217" s="6">
        <v>375456</v>
      </c>
      <c r="H217" s="6" t="s">
        <v>968</v>
      </c>
      <c r="I217" s="6">
        <v>292</v>
      </c>
      <c r="J217" s="6" t="s">
        <v>23</v>
      </c>
      <c r="K217" s="6" t="s">
        <v>24</v>
      </c>
      <c r="L217" s="6">
        <v>50000000</v>
      </c>
      <c r="M217" s="6">
        <v>2011</v>
      </c>
      <c r="N217" s="6">
        <v>7.4</v>
      </c>
      <c r="O217" s="4">
        <f ca="1">IFERROR(__xludf.DUMMYFUNCTION("IF(Cost_in_dollars!E217=""USD"",Cost_in_dollars!B217,Cost_in_dollars!B217 * GOOGLEFINANCE(""CURRENCY:"" &amp; Cost_in_dollars!E217 &amp; ""USD""))
"),50000000)</f>
        <v>50000000</v>
      </c>
      <c r="P217" s="4">
        <f ca="1">IFERROR(__xludf.DUMMYFUNCTION("IF(Cost_in_dollars!E217=""USD"",Cost_in_dollars!C217,Cost_in_dollars!C217 * GOOGLEFINANCE(""CURRENCY:"" &amp; Cost_in_dollars!E217 &amp; ""USD""))
"),84244877)</f>
        <v>84244877</v>
      </c>
      <c r="Q217" s="6">
        <f t="shared" ca="1" si="0"/>
        <v>34244877</v>
      </c>
      <c r="R217" s="7" t="str">
        <f t="shared" si="1"/>
        <v>Crazy, Stupid, Love.</v>
      </c>
      <c r="S217" s="43" t="str">
        <f t="shared" si="5"/>
        <v>Comedy</v>
      </c>
    </row>
    <row r="218" spans="1:19" ht="15.75" customHeight="1" x14ac:dyDescent="0.25">
      <c r="A218" s="4" t="s">
        <v>177</v>
      </c>
      <c r="B218" s="4">
        <v>74</v>
      </c>
      <c r="C218" s="4">
        <v>186354</v>
      </c>
      <c r="D218" s="4" t="s">
        <v>102</v>
      </c>
      <c r="E218" s="4" t="s">
        <v>683</v>
      </c>
      <c r="F218" s="4" t="s">
        <v>969</v>
      </c>
      <c r="G218" s="4">
        <v>1758</v>
      </c>
      <c r="H218" s="4" t="s">
        <v>970</v>
      </c>
      <c r="I218" s="4">
        <v>30</v>
      </c>
      <c r="J218" s="4" t="s">
        <v>23</v>
      </c>
      <c r="K218" s="4" t="s">
        <v>24</v>
      </c>
      <c r="L218" s="4">
        <v>13500000</v>
      </c>
      <c r="M218" s="4">
        <v>2015</v>
      </c>
      <c r="N218" s="4">
        <v>4.5</v>
      </c>
      <c r="O218" s="4">
        <f ca="1">IFERROR(__xludf.DUMMYFUNCTION("IF(Cost_in_dollars!E218=""USD"",Cost_in_dollars!B218,Cost_in_dollars!B218 * GOOGLEFINANCE(""CURRENCY:"" &amp; Cost_in_dollars!E218 &amp; ""USD""))
"),13500000)</f>
        <v>13500000</v>
      </c>
      <c r="P218" s="4">
        <f ca="1">IFERROR(__xludf.DUMMYFUNCTION("IF(Cost_in_dollars!E218=""USD"",Cost_in_dollars!C218,Cost_in_dollars!C218 * GOOGLEFINANCE(""CURRENCY:"" &amp; Cost_in_dollars!E218 &amp; ""USD""))
"),186354)</f>
        <v>186354</v>
      </c>
      <c r="Q218" s="4">
        <f t="shared" ca="1" si="0"/>
        <v>-13313646</v>
      </c>
      <c r="R218" s="5" t="str">
        <f t="shared" si="1"/>
        <v>Stonewall</v>
      </c>
      <c r="S218" s="43" t="str">
        <f t="shared" si="5"/>
        <v>Drama</v>
      </c>
    </row>
    <row r="219" spans="1:19" ht="15.75" customHeight="1" x14ac:dyDescent="0.25">
      <c r="A219" s="6" t="s">
        <v>679</v>
      </c>
      <c r="B219" s="6">
        <v>59</v>
      </c>
      <c r="C219" s="6">
        <v>19118247</v>
      </c>
      <c r="D219" s="6" t="s">
        <v>971</v>
      </c>
      <c r="E219" s="6" t="s">
        <v>972</v>
      </c>
      <c r="F219" s="6" t="s">
        <v>973</v>
      </c>
      <c r="G219" s="6">
        <v>19829</v>
      </c>
      <c r="H219" s="6" t="s">
        <v>974</v>
      </c>
      <c r="I219" s="6">
        <v>94</v>
      </c>
      <c r="J219" s="6" t="s">
        <v>23</v>
      </c>
      <c r="K219" s="6" t="s">
        <v>24</v>
      </c>
      <c r="L219" s="6">
        <v>40000000</v>
      </c>
      <c r="M219" s="6">
        <v>2005</v>
      </c>
      <c r="N219" s="6">
        <v>5.4</v>
      </c>
      <c r="O219" s="4">
        <f ca="1">IFERROR(__xludf.DUMMYFUNCTION("IF(Cost_in_dollars!E219=""USD"",Cost_in_dollars!B219,Cost_in_dollars!B219 * GOOGLEFINANCE(""CURRENCY:"" &amp; Cost_in_dollars!E219 &amp; ""USD""))
"),40000000)</f>
        <v>40000000</v>
      </c>
      <c r="P219" s="4">
        <f ca="1">IFERROR(__xludf.DUMMYFUNCTION("IF(Cost_in_dollars!E219=""USD"",Cost_in_dollars!C219,Cost_in_dollars!C219 * GOOGLEFINANCE(""CURRENCY:"" &amp; Cost_in_dollars!E219 &amp; ""USD""))
"),19118247)</f>
        <v>19118247</v>
      </c>
      <c r="Q219" s="6">
        <f t="shared" ca="1" si="0"/>
        <v>-20881753</v>
      </c>
      <c r="R219" s="7" t="str">
        <f t="shared" si="1"/>
        <v>Man of the House</v>
      </c>
      <c r="S219" s="43" t="str">
        <f t="shared" si="5"/>
        <v>Action</v>
      </c>
    </row>
    <row r="220" spans="1:19" ht="15.75" customHeight="1" x14ac:dyDescent="0.25">
      <c r="A220" s="4" t="s">
        <v>975</v>
      </c>
      <c r="B220" s="4">
        <v>327</v>
      </c>
      <c r="C220" s="4">
        <v>85463309</v>
      </c>
      <c r="D220" s="4" t="s">
        <v>976</v>
      </c>
      <c r="E220" s="4" t="s">
        <v>977</v>
      </c>
      <c r="F220" s="4" t="s">
        <v>978</v>
      </c>
      <c r="G220" s="4">
        <v>254841</v>
      </c>
      <c r="H220" s="4" t="s">
        <v>979</v>
      </c>
      <c r="I220" s="4">
        <v>426</v>
      </c>
      <c r="J220" s="4" t="s">
        <v>23</v>
      </c>
      <c r="K220" s="4" t="s">
        <v>24</v>
      </c>
      <c r="L220" s="4">
        <v>110000000</v>
      </c>
      <c r="M220" s="4">
        <v>2011</v>
      </c>
      <c r="N220" s="4">
        <v>7.1</v>
      </c>
      <c r="O220" s="4">
        <f ca="1">IFERROR(__xludf.DUMMYFUNCTION("IF(Cost_in_dollars!E220=""USD"",Cost_in_dollars!B220,Cost_in_dollars!B220 * GOOGLEFINANCE(""CURRENCY:"" &amp; Cost_in_dollars!E220 &amp; ""USD""))
"),110000000)</f>
        <v>110000000</v>
      </c>
      <c r="P220" s="4">
        <f ca="1">IFERROR(__xludf.DUMMYFUNCTION("IF(Cost_in_dollars!E220=""USD"",Cost_in_dollars!C220,Cost_in_dollars!C220 * GOOGLEFINANCE(""CURRENCY:"" &amp; Cost_in_dollars!E220 &amp; ""USD""))
"),85463309)</f>
        <v>85463309</v>
      </c>
      <c r="Q220" s="4">
        <f t="shared" ca="1" si="0"/>
        <v>-24536691</v>
      </c>
      <c r="R220" s="5" t="str">
        <f t="shared" si="1"/>
        <v>Real Steel</v>
      </c>
      <c r="S220" s="43" t="str">
        <f t="shared" si="5"/>
        <v>Action</v>
      </c>
    </row>
    <row r="221" spans="1:19" ht="15.75" customHeight="1" x14ac:dyDescent="0.25">
      <c r="A221" s="6" t="s">
        <v>980</v>
      </c>
      <c r="B221" s="6">
        <v>15</v>
      </c>
      <c r="C221" s="6">
        <v>171988</v>
      </c>
      <c r="D221" s="6" t="s">
        <v>981</v>
      </c>
      <c r="E221" s="6" t="s">
        <v>982</v>
      </c>
      <c r="F221" s="6" t="s">
        <v>983</v>
      </c>
      <c r="G221" s="6">
        <v>448</v>
      </c>
      <c r="H221" s="6" t="s">
        <v>984</v>
      </c>
      <c r="I221" s="6">
        <v>16</v>
      </c>
      <c r="J221" s="6" t="s">
        <v>23</v>
      </c>
      <c r="K221" s="6" t="s">
        <v>24</v>
      </c>
      <c r="L221" s="6">
        <v>600000</v>
      </c>
      <c r="M221" s="6">
        <v>2000</v>
      </c>
      <c r="N221" s="6">
        <v>5.6</v>
      </c>
      <c r="O221" s="4">
        <f ca="1">IFERROR(__xludf.DUMMYFUNCTION("IF(Cost_in_dollars!E221=""USD"",Cost_in_dollars!B221,Cost_in_dollars!B221 * GOOGLEFINANCE(""CURRENCY:"" &amp; Cost_in_dollars!E221 &amp; ""USD""))
"),600000)</f>
        <v>600000</v>
      </c>
      <c r="P221" s="4">
        <f ca="1">IFERROR(__xludf.DUMMYFUNCTION("IF(Cost_in_dollars!E221=""USD"",Cost_in_dollars!C221,Cost_in_dollars!C221 * GOOGLEFINANCE(""CURRENCY:"" &amp; Cost_in_dollars!E221 &amp; ""USD""))
"),171988)</f>
        <v>171988</v>
      </c>
      <c r="Q221" s="6">
        <f t="shared" ca="1" si="0"/>
        <v>-428012</v>
      </c>
      <c r="R221" s="7" t="str">
        <f t="shared" si="1"/>
        <v>Mercy Streets</v>
      </c>
      <c r="S221" s="43" t="str">
        <f t="shared" si="5"/>
        <v>Action</v>
      </c>
    </row>
    <row r="222" spans="1:19" ht="15.75" customHeight="1" x14ac:dyDescent="0.25">
      <c r="A222" s="4" t="s">
        <v>985</v>
      </c>
      <c r="B222" s="4">
        <v>97</v>
      </c>
      <c r="C222" s="4">
        <v>37882551</v>
      </c>
      <c r="D222" s="4" t="s">
        <v>140</v>
      </c>
      <c r="E222" s="4" t="s">
        <v>986</v>
      </c>
      <c r="F222" s="4" t="s">
        <v>987</v>
      </c>
      <c r="G222" s="4">
        <v>80305</v>
      </c>
      <c r="H222" s="4" t="s">
        <v>988</v>
      </c>
      <c r="I222" s="4">
        <v>393</v>
      </c>
      <c r="J222" s="4" t="s">
        <v>23</v>
      </c>
      <c r="K222" s="4" t="s">
        <v>24</v>
      </c>
      <c r="L222" s="4">
        <v>16000000</v>
      </c>
      <c r="M222" s="4">
        <v>2001</v>
      </c>
      <c r="N222" s="4">
        <v>5.7</v>
      </c>
      <c r="O222" s="4">
        <f ca="1">IFERROR(__xludf.DUMMYFUNCTION("IF(Cost_in_dollars!E222=""USD"",Cost_in_dollars!B222,Cost_in_dollars!B222 * GOOGLEFINANCE(""CURRENCY:"" &amp; Cost_in_dollars!E222 &amp; ""USD""))
"),16000000)</f>
        <v>16000000</v>
      </c>
      <c r="P222" s="4">
        <f ca="1">IFERROR(__xludf.DUMMYFUNCTION("IF(Cost_in_dollars!E222=""USD"",Cost_in_dollars!C222,Cost_in_dollars!C222 * GOOGLEFINANCE(""CURRENCY:"" &amp; Cost_in_dollars!E222 &amp; ""USD""))
"),37882551)</f>
        <v>37882551</v>
      </c>
      <c r="Q222" s="4">
        <f t="shared" ca="1" si="0"/>
        <v>21882551</v>
      </c>
      <c r="R222" s="5" t="str">
        <f t="shared" si="1"/>
        <v>Not Another Teen Movie</v>
      </c>
      <c r="S222" s="43" t="str">
        <f t="shared" si="5"/>
        <v>Comedy</v>
      </c>
    </row>
    <row r="223" spans="1:19" ht="15.75" customHeight="1" x14ac:dyDescent="0.25">
      <c r="A223" s="6" t="s">
        <v>989</v>
      </c>
      <c r="B223" s="6">
        <v>113</v>
      </c>
      <c r="C223" s="6">
        <v>102678089</v>
      </c>
      <c r="D223" s="6" t="s">
        <v>314</v>
      </c>
      <c r="E223" s="6" t="s">
        <v>990</v>
      </c>
      <c r="F223" s="6" t="s">
        <v>991</v>
      </c>
      <c r="G223" s="6">
        <v>42705</v>
      </c>
      <c r="H223" s="6" t="s">
        <v>992</v>
      </c>
      <c r="I223" s="6">
        <v>274</v>
      </c>
      <c r="J223" s="6" t="s">
        <v>23</v>
      </c>
      <c r="K223" s="6" t="s">
        <v>24</v>
      </c>
      <c r="L223" s="6">
        <v>95000000</v>
      </c>
      <c r="M223" s="6">
        <v>1999</v>
      </c>
      <c r="N223" s="6">
        <v>6.3</v>
      </c>
      <c r="O223" s="4">
        <f ca="1">IFERROR(__xludf.DUMMYFUNCTION("IF(Cost_in_dollars!E223=""USD"",Cost_in_dollars!B223,Cost_in_dollars!B223 * GOOGLEFINANCE(""CURRENCY:"" &amp; Cost_in_dollars!E223 &amp; ""USD""))
"),95000000)</f>
        <v>95000000</v>
      </c>
      <c r="P223" s="4">
        <f ca="1">IFERROR(__xludf.DUMMYFUNCTION("IF(Cost_in_dollars!E223=""USD"",Cost_in_dollars!C223,Cost_in_dollars!C223 * GOOGLEFINANCE(""CURRENCY:"" &amp; Cost_in_dollars!E223 &amp; ""USD""))
"),102678089)</f>
        <v>102678089</v>
      </c>
      <c r="Q223" s="6">
        <f t="shared" ca="1" si="0"/>
        <v>7678089</v>
      </c>
      <c r="R223" s="7" t="str">
        <f t="shared" si="1"/>
        <v>The General's Daughter</v>
      </c>
      <c r="S223" s="43" t="str">
        <f t="shared" si="5"/>
        <v>Drama</v>
      </c>
    </row>
    <row r="224" spans="1:19" ht="15.75" customHeight="1" x14ac:dyDescent="0.25">
      <c r="A224" s="4" t="s">
        <v>993</v>
      </c>
      <c r="B224" s="4">
        <v>81</v>
      </c>
      <c r="C224" s="4">
        <v>38230435</v>
      </c>
      <c r="D224" s="4" t="s">
        <v>971</v>
      </c>
      <c r="E224" s="4" t="s">
        <v>994</v>
      </c>
      <c r="F224" s="4" t="s">
        <v>995</v>
      </c>
      <c r="G224" s="4">
        <v>29661</v>
      </c>
      <c r="H224" s="4" t="s">
        <v>996</v>
      </c>
      <c r="I224" s="4">
        <v>179</v>
      </c>
      <c r="J224" s="4" t="s">
        <v>23</v>
      </c>
      <c r="K224" s="4" t="s">
        <v>24</v>
      </c>
      <c r="L224" s="4">
        <v>25000000</v>
      </c>
      <c r="M224" s="4">
        <v>2002</v>
      </c>
      <c r="N224" s="4">
        <v>5.8</v>
      </c>
      <c r="O224" s="4">
        <f ca="1">IFERROR(__xludf.DUMMYFUNCTION("IF(Cost_in_dollars!E224=""USD"",Cost_in_dollars!B224,Cost_in_dollars!B224 * GOOGLEFINANCE(""CURRENCY:"" &amp; Cost_in_dollars!E224 &amp; ""USD""))
"),25000000)</f>
        <v>25000000</v>
      </c>
      <c r="P224" s="4">
        <f ca="1">IFERROR(__xludf.DUMMYFUNCTION("IF(Cost_in_dollars!E224=""USD"",Cost_in_dollars!C224,Cost_in_dollars!C224 * GOOGLEFINANCE(""CURRENCY:"" &amp; Cost_in_dollars!E224 &amp; ""USD""))
"),38230435)</f>
        <v>38230435</v>
      </c>
      <c r="Q224" s="4">
        <f t="shared" ca="1" si="0"/>
        <v>13230435</v>
      </c>
      <c r="R224" s="5" t="str">
        <f t="shared" si="1"/>
        <v>Undercover Brother</v>
      </c>
      <c r="S224" s="43" t="str">
        <f t="shared" si="5"/>
        <v>Action</v>
      </c>
    </row>
    <row r="225" spans="1:19" ht="15.75" customHeight="1" x14ac:dyDescent="0.25">
      <c r="A225" s="6" t="s">
        <v>997</v>
      </c>
      <c r="B225" s="6">
        <v>28</v>
      </c>
      <c r="C225" s="6">
        <v>12055</v>
      </c>
      <c r="D225" s="6" t="s">
        <v>140</v>
      </c>
      <c r="E225" s="6" t="s">
        <v>998</v>
      </c>
      <c r="F225" s="6" t="s">
        <v>999</v>
      </c>
      <c r="G225" s="6">
        <v>739</v>
      </c>
      <c r="H225" s="6" t="s">
        <v>1000</v>
      </c>
      <c r="I225" s="6">
        <v>10</v>
      </c>
      <c r="J225" s="6" t="s">
        <v>23</v>
      </c>
      <c r="K225" s="6" t="s">
        <v>24</v>
      </c>
      <c r="L225" s="6">
        <v>500000</v>
      </c>
      <c r="M225" s="6">
        <v>2007</v>
      </c>
      <c r="N225" s="6">
        <v>6.5</v>
      </c>
      <c r="O225" s="4">
        <f ca="1">IFERROR(__xludf.DUMMYFUNCTION("IF(Cost_in_dollars!E225=""USD"",Cost_in_dollars!B225,Cost_in_dollars!B225 * GOOGLEFINANCE(""CURRENCY:"" &amp; Cost_in_dollars!E225 &amp; ""USD""))
"),500000)</f>
        <v>500000</v>
      </c>
      <c r="P225" s="4">
        <f ca="1">IFERROR(__xludf.DUMMYFUNCTION("IF(Cost_in_dollars!E225=""USD"",Cost_in_dollars!C225,Cost_in_dollars!C225 * GOOGLEFINANCE(""CURRENCY:"" &amp; Cost_in_dollars!E225 &amp; ""USD""))
"),12055)</f>
        <v>12055</v>
      </c>
      <c r="Q225" s="6">
        <f t="shared" ca="1" si="0"/>
        <v>-487945</v>
      </c>
      <c r="R225" s="7" t="str">
        <f t="shared" si="1"/>
        <v>The Living Wake</v>
      </c>
      <c r="S225" s="43" t="str">
        <f t="shared" si="5"/>
        <v>Comedy</v>
      </c>
    </row>
    <row r="226" spans="1:19" ht="15.75" customHeight="1" x14ac:dyDescent="0.25">
      <c r="A226" s="4" t="s">
        <v>1001</v>
      </c>
      <c r="B226" s="4">
        <v>446</v>
      </c>
      <c r="C226" s="4">
        <v>218051260</v>
      </c>
      <c r="D226" s="4" t="s">
        <v>1002</v>
      </c>
      <c r="E226" s="4" t="s">
        <v>877</v>
      </c>
      <c r="F226" s="4" t="s">
        <v>1003</v>
      </c>
      <c r="G226" s="4">
        <v>316018</v>
      </c>
      <c r="H226" s="4" t="s">
        <v>1004</v>
      </c>
      <c r="I226" s="4">
        <v>2618</v>
      </c>
      <c r="J226" s="4" t="s">
        <v>23</v>
      </c>
      <c r="K226" s="4" t="s">
        <v>1005</v>
      </c>
      <c r="L226" s="4">
        <v>207000000</v>
      </c>
      <c r="M226" s="4">
        <v>2005</v>
      </c>
      <c r="N226" s="4">
        <v>7.2</v>
      </c>
      <c r="O226" s="4">
        <f ca="1">IFERROR(__xludf.DUMMYFUNCTION("IF(Cost_in_dollars!E226=""USD"",Cost_in_dollars!B226,Cost_in_dollars!B226 * GOOGLEFINANCE(""CURRENCY:"" &amp; Cost_in_dollars!E226 &amp; ""USD""))
"),121870214.999999)</f>
        <v>121870214.999999</v>
      </c>
      <c r="P226" s="4">
        <f ca="1">IFERROR(__xludf.DUMMYFUNCTION("IF(Cost_in_dollars!E226=""USD"",Cost_in_dollars!C226,Cost_in_dollars!C226 * GOOGLEFINANCE(""CURRENCY:"" &amp; Cost_in_dollars!E226 &amp; ""USD""))
"),128376589.068699)</f>
        <v>128376589.068699</v>
      </c>
      <c r="Q226" s="4">
        <f t="shared" ca="1" si="0"/>
        <v>6506374.0687000006</v>
      </c>
      <c r="R226" s="5" t="str">
        <f t="shared" si="1"/>
        <v>King Kong</v>
      </c>
      <c r="S226" s="43" t="str">
        <f t="shared" si="5"/>
        <v>Action</v>
      </c>
    </row>
    <row r="227" spans="1:19" ht="15.75" customHeight="1" x14ac:dyDescent="0.25">
      <c r="A227" s="6" t="s">
        <v>1006</v>
      </c>
      <c r="B227" s="6">
        <v>193</v>
      </c>
      <c r="C227" s="6">
        <v>11529368</v>
      </c>
      <c r="D227" s="6" t="s">
        <v>1007</v>
      </c>
      <c r="E227" s="6" t="s">
        <v>1008</v>
      </c>
      <c r="F227" s="6" t="s">
        <v>1009</v>
      </c>
      <c r="G227" s="6">
        <v>85028</v>
      </c>
      <c r="H227" s="6" t="s">
        <v>1010</v>
      </c>
      <c r="I227" s="6">
        <v>404</v>
      </c>
      <c r="J227" s="6" t="s">
        <v>23</v>
      </c>
      <c r="K227" s="6" t="s">
        <v>24</v>
      </c>
      <c r="L227" s="6">
        <v>65000</v>
      </c>
      <c r="M227" s="6">
        <v>2004</v>
      </c>
      <c r="N227" s="6">
        <v>7.3</v>
      </c>
      <c r="O227" s="4">
        <f ca="1">IFERROR(__xludf.DUMMYFUNCTION("IF(Cost_in_dollars!E227=""USD"",Cost_in_dollars!B227,Cost_in_dollars!B227 * GOOGLEFINANCE(""CURRENCY:"" &amp; Cost_in_dollars!E227 &amp; ""USD""))
"),65000)</f>
        <v>65000</v>
      </c>
      <c r="P227" s="4">
        <f ca="1">IFERROR(__xludf.DUMMYFUNCTION("IF(Cost_in_dollars!E227=""USD"",Cost_in_dollars!C227,Cost_in_dollars!C227 * GOOGLEFINANCE(""CURRENCY:"" &amp; Cost_in_dollars!E227 &amp; ""USD""))
"),11529368)</f>
        <v>11529368</v>
      </c>
      <c r="Q227" s="6">
        <f t="shared" ca="1" si="0"/>
        <v>11464368</v>
      </c>
      <c r="R227" s="7" t="str">
        <f t="shared" si="1"/>
        <v>Super Size Me</v>
      </c>
      <c r="S227" s="43" t="str">
        <f t="shared" si="5"/>
        <v>Comedy</v>
      </c>
    </row>
    <row r="228" spans="1:19" ht="15.75" customHeight="1" x14ac:dyDescent="0.25">
      <c r="A228" s="4" t="s">
        <v>1011</v>
      </c>
      <c r="B228" s="4">
        <v>12</v>
      </c>
      <c r="C228" s="4">
        <v>19281235</v>
      </c>
      <c r="D228" s="4" t="s">
        <v>1012</v>
      </c>
      <c r="E228" s="4" t="s">
        <v>1013</v>
      </c>
      <c r="F228" s="4" t="s">
        <v>1014</v>
      </c>
      <c r="G228" s="4">
        <v>3571</v>
      </c>
      <c r="H228" s="4" t="s">
        <v>1015</v>
      </c>
      <c r="I228" s="4">
        <v>11</v>
      </c>
      <c r="J228" s="4" t="s">
        <v>23</v>
      </c>
      <c r="K228" s="4" t="s">
        <v>24</v>
      </c>
      <c r="L228" s="4">
        <v>5000000</v>
      </c>
      <c r="M228" s="4">
        <v>1991</v>
      </c>
      <c r="N228" s="4">
        <v>5.0999999999999996</v>
      </c>
      <c r="O228" s="4">
        <f ca="1">IFERROR(__xludf.DUMMYFUNCTION("IF(Cost_in_dollars!E228=""USD"",Cost_in_dollars!B228,Cost_in_dollars!B228 * GOOGLEFINANCE(""CURRENCY:"" &amp; Cost_in_dollars!E228 &amp; ""USD""))
"),5000000)</f>
        <v>5000000</v>
      </c>
      <c r="P228" s="4">
        <f ca="1">IFERROR(__xludf.DUMMYFUNCTION("IF(Cost_in_dollars!E228=""USD"",Cost_in_dollars!C228,Cost_in_dollars!C228 * GOOGLEFINANCE(""CURRENCY:"" &amp; Cost_in_dollars!E228 &amp; ""USD""))
"),19281235)</f>
        <v>19281235</v>
      </c>
      <c r="Q228" s="4">
        <f t="shared" ca="1" si="0"/>
        <v>14281235</v>
      </c>
      <c r="R228" s="5" t="str">
        <f t="shared" si="1"/>
        <v>House Party 2</v>
      </c>
      <c r="S228" s="43" t="str">
        <f t="shared" si="5"/>
        <v>Comedy</v>
      </c>
    </row>
    <row r="229" spans="1:19" ht="15.75" customHeight="1" x14ac:dyDescent="0.25">
      <c r="A229" s="6" t="s">
        <v>741</v>
      </c>
      <c r="B229" s="6">
        <v>59</v>
      </c>
      <c r="C229" s="6">
        <v>10556196</v>
      </c>
      <c r="D229" s="6" t="s">
        <v>116</v>
      </c>
      <c r="E229" s="6" t="s">
        <v>1016</v>
      </c>
      <c r="F229" s="6" t="s">
        <v>1017</v>
      </c>
      <c r="G229" s="6">
        <v>16562</v>
      </c>
      <c r="H229" s="6" t="s">
        <v>1018</v>
      </c>
      <c r="I229" s="6">
        <v>73</v>
      </c>
      <c r="J229" s="6" t="s">
        <v>23</v>
      </c>
      <c r="K229" s="6" t="s">
        <v>24</v>
      </c>
      <c r="L229" s="6">
        <v>50000000</v>
      </c>
      <c r="M229" s="6">
        <v>1997</v>
      </c>
      <c r="N229" s="6">
        <v>6.2</v>
      </c>
      <c r="O229" s="4">
        <f ca="1">IFERROR(__xludf.DUMMYFUNCTION("IF(Cost_in_dollars!E229=""USD"",Cost_in_dollars!B229,Cost_in_dollars!B229 * GOOGLEFINANCE(""CURRENCY:"" &amp; Cost_in_dollars!E229 &amp; ""USD""))
"),50000000)</f>
        <v>50000000</v>
      </c>
      <c r="P229" s="4">
        <f ca="1">IFERROR(__xludf.DUMMYFUNCTION("IF(Cost_in_dollars!E229=""USD"",Cost_in_dollars!C229,Cost_in_dollars!C229 * GOOGLEFINANCE(""CURRENCY:"" &amp; Cost_in_dollars!E229 &amp; ""USD""))
"),10556196)</f>
        <v>10556196</v>
      </c>
      <c r="Q229" s="6">
        <f t="shared" ca="1" si="0"/>
        <v>-39443804</v>
      </c>
      <c r="R229" s="7" t="str">
        <f t="shared" si="1"/>
        <v>Mad City</v>
      </c>
      <c r="S229" s="43" t="str">
        <f t="shared" si="5"/>
        <v>Crime</v>
      </c>
    </row>
    <row r="230" spans="1:19" ht="15.75" customHeight="1" x14ac:dyDescent="0.25">
      <c r="A230" s="4" t="s">
        <v>1019</v>
      </c>
      <c r="B230" s="4">
        <v>198</v>
      </c>
      <c r="C230" s="4">
        <v>31691811</v>
      </c>
      <c r="D230" s="4" t="s">
        <v>1020</v>
      </c>
      <c r="E230" s="4" t="s">
        <v>1021</v>
      </c>
      <c r="F230" s="4" t="s">
        <v>1022</v>
      </c>
      <c r="G230" s="4">
        <v>57446</v>
      </c>
      <c r="H230" s="4" t="s">
        <v>1023</v>
      </c>
      <c r="I230" s="4">
        <v>369</v>
      </c>
      <c r="J230" s="4" t="s">
        <v>23</v>
      </c>
      <c r="K230" s="4" t="s">
        <v>24</v>
      </c>
      <c r="L230" s="4">
        <v>12000000</v>
      </c>
      <c r="M230" s="4">
        <v>2008</v>
      </c>
      <c r="N230" s="4">
        <v>6</v>
      </c>
      <c r="O230" s="4">
        <f ca="1">IFERROR(__xludf.DUMMYFUNCTION("IF(Cost_in_dollars!E230=""USD"",Cost_in_dollars!B230,Cost_in_dollars!B230 * GOOGLEFINANCE(""CURRENCY:"" &amp; Cost_in_dollars!E230 &amp; ""USD""))
"),12000000)</f>
        <v>12000000</v>
      </c>
      <c r="P230" s="4">
        <f ca="1">IFERROR(__xludf.DUMMYFUNCTION("IF(Cost_in_dollars!E230=""USD"",Cost_in_dollars!C230,Cost_in_dollars!C230 * GOOGLEFINANCE(""CURRENCY:"" &amp; Cost_in_dollars!E230 &amp; ""USD""))
"),31691811)</f>
        <v>31691811</v>
      </c>
      <c r="Q230" s="4">
        <f t="shared" ca="1" si="0"/>
        <v>19691811</v>
      </c>
      <c r="R230" s="5" t="str">
        <f t="shared" si="1"/>
        <v>Quarantine</v>
      </c>
      <c r="S230" s="43" t="str">
        <f t="shared" si="5"/>
        <v>Horror</v>
      </c>
    </row>
    <row r="231" spans="1:19" ht="15.75" customHeight="1" x14ac:dyDescent="0.25">
      <c r="A231" s="6" t="s">
        <v>1024</v>
      </c>
      <c r="B231" s="6">
        <v>375</v>
      </c>
      <c r="C231" s="6">
        <v>301956980</v>
      </c>
      <c r="D231" s="6" t="s">
        <v>1025</v>
      </c>
      <c r="E231" s="6" t="s">
        <v>650</v>
      </c>
      <c r="F231" s="6" t="s">
        <v>1026</v>
      </c>
      <c r="G231" s="6">
        <v>321795</v>
      </c>
      <c r="H231" s="6" t="s">
        <v>1027</v>
      </c>
      <c r="I231" s="6">
        <v>973</v>
      </c>
      <c r="J231" s="6" t="s">
        <v>23</v>
      </c>
      <c r="K231" s="6" t="s">
        <v>133</v>
      </c>
      <c r="L231" s="6">
        <v>250000000</v>
      </c>
      <c r="M231" s="6">
        <v>2009</v>
      </c>
      <c r="N231" s="6">
        <v>7.5</v>
      </c>
      <c r="O231" s="4">
        <f ca="1">IFERROR(__xludf.DUMMYFUNCTION("IF(Cost_in_dollars!E231=""USD"",Cost_in_dollars!B231,Cost_in_dollars!B231 * GOOGLEFINANCE(""CURRENCY:"" &amp; Cost_in_dollars!E231 &amp; ""USD""))
"),321349999.999999)</f>
        <v>321349999.99999899</v>
      </c>
      <c r="P231" s="4">
        <f ca="1">IFERROR(__xludf.DUMMYFUNCTION("IF(Cost_in_dollars!E231=""USD"",Cost_in_dollars!C231,Cost_in_dollars!C231 * GOOGLEFINANCE(""CURRENCY:"" &amp; Cost_in_dollars!E231 &amp; ""USD""))
"),388135502.091999)</f>
        <v>388135502.09199899</v>
      </c>
      <c r="Q231" s="6">
        <f t="shared" ca="1" si="0"/>
        <v>66785502.092000008</v>
      </c>
      <c r="R231" s="7" t="str">
        <f t="shared" si="1"/>
        <v>Harry Potter and the Half-Blood Prince</v>
      </c>
      <c r="S231" s="43" t="str">
        <f t="shared" si="5"/>
        <v>Adventure</v>
      </c>
    </row>
    <row r="232" spans="1:19" ht="15.75" customHeight="1" x14ac:dyDescent="0.25">
      <c r="A232" s="4" t="s">
        <v>308</v>
      </c>
      <c r="B232" s="4">
        <v>261</v>
      </c>
      <c r="C232" s="4">
        <v>114195633</v>
      </c>
      <c r="D232" s="4" t="s">
        <v>1028</v>
      </c>
      <c r="E232" s="4" t="s">
        <v>1029</v>
      </c>
      <c r="F232" s="4" t="s">
        <v>1030</v>
      </c>
      <c r="G232" s="4">
        <v>193770</v>
      </c>
      <c r="H232" s="4" t="s">
        <v>1031</v>
      </c>
      <c r="I232" s="4">
        <v>2003</v>
      </c>
      <c r="J232" s="4" t="s">
        <v>23</v>
      </c>
      <c r="K232" s="4" t="s">
        <v>24</v>
      </c>
      <c r="L232" s="4">
        <v>60000000</v>
      </c>
      <c r="M232" s="4">
        <v>2004</v>
      </c>
      <c r="N232" s="4">
        <v>6.5</v>
      </c>
      <c r="O232" s="4">
        <f ca="1">IFERROR(__xludf.DUMMYFUNCTION("IF(Cost_in_dollars!E232=""USD"",Cost_in_dollars!B232,Cost_in_dollars!B232 * GOOGLEFINANCE(""CURRENCY:"" &amp; Cost_in_dollars!E232 &amp; ""USD""))
"),60000000)</f>
        <v>60000000</v>
      </c>
      <c r="P232" s="4">
        <f ca="1">IFERROR(__xludf.DUMMYFUNCTION("IF(Cost_in_dollars!E232=""USD"",Cost_in_dollars!C232,Cost_in_dollars!C232 * GOOGLEFINANCE(""CURRENCY:"" &amp; Cost_in_dollars!E232 &amp; ""USD""))
"),114195633)</f>
        <v>114195633</v>
      </c>
      <c r="Q232" s="4">
        <f t="shared" ca="1" si="0"/>
        <v>54195633</v>
      </c>
      <c r="R232" s="5" t="str">
        <f t="shared" si="1"/>
        <v>The Village</v>
      </c>
      <c r="S232" s="43" t="str">
        <f t="shared" si="5"/>
        <v>Drama</v>
      </c>
    </row>
    <row r="233" spans="1:19" ht="15.75" customHeight="1" x14ac:dyDescent="0.25">
      <c r="A233" s="6" t="s">
        <v>1001</v>
      </c>
      <c r="B233" s="6">
        <v>294</v>
      </c>
      <c r="C233" s="6">
        <v>340478898</v>
      </c>
      <c r="D233" s="6" t="s">
        <v>1032</v>
      </c>
      <c r="E233" s="6" t="s">
        <v>1033</v>
      </c>
      <c r="F233" s="6" t="s">
        <v>1034</v>
      </c>
      <c r="G233" s="6">
        <v>1100446</v>
      </c>
      <c r="H233" s="6" t="s">
        <v>1035</v>
      </c>
      <c r="I233" s="6">
        <v>2417</v>
      </c>
      <c r="J233" s="6" t="s">
        <v>23</v>
      </c>
      <c r="K233" s="6" t="s">
        <v>24</v>
      </c>
      <c r="L233" s="6">
        <v>94000000</v>
      </c>
      <c r="M233" s="6">
        <v>2002</v>
      </c>
      <c r="N233" s="6">
        <v>8.6999999999999993</v>
      </c>
      <c r="O233" s="4">
        <f ca="1">IFERROR(__xludf.DUMMYFUNCTION("IF(Cost_in_dollars!E233=""USD"",Cost_in_dollars!B233,Cost_in_dollars!B233 * GOOGLEFINANCE(""CURRENCY:"" &amp; Cost_in_dollars!E233 &amp; ""USD""))
"),94000000)</f>
        <v>94000000</v>
      </c>
      <c r="P233" s="4">
        <f ca="1">IFERROR(__xludf.DUMMYFUNCTION("IF(Cost_in_dollars!E233=""USD"",Cost_in_dollars!C233,Cost_in_dollars!C233 * GOOGLEFINANCE(""CURRENCY:"" &amp; Cost_in_dollars!E233 &amp; ""USD""))
"),340478898)</f>
        <v>340478898</v>
      </c>
      <c r="Q233" s="6">
        <f t="shared" ca="1" si="0"/>
        <v>246478898</v>
      </c>
      <c r="R233" s="7" t="str">
        <f t="shared" si="1"/>
        <v>The Lord of the Rings: The Two Towers</v>
      </c>
      <c r="S233" s="43" t="str">
        <f t="shared" si="5"/>
        <v>Action</v>
      </c>
    </row>
    <row r="234" spans="1:19" ht="15.75" customHeight="1" x14ac:dyDescent="0.25">
      <c r="A234" s="4" t="s">
        <v>110</v>
      </c>
      <c r="B234" s="4">
        <v>31</v>
      </c>
      <c r="C234" s="4">
        <v>9094451</v>
      </c>
      <c r="D234" s="4" t="s">
        <v>1036</v>
      </c>
      <c r="E234" s="4" t="s">
        <v>1037</v>
      </c>
      <c r="F234" s="4" t="s">
        <v>1038</v>
      </c>
      <c r="G234" s="4">
        <v>11668</v>
      </c>
      <c r="H234" s="4" t="s">
        <v>1039</v>
      </c>
      <c r="I234" s="4">
        <v>79</v>
      </c>
      <c r="J234" s="4" t="s">
        <v>23</v>
      </c>
      <c r="K234" s="4" t="s">
        <v>24</v>
      </c>
      <c r="L234" s="4">
        <v>7000000</v>
      </c>
      <c r="M234" s="4">
        <v>1989</v>
      </c>
      <c r="N234" s="4">
        <v>6.2</v>
      </c>
      <c r="O234" s="4">
        <f ca="1">IFERROR(__xludf.DUMMYFUNCTION("IF(Cost_in_dollars!E234=""USD"",Cost_in_dollars!B234,Cost_in_dollars!B234 * GOOGLEFINANCE(""CURRENCY:"" &amp; Cost_in_dollars!E234 &amp; ""USD""))
"),7000000)</f>
        <v>7000000</v>
      </c>
      <c r="P234" s="4">
        <f ca="1">IFERROR(__xludf.DUMMYFUNCTION("IF(Cost_in_dollars!E234=""USD"",Cost_in_dollars!C234,Cost_in_dollars!C234 * GOOGLEFINANCE(""CURRENCY:"" &amp; Cost_in_dollars!E234 &amp; ""USD""))
"),9094451)</f>
        <v>9094451</v>
      </c>
      <c r="Q234" s="4">
        <f t="shared" ca="1" si="0"/>
        <v>2094451</v>
      </c>
      <c r="R234" s="5" t="str">
        <f t="shared" si="1"/>
        <v>Warlock</v>
      </c>
      <c r="S234" s="43" t="str">
        <f t="shared" si="5"/>
        <v>Action</v>
      </c>
    </row>
    <row r="235" spans="1:19" ht="15.75" customHeight="1" x14ac:dyDescent="0.25">
      <c r="A235" s="6" t="s">
        <v>1040</v>
      </c>
      <c r="B235" s="6">
        <v>40</v>
      </c>
      <c r="C235" s="6">
        <v>95016</v>
      </c>
      <c r="D235" s="6" t="s">
        <v>1041</v>
      </c>
      <c r="E235" s="6" t="s">
        <v>1042</v>
      </c>
      <c r="F235" s="6" t="s">
        <v>1043</v>
      </c>
      <c r="G235" s="6">
        <v>11074</v>
      </c>
      <c r="H235" s="6" t="s">
        <v>1044</v>
      </c>
      <c r="I235" s="6">
        <v>56</v>
      </c>
      <c r="J235" s="6" t="s">
        <v>1045</v>
      </c>
      <c r="K235" s="6" t="s">
        <v>176</v>
      </c>
      <c r="L235" s="6">
        <v>2700000</v>
      </c>
      <c r="M235" s="6">
        <v>2004</v>
      </c>
      <c r="N235" s="6">
        <v>7.4</v>
      </c>
      <c r="O235" s="4">
        <f ca="1">IFERROR(__xludf.DUMMYFUNCTION("IF(Cost_in_dollars!E235=""USD"",Cost_in_dollars!B235,Cost_in_dollars!B235 * GOOGLEFINANCE(""CURRENCY:"" &amp; Cost_in_dollars!E235 &amp; ""USD""))
"),2928798)</f>
        <v>2928798</v>
      </c>
      <c r="P235" s="4">
        <f ca="1">IFERROR(__xludf.DUMMYFUNCTION("IF(Cost_in_dollars!E235=""USD"",Cost_in_dollars!C235,Cost_in_dollars!C235 * GOOGLEFINANCE(""CURRENCY:"" &amp; Cost_in_dollars!E235 &amp; ""USD""))
"),103067.65584)</f>
        <v>103067.65584000001</v>
      </c>
      <c r="Q235" s="6">
        <f t="shared" ca="1" si="0"/>
        <v>-2825730.3441599999</v>
      </c>
      <c r="R235" s="7" t="str">
        <f t="shared" si="1"/>
        <v>Summer Storm</v>
      </c>
      <c r="S235" s="43" t="str">
        <f t="shared" si="5"/>
        <v>Comedy</v>
      </c>
    </row>
    <row r="236" spans="1:19" ht="15.75" customHeight="1" x14ac:dyDescent="0.25">
      <c r="A236" s="4" t="s">
        <v>657</v>
      </c>
      <c r="B236" s="4">
        <v>186</v>
      </c>
      <c r="C236" s="4">
        <v>6167817</v>
      </c>
      <c r="D236" s="4" t="s">
        <v>1046</v>
      </c>
      <c r="E236" s="4" t="s">
        <v>1047</v>
      </c>
      <c r="F236" s="4" t="s">
        <v>1048</v>
      </c>
      <c r="G236" s="4">
        <v>62607</v>
      </c>
      <c r="H236" s="4" t="s">
        <v>1049</v>
      </c>
      <c r="I236" s="4">
        <v>239</v>
      </c>
      <c r="J236" s="4" t="s">
        <v>661</v>
      </c>
      <c r="K236" s="4" t="s">
        <v>611</v>
      </c>
      <c r="L236" s="4">
        <v>47000000</v>
      </c>
      <c r="M236" s="4">
        <v>2004</v>
      </c>
      <c r="N236" s="4">
        <v>7.7</v>
      </c>
      <c r="O236" s="4">
        <f ca="1">IFERROR(__xludf.DUMMYFUNCTION("IF(Cost_in_dollars!E236=""USD"",Cost_in_dollars!B236,Cost_in_dollars!B236 * GOOGLEFINANCE(""CURRENCY:"" &amp; Cost_in_dollars!E236 &amp; ""USD""))
"),50982780)</f>
        <v>50982780</v>
      </c>
      <c r="P236" s="4">
        <f ca="1">IFERROR(__xludf.DUMMYFUNCTION("IF(Cost_in_dollars!E236=""USD"",Cost_in_dollars!C236,Cost_in_dollars!C236 * GOOGLEFINANCE(""CURRENCY:"" &amp; Cost_in_dollars!E236 &amp; ""USD""))
"),6690477.81258)</f>
        <v>6690477.8125799997</v>
      </c>
      <c r="Q236" s="4">
        <f t="shared" ca="1" si="0"/>
        <v>-44292302.187420003</v>
      </c>
      <c r="R236" s="5" t="str">
        <f t="shared" si="1"/>
        <v>A Very Long Engagement</v>
      </c>
      <c r="S236" s="43" t="str">
        <f t="shared" si="5"/>
        <v>Drama</v>
      </c>
    </row>
    <row r="237" spans="1:19" ht="15.75" customHeight="1" x14ac:dyDescent="0.25">
      <c r="A237" s="6" t="s">
        <v>1050</v>
      </c>
      <c r="B237" s="6">
        <v>36</v>
      </c>
      <c r="C237" s="6">
        <v>51697449</v>
      </c>
      <c r="D237" s="6" t="s">
        <v>457</v>
      </c>
      <c r="E237" s="6" t="s">
        <v>1051</v>
      </c>
      <c r="F237" s="6" t="s">
        <v>1052</v>
      </c>
      <c r="G237" s="6">
        <v>8346</v>
      </c>
      <c r="H237" s="6" t="s">
        <v>1053</v>
      </c>
      <c r="I237" s="6">
        <v>59</v>
      </c>
      <c r="J237" s="6" t="s">
        <v>23</v>
      </c>
      <c r="K237" s="6" t="s">
        <v>24</v>
      </c>
      <c r="L237" s="6">
        <v>13000000</v>
      </c>
      <c r="M237" s="6">
        <v>2009</v>
      </c>
      <c r="N237" s="6">
        <v>4.0999999999999996</v>
      </c>
      <c r="O237" s="4">
        <f ca="1">IFERROR(__xludf.DUMMYFUNCTION("IF(Cost_in_dollars!E237=""USD"",Cost_in_dollars!B237,Cost_in_dollars!B237 * GOOGLEFINANCE(""CURRENCY:"" &amp; Cost_in_dollars!E237 &amp; ""USD""))
"),13000000)</f>
        <v>13000000</v>
      </c>
      <c r="P237" s="4">
        <f ca="1">IFERROR(__xludf.DUMMYFUNCTION("IF(Cost_in_dollars!E237=""USD"",Cost_in_dollars!C237,Cost_in_dollars!C237 * GOOGLEFINANCE(""CURRENCY:"" &amp; Cost_in_dollars!E237 &amp; ""USD""))
"),51697449)</f>
        <v>51697449</v>
      </c>
      <c r="Q237" s="6">
        <f t="shared" ca="1" si="0"/>
        <v>38697449</v>
      </c>
      <c r="R237" s="7" t="str">
        <f t="shared" si="1"/>
        <v>I Can Do Bad All by Myself</v>
      </c>
      <c r="S237" s="43" t="str">
        <f t="shared" si="5"/>
        <v>Comedy</v>
      </c>
    </row>
    <row r="238" spans="1:19" ht="15.75" customHeight="1" x14ac:dyDescent="0.25">
      <c r="A238" s="4" t="s">
        <v>1054</v>
      </c>
      <c r="B238" s="4">
        <v>163</v>
      </c>
      <c r="C238" s="4">
        <v>6350058</v>
      </c>
      <c r="D238" s="4" t="s">
        <v>162</v>
      </c>
      <c r="E238" s="4" t="s">
        <v>1055</v>
      </c>
      <c r="F238" s="4" t="s">
        <v>1056</v>
      </c>
      <c r="G238" s="4">
        <v>106098</v>
      </c>
      <c r="H238" s="4" t="s">
        <v>1057</v>
      </c>
      <c r="I238" s="4">
        <v>150</v>
      </c>
      <c r="J238" s="4" t="s">
        <v>23</v>
      </c>
      <c r="K238" s="4" t="s">
        <v>24</v>
      </c>
      <c r="L238" s="4">
        <v>8000000</v>
      </c>
      <c r="M238" s="4">
        <v>2010</v>
      </c>
      <c r="N238" s="4">
        <v>7.2</v>
      </c>
      <c r="O238" s="4">
        <f ca="1">IFERROR(__xludf.DUMMYFUNCTION("IF(Cost_in_dollars!E238=""USD"",Cost_in_dollars!B238,Cost_in_dollars!B238 * GOOGLEFINANCE(""CURRENCY:"" &amp; Cost_in_dollars!E238 &amp; ""USD""))
"),8000000)</f>
        <v>8000000</v>
      </c>
      <c r="P238" s="4">
        <f ca="1">IFERROR(__xludf.DUMMYFUNCTION("IF(Cost_in_dollars!E238=""USD"",Cost_in_dollars!C238,Cost_in_dollars!C238 * GOOGLEFINANCE(""CURRENCY:"" &amp; Cost_in_dollars!E238 &amp; ""USD""))
"),6350058)</f>
        <v>6350058</v>
      </c>
      <c r="Q238" s="4">
        <f t="shared" ca="1" si="0"/>
        <v>-1649942</v>
      </c>
      <c r="R238" s="5" t="str">
        <f t="shared" si="1"/>
        <v>It's Kind of a Funny Story</v>
      </c>
      <c r="S238" s="43" t="str">
        <f t="shared" si="5"/>
        <v>Comedy</v>
      </c>
    </row>
    <row r="239" spans="1:19" ht="15.75" customHeight="1" x14ac:dyDescent="0.25">
      <c r="A239" s="6" t="s">
        <v>1058</v>
      </c>
      <c r="B239" s="6">
        <v>111</v>
      </c>
      <c r="C239" s="6">
        <v>4919896</v>
      </c>
      <c r="D239" s="6" t="s">
        <v>592</v>
      </c>
      <c r="E239" s="6" t="s">
        <v>1059</v>
      </c>
      <c r="F239" s="6" t="s">
        <v>1060</v>
      </c>
      <c r="G239" s="6">
        <v>21530</v>
      </c>
      <c r="H239" s="6" t="s">
        <v>1061</v>
      </c>
      <c r="I239" s="6">
        <v>159</v>
      </c>
      <c r="J239" s="6" t="s">
        <v>23</v>
      </c>
      <c r="K239" s="6" t="s">
        <v>133</v>
      </c>
      <c r="L239" s="6">
        <v>13000000</v>
      </c>
      <c r="M239" s="6">
        <v>2001</v>
      </c>
      <c r="N239" s="6">
        <v>6.1</v>
      </c>
      <c r="O239" s="4">
        <f ca="1">IFERROR(__xludf.DUMMYFUNCTION("IF(Cost_in_dollars!E239=""USD"",Cost_in_dollars!B239,Cost_in_dollars!B239 * GOOGLEFINANCE(""CURRENCY:"" &amp; Cost_in_dollars!E239 &amp; ""USD""))
"),16710199.9999999)</f>
        <v>16710199.999999899</v>
      </c>
      <c r="P239" s="4">
        <f ca="1">IFERROR(__xludf.DUMMYFUNCTION("IF(Cost_in_dollars!E239=""USD"",Cost_in_dollars!C239,Cost_in_dollars!C239 * GOOGLEFINANCE(""CURRENCY:"" &amp; Cost_in_dollars!E239 &amp; ""USD""))
"),6324034.31839999)</f>
        <v>6324034.31839999</v>
      </c>
      <c r="Q239" s="6">
        <f t="shared" ca="1" si="0"/>
        <v>-10386165.681599909</v>
      </c>
      <c r="R239" s="7" t="str">
        <f t="shared" si="1"/>
        <v>Birthday Girl</v>
      </c>
      <c r="S239" s="43" t="str">
        <f t="shared" si="5"/>
        <v>Comedy</v>
      </c>
    </row>
    <row r="240" spans="1:19" ht="15.75" customHeight="1" x14ac:dyDescent="0.25">
      <c r="A240" s="4" t="s">
        <v>1062</v>
      </c>
      <c r="B240" s="4">
        <v>12</v>
      </c>
      <c r="C240" s="4">
        <v>306715</v>
      </c>
      <c r="D240" s="4" t="s">
        <v>140</v>
      </c>
      <c r="E240" s="4" t="s">
        <v>1063</v>
      </c>
      <c r="F240" s="4" t="s">
        <v>1064</v>
      </c>
      <c r="G240" s="4">
        <v>5143</v>
      </c>
      <c r="H240" s="4" t="s">
        <v>1065</v>
      </c>
      <c r="I240" s="4">
        <v>62</v>
      </c>
      <c r="J240" s="4" t="s">
        <v>23</v>
      </c>
      <c r="K240" s="4" t="s">
        <v>24</v>
      </c>
      <c r="L240" s="4">
        <v>10000000</v>
      </c>
      <c r="M240" s="4">
        <v>1998</v>
      </c>
      <c r="N240" s="4">
        <v>2.2999999999999998</v>
      </c>
      <c r="O240" s="4">
        <f ca="1">IFERROR(__xludf.DUMMYFUNCTION("IF(Cost_in_dollars!E240=""USD"",Cost_in_dollars!B240,Cost_in_dollars!B240 * GOOGLEFINANCE(""CURRENCY:"" &amp; Cost_in_dollars!E240 &amp; ""USD""))
"),10000000)</f>
        <v>10000000</v>
      </c>
      <c r="P240" s="4">
        <f ca="1">IFERROR(__xludf.DUMMYFUNCTION("IF(Cost_in_dollars!E240=""USD"",Cost_in_dollars!C240,Cost_in_dollars!C240 * GOOGLEFINANCE(""CURRENCY:"" &amp; Cost_in_dollars!E240 &amp; ""USD""))
"),306715)</f>
        <v>306715</v>
      </c>
      <c r="Q240" s="4">
        <f t="shared" ca="1" si="0"/>
        <v>-9693285</v>
      </c>
      <c r="R240" s="5" t="str">
        <f t="shared" si="1"/>
        <v>Chairman of the Board</v>
      </c>
      <c r="S240" s="43" t="str">
        <f t="shared" si="5"/>
        <v>Comedy</v>
      </c>
    </row>
    <row r="241" spans="1:19" ht="15.75" customHeight="1" x14ac:dyDescent="0.25">
      <c r="A241" s="6" t="s">
        <v>1066</v>
      </c>
      <c r="B241" s="6">
        <v>157</v>
      </c>
      <c r="C241" s="6">
        <v>101978840</v>
      </c>
      <c r="D241" s="6" t="s">
        <v>140</v>
      </c>
      <c r="E241" s="6" t="s">
        <v>1067</v>
      </c>
      <c r="F241" s="6" t="s">
        <v>1068</v>
      </c>
      <c r="G241" s="6">
        <v>77724</v>
      </c>
      <c r="H241" s="6" t="s">
        <v>1069</v>
      </c>
      <c r="I241" s="6">
        <v>162</v>
      </c>
      <c r="J241" s="6" t="s">
        <v>23</v>
      </c>
      <c r="K241" s="6" t="s">
        <v>24</v>
      </c>
      <c r="L241" s="6">
        <v>15000000</v>
      </c>
      <c r="M241" s="6">
        <v>2013</v>
      </c>
      <c r="N241" s="6">
        <v>6.6</v>
      </c>
      <c r="O241" s="4">
        <f ca="1">IFERROR(__xludf.DUMMYFUNCTION("IF(Cost_in_dollars!E241=""USD"",Cost_in_dollars!B241,Cost_in_dollars!B241 * GOOGLEFINANCE(""CURRENCY:"" &amp; Cost_in_dollars!E241 &amp; ""USD""))
"),15000000)</f>
        <v>15000000</v>
      </c>
      <c r="P241" s="4">
        <f ca="1">IFERROR(__xludf.DUMMYFUNCTION("IF(Cost_in_dollars!E241=""USD"",Cost_in_dollars!C241,Cost_in_dollars!C241 * GOOGLEFINANCE(""CURRENCY:"" &amp; Cost_in_dollars!E241 &amp; ""USD""))
"),101978840)</f>
        <v>101978840</v>
      </c>
      <c r="Q241" s="6">
        <f t="shared" ca="1" si="0"/>
        <v>86978840</v>
      </c>
      <c r="R241" s="7" t="str">
        <f t="shared" si="1"/>
        <v>Bad Grandpa</v>
      </c>
      <c r="S241" s="43" t="str">
        <f t="shared" si="5"/>
        <v>Comedy</v>
      </c>
    </row>
    <row r="242" spans="1:19" ht="15.75" customHeight="1" x14ac:dyDescent="0.25">
      <c r="A242" s="4" t="s">
        <v>1070</v>
      </c>
      <c r="B242" s="4">
        <v>62</v>
      </c>
      <c r="C242" s="4">
        <v>6643</v>
      </c>
      <c r="D242" s="4" t="s">
        <v>1071</v>
      </c>
      <c r="E242" s="4" t="s">
        <v>1072</v>
      </c>
      <c r="F242" s="4" t="s">
        <v>1073</v>
      </c>
      <c r="G242" s="4">
        <v>11965</v>
      </c>
      <c r="H242" s="4" t="s">
        <v>1074</v>
      </c>
      <c r="I242" s="4">
        <v>39</v>
      </c>
      <c r="J242" s="4" t="s">
        <v>23</v>
      </c>
      <c r="K242" s="4" t="s">
        <v>24</v>
      </c>
      <c r="L242" s="4">
        <v>900000</v>
      </c>
      <c r="M242" s="4">
        <v>2012</v>
      </c>
      <c r="N242" s="4">
        <v>6.4</v>
      </c>
      <c r="O242" s="4">
        <f ca="1">IFERROR(__xludf.DUMMYFUNCTION("IF(Cost_in_dollars!E242=""USD"",Cost_in_dollars!B242,Cost_in_dollars!B242 * GOOGLEFINANCE(""CURRENCY:"" &amp; Cost_in_dollars!E242 &amp; ""USD""))
"),900000)</f>
        <v>900000</v>
      </c>
      <c r="P242" s="4">
        <f ca="1">IFERROR(__xludf.DUMMYFUNCTION("IF(Cost_in_dollars!E242=""USD"",Cost_in_dollars!C242,Cost_in_dollars!C242 * GOOGLEFINANCE(""CURRENCY:"" &amp; Cost_in_dollars!E242 &amp; ""USD""))
"),6643)</f>
        <v>6643</v>
      </c>
      <c r="Q242" s="4">
        <f t="shared" ca="1" si="0"/>
        <v>-893357</v>
      </c>
      <c r="R242" s="5" t="str">
        <f t="shared" si="1"/>
        <v>The Brass Teapot</v>
      </c>
      <c r="S242" s="43" t="str">
        <f t="shared" si="5"/>
        <v>Comedy</v>
      </c>
    </row>
    <row r="243" spans="1:19" ht="15.75" customHeight="1" x14ac:dyDescent="0.25">
      <c r="A243" s="6" t="s">
        <v>1075</v>
      </c>
      <c r="B243" s="6">
        <v>50</v>
      </c>
      <c r="C243" s="6">
        <v>8735529</v>
      </c>
      <c r="D243" s="6" t="s">
        <v>162</v>
      </c>
      <c r="E243" s="6" t="s">
        <v>407</v>
      </c>
      <c r="F243" s="6" t="s">
        <v>1076</v>
      </c>
      <c r="G243" s="6">
        <v>8055</v>
      </c>
      <c r="H243" s="6" t="s">
        <v>1077</v>
      </c>
      <c r="I243" s="6">
        <v>89</v>
      </c>
      <c r="J243" s="6" t="s">
        <v>23</v>
      </c>
      <c r="K243" s="6" t="s">
        <v>24</v>
      </c>
      <c r="L243" s="6">
        <v>15000000</v>
      </c>
      <c r="M243" s="6">
        <v>2000</v>
      </c>
      <c r="N243" s="6">
        <v>5.5</v>
      </c>
      <c r="O243" s="4">
        <f ca="1">IFERROR(__xludf.DUMMYFUNCTION("IF(Cost_in_dollars!E243=""USD"",Cost_in_dollars!B243,Cost_in_dollars!B243 * GOOGLEFINANCE(""CURRENCY:"" &amp; Cost_in_dollars!E243 &amp; ""USD""))
"),15000000)</f>
        <v>15000000</v>
      </c>
      <c r="P243" s="4">
        <f ca="1">IFERROR(__xludf.DUMMYFUNCTION("IF(Cost_in_dollars!E243=""USD"",Cost_in_dollars!C243,Cost_in_dollars!C243 * GOOGLEFINANCE(""CURRENCY:"" &amp; Cost_in_dollars!E243 &amp; ""USD""))
"),8735529)</f>
        <v>8735529</v>
      </c>
      <c r="Q243" s="6">
        <f t="shared" ca="1" si="0"/>
        <v>-6264471</v>
      </c>
      <c r="R243" s="7" t="str">
        <f t="shared" si="1"/>
        <v>Whatever It Takes</v>
      </c>
      <c r="S243" s="43" t="str">
        <f t="shared" si="5"/>
        <v>Comedy</v>
      </c>
    </row>
    <row r="244" spans="1:19" ht="15.75" customHeight="1" x14ac:dyDescent="0.25">
      <c r="A244" s="4" t="s">
        <v>1078</v>
      </c>
      <c r="B244" s="4">
        <v>55</v>
      </c>
      <c r="C244" s="4">
        <v>22326247</v>
      </c>
      <c r="D244" s="4" t="s">
        <v>235</v>
      </c>
      <c r="E244" s="4" t="s">
        <v>1079</v>
      </c>
      <c r="F244" s="4" t="s">
        <v>1080</v>
      </c>
      <c r="G244" s="4">
        <v>11232</v>
      </c>
      <c r="H244" s="4" t="s">
        <v>1081</v>
      </c>
      <c r="I244" s="4">
        <v>106</v>
      </c>
      <c r="J244" s="4" t="s">
        <v>23</v>
      </c>
      <c r="K244" s="4" t="s">
        <v>24</v>
      </c>
      <c r="L244" s="4">
        <v>60000000</v>
      </c>
      <c r="M244" s="4">
        <v>1999</v>
      </c>
      <c r="N244" s="4">
        <v>5.9</v>
      </c>
      <c r="O244" s="4">
        <f ca="1">IFERROR(__xludf.DUMMYFUNCTION("IF(Cost_in_dollars!E244=""USD"",Cost_in_dollars!B244,Cost_in_dollars!B244 * GOOGLEFINANCE(""CURRENCY:"" &amp; Cost_in_dollars!E244 &amp; ""USD""))
"),60000000)</f>
        <v>60000000</v>
      </c>
      <c r="P244" s="4">
        <f ca="1">IFERROR(__xludf.DUMMYFUNCTION("IF(Cost_in_dollars!E244=""USD"",Cost_in_dollars!C244,Cost_in_dollars!C244 * GOOGLEFINANCE(""CURRENCY:"" &amp; Cost_in_dollars!E244 &amp; ""USD""))
"),22326247)</f>
        <v>22326247</v>
      </c>
      <c r="Q244" s="4">
        <f t="shared" ca="1" si="0"/>
        <v>-37673753</v>
      </c>
      <c r="R244" s="5" t="str">
        <f t="shared" si="1"/>
        <v>At First Sight</v>
      </c>
      <c r="S244" s="43" t="str">
        <f t="shared" si="5"/>
        <v>Drama</v>
      </c>
    </row>
    <row r="245" spans="1:19" ht="15.75" customHeight="1" x14ac:dyDescent="0.25">
      <c r="A245" s="6" t="s">
        <v>1082</v>
      </c>
      <c r="B245" s="6">
        <v>133</v>
      </c>
      <c r="C245" s="6">
        <v>532988</v>
      </c>
      <c r="D245" s="6" t="s">
        <v>890</v>
      </c>
      <c r="E245" s="6" t="s">
        <v>1083</v>
      </c>
      <c r="F245" s="6" t="s">
        <v>1084</v>
      </c>
      <c r="G245" s="6">
        <v>5863</v>
      </c>
      <c r="H245" s="6" t="s">
        <v>1085</v>
      </c>
      <c r="I245" s="6">
        <v>25</v>
      </c>
      <c r="J245" s="6" t="s">
        <v>23</v>
      </c>
      <c r="K245" s="6" t="s">
        <v>24</v>
      </c>
      <c r="L245" s="6">
        <v>7000000</v>
      </c>
      <c r="M245" s="6">
        <v>2015</v>
      </c>
      <c r="N245" s="6">
        <v>6.5</v>
      </c>
      <c r="O245" s="4">
        <f ca="1">IFERROR(__xludf.DUMMYFUNCTION("IF(Cost_in_dollars!E245=""USD"",Cost_in_dollars!B245,Cost_in_dollars!B245 * GOOGLEFINANCE(""CURRENCY:"" &amp; Cost_in_dollars!E245 &amp; ""USD""))
"),7000000)</f>
        <v>7000000</v>
      </c>
      <c r="P245" s="4">
        <f ca="1">IFERROR(__xludf.DUMMYFUNCTION("IF(Cost_in_dollars!E245=""USD"",Cost_in_dollars!C245,Cost_in_dollars!C245 * GOOGLEFINANCE(""CURRENCY:"" &amp; Cost_in_dollars!E245 &amp; ""USD""))
"),532988)</f>
        <v>532988</v>
      </c>
      <c r="Q245" s="6">
        <f t="shared" ca="1" si="0"/>
        <v>-6467012</v>
      </c>
      <c r="R245" s="7" t="str">
        <f t="shared" si="1"/>
        <v>Freeheld</v>
      </c>
      <c r="S245" s="43" t="str">
        <f t="shared" si="5"/>
        <v>Biography</v>
      </c>
    </row>
    <row r="246" spans="1:19" ht="15.75" customHeight="1" x14ac:dyDescent="0.25">
      <c r="A246" s="4" t="s">
        <v>1086</v>
      </c>
      <c r="B246" s="4">
        <v>84</v>
      </c>
      <c r="C246" s="4">
        <v>274661</v>
      </c>
      <c r="D246" s="4" t="s">
        <v>1087</v>
      </c>
      <c r="E246" s="4" t="s">
        <v>1086</v>
      </c>
      <c r="F246" s="4" t="s">
        <v>1088</v>
      </c>
      <c r="G246" s="4">
        <v>10564</v>
      </c>
      <c r="H246" s="4" t="s">
        <v>1089</v>
      </c>
      <c r="I246" s="4">
        <v>40</v>
      </c>
      <c r="J246" s="4" t="s">
        <v>23</v>
      </c>
      <c r="K246" s="4" t="s">
        <v>24</v>
      </c>
      <c r="L246" s="4">
        <v>1000000</v>
      </c>
      <c r="M246" s="4">
        <v>2007</v>
      </c>
      <c r="N246" s="4">
        <v>7.7</v>
      </c>
      <c r="O246" s="4">
        <f ca="1">IFERROR(__xludf.DUMMYFUNCTION("IF(Cost_in_dollars!E246=""USD"",Cost_in_dollars!B246,Cost_in_dollars!B246 * GOOGLEFINANCE(""CURRENCY:"" &amp; Cost_in_dollars!E246 &amp; ""USD""))
"),1000000)</f>
        <v>1000000</v>
      </c>
      <c r="P246" s="4">
        <f ca="1">IFERROR(__xludf.DUMMYFUNCTION("IF(Cost_in_dollars!E246=""USD"",Cost_in_dollars!C246,Cost_in_dollars!C246 * GOOGLEFINANCE(""CURRENCY:"" &amp; Cost_in_dollars!E246 &amp; ""USD""))
"),274661)</f>
        <v>274661</v>
      </c>
      <c r="Q246" s="4">
        <f t="shared" ca="1" si="0"/>
        <v>-725339</v>
      </c>
      <c r="R246" s="5" t="str">
        <f t="shared" si="1"/>
        <v>Taxi to the Dark Side</v>
      </c>
      <c r="S246" s="43" t="str">
        <f t="shared" si="5"/>
        <v>Crime</v>
      </c>
    </row>
    <row r="247" spans="1:19" ht="15.75" customHeight="1" x14ac:dyDescent="0.25">
      <c r="A247" s="6" t="s">
        <v>1090</v>
      </c>
      <c r="B247" s="6">
        <v>217</v>
      </c>
      <c r="C247" s="6">
        <v>28501651</v>
      </c>
      <c r="D247" s="6" t="s">
        <v>372</v>
      </c>
      <c r="E247" s="6" t="s">
        <v>1091</v>
      </c>
      <c r="F247" s="6" t="s">
        <v>1092</v>
      </c>
      <c r="G247" s="6">
        <v>88035</v>
      </c>
      <c r="H247" s="6" t="s">
        <v>1093</v>
      </c>
      <c r="I247" s="6">
        <v>201</v>
      </c>
      <c r="J247" s="6" t="s">
        <v>23</v>
      </c>
      <c r="K247" s="6" t="s">
        <v>24</v>
      </c>
      <c r="L247" s="6">
        <v>26000000</v>
      </c>
      <c r="M247" s="6">
        <v>2009</v>
      </c>
      <c r="N247" s="6">
        <v>7.1</v>
      </c>
      <c r="O247" s="4">
        <f ca="1">IFERROR(__xludf.DUMMYFUNCTION("IF(Cost_in_dollars!E247=""USD"",Cost_in_dollars!B247,Cost_in_dollars!B247 * GOOGLEFINANCE(""CURRENCY:"" &amp; Cost_in_dollars!E247 &amp; ""USD""))
"),26000000)</f>
        <v>26000000</v>
      </c>
      <c r="P247" s="4">
        <f ca="1">IFERROR(__xludf.DUMMYFUNCTION("IF(Cost_in_dollars!E247=""USD"",Cost_in_dollars!C247,Cost_in_dollars!C247 * GOOGLEFINANCE(""CURRENCY:"" &amp; Cost_in_dollars!E247 &amp; ""USD""))
"),28501651)</f>
        <v>28501651</v>
      </c>
      <c r="Q247" s="6">
        <f t="shared" ca="1" si="0"/>
        <v>2501651</v>
      </c>
      <c r="R247" s="7" t="str">
        <f t="shared" si="1"/>
        <v>Brothers</v>
      </c>
      <c r="S247" s="43" t="str">
        <f t="shared" si="5"/>
        <v>Drama</v>
      </c>
    </row>
    <row r="248" spans="1:19" ht="15.75" customHeight="1" x14ac:dyDescent="0.25">
      <c r="A248" s="4" t="s">
        <v>1094</v>
      </c>
      <c r="B248" s="4">
        <v>57</v>
      </c>
      <c r="C248" s="4">
        <v>35231365</v>
      </c>
      <c r="D248" s="4" t="s">
        <v>1095</v>
      </c>
      <c r="E248" s="4" t="s">
        <v>1063</v>
      </c>
      <c r="F248" s="4" t="s">
        <v>1096</v>
      </c>
      <c r="G248" s="4">
        <v>15517</v>
      </c>
      <c r="H248" s="4" t="s">
        <v>1097</v>
      </c>
      <c r="I248" s="4">
        <v>85</v>
      </c>
      <c r="J248" s="4" t="s">
        <v>23</v>
      </c>
      <c r="K248" s="4" t="s">
        <v>24</v>
      </c>
      <c r="L248" s="4">
        <v>60000000</v>
      </c>
      <c r="M248" s="4">
        <v>2000</v>
      </c>
      <c r="N248" s="4">
        <v>3.6</v>
      </c>
      <c r="O248" s="4">
        <f ca="1">IFERROR(__xludf.DUMMYFUNCTION("IF(Cost_in_dollars!E248=""USD"",Cost_in_dollars!B248,Cost_in_dollars!B248 * GOOGLEFINANCE(""CURRENCY:"" &amp; Cost_in_dollars!E248 &amp; ""USD""))
"),60000000)</f>
        <v>60000000</v>
      </c>
      <c r="P248" s="4">
        <f ca="1">IFERROR(__xludf.DUMMYFUNCTION("IF(Cost_in_dollars!E248=""USD"",Cost_in_dollars!C248,Cost_in_dollars!C248 * GOOGLEFINANCE(""CURRENCY:"" &amp; Cost_in_dollars!E248 &amp; ""USD""))
"),35231365)</f>
        <v>35231365</v>
      </c>
      <c r="Q248" s="4">
        <f t="shared" ca="1" si="0"/>
        <v>-24768635</v>
      </c>
      <c r="R248" s="5" t="str">
        <f t="shared" si="1"/>
        <v>The Flintstones in Viva Rock Vegas</v>
      </c>
      <c r="S248" s="43" t="str">
        <f t="shared" si="5"/>
        <v>Comedy</v>
      </c>
    </row>
    <row r="249" spans="1:19" ht="15.75" customHeight="1" x14ac:dyDescent="0.25">
      <c r="A249" s="6" t="s">
        <v>1098</v>
      </c>
      <c r="B249" s="6">
        <v>142</v>
      </c>
      <c r="C249" s="6">
        <v>117541000</v>
      </c>
      <c r="D249" s="6" t="s">
        <v>1099</v>
      </c>
      <c r="E249" s="6" t="s">
        <v>54</v>
      </c>
      <c r="F249" s="6" t="s">
        <v>1100</v>
      </c>
      <c r="G249" s="6">
        <v>269858</v>
      </c>
      <c r="H249" s="6" t="s">
        <v>1101</v>
      </c>
      <c r="I249" s="6">
        <v>316</v>
      </c>
      <c r="J249" s="6" t="s">
        <v>23</v>
      </c>
      <c r="K249" s="6" t="s">
        <v>24</v>
      </c>
      <c r="L249" s="6">
        <v>70000000</v>
      </c>
      <c r="M249" s="6">
        <v>1990</v>
      </c>
      <c r="N249" s="6">
        <v>7.1</v>
      </c>
      <c r="O249" s="4">
        <f ca="1">IFERROR(__xludf.DUMMYFUNCTION("IF(Cost_in_dollars!E249=""USD"",Cost_in_dollars!B249,Cost_in_dollars!B249 * GOOGLEFINANCE(""CURRENCY:"" &amp; Cost_in_dollars!E249 &amp; ""USD""))
"),70000000)</f>
        <v>70000000</v>
      </c>
      <c r="P249" s="4">
        <f ca="1">IFERROR(__xludf.DUMMYFUNCTION("IF(Cost_in_dollars!E249=""USD"",Cost_in_dollars!C249,Cost_in_dollars!C249 * GOOGLEFINANCE(""CURRENCY:"" &amp; Cost_in_dollars!E249 &amp; ""USD""))
"),117541000)</f>
        <v>117541000</v>
      </c>
      <c r="Q249" s="6">
        <f t="shared" ca="1" si="0"/>
        <v>47541000</v>
      </c>
      <c r="R249" s="7" t="str">
        <f t="shared" si="1"/>
        <v>Die Hard 2</v>
      </c>
      <c r="S249" s="43" t="str">
        <f t="shared" si="5"/>
        <v>Action</v>
      </c>
    </row>
    <row r="250" spans="1:19" ht="15.75" customHeight="1" x14ac:dyDescent="0.25">
      <c r="A250" s="4" t="s">
        <v>416</v>
      </c>
      <c r="B250" s="4">
        <v>183</v>
      </c>
      <c r="C250" s="4">
        <v>148170000</v>
      </c>
      <c r="D250" s="4" t="s">
        <v>1102</v>
      </c>
      <c r="E250" s="4" t="s">
        <v>1103</v>
      </c>
      <c r="F250" s="4" t="s">
        <v>1104</v>
      </c>
      <c r="G250" s="4">
        <v>142293</v>
      </c>
      <c r="H250" s="4" t="s">
        <v>1105</v>
      </c>
      <c r="I250" s="4">
        <v>245</v>
      </c>
      <c r="J250" s="4" t="s">
        <v>23</v>
      </c>
      <c r="K250" s="4" t="s">
        <v>24</v>
      </c>
      <c r="L250" s="4">
        <v>11000000</v>
      </c>
      <c r="M250" s="4">
        <v>1984</v>
      </c>
      <c r="N250" s="4">
        <v>7.2</v>
      </c>
      <c r="O250" s="4">
        <f ca="1">IFERROR(__xludf.DUMMYFUNCTION("IF(Cost_in_dollars!E250=""USD"",Cost_in_dollars!B250,Cost_in_dollars!B250 * GOOGLEFINANCE(""CURRENCY:"" &amp; Cost_in_dollars!E250 &amp; ""USD""))
"),11000000)</f>
        <v>11000000</v>
      </c>
      <c r="P250" s="4">
        <f ca="1">IFERROR(__xludf.DUMMYFUNCTION("IF(Cost_in_dollars!E250=""USD"",Cost_in_dollars!C250,Cost_in_dollars!C250 * GOOGLEFINANCE(""CURRENCY:"" &amp; Cost_in_dollars!E250 &amp; ""USD""))
"),148170000)</f>
        <v>148170000</v>
      </c>
      <c r="Q250" s="4">
        <f t="shared" ca="1" si="0"/>
        <v>137170000</v>
      </c>
      <c r="R250" s="5" t="str">
        <f t="shared" si="1"/>
        <v>Gremlins</v>
      </c>
      <c r="S250" s="43" t="str">
        <f t="shared" si="5"/>
        <v>Comedy</v>
      </c>
    </row>
    <row r="251" spans="1:19" ht="15.75" customHeight="1" x14ac:dyDescent="0.25">
      <c r="A251" s="6" t="s">
        <v>1106</v>
      </c>
      <c r="B251" s="6">
        <v>10</v>
      </c>
      <c r="C251" s="6">
        <v>229311</v>
      </c>
      <c r="D251" s="6" t="s">
        <v>1107</v>
      </c>
      <c r="E251" s="6" t="s">
        <v>1108</v>
      </c>
      <c r="F251" s="6" t="s">
        <v>1109</v>
      </c>
      <c r="G251" s="6">
        <v>899</v>
      </c>
      <c r="H251" s="6" t="s">
        <v>1110</v>
      </c>
      <c r="I251" s="6">
        <v>42</v>
      </c>
      <c r="J251" s="6" t="s">
        <v>23</v>
      </c>
      <c r="K251" s="6" t="s">
        <v>1111</v>
      </c>
      <c r="L251" s="6">
        <v>11350000</v>
      </c>
      <c r="M251" s="6">
        <v>1999</v>
      </c>
      <c r="N251" s="6">
        <v>6.2</v>
      </c>
      <c r="O251" s="4">
        <f ca="1">IFERROR(__xludf.DUMMYFUNCTION("IF(Cost_in_dollars!E251=""USD"",Cost_in_dollars!B251,Cost_in_dollars!B251 * GOOGLEFINANCE(""CURRENCY:"" &amp; Cost_in_dollars!E251 &amp; ""USD""))
"),12311799)</f>
        <v>12311799</v>
      </c>
      <c r="P251" s="4">
        <f ca="1">IFERROR(__xludf.DUMMYFUNCTION("IF(Cost_in_dollars!E251=""USD"",Cost_in_dollars!C251,Cost_in_dollars!C251 * GOOGLEFINANCE(""CURRENCY:"" &amp; Cost_in_dollars!E251 &amp; ""USD""))
"),248742.81414)</f>
        <v>248742.81414</v>
      </c>
      <c r="Q251" s="6">
        <f t="shared" ca="1" si="0"/>
        <v>-12063056.185860001</v>
      </c>
      <c r="R251" s="7" t="str">
        <f t="shared" si="1"/>
        <v>One Man's Hero</v>
      </c>
      <c r="S251" s="43" t="str">
        <f t="shared" si="5"/>
        <v>Action</v>
      </c>
    </row>
    <row r="252" spans="1:19" ht="15.75" customHeight="1" x14ac:dyDescent="0.25">
      <c r="A252" s="4" t="s">
        <v>72</v>
      </c>
      <c r="B252" s="4">
        <v>336</v>
      </c>
      <c r="C252" s="4">
        <v>16969390</v>
      </c>
      <c r="D252" s="4" t="s">
        <v>116</v>
      </c>
      <c r="E252" s="4" t="s">
        <v>435</v>
      </c>
      <c r="F252" s="4" t="s">
        <v>1112</v>
      </c>
      <c r="G252" s="4">
        <v>80861</v>
      </c>
      <c r="H252" s="4" t="s">
        <v>1113</v>
      </c>
      <c r="I252" s="4">
        <v>431</v>
      </c>
      <c r="J252" s="4" t="s">
        <v>23</v>
      </c>
      <c r="K252" s="4" t="s">
        <v>24</v>
      </c>
      <c r="L252" s="4">
        <v>25000000</v>
      </c>
      <c r="M252" s="4">
        <v>2013</v>
      </c>
      <c r="N252" s="4">
        <v>5.3</v>
      </c>
      <c r="O252" s="4">
        <f ca="1">IFERROR(__xludf.DUMMYFUNCTION("IF(Cost_in_dollars!E252=""USD"",Cost_in_dollars!B252,Cost_in_dollars!B252 * GOOGLEFINANCE(""CURRENCY:"" &amp; Cost_in_dollars!E252 &amp; ""USD""))
"),25000000)</f>
        <v>25000000</v>
      </c>
      <c r="P252" s="4">
        <f ca="1">IFERROR(__xludf.DUMMYFUNCTION("IF(Cost_in_dollars!E252=""USD"",Cost_in_dollars!C252,Cost_in_dollars!C252 * GOOGLEFINANCE(""CURRENCY:"" &amp; Cost_in_dollars!E252 &amp; ""USD""))
"),16969390)</f>
        <v>16969390</v>
      </c>
      <c r="Q252" s="4">
        <f t="shared" ca="1" si="0"/>
        <v>-8030610</v>
      </c>
      <c r="R252" s="5" t="str">
        <f t="shared" si="1"/>
        <v>The Counselor</v>
      </c>
      <c r="S252" s="43" t="str">
        <f t="shared" si="5"/>
        <v>Crime</v>
      </c>
    </row>
    <row r="253" spans="1:19" ht="15.75" customHeight="1" x14ac:dyDescent="0.25">
      <c r="A253" s="6" t="s">
        <v>1114</v>
      </c>
      <c r="B253" s="6">
        <v>79</v>
      </c>
      <c r="C253" s="6">
        <v>48068396</v>
      </c>
      <c r="D253" s="6" t="s">
        <v>827</v>
      </c>
      <c r="E253" s="6" t="s">
        <v>1115</v>
      </c>
      <c r="F253" s="6" t="s">
        <v>1116</v>
      </c>
      <c r="G253" s="6">
        <v>60573</v>
      </c>
      <c r="H253" s="6" t="s">
        <v>1117</v>
      </c>
      <c r="I253" s="6">
        <v>248</v>
      </c>
      <c r="J253" s="6" t="s">
        <v>23</v>
      </c>
      <c r="K253" s="6" t="s">
        <v>24</v>
      </c>
      <c r="L253" s="6">
        <v>160000000</v>
      </c>
      <c r="M253" s="6">
        <v>1997</v>
      </c>
      <c r="N253" s="6">
        <v>3.7</v>
      </c>
      <c r="O253" s="4">
        <f ca="1">IFERROR(__xludf.DUMMYFUNCTION("IF(Cost_in_dollars!E253=""USD"",Cost_in_dollars!B253,Cost_in_dollars!B253 * GOOGLEFINANCE(""CURRENCY:"" &amp; Cost_in_dollars!E253 &amp; ""USD""))
"),160000000)</f>
        <v>160000000</v>
      </c>
      <c r="P253" s="4">
        <f ca="1">IFERROR(__xludf.DUMMYFUNCTION("IF(Cost_in_dollars!E253=""USD"",Cost_in_dollars!C253,Cost_in_dollars!C253 * GOOGLEFINANCE(""CURRENCY:"" &amp; Cost_in_dollars!E253 &amp; ""USD""))
"),48068396)</f>
        <v>48068396</v>
      </c>
      <c r="Q253" s="6">
        <f t="shared" ca="1" si="0"/>
        <v>-111931604</v>
      </c>
      <c r="R253" s="7" t="str">
        <f t="shared" si="1"/>
        <v>Speed 2: Cruise Control</v>
      </c>
      <c r="S253" s="43" t="str">
        <f t="shared" si="5"/>
        <v>Action</v>
      </c>
    </row>
    <row r="254" spans="1:19" ht="15.75" customHeight="1" x14ac:dyDescent="0.25">
      <c r="A254" s="4" t="s">
        <v>1118</v>
      </c>
      <c r="B254" s="4">
        <v>465</v>
      </c>
      <c r="C254" s="4">
        <v>195000874</v>
      </c>
      <c r="D254" s="4" t="s">
        <v>477</v>
      </c>
      <c r="E254" s="4" t="s">
        <v>223</v>
      </c>
      <c r="F254" s="4" t="s">
        <v>1119</v>
      </c>
      <c r="G254" s="4">
        <v>232187</v>
      </c>
      <c r="H254" s="4" t="s">
        <v>1120</v>
      </c>
      <c r="I254" s="4">
        <v>440</v>
      </c>
      <c r="J254" s="4" t="s">
        <v>23</v>
      </c>
      <c r="K254" s="4" t="s">
        <v>220</v>
      </c>
      <c r="L254" s="4">
        <v>150000000</v>
      </c>
      <c r="M254" s="4">
        <v>2015</v>
      </c>
      <c r="N254" s="4">
        <v>7.4</v>
      </c>
      <c r="O254" s="4">
        <f ca="1">IFERROR(__xludf.DUMMYFUNCTION("IF(Cost_in_dollars!E254=""USD"",Cost_in_dollars!B254,Cost_in_dollars!B254 * GOOGLEFINANCE(""CURRENCY:"" &amp; Cost_in_dollars!E254 &amp; ""USD""))
"),20742584.9999999)</f>
        <v>20742584.999999899</v>
      </c>
      <c r="P254" s="4">
        <f ca="1">IFERROR(__xludf.DUMMYFUNCTION("IF(Cost_in_dollars!E254=""USD"",Cost_in_dollars!C254,Cost_in_dollars!C254 * GOOGLEFINANCE(""CURRENCY:"" &amp; Cost_in_dollars!E254 &amp; ""USD""))
"),26965481.3601285)</f>
        <v>26965481.3601285</v>
      </c>
      <c r="Q254" s="4">
        <f t="shared" ca="1" si="0"/>
        <v>6222896.3601286002</v>
      </c>
      <c r="R254" s="5" t="str">
        <f t="shared" si="1"/>
        <v>Mission: Impossible - Rogue Nation</v>
      </c>
      <c r="S254" s="43" t="str">
        <f t="shared" si="5"/>
        <v>Action</v>
      </c>
    </row>
    <row r="255" spans="1:19" ht="15.75" customHeight="1" x14ac:dyDescent="0.25">
      <c r="A255" s="6" t="s">
        <v>177</v>
      </c>
      <c r="B255" s="6">
        <v>286</v>
      </c>
      <c r="C255" s="6">
        <v>102315545</v>
      </c>
      <c r="D255" s="6" t="s">
        <v>188</v>
      </c>
      <c r="E255" s="6" t="s">
        <v>168</v>
      </c>
      <c r="F255" s="6" t="s">
        <v>1121</v>
      </c>
      <c r="G255" s="6">
        <v>58137</v>
      </c>
      <c r="H255" s="6" t="s">
        <v>1122</v>
      </c>
      <c r="I255" s="6">
        <v>520</v>
      </c>
      <c r="J255" s="6" t="s">
        <v>23</v>
      </c>
      <c r="K255" s="6" t="s">
        <v>24</v>
      </c>
      <c r="L255" s="6">
        <v>165000000</v>
      </c>
      <c r="M255" s="6">
        <v>2016</v>
      </c>
      <c r="N255" s="6">
        <v>5.5</v>
      </c>
      <c r="O255" s="4">
        <f ca="1">IFERROR(__xludf.DUMMYFUNCTION("IF(Cost_in_dollars!E255=""USD"",Cost_in_dollars!B255,Cost_in_dollars!B255 * GOOGLEFINANCE(""CURRENCY:"" &amp; Cost_in_dollars!E255 &amp; ""USD""))
"),165000000)</f>
        <v>165000000</v>
      </c>
      <c r="P255" s="4">
        <f ca="1">IFERROR(__xludf.DUMMYFUNCTION("IF(Cost_in_dollars!E255=""USD"",Cost_in_dollars!C255,Cost_in_dollars!C255 * GOOGLEFINANCE(""CURRENCY:"" &amp; Cost_in_dollars!E255 &amp; ""USD""))
"),102315545)</f>
        <v>102315545</v>
      </c>
      <c r="Q255" s="6">
        <f t="shared" ca="1" si="0"/>
        <v>-62684455</v>
      </c>
      <c r="R255" s="7" t="str">
        <f t="shared" si="1"/>
        <v>Independence Day: Resurgence</v>
      </c>
      <c r="S255" s="43" t="str">
        <f t="shared" si="5"/>
        <v>Action</v>
      </c>
    </row>
    <row r="256" spans="1:19" ht="15.75" customHeight="1" x14ac:dyDescent="0.25">
      <c r="A256" s="4" t="s">
        <v>1123</v>
      </c>
      <c r="B256" s="4">
        <v>167</v>
      </c>
      <c r="C256" s="4">
        <v>49392095</v>
      </c>
      <c r="D256" s="4" t="s">
        <v>649</v>
      </c>
      <c r="E256" s="4" t="s">
        <v>444</v>
      </c>
      <c r="F256" s="4" t="s">
        <v>1124</v>
      </c>
      <c r="G256" s="4">
        <v>52029</v>
      </c>
      <c r="H256" s="4" t="s">
        <v>1125</v>
      </c>
      <c r="I256" s="4">
        <v>224</v>
      </c>
      <c r="J256" s="4" t="s">
        <v>23</v>
      </c>
      <c r="K256" s="4" t="s">
        <v>24</v>
      </c>
      <c r="L256" s="4">
        <v>100000000</v>
      </c>
      <c r="M256" s="4">
        <v>2009</v>
      </c>
      <c r="N256" s="4">
        <v>5.4</v>
      </c>
      <c r="O256" s="4">
        <f ca="1">IFERROR(__xludf.DUMMYFUNCTION("IF(Cost_in_dollars!E256=""USD"",Cost_in_dollars!B256,Cost_in_dollars!B256 * GOOGLEFINANCE(""CURRENCY:"" &amp; Cost_in_dollars!E256 &amp; ""USD""))
"),100000000)</f>
        <v>100000000</v>
      </c>
      <c r="P256" s="4">
        <f ca="1">IFERROR(__xludf.DUMMYFUNCTION("IF(Cost_in_dollars!E256=""USD"",Cost_in_dollars!C256,Cost_in_dollars!C256 * GOOGLEFINANCE(""CURRENCY:"" &amp; Cost_in_dollars!E256 &amp; ""USD""))
"),49392095)</f>
        <v>49392095</v>
      </c>
      <c r="Q256" s="4">
        <f t="shared" ca="1" si="0"/>
        <v>-50607905</v>
      </c>
      <c r="R256" s="5" t="str">
        <f t="shared" si="1"/>
        <v>Land of the Lost</v>
      </c>
      <c r="S256" s="43" t="str">
        <f t="shared" si="5"/>
        <v>Adventure</v>
      </c>
    </row>
    <row r="257" spans="1:19" ht="15.75" customHeight="1" x14ac:dyDescent="0.25">
      <c r="A257" s="6" t="s">
        <v>1126</v>
      </c>
      <c r="B257" s="6">
        <v>201</v>
      </c>
      <c r="C257" s="6">
        <v>61644321</v>
      </c>
      <c r="D257" s="6" t="s">
        <v>1127</v>
      </c>
      <c r="E257" s="6" t="s">
        <v>1128</v>
      </c>
      <c r="F257" s="6" t="s">
        <v>1129</v>
      </c>
      <c r="G257" s="6">
        <v>148238</v>
      </c>
      <c r="H257" s="6" t="s">
        <v>1130</v>
      </c>
      <c r="I257" s="6">
        <v>529</v>
      </c>
      <c r="J257" s="6" t="s">
        <v>23</v>
      </c>
      <c r="K257" s="6" t="s">
        <v>24</v>
      </c>
      <c r="L257" s="6">
        <v>88000000</v>
      </c>
      <c r="M257" s="6">
        <v>2005</v>
      </c>
      <c r="N257" s="6">
        <v>8</v>
      </c>
      <c r="O257" s="4">
        <f ca="1">IFERROR(__xludf.DUMMYFUNCTION("IF(Cost_in_dollars!E257=""USD"",Cost_in_dollars!B257,Cost_in_dollars!B257 * GOOGLEFINANCE(""CURRENCY:"" &amp; Cost_in_dollars!E257 &amp; ""USD""))
"),88000000)</f>
        <v>88000000</v>
      </c>
      <c r="P257" s="4">
        <f ca="1">IFERROR(__xludf.DUMMYFUNCTION("IF(Cost_in_dollars!E257=""USD"",Cost_in_dollars!C257,Cost_in_dollars!C257 * GOOGLEFINANCE(""CURRENCY:"" &amp; Cost_in_dollars!E257 &amp; ""USD""))
"),61644321)</f>
        <v>61644321</v>
      </c>
      <c r="Q257" s="6">
        <f t="shared" ref="Q257:Q511" ca="1" si="6">P257-O257</f>
        <v>-26355679</v>
      </c>
      <c r="R257" s="7" t="str">
        <f t="shared" ref="R257:R511" si="7">LEFT(F257,LEN(F257)-2)</f>
        <v>Cinderella Man</v>
      </c>
      <c r="S257" s="43" t="str">
        <f t="shared" si="5"/>
        <v>Biography</v>
      </c>
    </row>
    <row r="258" spans="1:19" ht="15.75" customHeight="1" x14ac:dyDescent="0.25">
      <c r="A258" s="4" t="s">
        <v>1131</v>
      </c>
      <c r="B258" s="4">
        <v>58</v>
      </c>
      <c r="C258" s="4">
        <v>40066497</v>
      </c>
      <c r="D258" s="4" t="s">
        <v>421</v>
      </c>
      <c r="E258" s="4" t="s">
        <v>1132</v>
      </c>
      <c r="F258" s="4" t="s">
        <v>1133</v>
      </c>
      <c r="G258" s="4">
        <v>23671</v>
      </c>
      <c r="H258" s="4" t="s">
        <v>1134</v>
      </c>
      <c r="I258" s="4">
        <v>247</v>
      </c>
      <c r="J258" s="4" t="s">
        <v>23</v>
      </c>
      <c r="K258" s="4" t="s">
        <v>24</v>
      </c>
      <c r="L258" s="4">
        <v>8000000</v>
      </c>
      <c r="M258" s="4">
        <v>2004</v>
      </c>
      <c r="N258" s="4">
        <v>3.5</v>
      </c>
      <c r="O258" s="4">
        <f ca="1">IFERROR(__xludf.DUMMYFUNCTION("IF(Cost_in_dollars!E258=""USD"",Cost_in_dollars!B258,Cost_in_dollars!B258 * GOOGLEFINANCE(""CURRENCY:"" &amp; Cost_in_dollars!E258 &amp; ""USD""))
"),8000000)</f>
        <v>8000000</v>
      </c>
      <c r="P258" s="4">
        <f ca="1">IFERROR(__xludf.DUMMYFUNCTION("IF(Cost_in_dollars!E258=""USD"",Cost_in_dollars!C258,Cost_in_dollars!C258 * GOOGLEFINANCE(""CURRENCY:"" &amp; Cost_in_dollars!E258 &amp; ""USD""))
"),40066497)</f>
        <v>40066497</v>
      </c>
      <c r="Q258" s="4">
        <f t="shared" ca="1" si="6"/>
        <v>32066497</v>
      </c>
      <c r="R258" s="5" t="str">
        <f t="shared" si="7"/>
        <v>You Got Served</v>
      </c>
      <c r="S258" s="43" t="str">
        <f t="shared" ref="S258:S321" si="8">IF(ISNUMBER(FIND("|", D258)), LEFT(D258, FIND("|", D258) - 1), D258)</f>
        <v>Drama</v>
      </c>
    </row>
    <row r="259" spans="1:19" ht="15.75" customHeight="1" x14ac:dyDescent="0.25">
      <c r="A259" s="6" t="s">
        <v>1135</v>
      </c>
      <c r="B259" s="6">
        <v>161</v>
      </c>
      <c r="C259" s="6">
        <v>20801344</v>
      </c>
      <c r="D259" s="6" t="s">
        <v>151</v>
      </c>
      <c r="E259" s="6" t="s">
        <v>1136</v>
      </c>
      <c r="F259" s="6" t="s">
        <v>1137</v>
      </c>
      <c r="G259" s="6">
        <v>49721</v>
      </c>
      <c r="H259" s="6" t="s">
        <v>1138</v>
      </c>
      <c r="I259" s="6">
        <v>211</v>
      </c>
      <c r="J259" s="6" t="s">
        <v>23</v>
      </c>
      <c r="K259" s="6" t="s">
        <v>24</v>
      </c>
      <c r="L259" s="6">
        <v>15000000</v>
      </c>
      <c r="M259" s="6">
        <v>2007</v>
      </c>
      <c r="N259" s="6">
        <v>5.0999999999999996</v>
      </c>
      <c r="O259" s="4">
        <f ca="1">IFERROR(__xludf.DUMMYFUNCTION("IF(Cost_in_dollars!E259=""USD"",Cost_in_dollars!B259,Cost_in_dollars!B259 * GOOGLEFINANCE(""CURRENCY:"" &amp; Cost_in_dollars!E259 &amp; ""USD""))
"),15000000)</f>
        <v>15000000</v>
      </c>
      <c r="P259" s="4">
        <f ca="1">IFERROR(__xludf.DUMMYFUNCTION("IF(Cost_in_dollars!E259=""USD"",Cost_in_dollars!C259,Cost_in_dollars!C259 * GOOGLEFINANCE(""CURRENCY:"" &amp; Cost_in_dollars!E259 &amp; ""USD""))
"),20801344)</f>
        <v>20801344</v>
      </c>
      <c r="Q259" s="6">
        <f t="shared" ca="1" si="6"/>
        <v>5801344</v>
      </c>
      <c r="R259" s="7" t="str">
        <f t="shared" si="7"/>
        <v>The Hills Have Eyes II</v>
      </c>
      <c r="S259" s="43" t="str">
        <f t="shared" si="8"/>
        <v>Horror</v>
      </c>
    </row>
    <row r="260" spans="1:19" ht="15.75" customHeight="1" x14ac:dyDescent="0.25">
      <c r="A260" s="4" t="s">
        <v>472</v>
      </c>
      <c r="B260" s="4">
        <v>335</v>
      </c>
      <c r="C260" s="4">
        <v>20999103</v>
      </c>
      <c r="D260" s="4" t="s">
        <v>1139</v>
      </c>
      <c r="E260" s="4" t="s">
        <v>473</v>
      </c>
      <c r="F260" s="4" t="s">
        <v>1140</v>
      </c>
      <c r="G260" s="4">
        <v>139114</v>
      </c>
      <c r="H260" s="4" t="s">
        <v>1141</v>
      </c>
      <c r="I260" s="4">
        <v>245</v>
      </c>
      <c r="J260" s="4" t="s">
        <v>23</v>
      </c>
      <c r="K260" s="4" t="s">
        <v>24</v>
      </c>
      <c r="L260" s="4">
        <v>40000000</v>
      </c>
      <c r="M260" s="4">
        <v>2009</v>
      </c>
      <c r="N260" s="4">
        <v>7.8</v>
      </c>
      <c r="O260" s="4">
        <f ca="1">IFERROR(__xludf.DUMMYFUNCTION("IF(Cost_in_dollars!E260=""USD"",Cost_in_dollars!B260,Cost_in_dollars!B260 * GOOGLEFINANCE(""CURRENCY:"" &amp; Cost_in_dollars!E260 &amp; ""USD""))
"),40000000)</f>
        <v>40000000</v>
      </c>
      <c r="P260" s="4">
        <f ca="1">IFERROR(__xludf.DUMMYFUNCTION("IF(Cost_in_dollars!E260=""USD"",Cost_in_dollars!C260,Cost_in_dollars!C260 * GOOGLEFINANCE(""CURRENCY:"" &amp; Cost_in_dollars!E260 &amp; ""USD""))
"),20999103)</f>
        <v>20999103</v>
      </c>
      <c r="Q260" s="4">
        <f t="shared" ca="1" si="6"/>
        <v>-19000897</v>
      </c>
      <c r="R260" s="5" t="str">
        <f t="shared" si="7"/>
        <v>Fantastic Mr. Fox</v>
      </c>
      <c r="S260" s="43" t="str">
        <f t="shared" si="8"/>
        <v>Adventure</v>
      </c>
    </row>
    <row r="261" spans="1:19" ht="15.75" customHeight="1" x14ac:dyDescent="0.25">
      <c r="A261" s="6" t="s">
        <v>1142</v>
      </c>
      <c r="B261" s="6">
        <v>181</v>
      </c>
      <c r="C261" s="6">
        <v>15854988</v>
      </c>
      <c r="D261" s="6" t="s">
        <v>235</v>
      </c>
      <c r="E261" s="6" t="s">
        <v>44</v>
      </c>
      <c r="F261" s="6" t="s">
        <v>1143</v>
      </c>
      <c r="G261" s="6">
        <v>36542</v>
      </c>
      <c r="H261" s="6" t="s">
        <v>1144</v>
      </c>
      <c r="I261" s="6">
        <v>378</v>
      </c>
      <c r="J261" s="6" t="s">
        <v>23</v>
      </c>
      <c r="K261" s="6" t="s">
        <v>24</v>
      </c>
      <c r="L261" s="6">
        <v>13500000</v>
      </c>
      <c r="M261" s="6">
        <v>2002</v>
      </c>
      <c r="N261" s="6">
        <v>7.4</v>
      </c>
      <c r="O261" s="4">
        <f ca="1">IFERROR(__xludf.DUMMYFUNCTION("IF(Cost_in_dollars!E261=""USD"",Cost_in_dollars!B261,Cost_in_dollars!B261 * GOOGLEFINANCE(""CURRENCY:"" &amp; Cost_in_dollars!E261 &amp; ""USD""))
"),13500000)</f>
        <v>13500000</v>
      </c>
      <c r="P261" s="4">
        <f ca="1">IFERROR(__xludf.DUMMYFUNCTION("IF(Cost_in_dollars!E261=""USD"",Cost_in_dollars!C261,Cost_in_dollars!C261 * GOOGLEFINANCE(""CURRENCY:"" &amp; Cost_in_dollars!E261 &amp; ""USD""))
"),15854988)</f>
        <v>15854988</v>
      </c>
      <c r="Q261" s="6">
        <f t="shared" ca="1" si="6"/>
        <v>2354988</v>
      </c>
      <c r="R261" s="7" t="str">
        <f t="shared" si="7"/>
        <v>Far from Heaven</v>
      </c>
      <c r="S261" s="43" t="str">
        <f t="shared" si="8"/>
        <v>Drama</v>
      </c>
    </row>
    <row r="262" spans="1:19" ht="15.75" customHeight="1" x14ac:dyDescent="0.25">
      <c r="A262" s="4" t="s">
        <v>1145</v>
      </c>
      <c r="B262" s="4">
        <v>207</v>
      </c>
      <c r="C262" s="4">
        <v>57637485</v>
      </c>
      <c r="D262" s="4" t="s">
        <v>797</v>
      </c>
      <c r="E262" s="4" t="s">
        <v>920</v>
      </c>
      <c r="F262" s="4" t="s">
        <v>1146</v>
      </c>
      <c r="G262" s="4">
        <v>183909</v>
      </c>
      <c r="H262" s="4" t="s">
        <v>1147</v>
      </c>
      <c r="I262" s="4">
        <v>666</v>
      </c>
      <c r="J262" s="4" t="s">
        <v>23</v>
      </c>
      <c r="K262" s="4" t="s">
        <v>24</v>
      </c>
      <c r="L262" s="4">
        <v>105000000</v>
      </c>
      <c r="M262" s="4">
        <v>2004</v>
      </c>
      <c r="N262" s="4">
        <v>6.7</v>
      </c>
      <c r="O262" s="4">
        <f ca="1">IFERROR(__xludf.DUMMYFUNCTION("IF(Cost_in_dollars!E262=""USD"",Cost_in_dollars!B262,Cost_in_dollars!B262 * GOOGLEFINANCE(""CURRENCY:"" &amp; Cost_in_dollars!E262 &amp; ""USD""))
"),105000000)</f>
        <v>105000000</v>
      </c>
      <c r="P262" s="4">
        <f ca="1">IFERROR(__xludf.DUMMYFUNCTION("IF(Cost_in_dollars!E262=""USD"",Cost_in_dollars!C262,Cost_in_dollars!C262 * GOOGLEFINANCE(""CURRENCY:"" &amp; Cost_in_dollars!E262 &amp; ""USD""))
"),57637485)</f>
        <v>57637485</v>
      </c>
      <c r="Q262" s="4">
        <f t="shared" ca="1" si="6"/>
        <v>-47362515</v>
      </c>
      <c r="R262" s="5" t="str">
        <f t="shared" si="7"/>
        <v>The Chronicles of Riddick</v>
      </c>
      <c r="S262" s="43" t="str">
        <f t="shared" si="8"/>
        <v>Action</v>
      </c>
    </row>
    <row r="263" spans="1:19" ht="15.75" customHeight="1" x14ac:dyDescent="0.25">
      <c r="A263" s="6" t="s">
        <v>1148</v>
      </c>
      <c r="B263" s="6">
        <v>19</v>
      </c>
      <c r="C263" s="6">
        <v>10305534</v>
      </c>
      <c r="D263" s="6" t="s">
        <v>140</v>
      </c>
      <c r="E263" s="6" t="s">
        <v>1149</v>
      </c>
      <c r="F263" s="6" t="s">
        <v>1150</v>
      </c>
      <c r="G263" s="6">
        <v>1721</v>
      </c>
      <c r="H263" s="6" t="s">
        <v>1151</v>
      </c>
      <c r="I263" s="6">
        <v>38</v>
      </c>
      <c r="J263" s="6" t="s">
        <v>23</v>
      </c>
      <c r="K263" s="6" t="s">
        <v>24</v>
      </c>
      <c r="L263" s="6">
        <v>3500000</v>
      </c>
      <c r="M263" s="6">
        <v>1998</v>
      </c>
      <c r="N263" s="6">
        <v>3.9</v>
      </c>
      <c r="O263" s="4">
        <f ca="1">IFERROR(__xludf.DUMMYFUNCTION("IF(Cost_in_dollars!E263=""USD"",Cost_in_dollars!B263,Cost_in_dollars!B263 * GOOGLEFINANCE(""CURRENCY:"" &amp; Cost_in_dollars!E263 &amp; ""USD""))
"),3500000)</f>
        <v>3500000</v>
      </c>
      <c r="P263" s="4">
        <f ca="1">IFERROR(__xludf.DUMMYFUNCTION("IF(Cost_in_dollars!E263=""USD"",Cost_in_dollars!C263,Cost_in_dollars!C263 * GOOGLEFINANCE(""CURRENCY:"" &amp; Cost_in_dollars!E263 &amp; ""USD""))
"),10305534)</f>
        <v>10305534</v>
      </c>
      <c r="Q263" s="6">
        <f t="shared" ca="1" si="6"/>
        <v>6805534</v>
      </c>
      <c r="R263" s="7" t="str">
        <f t="shared" si="7"/>
        <v>I Got the Hook Up</v>
      </c>
      <c r="S263" s="43" t="str">
        <f t="shared" si="8"/>
        <v>Comedy</v>
      </c>
    </row>
    <row r="264" spans="1:19" ht="15.75" customHeight="1" x14ac:dyDescent="0.25">
      <c r="A264" s="4" t="s">
        <v>695</v>
      </c>
      <c r="B264" s="4">
        <v>134</v>
      </c>
      <c r="C264" s="4">
        <v>158115031</v>
      </c>
      <c r="D264" s="4" t="s">
        <v>1152</v>
      </c>
      <c r="E264" s="4" t="s">
        <v>619</v>
      </c>
      <c r="F264" s="4" t="s">
        <v>1153</v>
      </c>
      <c r="G264" s="4">
        <v>130070</v>
      </c>
      <c r="H264" s="4" t="s">
        <v>1154</v>
      </c>
      <c r="I264" s="4">
        <v>316</v>
      </c>
      <c r="J264" s="4" t="s">
        <v>23</v>
      </c>
      <c r="K264" s="4" t="s">
        <v>24</v>
      </c>
      <c r="L264" s="4">
        <v>82000000</v>
      </c>
      <c r="M264" s="4">
        <v>2005</v>
      </c>
      <c r="N264" s="4">
        <v>6.4</v>
      </c>
      <c r="O264" s="4">
        <f ca="1">IFERROR(__xludf.DUMMYFUNCTION("IF(Cost_in_dollars!E264=""USD"",Cost_in_dollars!B264,Cost_in_dollars!B264 * GOOGLEFINANCE(""CURRENCY:"" &amp; Cost_in_dollars!E264 &amp; ""USD""))
"),82000000)</f>
        <v>82000000</v>
      </c>
      <c r="P264" s="4">
        <f ca="1">IFERROR(__xludf.DUMMYFUNCTION("IF(Cost_in_dollars!E264=""USD"",Cost_in_dollars!C264,Cost_in_dollars!C264 * GOOGLEFINANCE(""CURRENCY:"" &amp; Cost_in_dollars!E264 &amp; ""USD""))
"),158115031)</f>
        <v>158115031</v>
      </c>
      <c r="Q264" s="4">
        <f t="shared" ca="1" si="6"/>
        <v>76115031</v>
      </c>
      <c r="R264" s="5" t="str">
        <f t="shared" si="7"/>
        <v>The Longest Yard</v>
      </c>
      <c r="S264" s="43" t="str">
        <f t="shared" si="8"/>
        <v>Comedy</v>
      </c>
    </row>
    <row r="265" spans="1:19" ht="15.75" customHeight="1" x14ac:dyDescent="0.25">
      <c r="A265" s="6" t="s">
        <v>1155</v>
      </c>
      <c r="B265" s="6">
        <v>226</v>
      </c>
      <c r="C265" s="6">
        <v>40168080</v>
      </c>
      <c r="D265" s="6" t="s">
        <v>482</v>
      </c>
      <c r="E265" s="6" t="s">
        <v>44</v>
      </c>
      <c r="F265" s="6" t="s">
        <v>1156</v>
      </c>
      <c r="G265" s="6">
        <v>80870</v>
      </c>
      <c r="H265" s="6" t="s">
        <v>1157</v>
      </c>
      <c r="I265" s="6">
        <v>315</v>
      </c>
      <c r="J265" s="6" t="s">
        <v>23</v>
      </c>
      <c r="K265" s="6" t="s">
        <v>24</v>
      </c>
      <c r="L265" s="6">
        <v>26000000</v>
      </c>
      <c r="M265" s="6">
        <v>2010</v>
      </c>
      <c r="N265" s="6">
        <v>5.2</v>
      </c>
      <c r="O265" s="4">
        <f ca="1">IFERROR(__xludf.DUMMYFUNCTION("IF(Cost_in_dollars!E265=""USD"",Cost_in_dollars!B265,Cost_in_dollars!B265 * GOOGLEFINANCE(""CURRENCY:"" &amp; Cost_in_dollars!E265 &amp; ""USD""))
"),26000000)</f>
        <v>26000000</v>
      </c>
      <c r="P265" s="4">
        <f ca="1">IFERROR(__xludf.DUMMYFUNCTION("IF(Cost_in_dollars!E265=""USD"",Cost_in_dollars!C265,Cost_in_dollars!C265 * GOOGLEFINANCE(""CURRENCY:"" &amp; Cost_in_dollars!E265 &amp; ""USD""))
"),40168080)</f>
        <v>40168080</v>
      </c>
      <c r="Q265" s="6">
        <f t="shared" ca="1" si="6"/>
        <v>14168080</v>
      </c>
      <c r="R265" s="7" t="str">
        <f t="shared" si="7"/>
        <v>Legion</v>
      </c>
      <c r="S265" s="43" t="str">
        <f t="shared" si="8"/>
        <v>Action</v>
      </c>
    </row>
    <row r="266" spans="1:19" ht="15.75" customHeight="1" x14ac:dyDescent="0.25">
      <c r="A266" s="4" t="s">
        <v>503</v>
      </c>
      <c r="B266" s="4">
        <v>112</v>
      </c>
      <c r="C266" s="4">
        <v>7659747</v>
      </c>
      <c r="D266" s="4" t="s">
        <v>1158</v>
      </c>
      <c r="E266" s="4" t="s">
        <v>1159</v>
      </c>
      <c r="F266" s="4" t="s">
        <v>1160</v>
      </c>
      <c r="G266" s="4">
        <v>14962</v>
      </c>
      <c r="H266" s="4" t="s">
        <v>1161</v>
      </c>
      <c r="I266" s="4">
        <v>204</v>
      </c>
      <c r="J266" s="4" t="s">
        <v>23</v>
      </c>
      <c r="K266" s="4" t="s">
        <v>24</v>
      </c>
      <c r="L266" s="4">
        <v>38000000</v>
      </c>
      <c r="M266" s="4">
        <v>2003</v>
      </c>
      <c r="N266" s="4">
        <v>5.0999999999999996</v>
      </c>
      <c r="O266" s="4">
        <f ca="1">IFERROR(__xludf.DUMMYFUNCTION("IF(Cost_in_dollars!E266=""USD"",Cost_in_dollars!B266,Cost_in_dollars!B266 * GOOGLEFINANCE(""CURRENCY:"" &amp; Cost_in_dollars!E266 &amp; ""USD""))
"),38000000)</f>
        <v>38000000</v>
      </c>
      <c r="P266" s="4">
        <f ca="1">IFERROR(__xludf.DUMMYFUNCTION("IF(Cost_in_dollars!E266=""USD"",Cost_in_dollars!C266,Cost_in_dollars!C266 * GOOGLEFINANCE(""CURRENCY:"" &amp; Cost_in_dollars!E266 &amp; ""USD""))
"),7659747)</f>
        <v>7659747</v>
      </c>
      <c r="Q266" s="4">
        <f t="shared" ca="1" si="6"/>
        <v>-30340253</v>
      </c>
      <c r="R266" s="5" t="str">
        <f t="shared" si="7"/>
        <v>The Order</v>
      </c>
      <c r="S266" s="43" t="str">
        <f t="shared" si="8"/>
        <v>Action</v>
      </c>
    </row>
    <row r="267" spans="1:19" ht="15.75" customHeight="1" x14ac:dyDescent="0.25">
      <c r="A267" s="6" t="s">
        <v>1162</v>
      </c>
      <c r="B267" s="6">
        <v>168</v>
      </c>
      <c r="C267" s="6">
        <v>30659817</v>
      </c>
      <c r="D267" s="6" t="s">
        <v>457</v>
      </c>
      <c r="E267" s="6" t="s">
        <v>1163</v>
      </c>
      <c r="F267" s="6" t="s">
        <v>1164</v>
      </c>
      <c r="G267" s="6">
        <v>59805</v>
      </c>
      <c r="H267" s="6" t="s">
        <v>1165</v>
      </c>
      <c r="I267" s="6">
        <v>95</v>
      </c>
      <c r="J267" s="6" t="s">
        <v>23</v>
      </c>
      <c r="K267" s="6" t="s">
        <v>24</v>
      </c>
      <c r="L267" s="6">
        <v>26000000</v>
      </c>
      <c r="M267" s="6">
        <v>2013</v>
      </c>
      <c r="N267" s="6">
        <v>6.4</v>
      </c>
      <c r="O267" s="4">
        <f ca="1">IFERROR(__xludf.DUMMYFUNCTION("IF(Cost_in_dollars!E267=""USD"",Cost_in_dollars!B267,Cost_in_dollars!B267 * GOOGLEFINANCE(""CURRENCY:"" &amp; Cost_in_dollars!E267 &amp; ""USD""))
"),26000000)</f>
        <v>26000000</v>
      </c>
      <c r="P267" s="4">
        <f ca="1">IFERROR(__xludf.DUMMYFUNCTION("IF(Cost_in_dollars!E267=""USD"",Cost_in_dollars!C267,Cost_in_dollars!C267 * GOOGLEFINANCE(""CURRENCY:"" &amp; Cost_in_dollars!E267 &amp; ""USD""))
"),30659817)</f>
        <v>30659817</v>
      </c>
      <c r="Q267" s="6">
        <f t="shared" ca="1" si="6"/>
        <v>4659817</v>
      </c>
      <c r="R267" s="7" t="str">
        <f t="shared" si="7"/>
        <v>Delivery Man</v>
      </c>
      <c r="S267" s="43" t="str">
        <f t="shared" si="8"/>
        <v>Comedy</v>
      </c>
    </row>
    <row r="268" spans="1:19" ht="15.75" customHeight="1" x14ac:dyDescent="0.25">
      <c r="A268" s="4" t="s">
        <v>1166</v>
      </c>
      <c r="B268" s="4">
        <v>143</v>
      </c>
      <c r="C268" s="4">
        <v>120618403</v>
      </c>
      <c r="D268" s="4" t="s">
        <v>1167</v>
      </c>
      <c r="E268" s="4" t="s">
        <v>1168</v>
      </c>
      <c r="F268" s="4" t="s">
        <v>1169</v>
      </c>
      <c r="G268" s="4">
        <v>171792</v>
      </c>
      <c r="H268" s="4" t="s">
        <v>1170</v>
      </c>
      <c r="I268" s="4">
        <v>222</v>
      </c>
      <c r="J268" s="4" t="s">
        <v>23</v>
      </c>
      <c r="K268" s="4" t="s">
        <v>24</v>
      </c>
      <c r="L268" s="4">
        <v>90000000</v>
      </c>
      <c r="M268" s="4">
        <v>1998</v>
      </c>
      <c r="N268" s="4">
        <v>7.5</v>
      </c>
      <c r="O268" s="4">
        <f ca="1">IFERROR(__xludf.DUMMYFUNCTION("IF(Cost_in_dollars!E268=""USD"",Cost_in_dollars!B268,Cost_in_dollars!B268 * GOOGLEFINANCE(""CURRENCY:"" &amp; Cost_in_dollars!E268 &amp; ""USD""))
"),90000000)</f>
        <v>90000000</v>
      </c>
      <c r="P268" s="4">
        <f ca="1">IFERROR(__xludf.DUMMYFUNCTION("IF(Cost_in_dollars!E268=""USD"",Cost_in_dollars!C268,Cost_in_dollars!C268 * GOOGLEFINANCE(""CURRENCY:"" &amp; Cost_in_dollars!E268 &amp; ""USD""))
"),120618403)</f>
        <v>120618403</v>
      </c>
      <c r="Q268" s="4">
        <f t="shared" ca="1" si="6"/>
        <v>30618403</v>
      </c>
      <c r="R268" s="5" t="str">
        <f t="shared" si="7"/>
        <v>Mulan</v>
      </c>
      <c r="S268" s="43" t="str">
        <f t="shared" si="8"/>
        <v>Adventure</v>
      </c>
    </row>
    <row r="269" spans="1:19" ht="15.75" customHeight="1" x14ac:dyDescent="0.25">
      <c r="A269" s="6" t="s">
        <v>1171</v>
      </c>
      <c r="B269" s="6">
        <v>43</v>
      </c>
      <c r="C269" s="6">
        <v>38037513</v>
      </c>
      <c r="D269" s="6" t="s">
        <v>1172</v>
      </c>
      <c r="E269" s="6" t="s">
        <v>1173</v>
      </c>
      <c r="F269" s="6" t="s">
        <v>1174</v>
      </c>
      <c r="G269" s="6">
        <v>49680</v>
      </c>
      <c r="H269" s="6" t="s">
        <v>1175</v>
      </c>
      <c r="I269" s="6">
        <v>117</v>
      </c>
      <c r="J269" s="6" t="s">
        <v>23</v>
      </c>
      <c r="K269" s="6" t="s">
        <v>24</v>
      </c>
      <c r="L269" s="6">
        <v>20000000</v>
      </c>
      <c r="M269" s="6">
        <v>1991</v>
      </c>
      <c r="N269" s="6">
        <v>6.2</v>
      </c>
      <c r="O269" s="4">
        <f ca="1">IFERROR(__xludf.DUMMYFUNCTION("IF(Cost_in_dollars!E269=""USD"",Cost_in_dollars!B269,Cost_in_dollars!B269 * GOOGLEFINANCE(""CURRENCY:"" &amp; Cost_in_dollars!E269 &amp; ""USD""))
"),20000000)</f>
        <v>20000000</v>
      </c>
      <c r="P269" s="4">
        <f ca="1">IFERROR(__xludf.DUMMYFUNCTION("IF(Cost_in_dollars!E269=""USD"",Cost_in_dollars!C269,Cost_in_dollars!C269 * GOOGLEFINANCE(""CURRENCY:"" &amp; Cost_in_dollars!E269 &amp; ""USD""))
"),38037513)</f>
        <v>38037513</v>
      </c>
      <c r="Q269" s="6">
        <f t="shared" ca="1" si="6"/>
        <v>18037513</v>
      </c>
      <c r="R269" s="7" t="str">
        <f t="shared" si="7"/>
        <v>Bill &amp; Ted's Bogus Journey</v>
      </c>
      <c r="S269" s="43" t="str">
        <f t="shared" si="8"/>
        <v>Adventure</v>
      </c>
    </row>
    <row r="270" spans="1:19" ht="15.75" customHeight="1" x14ac:dyDescent="0.25">
      <c r="A270" s="4" t="s">
        <v>1001</v>
      </c>
      <c r="B270" s="4">
        <v>308</v>
      </c>
      <c r="C270" s="4">
        <v>43982842</v>
      </c>
      <c r="D270" s="4" t="s">
        <v>1176</v>
      </c>
      <c r="E270" s="4" t="s">
        <v>1177</v>
      </c>
      <c r="F270" s="4" t="s">
        <v>1178</v>
      </c>
      <c r="G270" s="4">
        <v>125114</v>
      </c>
      <c r="H270" s="4" t="s">
        <v>1179</v>
      </c>
      <c r="I270" s="4">
        <v>593</v>
      </c>
      <c r="J270" s="4" t="s">
        <v>23</v>
      </c>
      <c r="K270" s="4" t="s">
        <v>24</v>
      </c>
      <c r="L270" s="4">
        <v>65000000</v>
      </c>
      <c r="M270" s="4">
        <v>2009</v>
      </c>
      <c r="N270" s="4">
        <v>6.7</v>
      </c>
      <c r="O270" s="4">
        <f ca="1">IFERROR(__xludf.DUMMYFUNCTION("IF(Cost_in_dollars!E270=""USD"",Cost_in_dollars!B270,Cost_in_dollars!B270 * GOOGLEFINANCE(""CURRENCY:"" &amp; Cost_in_dollars!E270 &amp; ""USD""))
"),65000000)</f>
        <v>65000000</v>
      </c>
      <c r="P270" s="4">
        <f ca="1">IFERROR(__xludf.DUMMYFUNCTION("IF(Cost_in_dollars!E270=""USD"",Cost_in_dollars!C270,Cost_in_dollars!C270 * GOOGLEFINANCE(""CURRENCY:"" &amp; Cost_in_dollars!E270 &amp; ""USD""))
"),43982842)</f>
        <v>43982842</v>
      </c>
      <c r="Q270" s="4">
        <f t="shared" ca="1" si="6"/>
        <v>-21017158</v>
      </c>
      <c r="R270" s="5" t="str">
        <f t="shared" si="7"/>
        <v>The Lovely Bones</v>
      </c>
      <c r="S270" s="43" t="str">
        <f t="shared" si="8"/>
        <v>Drama</v>
      </c>
    </row>
    <row r="271" spans="1:19" ht="15.75" customHeight="1" x14ac:dyDescent="0.25">
      <c r="A271" s="6" t="s">
        <v>1118</v>
      </c>
      <c r="B271" s="6">
        <v>387</v>
      </c>
      <c r="C271" s="6">
        <v>80033643</v>
      </c>
      <c r="D271" s="6" t="s">
        <v>1180</v>
      </c>
      <c r="E271" s="6" t="s">
        <v>223</v>
      </c>
      <c r="F271" s="6" t="s">
        <v>1181</v>
      </c>
      <c r="G271" s="6">
        <v>226570</v>
      </c>
      <c r="H271" s="6" t="s">
        <v>1182</v>
      </c>
      <c r="I271" s="6">
        <v>448</v>
      </c>
      <c r="J271" s="6" t="s">
        <v>23</v>
      </c>
      <c r="K271" s="6" t="s">
        <v>24</v>
      </c>
      <c r="L271" s="6">
        <v>60000000</v>
      </c>
      <c r="M271" s="6">
        <v>2012</v>
      </c>
      <c r="N271" s="6">
        <v>7</v>
      </c>
      <c r="O271" s="4">
        <f ca="1">IFERROR(__xludf.DUMMYFUNCTION("IF(Cost_in_dollars!E271=""USD"",Cost_in_dollars!B271,Cost_in_dollars!B271 * GOOGLEFINANCE(""CURRENCY:"" &amp; Cost_in_dollars!E271 &amp; ""USD""))
"),60000000)</f>
        <v>60000000</v>
      </c>
      <c r="P271" s="4">
        <f ca="1">IFERROR(__xludf.DUMMYFUNCTION("IF(Cost_in_dollars!E271=""USD"",Cost_in_dollars!C271,Cost_in_dollars!C271 * GOOGLEFINANCE(""CURRENCY:"" &amp; Cost_in_dollars!E271 &amp; ""USD""))
"),80033643)</f>
        <v>80033643</v>
      </c>
      <c r="Q271" s="6">
        <f t="shared" ca="1" si="6"/>
        <v>20033643</v>
      </c>
      <c r="R271" s="7" t="str">
        <f t="shared" si="7"/>
        <v>Jack Reacher</v>
      </c>
      <c r="S271" s="43" t="str">
        <f t="shared" si="8"/>
        <v>Action</v>
      </c>
    </row>
    <row r="272" spans="1:19" ht="15.75" customHeight="1" x14ac:dyDescent="0.25">
      <c r="A272" s="4" t="s">
        <v>1183</v>
      </c>
      <c r="B272" s="4">
        <v>45</v>
      </c>
      <c r="C272" s="4">
        <v>31179516</v>
      </c>
      <c r="D272" s="4" t="s">
        <v>140</v>
      </c>
      <c r="E272" s="4" t="s">
        <v>1184</v>
      </c>
      <c r="F272" s="4" t="s">
        <v>1185</v>
      </c>
      <c r="G272" s="4">
        <v>5928</v>
      </c>
      <c r="H272" s="4" t="s">
        <v>1186</v>
      </c>
      <c r="I272" s="4">
        <v>49</v>
      </c>
      <c r="J272" s="4" t="s">
        <v>23</v>
      </c>
      <c r="K272" s="4" t="s">
        <v>24</v>
      </c>
      <c r="L272" s="4">
        <v>12000000</v>
      </c>
      <c r="M272" s="4">
        <v>2004</v>
      </c>
      <c r="N272" s="4">
        <v>4.3</v>
      </c>
      <c r="O272" s="4">
        <f ca="1">IFERROR(__xludf.DUMMYFUNCTION("IF(Cost_in_dollars!E272=""USD"",Cost_in_dollars!B272,Cost_in_dollars!B272 * GOOGLEFINANCE(""CURRENCY:"" &amp; Cost_in_dollars!E272 &amp; ""USD""))
"),12000000)</f>
        <v>12000000</v>
      </c>
      <c r="P272" s="4">
        <f ca="1">IFERROR(__xludf.DUMMYFUNCTION("IF(Cost_in_dollars!E272=""USD"",Cost_in_dollars!C272,Cost_in_dollars!C272 * GOOGLEFINANCE(""CURRENCY:"" &amp; Cost_in_dollars!E272 &amp; ""USD""))
"),31179516)</f>
        <v>31179516</v>
      </c>
      <c r="Q272" s="4">
        <f t="shared" ca="1" si="6"/>
        <v>19179516</v>
      </c>
      <c r="R272" s="5" t="str">
        <f t="shared" si="7"/>
        <v>Johnson Family Vacation</v>
      </c>
      <c r="S272" s="43" t="str">
        <f t="shared" si="8"/>
        <v>Comedy</v>
      </c>
    </row>
    <row r="273" spans="1:19" ht="15.75" customHeight="1" x14ac:dyDescent="0.25">
      <c r="A273" s="6" t="s">
        <v>1187</v>
      </c>
      <c r="B273" s="6">
        <v>173</v>
      </c>
      <c r="C273" s="6">
        <v>90353764</v>
      </c>
      <c r="D273" s="6" t="s">
        <v>443</v>
      </c>
      <c r="E273" s="6" t="s">
        <v>444</v>
      </c>
      <c r="F273" s="6" t="s">
        <v>1188</v>
      </c>
      <c r="G273" s="6">
        <v>85629</v>
      </c>
      <c r="H273" s="6" t="s">
        <v>1189</v>
      </c>
      <c r="I273" s="6">
        <v>144</v>
      </c>
      <c r="J273" s="6" t="s">
        <v>23</v>
      </c>
      <c r="K273" s="6" t="s">
        <v>24</v>
      </c>
      <c r="L273" s="6">
        <v>40000000</v>
      </c>
      <c r="M273" s="6">
        <v>2015</v>
      </c>
      <c r="N273" s="6">
        <v>6</v>
      </c>
      <c r="O273" s="4">
        <f ca="1">IFERROR(__xludf.DUMMYFUNCTION("IF(Cost_in_dollars!E273=""USD"",Cost_in_dollars!B273,Cost_in_dollars!B273 * GOOGLEFINANCE(""CURRENCY:"" &amp; Cost_in_dollars!E273 &amp; ""USD""))
"),40000000)</f>
        <v>40000000</v>
      </c>
      <c r="P273" s="4">
        <f ca="1">IFERROR(__xludf.DUMMYFUNCTION("IF(Cost_in_dollars!E273=""USD"",Cost_in_dollars!C273,Cost_in_dollars!C273 * GOOGLEFINANCE(""CURRENCY:"" &amp; Cost_in_dollars!E273 &amp; ""USD""))
"),90353764)</f>
        <v>90353764</v>
      </c>
      <c r="Q273" s="6">
        <f t="shared" ca="1" si="6"/>
        <v>50353764</v>
      </c>
      <c r="R273" s="7" t="str">
        <f t="shared" si="7"/>
        <v>Get Hard</v>
      </c>
      <c r="S273" s="43" t="str">
        <f t="shared" si="8"/>
        <v>Comedy</v>
      </c>
    </row>
    <row r="274" spans="1:19" ht="15.75" customHeight="1" x14ac:dyDescent="0.25">
      <c r="A274" s="4" t="s">
        <v>1190</v>
      </c>
      <c r="B274" s="4">
        <v>69</v>
      </c>
      <c r="C274" s="4">
        <v>42700000</v>
      </c>
      <c r="D274" s="4" t="s">
        <v>235</v>
      </c>
      <c r="E274" s="4" t="s">
        <v>650</v>
      </c>
      <c r="F274" s="4" t="s">
        <v>1191</v>
      </c>
      <c r="G274" s="4">
        <v>78392</v>
      </c>
      <c r="H274" s="4" t="s">
        <v>1192</v>
      </c>
      <c r="I274" s="4">
        <v>196</v>
      </c>
      <c r="J274" s="4" t="s">
        <v>23</v>
      </c>
      <c r="K274" s="4" t="s">
        <v>24</v>
      </c>
      <c r="L274" s="4">
        <v>16500000</v>
      </c>
      <c r="M274" s="4">
        <v>1995</v>
      </c>
      <c r="N274" s="4">
        <v>7.7</v>
      </c>
      <c r="O274" s="4">
        <f ca="1">IFERROR(__xludf.DUMMYFUNCTION("IF(Cost_in_dollars!E274=""USD"",Cost_in_dollars!B274,Cost_in_dollars!B274 * GOOGLEFINANCE(""CURRENCY:"" &amp; Cost_in_dollars!E274 &amp; ""USD""))
"),16500000)</f>
        <v>16500000</v>
      </c>
      <c r="P274" s="4">
        <f ca="1">IFERROR(__xludf.DUMMYFUNCTION("IF(Cost_in_dollars!E274=""USD"",Cost_in_dollars!C274,Cost_in_dollars!C274 * GOOGLEFINANCE(""CURRENCY:"" &amp; Cost_in_dollars!E274 &amp; ""USD""))
"),42700000)</f>
        <v>42700000</v>
      </c>
      <c r="Q274" s="4">
        <f t="shared" ca="1" si="6"/>
        <v>26200000</v>
      </c>
      <c r="R274" s="5" t="str">
        <f t="shared" si="7"/>
        <v>Sense and Sensibility</v>
      </c>
      <c r="S274" s="43" t="str">
        <f t="shared" si="8"/>
        <v>Drama</v>
      </c>
    </row>
    <row r="275" spans="1:19" ht="15.75" customHeight="1" x14ac:dyDescent="0.25">
      <c r="A275" s="6" t="s">
        <v>1193</v>
      </c>
      <c r="B275" s="6">
        <v>105</v>
      </c>
      <c r="C275" s="6">
        <v>84300000</v>
      </c>
      <c r="D275" s="6" t="s">
        <v>1194</v>
      </c>
      <c r="E275" s="6" t="s">
        <v>1195</v>
      </c>
      <c r="F275" s="6" t="s">
        <v>1196</v>
      </c>
      <c r="G275" s="6">
        <v>90360</v>
      </c>
      <c r="H275" s="6" t="s">
        <v>1197</v>
      </c>
      <c r="I275" s="6">
        <v>147</v>
      </c>
      <c r="J275" s="6" t="s">
        <v>23</v>
      </c>
      <c r="K275" s="6" t="s">
        <v>24</v>
      </c>
      <c r="L275" s="6">
        <v>2600000</v>
      </c>
      <c r="M275" s="6">
        <v>1940</v>
      </c>
      <c r="N275" s="6">
        <v>7.5</v>
      </c>
      <c r="O275" s="4">
        <f ca="1">IFERROR(__xludf.DUMMYFUNCTION("IF(Cost_in_dollars!E275=""USD"",Cost_in_dollars!B275,Cost_in_dollars!B275 * GOOGLEFINANCE(""CURRENCY:"" &amp; Cost_in_dollars!E275 &amp; ""USD""))
"),2600000)</f>
        <v>2600000</v>
      </c>
      <c r="P275" s="4">
        <f ca="1">IFERROR(__xludf.DUMMYFUNCTION("IF(Cost_in_dollars!E275=""USD"",Cost_in_dollars!C275,Cost_in_dollars!C275 * GOOGLEFINANCE(""CURRENCY:"" &amp; Cost_in_dollars!E275 &amp; ""USD""))
"),84300000)</f>
        <v>84300000</v>
      </c>
      <c r="Q275" s="6">
        <f t="shared" ca="1" si="6"/>
        <v>81700000</v>
      </c>
      <c r="R275" s="7" t="str">
        <f t="shared" si="7"/>
        <v>Pinocchio</v>
      </c>
      <c r="S275" s="43" t="str">
        <f t="shared" si="8"/>
        <v>Animation</v>
      </c>
    </row>
    <row r="276" spans="1:19" ht="15.75" customHeight="1" x14ac:dyDescent="0.25">
      <c r="A276" s="4" t="s">
        <v>1198</v>
      </c>
      <c r="B276" s="4">
        <v>270</v>
      </c>
      <c r="C276" s="4">
        <v>59889948</v>
      </c>
      <c r="D276" s="4" t="s">
        <v>457</v>
      </c>
      <c r="E276" s="4" t="s">
        <v>1083</v>
      </c>
      <c r="F276" s="4" t="s">
        <v>1199</v>
      </c>
      <c r="G276" s="4">
        <v>355810</v>
      </c>
      <c r="H276" s="4" t="s">
        <v>1200</v>
      </c>
      <c r="I276" s="4">
        <v>889</v>
      </c>
      <c r="J276" s="4" t="s">
        <v>23</v>
      </c>
      <c r="K276" s="4" t="s">
        <v>24</v>
      </c>
      <c r="L276" s="4">
        <v>8000000</v>
      </c>
      <c r="M276" s="4">
        <v>2006</v>
      </c>
      <c r="N276" s="4">
        <v>7.9</v>
      </c>
      <c r="O276" s="4">
        <f ca="1">IFERROR(__xludf.DUMMYFUNCTION("IF(Cost_in_dollars!E276=""USD"",Cost_in_dollars!B276,Cost_in_dollars!B276 * GOOGLEFINANCE(""CURRENCY:"" &amp; Cost_in_dollars!E276 &amp; ""USD""))
"),8000000)</f>
        <v>8000000</v>
      </c>
      <c r="P276" s="4">
        <f ca="1">IFERROR(__xludf.DUMMYFUNCTION("IF(Cost_in_dollars!E276=""USD"",Cost_in_dollars!C276,Cost_in_dollars!C276 * GOOGLEFINANCE(""CURRENCY:"" &amp; Cost_in_dollars!E276 &amp; ""USD""))
"),59889948)</f>
        <v>59889948</v>
      </c>
      <c r="Q276" s="4">
        <f t="shared" ca="1" si="6"/>
        <v>51889948</v>
      </c>
      <c r="R276" s="5" t="str">
        <f t="shared" si="7"/>
        <v>Little Miss Sunshine</v>
      </c>
      <c r="S276" s="43" t="str">
        <f t="shared" si="8"/>
        <v>Comedy</v>
      </c>
    </row>
    <row r="277" spans="1:19" ht="15.75" customHeight="1" x14ac:dyDescent="0.25">
      <c r="A277" s="6" t="s">
        <v>1201</v>
      </c>
      <c r="B277" s="6">
        <v>165</v>
      </c>
      <c r="C277" s="6">
        <v>177343675</v>
      </c>
      <c r="D277" s="6" t="s">
        <v>417</v>
      </c>
      <c r="E277" s="6" t="s">
        <v>1202</v>
      </c>
      <c r="F277" s="6" t="s">
        <v>1203</v>
      </c>
      <c r="G277" s="6">
        <v>70136</v>
      </c>
      <c r="H277" s="6" t="s">
        <v>1204</v>
      </c>
      <c r="I277" s="6">
        <v>214</v>
      </c>
      <c r="J277" s="6" t="s">
        <v>23</v>
      </c>
      <c r="K277" s="6" t="s">
        <v>24</v>
      </c>
      <c r="L277" s="6">
        <v>135000000</v>
      </c>
      <c r="M277" s="6">
        <v>2015</v>
      </c>
      <c r="N277" s="6">
        <v>6.7</v>
      </c>
      <c r="O277" s="4">
        <f ca="1">IFERROR(__xludf.DUMMYFUNCTION("IF(Cost_in_dollars!E277=""USD"",Cost_in_dollars!B277,Cost_in_dollars!B277 * GOOGLEFINANCE(""CURRENCY:"" &amp; Cost_in_dollars!E277 &amp; ""USD""))
"),135000000)</f>
        <v>135000000</v>
      </c>
      <c r="P277" s="4">
        <f ca="1">IFERROR(__xludf.DUMMYFUNCTION("IF(Cost_in_dollars!E277=""USD"",Cost_in_dollars!C277,Cost_in_dollars!C277 * GOOGLEFINANCE(""CURRENCY:"" &amp; Cost_in_dollars!E277 &amp; ""USD""))
"),177343675)</f>
        <v>177343675</v>
      </c>
      <c r="Q277" s="6">
        <f t="shared" ca="1" si="6"/>
        <v>42343675</v>
      </c>
      <c r="R277" s="7" t="str">
        <f t="shared" si="7"/>
        <v>Home</v>
      </c>
      <c r="S277" s="43" t="str">
        <f t="shared" si="8"/>
        <v>Adventure</v>
      </c>
    </row>
    <row r="278" spans="1:19" ht="15.75" customHeight="1" x14ac:dyDescent="0.25">
      <c r="A278" s="4" t="s">
        <v>1205</v>
      </c>
      <c r="B278" s="4">
        <v>84</v>
      </c>
      <c r="C278" s="4">
        <v>127175354</v>
      </c>
      <c r="D278" s="4" t="s">
        <v>140</v>
      </c>
      <c r="E278" s="4" t="s">
        <v>1206</v>
      </c>
      <c r="F278" s="4" t="s">
        <v>1207</v>
      </c>
      <c r="G278" s="4">
        <v>288451</v>
      </c>
      <c r="H278" s="4" t="s">
        <v>1208</v>
      </c>
      <c r="I278" s="4">
        <v>438</v>
      </c>
      <c r="J278" s="4" t="s">
        <v>23</v>
      </c>
      <c r="K278" s="4" t="s">
        <v>24</v>
      </c>
      <c r="L278" s="4">
        <v>16000000</v>
      </c>
      <c r="M278" s="4">
        <v>1994</v>
      </c>
      <c r="N278" s="4">
        <v>7.3</v>
      </c>
      <c r="O278" s="4">
        <f ca="1">IFERROR(__xludf.DUMMYFUNCTION("IF(Cost_in_dollars!E278=""USD"",Cost_in_dollars!B278,Cost_in_dollars!B278 * GOOGLEFINANCE(""CURRENCY:"" &amp; Cost_in_dollars!E278 &amp; ""USD""))
"),16000000)</f>
        <v>16000000</v>
      </c>
      <c r="P278" s="4">
        <f ca="1">IFERROR(__xludf.DUMMYFUNCTION("IF(Cost_in_dollars!E278=""USD"",Cost_in_dollars!C278,Cost_in_dollars!C278 * GOOGLEFINANCE(""CURRENCY:"" &amp; Cost_in_dollars!E278 &amp; ""USD""))
"),127175354)</f>
        <v>127175354</v>
      </c>
      <c r="Q278" s="4">
        <f t="shared" ca="1" si="6"/>
        <v>111175354</v>
      </c>
      <c r="R278" s="5" t="str">
        <f t="shared" si="7"/>
        <v>Dumb &amp; Dumber</v>
      </c>
      <c r="S278" s="43" t="str">
        <f t="shared" si="8"/>
        <v>Comedy</v>
      </c>
    </row>
    <row r="279" spans="1:19" ht="15.75" customHeight="1" x14ac:dyDescent="0.25">
      <c r="A279" s="6" t="s">
        <v>1209</v>
      </c>
      <c r="B279" s="6">
        <v>163</v>
      </c>
      <c r="C279" s="6">
        <v>68642452</v>
      </c>
      <c r="D279" s="6" t="s">
        <v>1210</v>
      </c>
      <c r="E279" s="6" t="s">
        <v>79</v>
      </c>
      <c r="F279" s="6" t="s">
        <v>1211</v>
      </c>
      <c r="G279" s="6">
        <v>77673</v>
      </c>
      <c r="H279" s="6" t="s">
        <v>1212</v>
      </c>
      <c r="I279" s="6">
        <v>463</v>
      </c>
      <c r="J279" s="6" t="s">
        <v>23</v>
      </c>
      <c r="K279" s="6" t="s">
        <v>133</v>
      </c>
      <c r="L279" s="6">
        <v>130000000</v>
      </c>
      <c r="M279" s="6">
        <v>2005</v>
      </c>
      <c r="N279" s="6">
        <v>6</v>
      </c>
      <c r="O279" s="4">
        <f ca="1">IFERROR(__xludf.DUMMYFUNCTION("IF(Cost_in_dollars!E279=""USD"",Cost_in_dollars!B279,Cost_in_dollars!B279 * GOOGLEFINANCE(""CURRENCY:"" &amp; Cost_in_dollars!E279 &amp; ""USD""))
"),167101999.999999)</f>
        <v>167101999.99999899</v>
      </c>
      <c r="P279" s="4">
        <f ca="1">IFERROR(__xludf.DUMMYFUNCTION("IF(Cost_in_dollars!E279=""USD"",Cost_in_dollars!C279,Cost_in_dollars!C279 * GOOGLEFINANCE(""CURRENCY:"" &amp; Cost_in_dollars!E279 &amp; ""USD""))
"),88233007.8008)</f>
        <v>88233007.800799996</v>
      </c>
      <c r="Q279" s="6">
        <f t="shared" ca="1" si="6"/>
        <v>-78868992.199198991</v>
      </c>
      <c r="R279" s="7" t="str">
        <f t="shared" si="7"/>
        <v>Sahara</v>
      </c>
      <c r="S279" s="43" t="str">
        <f t="shared" si="8"/>
        <v>Action</v>
      </c>
    </row>
    <row r="280" spans="1:19" ht="15.75" customHeight="1" x14ac:dyDescent="0.25">
      <c r="A280" s="4" t="s">
        <v>1213</v>
      </c>
      <c r="B280" s="4">
        <v>77</v>
      </c>
      <c r="C280" s="4">
        <v>9402410</v>
      </c>
      <c r="D280" s="4" t="s">
        <v>696</v>
      </c>
      <c r="E280" s="4" t="s">
        <v>1214</v>
      </c>
      <c r="F280" s="4" t="s">
        <v>1215</v>
      </c>
      <c r="G280" s="4">
        <v>11233</v>
      </c>
      <c r="H280" s="4" t="s">
        <v>1216</v>
      </c>
      <c r="I280" s="4">
        <v>32</v>
      </c>
      <c r="J280" s="4" t="s">
        <v>23</v>
      </c>
      <c r="K280" s="4" t="s">
        <v>24</v>
      </c>
      <c r="L280" s="4">
        <v>14000000</v>
      </c>
      <c r="M280" s="4">
        <v>2012</v>
      </c>
      <c r="N280" s="4">
        <v>5.4</v>
      </c>
      <c r="O280" s="4">
        <f ca="1">IFERROR(__xludf.DUMMYFUNCTION("IF(Cost_in_dollars!E280=""USD"",Cost_in_dollars!B280,Cost_in_dollars!B280 * GOOGLEFINANCE(""CURRENCY:"" &amp; Cost_in_dollars!E280 &amp; ""USD""))
"),14000000)</f>
        <v>14000000</v>
      </c>
      <c r="P280" s="4">
        <f ca="1">IFERROR(__xludf.DUMMYFUNCTION("IF(Cost_in_dollars!E280=""USD"",Cost_in_dollars!C280,Cost_in_dollars!C280 * GOOGLEFINANCE(""CURRENCY:"" &amp; Cost_in_dollars!E280 &amp; ""USD""))
"),9402410)</f>
        <v>9402410</v>
      </c>
      <c r="Q280" s="4">
        <f t="shared" ca="1" si="6"/>
        <v>-4597590</v>
      </c>
      <c r="R280" s="5" t="str">
        <f t="shared" si="7"/>
        <v>Fun Size</v>
      </c>
      <c r="S280" s="43" t="str">
        <f t="shared" si="8"/>
        <v>Adventure</v>
      </c>
    </row>
    <row r="281" spans="1:19" ht="15.75" customHeight="1" x14ac:dyDescent="0.25">
      <c r="A281" s="6" t="s">
        <v>1217</v>
      </c>
      <c r="B281" s="6">
        <v>5</v>
      </c>
      <c r="C281" s="6">
        <v>3105269</v>
      </c>
      <c r="D281" s="6" t="s">
        <v>971</v>
      </c>
      <c r="E281" s="6" t="s">
        <v>1218</v>
      </c>
      <c r="F281" s="6" t="s">
        <v>1219</v>
      </c>
      <c r="G281" s="6">
        <v>368</v>
      </c>
      <c r="H281" s="6" t="s">
        <v>109</v>
      </c>
      <c r="I281" s="6">
        <v>8</v>
      </c>
      <c r="J281" s="6" t="s">
        <v>23</v>
      </c>
      <c r="K281" s="6" t="s">
        <v>1220</v>
      </c>
      <c r="L281" s="6">
        <v>3000000</v>
      </c>
      <c r="M281" s="6">
        <v>2016</v>
      </c>
      <c r="N281" s="6">
        <v>5</v>
      </c>
      <c r="O281" s="4">
        <f ca="1">IFERROR(__xludf.DUMMYFUNCTION("IF(Cost_in_dollars!E281=""USD"",Cost_in_dollars!B281,Cost_in_dollars!B281 * GOOGLEFINANCE(""CURRENCY:"" &amp; Cost_in_dollars!E281 &amp; ""USD""))
"),162614.07)</f>
        <v>162614.07</v>
      </c>
      <c r="P281" s="4">
        <f ca="1">IFERROR(__xludf.DUMMYFUNCTION("IF(Cost_in_dollars!E281=""USD"",Cost_in_dollars!C281,Cost_in_dollars!C281 * GOOGLEFINANCE(""CURRENCY:"" &amp; Cost_in_dollars!E281 &amp; ""USD""))
"),168320.14351161)</f>
        <v>168320.14351160999</v>
      </c>
      <c r="Q281" s="6">
        <f t="shared" ca="1" si="6"/>
        <v>5706.0735116099822</v>
      </c>
      <c r="R281" s="7" t="str">
        <f t="shared" si="7"/>
        <v>Compadres</v>
      </c>
      <c r="S281" s="43" t="str">
        <f t="shared" si="8"/>
        <v>Action</v>
      </c>
    </row>
    <row r="282" spans="1:19" ht="15.75" customHeight="1" x14ac:dyDescent="0.25">
      <c r="A282" s="4" t="s">
        <v>1221</v>
      </c>
      <c r="B282" s="4">
        <v>129</v>
      </c>
      <c r="C282" s="4">
        <v>20566327</v>
      </c>
      <c r="D282" s="4" t="s">
        <v>971</v>
      </c>
      <c r="E282" s="4" t="s">
        <v>1222</v>
      </c>
      <c r="F282" s="4" t="s">
        <v>1223</v>
      </c>
      <c r="G282" s="4">
        <v>15385</v>
      </c>
      <c r="H282" s="4" t="s">
        <v>1224</v>
      </c>
      <c r="I282" s="4">
        <v>84</v>
      </c>
      <c r="J282" s="4" t="s">
        <v>23</v>
      </c>
      <c r="K282" s="4" t="s">
        <v>24</v>
      </c>
      <c r="L282" s="4">
        <v>15000000</v>
      </c>
      <c r="M282" s="4">
        <v>2016</v>
      </c>
      <c r="N282" s="4">
        <v>6.4</v>
      </c>
      <c r="O282" s="4">
        <f ca="1">IFERROR(__xludf.DUMMYFUNCTION("IF(Cost_in_dollars!E282=""USD"",Cost_in_dollars!B282,Cost_in_dollars!B282 * GOOGLEFINANCE(""CURRENCY:"" &amp; Cost_in_dollars!E282 &amp; ""USD""))
"),15000000)</f>
        <v>15000000</v>
      </c>
      <c r="P282" s="4">
        <f ca="1">IFERROR(__xludf.DUMMYFUNCTION("IF(Cost_in_dollars!E282=""USD"",Cost_in_dollars!C282,Cost_in_dollars!C282 * GOOGLEFINANCE(""CURRENCY:"" &amp; Cost_in_dollars!E282 &amp; ""USD""))
"),20566327)</f>
        <v>20566327</v>
      </c>
      <c r="Q282" s="4">
        <f t="shared" ca="1" si="6"/>
        <v>5566327</v>
      </c>
      <c r="R282" s="5" t="str">
        <f t="shared" si="7"/>
        <v>Keanu</v>
      </c>
      <c r="S282" s="43" t="str">
        <f t="shared" si="8"/>
        <v>Action</v>
      </c>
    </row>
    <row r="283" spans="1:19" ht="15.75" customHeight="1" x14ac:dyDescent="0.25">
      <c r="A283" s="6" t="s">
        <v>539</v>
      </c>
      <c r="B283" s="6">
        <v>49</v>
      </c>
      <c r="C283" s="6">
        <v>58422650</v>
      </c>
      <c r="D283" s="6" t="s">
        <v>1102</v>
      </c>
      <c r="E283" s="6" t="s">
        <v>54</v>
      </c>
      <c r="F283" s="6" t="s">
        <v>1225</v>
      </c>
      <c r="G283" s="6">
        <v>78974</v>
      </c>
      <c r="H283" s="6" t="s">
        <v>1226</v>
      </c>
      <c r="I283" s="6">
        <v>173</v>
      </c>
      <c r="J283" s="6" t="s">
        <v>23</v>
      </c>
      <c r="K283" s="6" t="s">
        <v>24</v>
      </c>
      <c r="L283" s="6">
        <v>55000000</v>
      </c>
      <c r="M283" s="6">
        <v>1992</v>
      </c>
      <c r="N283" s="6">
        <v>6.4</v>
      </c>
      <c r="O283" s="4">
        <f ca="1">IFERROR(__xludf.DUMMYFUNCTION("IF(Cost_in_dollars!E283=""USD"",Cost_in_dollars!B283,Cost_in_dollars!B283 * GOOGLEFINANCE(""CURRENCY:"" &amp; Cost_in_dollars!E283 &amp; ""USD""))
"),55000000)</f>
        <v>55000000</v>
      </c>
      <c r="P283" s="4">
        <f ca="1">IFERROR(__xludf.DUMMYFUNCTION("IF(Cost_in_dollars!E283=""USD"",Cost_in_dollars!C283,Cost_in_dollars!C283 * GOOGLEFINANCE(""CURRENCY:"" &amp; Cost_in_dollars!E283 &amp; ""USD""))
"),58422650)</f>
        <v>58422650</v>
      </c>
      <c r="Q283" s="6">
        <f t="shared" ca="1" si="6"/>
        <v>3422650</v>
      </c>
      <c r="R283" s="7" t="str">
        <f t="shared" si="7"/>
        <v>Death Becomes Her</v>
      </c>
      <c r="S283" s="43" t="str">
        <f t="shared" si="8"/>
        <v>Comedy</v>
      </c>
    </row>
    <row r="284" spans="1:19" ht="15.75" customHeight="1" x14ac:dyDescent="0.25">
      <c r="A284" s="4" t="s">
        <v>1227</v>
      </c>
      <c r="B284" s="4">
        <v>119</v>
      </c>
      <c r="C284" s="4">
        <v>12212417</v>
      </c>
      <c r="D284" s="4" t="s">
        <v>319</v>
      </c>
      <c r="E284" s="4" t="s">
        <v>1228</v>
      </c>
      <c r="F284" s="4" t="s">
        <v>1229</v>
      </c>
      <c r="G284" s="4">
        <v>30643</v>
      </c>
      <c r="H284" s="4" t="s">
        <v>1230</v>
      </c>
      <c r="I284" s="4">
        <v>144</v>
      </c>
      <c r="J284" s="4" t="s">
        <v>23</v>
      </c>
      <c r="K284" s="4" t="s">
        <v>24</v>
      </c>
      <c r="L284" s="4">
        <v>15000000</v>
      </c>
      <c r="M284" s="4">
        <v>2003</v>
      </c>
      <c r="N284" s="4">
        <v>6.7</v>
      </c>
      <c r="O284" s="4">
        <f ca="1">IFERROR(__xludf.DUMMYFUNCTION("IF(Cost_in_dollars!E284=""USD"",Cost_in_dollars!B284,Cost_in_dollars!B284 * GOOGLEFINANCE(""CURRENCY:"" &amp; Cost_in_dollars!E284 &amp; ""USD""))
"),15000000)</f>
        <v>15000000</v>
      </c>
      <c r="P284" s="4">
        <f ca="1">IFERROR(__xludf.DUMMYFUNCTION("IF(Cost_in_dollars!E284=""USD"",Cost_in_dollars!C284,Cost_in_dollars!C284 * GOOGLEFINANCE(""CURRENCY:"" &amp; Cost_in_dollars!E284 &amp; ""USD""))
"),12212417)</f>
        <v>12212417</v>
      </c>
      <c r="Q284" s="4">
        <f t="shared" ca="1" si="6"/>
        <v>-2787583</v>
      </c>
      <c r="R284" s="5" t="str">
        <f t="shared" si="7"/>
        <v>Confidence</v>
      </c>
      <c r="S284" s="43" t="str">
        <f t="shared" si="8"/>
        <v>Crime</v>
      </c>
    </row>
    <row r="285" spans="1:19" ht="15.75" customHeight="1" x14ac:dyDescent="0.25">
      <c r="A285" s="6" t="s">
        <v>1231</v>
      </c>
      <c r="B285" s="6">
        <v>15</v>
      </c>
      <c r="C285" s="6">
        <v>4357000</v>
      </c>
      <c r="D285" s="6" t="s">
        <v>517</v>
      </c>
      <c r="E285" s="6" t="s">
        <v>1232</v>
      </c>
      <c r="F285" s="6" t="s">
        <v>1233</v>
      </c>
      <c r="G285" s="6">
        <v>5176</v>
      </c>
      <c r="H285" s="6" t="s">
        <v>1234</v>
      </c>
      <c r="I285" s="6">
        <v>30</v>
      </c>
      <c r="J285" s="6" t="s">
        <v>23</v>
      </c>
      <c r="K285" s="6" t="s">
        <v>24</v>
      </c>
      <c r="L285" s="6">
        <v>30000000</v>
      </c>
      <c r="M285" s="6">
        <v>1996</v>
      </c>
      <c r="N285" s="6">
        <v>5.3</v>
      </c>
      <c r="O285" s="4">
        <f ca="1">IFERROR(__xludf.DUMMYFUNCTION("IF(Cost_in_dollars!E285=""USD"",Cost_in_dollars!B285,Cost_in_dollars!B285 * GOOGLEFINANCE(""CURRENCY:"" &amp; Cost_in_dollars!E285 &amp; ""USD""))
"),30000000)</f>
        <v>30000000</v>
      </c>
      <c r="P285" s="4">
        <f ca="1">IFERROR(__xludf.DUMMYFUNCTION("IF(Cost_in_dollars!E285=""USD"",Cost_in_dollars!C285,Cost_in_dollars!C285 * GOOGLEFINANCE(""CURRENCY:"" &amp; Cost_in_dollars!E285 &amp; ""USD""))
"),4357000)</f>
        <v>4357000</v>
      </c>
      <c r="Q285" s="6">
        <f t="shared" ca="1" si="6"/>
        <v>-25643000</v>
      </c>
      <c r="R285" s="7" t="str">
        <f t="shared" si="7"/>
        <v>Bogus</v>
      </c>
      <c r="S285" s="43" t="str">
        <f t="shared" si="8"/>
        <v>Comedy</v>
      </c>
    </row>
    <row r="286" spans="1:19" ht="15.75" customHeight="1" x14ac:dyDescent="0.25">
      <c r="A286" s="4" t="s">
        <v>308</v>
      </c>
      <c r="B286" s="4">
        <v>234</v>
      </c>
      <c r="C286" s="4">
        <v>293501675</v>
      </c>
      <c r="D286" s="4" t="s">
        <v>314</v>
      </c>
      <c r="E286" s="4" t="s">
        <v>54</v>
      </c>
      <c r="F286" s="4" t="s">
        <v>1235</v>
      </c>
      <c r="G286" s="4">
        <v>704766</v>
      </c>
      <c r="H286" s="4" t="s">
        <v>1236</v>
      </c>
      <c r="I286" s="4">
        <v>2073</v>
      </c>
      <c r="J286" s="4" t="s">
        <v>23</v>
      </c>
      <c r="K286" s="4" t="s">
        <v>24</v>
      </c>
      <c r="L286" s="4">
        <v>40000000</v>
      </c>
      <c r="M286" s="4">
        <v>1999</v>
      </c>
      <c r="N286" s="4">
        <v>8.1</v>
      </c>
      <c r="O286" s="4">
        <f ca="1">IFERROR(__xludf.DUMMYFUNCTION("IF(Cost_in_dollars!E286=""USD"",Cost_in_dollars!B286,Cost_in_dollars!B286 * GOOGLEFINANCE(""CURRENCY:"" &amp; Cost_in_dollars!E286 &amp; ""USD""))
"),40000000)</f>
        <v>40000000</v>
      </c>
      <c r="P286" s="4">
        <f ca="1">IFERROR(__xludf.DUMMYFUNCTION("IF(Cost_in_dollars!E286=""USD"",Cost_in_dollars!C286,Cost_in_dollars!C286 * GOOGLEFINANCE(""CURRENCY:"" &amp; Cost_in_dollars!E286 &amp; ""USD""))
"),293501675)</f>
        <v>293501675</v>
      </c>
      <c r="Q286" s="4">
        <f t="shared" ca="1" si="6"/>
        <v>253501675</v>
      </c>
      <c r="R286" s="5" t="str">
        <f t="shared" si="7"/>
        <v>The Sixth Sense</v>
      </c>
      <c r="S286" s="43" t="str">
        <f t="shared" si="8"/>
        <v>Drama</v>
      </c>
    </row>
    <row r="287" spans="1:19" ht="15.75" customHeight="1" x14ac:dyDescent="0.25">
      <c r="A287" s="6" t="s">
        <v>1237</v>
      </c>
      <c r="B287" s="6">
        <v>107</v>
      </c>
      <c r="C287" s="6">
        <v>10654581</v>
      </c>
      <c r="D287" s="6" t="s">
        <v>1238</v>
      </c>
      <c r="E287" s="6" t="s">
        <v>84</v>
      </c>
      <c r="F287" s="6" t="s">
        <v>1239</v>
      </c>
      <c r="G287" s="6">
        <v>45497</v>
      </c>
      <c r="H287" s="6" t="s">
        <v>1240</v>
      </c>
      <c r="I287" s="6">
        <v>260</v>
      </c>
      <c r="J287" s="6" t="s">
        <v>23</v>
      </c>
      <c r="K287" s="6" t="s">
        <v>24</v>
      </c>
      <c r="L287" s="6">
        <v>34000000</v>
      </c>
      <c r="M287" s="6">
        <v>1999</v>
      </c>
      <c r="N287" s="6">
        <v>5.3</v>
      </c>
      <c r="O287" s="4">
        <f ca="1">IFERROR(__xludf.DUMMYFUNCTION("IF(Cost_in_dollars!E287=""USD"",Cost_in_dollars!B287,Cost_in_dollars!B287 * GOOGLEFINANCE(""CURRENCY:"" &amp; Cost_in_dollars!E287 &amp; ""USD""))
"),34000000)</f>
        <v>34000000</v>
      </c>
      <c r="P287" s="4">
        <f ca="1">IFERROR(__xludf.DUMMYFUNCTION("IF(Cost_in_dollars!E287=""USD"",Cost_in_dollars!C287,Cost_in_dollars!C287 * GOOGLEFINANCE(""CURRENCY:"" &amp; Cost_in_dollars!E287 &amp; ""USD""))
"),10654581)</f>
        <v>10654581</v>
      </c>
      <c r="Q287" s="6">
        <f t="shared" ca="1" si="6"/>
        <v>-23345419</v>
      </c>
      <c r="R287" s="7" t="str">
        <f t="shared" si="7"/>
        <v>The Astronaut's Wife</v>
      </c>
      <c r="S287" s="43" t="str">
        <f t="shared" si="8"/>
        <v>Drama</v>
      </c>
    </row>
    <row r="288" spans="1:19" ht="15.75" customHeight="1" x14ac:dyDescent="0.25">
      <c r="A288" s="4" t="s">
        <v>1241</v>
      </c>
      <c r="B288" s="4">
        <v>142</v>
      </c>
      <c r="C288" s="4">
        <v>33244684</v>
      </c>
      <c r="D288" s="4" t="s">
        <v>1242</v>
      </c>
      <c r="E288" s="4" t="s">
        <v>1243</v>
      </c>
      <c r="F288" s="4" t="s">
        <v>1244</v>
      </c>
      <c r="G288" s="4">
        <v>62038</v>
      </c>
      <c r="H288" s="4" t="s">
        <v>1245</v>
      </c>
      <c r="I288" s="4">
        <v>281</v>
      </c>
      <c r="J288" s="4" t="s">
        <v>23</v>
      </c>
      <c r="K288" s="4" t="s">
        <v>24</v>
      </c>
      <c r="L288" s="4">
        <v>9000000</v>
      </c>
      <c r="M288" s="4">
        <v>1988</v>
      </c>
      <c r="N288" s="4">
        <v>6.5</v>
      </c>
      <c r="O288" s="4">
        <f ca="1">IFERROR(__xludf.DUMMYFUNCTION("IF(Cost_in_dollars!E288=""USD"",Cost_in_dollars!B288,Cost_in_dollars!B288 * GOOGLEFINANCE(""CURRENCY:"" &amp; Cost_in_dollars!E288 &amp; ""USD""))
"),9000000)</f>
        <v>9000000</v>
      </c>
      <c r="P288" s="4">
        <f ca="1">IFERROR(__xludf.DUMMYFUNCTION("IF(Cost_in_dollars!E288=""USD"",Cost_in_dollars!C288,Cost_in_dollars!C288 * GOOGLEFINANCE(""CURRENCY:"" &amp; Cost_in_dollars!E288 &amp; ""USD""))
"),33244684)</f>
        <v>33244684</v>
      </c>
      <c r="Q288" s="4">
        <f t="shared" ca="1" si="6"/>
        <v>24244684</v>
      </c>
      <c r="R288" s="5" t="str">
        <f t="shared" si="7"/>
        <v>Child's Play</v>
      </c>
      <c r="S288" s="43" t="str">
        <f t="shared" si="8"/>
        <v>Fantasy</v>
      </c>
    </row>
    <row r="289" spans="1:19" ht="15.75" customHeight="1" x14ac:dyDescent="0.25">
      <c r="A289" s="6" t="s">
        <v>586</v>
      </c>
      <c r="B289" s="6">
        <v>137</v>
      </c>
      <c r="C289" s="6">
        <v>51768623</v>
      </c>
      <c r="D289" s="6" t="s">
        <v>102</v>
      </c>
      <c r="E289" s="6" t="s">
        <v>1246</v>
      </c>
      <c r="F289" s="6" t="s">
        <v>1247</v>
      </c>
      <c r="G289" s="6">
        <v>73006</v>
      </c>
      <c r="H289" s="6" t="s">
        <v>1248</v>
      </c>
      <c r="I289" s="6">
        <v>297</v>
      </c>
      <c r="J289" s="6" t="s">
        <v>23</v>
      </c>
      <c r="K289" s="6" t="s">
        <v>24</v>
      </c>
      <c r="L289" s="6">
        <v>43000000</v>
      </c>
      <c r="M289" s="6">
        <v>2000</v>
      </c>
      <c r="N289" s="6">
        <v>7.3</v>
      </c>
      <c r="O289" s="4">
        <f ca="1">IFERROR(__xludf.DUMMYFUNCTION("IF(Cost_in_dollars!E289=""USD"",Cost_in_dollars!B289,Cost_in_dollars!B289 * GOOGLEFINANCE(""CURRENCY:"" &amp; Cost_in_dollars!E289 &amp; ""USD""))
"),43000000)</f>
        <v>43000000</v>
      </c>
      <c r="P289" s="4">
        <f ca="1">IFERROR(__xludf.DUMMYFUNCTION("IF(Cost_in_dollars!E289=""USD"",Cost_in_dollars!C289,Cost_in_dollars!C289 * GOOGLEFINANCE(""CURRENCY:"" &amp; Cost_in_dollars!E289 &amp; ""USD""))
"),51768623)</f>
        <v>51768623</v>
      </c>
      <c r="Q289" s="6">
        <f t="shared" ca="1" si="6"/>
        <v>8768623</v>
      </c>
      <c r="R289" s="7" t="str">
        <f t="shared" si="7"/>
        <v>Finding Forrester</v>
      </c>
      <c r="S289" s="43" t="str">
        <f t="shared" si="8"/>
        <v>Drama</v>
      </c>
    </row>
    <row r="290" spans="1:19" ht="15.75" customHeight="1" x14ac:dyDescent="0.25">
      <c r="A290" s="4" t="s">
        <v>1249</v>
      </c>
      <c r="B290" s="4">
        <v>73</v>
      </c>
      <c r="C290" s="4">
        <v>442638</v>
      </c>
      <c r="D290" s="4" t="s">
        <v>832</v>
      </c>
      <c r="E290" s="4" t="s">
        <v>1250</v>
      </c>
      <c r="F290" s="4" t="s">
        <v>1251</v>
      </c>
      <c r="G290" s="4">
        <v>5489</v>
      </c>
      <c r="H290" s="4" t="s">
        <v>1252</v>
      </c>
      <c r="I290" s="4">
        <v>23</v>
      </c>
      <c r="J290" s="4" t="s">
        <v>23</v>
      </c>
      <c r="K290" s="4" t="s">
        <v>24</v>
      </c>
      <c r="L290" s="4">
        <v>850000</v>
      </c>
      <c r="M290" s="4">
        <v>2007</v>
      </c>
      <c r="N290" s="4">
        <v>7.3</v>
      </c>
      <c r="O290" s="4">
        <f ca="1">IFERROR(__xludf.DUMMYFUNCTION("IF(Cost_in_dollars!E290=""USD"",Cost_in_dollars!B290,Cost_in_dollars!B290 * GOOGLEFINANCE(""CURRENCY:"" &amp; Cost_in_dollars!E290 &amp; ""USD""))
"),850000)</f>
        <v>850000</v>
      </c>
      <c r="P290" s="4">
        <f ca="1">IFERROR(__xludf.DUMMYFUNCTION("IF(Cost_in_dollars!E290=""USD"",Cost_in_dollars!C290,Cost_in_dollars!C290 * GOOGLEFINANCE(""CURRENCY:"" &amp; Cost_in_dollars!E290 &amp; ""USD""))
"),442638)</f>
        <v>442638</v>
      </c>
      <c r="Q290" s="4">
        <f t="shared" ca="1" si="6"/>
        <v>-407362</v>
      </c>
      <c r="R290" s="5" t="str">
        <f t="shared" si="7"/>
        <v>The Hammer</v>
      </c>
      <c r="S290" s="43" t="str">
        <f t="shared" si="8"/>
        <v>Comedy</v>
      </c>
    </row>
    <row r="291" spans="1:19" ht="15.75" customHeight="1" x14ac:dyDescent="0.25">
      <c r="A291" s="6" t="s">
        <v>532</v>
      </c>
      <c r="B291" s="6">
        <v>183</v>
      </c>
      <c r="C291" s="6">
        <v>107285004</v>
      </c>
      <c r="D291" s="6" t="s">
        <v>183</v>
      </c>
      <c r="E291" s="6" t="s">
        <v>184</v>
      </c>
      <c r="F291" s="6" t="s">
        <v>1253</v>
      </c>
      <c r="G291" s="6">
        <v>189855</v>
      </c>
      <c r="H291" s="6" t="s">
        <v>1254</v>
      </c>
      <c r="I291" s="6">
        <v>1018</v>
      </c>
      <c r="J291" s="6" t="s">
        <v>23</v>
      </c>
      <c r="K291" s="6" t="s">
        <v>24</v>
      </c>
      <c r="L291" s="6">
        <v>125000000</v>
      </c>
      <c r="M291" s="6">
        <v>1997</v>
      </c>
      <c r="N291" s="6">
        <v>3.7</v>
      </c>
      <c r="O291" s="4">
        <f ca="1">IFERROR(__xludf.DUMMYFUNCTION("IF(Cost_in_dollars!E291=""USD"",Cost_in_dollars!B291,Cost_in_dollars!B291 * GOOGLEFINANCE(""CURRENCY:"" &amp; Cost_in_dollars!E291 &amp; ""USD""))
"),125000000)</f>
        <v>125000000</v>
      </c>
      <c r="P291" s="4">
        <f ca="1">IFERROR(__xludf.DUMMYFUNCTION("IF(Cost_in_dollars!E291=""USD"",Cost_in_dollars!C291,Cost_in_dollars!C291 * GOOGLEFINANCE(""CURRENCY:"" &amp; Cost_in_dollars!E291 &amp; ""USD""))
"),107285004)</f>
        <v>107285004</v>
      </c>
      <c r="Q291" s="6">
        <f t="shared" ca="1" si="6"/>
        <v>-17714996</v>
      </c>
      <c r="R291" s="7" t="str">
        <f t="shared" si="7"/>
        <v>Batman &amp; Robin</v>
      </c>
      <c r="S291" s="43" t="str">
        <f t="shared" si="8"/>
        <v>Action</v>
      </c>
    </row>
    <row r="292" spans="1:19" ht="15.75" customHeight="1" x14ac:dyDescent="0.25">
      <c r="A292" s="4" t="s">
        <v>1255</v>
      </c>
      <c r="B292" s="4">
        <v>157</v>
      </c>
      <c r="C292" s="4">
        <v>45489752</v>
      </c>
      <c r="D292" s="4" t="s">
        <v>162</v>
      </c>
      <c r="E292" s="4" t="s">
        <v>439</v>
      </c>
      <c r="F292" s="4" t="s">
        <v>1256</v>
      </c>
      <c r="G292" s="4">
        <v>48973</v>
      </c>
      <c r="H292" s="4" t="s">
        <v>1257</v>
      </c>
      <c r="I292" s="4">
        <v>214</v>
      </c>
      <c r="J292" s="4" t="s">
        <v>23</v>
      </c>
      <c r="K292" s="4" t="s">
        <v>24</v>
      </c>
      <c r="L292" s="4">
        <v>26000000</v>
      </c>
      <c r="M292" s="4">
        <v>2004</v>
      </c>
      <c r="N292" s="4">
        <v>6.5</v>
      </c>
      <c r="O292" s="4">
        <f ca="1">IFERROR(__xludf.DUMMYFUNCTION("IF(Cost_in_dollars!E292=""USD"",Cost_in_dollars!B292,Cost_in_dollars!B292 * GOOGLEFINANCE(""CURRENCY:"" &amp; Cost_in_dollars!E292 &amp; ""USD""))
"),26000000)</f>
        <v>26000000</v>
      </c>
      <c r="P292" s="4">
        <f ca="1">IFERROR(__xludf.DUMMYFUNCTION("IF(Cost_in_dollars!E292=""USD"",Cost_in_dollars!C292,Cost_in_dollars!C292 * GOOGLEFINANCE(""CURRENCY:"" &amp; Cost_in_dollars!E292 &amp; ""USD""))
"),45489752)</f>
        <v>45489752</v>
      </c>
      <c r="Q292" s="4">
        <f t="shared" ca="1" si="6"/>
        <v>19489752</v>
      </c>
      <c r="R292" s="5" t="str">
        <f t="shared" si="7"/>
        <v>In Good Company</v>
      </c>
      <c r="S292" s="43" t="str">
        <f t="shared" si="8"/>
        <v>Comedy</v>
      </c>
    </row>
    <row r="293" spans="1:19" ht="15.75" customHeight="1" x14ac:dyDescent="0.25">
      <c r="A293" s="6" t="s">
        <v>1258</v>
      </c>
      <c r="B293" s="6">
        <v>251</v>
      </c>
      <c r="C293" s="6">
        <v>70083519</v>
      </c>
      <c r="D293" s="6" t="s">
        <v>1259</v>
      </c>
      <c r="E293" s="6" t="s">
        <v>1033</v>
      </c>
      <c r="F293" s="6" t="s">
        <v>1260</v>
      </c>
      <c r="G293" s="6">
        <v>149019</v>
      </c>
      <c r="H293" s="6" t="s">
        <v>1261</v>
      </c>
      <c r="I293" s="6">
        <v>666</v>
      </c>
      <c r="J293" s="6" t="s">
        <v>23</v>
      </c>
      <c r="K293" s="6" t="s">
        <v>24</v>
      </c>
      <c r="L293" s="6">
        <v>180000000</v>
      </c>
      <c r="M293" s="6">
        <v>2007</v>
      </c>
      <c r="N293" s="6">
        <v>6.1</v>
      </c>
      <c r="O293" s="4">
        <f ca="1">IFERROR(__xludf.DUMMYFUNCTION("IF(Cost_in_dollars!E293=""USD"",Cost_in_dollars!B293,Cost_in_dollars!B293 * GOOGLEFINANCE(""CURRENCY:"" &amp; Cost_in_dollars!E293 &amp; ""USD""))
"),180000000)</f>
        <v>180000000</v>
      </c>
      <c r="P293" s="4">
        <f ca="1">IFERROR(__xludf.DUMMYFUNCTION("IF(Cost_in_dollars!E293=""USD"",Cost_in_dollars!C293,Cost_in_dollars!C293 * GOOGLEFINANCE(""CURRENCY:"" &amp; Cost_in_dollars!E293 &amp; ""USD""))
"),70083519)</f>
        <v>70083519</v>
      </c>
      <c r="Q293" s="6">
        <f t="shared" ca="1" si="6"/>
        <v>-109916481</v>
      </c>
      <c r="R293" s="7" t="str">
        <f t="shared" si="7"/>
        <v>The Golden Compass</v>
      </c>
      <c r="S293" s="43" t="str">
        <f t="shared" si="8"/>
        <v>Adventure</v>
      </c>
    </row>
    <row r="294" spans="1:19" ht="15.75" customHeight="1" x14ac:dyDescent="0.25">
      <c r="A294" s="4" t="s">
        <v>1262</v>
      </c>
      <c r="B294" s="4">
        <v>14</v>
      </c>
      <c r="C294" s="4">
        <v>609042</v>
      </c>
      <c r="D294" s="4" t="s">
        <v>102</v>
      </c>
      <c r="E294" s="4" t="s">
        <v>335</v>
      </c>
      <c r="F294" s="4" t="s">
        <v>1263</v>
      </c>
      <c r="G294" s="4">
        <v>449</v>
      </c>
      <c r="H294" s="4" t="s">
        <v>1264</v>
      </c>
      <c r="I294" s="4">
        <v>38</v>
      </c>
      <c r="J294" s="4" t="s">
        <v>23</v>
      </c>
      <c r="K294" s="4" t="s">
        <v>24</v>
      </c>
      <c r="L294" s="4">
        <v>1300000</v>
      </c>
      <c r="M294" s="4">
        <v>1999</v>
      </c>
      <c r="N294" s="4">
        <v>6.5</v>
      </c>
      <c r="O294" s="4">
        <f ca="1">IFERROR(__xludf.DUMMYFUNCTION("IF(Cost_in_dollars!E294=""USD"",Cost_in_dollars!B294,Cost_in_dollars!B294 * GOOGLEFINANCE(""CURRENCY:"" &amp; Cost_in_dollars!E294 &amp; ""USD""))
"),1300000)</f>
        <v>1300000</v>
      </c>
      <c r="P294" s="4">
        <f ca="1">IFERROR(__xludf.DUMMYFUNCTION("IF(Cost_in_dollars!E294=""USD"",Cost_in_dollars!C294,Cost_in_dollars!C294 * GOOGLEFINANCE(""CURRENCY:"" &amp; Cost_in_dollars!E294 &amp; ""USD""))
"),609042)</f>
        <v>609042</v>
      </c>
      <c r="Q294" s="4">
        <f t="shared" ca="1" si="6"/>
        <v>-690958</v>
      </c>
      <c r="R294" s="5" t="str">
        <f t="shared" si="7"/>
        <v>The Basket</v>
      </c>
      <c r="S294" s="43" t="str">
        <f t="shared" si="8"/>
        <v>Drama</v>
      </c>
    </row>
    <row r="295" spans="1:19" ht="15.75" customHeight="1" x14ac:dyDescent="0.25">
      <c r="A295" s="6" t="s">
        <v>1265</v>
      </c>
      <c r="B295" s="6">
        <v>35</v>
      </c>
      <c r="C295" s="6">
        <v>20257000</v>
      </c>
      <c r="D295" s="6" t="s">
        <v>793</v>
      </c>
      <c r="E295" s="6" t="s">
        <v>505</v>
      </c>
      <c r="F295" s="6" t="s">
        <v>1266</v>
      </c>
      <c r="G295" s="6">
        <v>7569</v>
      </c>
      <c r="H295" s="6" t="s">
        <v>1267</v>
      </c>
      <c r="I295" s="6">
        <v>65</v>
      </c>
      <c r="J295" s="6" t="s">
        <v>23</v>
      </c>
      <c r="K295" s="6" t="s">
        <v>24</v>
      </c>
      <c r="L295" s="6">
        <v>7000000</v>
      </c>
      <c r="M295" s="6">
        <v>1988</v>
      </c>
      <c r="N295" s="6">
        <v>5.2</v>
      </c>
      <c r="O295" s="4">
        <f ca="1">IFERROR(__xludf.DUMMYFUNCTION("IF(Cost_in_dollars!E295=""USD"",Cost_in_dollars!B295,Cost_in_dollars!B295 * GOOGLEFINANCE(""CURRENCY:"" &amp; Cost_in_dollars!E295 &amp; ""USD""))
"),7000000)</f>
        <v>7000000</v>
      </c>
      <c r="P295" s="4">
        <f ca="1">IFERROR(__xludf.DUMMYFUNCTION("IF(Cost_in_dollars!E295=""USD"",Cost_in_dollars!C295,Cost_in_dollars!C295 * GOOGLEFINANCE(""CURRENCY:"" &amp; Cost_in_dollars!E295 &amp; ""USD""))
"),20257000)</f>
        <v>20257000</v>
      </c>
      <c r="Q295" s="6">
        <f t="shared" ca="1" si="6"/>
        <v>13257000</v>
      </c>
      <c r="R295" s="7" t="str">
        <f t="shared" si="7"/>
        <v>Action Jackson</v>
      </c>
      <c r="S295" s="43" t="str">
        <f t="shared" si="8"/>
        <v>Action</v>
      </c>
    </row>
    <row r="296" spans="1:19" ht="15.75" customHeight="1" x14ac:dyDescent="0.25">
      <c r="A296" s="4" t="s">
        <v>1268</v>
      </c>
      <c r="B296" s="4">
        <v>155</v>
      </c>
      <c r="C296" s="4">
        <v>2711210</v>
      </c>
      <c r="D296" s="4" t="s">
        <v>457</v>
      </c>
      <c r="E296" s="4" t="s">
        <v>444</v>
      </c>
      <c r="F296" s="4" t="s">
        <v>1269</v>
      </c>
      <c r="G296" s="4">
        <v>40305</v>
      </c>
      <c r="H296" s="4" t="s">
        <v>1270</v>
      </c>
      <c r="I296" s="4">
        <v>86</v>
      </c>
      <c r="J296" s="4" t="s">
        <v>23</v>
      </c>
      <c r="K296" s="4" t="s">
        <v>24</v>
      </c>
      <c r="L296" s="4">
        <v>5000000</v>
      </c>
      <c r="M296" s="4">
        <v>2010</v>
      </c>
      <c r="N296" s="4">
        <v>6.4</v>
      </c>
      <c r="O296" s="4">
        <f ca="1">IFERROR(__xludf.DUMMYFUNCTION("IF(Cost_in_dollars!E296=""USD"",Cost_in_dollars!B296,Cost_in_dollars!B296 * GOOGLEFINANCE(""CURRENCY:"" &amp; Cost_in_dollars!E296 &amp; ""USD""))
"),5000000)</f>
        <v>5000000</v>
      </c>
      <c r="P296" s="4">
        <f ca="1">IFERROR(__xludf.DUMMYFUNCTION("IF(Cost_in_dollars!E296=""USD"",Cost_in_dollars!C296,Cost_in_dollars!C296 * GOOGLEFINANCE(""CURRENCY:"" &amp; Cost_in_dollars!E296 &amp; ""USD""))
"),2711210)</f>
        <v>2711210</v>
      </c>
      <c r="Q296" s="4">
        <f t="shared" ca="1" si="6"/>
        <v>-2288790</v>
      </c>
      <c r="R296" s="5" t="str">
        <f t="shared" si="7"/>
        <v>Everything Must Go</v>
      </c>
      <c r="S296" s="43" t="str">
        <f t="shared" si="8"/>
        <v>Comedy</v>
      </c>
    </row>
    <row r="297" spans="1:19" ht="15.75" customHeight="1" x14ac:dyDescent="0.25">
      <c r="A297" s="6" t="s">
        <v>1271</v>
      </c>
      <c r="B297" s="6">
        <v>70</v>
      </c>
      <c r="C297" s="6">
        <v>32055248</v>
      </c>
      <c r="D297" s="6" t="s">
        <v>1272</v>
      </c>
      <c r="E297" s="6" t="s">
        <v>1273</v>
      </c>
      <c r="F297" s="6" t="s">
        <v>1274</v>
      </c>
      <c r="G297" s="6">
        <v>18723</v>
      </c>
      <c r="H297" s="6" t="s">
        <v>1275</v>
      </c>
      <c r="I297" s="6">
        <v>146</v>
      </c>
      <c r="J297" s="6" t="s">
        <v>23</v>
      </c>
      <c r="K297" s="6" t="s">
        <v>24</v>
      </c>
      <c r="L297" s="6">
        <v>25000000</v>
      </c>
      <c r="M297" s="6">
        <v>1994</v>
      </c>
      <c r="N297" s="6">
        <v>6</v>
      </c>
      <c r="O297" s="4">
        <f ca="1">IFERROR(__xludf.DUMMYFUNCTION("IF(Cost_in_dollars!E297=""USD"",Cost_in_dollars!B297,Cost_in_dollars!B297 * GOOGLEFINANCE(""CURRENCY:"" &amp; Cost_in_dollars!E297 &amp; ""USD""))
"),25000000)</f>
        <v>25000000</v>
      </c>
      <c r="P297" s="4">
        <f ca="1">IFERROR(__xludf.DUMMYFUNCTION("IF(Cost_in_dollars!E297=""USD"",Cost_in_dollars!C297,Cost_in_dollars!C297 * GOOGLEFINANCE(""CURRENCY:"" &amp; Cost_in_dollars!E297 &amp; ""USD""))
"),32055248)</f>
        <v>32055248</v>
      </c>
      <c r="Q297" s="6">
        <f t="shared" ca="1" si="6"/>
        <v>7055248</v>
      </c>
      <c r="R297" s="7" t="str">
        <f t="shared" si="7"/>
        <v>The Shadow</v>
      </c>
      <c r="S297" s="43" t="str">
        <f t="shared" si="8"/>
        <v>Action</v>
      </c>
    </row>
    <row r="298" spans="1:19" ht="15.75" customHeight="1" x14ac:dyDescent="0.25">
      <c r="A298" s="4" t="s">
        <v>1276</v>
      </c>
      <c r="B298" s="4">
        <v>42</v>
      </c>
      <c r="C298" s="4">
        <v>121972</v>
      </c>
      <c r="D298" s="4" t="s">
        <v>1277</v>
      </c>
      <c r="E298" s="4" t="s">
        <v>320</v>
      </c>
      <c r="F298" s="4" t="s">
        <v>1278</v>
      </c>
      <c r="G298" s="4">
        <v>9868</v>
      </c>
      <c r="H298" s="4" t="s">
        <v>1279</v>
      </c>
      <c r="I298" s="4">
        <v>81</v>
      </c>
      <c r="J298" s="4" t="s">
        <v>23</v>
      </c>
      <c r="K298" s="4" t="s">
        <v>24</v>
      </c>
      <c r="L298" s="4">
        <v>22000000</v>
      </c>
      <c r="M298" s="4">
        <v>2002</v>
      </c>
      <c r="N298" s="4">
        <v>5.5</v>
      </c>
      <c r="O298" s="4">
        <f ca="1">IFERROR(__xludf.DUMMYFUNCTION("IF(Cost_in_dollars!E298=""USD"",Cost_in_dollars!B298,Cost_in_dollars!B298 * GOOGLEFINANCE(""CURRENCY:"" &amp; Cost_in_dollars!E298 &amp; ""USD""))
"),22000000)</f>
        <v>22000000</v>
      </c>
      <c r="P298" s="4">
        <f ca="1">IFERROR(__xludf.DUMMYFUNCTION("IF(Cost_in_dollars!E298=""USD"",Cost_in_dollars!C298,Cost_in_dollars!C298 * GOOGLEFINANCE(""CURRENCY:"" &amp; Cost_in_dollars!E298 &amp; ""USD""))
"),121972)</f>
        <v>121972</v>
      </c>
      <c r="Q298" s="4">
        <f t="shared" ca="1" si="6"/>
        <v>-21878028</v>
      </c>
      <c r="R298" s="5" t="str">
        <f t="shared" si="7"/>
        <v>People I Know</v>
      </c>
      <c r="S298" s="43" t="str">
        <f t="shared" si="8"/>
        <v>Crime</v>
      </c>
    </row>
    <row r="299" spans="1:19" ht="15.75" customHeight="1" x14ac:dyDescent="0.25">
      <c r="A299" s="6" t="s">
        <v>1280</v>
      </c>
      <c r="B299" s="6">
        <v>169</v>
      </c>
      <c r="C299" s="6">
        <v>119793567</v>
      </c>
      <c r="D299" s="6" t="s">
        <v>1281</v>
      </c>
      <c r="E299" s="6" t="s">
        <v>1282</v>
      </c>
      <c r="F299" s="6" t="s">
        <v>1283</v>
      </c>
      <c r="G299" s="6">
        <v>64387</v>
      </c>
      <c r="H299" s="6" t="s">
        <v>1284</v>
      </c>
      <c r="I299" s="6">
        <v>85</v>
      </c>
      <c r="J299" s="6" t="s">
        <v>23</v>
      </c>
      <c r="K299" s="6" t="s">
        <v>24</v>
      </c>
      <c r="L299" s="6">
        <v>78000000</v>
      </c>
      <c r="M299" s="6">
        <v>2013</v>
      </c>
      <c r="N299" s="6">
        <v>6.5</v>
      </c>
      <c r="O299" s="4">
        <f ca="1">IFERROR(__xludf.DUMMYFUNCTION("IF(Cost_in_dollars!E299=""USD"",Cost_in_dollars!B299,Cost_in_dollars!B299 * GOOGLEFINANCE(""CURRENCY:"" &amp; Cost_in_dollars!E299 &amp; ""USD""))
"),78000000)</f>
        <v>78000000</v>
      </c>
      <c r="P299" s="4">
        <f ca="1">IFERROR(__xludf.DUMMYFUNCTION("IF(Cost_in_dollars!E299=""USD"",Cost_in_dollars!C299,Cost_in_dollars!C299 * GOOGLEFINANCE(""CURRENCY:"" &amp; Cost_in_dollars!E299 &amp; ""USD""))
"),119793567)</f>
        <v>119793567</v>
      </c>
      <c r="Q299" s="6">
        <f t="shared" ca="1" si="6"/>
        <v>41793567</v>
      </c>
      <c r="R299" s="7" t="str">
        <f t="shared" si="7"/>
        <v>Cloudy with a Chance of Meatballs 2</v>
      </c>
      <c r="S299" s="43" t="str">
        <f t="shared" si="8"/>
        <v>Animation</v>
      </c>
    </row>
    <row r="300" spans="1:19" ht="15.75" customHeight="1" x14ac:dyDescent="0.25">
      <c r="A300" s="4" t="s">
        <v>1285</v>
      </c>
      <c r="B300" s="4">
        <v>120</v>
      </c>
      <c r="C300" s="4">
        <v>43800000</v>
      </c>
      <c r="D300" s="4" t="s">
        <v>477</v>
      </c>
      <c r="E300" s="4" t="s">
        <v>1286</v>
      </c>
      <c r="F300" s="4" t="s">
        <v>1287</v>
      </c>
      <c r="G300" s="4">
        <v>74249</v>
      </c>
      <c r="H300" s="4" t="s">
        <v>1288</v>
      </c>
      <c r="I300" s="4">
        <v>276</v>
      </c>
      <c r="J300" s="4" t="s">
        <v>23</v>
      </c>
      <c r="K300" s="4" t="s">
        <v>133</v>
      </c>
      <c r="L300" s="4">
        <v>7200000</v>
      </c>
      <c r="M300" s="4">
        <v>1971</v>
      </c>
      <c r="N300" s="4">
        <v>6.7</v>
      </c>
      <c r="O300" s="4">
        <f ca="1">IFERROR(__xludf.DUMMYFUNCTION("IF(Cost_in_dollars!E300=""USD"",Cost_in_dollars!B300,Cost_in_dollars!B300 * GOOGLEFINANCE(""CURRENCY:"" &amp; Cost_in_dollars!E300 &amp; ""USD""))
"),9254880)</f>
        <v>9254880</v>
      </c>
      <c r="P300" s="4">
        <f ca="1">IFERROR(__xludf.DUMMYFUNCTION("IF(Cost_in_dollars!E300=""USD"",Cost_in_dollars!C300,Cost_in_dollars!C300 * GOOGLEFINANCE(""CURRENCY:"" &amp; Cost_in_dollars!E300 &amp; ""USD""))
"),56300519.9999999)</f>
        <v>56300519.999999903</v>
      </c>
      <c r="Q300" s="4">
        <f t="shared" ca="1" si="6"/>
        <v>47045639.999999903</v>
      </c>
      <c r="R300" s="5" t="str">
        <f t="shared" si="7"/>
        <v>Diamonds Are Forever</v>
      </c>
      <c r="S300" s="43" t="str">
        <f t="shared" si="8"/>
        <v>Action</v>
      </c>
    </row>
    <row r="301" spans="1:19" ht="15.75" customHeight="1" x14ac:dyDescent="0.25">
      <c r="A301" s="6" t="s">
        <v>1289</v>
      </c>
      <c r="B301" s="6">
        <v>282</v>
      </c>
      <c r="C301" s="6">
        <v>460935665</v>
      </c>
      <c r="D301" s="6" t="s">
        <v>1290</v>
      </c>
      <c r="E301" s="6" t="s">
        <v>640</v>
      </c>
      <c r="F301" s="6" t="s">
        <v>1291</v>
      </c>
      <c r="G301" s="6">
        <v>911097</v>
      </c>
      <c r="H301" s="6" t="s">
        <v>1292</v>
      </c>
      <c r="I301" s="6">
        <v>1470</v>
      </c>
      <c r="J301" s="6" t="s">
        <v>23</v>
      </c>
      <c r="K301" s="6" t="s">
        <v>24</v>
      </c>
      <c r="L301" s="6">
        <v>11000000</v>
      </c>
      <c r="M301" s="6">
        <v>1977</v>
      </c>
      <c r="N301" s="6">
        <v>8.6999999999999993</v>
      </c>
      <c r="O301" s="4">
        <f ca="1">IFERROR(__xludf.DUMMYFUNCTION("IF(Cost_in_dollars!E301=""USD"",Cost_in_dollars!B301,Cost_in_dollars!B301 * GOOGLEFINANCE(""CURRENCY:"" &amp; Cost_in_dollars!E301 &amp; ""USD""))
"),11000000)</f>
        <v>11000000</v>
      </c>
      <c r="P301" s="4">
        <f ca="1">IFERROR(__xludf.DUMMYFUNCTION("IF(Cost_in_dollars!E301=""USD"",Cost_in_dollars!C301,Cost_in_dollars!C301 * GOOGLEFINANCE(""CURRENCY:"" &amp; Cost_in_dollars!E301 &amp; ""USD""))
"),460935665)</f>
        <v>460935665</v>
      </c>
      <c r="Q301" s="6">
        <f t="shared" ca="1" si="6"/>
        <v>449935665</v>
      </c>
      <c r="R301" s="7" t="str">
        <f t="shared" si="7"/>
        <v>Star Wars: Episode IV - A New Hope</v>
      </c>
      <c r="S301" s="43" t="str">
        <f t="shared" si="8"/>
        <v>Action</v>
      </c>
    </row>
    <row r="302" spans="1:19" ht="15.75" customHeight="1" x14ac:dyDescent="0.25">
      <c r="A302" s="4" t="s">
        <v>447</v>
      </c>
      <c r="B302" s="4">
        <v>122</v>
      </c>
      <c r="C302" s="4">
        <v>1247453</v>
      </c>
      <c r="D302" s="4" t="s">
        <v>457</v>
      </c>
      <c r="E302" s="4" t="s">
        <v>325</v>
      </c>
      <c r="F302" s="4" t="s">
        <v>1293</v>
      </c>
      <c r="G302" s="4">
        <v>11202</v>
      </c>
      <c r="H302" s="4" t="s">
        <v>1294</v>
      </c>
      <c r="I302" s="4">
        <v>123</v>
      </c>
      <c r="J302" s="4" t="s">
        <v>23</v>
      </c>
      <c r="K302" s="4" t="s">
        <v>133</v>
      </c>
      <c r="L302" s="4">
        <v>2800000</v>
      </c>
      <c r="M302" s="4">
        <v>2005</v>
      </c>
      <c r="N302" s="4">
        <v>6.8</v>
      </c>
      <c r="O302" s="4">
        <f ca="1">IFERROR(__xludf.DUMMYFUNCTION("IF(Cost_in_dollars!E302=""USD"",Cost_in_dollars!B302,Cost_in_dollars!B302 * GOOGLEFINANCE(""CURRENCY:"" &amp; Cost_in_dollars!E302 &amp; ""USD""))
"),3599119.99999999)</f>
        <v>3599119.9999999902</v>
      </c>
      <c r="P302" s="4">
        <f ca="1">IFERROR(__xludf.DUMMYFUNCTION("IF(Cost_in_dollars!E302=""USD"",Cost_in_dollars!C302,Cost_in_dollars!C302 * GOOGLEFINANCE(""CURRENCY:"" &amp; Cost_in_dollars!E302 &amp; ""USD""))
"),1603476.08619999)</f>
        <v>1603476.08619999</v>
      </c>
      <c r="Q302" s="4">
        <f t="shared" ca="1" si="6"/>
        <v>-1995643.9138000002</v>
      </c>
      <c r="R302" s="5" t="str">
        <f t="shared" si="7"/>
        <v>Tristram Shandy: A Cock and Bull Story</v>
      </c>
      <c r="S302" s="43" t="str">
        <f t="shared" si="8"/>
        <v>Comedy</v>
      </c>
    </row>
    <row r="303" spans="1:19" ht="15.75" customHeight="1" x14ac:dyDescent="0.25">
      <c r="A303" s="6" t="s">
        <v>280</v>
      </c>
      <c r="B303" s="6">
        <v>145</v>
      </c>
      <c r="C303" s="6">
        <v>31704416</v>
      </c>
      <c r="D303" s="6" t="s">
        <v>797</v>
      </c>
      <c r="E303" s="6" t="s">
        <v>1295</v>
      </c>
      <c r="F303" s="6" t="s">
        <v>1296</v>
      </c>
      <c r="G303" s="6">
        <v>45455</v>
      </c>
      <c r="H303" s="6" t="s">
        <v>1297</v>
      </c>
      <c r="I303" s="6">
        <v>388</v>
      </c>
      <c r="J303" s="6" t="s">
        <v>23</v>
      </c>
      <c r="K303" s="6" t="s">
        <v>24</v>
      </c>
      <c r="L303" s="6">
        <v>135000000</v>
      </c>
      <c r="M303" s="6">
        <v>2005</v>
      </c>
      <c r="N303" s="6">
        <v>5</v>
      </c>
      <c r="O303" s="4">
        <f ca="1">IFERROR(__xludf.DUMMYFUNCTION("IF(Cost_in_dollars!E303=""USD"",Cost_in_dollars!B303,Cost_in_dollars!B303 * GOOGLEFINANCE(""CURRENCY:"" &amp; Cost_in_dollars!E303 &amp; ""USD""))
"),135000000)</f>
        <v>135000000</v>
      </c>
      <c r="P303" s="4">
        <f ca="1">IFERROR(__xludf.DUMMYFUNCTION("IF(Cost_in_dollars!E303=""USD"",Cost_in_dollars!C303,Cost_in_dollars!C303 * GOOGLEFINANCE(""CURRENCY:"" &amp; Cost_in_dollars!E303 &amp; ""USD""))
"),31704416)</f>
        <v>31704416</v>
      </c>
      <c r="Q303" s="6">
        <f t="shared" ca="1" si="6"/>
        <v>-103295584</v>
      </c>
      <c r="R303" s="7" t="str">
        <f t="shared" si="7"/>
        <v>Stealth</v>
      </c>
      <c r="S303" s="43" t="str">
        <f t="shared" si="8"/>
        <v>Action</v>
      </c>
    </row>
    <row r="304" spans="1:19" ht="15.75" customHeight="1" x14ac:dyDescent="0.25">
      <c r="A304" s="4" t="s">
        <v>1298</v>
      </c>
      <c r="B304" s="4">
        <v>88</v>
      </c>
      <c r="C304" s="4">
        <v>37911876</v>
      </c>
      <c r="D304" s="4" t="s">
        <v>268</v>
      </c>
      <c r="E304" s="4" t="s">
        <v>1299</v>
      </c>
      <c r="F304" s="4" t="s">
        <v>1300</v>
      </c>
      <c r="G304" s="4">
        <v>19671</v>
      </c>
      <c r="H304" s="4" t="s">
        <v>1301</v>
      </c>
      <c r="I304" s="4">
        <v>47</v>
      </c>
      <c r="J304" s="4" t="s">
        <v>23</v>
      </c>
      <c r="K304" s="4" t="s">
        <v>24</v>
      </c>
      <c r="L304" s="4">
        <v>32000000</v>
      </c>
      <c r="M304" s="4">
        <v>2011</v>
      </c>
      <c r="N304" s="4">
        <v>4.4000000000000004</v>
      </c>
      <c r="O304" s="4">
        <f ca="1">IFERROR(__xludf.DUMMYFUNCTION("IF(Cost_in_dollars!E304=""USD"",Cost_in_dollars!B304,Cost_in_dollars!B304 * GOOGLEFINANCE(""CURRENCY:"" &amp; Cost_in_dollars!E304 &amp; ""USD""))
"),32000000)</f>
        <v>32000000</v>
      </c>
      <c r="P304" s="4">
        <f ca="1">IFERROR(__xludf.DUMMYFUNCTION("IF(Cost_in_dollars!E304=""USD"",Cost_in_dollars!C304,Cost_in_dollars!C304 * GOOGLEFINANCE(""CURRENCY:"" &amp; Cost_in_dollars!E304 &amp; ""USD""))
"),37911876)</f>
        <v>37911876</v>
      </c>
      <c r="Q304" s="4">
        <f t="shared" ca="1" si="6"/>
        <v>5911876</v>
      </c>
      <c r="R304" s="5" t="str">
        <f t="shared" si="7"/>
        <v>Big Mommas: Like Father, Like Son</v>
      </c>
      <c r="S304" s="43" t="str">
        <f t="shared" si="8"/>
        <v>Action</v>
      </c>
    </row>
    <row r="305" spans="1:19" ht="15.75" customHeight="1" x14ac:dyDescent="0.25">
      <c r="A305" s="6" t="s">
        <v>37</v>
      </c>
      <c r="B305" s="6">
        <v>76</v>
      </c>
      <c r="C305" s="6">
        <v>50007168</v>
      </c>
      <c r="D305" s="6" t="s">
        <v>504</v>
      </c>
      <c r="E305" s="6" t="s">
        <v>37</v>
      </c>
      <c r="F305" s="6" t="s">
        <v>1302</v>
      </c>
      <c r="G305" s="6">
        <v>39529</v>
      </c>
      <c r="H305" s="6" t="s">
        <v>1303</v>
      </c>
      <c r="I305" s="6">
        <v>142</v>
      </c>
      <c r="J305" s="6" t="s">
        <v>23</v>
      </c>
      <c r="K305" s="6" t="s">
        <v>24</v>
      </c>
      <c r="L305" s="6">
        <v>50000000</v>
      </c>
      <c r="M305" s="6">
        <v>1997</v>
      </c>
      <c r="N305" s="6">
        <v>6.7</v>
      </c>
      <c r="O305" s="4">
        <f ca="1">IFERROR(__xludf.DUMMYFUNCTION("IF(Cost_in_dollars!E305=""USD"",Cost_in_dollars!B305,Cost_in_dollars!B305 * GOOGLEFINANCE(""CURRENCY:"" &amp; Cost_in_dollars!E305 &amp; ""USD""))
"),50000000)</f>
        <v>50000000</v>
      </c>
      <c r="P305" s="4">
        <f ca="1">IFERROR(__xludf.DUMMYFUNCTION("IF(Cost_in_dollars!E305=""USD"",Cost_in_dollars!C305,Cost_in_dollars!C305 * GOOGLEFINANCE(""CURRENCY:"" &amp; Cost_in_dollars!E305 &amp; ""USD""))
"),50007168)</f>
        <v>50007168</v>
      </c>
      <c r="Q305" s="6">
        <f t="shared" ca="1" si="6"/>
        <v>7168</v>
      </c>
      <c r="R305" s="7" t="str">
        <f t="shared" si="7"/>
        <v>Absolute Power</v>
      </c>
      <c r="S305" s="43" t="str">
        <f t="shared" si="8"/>
        <v>Action</v>
      </c>
    </row>
    <row r="306" spans="1:19" ht="15.75" customHeight="1" x14ac:dyDescent="0.25">
      <c r="A306" s="4" t="s">
        <v>1304</v>
      </c>
      <c r="B306" s="4">
        <v>146</v>
      </c>
      <c r="C306" s="4">
        <v>2849142</v>
      </c>
      <c r="D306" s="4" t="s">
        <v>102</v>
      </c>
      <c r="E306" s="4" t="s">
        <v>1305</v>
      </c>
      <c r="F306" s="4" t="s">
        <v>1306</v>
      </c>
      <c r="G306" s="4">
        <v>24104</v>
      </c>
      <c r="H306" s="4" t="s">
        <v>1307</v>
      </c>
      <c r="I306" s="4">
        <v>88</v>
      </c>
      <c r="J306" s="4" t="s">
        <v>23</v>
      </c>
      <c r="K306" s="4" t="s">
        <v>24</v>
      </c>
      <c r="L306" s="4">
        <v>16000000</v>
      </c>
      <c r="M306" s="4">
        <v>2007</v>
      </c>
      <c r="N306" s="4">
        <v>7.2</v>
      </c>
      <c r="O306" s="4">
        <f ca="1">IFERROR(__xludf.DUMMYFUNCTION("IF(Cost_in_dollars!E306=""USD"",Cost_in_dollars!B306,Cost_in_dollars!B306 * GOOGLEFINANCE(""CURRENCY:"" &amp; Cost_in_dollars!E306 &amp; ""USD""))
"),16000000)</f>
        <v>16000000</v>
      </c>
      <c r="P306" s="4">
        <f ca="1">IFERROR(__xludf.DUMMYFUNCTION("IF(Cost_in_dollars!E306=""USD"",Cost_in_dollars!C306,Cost_in_dollars!C306 * GOOGLEFINANCE(""CURRENCY:"" &amp; Cost_in_dollars!E306 &amp; ""USD""))
"),2849142)</f>
        <v>2849142</v>
      </c>
      <c r="Q306" s="4">
        <f t="shared" ca="1" si="6"/>
        <v>-13150858</v>
      </c>
      <c r="R306" s="5" t="str">
        <f t="shared" si="7"/>
        <v>Things We Lost in the Fire</v>
      </c>
      <c r="S306" s="43" t="str">
        <f t="shared" si="8"/>
        <v>Drama</v>
      </c>
    </row>
    <row r="307" spans="1:19" ht="15.75" customHeight="1" x14ac:dyDescent="0.25">
      <c r="A307" s="6" t="s">
        <v>1308</v>
      </c>
      <c r="B307" s="6">
        <v>127</v>
      </c>
      <c r="C307" s="6">
        <v>26404753</v>
      </c>
      <c r="D307" s="6" t="s">
        <v>1309</v>
      </c>
      <c r="E307" s="6" t="s">
        <v>1310</v>
      </c>
      <c r="F307" s="6" t="s">
        <v>1311</v>
      </c>
      <c r="G307" s="6">
        <v>34203</v>
      </c>
      <c r="H307" s="6" t="s">
        <v>1312</v>
      </c>
      <c r="I307" s="6">
        <v>169</v>
      </c>
      <c r="J307" s="6" t="s">
        <v>23</v>
      </c>
      <c r="K307" s="6" t="s">
        <v>24</v>
      </c>
      <c r="L307" s="6">
        <v>40000000</v>
      </c>
      <c r="M307" s="6">
        <v>2012</v>
      </c>
      <c r="N307" s="6">
        <v>5.3</v>
      </c>
      <c r="O307" s="4">
        <f ca="1">IFERROR(__xludf.DUMMYFUNCTION("IF(Cost_in_dollars!E307=""USD"",Cost_in_dollars!B307,Cost_in_dollars!B307 * GOOGLEFINANCE(""CURRENCY:"" &amp; Cost_in_dollars!E307 &amp; ""USD""))
"),40000000)</f>
        <v>40000000</v>
      </c>
      <c r="P307" s="4">
        <f ca="1">IFERROR(__xludf.DUMMYFUNCTION("IF(Cost_in_dollars!E307=""USD"",Cost_in_dollars!C307,Cost_in_dollars!C307 * GOOGLEFINANCE(""CURRENCY:"" &amp; Cost_in_dollars!E307 &amp; ""USD""))
"),26404753)</f>
        <v>26404753</v>
      </c>
      <c r="Q307" s="6">
        <f t="shared" ca="1" si="6"/>
        <v>-13595247</v>
      </c>
      <c r="R307" s="7" t="str">
        <f t="shared" si="7"/>
        <v>One for the Money</v>
      </c>
      <c r="S307" s="43" t="str">
        <f t="shared" si="8"/>
        <v>Action</v>
      </c>
    </row>
    <row r="308" spans="1:19" ht="15.75" customHeight="1" x14ac:dyDescent="0.25">
      <c r="A308" s="4" t="s">
        <v>1313</v>
      </c>
      <c r="B308" s="4">
        <v>119</v>
      </c>
      <c r="C308" s="4">
        <v>3749061</v>
      </c>
      <c r="D308" s="4" t="s">
        <v>1099</v>
      </c>
      <c r="E308" s="4" t="s">
        <v>1314</v>
      </c>
      <c r="F308" s="4" t="s">
        <v>1315</v>
      </c>
      <c r="G308" s="4">
        <v>28629</v>
      </c>
      <c r="H308" s="4" t="s">
        <v>1316</v>
      </c>
      <c r="I308" s="4">
        <v>113</v>
      </c>
      <c r="J308" s="4" t="s">
        <v>23</v>
      </c>
      <c r="K308" s="4" t="s">
        <v>24</v>
      </c>
      <c r="L308" s="4">
        <v>20000000</v>
      </c>
      <c r="M308" s="4">
        <v>2012</v>
      </c>
      <c r="N308" s="4">
        <v>4.9000000000000004</v>
      </c>
      <c r="O308" s="4">
        <f ca="1">IFERROR(__xludf.DUMMYFUNCTION("IF(Cost_in_dollars!E308=""USD"",Cost_in_dollars!B308,Cost_in_dollars!B308 * GOOGLEFINANCE(""CURRENCY:"" &amp; Cost_in_dollars!E308 &amp; ""USD""))
"),20000000)</f>
        <v>20000000</v>
      </c>
      <c r="P308" s="4">
        <f ca="1">IFERROR(__xludf.DUMMYFUNCTION("IF(Cost_in_dollars!E308=""USD"",Cost_in_dollars!C308,Cost_in_dollars!C308 * GOOGLEFINANCE(""CURRENCY:"" &amp; Cost_in_dollars!E308 &amp; ""USD""))
"),3749061)</f>
        <v>3749061</v>
      </c>
      <c r="Q308" s="4">
        <f t="shared" ca="1" si="6"/>
        <v>-16250939</v>
      </c>
      <c r="R308" s="5" t="str">
        <f t="shared" si="7"/>
        <v>The Cold Light of Day</v>
      </c>
      <c r="S308" s="43" t="str">
        <f t="shared" si="8"/>
        <v>Action</v>
      </c>
    </row>
    <row r="309" spans="1:19" ht="15.75" customHeight="1" x14ac:dyDescent="0.25">
      <c r="A309" s="6" t="s">
        <v>1317</v>
      </c>
      <c r="B309" s="6">
        <v>97</v>
      </c>
      <c r="C309" s="6">
        <v>30222640</v>
      </c>
      <c r="D309" s="6" t="s">
        <v>737</v>
      </c>
      <c r="E309" s="6" t="s">
        <v>1318</v>
      </c>
      <c r="F309" s="6" t="s">
        <v>1319</v>
      </c>
      <c r="G309" s="6">
        <v>36666</v>
      </c>
      <c r="H309" s="6" t="s">
        <v>1320</v>
      </c>
      <c r="I309" s="6">
        <v>144</v>
      </c>
      <c r="J309" s="6" t="s">
        <v>23</v>
      </c>
      <c r="K309" s="6" t="s">
        <v>24</v>
      </c>
      <c r="L309" s="6">
        <v>25000000</v>
      </c>
      <c r="M309" s="6">
        <v>2003</v>
      </c>
      <c r="N309" s="6">
        <v>5.3</v>
      </c>
      <c r="O309" s="4">
        <f ca="1">IFERROR(__xludf.DUMMYFUNCTION("IF(Cost_in_dollars!E309=""USD"",Cost_in_dollars!B309,Cost_in_dollars!B309 * GOOGLEFINANCE(""CURRENCY:"" &amp; Cost_in_dollars!E309 &amp; ""USD""))
"),25000000)</f>
        <v>25000000</v>
      </c>
      <c r="P309" s="4">
        <f ca="1">IFERROR(__xludf.DUMMYFUNCTION("IF(Cost_in_dollars!E309=""USD"",Cost_in_dollars!C309,Cost_in_dollars!C309 * GOOGLEFINANCE(""CURRENCY:"" &amp; Cost_in_dollars!E309 &amp; ""USD""))
"),30222640)</f>
        <v>30222640</v>
      </c>
      <c r="Q309" s="6">
        <f t="shared" ca="1" si="6"/>
        <v>5222640</v>
      </c>
      <c r="R309" s="7" t="str">
        <f t="shared" si="7"/>
        <v>Honey</v>
      </c>
      <c r="S309" s="43" t="str">
        <f t="shared" si="8"/>
        <v>Drama</v>
      </c>
    </row>
    <row r="310" spans="1:19" ht="15.75" customHeight="1" x14ac:dyDescent="0.25">
      <c r="A310" s="4" t="s">
        <v>1321</v>
      </c>
      <c r="B310" s="4">
        <v>162</v>
      </c>
      <c r="C310" s="4">
        <v>23272306</v>
      </c>
      <c r="D310" s="4" t="s">
        <v>438</v>
      </c>
      <c r="E310" s="4" t="s">
        <v>486</v>
      </c>
      <c r="F310" s="4" t="s">
        <v>1322</v>
      </c>
      <c r="G310" s="4">
        <v>740918</v>
      </c>
      <c r="H310" s="4" t="s">
        <v>1323</v>
      </c>
      <c r="I310" s="4">
        <v>1182</v>
      </c>
      <c r="J310" s="4" t="s">
        <v>23</v>
      </c>
      <c r="K310" s="4" t="s">
        <v>24</v>
      </c>
      <c r="L310" s="4">
        <v>6000000</v>
      </c>
      <c r="M310" s="4">
        <v>1995</v>
      </c>
      <c r="N310" s="4">
        <v>8.6</v>
      </c>
      <c r="O310" s="4">
        <f ca="1">IFERROR(__xludf.DUMMYFUNCTION("IF(Cost_in_dollars!E310=""USD"",Cost_in_dollars!B310,Cost_in_dollars!B310 * GOOGLEFINANCE(""CURRENCY:"" &amp; Cost_in_dollars!E310 &amp; ""USD""))
"),6000000)</f>
        <v>6000000</v>
      </c>
      <c r="P310" s="4">
        <f ca="1">IFERROR(__xludf.DUMMYFUNCTION("IF(Cost_in_dollars!E310=""USD"",Cost_in_dollars!C310,Cost_in_dollars!C310 * GOOGLEFINANCE(""CURRENCY:"" &amp; Cost_in_dollars!E310 &amp; ""USD""))
"),23272306)</f>
        <v>23272306</v>
      </c>
      <c r="Q310" s="4">
        <f t="shared" ca="1" si="6"/>
        <v>17272306</v>
      </c>
      <c r="R310" s="5" t="str">
        <f t="shared" si="7"/>
        <v>The Usual Suspects</v>
      </c>
      <c r="S310" s="43" t="str">
        <f t="shared" si="8"/>
        <v>Crime</v>
      </c>
    </row>
    <row r="311" spans="1:19" ht="15.75" customHeight="1" x14ac:dyDescent="0.25">
      <c r="A311" s="6" t="s">
        <v>638</v>
      </c>
      <c r="B311" s="6">
        <v>401</v>
      </c>
      <c r="C311" s="6">
        <v>234277056</v>
      </c>
      <c r="D311" s="6" t="s">
        <v>1324</v>
      </c>
      <c r="E311" s="6" t="s">
        <v>223</v>
      </c>
      <c r="F311" s="6" t="s">
        <v>1325</v>
      </c>
      <c r="G311" s="6">
        <v>334345</v>
      </c>
      <c r="H311" s="6" t="s">
        <v>1326</v>
      </c>
      <c r="I311" s="6">
        <v>2741</v>
      </c>
      <c r="J311" s="6" t="s">
        <v>23</v>
      </c>
      <c r="K311" s="6" t="s">
        <v>24</v>
      </c>
      <c r="L311" s="6">
        <v>132000000</v>
      </c>
      <c r="M311" s="6">
        <v>2005</v>
      </c>
      <c r="N311" s="6">
        <v>6.5</v>
      </c>
      <c r="O311" s="4">
        <f ca="1">IFERROR(__xludf.DUMMYFUNCTION("IF(Cost_in_dollars!E311=""USD"",Cost_in_dollars!B311,Cost_in_dollars!B311 * GOOGLEFINANCE(""CURRENCY:"" &amp; Cost_in_dollars!E311 &amp; ""USD""))
"),132000000)</f>
        <v>132000000</v>
      </c>
      <c r="P311" s="4">
        <f ca="1">IFERROR(__xludf.DUMMYFUNCTION("IF(Cost_in_dollars!E311=""USD"",Cost_in_dollars!C311,Cost_in_dollars!C311 * GOOGLEFINANCE(""CURRENCY:"" &amp; Cost_in_dollars!E311 &amp; ""USD""))
"),234277056)</f>
        <v>234277056</v>
      </c>
      <c r="Q311" s="6">
        <f t="shared" ca="1" si="6"/>
        <v>102277056</v>
      </c>
      <c r="R311" s="7" t="str">
        <f t="shared" si="7"/>
        <v>War of the Worlds</v>
      </c>
      <c r="S311" s="43" t="str">
        <f t="shared" si="8"/>
        <v>Adventure</v>
      </c>
    </row>
    <row r="312" spans="1:19" ht="15.75" customHeight="1" x14ac:dyDescent="0.25">
      <c r="A312" s="4" t="s">
        <v>1327</v>
      </c>
      <c r="B312" s="4">
        <v>52</v>
      </c>
      <c r="C312" s="4">
        <v>4884663</v>
      </c>
      <c r="D312" s="4" t="s">
        <v>1328</v>
      </c>
      <c r="E312" s="4" t="s">
        <v>1329</v>
      </c>
      <c r="F312" s="4" t="s">
        <v>1330</v>
      </c>
      <c r="G312" s="4">
        <v>5187</v>
      </c>
      <c r="H312" s="4" t="s">
        <v>1331</v>
      </c>
      <c r="I312" s="4">
        <v>64</v>
      </c>
      <c r="J312" s="4" t="s">
        <v>23</v>
      </c>
      <c r="K312" s="4" t="s">
        <v>24</v>
      </c>
      <c r="L312" s="4">
        <v>12000000</v>
      </c>
      <c r="M312" s="4">
        <v>1986</v>
      </c>
      <c r="N312" s="4">
        <v>5.5</v>
      </c>
      <c r="O312" s="4">
        <f ca="1">IFERROR(__xludf.DUMMYFUNCTION("IF(Cost_in_dollars!E312=""USD"",Cost_in_dollars!B312,Cost_in_dollars!B312 * GOOGLEFINANCE(""CURRENCY:"" &amp; Cost_in_dollars!E312 &amp; ""USD""))
"),12000000)</f>
        <v>12000000</v>
      </c>
      <c r="P312" s="4">
        <f ca="1">IFERROR(__xludf.DUMMYFUNCTION("IF(Cost_in_dollars!E312=""USD"",Cost_in_dollars!C312,Cost_in_dollars!C312 * GOOGLEFINANCE(""CURRENCY:"" &amp; Cost_in_dollars!E312 &amp; ""USD""))
"),4884663)</f>
        <v>4884663</v>
      </c>
      <c r="Q312" s="4">
        <f t="shared" ca="1" si="6"/>
        <v>-7115337</v>
      </c>
      <c r="R312" s="5" t="str">
        <f t="shared" si="7"/>
        <v>Invaders from Mars</v>
      </c>
      <c r="S312" s="43" t="str">
        <f t="shared" si="8"/>
        <v>Horror</v>
      </c>
    </row>
    <row r="313" spans="1:19" ht="15.75" customHeight="1" x14ac:dyDescent="0.25">
      <c r="A313" s="6" t="s">
        <v>1332</v>
      </c>
      <c r="B313" s="6">
        <v>466</v>
      </c>
      <c r="C313" s="6">
        <v>24104113</v>
      </c>
      <c r="D313" s="6" t="s">
        <v>314</v>
      </c>
      <c r="E313" s="6" t="s">
        <v>561</v>
      </c>
      <c r="F313" s="6" t="s">
        <v>1333</v>
      </c>
      <c r="G313" s="6">
        <v>149066</v>
      </c>
      <c r="H313" s="6" t="s">
        <v>1334</v>
      </c>
      <c r="I313" s="6">
        <v>517</v>
      </c>
      <c r="J313" s="6" t="s">
        <v>23</v>
      </c>
      <c r="K313" s="6" t="s">
        <v>611</v>
      </c>
      <c r="L313" s="6">
        <v>20000000</v>
      </c>
      <c r="M313" s="6">
        <v>2011</v>
      </c>
      <c r="N313" s="6">
        <v>7.1</v>
      </c>
      <c r="O313" s="4">
        <f ca="1">IFERROR(__xludf.DUMMYFUNCTION("IF(Cost_in_dollars!E313=""USD"",Cost_in_dollars!B313,Cost_in_dollars!B313 * GOOGLEFINANCE(""CURRENCY:"" &amp; Cost_in_dollars!E313 &amp; ""USD""))
"),21694800)</f>
        <v>21694800</v>
      </c>
      <c r="P313" s="4">
        <f ca="1">IFERROR(__xludf.DUMMYFUNCTION("IF(Cost_in_dollars!E313=""USD"",Cost_in_dollars!C313,Cost_in_dollars!C313 * GOOGLEFINANCE(""CURRENCY:"" &amp; Cost_in_dollars!E313 &amp; ""USD""))
"),26146695.53562)</f>
        <v>26146695.53562</v>
      </c>
      <c r="Q313" s="6">
        <f t="shared" ca="1" si="6"/>
        <v>4451895.5356200002</v>
      </c>
      <c r="R313" s="7" t="str">
        <f t="shared" si="7"/>
        <v>Tinker Tailor Soldier Spy</v>
      </c>
      <c r="S313" s="43" t="str">
        <f t="shared" si="8"/>
        <v>Drama</v>
      </c>
    </row>
    <row r="314" spans="1:19" ht="15.75" customHeight="1" x14ac:dyDescent="0.25">
      <c r="A314" s="4" t="s">
        <v>1335</v>
      </c>
      <c r="B314" s="4">
        <v>23</v>
      </c>
      <c r="C314" s="4">
        <v>8026971</v>
      </c>
      <c r="D314" s="4" t="s">
        <v>88</v>
      </c>
      <c r="E314" s="4" t="s">
        <v>1336</v>
      </c>
      <c r="F314" s="4" t="s">
        <v>1337</v>
      </c>
      <c r="G314" s="4">
        <v>1520</v>
      </c>
      <c r="H314" s="4" t="s">
        <v>1338</v>
      </c>
      <c r="I314" s="4">
        <v>20</v>
      </c>
      <c r="J314" s="4" t="s">
        <v>23</v>
      </c>
      <c r="K314" s="4" t="s">
        <v>24</v>
      </c>
      <c r="L314" s="4">
        <v>13000000</v>
      </c>
      <c r="M314" s="4">
        <v>1998</v>
      </c>
      <c r="N314" s="4">
        <v>3.8</v>
      </c>
      <c r="O314" s="4">
        <f ca="1">IFERROR(__xludf.DUMMYFUNCTION("IF(Cost_in_dollars!E314=""USD"",Cost_in_dollars!B314,Cost_in_dollars!B314 * GOOGLEFINANCE(""CURRENCY:"" &amp; Cost_in_dollars!E314 &amp; ""USD""))
"),13000000)</f>
        <v>13000000</v>
      </c>
      <c r="P314" s="4">
        <f ca="1">IFERROR(__xludf.DUMMYFUNCTION("IF(Cost_in_dollars!E314=""USD"",Cost_in_dollars!C314,Cost_in_dollars!C314 * GOOGLEFINANCE(""CURRENCY:"" &amp; Cost_in_dollars!E314 &amp; ""USD""))
"),8026971)</f>
        <v>8026971</v>
      </c>
      <c r="Q314" s="4">
        <f t="shared" ca="1" si="6"/>
        <v>-4973029</v>
      </c>
      <c r="R314" s="5" t="str">
        <f t="shared" si="7"/>
        <v>Woo</v>
      </c>
      <c r="S314" s="43" t="str">
        <f t="shared" si="8"/>
        <v>Comedy</v>
      </c>
    </row>
    <row r="315" spans="1:19" ht="15.75" customHeight="1" x14ac:dyDescent="0.25">
      <c r="A315" s="6" t="s">
        <v>1339</v>
      </c>
      <c r="B315" s="6">
        <v>160</v>
      </c>
      <c r="C315" s="6">
        <v>8855646</v>
      </c>
      <c r="D315" s="6" t="s">
        <v>895</v>
      </c>
      <c r="E315" s="6" t="s">
        <v>886</v>
      </c>
      <c r="F315" s="6" t="s">
        <v>1340</v>
      </c>
      <c r="G315" s="6">
        <v>49855</v>
      </c>
      <c r="H315" s="6" t="s">
        <v>1341</v>
      </c>
      <c r="I315" s="6">
        <v>117</v>
      </c>
      <c r="J315" s="6" t="s">
        <v>23</v>
      </c>
      <c r="K315" s="6" t="s">
        <v>24</v>
      </c>
      <c r="L315" s="6">
        <v>21000000</v>
      </c>
      <c r="M315" s="6">
        <v>2009</v>
      </c>
      <c r="N315" s="6">
        <v>7.2</v>
      </c>
      <c r="O315" s="4">
        <f ca="1">IFERROR(__xludf.DUMMYFUNCTION("IF(Cost_in_dollars!E315=""USD"",Cost_in_dollars!B315,Cost_in_dollars!B315 * GOOGLEFINANCE(""CURRENCY:"" &amp; Cost_in_dollars!E315 &amp; ""USD""))
"),21000000)</f>
        <v>21000000</v>
      </c>
      <c r="P315" s="4">
        <f ca="1">IFERROR(__xludf.DUMMYFUNCTION("IF(Cost_in_dollars!E315=""USD"",Cost_in_dollars!C315,Cost_in_dollars!C315 * GOOGLEFINANCE(""CURRENCY:"" &amp; Cost_in_dollars!E315 &amp; ""USD""))
"),8855646)</f>
        <v>8855646</v>
      </c>
      <c r="Q315" s="6">
        <f t="shared" ca="1" si="6"/>
        <v>-12144354</v>
      </c>
      <c r="R315" s="7" t="str">
        <f t="shared" si="7"/>
        <v>Everybody's Fine</v>
      </c>
      <c r="S315" s="43" t="str">
        <f t="shared" si="8"/>
        <v>Adventure</v>
      </c>
    </row>
    <row r="316" spans="1:19" ht="15.75" customHeight="1" x14ac:dyDescent="0.25">
      <c r="A316" s="4" t="s">
        <v>1342</v>
      </c>
      <c r="B316" s="4">
        <v>61</v>
      </c>
      <c r="C316" s="4">
        <v>46300000</v>
      </c>
      <c r="D316" s="4" t="s">
        <v>1343</v>
      </c>
      <c r="E316" s="4" t="s">
        <v>1273</v>
      </c>
      <c r="F316" s="4" t="s">
        <v>1344</v>
      </c>
      <c r="G316" s="4">
        <v>29323</v>
      </c>
      <c r="H316" s="4" t="s">
        <v>1345</v>
      </c>
      <c r="I316" s="4">
        <v>344</v>
      </c>
      <c r="J316" s="4" t="s">
        <v>23</v>
      </c>
      <c r="K316" s="4" t="s">
        <v>24</v>
      </c>
      <c r="L316" s="4">
        <v>9400000</v>
      </c>
      <c r="M316" s="4">
        <v>1963</v>
      </c>
      <c r="N316" s="4">
        <v>7.6</v>
      </c>
      <c r="O316" s="4">
        <f ca="1">IFERROR(__xludf.DUMMYFUNCTION("IF(Cost_in_dollars!E316=""USD"",Cost_in_dollars!B316,Cost_in_dollars!B316 * GOOGLEFINANCE(""CURRENCY:"" &amp; Cost_in_dollars!E316 &amp; ""USD""))
"),9400000)</f>
        <v>9400000</v>
      </c>
      <c r="P316" s="4">
        <f ca="1">IFERROR(__xludf.DUMMYFUNCTION("IF(Cost_in_dollars!E316=""USD"",Cost_in_dollars!C316,Cost_in_dollars!C316 * GOOGLEFINANCE(""CURRENCY:"" &amp; Cost_in_dollars!E316 &amp; ""USD""))
"),46300000)</f>
        <v>46300000</v>
      </c>
      <c r="Q316" s="4">
        <f t="shared" ca="1" si="6"/>
        <v>36900000</v>
      </c>
      <c r="R316" s="5" t="str">
        <f t="shared" si="7"/>
        <v>It's a Mad, Mad, Mad, Mad World</v>
      </c>
      <c r="S316" s="43" t="str">
        <f t="shared" si="8"/>
        <v>Action</v>
      </c>
    </row>
    <row r="317" spans="1:19" ht="15.75" customHeight="1" x14ac:dyDescent="0.25">
      <c r="A317" s="6" t="s">
        <v>1346</v>
      </c>
      <c r="B317" s="6">
        <v>82</v>
      </c>
      <c r="C317" s="6">
        <v>1011054</v>
      </c>
      <c r="D317" s="6" t="s">
        <v>116</v>
      </c>
      <c r="E317" s="6" t="s">
        <v>1347</v>
      </c>
      <c r="F317" s="6" t="s">
        <v>1348</v>
      </c>
      <c r="G317" s="6">
        <v>10585</v>
      </c>
      <c r="H317" s="6" t="s">
        <v>1349</v>
      </c>
      <c r="I317" s="6">
        <v>83</v>
      </c>
      <c r="J317" s="6" t="s">
        <v>23</v>
      </c>
      <c r="K317" s="6" t="s">
        <v>627</v>
      </c>
      <c r="L317" s="6">
        <v>10000000</v>
      </c>
      <c r="M317" s="6">
        <v>2003</v>
      </c>
      <c r="N317" s="6">
        <v>7.2</v>
      </c>
      <c r="O317" s="4">
        <f ca="1">IFERROR(__xludf.DUMMYFUNCTION("IF(Cost_in_dollars!E317=""USD"",Cost_in_dollars!B317,Cost_in_dollars!B317 * GOOGLEFINANCE(""CURRENCY:"" &amp; Cost_in_dollars!E317 &amp; ""USD""))
"),7234050)</f>
        <v>7234050</v>
      </c>
      <c r="P317" s="4">
        <f ca="1">IFERROR(__xludf.DUMMYFUNCTION("IF(Cost_in_dollars!E317=""USD"",Cost_in_dollars!C317,Cost_in_dollars!C317 * GOOGLEFINANCE(""CURRENCY:"" &amp; Cost_in_dollars!E317 &amp; ""USD""))
"),731401.518869999)</f>
        <v>731401.51886999898</v>
      </c>
      <c r="Q317" s="6">
        <f t="shared" ca="1" si="6"/>
        <v>-6502648.4811300011</v>
      </c>
      <c r="R317" s="7" t="str">
        <f t="shared" si="7"/>
        <v>Owning Mahowny</v>
      </c>
      <c r="S317" s="43" t="str">
        <f t="shared" si="8"/>
        <v>Crime</v>
      </c>
    </row>
    <row r="318" spans="1:19" ht="15.75" customHeight="1" x14ac:dyDescent="0.25">
      <c r="A318" s="4" t="s">
        <v>1350</v>
      </c>
      <c r="B318" s="4">
        <v>52</v>
      </c>
      <c r="C318" s="4">
        <v>8070311</v>
      </c>
      <c r="D318" s="4" t="s">
        <v>88</v>
      </c>
      <c r="E318" s="4" t="s">
        <v>1083</v>
      </c>
      <c r="F318" s="4" t="s">
        <v>1351</v>
      </c>
      <c r="G318" s="4">
        <v>12706</v>
      </c>
      <c r="H318" s="4" t="s">
        <v>1352</v>
      </c>
      <c r="I318" s="4">
        <v>75</v>
      </c>
      <c r="J318" s="4" t="s">
        <v>23</v>
      </c>
      <c r="K318" s="4" t="s">
        <v>24</v>
      </c>
      <c r="L318" s="4">
        <v>10000000</v>
      </c>
      <c r="M318" s="4">
        <v>2004</v>
      </c>
      <c r="N318" s="4">
        <v>5.3</v>
      </c>
      <c r="O318" s="4">
        <f ca="1">IFERROR(__xludf.DUMMYFUNCTION("IF(Cost_in_dollars!E318=""USD"",Cost_in_dollars!B318,Cost_in_dollars!B318 * GOOGLEFINANCE(""CURRENCY:"" &amp; Cost_in_dollars!E318 &amp; ""USD""))
"),10000000)</f>
        <v>10000000</v>
      </c>
      <c r="P318" s="4">
        <f ca="1">IFERROR(__xludf.DUMMYFUNCTION("IF(Cost_in_dollars!E318=""USD"",Cost_in_dollars!C318,Cost_in_dollars!C318 * GOOGLEFINANCE(""CURRENCY:"" &amp; Cost_in_dollars!E318 &amp; ""USD""))
"),8070311)</f>
        <v>8070311</v>
      </c>
      <c r="Q318" s="4">
        <f t="shared" ca="1" si="6"/>
        <v>-1929689</v>
      </c>
      <c r="R318" s="5" t="str">
        <f t="shared" si="7"/>
        <v>Sleepover</v>
      </c>
      <c r="S318" s="43" t="str">
        <f t="shared" si="8"/>
        <v>Comedy</v>
      </c>
    </row>
    <row r="319" spans="1:19" ht="15.75" customHeight="1" x14ac:dyDescent="0.25">
      <c r="A319" s="6" t="s">
        <v>1353</v>
      </c>
      <c r="B319" s="6">
        <v>392</v>
      </c>
      <c r="C319" s="6">
        <v>336530303</v>
      </c>
      <c r="D319" s="6" t="s">
        <v>1354</v>
      </c>
      <c r="E319" s="6" t="s">
        <v>881</v>
      </c>
      <c r="F319" s="6" t="s">
        <v>1355</v>
      </c>
      <c r="G319" s="6">
        <v>383071</v>
      </c>
      <c r="H319" s="6" t="s">
        <v>1356</v>
      </c>
      <c r="I319" s="6">
        <v>1902</v>
      </c>
      <c r="J319" s="6" t="s">
        <v>23</v>
      </c>
      <c r="K319" s="6" t="s">
        <v>24</v>
      </c>
      <c r="L319" s="6">
        <v>258000000</v>
      </c>
      <c r="M319" s="6">
        <v>2007</v>
      </c>
      <c r="N319" s="6">
        <v>6.2</v>
      </c>
      <c r="O319" s="4">
        <f ca="1">IFERROR(__xludf.DUMMYFUNCTION("IF(Cost_in_dollars!E319=""USD"",Cost_in_dollars!B319,Cost_in_dollars!B319 * GOOGLEFINANCE(""CURRENCY:"" &amp; Cost_in_dollars!E319 &amp; ""USD""))
"),258000000)</f>
        <v>258000000</v>
      </c>
      <c r="P319" s="4">
        <f ca="1">IFERROR(__xludf.DUMMYFUNCTION("IF(Cost_in_dollars!E319=""USD"",Cost_in_dollars!C319,Cost_in_dollars!C319 * GOOGLEFINANCE(""CURRENCY:"" &amp; Cost_in_dollars!E319 &amp; ""USD""))
"),336530303)</f>
        <v>336530303</v>
      </c>
      <c r="Q319" s="6">
        <f t="shared" ca="1" si="6"/>
        <v>78530303</v>
      </c>
      <c r="R319" s="7" t="str">
        <f t="shared" si="7"/>
        <v>Spider-Man 3</v>
      </c>
      <c r="S319" s="43" t="str">
        <f t="shared" si="8"/>
        <v>Action</v>
      </c>
    </row>
    <row r="320" spans="1:19" ht="15.75" customHeight="1" x14ac:dyDescent="0.25">
      <c r="A320" s="4" t="s">
        <v>1357</v>
      </c>
      <c r="B320" s="4">
        <v>642</v>
      </c>
      <c r="C320" s="4">
        <v>292568851</v>
      </c>
      <c r="D320" s="4" t="s">
        <v>797</v>
      </c>
      <c r="E320" s="4" t="s">
        <v>1358</v>
      </c>
      <c r="F320" s="4" t="s">
        <v>1359</v>
      </c>
      <c r="G320" s="4">
        <v>1468200</v>
      </c>
      <c r="H320" s="4" t="s">
        <v>1360</v>
      </c>
      <c r="I320" s="4">
        <v>2803</v>
      </c>
      <c r="J320" s="4" t="s">
        <v>23</v>
      </c>
      <c r="K320" s="4" t="s">
        <v>24</v>
      </c>
      <c r="L320" s="4">
        <v>160000000</v>
      </c>
      <c r="M320" s="4">
        <v>2010</v>
      </c>
      <c r="N320" s="4">
        <v>8.8000000000000007</v>
      </c>
      <c r="O320" s="4">
        <f ca="1">IFERROR(__xludf.DUMMYFUNCTION("IF(Cost_in_dollars!E320=""USD"",Cost_in_dollars!B320,Cost_in_dollars!B320 * GOOGLEFINANCE(""CURRENCY:"" &amp; Cost_in_dollars!E320 &amp; ""USD""))
"),160000000)</f>
        <v>160000000</v>
      </c>
      <c r="P320" s="4">
        <f ca="1">IFERROR(__xludf.DUMMYFUNCTION("IF(Cost_in_dollars!E320=""USD"",Cost_in_dollars!C320,Cost_in_dollars!C320 * GOOGLEFINANCE(""CURRENCY:"" &amp; Cost_in_dollars!E320 &amp; ""USD""))
"),292568851)</f>
        <v>292568851</v>
      </c>
      <c r="Q320" s="4">
        <f t="shared" ca="1" si="6"/>
        <v>132568851</v>
      </c>
      <c r="R320" s="5" t="str">
        <f t="shared" si="7"/>
        <v>Inception</v>
      </c>
      <c r="S320" s="43" t="str">
        <f t="shared" si="8"/>
        <v>Action</v>
      </c>
    </row>
    <row r="321" spans="1:19" ht="15.75" customHeight="1" x14ac:dyDescent="0.25">
      <c r="A321" s="6" t="s">
        <v>1361</v>
      </c>
      <c r="B321" s="6">
        <v>72</v>
      </c>
      <c r="C321" s="6">
        <v>592014</v>
      </c>
      <c r="D321" s="6" t="s">
        <v>1362</v>
      </c>
      <c r="E321" s="6" t="s">
        <v>1363</v>
      </c>
      <c r="F321" s="6" t="s">
        <v>1364</v>
      </c>
      <c r="G321" s="6">
        <v>5709</v>
      </c>
      <c r="H321" s="6" t="s">
        <v>1365</v>
      </c>
      <c r="I321" s="6">
        <v>114</v>
      </c>
      <c r="J321" s="6" t="s">
        <v>23</v>
      </c>
      <c r="K321" s="6" t="s">
        <v>24</v>
      </c>
      <c r="L321" s="6">
        <v>218</v>
      </c>
      <c r="M321" s="6">
        <v>2003</v>
      </c>
      <c r="N321" s="6">
        <v>7.2</v>
      </c>
      <c r="O321" s="4">
        <f ca="1">IFERROR(__xludf.DUMMYFUNCTION("IF(Cost_in_dollars!E321=""USD"",Cost_in_dollars!B321,Cost_in_dollars!B321 * GOOGLEFINANCE(""CURRENCY:"" &amp; Cost_in_dollars!E321 &amp; ""USD""))
"),218)</f>
        <v>218</v>
      </c>
      <c r="P321" s="4">
        <f ca="1">IFERROR(__xludf.DUMMYFUNCTION("IF(Cost_in_dollars!E321=""USD"",Cost_in_dollars!C321,Cost_in_dollars!C321 * GOOGLEFINANCE(""CURRENCY:"" &amp; Cost_in_dollars!E321 &amp; ""USD""))
"),592014)</f>
        <v>592014</v>
      </c>
      <c r="Q321" s="6">
        <f t="shared" ca="1" si="6"/>
        <v>591796</v>
      </c>
      <c r="R321" s="7" t="str">
        <f t="shared" si="7"/>
        <v>Tarnation</v>
      </c>
      <c r="S321" s="43" t="str">
        <f t="shared" si="8"/>
        <v>Biography</v>
      </c>
    </row>
    <row r="322" spans="1:19" ht="15.75" customHeight="1" x14ac:dyDescent="0.25">
      <c r="A322" s="4" t="s">
        <v>1366</v>
      </c>
      <c r="B322" s="4">
        <v>159</v>
      </c>
      <c r="C322" s="4">
        <v>56536016</v>
      </c>
      <c r="D322" s="4" t="s">
        <v>151</v>
      </c>
      <c r="E322" s="4" t="s">
        <v>1367</v>
      </c>
      <c r="F322" s="4" t="s">
        <v>1368</v>
      </c>
      <c r="G322" s="4">
        <v>13523</v>
      </c>
      <c r="H322" s="4" t="s">
        <v>1369</v>
      </c>
      <c r="I322" s="4">
        <v>95</v>
      </c>
      <c r="J322" s="4" t="s">
        <v>23</v>
      </c>
      <c r="K322" s="4" t="s">
        <v>24</v>
      </c>
      <c r="L322" s="4">
        <v>4900000</v>
      </c>
      <c r="M322" s="4">
        <v>2016</v>
      </c>
      <c r="N322" s="4">
        <v>6.9</v>
      </c>
      <c r="O322" s="4">
        <f ca="1">IFERROR(__xludf.DUMMYFUNCTION("IF(Cost_in_dollars!E322=""USD"",Cost_in_dollars!B322,Cost_in_dollars!B322 * GOOGLEFINANCE(""CURRENCY:"" &amp; Cost_in_dollars!E322 &amp; ""USD""))
"),4900000)</f>
        <v>4900000</v>
      </c>
      <c r="P322" s="4">
        <f ca="1">IFERROR(__xludf.DUMMYFUNCTION("IF(Cost_in_dollars!E322=""USD"",Cost_in_dollars!C322,Cost_in_dollars!C322 * GOOGLEFINANCE(""CURRENCY:"" &amp; Cost_in_dollars!E322 &amp; ""USD""))
"),56536016)</f>
        <v>56536016</v>
      </c>
      <c r="Q322" s="4">
        <f t="shared" ca="1" si="6"/>
        <v>51636016</v>
      </c>
      <c r="R322" s="5" t="str">
        <f t="shared" si="7"/>
        <v>Lights Out</v>
      </c>
      <c r="S322" s="43" t="str">
        <f t="shared" ref="S322:S385" si="9">IF(ISNUMBER(FIND("|", D322)), LEFT(D322, FIND("|", D322) - 1), D322)</f>
        <v>Horror</v>
      </c>
    </row>
    <row r="323" spans="1:19" ht="15.75" customHeight="1" x14ac:dyDescent="0.25">
      <c r="A323" s="6" t="s">
        <v>1098</v>
      </c>
      <c r="B323" s="6">
        <v>156</v>
      </c>
      <c r="C323" s="6">
        <v>18821279</v>
      </c>
      <c r="D323" s="6" t="s">
        <v>281</v>
      </c>
      <c r="E323" s="6" t="s">
        <v>1370</v>
      </c>
      <c r="F323" s="6" t="s">
        <v>1371</v>
      </c>
      <c r="G323" s="6">
        <v>44891</v>
      </c>
      <c r="H323" s="6" t="s">
        <v>1372</v>
      </c>
      <c r="I323" s="6">
        <v>202</v>
      </c>
      <c r="J323" s="6" t="s">
        <v>23</v>
      </c>
      <c r="K323" s="6" t="s">
        <v>24</v>
      </c>
      <c r="L323" s="6">
        <v>70000000</v>
      </c>
      <c r="M323" s="6">
        <v>2014</v>
      </c>
      <c r="N323" s="6">
        <v>4.2</v>
      </c>
      <c r="O323" s="4">
        <f ca="1">IFERROR(__xludf.DUMMYFUNCTION("IF(Cost_in_dollars!E323=""USD"",Cost_in_dollars!B323,Cost_in_dollars!B323 * GOOGLEFINANCE(""CURRENCY:"" &amp; Cost_in_dollars!E323 &amp; ""USD""))
"),70000000)</f>
        <v>70000000</v>
      </c>
      <c r="P323" s="4">
        <f ca="1">IFERROR(__xludf.DUMMYFUNCTION("IF(Cost_in_dollars!E323=""USD"",Cost_in_dollars!C323,Cost_in_dollars!C323 * GOOGLEFINANCE(""CURRENCY:"" &amp; Cost_in_dollars!E323 &amp; ""USD""))
"),18821279)</f>
        <v>18821279</v>
      </c>
      <c r="Q323" s="6">
        <f t="shared" ca="1" si="6"/>
        <v>-51178721</v>
      </c>
      <c r="R323" s="7" t="str">
        <f t="shared" si="7"/>
        <v>The Legend of Hercules</v>
      </c>
      <c r="S323" s="43" t="str">
        <f t="shared" si="9"/>
        <v>Action</v>
      </c>
    </row>
    <row r="324" spans="1:19" ht="15.75" customHeight="1" x14ac:dyDescent="0.25">
      <c r="A324" s="4" t="s">
        <v>1373</v>
      </c>
      <c r="B324" s="4">
        <v>112</v>
      </c>
      <c r="C324" s="4">
        <v>63260</v>
      </c>
      <c r="D324" s="4" t="s">
        <v>1374</v>
      </c>
      <c r="E324" s="4" t="s">
        <v>1375</v>
      </c>
      <c r="F324" s="4" t="s">
        <v>1376</v>
      </c>
      <c r="G324" s="4">
        <v>14325</v>
      </c>
      <c r="H324" s="4" t="s">
        <v>1377</v>
      </c>
      <c r="I324" s="4">
        <v>90</v>
      </c>
      <c r="J324" s="4" t="s">
        <v>23</v>
      </c>
      <c r="K324" s="4" t="s">
        <v>611</v>
      </c>
      <c r="L324" s="4">
        <v>14000000</v>
      </c>
      <c r="M324" s="4">
        <v>2006</v>
      </c>
      <c r="N324" s="4">
        <v>6.7</v>
      </c>
      <c r="O324" s="4">
        <f ca="1">IFERROR(__xludf.DUMMYFUNCTION("IF(Cost_in_dollars!E324=""USD"",Cost_in_dollars!B324,Cost_in_dollars!B324 * GOOGLEFINANCE(""CURRENCY:"" &amp; Cost_in_dollars!E324 &amp; ""USD""))
"),15186360)</f>
        <v>15186360</v>
      </c>
      <c r="P324" s="4">
        <f ca="1">IFERROR(__xludf.DUMMYFUNCTION("IF(Cost_in_dollars!E324=""USD"",Cost_in_dollars!C324,Cost_in_dollars!C324 * GOOGLEFINANCE(""CURRENCY:"" &amp; Cost_in_dollars!E324 &amp; ""USD""))
"),68620.6524)</f>
        <v>68620.652400000006</v>
      </c>
      <c r="Q324" s="4">
        <f t="shared" ca="1" si="6"/>
        <v>-15117739.3476</v>
      </c>
      <c r="R324" s="5" t="str">
        <f t="shared" si="7"/>
        <v>Renaissance</v>
      </c>
      <c r="S324" s="43" t="str">
        <f t="shared" si="9"/>
        <v>Action</v>
      </c>
    </row>
    <row r="325" spans="1:19" ht="15.75" customHeight="1" x14ac:dyDescent="0.25">
      <c r="A325" s="6" t="s">
        <v>1378</v>
      </c>
      <c r="B325" s="6">
        <v>310</v>
      </c>
      <c r="C325" s="6">
        <v>133382309</v>
      </c>
      <c r="D325" s="6" t="s">
        <v>477</v>
      </c>
      <c r="E325" s="6" t="s">
        <v>1347</v>
      </c>
      <c r="F325" s="6" t="s">
        <v>1379</v>
      </c>
      <c r="G325" s="6">
        <v>256695</v>
      </c>
      <c r="H325" s="6" t="s">
        <v>1380</v>
      </c>
      <c r="I325" s="6">
        <v>871</v>
      </c>
      <c r="J325" s="6" t="s">
        <v>23</v>
      </c>
      <c r="K325" s="6" t="s">
        <v>24</v>
      </c>
      <c r="L325" s="6">
        <v>150000000</v>
      </c>
      <c r="M325" s="6">
        <v>2006</v>
      </c>
      <c r="N325" s="6">
        <v>6.9</v>
      </c>
      <c r="O325" s="4">
        <f ca="1">IFERROR(__xludf.DUMMYFUNCTION("IF(Cost_in_dollars!E325=""USD"",Cost_in_dollars!B325,Cost_in_dollars!B325 * GOOGLEFINANCE(""CURRENCY:"" &amp; Cost_in_dollars!E325 &amp; ""USD""))
"),150000000)</f>
        <v>150000000</v>
      </c>
      <c r="P325" s="4">
        <f ca="1">IFERROR(__xludf.DUMMYFUNCTION("IF(Cost_in_dollars!E325=""USD"",Cost_in_dollars!C325,Cost_in_dollars!C325 * GOOGLEFINANCE(""CURRENCY:"" &amp; Cost_in_dollars!E325 &amp; ""USD""))
"),133382309)</f>
        <v>133382309</v>
      </c>
      <c r="Q325" s="6">
        <f t="shared" ca="1" si="6"/>
        <v>-16617691</v>
      </c>
      <c r="R325" s="7" t="str">
        <f t="shared" si="7"/>
        <v>Mission: Impossible III</v>
      </c>
      <c r="S325" s="43" t="str">
        <f t="shared" si="9"/>
        <v>Action</v>
      </c>
    </row>
    <row r="326" spans="1:19" ht="15.75" customHeight="1" x14ac:dyDescent="0.25">
      <c r="A326" s="4" t="s">
        <v>1381</v>
      </c>
      <c r="B326" s="4">
        <v>20</v>
      </c>
      <c r="C326" s="4">
        <v>39852</v>
      </c>
      <c r="D326" s="4" t="s">
        <v>457</v>
      </c>
      <c r="E326" s="4" t="s">
        <v>1382</v>
      </c>
      <c r="F326" s="4" t="s">
        <v>1383</v>
      </c>
      <c r="G326" s="4">
        <v>1238</v>
      </c>
      <c r="H326" s="4" t="s">
        <v>1384</v>
      </c>
      <c r="I326" s="4">
        <v>25</v>
      </c>
      <c r="J326" s="4" t="s">
        <v>23</v>
      </c>
      <c r="K326" s="4" t="s">
        <v>24</v>
      </c>
      <c r="L326" s="4">
        <v>3000000</v>
      </c>
      <c r="M326" s="4">
        <v>1999</v>
      </c>
      <c r="N326" s="4">
        <v>6.7</v>
      </c>
      <c r="O326" s="4">
        <f ca="1">IFERROR(__xludf.DUMMYFUNCTION("IF(Cost_in_dollars!E326=""USD"",Cost_in_dollars!B326,Cost_in_dollars!B326 * GOOGLEFINANCE(""CURRENCY:"" &amp; Cost_in_dollars!E326 &amp; ""USD""))
"),3000000)</f>
        <v>3000000</v>
      </c>
      <c r="P326" s="4">
        <f ca="1">IFERROR(__xludf.DUMMYFUNCTION("IF(Cost_in_dollars!E326=""USD"",Cost_in_dollars!C326,Cost_in_dollars!C326 * GOOGLEFINANCE(""CURRENCY:"" &amp; Cost_in_dollars!E326 &amp; ""USD""))
"),39852)</f>
        <v>39852</v>
      </c>
      <c r="Q326" s="4">
        <f t="shared" ca="1" si="6"/>
        <v>-2960148</v>
      </c>
      <c r="R326" s="5" t="str">
        <f t="shared" si="7"/>
        <v>Just Looking</v>
      </c>
      <c r="S326" s="43" t="str">
        <f t="shared" si="9"/>
        <v>Comedy</v>
      </c>
    </row>
    <row r="327" spans="1:19" ht="15.75" customHeight="1" x14ac:dyDescent="0.25">
      <c r="A327" s="6" t="s">
        <v>1385</v>
      </c>
      <c r="B327" s="6">
        <v>297</v>
      </c>
      <c r="C327" s="6">
        <v>102413606</v>
      </c>
      <c r="D327" s="6" t="s">
        <v>412</v>
      </c>
      <c r="E327" s="6" t="s">
        <v>1386</v>
      </c>
      <c r="F327" s="6" t="s">
        <v>1387</v>
      </c>
      <c r="G327" s="6">
        <v>310903</v>
      </c>
      <c r="H327" s="6" t="s">
        <v>1388</v>
      </c>
      <c r="I327" s="6">
        <v>524</v>
      </c>
      <c r="J327" s="6" t="s">
        <v>23</v>
      </c>
      <c r="K327" s="6" t="s">
        <v>24</v>
      </c>
      <c r="L327" s="6">
        <v>34000000</v>
      </c>
      <c r="M327" s="6">
        <v>2014</v>
      </c>
      <c r="N327" s="6">
        <v>6.8</v>
      </c>
      <c r="O327" s="4">
        <f ca="1">IFERROR(__xludf.DUMMYFUNCTION("IF(Cost_in_dollars!E327=""USD"",Cost_in_dollars!B327,Cost_in_dollars!B327 * GOOGLEFINANCE(""CURRENCY:"" &amp; Cost_in_dollars!E327 &amp; ""USD""))
"),34000000)</f>
        <v>34000000</v>
      </c>
      <c r="P327" s="4">
        <f ca="1">IFERROR(__xludf.DUMMYFUNCTION("IF(Cost_in_dollars!E327=""USD"",Cost_in_dollars!C327,Cost_in_dollars!C327 * GOOGLEFINANCE(""CURRENCY:"" &amp; Cost_in_dollars!E327 &amp; ""USD""))
"),102413606)</f>
        <v>102413606</v>
      </c>
      <c r="Q327" s="6">
        <f t="shared" ca="1" si="6"/>
        <v>68413606</v>
      </c>
      <c r="R327" s="7" t="str">
        <f t="shared" si="7"/>
        <v>The Maze Runner</v>
      </c>
      <c r="S327" s="43" t="str">
        <f t="shared" si="9"/>
        <v>Action</v>
      </c>
    </row>
    <row r="328" spans="1:19" ht="15.75" customHeight="1" x14ac:dyDescent="0.25">
      <c r="A328" s="4" t="s">
        <v>1389</v>
      </c>
      <c r="B328" s="4">
        <v>148</v>
      </c>
      <c r="C328" s="4">
        <v>80276912</v>
      </c>
      <c r="D328" s="4" t="s">
        <v>88</v>
      </c>
      <c r="E328" s="4" t="s">
        <v>1390</v>
      </c>
      <c r="F328" s="4" t="s">
        <v>1391</v>
      </c>
      <c r="G328" s="4">
        <v>140740</v>
      </c>
      <c r="H328" s="4" t="s">
        <v>1392</v>
      </c>
      <c r="I328" s="4">
        <v>151</v>
      </c>
      <c r="J328" s="4" t="s">
        <v>23</v>
      </c>
      <c r="K328" s="4" t="s">
        <v>24</v>
      </c>
      <c r="L328" s="4">
        <v>35000000</v>
      </c>
      <c r="M328" s="4">
        <v>2008</v>
      </c>
      <c r="N328" s="4">
        <v>6.1</v>
      </c>
      <c r="O328" s="4">
        <f ca="1">IFERROR(__xludf.DUMMYFUNCTION("IF(Cost_in_dollars!E328=""USD"",Cost_in_dollars!B328,Cost_in_dollars!B328 * GOOGLEFINANCE(""CURRENCY:"" &amp; Cost_in_dollars!E328 &amp; ""USD""))
"),35000000)</f>
        <v>35000000</v>
      </c>
      <c r="P328" s="4">
        <f ca="1">IFERROR(__xludf.DUMMYFUNCTION("IF(Cost_in_dollars!E328=""USD"",Cost_in_dollars!C328,Cost_in_dollars!C328 * GOOGLEFINANCE(""CURRENCY:"" &amp; Cost_in_dollars!E328 &amp; ""USD""))
"),80276912)</f>
        <v>80276912</v>
      </c>
      <c r="Q328" s="4">
        <f t="shared" ca="1" si="6"/>
        <v>45276912</v>
      </c>
      <c r="R328" s="5" t="str">
        <f t="shared" si="7"/>
        <v>What Happens in Vegas</v>
      </c>
      <c r="S328" s="43" t="str">
        <f t="shared" si="9"/>
        <v>Comedy</v>
      </c>
    </row>
    <row r="329" spans="1:19" ht="15.75" customHeight="1" x14ac:dyDescent="0.25">
      <c r="A329" s="6" t="s">
        <v>1393</v>
      </c>
      <c r="B329" s="6">
        <v>6</v>
      </c>
      <c r="C329" s="6">
        <v>29233</v>
      </c>
      <c r="D329" s="6" t="s">
        <v>254</v>
      </c>
      <c r="E329" s="6" t="s">
        <v>1394</v>
      </c>
      <c r="F329" s="6" t="s">
        <v>1395</v>
      </c>
      <c r="G329" s="6">
        <v>75</v>
      </c>
      <c r="H329" s="6" t="s">
        <v>109</v>
      </c>
      <c r="I329" s="6">
        <v>2</v>
      </c>
      <c r="J329" s="6" t="s">
        <v>23</v>
      </c>
      <c r="K329" s="6" t="s">
        <v>24</v>
      </c>
      <c r="L329" s="6">
        <v>3500000</v>
      </c>
      <c r="M329" s="6">
        <v>2015</v>
      </c>
      <c r="N329" s="6">
        <v>7</v>
      </c>
      <c r="O329" s="4">
        <f ca="1">IFERROR(__xludf.DUMMYFUNCTION("IF(Cost_in_dollars!E329=""USD"",Cost_in_dollars!B329,Cost_in_dollars!B329 * GOOGLEFINANCE(""CURRENCY:"" &amp; Cost_in_dollars!E329 &amp; ""USD""))
"),3500000)</f>
        <v>3500000</v>
      </c>
      <c r="P329" s="4">
        <f ca="1">IFERROR(__xludf.DUMMYFUNCTION("IF(Cost_in_dollars!E329=""USD"",Cost_in_dollars!C329,Cost_in_dollars!C329 * GOOGLEFINANCE(""CURRENCY:"" &amp; Cost_in_dollars!E329 &amp; ""USD""))
"),29233)</f>
        <v>29233</v>
      </c>
      <c r="Q329" s="6">
        <f t="shared" ca="1" si="6"/>
        <v>-3470767</v>
      </c>
      <c r="R329" s="7" t="str">
        <f t="shared" si="7"/>
        <v>Time to Choose</v>
      </c>
      <c r="S329" s="43" t="str">
        <f t="shared" si="9"/>
        <v>Documentary</v>
      </c>
    </row>
    <row r="330" spans="1:19" ht="15.75" customHeight="1" x14ac:dyDescent="0.25">
      <c r="A330" s="4" t="s">
        <v>1396</v>
      </c>
      <c r="B330" s="4">
        <v>348</v>
      </c>
      <c r="C330" s="4">
        <v>190871240</v>
      </c>
      <c r="D330" s="4" t="s">
        <v>1397</v>
      </c>
      <c r="E330" s="4" t="s">
        <v>1398</v>
      </c>
      <c r="F330" s="4" t="s">
        <v>1399</v>
      </c>
      <c r="G330" s="4">
        <v>167089</v>
      </c>
      <c r="H330" s="4" t="s">
        <v>1400</v>
      </c>
      <c r="I330" s="4">
        <v>491</v>
      </c>
      <c r="J330" s="4" t="s">
        <v>23</v>
      </c>
      <c r="K330" s="4" t="s">
        <v>24</v>
      </c>
      <c r="L330" s="4">
        <v>125000000</v>
      </c>
      <c r="M330" s="4">
        <v>2014</v>
      </c>
      <c r="N330" s="4">
        <v>5.9</v>
      </c>
      <c r="O330" s="4">
        <f ca="1">IFERROR(__xludf.DUMMYFUNCTION("IF(Cost_in_dollars!E330=""USD"",Cost_in_dollars!B330,Cost_in_dollars!B330 * GOOGLEFINANCE(""CURRENCY:"" &amp; Cost_in_dollars!E330 &amp; ""USD""))
"),125000000)</f>
        <v>125000000</v>
      </c>
      <c r="P330" s="4">
        <f ca="1">IFERROR(__xludf.DUMMYFUNCTION("IF(Cost_in_dollars!E330=""USD"",Cost_in_dollars!C330,Cost_in_dollars!C330 * GOOGLEFINANCE(""CURRENCY:"" &amp; Cost_in_dollars!E330 &amp; ""USD""))
"),190871240)</f>
        <v>190871240</v>
      </c>
      <c r="Q330" s="4">
        <f t="shared" ca="1" si="6"/>
        <v>65871240</v>
      </c>
      <c r="R330" s="5" t="str">
        <f t="shared" si="7"/>
        <v>Teenage Mutant Ninja Turtles</v>
      </c>
      <c r="S330" s="43" t="str">
        <f t="shared" si="9"/>
        <v>Action</v>
      </c>
    </row>
    <row r="331" spans="1:19" ht="15.75" customHeight="1" x14ac:dyDescent="0.25">
      <c r="A331" s="6" t="s">
        <v>1401</v>
      </c>
      <c r="B331" s="6">
        <v>91</v>
      </c>
      <c r="C331" s="6">
        <v>88246220</v>
      </c>
      <c r="D331" s="6" t="s">
        <v>797</v>
      </c>
      <c r="E331" s="6" t="s">
        <v>1402</v>
      </c>
      <c r="F331" s="6" t="s">
        <v>1403</v>
      </c>
      <c r="G331" s="6">
        <v>144337</v>
      </c>
      <c r="H331" s="6" t="s">
        <v>1404</v>
      </c>
      <c r="I331" s="6">
        <v>309</v>
      </c>
      <c r="J331" s="6" t="s">
        <v>23</v>
      </c>
      <c r="K331" s="6" t="s">
        <v>24</v>
      </c>
      <c r="L331" s="6">
        <v>175000000</v>
      </c>
      <c r="M331" s="6">
        <v>1995</v>
      </c>
      <c r="N331" s="6">
        <v>6.1</v>
      </c>
      <c r="O331" s="4">
        <f ca="1">IFERROR(__xludf.DUMMYFUNCTION("IF(Cost_in_dollars!E331=""USD"",Cost_in_dollars!B331,Cost_in_dollars!B331 * GOOGLEFINANCE(""CURRENCY:"" &amp; Cost_in_dollars!E331 &amp; ""USD""))
"),175000000)</f>
        <v>175000000</v>
      </c>
      <c r="P331" s="4">
        <f ca="1">IFERROR(__xludf.DUMMYFUNCTION("IF(Cost_in_dollars!E331=""USD"",Cost_in_dollars!C331,Cost_in_dollars!C331 * GOOGLEFINANCE(""CURRENCY:"" &amp; Cost_in_dollars!E331 &amp; ""USD""))
"),88246220)</f>
        <v>88246220</v>
      </c>
      <c r="Q331" s="6">
        <f t="shared" ca="1" si="6"/>
        <v>-86753780</v>
      </c>
      <c r="R331" s="7" t="str">
        <f t="shared" si="7"/>
        <v>Waterworld</v>
      </c>
      <c r="S331" s="43" t="str">
        <f t="shared" si="9"/>
        <v>Action</v>
      </c>
    </row>
    <row r="332" spans="1:19" ht="15.75" customHeight="1" x14ac:dyDescent="0.25">
      <c r="A332" s="4" t="s">
        <v>1405</v>
      </c>
      <c r="B332" s="4">
        <v>163</v>
      </c>
      <c r="C332" s="4">
        <v>52008288</v>
      </c>
      <c r="D332" s="4" t="s">
        <v>1406</v>
      </c>
      <c r="E332" s="4" t="s">
        <v>1407</v>
      </c>
      <c r="F332" s="4" t="s">
        <v>1408</v>
      </c>
      <c r="G332" s="4">
        <v>162037</v>
      </c>
      <c r="H332" s="4" t="s">
        <v>1409</v>
      </c>
      <c r="I332" s="4">
        <v>928</v>
      </c>
      <c r="J332" s="4" t="s">
        <v>23</v>
      </c>
      <c r="K332" s="4" t="s">
        <v>24</v>
      </c>
      <c r="L332" s="4">
        <v>21000000</v>
      </c>
      <c r="M332" s="4">
        <v>1999</v>
      </c>
      <c r="N332" s="4">
        <v>7.8</v>
      </c>
      <c r="O332" s="4">
        <f ca="1">IFERROR(__xludf.DUMMYFUNCTION("IF(Cost_in_dollars!E332=""USD"",Cost_in_dollars!B332,Cost_in_dollars!B332 * GOOGLEFINANCE(""CURRENCY:"" &amp; Cost_in_dollars!E332 &amp; ""USD""))
"),21000000)</f>
        <v>21000000</v>
      </c>
      <c r="P332" s="4">
        <f ca="1">IFERROR(__xludf.DUMMYFUNCTION("IF(Cost_in_dollars!E332=""USD"",Cost_in_dollars!C332,Cost_in_dollars!C332 * GOOGLEFINANCE(""CURRENCY:"" &amp; Cost_in_dollars!E332 &amp; ""USD""))
"),52008288)</f>
        <v>52008288</v>
      </c>
      <c r="Q332" s="4">
        <f t="shared" ca="1" si="6"/>
        <v>31008288</v>
      </c>
      <c r="R332" s="5" t="str">
        <f t="shared" si="7"/>
        <v>South Park: Bigger Longer &amp; Uncut</v>
      </c>
      <c r="S332" s="43" t="str">
        <f t="shared" si="9"/>
        <v>Animation</v>
      </c>
    </row>
    <row r="333" spans="1:19" ht="15.75" customHeight="1" x14ac:dyDescent="0.25">
      <c r="A333" s="6" t="s">
        <v>72</v>
      </c>
      <c r="B333" s="6">
        <v>37</v>
      </c>
      <c r="C333" s="6">
        <v>10300000</v>
      </c>
      <c r="D333" s="6" t="s">
        <v>895</v>
      </c>
      <c r="E333" s="6" t="s">
        <v>1410</v>
      </c>
      <c r="F333" s="6" t="s">
        <v>1411</v>
      </c>
      <c r="G333" s="6">
        <v>17859</v>
      </c>
      <c r="H333" s="6" t="s">
        <v>1412</v>
      </c>
      <c r="I333" s="6">
        <v>89</v>
      </c>
      <c r="J333" s="6" t="s">
        <v>23</v>
      </c>
      <c r="K333" s="6" t="s">
        <v>24</v>
      </c>
      <c r="L333" s="6">
        <v>38000000</v>
      </c>
      <c r="M333" s="6">
        <v>1996</v>
      </c>
      <c r="N333" s="6">
        <v>6.6</v>
      </c>
      <c r="O333" s="4">
        <f ca="1">IFERROR(__xludf.DUMMYFUNCTION("IF(Cost_in_dollars!E333=""USD"",Cost_in_dollars!B333,Cost_in_dollars!B333 * GOOGLEFINANCE(""CURRENCY:"" &amp; Cost_in_dollars!E333 &amp; ""USD""))
"),38000000)</f>
        <v>38000000</v>
      </c>
      <c r="P333" s="4">
        <f ca="1">IFERROR(__xludf.DUMMYFUNCTION("IF(Cost_in_dollars!E333=""USD"",Cost_in_dollars!C333,Cost_in_dollars!C333 * GOOGLEFINANCE(""CURRENCY:"" &amp; Cost_in_dollars!E333 &amp; ""USD""))
"),10300000)</f>
        <v>10300000</v>
      </c>
      <c r="Q333" s="6">
        <f t="shared" ca="1" si="6"/>
        <v>-27700000</v>
      </c>
      <c r="R333" s="7" t="str">
        <f t="shared" si="7"/>
        <v>White Squall</v>
      </c>
      <c r="S333" s="43" t="str">
        <f t="shared" si="9"/>
        <v>Adventure</v>
      </c>
    </row>
    <row r="334" spans="1:19" ht="15.75" customHeight="1" x14ac:dyDescent="0.25">
      <c r="A334" s="4" t="s">
        <v>759</v>
      </c>
      <c r="B334" s="4">
        <v>360</v>
      </c>
      <c r="C334" s="4">
        <v>38509342</v>
      </c>
      <c r="D334" s="4" t="s">
        <v>1413</v>
      </c>
      <c r="E334" s="4" t="s">
        <v>1414</v>
      </c>
      <c r="F334" s="4" t="s">
        <v>1415</v>
      </c>
      <c r="G334" s="4">
        <v>61995</v>
      </c>
      <c r="H334" s="4" t="s">
        <v>1416</v>
      </c>
      <c r="I334" s="4">
        <v>356</v>
      </c>
      <c r="J334" s="4" t="s">
        <v>23</v>
      </c>
      <c r="K334" s="4" t="s">
        <v>24</v>
      </c>
      <c r="L334" s="4">
        <v>75000000</v>
      </c>
      <c r="M334" s="4">
        <v>2012</v>
      </c>
      <c r="N334" s="4">
        <v>5.9</v>
      </c>
      <c r="O334" s="4">
        <f ca="1">IFERROR(__xludf.DUMMYFUNCTION("IF(Cost_in_dollars!E334=""USD"",Cost_in_dollars!B334,Cost_in_dollars!B334 * GOOGLEFINANCE(""CURRENCY:"" &amp; Cost_in_dollars!E334 &amp; ""USD""))
"),75000000)</f>
        <v>75000000</v>
      </c>
      <c r="P334" s="4">
        <f ca="1">IFERROR(__xludf.DUMMYFUNCTION("IF(Cost_in_dollars!E334=""USD"",Cost_in_dollars!C334,Cost_in_dollars!C334 * GOOGLEFINANCE(""CURRENCY:"" &amp; Cost_in_dollars!E334 &amp; ""USD""))
"),38509342)</f>
        <v>38509342</v>
      </c>
      <c r="Q334" s="4">
        <f t="shared" ca="1" si="6"/>
        <v>-36490658</v>
      </c>
      <c r="R334" s="5" t="str">
        <f t="shared" si="7"/>
        <v>Rock of Ages</v>
      </c>
      <c r="S334" s="43" t="str">
        <f t="shared" si="9"/>
        <v>Comedy</v>
      </c>
    </row>
    <row r="335" spans="1:19" ht="15.75" customHeight="1" x14ac:dyDescent="0.25">
      <c r="A335" s="6" t="s">
        <v>1396</v>
      </c>
      <c r="B335" s="6">
        <v>355</v>
      </c>
      <c r="C335" s="6">
        <v>83552429</v>
      </c>
      <c r="D335" s="6" t="s">
        <v>851</v>
      </c>
      <c r="E335" s="6" t="s">
        <v>1398</v>
      </c>
      <c r="F335" s="6" t="s">
        <v>1417</v>
      </c>
      <c r="G335" s="6">
        <v>154955</v>
      </c>
      <c r="H335" s="6" t="s">
        <v>1418</v>
      </c>
      <c r="I335" s="6">
        <v>800</v>
      </c>
      <c r="J335" s="6" t="s">
        <v>23</v>
      </c>
      <c r="K335" s="6" t="s">
        <v>24</v>
      </c>
      <c r="L335" s="6">
        <v>70000000</v>
      </c>
      <c r="M335" s="6">
        <v>2011</v>
      </c>
      <c r="N335" s="6">
        <v>5.8</v>
      </c>
      <c r="O335" s="4">
        <f ca="1">IFERROR(__xludf.DUMMYFUNCTION("IF(Cost_in_dollars!E335=""USD"",Cost_in_dollars!B335,Cost_in_dollars!B335 * GOOGLEFINANCE(""CURRENCY:"" &amp; Cost_in_dollars!E335 &amp; ""USD""))
"),70000000)</f>
        <v>70000000</v>
      </c>
      <c r="P335" s="4">
        <f ca="1">IFERROR(__xludf.DUMMYFUNCTION("IF(Cost_in_dollars!E335=""USD"",Cost_in_dollars!C335,Cost_in_dollars!C335 * GOOGLEFINANCE(""CURRENCY:"" &amp; Cost_in_dollars!E335 &amp; ""USD""))
"),83552429)</f>
        <v>83552429</v>
      </c>
      <c r="Q335" s="6">
        <f t="shared" ca="1" si="6"/>
        <v>13552429</v>
      </c>
      <c r="R335" s="7" t="str">
        <f t="shared" si="7"/>
        <v>Battle Los Angeles</v>
      </c>
      <c r="S335" s="43" t="str">
        <f t="shared" si="9"/>
        <v>Action</v>
      </c>
    </row>
    <row r="336" spans="1:19" ht="15.75" customHeight="1" x14ac:dyDescent="0.25">
      <c r="A336" s="4" t="s">
        <v>1419</v>
      </c>
      <c r="B336" s="4">
        <v>112</v>
      </c>
      <c r="C336" s="4">
        <v>46800000</v>
      </c>
      <c r="D336" s="4" t="s">
        <v>797</v>
      </c>
      <c r="E336" s="4" t="s">
        <v>1420</v>
      </c>
      <c r="F336" s="4" t="s">
        <v>1421</v>
      </c>
      <c r="G336" s="4">
        <v>76477</v>
      </c>
      <c r="H336" s="4" t="s">
        <v>1422</v>
      </c>
      <c r="I336" s="4">
        <v>275</v>
      </c>
      <c r="J336" s="4" t="s">
        <v>23</v>
      </c>
      <c r="K336" s="4" t="s">
        <v>133</v>
      </c>
      <c r="L336" s="4">
        <v>14000000</v>
      </c>
      <c r="M336" s="4">
        <v>1977</v>
      </c>
      <c r="N336" s="4">
        <v>7.1</v>
      </c>
      <c r="O336" s="4">
        <f ca="1">IFERROR(__xludf.DUMMYFUNCTION("IF(Cost_in_dollars!E336=""USD"",Cost_in_dollars!B336,Cost_in_dollars!B336 * GOOGLEFINANCE(""CURRENCY:"" &amp; Cost_in_dollars!E336 &amp; ""USD""))
"),17995600)</f>
        <v>17995600</v>
      </c>
      <c r="P336" s="4">
        <f ca="1">IFERROR(__xludf.DUMMYFUNCTION("IF(Cost_in_dollars!E336=""USD"",Cost_in_dollars!C336,Cost_in_dollars!C336 * GOOGLEFINANCE(""CURRENCY:"" &amp; Cost_in_dollars!E336 &amp; ""USD""))
"),60156719.9999999)</f>
        <v>60156719.999999903</v>
      </c>
      <c r="Q336" s="4">
        <f t="shared" ca="1" si="6"/>
        <v>42161119.999999903</v>
      </c>
      <c r="R336" s="5" t="str">
        <f t="shared" si="7"/>
        <v>The Spy Who Loved Me</v>
      </c>
      <c r="S336" s="43" t="str">
        <f t="shared" si="9"/>
        <v>Action</v>
      </c>
    </row>
    <row r="337" spans="1:19" ht="15.75" customHeight="1" x14ac:dyDescent="0.25">
      <c r="A337" s="6" t="s">
        <v>37</v>
      </c>
      <c r="B337" s="6">
        <v>43</v>
      </c>
      <c r="C337" s="6">
        <v>46700000</v>
      </c>
      <c r="D337" s="6" t="s">
        <v>477</v>
      </c>
      <c r="E337" s="6" t="s">
        <v>37</v>
      </c>
      <c r="F337" s="6" t="s">
        <v>1423</v>
      </c>
      <c r="G337" s="6">
        <v>19832</v>
      </c>
      <c r="H337" s="6" t="s">
        <v>1424</v>
      </c>
      <c r="I337" s="6">
        <v>98</v>
      </c>
      <c r="J337" s="6" t="s">
        <v>23</v>
      </c>
      <c r="K337" s="6" t="s">
        <v>24</v>
      </c>
      <c r="L337" s="6">
        <v>21000000</v>
      </c>
      <c r="M337" s="6">
        <v>1982</v>
      </c>
      <c r="N337" s="6">
        <v>5.9</v>
      </c>
      <c r="O337" s="4">
        <f ca="1">IFERROR(__xludf.DUMMYFUNCTION("IF(Cost_in_dollars!E337=""USD"",Cost_in_dollars!B337,Cost_in_dollars!B337 * GOOGLEFINANCE(""CURRENCY:"" &amp; Cost_in_dollars!E337 &amp; ""USD""))
"),21000000)</f>
        <v>21000000</v>
      </c>
      <c r="P337" s="4">
        <f ca="1">IFERROR(__xludf.DUMMYFUNCTION("IF(Cost_in_dollars!E337=""USD"",Cost_in_dollars!C337,Cost_in_dollars!C337 * GOOGLEFINANCE(""CURRENCY:"" &amp; Cost_in_dollars!E337 &amp; ""USD""))
"),46700000)</f>
        <v>46700000</v>
      </c>
      <c r="Q337" s="6">
        <f t="shared" ca="1" si="6"/>
        <v>25700000</v>
      </c>
      <c r="R337" s="7" t="str">
        <f t="shared" si="7"/>
        <v>Firefox</v>
      </c>
      <c r="S337" s="43" t="str">
        <f t="shared" si="9"/>
        <v>Action</v>
      </c>
    </row>
    <row r="338" spans="1:19" ht="15.75" customHeight="1" x14ac:dyDescent="0.25">
      <c r="A338" s="4" t="s">
        <v>1425</v>
      </c>
      <c r="B338" s="4">
        <v>187</v>
      </c>
      <c r="C338" s="4">
        <v>41300105</v>
      </c>
      <c r="D338" s="4" t="s">
        <v>78</v>
      </c>
      <c r="E338" s="4" t="s">
        <v>1426</v>
      </c>
      <c r="F338" s="4" t="s">
        <v>1427</v>
      </c>
      <c r="G338" s="4">
        <v>65201</v>
      </c>
      <c r="H338" s="4" t="s">
        <v>1428</v>
      </c>
      <c r="I338" s="4">
        <v>651</v>
      </c>
      <c r="J338" s="4" t="s">
        <v>23</v>
      </c>
      <c r="K338" s="4" t="s">
        <v>133</v>
      </c>
      <c r="L338" s="4">
        <v>19800000</v>
      </c>
      <c r="M338" s="4">
        <v>2001</v>
      </c>
      <c r="N338" s="4">
        <v>7.3</v>
      </c>
      <c r="O338" s="4">
        <f ca="1">IFERROR(__xludf.DUMMYFUNCTION("IF(Cost_in_dollars!E338=""USD"",Cost_in_dollars!B338,Cost_in_dollars!B338 * GOOGLEFINANCE(""CURRENCY:"" &amp; Cost_in_dollars!E338 &amp; ""USD""))
"),25450919.9999999)</f>
        <v>25450919.999999899</v>
      </c>
      <c r="P338" s="4">
        <f ca="1">IFERROR(__xludf.DUMMYFUNCTION("IF(Cost_in_dollars!E338=""USD"",Cost_in_dollars!C338,Cost_in_dollars!C338 * GOOGLEFINANCE(""CURRENCY:"" &amp; Cost_in_dollars!E338 &amp; ""USD""))
"),53087154.9669999)</f>
        <v>53087154.966999903</v>
      </c>
      <c r="Q338" s="4">
        <f t="shared" ca="1" si="6"/>
        <v>27636234.967000004</v>
      </c>
      <c r="R338" s="5" t="str">
        <f t="shared" si="7"/>
        <v>Gosford Park</v>
      </c>
      <c r="S338" s="43" t="str">
        <f t="shared" si="9"/>
        <v>Drama</v>
      </c>
    </row>
    <row r="339" spans="1:19" ht="15.75" customHeight="1" x14ac:dyDescent="0.25">
      <c r="A339" s="6" t="s">
        <v>1429</v>
      </c>
      <c r="B339" s="6">
        <v>118</v>
      </c>
      <c r="C339" s="6">
        <v>93307796</v>
      </c>
      <c r="D339" s="6" t="s">
        <v>88</v>
      </c>
      <c r="E339" s="6" t="s">
        <v>1430</v>
      </c>
      <c r="F339" s="6" t="s">
        <v>1431</v>
      </c>
      <c r="G339" s="6">
        <v>85673</v>
      </c>
      <c r="H339" s="6" t="s">
        <v>1432</v>
      </c>
      <c r="I339" s="6">
        <v>269</v>
      </c>
      <c r="J339" s="6" t="s">
        <v>23</v>
      </c>
      <c r="K339" s="6" t="s">
        <v>24</v>
      </c>
      <c r="L339" s="6">
        <v>60000000</v>
      </c>
      <c r="M339" s="6">
        <v>2002</v>
      </c>
      <c r="N339" s="6">
        <v>6.1</v>
      </c>
      <c r="O339" s="4">
        <f ca="1">IFERROR(__xludf.DUMMYFUNCTION("IF(Cost_in_dollars!E339=""USD"",Cost_in_dollars!B339,Cost_in_dollars!B339 * GOOGLEFINANCE(""CURRENCY:"" &amp; Cost_in_dollars!E339 &amp; ""USD""))
"),60000000)</f>
        <v>60000000</v>
      </c>
      <c r="P339" s="4">
        <f ca="1">IFERROR(__xludf.DUMMYFUNCTION("IF(Cost_in_dollars!E339=""USD"",Cost_in_dollars!C339,Cost_in_dollars!C339 * GOOGLEFINANCE(""CURRENCY:"" &amp; Cost_in_dollars!E339 &amp; ""USD""))
"),93307796)</f>
        <v>93307796</v>
      </c>
      <c r="Q339" s="6">
        <f t="shared" ca="1" si="6"/>
        <v>33307796</v>
      </c>
      <c r="R339" s="7" t="str">
        <f t="shared" si="7"/>
        <v>Two Weeks Notice</v>
      </c>
      <c r="S339" s="43" t="str">
        <f t="shared" si="9"/>
        <v>Comedy</v>
      </c>
    </row>
    <row r="340" spans="1:19" ht="15.75" customHeight="1" x14ac:dyDescent="0.25">
      <c r="A340" s="4" t="s">
        <v>42</v>
      </c>
      <c r="B340" s="4">
        <v>112</v>
      </c>
      <c r="C340" s="4">
        <v>19076815</v>
      </c>
      <c r="D340" s="4" t="s">
        <v>682</v>
      </c>
      <c r="E340" s="4" t="s">
        <v>54</v>
      </c>
      <c r="F340" s="4" t="s">
        <v>1433</v>
      </c>
      <c r="G340" s="4">
        <v>43651</v>
      </c>
      <c r="H340" s="4" t="s">
        <v>1434</v>
      </c>
      <c r="I340" s="4">
        <v>196</v>
      </c>
      <c r="J340" s="4" t="s">
        <v>23</v>
      </c>
      <c r="K340" s="4" t="s">
        <v>24</v>
      </c>
      <c r="L340" s="4">
        <v>60000000</v>
      </c>
      <c r="M340" s="4">
        <v>2002</v>
      </c>
      <c r="N340" s="4">
        <v>6.3</v>
      </c>
      <c r="O340" s="4">
        <f ca="1">IFERROR(__xludf.DUMMYFUNCTION("IF(Cost_in_dollars!E340=""USD"",Cost_in_dollars!B340,Cost_in_dollars!B340 * GOOGLEFINANCE(""CURRENCY:"" &amp; Cost_in_dollars!E340 &amp; ""USD""))
"),60000000)</f>
        <v>60000000</v>
      </c>
      <c r="P340" s="4">
        <f ca="1">IFERROR(__xludf.DUMMYFUNCTION("IF(Cost_in_dollars!E340=""USD"",Cost_in_dollars!C340,Cost_in_dollars!C340 * GOOGLEFINANCE(""CURRENCY:"" &amp; Cost_in_dollars!E340 &amp; ""USD""))
"),19076815)</f>
        <v>19076815</v>
      </c>
      <c r="Q340" s="4">
        <f t="shared" ca="1" si="6"/>
        <v>-40923185</v>
      </c>
      <c r="R340" s="5" t="str">
        <f t="shared" si="7"/>
        <v>Hart's War</v>
      </c>
      <c r="S340" s="43" t="str">
        <f t="shared" si="9"/>
        <v>Drama</v>
      </c>
    </row>
    <row r="341" spans="1:19" ht="15.75" customHeight="1" x14ac:dyDescent="0.25">
      <c r="A341" s="6" t="s">
        <v>1435</v>
      </c>
      <c r="B341" s="6">
        <v>315</v>
      </c>
      <c r="C341" s="6">
        <v>37023395</v>
      </c>
      <c r="D341" s="6" t="s">
        <v>102</v>
      </c>
      <c r="E341" s="6" t="s">
        <v>1436</v>
      </c>
      <c r="F341" s="6" t="s">
        <v>1437</v>
      </c>
      <c r="G341" s="6">
        <v>1347461</v>
      </c>
      <c r="H341" s="6" t="s">
        <v>1438</v>
      </c>
      <c r="I341" s="6">
        <v>2968</v>
      </c>
      <c r="J341" s="6" t="s">
        <v>23</v>
      </c>
      <c r="K341" s="6" t="s">
        <v>24</v>
      </c>
      <c r="L341" s="6">
        <v>63000000</v>
      </c>
      <c r="M341" s="6">
        <v>1999</v>
      </c>
      <c r="N341" s="6">
        <v>8.8000000000000007</v>
      </c>
      <c r="O341" s="4">
        <f ca="1">IFERROR(__xludf.DUMMYFUNCTION("IF(Cost_in_dollars!E341=""USD"",Cost_in_dollars!B341,Cost_in_dollars!B341 * GOOGLEFINANCE(""CURRENCY:"" &amp; Cost_in_dollars!E341 &amp; ""USD""))
"),63000000)</f>
        <v>63000000</v>
      </c>
      <c r="P341" s="4">
        <f ca="1">IFERROR(__xludf.DUMMYFUNCTION("IF(Cost_in_dollars!E341=""USD"",Cost_in_dollars!C341,Cost_in_dollars!C341 * GOOGLEFINANCE(""CURRENCY:"" &amp; Cost_in_dollars!E341 &amp; ""USD""))
"),37023395)</f>
        <v>37023395</v>
      </c>
      <c r="Q341" s="6">
        <f t="shared" ca="1" si="6"/>
        <v>-25976605</v>
      </c>
      <c r="R341" s="7" t="str">
        <f t="shared" si="7"/>
        <v>Fight Club</v>
      </c>
      <c r="S341" s="43" t="str">
        <f t="shared" si="9"/>
        <v>Drama</v>
      </c>
    </row>
    <row r="342" spans="1:19" ht="15.75" customHeight="1" x14ac:dyDescent="0.25">
      <c r="A342" s="4" t="s">
        <v>1439</v>
      </c>
      <c r="B342" s="4">
        <v>132</v>
      </c>
      <c r="C342" s="4">
        <v>16667084</v>
      </c>
      <c r="D342" s="4" t="s">
        <v>1440</v>
      </c>
      <c r="E342" s="4" t="s">
        <v>1441</v>
      </c>
      <c r="F342" s="4" t="s">
        <v>1442</v>
      </c>
      <c r="G342" s="4">
        <v>90070</v>
      </c>
      <c r="H342" s="4" t="s">
        <v>1443</v>
      </c>
      <c r="I342" s="4">
        <v>248</v>
      </c>
      <c r="J342" s="4" t="s">
        <v>23</v>
      </c>
      <c r="K342" s="4" t="s">
        <v>24</v>
      </c>
      <c r="L342" s="4">
        <v>11000000</v>
      </c>
      <c r="M342" s="4">
        <v>1990</v>
      </c>
      <c r="N342" s="4">
        <v>7.1</v>
      </c>
      <c r="O342" s="4">
        <f ca="1">IFERROR(__xludf.DUMMYFUNCTION("IF(Cost_in_dollars!E342=""USD"",Cost_in_dollars!B342,Cost_in_dollars!B342 * GOOGLEFINANCE(""CURRENCY:"" &amp; Cost_in_dollars!E342 &amp; ""USD""))
"),11000000)</f>
        <v>11000000</v>
      </c>
      <c r="P342" s="4">
        <f ca="1">IFERROR(__xludf.DUMMYFUNCTION("IF(Cost_in_dollars!E342=""USD"",Cost_in_dollars!C342,Cost_in_dollars!C342 * GOOGLEFINANCE(""CURRENCY:"" &amp; Cost_in_dollars!E342 &amp; ""USD""))
"),16667084)</f>
        <v>16667084</v>
      </c>
      <c r="Q342" s="4">
        <f t="shared" ca="1" si="6"/>
        <v>5667084</v>
      </c>
      <c r="R342" s="5" t="str">
        <f t="shared" si="7"/>
        <v>Tremors</v>
      </c>
      <c r="S342" s="43" t="str">
        <f t="shared" si="9"/>
        <v>Comedy</v>
      </c>
    </row>
    <row r="343" spans="1:19" ht="15.75" customHeight="1" x14ac:dyDescent="0.25">
      <c r="A343" s="6" t="s">
        <v>1255</v>
      </c>
      <c r="B343" s="6">
        <v>153</v>
      </c>
      <c r="C343" s="6">
        <v>7156725</v>
      </c>
      <c r="D343" s="6" t="s">
        <v>324</v>
      </c>
      <c r="E343" s="6" t="s">
        <v>645</v>
      </c>
      <c r="F343" s="6" t="s">
        <v>1444</v>
      </c>
      <c r="G343" s="6">
        <v>22639</v>
      </c>
      <c r="H343" s="6" t="s">
        <v>1445</v>
      </c>
      <c r="I343" s="6">
        <v>217</v>
      </c>
      <c r="J343" s="6" t="s">
        <v>23</v>
      </c>
      <c r="K343" s="6" t="s">
        <v>24</v>
      </c>
      <c r="L343" s="6">
        <v>19000000</v>
      </c>
      <c r="M343" s="6">
        <v>2006</v>
      </c>
      <c r="N343" s="6">
        <v>5.5</v>
      </c>
      <c r="O343" s="4">
        <f ca="1">IFERROR(__xludf.DUMMYFUNCTION("IF(Cost_in_dollars!E343=""USD"",Cost_in_dollars!B343,Cost_in_dollars!B343 * GOOGLEFINANCE(""CURRENCY:"" &amp; Cost_in_dollars!E343 &amp; ""USD""))
"),19000000)</f>
        <v>19000000</v>
      </c>
      <c r="P343" s="4">
        <f ca="1">IFERROR(__xludf.DUMMYFUNCTION("IF(Cost_in_dollars!E343=""USD"",Cost_in_dollars!C343,Cost_in_dollars!C343 * GOOGLEFINANCE(""CURRENCY:"" &amp; Cost_in_dollars!E343 &amp; ""USD""))
"),7156725)</f>
        <v>7156725</v>
      </c>
      <c r="Q343" s="6">
        <f t="shared" ca="1" si="6"/>
        <v>-11843275</v>
      </c>
      <c r="R343" s="7" t="str">
        <f t="shared" si="7"/>
        <v>American Dreamz</v>
      </c>
      <c r="S343" s="43" t="str">
        <f t="shared" si="9"/>
        <v>Comedy</v>
      </c>
    </row>
    <row r="344" spans="1:19" ht="15.75" customHeight="1" x14ac:dyDescent="0.25">
      <c r="A344" s="4" t="s">
        <v>371</v>
      </c>
      <c r="B344" s="4">
        <v>86</v>
      </c>
      <c r="C344" s="4">
        <v>69688384</v>
      </c>
      <c r="D344" s="4" t="s">
        <v>517</v>
      </c>
      <c r="E344" s="4" t="s">
        <v>54</v>
      </c>
      <c r="F344" s="4" t="s">
        <v>1446</v>
      </c>
      <c r="G344" s="4">
        <v>34473</v>
      </c>
      <c r="H344" s="4" t="s">
        <v>1447</v>
      </c>
      <c r="I344" s="4">
        <v>139</v>
      </c>
      <c r="J344" s="4" t="s">
        <v>23</v>
      </c>
      <c r="K344" s="4" t="s">
        <v>24</v>
      </c>
      <c r="L344" s="4">
        <v>60000000</v>
      </c>
      <c r="M344" s="4">
        <v>2000</v>
      </c>
      <c r="N344" s="4">
        <v>6.1</v>
      </c>
      <c r="O344" s="4">
        <f ca="1">IFERROR(__xludf.DUMMYFUNCTION("IF(Cost_in_dollars!E344=""USD"",Cost_in_dollars!B344,Cost_in_dollars!B344 * GOOGLEFINANCE(""CURRENCY:"" &amp; Cost_in_dollars!E344 &amp; ""USD""))
"),60000000)</f>
        <v>60000000</v>
      </c>
      <c r="P344" s="4">
        <f ca="1">IFERROR(__xludf.DUMMYFUNCTION("IF(Cost_in_dollars!E344=""USD"",Cost_in_dollars!C344,Cost_in_dollars!C344 * GOOGLEFINANCE(""CURRENCY:"" &amp; Cost_in_dollars!E344 &amp; ""USD""))
"),69688384)</f>
        <v>69688384</v>
      </c>
      <c r="Q344" s="4">
        <f t="shared" ca="1" si="6"/>
        <v>9688384</v>
      </c>
      <c r="R344" s="5" t="str">
        <f t="shared" si="7"/>
        <v>The Kid</v>
      </c>
      <c r="S344" s="43" t="str">
        <f t="shared" si="9"/>
        <v>Comedy</v>
      </c>
    </row>
    <row r="345" spans="1:19" ht="15.75" customHeight="1" x14ac:dyDescent="0.25">
      <c r="A345" s="6" t="s">
        <v>1126</v>
      </c>
      <c r="B345" s="6">
        <v>289</v>
      </c>
      <c r="C345" s="6">
        <v>24985612</v>
      </c>
      <c r="D345" s="6" t="s">
        <v>1448</v>
      </c>
      <c r="E345" s="6" t="s">
        <v>1449</v>
      </c>
      <c r="F345" s="6" t="s">
        <v>1450</v>
      </c>
      <c r="G345" s="6">
        <v>71782</v>
      </c>
      <c r="H345" s="6" t="s">
        <v>1451</v>
      </c>
      <c r="I345" s="6">
        <v>161</v>
      </c>
      <c r="J345" s="6" t="s">
        <v>23</v>
      </c>
      <c r="K345" s="6" t="s">
        <v>24</v>
      </c>
      <c r="L345" s="6">
        <v>100000000</v>
      </c>
      <c r="M345" s="6">
        <v>2015</v>
      </c>
      <c r="N345" s="6">
        <v>7</v>
      </c>
      <c r="O345" s="4">
        <f ca="1">IFERROR(__xludf.DUMMYFUNCTION("IF(Cost_in_dollars!E345=""USD"",Cost_in_dollars!B345,Cost_in_dollars!B345 * GOOGLEFINANCE(""CURRENCY:"" &amp; Cost_in_dollars!E345 &amp; ""USD""))
"),100000000)</f>
        <v>100000000</v>
      </c>
      <c r="P345" s="4">
        <f ca="1">IFERROR(__xludf.DUMMYFUNCTION("IF(Cost_in_dollars!E345=""USD"",Cost_in_dollars!C345,Cost_in_dollars!C345 * GOOGLEFINANCE(""CURRENCY:"" &amp; Cost_in_dollars!E345 &amp; ""USD""))
"),24985612)</f>
        <v>24985612</v>
      </c>
      <c r="Q345" s="6">
        <f t="shared" ca="1" si="6"/>
        <v>-75014388</v>
      </c>
      <c r="R345" s="7" t="str">
        <f t="shared" si="7"/>
        <v>In the Heart of the Sea</v>
      </c>
      <c r="S345" s="43" t="str">
        <f t="shared" si="9"/>
        <v>Action</v>
      </c>
    </row>
    <row r="346" spans="1:19" ht="15.75" customHeight="1" x14ac:dyDescent="0.25">
      <c r="A346" s="4" t="s">
        <v>1452</v>
      </c>
      <c r="B346" s="4">
        <v>181</v>
      </c>
      <c r="C346" s="4">
        <v>27758465</v>
      </c>
      <c r="D346" s="4" t="s">
        <v>162</v>
      </c>
      <c r="E346" s="4" t="s">
        <v>1453</v>
      </c>
      <c r="F346" s="4" t="s">
        <v>1454</v>
      </c>
      <c r="G346" s="4">
        <v>77987</v>
      </c>
      <c r="H346" s="4" t="s">
        <v>1455</v>
      </c>
      <c r="I346" s="4">
        <v>120</v>
      </c>
      <c r="J346" s="4" t="s">
        <v>23</v>
      </c>
      <c r="K346" s="4" t="s">
        <v>24</v>
      </c>
      <c r="L346" s="4">
        <v>19000000</v>
      </c>
      <c r="M346" s="4">
        <v>2010</v>
      </c>
      <c r="N346" s="4">
        <v>6.1</v>
      </c>
      <c r="O346" s="4">
        <f ca="1">IFERROR(__xludf.DUMMYFUNCTION("IF(Cost_in_dollars!E346=""USD"",Cost_in_dollars!B346,Cost_in_dollars!B346 * GOOGLEFINANCE(""CURRENCY:"" &amp; Cost_in_dollars!E346 &amp; ""USD""))
"),19000000)</f>
        <v>19000000</v>
      </c>
      <c r="P346" s="4">
        <f ca="1">IFERROR(__xludf.DUMMYFUNCTION("IF(Cost_in_dollars!E346=""USD"",Cost_in_dollars!C346,Cost_in_dollars!C346 * GOOGLEFINANCE(""CURRENCY:"" &amp; Cost_in_dollars!E346 &amp; ""USD""))
"),27758465)</f>
        <v>27758465</v>
      </c>
      <c r="Q346" s="4">
        <f t="shared" ca="1" si="6"/>
        <v>8758465</v>
      </c>
      <c r="R346" s="5" t="str">
        <f t="shared" si="7"/>
        <v>The Switch</v>
      </c>
      <c r="S346" s="43" t="str">
        <f t="shared" si="9"/>
        <v>Comedy</v>
      </c>
    </row>
    <row r="347" spans="1:19" ht="15.75" customHeight="1" x14ac:dyDescent="0.25">
      <c r="A347" s="6" t="s">
        <v>177</v>
      </c>
      <c r="B347" s="6">
        <v>192</v>
      </c>
      <c r="C347" s="6">
        <v>113330342</v>
      </c>
      <c r="D347" s="6" t="s">
        <v>1456</v>
      </c>
      <c r="E347" s="6" t="s">
        <v>1159</v>
      </c>
      <c r="F347" s="6" t="s">
        <v>1457</v>
      </c>
      <c r="G347" s="6">
        <v>207613</v>
      </c>
      <c r="H347" s="6" t="s">
        <v>1458</v>
      </c>
      <c r="I347" s="6">
        <v>1144</v>
      </c>
      <c r="J347" s="6" t="s">
        <v>23</v>
      </c>
      <c r="K347" s="6" t="s">
        <v>24</v>
      </c>
      <c r="L347" s="6">
        <v>110000000</v>
      </c>
      <c r="M347" s="6">
        <v>2000</v>
      </c>
      <c r="N347" s="6">
        <v>7.1</v>
      </c>
      <c r="O347" s="4">
        <f ca="1">IFERROR(__xludf.DUMMYFUNCTION("IF(Cost_in_dollars!E347=""USD"",Cost_in_dollars!B347,Cost_in_dollars!B347 * GOOGLEFINANCE(""CURRENCY:"" &amp; Cost_in_dollars!E347 &amp; ""USD""))
"),110000000)</f>
        <v>110000000</v>
      </c>
      <c r="P347" s="4">
        <f ca="1">IFERROR(__xludf.DUMMYFUNCTION("IF(Cost_in_dollars!E347=""USD"",Cost_in_dollars!C347,Cost_in_dollars!C347 * GOOGLEFINANCE(""CURRENCY:"" &amp; Cost_in_dollars!E347 &amp; ""USD""))
"),113330342)</f>
        <v>113330342</v>
      </c>
      <c r="Q347" s="6">
        <f t="shared" ca="1" si="6"/>
        <v>3330342</v>
      </c>
      <c r="R347" s="7" t="str">
        <f t="shared" si="7"/>
        <v>The Patriot</v>
      </c>
      <c r="S347" s="43" t="str">
        <f t="shared" si="9"/>
        <v>Action</v>
      </c>
    </row>
    <row r="348" spans="1:19" ht="15.75" customHeight="1" x14ac:dyDescent="0.25">
      <c r="A348" s="4" t="s">
        <v>1459</v>
      </c>
      <c r="B348" s="4">
        <v>78</v>
      </c>
      <c r="C348" s="4">
        <v>634277</v>
      </c>
      <c r="D348" s="4" t="s">
        <v>1460</v>
      </c>
      <c r="E348" s="4" t="s">
        <v>1461</v>
      </c>
      <c r="F348" s="4" t="s">
        <v>1462</v>
      </c>
      <c r="G348" s="4">
        <v>5166</v>
      </c>
      <c r="H348" s="4" t="s">
        <v>1463</v>
      </c>
      <c r="I348" s="4">
        <v>27</v>
      </c>
      <c r="J348" s="4" t="s">
        <v>661</v>
      </c>
      <c r="K348" s="4" t="s">
        <v>611</v>
      </c>
      <c r="L348" s="4">
        <v>16000000</v>
      </c>
      <c r="M348" s="4">
        <v>2007</v>
      </c>
      <c r="N348" s="4">
        <v>7.3</v>
      </c>
      <c r="O348" s="4">
        <f ca="1">IFERROR(__xludf.DUMMYFUNCTION("IF(Cost_in_dollars!E348=""USD"",Cost_in_dollars!B348,Cost_in_dollars!B348 * GOOGLEFINANCE(""CURRENCY:"" &amp; Cost_in_dollars!E348 &amp; ""USD""))
"),17355840)</f>
        <v>17355840</v>
      </c>
      <c r="P348" s="4">
        <f ca="1">IFERROR(__xludf.DUMMYFUNCTION("IF(Cost_in_dollars!E348=""USD"",Cost_in_dollars!C348,Cost_in_dollars!C348 * GOOGLEFINANCE(""CURRENCY:"" &amp; Cost_in_dollars!E348 &amp; ""USD""))
"),688025.63298)</f>
        <v>688025.63297999999</v>
      </c>
      <c r="Q348" s="4">
        <f t="shared" ca="1" si="6"/>
        <v>-16667814.36702</v>
      </c>
      <c r="R348" s="5" t="str">
        <f t="shared" si="7"/>
        <v>MoliÃ¨re</v>
      </c>
      <c r="S348" s="43" t="str">
        <f t="shared" si="9"/>
        <v>Comedy</v>
      </c>
    </row>
    <row r="349" spans="1:19" ht="15.75" customHeight="1" x14ac:dyDescent="0.25">
      <c r="A349" s="6" t="s">
        <v>1464</v>
      </c>
      <c r="B349" s="6">
        <v>57</v>
      </c>
      <c r="C349" s="6">
        <v>128769345</v>
      </c>
      <c r="D349" s="6" t="s">
        <v>1465</v>
      </c>
      <c r="E349" s="6" t="s">
        <v>269</v>
      </c>
      <c r="F349" s="6" t="s">
        <v>1466</v>
      </c>
      <c r="G349" s="6">
        <v>86556</v>
      </c>
      <c r="H349" s="6" t="s">
        <v>1467</v>
      </c>
      <c r="I349" s="6">
        <v>99</v>
      </c>
      <c r="J349" s="6" t="s">
        <v>23</v>
      </c>
      <c r="K349" s="6" t="s">
        <v>24</v>
      </c>
      <c r="L349" s="6">
        <v>54000000</v>
      </c>
      <c r="M349" s="6">
        <v>1996</v>
      </c>
      <c r="N349" s="6">
        <v>5.6</v>
      </c>
      <c r="O349" s="4">
        <f ca="1">IFERROR(__xludf.DUMMYFUNCTION("IF(Cost_in_dollars!E349=""USD"",Cost_in_dollars!B349,Cost_in_dollars!B349 * GOOGLEFINANCE(""CURRENCY:"" &amp; Cost_in_dollars!E349 &amp; ""USD""))
"),54000000)</f>
        <v>54000000</v>
      </c>
      <c r="P349" s="4">
        <f ca="1">IFERROR(__xludf.DUMMYFUNCTION("IF(Cost_in_dollars!E349=""USD"",Cost_in_dollars!C349,Cost_in_dollars!C349 * GOOGLEFINANCE(""CURRENCY:"" &amp; Cost_in_dollars!E349 &amp; ""USD""))
"),128769345)</f>
        <v>128769345</v>
      </c>
      <c r="Q349" s="6">
        <f t="shared" ca="1" si="6"/>
        <v>74769345</v>
      </c>
      <c r="R349" s="7" t="str">
        <f t="shared" si="7"/>
        <v>The Nutty Professor</v>
      </c>
      <c r="S349" s="43" t="str">
        <f t="shared" si="9"/>
        <v>Comedy</v>
      </c>
    </row>
    <row r="350" spans="1:19" ht="15.75" customHeight="1" x14ac:dyDescent="0.25">
      <c r="A350" s="4" t="s">
        <v>1468</v>
      </c>
      <c r="B350" s="4">
        <v>123</v>
      </c>
      <c r="C350" s="4">
        <v>33828318</v>
      </c>
      <c r="D350" s="4" t="s">
        <v>140</v>
      </c>
      <c r="E350" s="4" t="s">
        <v>588</v>
      </c>
      <c r="F350" s="4" t="s">
        <v>1469</v>
      </c>
      <c r="G350" s="4">
        <v>44453</v>
      </c>
      <c r="H350" s="4" t="s">
        <v>1470</v>
      </c>
      <c r="I350" s="4">
        <v>154</v>
      </c>
      <c r="J350" s="4" t="s">
        <v>23</v>
      </c>
      <c r="K350" s="4" t="s">
        <v>24</v>
      </c>
      <c r="L350" s="4">
        <v>55000000</v>
      </c>
      <c r="M350" s="4">
        <v>2003</v>
      </c>
      <c r="N350" s="4">
        <v>5.8</v>
      </c>
      <c r="O350" s="4">
        <f ca="1">IFERROR(__xludf.DUMMYFUNCTION("IF(Cost_in_dollars!E350=""USD"",Cost_in_dollars!B350,Cost_in_dollars!B350 * GOOGLEFINANCE(""CURRENCY:"" &amp; Cost_in_dollars!E350 &amp; ""USD""))
"),55000000)</f>
        <v>55000000</v>
      </c>
      <c r="P350" s="4">
        <f ca="1">IFERROR(__xludf.DUMMYFUNCTION("IF(Cost_in_dollars!E350=""USD"",Cost_in_dollars!C350,Cost_in_dollars!C350 * GOOGLEFINANCE(""CURRENCY:"" &amp; Cost_in_dollars!E350 &amp; ""USD""))
"),33828318)</f>
        <v>33828318</v>
      </c>
      <c r="Q350" s="4">
        <f t="shared" ca="1" si="6"/>
        <v>-21171682</v>
      </c>
      <c r="R350" s="5" t="str">
        <f t="shared" si="7"/>
        <v>Stuck on You</v>
      </c>
      <c r="S350" s="43" t="str">
        <f t="shared" si="9"/>
        <v>Comedy</v>
      </c>
    </row>
    <row r="351" spans="1:19" ht="15.75" customHeight="1" x14ac:dyDescent="0.25">
      <c r="A351" s="6" t="s">
        <v>1471</v>
      </c>
      <c r="B351" s="6">
        <v>62</v>
      </c>
      <c r="C351" s="6">
        <v>5725</v>
      </c>
      <c r="D351" s="6" t="s">
        <v>309</v>
      </c>
      <c r="E351" s="6" t="s">
        <v>1472</v>
      </c>
      <c r="F351" s="6" t="s">
        <v>1473</v>
      </c>
      <c r="G351" s="6">
        <v>10220</v>
      </c>
      <c r="H351" s="6" t="s">
        <v>1474</v>
      </c>
      <c r="I351" s="6">
        <v>110</v>
      </c>
      <c r="J351" s="6" t="s">
        <v>1045</v>
      </c>
      <c r="K351" s="6" t="s">
        <v>176</v>
      </c>
      <c r="L351" s="6">
        <v>8400000</v>
      </c>
      <c r="M351" s="6">
        <v>2000</v>
      </c>
      <c r="N351" s="6">
        <v>6.1</v>
      </c>
      <c r="O351" s="4">
        <f ca="1">IFERROR(__xludf.DUMMYFUNCTION("IF(Cost_in_dollars!E351=""USD"",Cost_in_dollars!B351,Cost_in_dollars!B351 * GOOGLEFINANCE(""CURRENCY:"" &amp; Cost_in_dollars!E351 &amp; ""USD""))
"),9111816)</f>
        <v>9111816</v>
      </c>
      <c r="P351" s="4">
        <f ca="1">IFERROR(__xludf.DUMMYFUNCTION("IF(Cost_in_dollars!E351=""USD"",Cost_in_dollars!C351,Cost_in_dollars!C351 * GOOGLEFINANCE(""CURRENCY:"" &amp; Cost_in_dollars!E351 &amp; ""USD""))
"),6210.1365)</f>
        <v>6210.1364999999996</v>
      </c>
      <c r="Q351" s="6">
        <f t="shared" ca="1" si="6"/>
        <v>-9105605.8635000009</v>
      </c>
      <c r="R351" s="7" t="str">
        <f t="shared" si="7"/>
        <v>Anatomy</v>
      </c>
      <c r="S351" s="43" t="str">
        <f t="shared" si="9"/>
        <v>Horror</v>
      </c>
    </row>
    <row r="352" spans="1:19" ht="15.75" customHeight="1" x14ac:dyDescent="0.25">
      <c r="A352" s="4" t="s">
        <v>1475</v>
      </c>
      <c r="B352" s="4">
        <v>196</v>
      </c>
      <c r="C352" s="4">
        <v>8279017</v>
      </c>
      <c r="D352" s="4" t="s">
        <v>1476</v>
      </c>
      <c r="E352" s="4" t="s">
        <v>1477</v>
      </c>
      <c r="F352" s="4" t="s">
        <v>1478</v>
      </c>
      <c r="G352" s="4">
        <v>34191</v>
      </c>
      <c r="H352" s="4" t="s">
        <v>1479</v>
      </c>
      <c r="I352" s="4">
        <v>339</v>
      </c>
      <c r="J352" s="4" t="s">
        <v>23</v>
      </c>
      <c r="K352" s="4" t="s">
        <v>133</v>
      </c>
      <c r="L352" s="4">
        <v>8000000</v>
      </c>
      <c r="M352" s="4">
        <v>2000</v>
      </c>
      <c r="N352" s="4">
        <v>6.9</v>
      </c>
      <c r="O352" s="4">
        <f ca="1">IFERROR(__xludf.DUMMYFUNCTION("IF(Cost_in_dollars!E352=""USD"",Cost_in_dollars!B352,Cost_in_dollars!B352 * GOOGLEFINANCE(""CURRENCY:"" &amp; Cost_in_dollars!E352 &amp; ""USD""))
"),10283199.9999999)</f>
        <v>10283199.999999899</v>
      </c>
      <c r="P352" s="4">
        <f ca="1">IFERROR(__xludf.DUMMYFUNCTION("IF(Cost_in_dollars!E352=""USD"",Cost_in_dollars!C352,Cost_in_dollars!C352 * GOOGLEFINANCE(""CURRENCY:"" &amp; Cost_in_dollars!E352 &amp; ""USD""))
"),10641848.4517999)</f>
        <v>10641848.451799899</v>
      </c>
      <c r="Q352" s="4">
        <f t="shared" ca="1" si="6"/>
        <v>358648.45179999992</v>
      </c>
      <c r="R352" s="5" t="str">
        <f t="shared" si="7"/>
        <v>Shadow of the Vampire</v>
      </c>
      <c r="S352" s="43" t="str">
        <f t="shared" si="9"/>
        <v>Drama</v>
      </c>
    </row>
    <row r="353" spans="1:19" ht="15.75" customHeight="1" x14ac:dyDescent="0.25">
      <c r="A353" s="6" t="s">
        <v>1480</v>
      </c>
      <c r="B353" s="6">
        <v>125</v>
      </c>
      <c r="C353" s="6">
        <v>39989008</v>
      </c>
      <c r="D353" s="6" t="s">
        <v>568</v>
      </c>
      <c r="E353" s="6" t="s">
        <v>1481</v>
      </c>
      <c r="F353" s="6" t="s">
        <v>1482</v>
      </c>
      <c r="G353" s="6">
        <v>55398</v>
      </c>
      <c r="H353" s="6" t="s">
        <v>1483</v>
      </c>
      <c r="I353" s="6">
        <v>418</v>
      </c>
      <c r="J353" s="6" t="s">
        <v>23</v>
      </c>
      <c r="K353" s="6" t="s">
        <v>24</v>
      </c>
      <c r="L353" s="6">
        <v>24000000</v>
      </c>
      <c r="M353" s="6">
        <v>1998</v>
      </c>
      <c r="N353" s="6">
        <v>4.5999999999999996</v>
      </c>
      <c r="O353" s="4">
        <f ca="1">IFERROR(__xludf.DUMMYFUNCTION("IF(Cost_in_dollars!E353=""USD"",Cost_in_dollars!B353,Cost_in_dollars!B353 * GOOGLEFINANCE(""CURRENCY:"" &amp; Cost_in_dollars!E353 &amp; ""USD""))
"),24000000)</f>
        <v>24000000</v>
      </c>
      <c r="P353" s="4">
        <f ca="1">IFERROR(__xludf.DUMMYFUNCTION("IF(Cost_in_dollars!E353=""USD"",Cost_in_dollars!C353,Cost_in_dollars!C353 * GOOGLEFINANCE(""CURRENCY:"" &amp; Cost_in_dollars!E353 &amp; ""USD""))
"),39989008)</f>
        <v>39989008</v>
      </c>
      <c r="Q353" s="6">
        <f t="shared" ca="1" si="6"/>
        <v>15989008</v>
      </c>
      <c r="R353" s="7" t="str">
        <f t="shared" si="7"/>
        <v>I Still Know What You Did Last Summer</v>
      </c>
      <c r="S353" s="43" t="str">
        <f t="shared" si="9"/>
        <v>Horror</v>
      </c>
    </row>
    <row r="354" spans="1:19" ht="15.75" customHeight="1" x14ac:dyDescent="0.25">
      <c r="A354" s="4" t="s">
        <v>1484</v>
      </c>
      <c r="B354" s="4">
        <v>242</v>
      </c>
      <c r="C354" s="4">
        <v>59035104</v>
      </c>
      <c r="D354" s="4" t="s">
        <v>1485</v>
      </c>
      <c r="E354" s="4" t="s">
        <v>1486</v>
      </c>
      <c r="F354" s="4" t="s">
        <v>1487</v>
      </c>
      <c r="G354" s="4">
        <v>244566</v>
      </c>
      <c r="H354" s="4" t="s">
        <v>1488</v>
      </c>
      <c r="I354" s="4">
        <v>597</v>
      </c>
      <c r="J354" s="4" t="s">
        <v>23</v>
      </c>
      <c r="K354" s="4" t="s">
        <v>24</v>
      </c>
      <c r="L354" s="4">
        <v>66000000</v>
      </c>
      <c r="M354" s="4">
        <v>2004</v>
      </c>
      <c r="N354" s="4">
        <v>6.8</v>
      </c>
      <c r="O354" s="4">
        <f ca="1">IFERROR(__xludf.DUMMYFUNCTION("IF(Cost_in_dollars!E354=""USD"",Cost_in_dollars!B354,Cost_in_dollars!B354 * GOOGLEFINANCE(""CURRENCY:"" &amp; Cost_in_dollars!E354 &amp; ""USD""))
"),66000000)</f>
        <v>66000000</v>
      </c>
      <c r="P354" s="4">
        <f ca="1">IFERROR(__xludf.DUMMYFUNCTION("IF(Cost_in_dollars!E354=""USD"",Cost_in_dollars!C354,Cost_in_dollars!C354 * GOOGLEFINANCE(""CURRENCY:"" &amp; Cost_in_dollars!E354 &amp; ""USD""))
"),59035104)</f>
        <v>59035104</v>
      </c>
      <c r="Q354" s="4">
        <f t="shared" ca="1" si="6"/>
        <v>-6964896</v>
      </c>
      <c r="R354" s="5" t="str">
        <f t="shared" si="7"/>
        <v>Hellboy</v>
      </c>
      <c r="S354" s="43" t="str">
        <f t="shared" si="9"/>
        <v>Action</v>
      </c>
    </row>
    <row r="355" spans="1:19" ht="15.75" customHeight="1" x14ac:dyDescent="0.25">
      <c r="A355" s="6" t="s">
        <v>1489</v>
      </c>
      <c r="B355" s="6">
        <v>2</v>
      </c>
      <c r="C355" s="6">
        <v>31662</v>
      </c>
      <c r="D355" s="6" t="s">
        <v>1456</v>
      </c>
      <c r="E355" s="6" t="s">
        <v>608</v>
      </c>
      <c r="F355" s="6" t="s">
        <v>1490</v>
      </c>
      <c r="G355" s="6">
        <v>90</v>
      </c>
      <c r="H355" s="6" t="s">
        <v>109</v>
      </c>
      <c r="I355" s="6">
        <v>1</v>
      </c>
      <c r="J355" s="6" t="s">
        <v>23</v>
      </c>
      <c r="K355" s="6" t="s">
        <v>1491</v>
      </c>
      <c r="L355" s="6">
        <v>12620000</v>
      </c>
      <c r="M355" s="6">
        <v>2016</v>
      </c>
      <c r="N355" s="6">
        <v>6.8</v>
      </c>
      <c r="O355" s="4">
        <f ca="1">IFERROR(__xludf.DUMMYFUNCTION("IF(Cost_in_dollars!E355=""USD"",Cost_in_dollars!B355,Cost_in_dollars!B355 * GOOGLEFINANCE(""CURRENCY:"" &amp; Cost_in_dollars!E355 &amp; ""USD""))
"),9135.20154)</f>
        <v>9135.20154</v>
      </c>
      <c r="P355" s="4">
        <f ca="1">IFERROR(__xludf.DUMMYFUNCTION("IF(Cost_in_dollars!E355=""USD"",Cost_in_dollars!C355,Cost_in_dollars!C355 * GOOGLEFINANCE(""CURRENCY:"" &amp; Cost_in_dollars!E355 &amp; ""USD""))
"),22.919076954)</f>
        <v>22.919076954000001</v>
      </c>
      <c r="Q355" s="6">
        <f t="shared" ca="1" si="6"/>
        <v>-9112.282463046</v>
      </c>
      <c r="R355" s="7" t="str">
        <f t="shared" si="7"/>
        <v>Operation Chromite</v>
      </c>
      <c r="S355" s="43" t="str">
        <f t="shared" si="9"/>
        <v>Action</v>
      </c>
    </row>
    <row r="356" spans="1:19" ht="15.75" customHeight="1" x14ac:dyDescent="0.25">
      <c r="A356" s="4" t="s">
        <v>72</v>
      </c>
      <c r="B356" s="4">
        <v>239</v>
      </c>
      <c r="C356" s="4">
        <v>47396698</v>
      </c>
      <c r="D356" s="4" t="s">
        <v>1492</v>
      </c>
      <c r="E356" s="4" t="s">
        <v>608</v>
      </c>
      <c r="F356" s="4" t="s">
        <v>1493</v>
      </c>
      <c r="G356" s="4">
        <v>217373</v>
      </c>
      <c r="H356" s="4" t="s">
        <v>1494</v>
      </c>
      <c r="I356" s="4">
        <v>942</v>
      </c>
      <c r="J356" s="4" t="s">
        <v>23</v>
      </c>
      <c r="K356" s="4" t="s">
        <v>24</v>
      </c>
      <c r="L356" s="4">
        <v>130000000</v>
      </c>
      <c r="M356" s="4">
        <v>2005</v>
      </c>
      <c r="N356" s="4">
        <v>7.2</v>
      </c>
      <c r="O356" s="4">
        <f ca="1">IFERROR(__xludf.DUMMYFUNCTION("IF(Cost_in_dollars!E356=""USD"",Cost_in_dollars!B356,Cost_in_dollars!B356 * GOOGLEFINANCE(""CURRENCY:"" &amp; Cost_in_dollars!E356 &amp; ""USD""))
"),130000000)</f>
        <v>130000000</v>
      </c>
      <c r="P356" s="4">
        <f ca="1">IFERROR(__xludf.DUMMYFUNCTION("IF(Cost_in_dollars!E356=""USD"",Cost_in_dollars!C356,Cost_in_dollars!C356 * GOOGLEFINANCE(""CURRENCY:"" &amp; Cost_in_dollars!E356 &amp; ""USD""))
"),47396698)</f>
        <v>47396698</v>
      </c>
      <c r="Q356" s="4">
        <f t="shared" ca="1" si="6"/>
        <v>-82603302</v>
      </c>
      <c r="R356" s="5" t="str">
        <f t="shared" si="7"/>
        <v>Kingdom of Heaven</v>
      </c>
      <c r="S356" s="43" t="str">
        <f t="shared" si="9"/>
        <v>Action</v>
      </c>
    </row>
    <row r="357" spans="1:19" ht="15.75" customHeight="1" x14ac:dyDescent="0.25">
      <c r="A357" s="6" t="s">
        <v>1495</v>
      </c>
      <c r="B357" s="6">
        <v>222</v>
      </c>
      <c r="C357" s="6">
        <v>30028592</v>
      </c>
      <c r="D357" s="6" t="s">
        <v>813</v>
      </c>
      <c r="E357" s="6" t="s">
        <v>818</v>
      </c>
      <c r="F357" s="6" t="s">
        <v>1496</v>
      </c>
      <c r="G357" s="6">
        <v>152247</v>
      </c>
      <c r="H357" s="6" t="s">
        <v>1497</v>
      </c>
      <c r="I357" s="6">
        <v>189</v>
      </c>
      <c r="J357" s="6" t="s">
        <v>23</v>
      </c>
      <c r="K357" s="6" t="s">
        <v>133</v>
      </c>
      <c r="L357" s="6">
        <v>20000000</v>
      </c>
      <c r="M357" s="6">
        <v>2008</v>
      </c>
      <c r="N357" s="6">
        <v>7.3</v>
      </c>
      <c r="O357" s="4">
        <f ca="1">IFERROR(__xludf.DUMMYFUNCTION("IF(Cost_in_dollars!E357=""USD"",Cost_in_dollars!B357,Cost_in_dollars!B357 * GOOGLEFINANCE(""CURRENCY:"" &amp; Cost_in_dollars!E357 &amp; ""USD""))
"),25707999.9999999)</f>
        <v>25707999.999999899</v>
      </c>
      <c r="P357" s="4">
        <f ca="1">IFERROR(__xludf.DUMMYFUNCTION("IF(Cost_in_dollars!E357=""USD"",Cost_in_dollars!C357,Cost_in_dollars!C357 * GOOGLEFINANCE(""CURRENCY:"" &amp; Cost_in_dollars!E357 &amp; ""USD""))
"),38598752.1567999)</f>
        <v>38598752.156799898</v>
      </c>
      <c r="Q357" s="6">
        <f t="shared" ca="1" si="6"/>
        <v>12890752.156799998</v>
      </c>
      <c r="R357" s="7" t="str">
        <f t="shared" si="7"/>
        <v>The Bank Job</v>
      </c>
      <c r="S357" s="43" t="str">
        <f t="shared" si="9"/>
        <v>Crime</v>
      </c>
    </row>
    <row r="358" spans="1:19" ht="15.75" customHeight="1" x14ac:dyDescent="0.25">
      <c r="A358" s="4" t="s">
        <v>1498</v>
      </c>
      <c r="B358" s="4">
        <v>60</v>
      </c>
      <c r="C358" s="4">
        <v>18252684</v>
      </c>
      <c r="D358" s="4" t="s">
        <v>1499</v>
      </c>
      <c r="E358" s="4" t="s">
        <v>112</v>
      </c>
      <c r="F358" s="4" t="s">
        <v>1500</v>
      </c>
      <c r="G358" s="4">
        <v>18366</v>
      </c>
      <c r="H358" s="4" t="s">
        <v>1501</v>
      </c>
      <c r="I358" s="4">
        <v>219</v>
      </c>
      <c r="J358" s="4" t="s">
        <v>23</v>
      </c>
      <c r="K358" s="4" t="s">
        <v>24</v>
      </c>
      <c r="L358" s="4">
        <v>30000000</v>
      </c>
      <c r="M358" s="4">
        <v>1998</v>
      </c>
      <c r="N358" s="4">
        <v>6.9</v>
      </c>
      <c r="O358" s="4">
        <f ca="1">IFERROR(__xludf.DUMMYFUNCTION("IF(Cost_in_dollars!E358=""USD"",Cost_in_dollars!B358,Cost_in_dollars!B358 * GOOGLEFINANCE(""CURRENCY:"" &amp; Cost_in_dollars!E358 &amp; ""USD""))
"),30000000)</f>
        <v>30000000</v>
      </c>
      <c r="P358" s="4">
        <f ca="1">IFERROR(__xludf.DUMMYFUNCTION("IF(Cost_in_dollars!E358=""USD"",Cost_in_dollars!C358,Cost_in_dollars!C358 * GOOGLEFINANCE(""CURRENCY:"" &amp; Cost_in_dollars!E358 &amp; ""USD""))
"),18252684)</f>
        <v>18252684</v>
      </c>
      <c r="Q358" s="4">
        <f t="shared" ca="1" si="6"/>
        <v>-11747316</v>
      </c>
      <c r="R358" s="5" t="str">
        <f t="shared" si="7"/>
        <v>Simon Birch</v>
      </c>
      <c r="S358" s="43" t="str">
        <f t="shared" si="9"/>
        <v>Comedy</v>
      </c>
    </row>
    <row r="359" spans="1:19" ht="15.75" customHeight="1" x14ac:dyDescent="0.25">
      <c r="A359" s="6" t="s">
        <v>1502</v>
      </c>
      <c r="B359" s="6">
        <v>134</v>
      </c>
      <c r="C359" s="6">
        <v>100241322</v>
      </c>
      <c r="D359" s="6" t="s">
        <v>162</v>
      </c>
      <c r="E359" s="6" t="s">
        <v>1503</v>
      </c>
      <c r="F359" s="6" t="s">
        <v>1504</v>
      </c>
      <c r="G359" s="6">
        <v>175524</v>
      </c>
      <c r="H359" s="6" t="s">
        <v>1505</v>
      </c>
      <c r="I359" s="6">
        <v>752</v>
      </c>
      <c r="J359" s="6" t="s">
        <v>23</v>
      </c>
      <c r="K359" s="6" t="s">
        <v>24</v>
      </c>
      <c r="L359" s="6">
        <v>25000000</v>
      </c>
      <c r="M359" s="6">
        <v>1998</v>
      </c>
      <c r="N359" s="6">
        <v>7.2</v>
      </c>
      <c r="O359" s="4">
        <f ca="1">IFERROR(__xludf.DUMMYFUNCTION("IF(Cost_in_dollars!E359=""USD"",Cost_in_dollars!B359,Cost_in_dollars!B359 * GOOGLEFINANCE(""CURRENCY:"" &amp; Cost_in_dollars!E359 &amp; ""USD""))
"),25000000)</f>
        <v>25000000</v>
      </c>
      <c r="P359" s="4">
        <f ca="1">IFERROR(__xludf.DUMMYFUNCTION("IF(Cost_in_dollars!E359=""USD"",Cost_in_dollars!C359,Cost_in_dollars!C359 * GOOGLEFINANCE(""CURRENCY:"" &amp; Cost_in_dollars!E359 &amp; ""USD""))
"),100241322)</f>
        <v>100241322</v>
      </c>
      <c r="Q359" s="6">
        <f t="shared" ca="1" si="6"/>
        <v>75241322</v>
      </c>
      <c r="R359" s="7" t="str">
        <f t="shared" si="7"/>
        <v>Shakespeare in Love</v>
      </c>
      <c r="S359" s="43" t="str">
        <f t="shared" si="9"/>
        <v>Comedy</v>
      </c>
    </row>
    <row r="360" spans="1:19" ht="15.75" customHeight="1" x14ac:dyDescent="0.25">
      <c r="A360" s="4" t="s">
        <v>1506</v>
      </c>
      <c r="B360" s="4">
        <v>365</v>
      </c>
      <c r="C360" s="4">
        <v>6531491</v>
      </c>
      <c r="D360" s="4" t="s">
        <v>102</v>
      </c>
      <c r="E360" s="4" t="s">
        <v>1507</v>
      </c>
      <c r="F360" s="4" t="s">
        <v>1508</v>
      </c>
      <c r="G360" s="4">
        <v>111658</v>
      </c>
      <c r="H360" s="4" t="s">
        <v>1509</v>
      </c>
      <c r="I360" s="4">
        <v>297</v>
      </c>
      <c r="J360" s="4" t="s">
        <v>23</v>
      </c>
      <c r="K360" s="4" t="s">
        <v>24</v>
      </c>
      <c r="L360" s="4">
        <v>2000000</v>
      </c>
      <c r="M360" s="4">
        <v>2010</v>
      </c>
      <c r="N360" s="4">
        <v>7.2</v>
      </c>
      <c r="O360" s="4">
        <f ca="1">IFERROR(__xludf.DUMMYFUNCTION("IF(Cost_in_dollars!E360=""USD"",Cost_in_dollars!B360,Cost_in_dollars!B360 * GOOGLEFINANCE(""CURRENCY:"" &amp; Cost_in_dollars!E360 &amp; ""USD""))
"),2000000)</f>
        <v>2000000</v>
      </c>
      <c r="P360" s="4">
        <f ca="1">IFERROR(__xludf.DUMMYFUNCTION("IF(Cost_in_dollars!E360=""USD"",Cost_in_dollars!C360,Cost_in_dollars!C360 * GOOGLEFINANCE(""CURRENCY:"" &amp; Cost_in_dollars!E360 &amp; ""USD""))
"),6531491)</f>
        <v>6531491</v>
      </c>
      <c r="Q360" s="4">
        <f t="shared" ca="1" si="6"/>
        <v>4531491</v>
      </c>
      <c r="R360" s="5" t="str">
        <f t="shared" si="7"/>
        <v>Winter's Bone</v>
      </c>
      <c r="S360" s="43" t="str">
        <f t="shared" si="9"/>
        <v>Drama</v>
      </c>
    </row>
    <row r="361" spans="1:19" ht="15.75" customHeight="1" x14ac:dyDescent="0.25">
      <c r="A361" s="6" t="s">
        <v>1510</v>
      </c>
      <c r="B361" s="6">
        <v>74</v>
      </c>
      <c r="C361" s="6">
        <v>5409517</v>
      </c>
      <c r="D361" s="6" t="s">
        <v>1511</v>
      </c>
      <c r="E361" s="6" t="s">
        <v>20</v>
      </c>
      <c r="F361" s="6" t="s">
        <v>1512</v>
      </c>
      <c r="G361" s="6">
        <v>14280</v>
      </c>
      <c r="H361" s="6" t="s">
        <v>1513</v>
      </c>
      <c r="I361" s="6">
        <v>171</v>
      </c>
      <c r="J361" s="6" t="s">
        <v>23</v>
      </c>
      <c r="K361" s="6" t="s">
        <v>24</v>
      </c>
      <c r="L361" s="6">
        <v>75000000</v>
      </c>
      <c r="M361" s="6">
        <v>2001</v>
      </c>
      <c r="N361" s="6">
        <v>4.7</v>
      </c>
      <c r="O361" s="4">
        <f ca="1">IFERROR(__xludf.DUMMYFUNCTION("IF(Cost_in_dollars!E361=""USD"",Cost_in_dollars!B361,Cost_in_dollars!B361 * GOOGLEFINANCE(""CURRENCY:"" &amp; Cost_in_dollars!E361 &amp; ""USD""))
"),75000000)</f>
        <v>75000000</v>
      </c>
      <c r="P361" s="4">
        <f ca="1">IFERROR(__xludf.DUMMYFUNCTION("IF(Cost_in_dollars!E361=""USD"",Cost_in_dollars!C361,Cost_in_dollars!C361 * GOOGLEFINANCE(""CURRENCY:"" &amp; Cost_in_dollars!E361 &amp; ""USD""))
"),5409517)</f>
        <v>5409517</v>
      </c>
      <c r="Q361" s="6">
        <f t="shared" ca="1" si="6"/>
        <v>-69590483</v>
      </c>
      <c r="R361" s="7" t="str">
        <f t="shared" si="7"/>
        <v>Monkeybone</v>
      </c>
      <c r="S361" s="43" t="str">
        <f t="shared" si="9"/>
        <v>Animation</v>
      </c>
    </row>
    <row r="362" spans="1:19" ht="15.75" customHeight="1" x14ac:dyDescent="0.25">
      <c r="A362" s="4" t="s">
        <v>1514</v>
      </c>
      <c r="B362" s="4">
        <v>196</v>
      </c>
      <c r="C362" s="4">
        <v>24407944</v>
      </c>
      <c r="D362" s="4" t="s">
        <v>1515</v>
      </c>
      <c r="E362" s="4" t="s">
        <v>865</v>
      </c>
      <c r="F362" s="4" t="s">
        <v>1516</v>
      </c>
      <c r="G362" s="4">
        <v>71202</v>
      </c>
      <c r="H362" s="4" t="s">
        <v>1517</v>
      </c>
      <c r="I362" s="4">
        <v>380</v>
      </c>
      <c r="J362" s="4" t="s">
        <v>23</v>
      </c>
      <c r="K362" s="4" t="s">
        <v>627</v>
      </c>
      <c r="L362" s="4">
        <v>43000000</v>
      </c>
      <c r="M362" s="4">
        <v>2005</v>
      </c>
      <c r="N362" s="4">
        <v>4.8</v>
      </c>
      <c r="O362" s="4">
        <f ca="1">IFERROR(__xludf.DUMMYFUNCTION("IF(Cost_in_dollars!E362=""USD"",Cost_in_dollars!B362,Cost_in_dollars!B362 * GOOGLEFINANCE(""CURRENCY:"" &amp; Cost_in_dollars!E362 &amp; ""USD""))
"),31106415)</f>
        <v>31106415</v>
      </c>
      <c r="P362" s="4">
        <f ca="1">IFERROR(__xludf.DUMMYFUNCTION("IF(Cost_in_dollars!E362=""USD"",Cost_in_dollars!C362,Cost_in_dollars!C362 * GOOGLEFINANCE(""CURRENCY:"" &amp; Cost_in_dollars!E362 &amp; ""USD""))
"),17656828.72932)</f>
        <v>17656828.729320001</v>
      </c>
      <c r="Q362" s="4">
        <f t="shared" ca="1" si="6"/>
        <v>-13449586.270679999</v>
      </c>
      <c r="R362" s="5" t="str">
        <f t="shared" si="7"/>
        <v>Elektra</v>
      </c>
      <c r="S362" s="43" t="str">
        <f t="shared" si="9"/>
        <v>Action</v>
      </c>
    </row>
    <row r="363" spans="1:19" ht="15.75" customHeight="1" x14ac:dyDescent="0.25">
      <c r="A363" s="6" t="s">
        <v>1518</v>
      </c>
      <c r="B363" s="6">
        <v>167</v>
      </c>
      <c r="C363" s="6">
        <v>17797316</v>
      </c>
      <c r="D363" s="6" t="s">
        <v>88</v>
      </c>
      <c r="E363" s="6" t="s">
        <v>1519</v>
      </c>
      <c r="F363" s="6" t="s">
        <v>1520</v>
      </c>
      <c r="G363" s="6">
        <v>50523</v>
      </c>
      <c r="H363" s="6" t="s">
        <v>1521</v>
      </c>
      <c r="I363" s="6">
        <v>113</v>
      </c>
      <c r="J363" s="6" t="s">
        <v>23</v>
      </c>
      <c r="K363" s="6" t="s">
        <v>24</v>
      </c>
      <c r="L363" s="6">
        <v>32000000</v>
      </c>
      <c r="M363" s="6">
        <v>2010</v>
      </c>
      <c r="N363" s="6">
        <v>6.3</v>
      </c>
      <c r="O363" s="4">
        <f ca="1">IFERROR(__xludf.DUMMYFUNCTION("IF(Cost_in_dollars!E363=""USD"",Cost_in_dollars!B363,Cost_in_dollars!B363 * GOOGLEFINANCE(""CURRENCY:"" &amp; Cost_in_dollars!E363 &amp; ""USD""))
"),32000000)</f>
        <v>32000000</v>
      </c>
      <c r="P363" s="4">
        <f ca="1">IFERROR(__xludf.DUMMYFUNCTION("IF(Cost_in_dollars!E363=""USD"",Cost_in_dollars!C363,Cost_in_dollars!C363 * GOOGLEFINANCE(""CURRENCY:"" &amp; Cost_in_dollars!E363 &amp; ""USD""))
"),17797316)</f>
        <v>17797316</v>
      </c>
      <c r="Q363" s="6">
        <f t="shared" ca="1" si="6"/>
        <v>-14202684</v>
      </c>
      <c r="R363" s="7" t="str">
        <f t="shared" si="7"/>
        <v>Going the Distance</v>
      </c>
      <c r="S363" s="43" t="str">
        <f t="shared" si="9"/>
        <v>Comedy</v>
      </c>
    </row>
    <row r="364" spans="1:19" ht="15.75" customHeight="1" x14ac:dyDescent="0.25">
      <c r="A364" s="4" t="s">
        <v>1522</v>
      </c>
      <c r="B364" s="4">
        <v>34</v>
      </c>
      <c r="C364" s="4">
        <v>22717758</v>
      </c>
      <c r="D364" s="4" t="s">
        <v>1523</v>
      </c>
      <c r="E364" s="4" t="s">
        <v>775</v>
      </c>
      <c r="F364" s="4" t="s">
        <v>1524</v>
      </c>
      <c r="G364" s="4">
        <v>11156</v>
      </c>
      <c r="H364" s="4" t="s">
        <v>1525</v>
      </c>
      <c r="I364" s="4">
        <v>67</v>
      </c>
      <c r="J364" s="4" t="s">
        <v>23</v>
      </c>
      <c r="K364" s="4" t="s">
        <v>24</v>
      </c>
      <c r="L364" s="4">
        <v>40000000</v>
      </c>
      <c r="M364" s="4">
        <v>1998</v>
      </c>
      <c r="N364" s="4">
        <v>6.2</v>
      </c>
      <c r="O364" s="4">
        <f ca="1">IFERROR(__xludf.DUMMYFUNCTION("IF(Cost_in_dollars!E364=""USD"",Cost_in_dollars!B364,Cost_in_dollars!B364 * GOOGLEFINANCE(""CURRENCY:"" &amp; Cost_in_dollars!E364 &amp; ""USD""))
"),40000000)</f>
        <v>40000000</v>
      </c>
      <c r="P364" s="4">
        <f ca="1">IFERROR(__xludf.DUMMYFUNCTION("IF(Cost_in_dollars!E364=""USD"",Cost_in_dollars!C364,Cost_in_dollars!C364 * GOOGLEFINANCE(""CURRENCY:"" &amp; Cost_in_dollars!E364 &amp; ""USD""))
"),22717758)</f>
        <v>22717758</v>
      </c>
      <c r="Q364" s="4">
        <f t="shared" ca="1" si="6"/>
        <v>-17282242</v>
      </c>
      <c r="R364" s="5" t="str">
        <f t="shared" si="7"/>
        <v>The Magic Sword: Quest for Camelot</v>
      </c>
      <c r="S364" s="43" t="str">
        <f t="shared" si="9"/>
        <v>Adventure</v>
      </c>
    </row>
    <row r="365" spans="1:19" ht="15.75" customHeight="1" x14ac:dyDescent="0.25">
      <c r="A365" s="6" t="s">
        <v>1498</v>
      </c>
      <c r="B365" s="6">
        <v>276</v>
      </c>
      <c r="C365" s="6">
        <v>115802596</v>
      </c>
      <c r="D365" s="6" t="s">
        <v>202</v>
      </c>
      <c r="E365" s="6" t="s">
        <v>461</v>
      </c>
      <c r="F365" s="6" t="s">
        <v>1526</v>
      </c>
      <c r="G365" s="6">
        <v>182661</v>
      </c>
      <c r="H365" s="6" t="s">
        <v>1527</v>
      </c>
      <c r="I365" s="6">
        <v>681</v>
      </c>
      <c r="J365" s="6" t="s">
        <v>23</v>
      </c>
      <c r="K365" s="6" t="s">
        <v>24</v>
      </c>
      <c r="L365" s="6">
        <v>110000000</v>
      </c>
      <c r="M365" s="6">
        <v>2007</v>
      </c>
      <c r="N365" s="6">
        <v>5.2</v>
      </c>
      <c r="O365" s="4">
        <f ca="1">IFERROR(__xludf.DUMMYFUNCTION("IF(Cost_in_dollars!E365=""USD"",Cost_in_dollars!B365,Cost_in_dollars!B365 * GOOGLEFINANCE(""CURRENCY:"" &amp; Cost_in_dollars!E365 &amp; ""USD""))
"),110000000)</f>
        <v>110000000</v>
      </c>
      <c r="P365" s="4">
        <f ca="1">IFERROR(__xludf.DUMMYFUNCTION("IF(Cost_in_dollars!E365=""USD"",Cost_in_dollars!C365,Cost_in_dollars!C365 * GOOGLEFINANCE(""CURRENCY:"" &amp; Cost_in_dollars!E365 &amp; ""USD""))
"),115802596)</f>
        <v>115802596</v>
      </c>
      <c r="Q365" s="6">
        <f t="shared" ca="1" si="6"/>
        <v>5802596</v>
      </c>
      <c r="R365" s="7" t="str">
        <f t="shared" si="7"/>
        <v>Ghost Rider</v>
      </c>
      <c r="S365" s="43" t="str">
        <f t="shared" si="9"/>
        <v>Action</v>
      </c>
    </row>
    <row r="366" spans="1:19" ht="15.75" customHeight="1" x14ac:dyDescent="0.25">
      <c r="A366" s="4" t="s">
        <v>1528</v>
      </c>
      <c r="B366" s="4">
        <v>226</v>
      </c>
      <c r="C366" s="4">
        <v>51676606</v>
      </c>
      <c r="D366" s="4" t="s">
        <v>1529</v>
      </c>
      <c r="E366" s="4" t="s">
        <v>84</v>
      </c>
      <c r="F366" s="4" t="s">
        <v>1530</v>
      </c>
      <c r="G366" s="4">
        <v>174591</v>
      </c>
      <c r="H366" s="4" t="s">
        <v>1531</v>
      </c>
      <c r="I366" s="4">
        <v>632</v>
      </c>
      <c r="J366" s="4" t="s">
        <v>23</v>
      </c>
      <c r="K366" s="4" t="s">
        <v>24</v>
      </c>
      <c r="L366" s="4">
        <v>25000000</v>
      </c>
      <c r="M366" s="4">
        <v>2004</v>
      </c>
      <c r="N366" s="4">
        <v>7.8</v>
      </c>
      <c r="O366" s="4">
        <f ca="1">IFERROR(__xludf.DUMMYFUNCTION("IF(Cost_in_dollars!E366=""USD"",Cost_in_dollars!B366,Cost_in_dollars!B366 * GOOGLEFINANCE(""CURRENCY:"" &amp; Cost_in_dollars!E366 &amp; ""USD""))
"),25000000)</f>
        <v>25000000</v>
      </c>
      <c r="P366" s="4">
        <f ca="1">IFERROR(__xludf.DUMMYFUNCTION("IF(Cost_in_dollars!E366=""USD"",Cost_in_dollars!C366,Cost_in_dollars!C366 * GOOGLEFINANCE(""CURRENCY:"" &amp; Cost_in_dollars!E366 &amp; ""USD""))
"),51676606)</f>
        <v>51676606</v>
      </c>
      <c r="Q366" s="4">
        <f t="shared" ca="1" si="6"/>
        <v>26676606</v>
      </c>
      <c r="R366" s="5" t="str">
        <f t="shared" si="7"/>
        <v>Finding Neverland</v>
      </c>
      <c r="S366" s="43" t="str">
        <f t="shared" si="9"/>
        <v>Biography</v>
      </c>
    </row>
    <row r="367" spans="1:19" ht="15.75" customHeight="1" x14ac:dyDescent="0.25">
      <c r="A367" s="6" t="s">
        <v>1532</v>
      </c>
      <c r="B367" s="6">
        <v>100</v>
      </c>
      <c r="C367" s="6">
        <v>173066</v>
      </c>
      <c r="D367" s="6" t="s">
        <v>618</v>
      </c>
      <c r="E367" s="6" t="s">
        <v>1533</v>
      </c>
      <c r="F367" s="6" t="s">
        <v>1534</v>
      </c>
      <c r="G367" s="6">
        <v>21379</v>
      </c>
      <c r="H367" s="6" t="s">
        <v>1535</v>
      </c>
      <c r="I367" s="6">
        <v>88</v>
      </c>
      <c r="J367" s="6" t="s">
        <v>23</v>
      </c>
      <c r="K367" s="6" t="s">
        <v>24</v>
      </c>
      <c r="L367" s="6">
        <v>1500000</v>
      </c>
      <c r="M367" s="6">
        <v>2007</v>
      </c>
      <c r="N367" s="6">
        <v>6.3</v>
      </c>
      <c r="O367" s="4">
        <f ca="1">IFERROR(__xludf.DUMMYFUNCTION("IF(Cost_in_dollars!E367=""USD"",Cost_in_dollars!B367,Cost_in_dollars!B367 * GOOGLEFINANCE(""CURRENCY:"" &amp; Cost_in_dollars!E367 &amp; ""USD""))
"),1500000)</f>
        <v>1500000</v>
      </c>
      <c r="P367" s="4">
        <f ca="1">IFERROR(__xludf.DUMMYFUNCTION("IF(Cost_in_dollars!E367=""USD"",Cost_in_dollars!C367,Cost_in_dollars!C367 * GOOGLEFINANCE(""CURRENCY:"" &amp; Cost_in_dollars!E367 &amp; ""USD""))
"),173066)</f>
        <v>173066</v>
      </c>
      <c r="Q367" s="6">
        <f t="shared" ca="1" si="6"/>
        <v>-1326934</v>
      </c>
      <c r="R367" s="7" t="str">
        <f t="shared" si="7"/>
        <v>My Name Is Bruce</v>
      </c>
      <c r="S367" s="43" t="str">
        <f t="shared" si="9"/>
        <v>Comedy</v>
      </c>
    </row>
    <row r="368" spans="1:19" ht="15.75" customHeight="1" x14ac:dyDescent="0.25">
      <c r="A368" s="4" t="s">
        <v>1536</v>
      </c>
      <c r="B368" s="4">
        <v>4</v>
      </c>
      <c r="C368" s="4">
        <v>3330</v>
      </c>
      <c r="D368" s="4" t="s">
        <v>53</v>
      </c>
      <c r="E368" s="4" t="s">
        <v>1537</v>
      </c>
      <c r="F368" s="4" t="s">
        <v>1538</v>
      </c>
      <c r="G368" s="4">
        <v>22</v>
      </c>
      <c r="H368" s="4" t="s">
        <v>109</v>
      </c>
      <c r="I368" s="4">
        <v>1</v>
      </c>
      <c r="J368" s="4" t="s">
        <v>23</v>
      </c>
      <c r="K368" s="4" t="s">
        <v>24</v>
      </c>
      <c r="L368" s="4">
        <v>2100000</v>
      </c>
      <c r="M368" s="4">
        <v>2015</v>
      </c>
      <c r="N368" s="4">
        <v>7.2</v>
      </c>
      <c r="O368" s="4">
        <f ca="1">IFERROR(__xludf.DUMMYFUNCTION("IF(Cost_in_dollars!E368=""USD"",Cost_in_dollars!B368,Cost_in_dollars!B368 * GOOGLEFINANCE(""CURRENCY:"" &amp; Cost_in_dollars!E368 &amp; ""USD""))
"),2100000)</f>
        <v>2100000</v>
      </c>
      <c r="P368" s="4">
        <f ca="1">IFERROR(__xludf.DUMMYFUNCTION("IF(Cost_in_dollars!E368=""USD"",Cost_in_dollars!C368,Cost_in_dollars!C368 * GOOGLEFINANCE(""CURRENCY:"" &amp; Cost_in_dollars!E368 &amp; ""USD""))
"),3330)</f>
        <v>3330</v>
      </c>
      <c r="Q368" s="4">
        <f t="shared" ca="1" si="6"/>
        <v>-2096670</v>
      </c>
      <c r="R368" s="5" t="str">
        <f t="shared" si="7"/>
        <v>Mi America</v>
      </c>
      <c r="S368" s="43" t="str">
        <f t="shared" si="9"/>
        <v>Crime</v>
      </c>
    </row>
    <row r="369" spans="1:19" ht="15.75" customHeight="1" x14ac:dyDescent="0.25">
      <c r="A369" s="6" t="s">
        <v>1539</v>
      </c>
      <c r="B369" s="6">
        <v>239</v>
      </c>
      <c r="C369" s="6">
        <v>21129348</v>
      </c>
      <c r="D369" s="6" t="s">
        <v>813</v>
      </c>
      <c r="E369" s="6" t="s">
        <v>381</v>
      </c>
      <c r="F369" s="6" t="s">
        <v>1540</v>
      </c>
      <c r="G369" s="6">
        <v>146364</v>
      </c>
      <c r="H369" s="6" t="s">
        <v>1541</v>
      </c>
      <c r="I369" s="6">
        <v>237</v>
      </c>
      <c r="J369" s="6" t="s">
        <v>23</v>
      </c>
      <c r="K369" s="6" t="s">
        <v>24</v>
      </c>
      <c r="L369" s="6">
        <v>35000000</v>
      </c>
      <c r="M369" s="6">
        <v>2010</v>
      </c>
      <c r="N369" s="6">
        <v>7.4</v>
      </c>
      <c r="O369" s="4">
        <f ca="1">IFERROR(__xludf.DUMMYFUNCTION("IF(Cost_in_dollars!E369=""USD"",Cost_in_dollars!B369,Cost_in_dollars!B369 * GOOGLEFINANCE(""CURRENCY:"" &amp; Cost_in_dollars!E369 &amp; ""USD""))
"),35000000)</f>
        <v>35000000</v>
      </c>
      <c r="P369" s="4">
        <f ca="1">IFERROR(__xludf.DUMMYFUNCTION("IF(Cost_in_dollars!E369=""USD"",Cost_in_dollars!C369,Cost_in_dollars!C369 * GOOGLEFINANCE(""CURRENCY:"" &amp; Cost_in_dollars!E369 &amp; ""USD""))
"),21129348)</f>
        <v>21129348</v>
      </c>
      <c r="Q369" s="6">
        <f t="shared" ca="1" si="6"/>
        <v>-13870652</v>
      </c>
      <c r="R369" s="7" t="str">
        <f t="shared" si="7"/>
        <v>The Next Three Days</v>
      </c>
      <c r="S369" s="43" t="str">
        <f t="shared" si="9"/>
        <v>Crime</v>
      </c>
    </row>
    <row r="370" spans="1:19" ht="15.75" customHeight="1" x14ac:dyDescent="0.25">
      <c r="A370" s="4" t="s">
        <v>1542</v>
      </c>
      <c r="B370" s="4">
        <v>271</v>
      </c>
      <c r="C370" s="4">
        <v>305388685</v>
      </c>
      <c r="D370" s="4" t="s">
        <v>281</v>
      </c>
      <c r="E370" s="4" t="s">
        <v>84</v>
      </c>
      <c r="F370" s="4" t="s">
        <v>1543</v>
      </c>
      <c r="G370" s="4">
        <v>809474</v>
      </c>
      <c r="H370" s="4" t="s">
        <v>1544</v>
      </c>
      <c r="I370" s="4">
        <v>2113</v>
      </c>
      <c r="J370" s="4" t="s">
        <v>23</v>
      </c>
      <c r="K370" s="4" t="s">
        <v>24</v>
      </c>
      <c r="L370" s="4">
        <v>140000000</v>
      </c>
      <c r="M370" s="4">
        <v>2003</v>
      </c>
      <c r="N370" s="4">
        <v>8.1</v>
      </c>
      <c r="O370" s="4">
        <f ca="1">IFERROR(__xludf.DUMMYFUNCTION("IF(Cost_in_dollars!E370=""USD"",Cost_in_dollars!B370,Cost_in_dollars!B370 * GOOGLEFINANCE(""CURRENCY:"" &amp; Cost_in_dollars!E370 &amp; ""USD""))
"),140000000)</f>
        <v>140000000</v>
      </c>
      <c r="P370" s="4">
        <f ca="1">IFERROR(__xludf.DUMMYFUNCTION("IF(Cost_in_dollars!E370=""USD"",Cost_in_dollars!C370,Cost_in_dollars!C370 * GOOGLEFINANCE(""CURRENCY:"" &amp; Cost_in_dollars!E370 &amp; ""USD""))
"),305388685)</f>
        <v>305388685</v>
      </c>
      <c r="Q370" s="4">
        <f t="shared" ca="1" si="6"/>
        <v>165388685</v>
      </c>
      <c r="R370" s="5" t="str">
        <f t="shared" si="7"/>
        <v>Pirates of the Caribbean: The Curse of the Black Pearl</v>
      </c>
      <c r="S370" s="43" t="str">
        <f t="shared" si="9"/>
        <v>Action</v>
      </c>
    </row>
    <row r="371" spans="1:19" ht="15.75" customHeight="1" x14ac:dyDescent="0.25">
      <c r="A371" s="6" t="s">
        <v>1545</v>
      </c>
      <c r="B371" s="6">
        <v>150</v>
      </c>
      <c r="C371" s="6">
        <v>439162</v>
      </c>
      <c r="D371" s="6" t="s">
        <v>1546</v>
      </c>
      <c r="E371" s="6" t="s">
        <v>1547</v>
      </c>
      <c r="F371" s="6" t="s">
        <v>1548</v>
      </c>
      <c r="G371" s="6">
        <v>106160</v>
      </c>
      <c r="H371" s="6" t="s">
        <v>1549</v>
      </c>
      <c r="I371" s="6">
        <v>430</v>
      </c>
      <c r="J371" s="6" t="s">
        <v>1550</v>
      </c>
      <c r="K371" s="6" t="s">
        <v>1551</v>
      </c>
      <c r="L371" s="6">
        <v>1100000000</v>
      </c>
      <c r="M371" s="6">
        <v>1988</v>
      </c>
      <c r="N371" s="6">
        <v>8.1</v>
      </c>
      <c r="O371" s="4">
        <f ca="1">IFERROR(__xludf.DUMMYFUNCTION("IF(Cost_in_dollars!E371=""USD"",Cost_in_dollars!B371,Cost_in_dollars!B371 * GOOGLEFINANCE(""CURRENCY:"" &amp; Cost_in_dollars!E371 &amp; ""USD""))
"),7146260)</f>
        <v>7146260</v>
      </c>
      <c r="P371" s="4">
        <f ca="1">IFERROR(__xludf.DUMMYFUNCTION("IF(Cost_in_dollars!E371=""USD"",Cost_in_dollars!C371,Cost_in_dollars!C371 * GOOGLEFINANCE(""CURRENCY:"" &amp; Cost_in_dollars!E371 &amp; ""USD""))
"),2853.0598492)</f>
        <v>2853.0598491999999</v>
      </c>
      <c r="Q371" s="6">
        <f t="shared" ca="1" si="6"/>
        <v>-7143406.9401508002</v>
      </c>
      <c r="R371" s="7" t="str">
        <f t="shared" si="7"/>
        <v>Akira</v>
      </c>
      <c r="S371" s="43" t="str">
        <f t="shared" si="9"/>
        <v>Action</v>
      </c>
    </row>
    <row r="372" spans="1:19" ht="15.75" customHeight="1" x14ac:dyDescent="0.25">
      <c r="A372" s="4" t="s">
        <v>1552</v>
      </c>
      <c r="B372" s="4">
        <v>369</v>
      </c>
      <c r="C372" s="4">
        <v>56114221</v>
      </c>
      <c r="D372" s="4" t="s">
        <v>188</v>
      </c>
      <c r="E372" s="4" t="s">
        <v>1553</v>
      </c>
      <c r="F372" s="4" t="s">
        <v>1554</v>
      </c>
      <c r="G372" s="4">
        <v>110486</v>
      </c>
      <c r="H372" s="4" t="s">
        <v>1555</v>
      </c>
      <c r="I372" s="4">
        <v>695</v>
      </c>
      <c r="J372" s="4" t="s">
        <v>23</v>
      </c>
      <c r="K372" s="4" t="s">
        <v>24</v>
      </c>
      <c r="L372" s="4">
        <v>120000000</v>
      </c>
      <c r="M372" s="4">
        <v>2015</v>
      </c>
      <c r="N372" s="4">
        <v>4.3</v>
      </c>
      <c r="O372" s="4">
        <f ca="1">IFERROR(__xludf.DUMMYFUNCTION("IF(Cost_in_dollars!E372=""USD"",Cost_in_dollars!B372,Cost_in_dollars!B372 * GOOGLEFINANCE(""CURRENCY:"" &amp; Cost_in_dollars!E372 &amp; ""USD""))
"),120000000)</f>
        <v>120000000</v>
      </c>
      <c r="P372" s="4">
        <f ca="1">IFERROR(__xludf.DUMMYFUNCTION("IF(Cost_in_dollars!E372=""USD"",Cost_in_dollars!C372,Cost_in_dollars!C372 * GOOGLEFINANCE(""CURRENCY:"" &amp; Cost_in_dollars!E372 &amp; ""USD""))
"),56114221)</f>
        <v>56114221</v>
      </c>
      <c r="Q372" s="4">
        <f t="shared" ca="1" si="6"/>
        <v>-63885779</v>
      </c>
      <c r="R372" s="5" t="str">
        <f t="shared" si="7"/>
        <v>Fantastic Four</v>
      </c>
      <c r="S372" s="43" t="str">
        <f t="shared" si="9"/>
        <v>Action</v>
      </c>
    </row>
    <row r="373" spans="1:19" ht="15.75" customHeight="1" x14ac:dyDescent="0.25">
      <c r="A373" s="6" t="s">
        <v>166</v>
      </c>
      <c r="B373" s="6">
        <v>110</v>
      </c>
      <c r="C373" s="6">
        <v>26183197</v>
      </c>
      <c r="D373" s="6" t="s">
        <v>504</v>
      </c>
      <c r="E373" s="6" t="s">
        <v>920</v>
      </c>
      <c r="F373" s="6" t="s">
        <v>1556</v>
      </c>
      <c r="G373" s="6">
        <v>38348</v>
      </c>
      <c r="H373" s="6" t="s">
        <v>1557</v>
      </c>
      <c r="I373" s="6">
        <v>135</v>
      </c>
      <c r="J373" s="6" t="s">
        <v>23</v>
      </c>
      <c r="K373" s="6" t="s">
        <v>24</v>
      </c>
      <c r="L373" s="6">
        <v>36000000</v>
      </c>
      <c r="M373" s="6">
        <v>2003</v>
      </c>
      <c r="N373" s="6">
        <v>6.1</v>
      </c>
      <c r="O373" s="4">
        <f ca="1">IFERROR(__xludf.DUMMYFUNCTION("IF(Cost_in_dollars!E373=""USD"",Cost_in_dollars!B373,Cost_in_dollars!B373 * GOOGLEFINANCE(""CURRENCY:"" &amp; Cost_in_dollars!E373 &amp; ""USD""))
"),36000000)</f>
        <v>36000000</v>
      </c>
      <c r="P373" s="4">
        <f ca="1">IFERROR(__xludf.DUMMYFUNCTION("IF(Cost_in_dollars!E373=""USD"",Cost_in_dollars!C373,Cost_in_dollars!C373 * GOOGLEFINANCE(""CURRENCY:"" &amp; Cost_in_dollars!E373 &amp; ""USD""))
"),26183197)</f>
        <v>26183197</v>
      </c>
      <c r="Q373" s="6">
        <f t="shared" ca="1" si="6"/>
        <v>-9816803</v>
      </c>
      <c r="R373" s="7" t="str">
        <f t="shared" si="7"/>
        <v>A Man Apart</v>
      </c>
      <c r="S373" s="43" t="str">
        <f t="shared" si="9"/>
        <v>Action</v>
      </c>
    </row>
    <row r="374" spans="1:19" ht="15.75" customHeight="1" x14ac:dyDescent="0.25">
      <c r="A374" s="4" t="s">
        <v>429</v>
      </c>
      <c r="B374" s="4">
        <v>400</v>
      </c>
      <c r="C374" s="4">
        <v>167007184</v>
      </c>
      <c r="D374" s="4" t="s">
        <v>477</v>
      </c>
      <c r="E374" s="4" t="s">
        <v>1558</v>
      </c>
      <c r="F374" s="4" t="s">
        <v>1559</v>
      </c>
      <c r="G374" s="4">
        <v>470483</v>
      </c>
      <c r="H374" s="4" t="s">
        <v>1560</v>
      </c>
      <c r="I374" s="4">
        <v>2301</v>
      </c>
      <c r="J374" s="4" t="s">
        <v>23</v>
      </c>
      <c r="K374" s="4" t="s">
        <v>133</v>
      </c>
      <c r="L374" s="4">
        <v>150000000</v>
      </c>
      <c r="M374" s="4">
        <v>2006</v>
      </c>
      <c r="N374" s="4">
        <v>8</v>
      </c>
      <c r="O374" s="4">
        <f ca="1">IFERROR(__xludf.DUMMYFUNCTION("IF(Cost_in_dollars!E374=""USD"",Cost_in_dollars!B374,Cost_in_dollars!B374 * GOOGLEFINANCE(""CURRENCY:"" &amp; Cost_in_dollars!E374 &amp; ""USD""))
"),192809999.999999)</f>
        <v>192809999.99999899</v>
      </c>
      <c r="P374" s="4">
        <f ca="1">IFERROR(__xludf.DUMMYFUNCTION("IF(Cost_in_dollars!E374=""USD"",Cost_in_dollars!C374,Cost_in_dollars!C374 * GOOGLEFINANCE(""CURRENCY:"" &amp; Cost_in_dollars!E374 &amp; ""USD""))
"),214671034.313599)</f>
        <v>214671034.31359899</v>
      </c>
      <c r="Q374" s="4">
        <f t="shared" ca="1" si="6"/>
        <v>21861034.313600004</v>
      </c>
      <c r="R374" s="5" t="str">
        <f t="shared" si="7"/>
        <v>Casino Royale</v>
      </c>
      <c r="S374" s="43" t="str">
        <f t="shared" si="9"/>
        <v>Action</v>
      </c>
    </row>
    <row r="375" spans="1:19" ht="15.75" customHeight="1" x14ac:dyDescent="0.25">
      <c r="A375" s="6" t="s">
        <v>1561</v>
      </c>
      <c r="B375" s="6">
        <v>84</v>
      </c>
      <c r="C375" s="6">
        <v>47474112</v>
      </c>
      <c r="D375" s="6" t="s">
        <v>1562</v>
      </c>
      <c r="E375" s="6" t="s">
        <v>593</v>
      </c>
      <c r="F375" s="6" t="s">
        <v>1563</v>
      </c>
      <c r="G375" s="6">
        <v>58227</v>
      </c>
      <c r="H375" s="6" t="s">
        <v>1564</v>
      </c>
      <c r="I375" s="6">
        <v>181</v>
      </c>
      <c r="J375" s="6" t="s">
        <v>23</v>
      </c>
      <c r="K375" s="6" t="s">
        <v>24</v>
      </c>
      <c r="L375" s="6">
        <v>90000000</v>
      </c>
      <c r="M375" s="6">
        <v>1997</v>
      </c>
      <c r="N375" s="6">
        <v>5.4</v>
      </c>
      <c r="O375" s="4">
        <f ca="1">IFERROR(__xludf.DUMMYFUNCTION("IF(Cost_in_dollars!E375=""USD"",Cost_in_dollars!B375,Cost_in_dollars!B375 * GOOGLEFINANCE(""CURRENCY:"" &amp; Cost_in_dollars!E375 &amp; ""USD""))
"),90000000)</f>
        <v>90000000</v>
      </c>
      <c r="P375" s="4">
        <f ca="1">IFERROR(__xludf.DUMMYFUNCTION("IF(Cost_in_dollars!E375=""USD"",Cost_in_dollars!C375,Cost_in_dollars!C375 * GOOGLEFINANCE(""CURRENCY:"" &amp; Cost_in_dollars!E375 &amp; ""USD""))
"),47474112)</f>
        <v>47474112</v>
      </c>
      <c r="Q375" s="6">
        <f t="shared" ca="1" si="6"/>
        <v>-42525888</v>
      </c>
      <c r="R375" s="7" t="str">
        <f t="shared" si="7"/>
        <v>Volcano</v>
      </c>
      <c r="S375" s="43" t="str">
        <f t="shared" si="9"/>
        <v>Action</v>
      </c>
    </row>
    <row r="376" spans="1:19" ht="15.75" customHeight="1" x14ac:dyDescent="0.25">
      <c r="A376" s="4" t="s">
        <v>1565</v>
      </c>
      <c r="B376" s="4">
        <v>69</v>
      </c>
      <c r="C376" s="4">
        <v>1689999</v>
      </c>
      <c r="D376" s="4" t="s">
        <v>102</v>
      </c>
      <c r="E376" s="4" t="s">
        <v>1566</v>
      </c>
      <c r="F376" s="4" t="s">
        <v>1567</v>
      </c>
      <c r="G376" s="4">
        <v>3675</v>
      </c>
      <c r="H376" s="4" t="s">
        <v>1568</v>
      </c>
      <c r="I376" s="4">
        <v>48</v>
      </c>
      <c r="J376" s="4" t="s">
        <v>1569</v>
      </c>
      <c r="K376" s="4" t="s">
        <v>24</v>
      </c>
      <c r="L376" s="4">
        <v>400000</v>
      </c>
      <c r="M376" s="4">
        <v>2006</v>
      </c>
      <c r="N376" s="4">
        <v>7.1</v>
      </c>
      <c r="O376" s="4">
        <f ca="1">IFERROR(__xludf.DUMMYFUNCTION("IF(Cost_in_dollars!E376=""USD"",Cost_in_dollars!B376,Cost_in_dollars!B376 * GOOGLEFINANCE(""CURRENCY:"" &amp; Cost_in_dollars!E376 &amp; ""USD""))
"),400000)</f>
        <v>400000</v>
      </c>
      <c r="P376" s="4">
        <f ca="1">IFERROR(__xludf.DUMMYFUNCTION("IF(Cost_in_dollars!E376=""USD"",Cost_in_dollars!C376,Cost_in_dollars!C376 * GOOGLEFINANCE(""CURRENCY:"" &amp; Cost_in_dollars!E376 &amp; ""USD""))
"),1689999)</f>
        <v>1689999</v>
      </c>
      <c r="Q376" s="4">
        <f t="shared" ca="1" si="6"/>
        <v>1289999</v>
      </c>
      <c r="R376" s="5" t="str">
        <f t="shared" si="7"/>
        <v>QuinceaÃ±era</v>
      </c>
      <c r="S376" s="43" t="str">
        <f t="shared" si="9"/>
        <v>Drama</v>
      </c>
    </row>
    <row r="377" spans="1:19" ht="15.75" customHeight="1" x14ac:dyDescent="0.25">
      <c r="A377" s="6" t="s">
        <v>1570</v>
      </c>
      <c r="B377" s="6">
        <v>109</v>
      </c>
      <c r="C377" s="6">
        <v>34604054</v>
      </c>
      <c r="D377" s="6" t="s">
        <v>504</v>
      </c>
      <c r="E377" s="6" t="s">
        <v>1571</v>
      </c>
      <c r="F377" s="6" t="s">
        <v>1572</v>
      </c>
      <c r="G377" s="6">
        <v>34942</v>
      </c>
      <c r="H377" s="6" t="s">
        <v>1573</v>
      </c>
      <c r="I377" s="6">
        <v>185</v>
      </c>
      <c r="J377" s="6" t="s">
        <v>23</v>
      </c>
      <c r="K377" s="6" t="s">
        <v>24</v>
      </c>
      <c r="L377" s="6">
        <v>30000000</v>
      </c>
      <c r="M377" s="6">
        <v>2003</v>
      </c>
      <c r="N377" s="6">
        <v>5.8</v>
      </c>
      <c r="O377" s="4">
        <f ca="1">IFERROR(__xludf.DUMMYFUNCTION("IF(Cost_in_dollars!E377=""USD"",Cost_in_dollars!B377,Cost_in_dollars!B377 * GOOGLEFINANCE(""CURRENCY:"" &amp; Cost_in_dollars!E377 &amp; ""USD""))
"),30000000)</f>
        <v>30000000</v>
      </c>
      <c r="P377" s="4">
        <f ca="1">IFERROR(__xludf.DUMMYFUNCTION("IF(Cost_in_dollars!E377=""USD"",Cost_in_dollars!C377,Cost_in_dollars!C377 * GOOGLEFINANCE(""CURRENCY:"" &amp; Cost_in_dollars!E377 &amp; ""USD""))
"),34604054)</f>
        <v>34604054</v>
      </c>
      <c r="Q377" s="6">
        <f t="shared" ca="1" si="6"/>
        <v>4604054</v>
      </c>
      <c r="R377" s="7" t="str">
        <f t="shared" si="7"/>
        <v>Cradle 2 the Grave</v>
      </c>
      <c r="S377" s="43" t="str">
        <f t="shared" si="9"/>
        <v>Action</v>
      </c>
    </row>
    <row r="378" spans="1:19" ht="15.75" customHeight="1" x14ac:dyDescent="0.25">
      <c r="A378" s="4" t="s">
        <v>1574</v>
      </c>
      <c r="B378" s="4">
        <v>102</v>
      </c>
      <c r="C378" s="4">
        <v>100685880</v>
      </c>
      <c r="D378" s="4" t="s">
        <v>1343</v>
      </c>
      <c r="E378" s="4" t="s">
        <v>1575</v>
      </c>
      <c r="F378" s="4" t="s">
        <v>1576</v>
      </c>
      <c r="G378" s="4">
        <v>100821</v>
      </c>
      <c r="H378" s="4" t="s">
        <v>1577</v>
      </c>
      <c r="I378" s="4">
        <v>554</v>
      </c>
      <c r="J378" s="4" t="s">
        <v>23</v>
      </c>
      <c r="K378" s="4" t="s">
        <v>24</v>
      </c>
      <c r="L378" s="4">
        <v>120000000</v>
      </c>
      <c r="M378" s="4">
        <v>2003</v>
      </c>
      <c r="N378" s="4">
        <v>4.8</v>
      </c>
      <c r="O378" s="4">
        <f ca="1">IFERROR(__xludf.DUMMYFUNCTION("IF(Cost_in_dollars!E378=""USD"",Cost_in_dollars!B378,Cost_in_dollars!B378 * GOOGLEFINANCE(""CURRENCY:"" &amp; Cost_in_dollars!E378 &amp; ""USD""))
"),120000000)</f>
        <v>120000000</v>
      </c>
      <c r="P378" s="4">
        <f ca="1">IFERROR(__xludf.DUMMYFUNCTION("IF(Cost_in_dollars!E378=""USD"",Cost_in_dollars!C378,Cost_in_dollars!C378 * GOOGLEFINANCE(""CURRENCY:"" &amp; Cost_in_dollars!E378 &amp; ""USD""))
"),100685880)</f>
        <v>100685880</v>
      </c>
      <c r="Q378" s="4">
        <f t="shared" ca="1" si="6"/>
        <v>-19314120</v>
      </c>
      <c r="R378" s="5" t="str">
        <f t="shared" si="7"/>
        <v>Charlie's Angels: Full Throttle</v>
      </c>
      <c r="S378" s="43" t="str">
        <f t="shared" si="9"/>
        <v>Action</v>
      </c>
    </row>
    <row r="379" spans="1:19" ht="15.75" customHeight="1" x14ac:dyDescent="0.25">
      <c r="A379" s="6" t="s">
        <v>1578</v>
      </c>
      <c r="B379" s="6">
        <v>178</v>
      </c>
      <c r="C379" s="6">
        <v>42638165</v>
      </c>
      <c r="D379" s="6" t="s">
        <v>1579</v>
      </c>
      <c r="E379" s="6" t="s">
        <v>775</v>
      </c>
      <c r="F379" s="6" t="s">
        <v>1580</v>
      </c>
      <c r="G379" s="6">
        <v>42182</v>
      </c>
      <c r="H379" s="6" t="s">
        <v>1581</v>
      </c>
      <c r="I379" s="6">
        <v>230</v>
      </c>
      <c r="J379" s="6" t="s">
        <v>23</v>
      </c>
      <c r="K379" s="6" t="s">
        <v>24</v>
      </c>
      <c r="L379" s="6">
        <v>16000000</v>
      </c>
      <c r="M379" s="6">
        <v>2009</v>
      </c>
      <c r="N379" s="6">
        <v>4.8</v>
      </c>
      <c r="O379" s="4">
        <f ca="1">IFERROR(__xludf.DUMMYFUNCTION("IF(Cost_in_dollars!E379=""USD"",Cost_in_dollars!B379,Cost_in_dollars!B379 * GOOGLEFINANCE(""CURRENCY:"" &amp; Cost_in_dollars!E379 &amp; ""USD""))
"),16000000)</f>
        <v>16000000</v>
      </c>
      <c r="P379" s="4">
        <f ca="1">IFERROR(__xludf.DUMMYFUNCTION("IF(Cost_in_dollars!E379=""USD"",Cost_in_dollars!C379,Cost_in_dollars!C379 * GOOGLEFINANCE(""CURRENCY:"" &amp; Cost_in_dollars!E379 &amp; ""USD""))
"),42638165)</f>
        <v>42638165</v>
      </c>
      <c r="Q379" s="6">
        <f t="shared" ca="1" si="6"/>
        <v>26638165</v>
      </c>
      <c r="R379" s="7" t="str">
        <f t="shared" si="7"/>
        <v>The Unborn</v>
      </c>
      <c r="S379" s="43" t="str">
        <f t="shared" si="9"/>
        <v>Drama</v>
      </c>
    </row>
    <row r="380" spans="1:19" ht="15.75" customHeight="1" x14ac:dyDescent="0.25">
      <c r="A380" s="4" t="s">
        <v>638</v>
      </c>
      <c r="B380" s="4">
        <v>171</v>
      </c>
      <c r="C380" s="4">
        <v>128300000</v>
      </c>
      <c r="D380" s="4" t="s">
        <v>885</v>
      </c>
      <c r="E380" s="4" t="s">
        <v>1582</v>
      </c>
      <c r="F380" s="4" t="s">
        <v>1583</v>
      </c>
      <c r="G380" s="4">
        <v>139288</v>
      </c>
      <c r="H380" s="4" t="s">
        <v>1584</v>
      </c>
      <c r="I380" s="4">
        <v>339</v>
      </c>
      <c r="J380" s="4" t="s">
        <v>23</v>
      </c>
      <c r="K380" s="4" t="s">
        <v>24</v>
      </c>
      <c r="L380" s="4">
        <v>19400870</v>
      </c>
      <c r="M380" s="4">
        <v>1977</v>
      </c>
      <c r="N380" s="4">
        <v>7.7</v>
      </c>
      <c r="O380" s="4">
        <f ca="1">IFERROR(__xludf.DUMMYFUNCTION("IF(Cost_in_dollars!E380=""USD"",Cost_in_dollars!B380,Cost_in_dollars!B380 * GOOGLEFINANCE(""CURRENCY:"" &amp; Cost_in_dollars!E380 &amp; ""USD""))
"),19400870)</f>
        <v>19400870</v>
      </c>
      <c r="P380" s="4">
        <f ca="1">IFERROR(__xludf.DUMMYFUNCTION("IF(Cost_in_dollars!E380=""USD"",Cost_in_dollars!C380,Cost_in_dollars!C380 * GOOGLEFINANCE(""CURRENCY:"" &amp; Cost_in_dollars!E380 &amp; ""USD""))
"),128300000)</f>
        <v>128300000</v>
      </c>
      <c r="Q380" s="4">
        <f t="shared" ca="1" si="6"/>
        <v>108899130</v>
      </c>
      <c r="R380" s="5" t="str">
        <f t="shared" si="7"/>
        <v>Close Encounters of the Third Kind</v>
      </c>
      <c r="S380" s="43" t="str">
        <f t="shared" si="9"/>
        <v>Drama</v>
      </c>
    </row>
    <row r="381" spans="1:19" ht="15.75" customHeight="1" x14ac:dyDescent="0.25">
      <c r="A381" s="6" t="s">
        <v>1585</v>
      </c>
      <c r="B381" s="6">
        <v>181</v>
      </c>
      <c r="C381" s="6">
        <v>7267324</v>
      </c>
      <c r="D381" s="6" t="s">
        <v>53</v>
      </c>
      <c r="E381" s="6" t="s">
        <v>1586</v>
      </c>
      <c r="F381" s="6" t="s">
        <v>1587</v>
      </c>
      <c r="G381" s="6">
        <v>161471</v>
      </c>
      <c r="H381" s="6" t="s">
        <v>1588</v>
      </c>
      <c r="I381" s="6">
        <v>709</v>
      </c>
      <c r="J381" s="6" t="s">
        <v>1045</v>
      </c>
      <c r="K381" s="6" t="s">
        <v>176</v>
      </c>
      <c r="L381" s="6">
        <v>3500000</v>
      </c>
      <c r="M381" s="6">
        <v>1998</v>
      </c>
      <c r="N381" s="6">
        <v>7.8</v>
      </c>
      <c r="O381" s="4">
        <f ca="1">IFERROR(__xludf.DUMMYFUNCTION("IF(Cost_in_dollars!E381=""USD"",Cost_in_dollars!B381,Cost_in_dollars!B381 * GOOGLEFINANCE(""CURRENCY:"" &amp; Cost_in_dollars!E381 &amp; ""USD""))
"),3796590)</f>
        <v>3796590</v>
      </c>
      <c r="P381" s="4">
        <f ca="1">IFERROR(__xludf.DUMMYFUNCTION("IF(Cost_in_dollars!E381=""USD"",Cost_in_dollars!C381,Cost_in_dollars!C381 * GOOGLEFINANCE(""CURRENCY:"" &amp; Cost_in_dollars!E381 &amp; ""USD""))
"),7883157.03576)</f>
        <v>7883157.0357600003</v>
      </c>
      <c r="Q381" s="6">
        <f t="shared" ca="1" si="6"/>
        <v>4086567.0357600003</v>
      </c>
      <c r="R381" s="7" t="str">
        <f t="shared" si="7"/>
        <v>Run Lola Run</v>
      </c>
      <c r="S381" s="43" t="str">
        <f t="shared" si="9"/>
        <v>Crime</v>
      </c>
    </row>
    <row r="382" spans="1:19" ht="15.75" customHeight="1" x14ac:dyDescent="0.25">
      <c r="A382" s="4" t="s">
        <v>1589</v>
      </c>
      <c r="B382" s="4">
        <v>423</v>
      </c>
      <c r="C382" s="4">
        <v>29997095</v>
      </c>
      <c r="D382" s="4" t="s">
        <v>1590</v>
      </c>
      <c r="E382" s="4" t="s">
        <v>439</v>
      </c>
      <c r="F382" s="4" t="s">
        <v>1591</v>
      </c>
      <c r="G382" s="4">
        <v>60926</v>
      </c>
      <c r="H382" s="4" t="s">
        <v>1592</v>
      </c>
      <c r="I382" s="4">
        <v>302</v>
      </c>
      <c r="J382" s="4" t="s">
        <v>23</v>
      </c>
      <c r="K382" s="4" t="s">
        <v>133</v>
      </c>
      <c r="L382" s="4">
        <v>22000000</v>
      </c>
      <c r="M382" s="4">
        <v>2016</v>
      </c>
      <c r="N382" s="4">
        <v>6.4</v>
      </c>
      <c r="O382" s="4">
        <f ca="1">IFERROR(__xludf.DUMMYFUNCTION("IF(Cost_in_dollars!E382=""USD"",Cost_in_dollars!B382,Cost_in_dollars!B382 * GOOGLEFINANCE(""CURRENCY:"" &amp; Cost_in_dollars!E382 &amp; ""USD""))
"),28278799.9999999)</f>
        <v>28278799.999999899</v>
      </c>
      <c r="P382" s="4">
        <f ca="1">IFERROR(__xludf.DUMMYFUNCTION("IF(Cost_in_dollars!E382=""USD"",Cost_in_dollars!C382,Cost_in_dollars!C382 * GOOGLEFINANCE(""CURRENCY:"" &amp; Cost_in_dollars!E382 &amp; ""USD""))
"),38558265.9129999)</f>
        <v>38558265.912999898</v>
      </c>
      <c r="Q382" s="4">
        <f t="shared" ca="1" si="6"/>
        <v>10279465.912999999</v>
      </c>
      <c r="R382" s="5" t="str">
        <f t="shared" si="7"/>
        <v>Hail, Caesar!</v>
      </c>
      <c r="S382" s="43" t="str">
        <f t="shared" si="9"/>
        <v>Comedy</v>
      </c>
    </row>
    <row r="383" spans="1:19" ht="15.75" customHeight="1" x14ac:dyDescent="0.25">
      <c r="A383" s="6" t="s">
        <v>1593</v>
      </c>
      <c r="B383" s="6">
        <v>27</v>
      </c>
      <c r="C383" s="6">
        <v>50003300</v>
      </c>
      <c r="D383" s="6" t="s">
        <v>1594</v>
      </c>
      <c r="E383" s="6" t="s">
        <v>1595</v>
      </c>
      <c r="F383" s="6" t="s">
        <v>1596</v>
      </c>
      <c r="G383" s="6">
        <v>36624</v>
      </c>
      <c r="H383" s="6" t="s">
        <v>1597</v>
      </c>
      <c r="I383" s="6">
        <v>132</v>
      </c>
      <c r="J383" s="6" t="s">
        <v>23</v>
      </c>
      <c r="K383" s="6" t="s">
        <v>24</v>
      </c>
      <c r="L383" s="6">
        <v>15000000</v>
      </c>
      <c r="M383" s="6">
        <v>1994</v>
      </c>
      <c r="N383" s="6">
        <v>7.3</v>
      </c>
      <c r="O383" s="4">
        <f ca="1">IFERROR(__xludf.DUMMYFUNCTION("IF(Cost_in_dollars!E383=""USD"",Cost_in_dollars!B383,Cost_in_dollars!B383 * GOOGLEFINANCE(""CURRENCY:"" &amp; Cost_in_dollars!E383 &amp; ""USD""))
"),15000000)</f>
        <v>15000000</v>
      </c>
      <c r="P383" s="4">
        <f ca="1">IFERROR(__xludf.DUMMYFUNCTION("IF(Cost_in_dollars!E383=""USD"",Cost_in_dollars!C383,Cost_in_dollars!C383 * GOOGLEFINANCE(""CURRENCY:"" &amp; Cost_in_dollars!E383 &amp; ""USD""))
"),50003300)</f>
        <v>50003300</v>
      </c>
      <c r="Q383" s="6">
        <f t="shared" ca="1" si="6"/>
        <v>35003300</v>
      </c>
      <c r="R383" s="7" t="str">
        <f t="shared" si="7"/>
        <v>Little Women</v>
      </c>
      <c r="S383" s="43" t="str">
        <f t="shared" si="9"/>
        <v>Drama</v>
      </c>
    </row>
    <row r="384" spans="1:19" ht="15.75" customHeight="1" x14ac:dyDescent="0.25">
      <c r="A384" s="4" t="s">
        <v>1598</v>
      </c>
      <c r="B384" s="4">
        <v>149</v>
      </c>
      <c r="C384" s="4">
        <v>3588432</v>
      </c>
      <c r="D384" s="4" t="s">
        <v>457</v>
      </c>
      <c r="E384" s="4" t="s">
        <v>1202</v>
      </c>
      <c r="F384" s="4" t="s">
        <v>1599</v>
      </c>
      <c r="G384" s="4">
        <v>29341</v>
      </c>
      <c r="H384" s="4" t="s">
        <v>1600</v>
      </c>
      <c r="I384" s="4">
        <v>93</v>
      </c>
      <c r="J384" s="4" t="s">
        <v>23</v>
      </c>
      <c r="K384" s="4" t="s">
        <v>24</v>
      </c>
      <c r="L384" s="4">
        <v>6000000</v>
      </c>
      <c r="M384" s="4">
        <v>2014</v>
      </c>
      <c r="N384" s="4">
        <v>6.7</v>
      </c>
      <c r="O384" s="4">
        <f ca="1">IFERROR(__xludf.DUMMYFUNCTION("IF(Cost_in_dollars!E384=""USD"",Cost_in_dollars!B384,Cost_in_dollars!B384 * GOOGLEFINANCE(""CURRENCY:"" &amp; Cost_in_dollars!E384 &amp; ""USD""))
"),6000000)</f>
        <v>6000000</v>
      </c>
      <c r="P384" s="4">
        <f ca="1">IFERROR(__xludf.DUMMYFUNCTION("IF(Cost_in_dollars!E384=""USD"",Cost_in_dollars!C384,Cost_in_dollars!C384 * GOOGLEFINANCE(""CURRENCY:"" &amp; Cost_in_dollars!E384 &amp; ""USD""))
"),3588432)</f>
        <v>3588432</v>
      </c>
      <c r="Q384" s="4">
        <f t="shared" ca="1" si="6"/>
        <v>-2411568</v>
      </c>
      <c r="R384" s="5" t="str">
        <f t="shared" si="7"/>
        <v>Wish I Was Here</v>
      </c>
      <c r="S384" s="43" t="str">
        <f t="shared" si="9"/>
        <v>Comedy</v>
      </c>
    </row>
    <row r="385" spans="1:19" ht="15.75" customHeight="1" x14ac:dyDescent="0.25">
      <c r="A385" s="6" t="s">
        <v>1396</v>
      </c>
      <c r="B385" s="6">
        <v>196</v>
      </c>
      <c r="C385" s="6">
        <v>39511038</v>
      </c>
      <c r="D385" s="6" t="s">
        <v>151</v>
      </c>
      <c r="E385" s="6" t="s">
        <v>1601</v>
      </c>
      <c r="F385" s="6" t="s">
        <v>1602</v>
      </c>
      <c r="G385" s="6">
        <v>56269</v>
      </c>
      <c r="H385" s="6" t="s">
        <v>1603</v>
      </c>
      <c r="I385" s="6">
        <v>366</v>
      </c>
      <c r="J385" s="6" t="s">
        <v>23</v>
      </c>
      <c r="K385" s="6" t="s">
        <v>24</v>
      </c>
      <c r="L385" s="6">
        <v>16000000</v>
      </c>
      <c r="M385" s="6">
        <v>2006</v>
      </c>
      <c r="N385" s="6">
        <v>5.9</v>
      </c>
      <c r="O385" s="4">
        <f ca="1">IFERROR(__xludf.DUMMYFUNCTION("IF(Cost_in_dollars!E385=""USD"",Cost_in_dollars!B385,Cost_in_dollars!B385 * GOOGLEFINANCE(""CURRENCY:"" &amp; Cost_in_dollars!E385 &amp; ""USD""))
"),16000000)</f>
        <v>16000000</v>
      </c>
      <c r="P385" s="4">
        <f ca="1">IFERROR(__xludf.DUMMYFUNCTION("IF(Cost_in_dollars!E385=""USD"",Cost_in_dollars!C385,Cost_in_dollars!C385 * GOOGLEFINANCE(""CURRENCY:"" &amp; Cost_in_dollars!E385 &amp; ""USD""))
"),39511038)</f>
        <v>39511038</v>
      </c>
      <c r="Q385" s="6">
        <f t="shared" ca="1" si="6"/>
        <v>23511038</v>
      </c>
      <c r="R385" s="7" t="str">
        <f t="shared" si="7"/>
        <v>The Texas Chainsaw Massacre: The Beginning</v>
      </c>
      <c r="S385" s="43" t="str">
        <f t="shared" si="9"/>
        <v>Horror</v>
      </c>
    </row>
    <row r="386" spans="1:19" ht="15.75" customHeight="1" x14ac:dyDescent="0.25">
      <c r="A386" s="4" t="s">
        <v>1604</v>
      </c>
      <c r="B386" s="4">
        <v>83</v>
      </c>
      <c r="C386" s="4">
        <v>63826569</v>
      </c>
      <c r="D386" s="4" t="s">
        <v>140</v>
      </c>
      <c r="E386" s="4" t="s">
        <v>194</v>
      </c>
      <c r="F386" s="4" t="s">
        <v>1605</v>
      </c>
      <c r="G386" s="4">
        <v>32416</v>
      </c>
      <c r="H386" s="4" t="s">
        <v>1606</v>
      </c>
      <c r="I386" s="4">
        <v>138</v>
      </c>
      <c r="J386" s="4" t="s">
        <v>23</v>
      </c>
      <c r="K386" s="4" t="s">
        <v>24</v>
      </c>
      <c r="L386" s="4">
        <v>35000000</v>
      </c>
      <c r="M386" s="4">
        <v>1997</v>
      </c>
      <c r="N386" s="4">
        <v>6.3</v>
      </c>
      <c r="O386" s="4">
        <f ca="1">IFERROR(__xludf.DUMMYFUNCTION("IF(Cost_in_dollars!E386=""USD"",Cost_in_dollars!B386,Cost_in_dollars!B386 * GOOGLEFINANCE(""CURRENCY:"" &amp; Cost_in_dollars!E386 &amp; ""USD""))
"),35000000)</f>
        <v>35000000</v>
      </c>
      <c r="P386" s="4">
        <f ca="1">IFERROR(__xludf.DUMMYFUNCTION("IF(Cost_in_dollars!E386=""USD"",Cost_in_dollars!C386,Cost_in_dollars!C386 * GOOGLEFINANCE(""CURRENCY:"" &amp; Cost_in_dollars!E386 &amp; ""USD""))
"),63826569)</f>
        <v>63826569</v>
      </c>
      <c r="Q386" s="4">
        <f t="shared" ca="1" si="6"/>
        <v>28826569</v>
      </c>
      <c r="R386" s="5" t="str">
        <f t="shared" si="7"/>
        <v>In &amp; Out</v>
      </c>
      <c r="S386" s="43" t="str">
        <f t="shared" ref="S386:S449" si="10">IF(ISNUMBER(FIND("|", D386)), LEFT(D386, FIND("|", D386) - 1), D386)</f>
        <v>Comedy</v>
      </c>
    </row>
    <row r="387" spans="1:19" ht="15.75" customHeight="1" x14ac:dyDescent="0.25">
      <c r="A387" s="6" t="s">
        <v>1607</v>
      </c>
      <c r="B387" s="6">
        <v>83</v>
      </c>
      <c r="C387" s="6">
        <v>6114237</v>
      </c>
      <c r="D387" s="6" t="s">
        <v>1608</v>
      </c>
      <c r="E387" s="6" t="s">
        <v>1609</v>
      </c>
      <c r="F387" s="6" t="s">
        <v>1610</v>
      </c>
      <c r="G387" s="6">
        <v>19986</v>
      </c>
      <c r="H387" s="6" t="s">
        <v>1611</v>
      </c>
      <c r="I387" s="6">
        <v>207</v>
      </c>
      <c r="J387" s="6" t="s">
        <v>23</v>
      </c>
      <c r="K387" s="6" t="s">
        <v>24</v>
      </c>
      <c r="L387" s="6">
        <v>40000000</v>
      </c>
      <c r="M387" s="6">
        <v>2001</v>
      </c>
      <c r="N387" s="6">
        <v>6.2</v>
      </c>
      <c r="O387" s="4">
        <f ca="1">IFERROR(__xludf.DUMMYFUNCTION("IF(Cost_in_dollars!E387=""USD"",Cost_in_dollars!B387,Cost_in_dollars!B387 * GOOGLEFINANCE(""CURRENCY:"" &amp; Cost_in_dollars!E387 &amp; ""USD""))
"),40000000)</f>
        <v>40000000</v>
      </c>
      <c r="P387" s="4">
        <f ca="1">IFERROR(__xludf.DUMMYFUNCTION("IF(Cost_in_dollars!E387=""USD"",Cost_in_dollars!C387,Cost_in_dollars!C387 * GOOGLEFINANCE(""CURRENCY:"" &amp; Cost_in_dollars!E387 &amp; ""USD""))
"),6114237)</f>
        <v>6114237</v>
      </c>
      <c r="Q387" s="6">
        <f t="shared" ca="1" si="6"/>
        <v>-33885763</v>
      </c>
      <c r="R387" s="7" t="str">
        <f t="shared" si="7"/>
        <v>Impostor</v>
      </c>
      <c r="S387" s="43" t="str">
        <f t="shared" si="10"/>
        <v>Drama</v>
      </c>
    </row>
    <row r="388" spans="1:19" ht="15.75" customHeight="1" x14ac:dyDescent="0.25">
      <c r="A388" s="4" t="s">
        <v>72</v>
      </c>
      <c r="B388" s="4">
        <v>147</v>
      </c>
      <c r="C388" s="4">
        <v>7458269</v>
      </c>
      <c r="D388" s="4" t="s">
        <v>162</v>
      </c>
      <c r="E388" s="4" t="s">
        <v>1612</v>
      </c>
      <c r="F388" s="4" t="s">
        <v>1613</v>
      </c>
      <c r="G388" s="4">
        <v>70698</v>
      </c>
      <c r="H388" s="4" t="s">
        <v>1614</v>
      </c>
      <c r="I388" s="4">
        <v>196</v>
      </c>
      <c r="J388" s="4" t="s">
        <v>23</v>
      </c>
      <c r="K388" s="4" t="s">
        <v>24</v>
      </c>
      <c r="L388" s="4">
        <v>35000000</v>
      </c>
      <c r="M388" s="4">
        <v>2006</v>
      </c>
      <c r="N388" s="4">
        <v>6.9</v>
      </c>
      <c r="O388" s="4">
        <f ca="1">IFERROR(__xludf.DUMMYFUNCTION("IF(Cost_in_dollars!E388=""USD"",Cost_in_dollars!B388,Cost_in_dollars!B388 * GOOGLEFINANCE(""CURRENCY:"" &amp; Cost_in_dollars!E388 &amp; ""USD""))
"),35000000)</f>
        <v>35000000</v>
      </c>
      <c r="P388" s="4">
        <f ca="1">IFERROR(__xludf.DUMMYFUNCTION("IF(Cost_in_dollars!E388=""USD"",Cost_in_dollars!C388,Cost_in_dollars!C388 * GOOGLEFINANCE(""CURRENCY:"" &amp; Cost_in_dollars!E388 &amp; ""USD""))
"),7458269)</f>
        <v>7458269</v>
      </c>
      <c r="Q388" s="4">
        <f t="shared" ca="1" si="6"/>
        <v>-27541731</v>
      </c>
      <c r="R388" s="5" t="str">
        <f t="shared" si="7"/>
        <v>A Good Year</v>
      </c>
      <c r="S388" s="43" t="str">
        <f t="shared" si="10"/>
        <v>Comedy</v>
      </c>
    </row>
    <row r="389" spans="1:19" ht="15.75" customHeight="1" x14ac:dyDescent="0.25">
      <c r="A389" s="6" t="s">
        <v>1615</v>
      </c>
      <c r="B389" s="6">
        <v>106</v>
      </c>
      <c r="C389" s="6">
        <v>2365931</v>
      </c>
      <c r="D389" s="6" t="s">
        <v>1616</v>
      </c>
      <c r="E389" s="6" t="s">
        <v>1617</v>
      </c>
      <c r="F389" s="6" t="s">
        <v>1618</v>
      </c>
      <c r="G389" s="6">
        <v>36657</v>
      </c>
      <c r="H389" s="6" t="s">
        <v>1619</v>
      </c>
      <c r="I389" s="6">
        <v>318</v>
      </c>
      <c r="J389" s="6" t="s">
        <v>23</v>
      </c>
      <c r="K389" s="6" t="s">
        <v>24</v>
      </c>
      <c r="L389" s="6">
        <v>1500000</v>
      </c>
      <c r="M389" s="6">
        <v>1998</v>
      </c>
      <c r="N389" s="6">
        <v>7.5</v>
      </c>
      <c r="O389" s="4">
        <f ca="1">IFERROR(__xludf.DUMMYFUNCTION("IF(Cost_in_dollars!E389=""USD"",Cost_in_dollars!B389,Cost_in_dollars!B389 * GOOGLEFINANCE(""CURRENCY:"" &amp; Cost_in_dollars!E389 &amp; ""USD""))
"),1500000)</f>
        <v>1500000</v>
      </c>
      <c r="P389" s="4">
        <f ca="1">IFERROR(__xludf.DUMMYFUNCTION("IF(Cost_in_dollars!E389=""USD"",Cost_in_dollars!C389,Cost_in_dollars!C389 * GOOGLEFINANCE(""CURRENCY:"" &amp; Cost_in_dollars!E389 &amp; ""USD""))
"),2365931)</f>
        <v>2365931</v>
      </c>
      <c r="Q389" s="6">
        <f t="shared" ca="1" si="6"/>
        <v>865931</v>
      </c>
      <c r="R389" s="7" t="str">
        <f t="shared" si="7"/>
        <v>Buffalo '66</v>
      </c>
      <c r="S389" s="43" t="str">
        <f t="shared" si="10"/>
        <v>Comedy</v>
      </c>
    </row>
    <row r="390" spans="1:19" ht="15.75" customHeight="1" x14ac:dyDescent="0.25">
      <c r="A390" s="4" t="s">
        <v>1620</v>
      </c>
      <c r="B390" s="4">
        <v>26</v>
      </c>
      <c r="C390" s="4">
        <v>36497</v>
      </c>
      <c r="D390" s="4" t="s">
        <v>140</v>
      </c>
      <c r="E390" s="4" t="s">
        <v>79</v>
      </c>
      <c r="F390" s="4" t="s">
        <v>1621</v>
      </c>
      <c r="G390" s="4">
        <v>7367</v>
      </c>
      <c r="H390" s="4" t="s">
        <v>1622</v>
      </c>
      <c r="I390" s="4">
        <v>37</v>
      </c>
      <c r="J390" s="4" t="s">
        <v>23</v>
      </c>
      <c r="K390" s="4" t="s">
        <v>24</v>
      </c>
      <c r="L390" s="4">
        <v>6000000</v>
      </c>
      <c r="M390" s="4">
        <v>2008</v>
      </c>
      <c r="N390" s="4">
        <v>4.7</v>
      </c>
      <c r="O390" s="4">
        <f ca="1">IFERROR(__xludf.DUMMYFUNCTION("IF(Cost_in_dollars!E390=""USD"",Cost_in_dollars!B390,Cost_in_dollars!B390 * GOOGLEFINANCE(""CURRENCY:"" &amp; Cost_in_dollars!E390 &amp; ""USD""))
"),6000000)</f>
        <v>6000000</v>
      </c>
      <c r="P390" s="4">
        <f ca="1">IFERROR(__xludf.DUMMYFUNCTION("IF(Cost_in_dollars!E390=""USD"",Cost_in_dollars!C390,Cost_in_dollars!C390 * GOOGLEFINANCE(""CURRENCY:"" &amp; Cost_in_dollars!E390 &amp; ""USD""))
"),36497)</f>
        <v>36497</v>
      </c>
      <c r="Q390" s="4">
        <f t="shared" ca="1" si="6"/>
        <v>-5963503</v>
      </c>
      <c r="R390" s="5" t="str">
        <f t="shared" si="7"/>
        <v>Surfer, Dude</v>
      </c>
      <c r="S390" s="43" t="str">
        <f t="shared" si="10"/>
        <v>Comedy</v>
      </c>
    </row>
    <row r="391" spans="1:19" ht="15.75" customHeight="1" x14ac:dyDescent="0.25">
      <c r="A391" s="6" t="s">
        <v>884</v>
      </c>
      <c r="B391" s="6">
        <v>233</v>
      </c>
      <c r="C391" s="6">
        <v>37899638</v>
      </c>
      <c r="D391" s="6" t="s">
        <v>1623</v>
      </c>
      <c r="E391" s="6" t="s">
        <v>588</v>
      </c>
      <c r="F391" s="6" t="s">
        <v>1624</v>
      </c>
      <c r="G391" s="6">
        <v>98472</v>
      </c>
      <c r="H391" s="6" t="s">
        <v>1625</v>
      </c>
      <c r="I391" s="6">
        <v>492</v>
      </c>
      <c r="J391" s="6" t="s">
        <v>23</v>
      </c>
      <c r="K391" s="6" t="s">
        <v>24</v>
      </c>
      <c r="L391" s="6">
        <v>88000000</v>
      </c>
      <c r="M391" s="6">
        <v>2005</v>
      </c>
      <c r="N391" s="6">
        <v>5.9</v>
      </c>
      <c r="O391" s="4">
        <f ca="1">IFERROR(__xludf.DUMMYFUNCTION("IF(Cost_in_dollars!E391=""USD"",Cost_in_dollars!B391,Cost_in_dollars!B391 * GOOGLEFINANCE(""CURRENCY:"" &amp; Cost_in_dollars!E391 &amp; ""USD""))
"),88000000)</f>
        <v>88000000</v>
      </c>
      <c r="P391" s="4">
        <f ca="1">IFERROR(__xludf.DUMMYFUNCTION("IF(Cost_in_dollars!E391=""USD"",Cost_in_dollars!C391,Cost_in_dollars!C391 * GOOGLEFINANCE(""CURRENCY:"" &amp; Cost_in_dollars!E391 &amp; ""USD""))
"),37899638)</f>
        <v>37899638</v>
      </c>
      <c r="Q391" s="6">
        <f t="shared" ca="1" si="6"/>
        <v>-50100362</v>
      </c>
      <c r="R391" s="7" t="str">
        <f t="shared" si="7"/>
        <v>The Brothers Grimm</v>
      </c>
      <c r="S391" s="43" t="str">
        <f t="shared" si="10"/>
        <v>Action</v>
      </c>
    </row>
    <row r="392" spans="1:19" ht="15.75" customHeight="1" x14ac:dyDescent="0.25">
      <c r="A392" s="4" t="s">
        <v>1626</v>
      </c>
      <c r="B392" s="4">
        <v>47</v>
      </c>
      <c r="C392" s="4">
        <v>54606</v>
      </c>
      <c r="D392" s="4" t="s">
        <v>244</v>
      </c>
      <c r="E392" s="4" t="s">
        <v>1627</v>
      </c>
      <c r="F392" s="4" t="s">
        <v>1628</v>
      </c>
      <c r="G392" s="4">
        <v>1940</v>
      </c>
      <c r="H392" s="4" t="s">
        <v>1629</v>
      </c>
      <c r="I392" s="4">
        <v>34</v>
      </c>
      <c r="J392" s="4" t="s">
        <v>23</v>
      </c>
      <c r="K392" s="4" t="s">
        <v>133</v>
      </c>
      <c r="L392" s="4">
        <v>6000000</v>
      </c>
      <c r="M392" s="4">
        <v>2001</v>
      </c>
      <c r="N392" s="4">
        <v>6.2</v>
      </c>
      <c r="O392" s="4">
        <f ca="1">IFERROR(__xludf.DUMMYFUNCTION("IF(Cost_in_dollars!E392=""USD"",Cost_in_dollars!B392,Cost_in_dollars!B392 * GOOGLEFINANCE(""CURRENCY:"" &amp; Cost_in_dollars!E392 &amp; ""USD""))
"),7712399.99999999)</f>
        <v>7712399.9999999898</v>
      </c>
      <c r="P392" s="4">
        <f ca="1">IFERROR(__xludf.DUMMYFUNCTION("IF(Cost_in_dollars!E392=""USD"",Cost_in_dollars!C392,Cost_in_dollars!C392 * GOOGLEFINANCE(""CURRENCY:"" &amp; Cost_in_dollars!E392 &amp; ""USD""))
"),70190.5524)</f>
        <v>70190.5524</v>
      </c>
      <c r="Q392" s="4">
        <f t="shared" ca="1" si="6"/>
        <v>-7642209.4475999894</v>
      </c>
      <c r="R392" s="5" t="str">
        <f t="shared" si="7"/>
        <v>Lucky Break</v>
      </c>
      <c r="S392" s="43" t="str">
        <f t="shared" si="10"/>
        <v>Comedy</v>
      </c>
    </row>
    <row r="393" spans="1:19" ht="15.75" customHeight="1" x14ac:dyDescent="0.25">
      <c r="A393" s="6" t="s">
        <v>1630</v>
      </c>
      <c r="B393" s="6">
        <v>10</v>
      </c>
      <c r="C393" s="6">
        <v>669276</v>
      </c>
      <c r="D393" s="6" t="s">
        <v>1631</v>
      </c>
      <c r="E393" s="6" t="s">
        <v>1632</v>
      </c>
      <c r="F393" s="6" t="s">
        <v>1633</v>
      </c>
      <c r="G393" s="6">
        <v>2541</v>
      </c>
      <c r="H393" s="6" t="s">
        <v>1634</v>
      </c>
      <c r="I393" s="6">
        <v>47</v>
      </c>
      <c r="J393" s="6" t="s">
        <v>23</v>
      </c>
      <c r="K393" s="6" t="s">
        <v>133</v>
      </c>
      <c r="L393" s="6">
        <v>28000000</v>
      </c>
      <c r="M393" s="6">
        <v>1993</v>
      </c>
      <c r="N393" s="6">
        <v>7.2</v>
      </c>
      <c r="O393" s="4">
        <f ca="1">IFERROR(__xludf.DUMMYFUNCTION("IF(Cost_in_dollars!E393=""USD"",Cost_in_dollars!B393,Cost_in_dollars!B393 * GOOGLEFINANCE(""CURRENCY:"" &amp; Cost_in_dollars!E393 &amp; ""USD""))
"),35991200)</f>
        <v>35991200</v>
      </c>
      <c r="P393" s="4">
        <f ca="1">IFERROR(__xludf.DUMMYFUNCTION("IF(Cost_in_dollars!E393=""USD"",Cost_in_dollars!C393,Cost_in_dollars!C393 * GOOGLEFINANCE(""CURRENCY:"" &amp; Cost_in_dollars!E393 &amp; ""USD""))
"),860287.370399999)</f>
        <v>860287.37039999897</v>
      </c>
      <c r="Q393" s="6">
        <f t="shared" ca="1" si="6"/>
        <v>-35130912.629600003</v>
      </c>
      <c r="R393" s="7" t="str">
        <f t="shared" si="7"/>
        <v>The Princess and the Cobbler</v>
      </c>
      <c r="S393" s="43" t="str">
        <f t="shared" si="10"/>
        <v>Action</v>
      </c>
    </row>
    <row r="394" spans="1:19" ht="15.75" customHeight="1" x14ac:dyDescent="0.25">
      <c r="A394" s="4" t="s">
        <v>1635</v>
      </c>
      <c r="B394" s="4">
        <v>29</v>
      </c>
      <c r="C394" s="4">
        <v>177840</v>
      </c>
      <c r="D394" s="4" t="s">
        <v>324</v>
      </c>
      <c r="E394" s="4" t="s">
        <v>1636</v>
      </c>
      <c r="F394" s="4" t="s">
        <v>1637</v>
      </c>
      <c r="G394" s="4">
        <v>708</v>
      </c>
      <c r="H394" s="4" t="s">
        <v>1638</v>
      </c>
      <c r="I394" s="4">
        <v>22</v>
      </c>
      <c r="J394" s="4" t="s">
        <v>23</v>
      </c>
      <c r="K394" s="4" t="s">
        <v>133</v>
      </c>
      <c r="L394" s="4">
        <v>250000</v>
      </c>
      <c r="M394" s="4">
        <v>1999</v>
      </c>
      <c r="N394" s="4">
        <v>6.1</v>
      </c>
      <c r="O394" s="4">
        <f ca="1">IFERROR(__xludf.DUMMYFUNCTION("IF(Cost_in_dollars!E394=""USD"",Cost_in_dollars!B394,Cost_in_dollars!B394 * GOOGLEFINANCE(""CURRENCY:"" &amp; Cost_in_dollars!E394 &amp; ""USD""))
"),321349.999999999)</f>
        <v>321349.99999999901</v>
      </c>
      <c r="P394" s="4">
        <f ca="1">IFERROR(__xludf.DUMMYFUNCTION("IF(Cost_in_dollars!E394=""USD"",Cost_in_dollars!C394,Cost_in_dollars!C394 * GOOGLEFINANCE(""CURRENCY:"" &amp; Cost_in_dollars!E394 &amp; ""USD""))
"),228595.535999999)</f>
        <v>228595.535999999</v>
      </c>
      <c r="Q394" s="4">
        <f t="shared" ca="1" si="6"/>
        <v>-92754.464000000007</v>
      </c>
      <c r="R394" s="5" t="str">
        <f t="shared" si="7"/>
        <v>Sugar Town</v>
      </c>
      <c r="S394" s="43" t="str">
        <f t="shared" si="10"/>
        <v>Comedy</v>
      </c>
    </row>
    <row r="395" spans="1:19" ht="15.75" customHeight="1" x14ac:dyDescent="0.25">
      <c r="A395" s="6" t="s">
        <v>808</v>
      </c>
      <c r="B395" s="6">
        <v>29</v>
      </c>
      <c r="C395" s="6">
        <v>144583</v>
      </c>
      <c r="D395" s="6" t="s">
        <v>372</v>
      </c>
      <c r="E395" s="6" t="s">
        <v>1218</v>
      </c>
      <c r="F395" s="6" t="s">
        <v>1639</v>
      </c>
      <c r="G395" s="6">
        <v>2256</v>
      </c>
      <c r="H395" s="6" t="s">
        <v>1640</v>
      </c>
      <c r="I395" s="6">
        <v>79</v>
      </c>
      <c r="J395" s="6" t="s">
        <v>23</v>
      </c>
      <c r="K395" s="6" t="s">
        <v>611</v>
      </c>
      <c r="L395" s="6">
        <v>800000</v>
      </c>
      <c r="M395" s="6">
        <v>1999</v>
      </c>
      <c r="N395" s="6">
        <v>6.5</v>
      </c>
      <c r="O395" s="4">
        <f ca="1">IFERROR(__xludf.DUMMYFUNCTION("IF(Cost_in_dollars!E395=""USD"",Cost_in_dollars!B395,Cost_in_dollars!B395 * GOOGLEFINANCE(""CURRENCY:"" &amp; Cost_in_dollars!E395 &amp; ""USD""))
"),867792)</f>
        <v>867792</v>
      </c>
      <c r="P395" s="4">
        <f ca="1">IFERROR(__xludf.DUMMYFUNCTION("IF(Cost_in_dollars!E395=""USD"",Cost_in_dollars!C395,Cost_in_dollars!C395 * GOOGLEFINANCE(""CURRENCY:"" &amp; Cost_in_dollars!E395 &amp; ""USD""))
"),156834.96342)</f>
        <v>156834.96341999999</v>
      </c>
      <c r="Q395" s="6">
        <f t="shared" ca="1" si="6"/>
        <v>-710957.03658000007</v>
      </c>
      <c r="R395" s="7" t="str">
        <f t="shared" si="7"/>
        <v>Deterrence</v>
      </c>
      <c r="S395" s="43" t="str">
        <f t="shared" si="10"/>
        <v>Drama</v>
      </c>
    </row>
    <row r="396" spans="1:19" ht="15.75" customHeight="1" x14ac:dyDescent="0.25">
      <c r="A396" s="4" t="s">
        <v>1641</v>
      </c>
      <c r="B396" s="4">
        <v>137</v>
      </c>
      <c r="C396" s="4">
        <v>15818967</v>
      </c>
      <c r="D396" s="4" t="s">
        <v>568</v>
      </c>
      <c r="E396" s="4" t="s">
        <v>1642</v>
      </c>
      <c r="F396" s="4" t="s">
        <v>1643</v>
      </c>
      <c r="G396" s="4">
        <v>13913</v>
      </c>
      <c r="H396" s="4" t="s">
        <v>1644</v>
      </c>
      <c r="I396" s="4">
        <v>120</v>
      </c>
      <c r="J396" s="4" t="s">
        <v>23</v>
      </c>
      <c r="K396" s="4" t="s">
        <v>24</v>
      </c>
      <c r="L396" s="4">
        <v>7000000</v>
      </c>
      <c r="M396" s="4">
        <v>2014</v>
      </c>
      <c r="N396" s="4">
        <v>4</v>
      </c>
      <c r="O396" s="4">
        <f ca="1">IFERROR(__xludf.DUMMYFUNCTION("IF(Cost_in_dollars!E396=""USD"",Cost_in_dollars!B396,Cost_in_dollars!B396 * GOOGLEFINANCE(""CURRENCY:"" &amp; Cost_in_dollars!E396 &amp; ""USD""))
"),7000000)</f>
        <v>7000000</v>
      </c>
      <c r="P396" s="4">
        <f ca="1">IFERROR(__xludf.DUMMYFUNCTION("IF(Cost_in_dollars!E396=""USD"",Cost_in_dollars!C396,Cost_in_dollars!C396 * GOOGLEFINANCE(""CURRENCY:"" &amp; Cost_in_dollars!E396 &amp; ""USD""))
"),15818967)</f>
        <v>15818967</v>
      </c>
      <c r="Q396" s="4">
        <f t="shared" ca="1" si="6"/>
        <v>8818967</v>
      </c>
      <c r="R396" s="5" t="str">
        <f t="shared" si="7"/>
        <v>Devil's Due</v>
      </c>
      <c r="S396" s="43" t="str">
        <f t="shared" si="10"/>
        <v>Horror</v>
      </c>
    </row>
    <row r="397" spans="1:19" ht="15.75" customHeight="1" x14ac:dyDescent="0.25">
      <c r="A397" s="6" t="s">
        <v>1645</v>
      </c>
      <c r="B397" s="6">
        <v>635</v>
      </c>
      <c r="C397" s="6">
        <v>458991599</v>
      </c>
      <c r="D397" s="6" t="s">
        <v>188</v>
      </c>
      <c r="E397" s="6" t="s">
        <v>1449</v>
      </c>
      <c r="F397" s="6" t="s">
        <v>1646</v>
      </c>
      <c r="G397" s="6">
        <v>462669</v>
      </c>
      <c r="H397" s="6" t="s">
        <v>1647</v>
      </c>
      <c r="I397" s="6">
        <v>1117</v>
      </c>
      <c r="J397" s="6" t="s">
        <v>23</v>
      </c>
      <c r="K397" s="6" t="s">
        <v>24</v>
      </c>
      <c r="L397" s="6">
        <v>250000000</v>
      </c>
      <c r="M397" s="6">
        <v>2015</v>
      </c>
      <c r="N397" s="6">
        <v>7.5</v>
      </c>
      <c r="O397" s="4">
        <f ca="1">IFERROR(__xludf.DUMMYFUNCTION("IF(Cost_in_dollars!E397=""USD"",Cost_in_dollars!B397,Cost_in_dollars!B397 * GOOGLEFINANCE(""CURRENCY:"" &amp; Cost_in_dollars!E397 &amp; ""USD""))
"),250000000)</f>
        <v>250000000</v>
      </c>
      <c r="P397" s="4">
        <f ca="1">IFERROR(__xludf.DUMMYFUNCTION("IF(Cost_in_dollars!E397=""USD"",Cost_in_dollars!C397,Cost_in_dollars!C397 * GOOGLEFINANCE(""CURRENCY:"" &amp; Cost_in_dollars!E397 &amp; ""USD""))
"),458991599)</f>
        <v>458991599</v>
      </c>
      <c r="Q397" s="6">
        <f t="shared" ca="1" si="6"/>
        <v>208991599</v>
      </c>
      <c r="R397" s="7" t="str">
        <f t="shared" si="7"/>
        <v>Avengers: Age of Ultron</v>
      </c>
      <c r="S397" s="43" t="str">
        <f t="shared" si="10"/>
        <v>Action</v>
      </c>
    </row>
    <row r="398" spans="1:19" ht="15.75" customHeight="1" x14ac:dyDescent="0.25">
      <c r="A398" s="4" t="s">
        <v>503</v>
      </c>
      <c r="B398" s="4">
        <v>260</v>
      </c>
      <c r="C398" s="4">
        <v>1865774</v>
      </c>
      <c r="D398" s="4" t="s">
        <v>1648</v>
      </c>
      <c r="E398" s="4" t="s">
        <v>1649</v>
      </c>
      <c r="F398" s="4" t="s">
        <v>1650</v>
      </c>
      <c r="G398" s="4">
        <v>87682</v>
      </c>
      <c r="H398" s="4" t="s">
        <v>1651</v>
      </c>
      <c r="I398" s="4">
        <v>174</v>
      </c>
      <c r="J398" s="4" t="s">
        <v>23</v>
      </c>
      <c r="K398" s="4" t="s">
        <v>133</v>
      </c>
      <c r="L398" s="4">
        <v>30000000</v>
      </c>
      <c r="M398" s="4">
        <v>2015</v>
      </c>
      <c r="N398" s="4">
        <v>7</v>
      </c>
      <c r="O398" s="4">
        <f ca="1">IFERROR(__xludf.DUMMYFUNCTION("IF(Cost_in_dollars!E398=""USD"",Cost_in_dollars!B398,Cost_in_dollars!B398 * GOOGLEFINANCE(""CURRENCY:"" &amp; Cost_in_dollars!E398 &amp; ""USD""))
"),38562000)</f>
        <v>38562000</v>
      </c>
      <c r="P398" s="4">
        <f ca="1">IFERROR(__xludf.DUMMYFUNCTION("IF(Cost_in_dollars!E398=""USD"",Cost_in_dollars!C398,Cost_in_dollars!C398 * GOOGLEFINANCE(""CURRENCY:"" &amp; Cost_in_dollars!E398 &amp; ""USD""))
"),2398265.89959999)</f>
        <v>2398265.8995999899</v>
      </c>
      <c r="Q398" s="4">
        <f t="shared" ca="1" si="6"/>
        <v>-36163734.100400008</v>
      </c>
      <c r="R398" s="5" t="str">
        <f t="shared" si="7"/>
        <v>Legend</v>
      </c>
      <c r="S398" s="43" t="str">
        <f t="shared" si="10"/>
        <v>Biography</v>
      </c>
    </row>
    <row r="399" spans="1:19" ht="15.75" customHeight="1" x14ac:dyDescent="0.25">
      <c r="A399" s="6" t="s">
        <v>1652</v>
      </c>
      <c r="B399" s="6">
        <v>89</v>
      </c>
      <c r="C399" s="6">
        <v>45542421</v>
      </c>
      <c r="D399" s="6" t="s">
        <v>1653</v>
      </c>
      <c r="E399" s="6" t="s">
        <v>1654</v>
      </c>
      <c r="F399" s="6" t="s">
        <v>1655</v>
      </c>
      <c r="G399" s="6">
        <v>13319</v>
      </c>
      <c r="H399" s="6" t="s">
        <v>1656</v>
      </c>
      <c r="I399" s="6">
        <v>53</v>
      </c>
      <c r="J399" s="6" t="s">
        <v>23</v>
      </c>
      <c r="K399" s="6" t="s">
        <v>24</v>
      </c>
      <c r="L399" s="6">
        <v>30000000</v>
      </c>
      <c r="M399" s="6">
        <v>2000</v>
      </c>
      <c r="N399" s="6">
        <v>6.3</v>
      </c>
      <c r="O399" s="4">
        <f ca="1">IFERROR(__xludf.DUMMYFUNCTION("IF(Cost_in_dollars!E399=""USD"",Cost_in_dollars!B399,Cost_in_dollars!B399 * GOOGLEFINANCE(""CURRENCY:"" &amp; Cost_in_dollars!E399 &amp; ""USD""))
"),30000000)</f>
        <v>30000000</v>
      </c>
      <c r="P399" s="4">
        <f ca="1">IFERROR(__xludf.DUMMYFUNCTION("IF(Cost_in_dollars!E399=""USD"",Cost_in_dollars!C399,Cost_in_dollars!C399 * GOOGLEFINANCE(""CURRENCY:"" &amp; Cost_in_dollars!E399 &amp; ""USD""))
"),45542421)</f>
        <v>45542421</v>
      </c>
      <c r="Q399" s="6">
        <f t="shared" ca="1" si="6"/>
        <v>15542421</v>
      </c>
      <c r="R399" s="7" t="str">
        <f t="shared" si="7"/>
        <v>The Tigger Movie</v>
      </c>
      <c r="S399" s="43" t="str">
        <f t="shared" si="10"/>
        <v>Animation</v>
      </c>
    </row>
    <row r="400" spans="1:19" ht="15.75" customHeight="1" x14ac:dyDescent="0.25">
      <c r="A400" s="4" t="s">
        <v>1657</v>
      </c>
      <c r="B400" s="4">
        <v>110</v>
      </c>
      <c r="C400" s="4">
        <v>19170001</v>
      </c>
      <c r="D400" s="4" t="s">
        <v>151</v>
      </c>
      <c r="E400" s="4" t="s">
        <v>959</v>
      </c>
      <c r="F400" s="4" t="s">
        <v>1658</v>
      </c>
      <c r="G400" s="4">
        <v>21359</v>
      </c>
      <c r="H400" s="4" t="s">
        <v>1659</v>
      </c>
      <c r="I400" s="4">
        <v>270</v>
      </c>
      <c r="J400" s="4" t="s">
        <v>23</v>
      </c>
      <c r="K400" s="4" t="s">
        <v>24</v>
      </c>
      <c r="L400" s="4">
        <v>2800000</v>
      </c>
      <c r="M400" s="4">
        <v>1988</v>
      </c>
      <c r="N400" s="4">
        <v>5.3</v>
      </c>
      <c r="O400" s="4">
        <f ca="1">IFERROR(__xludf.DUMMYFUNCTION("IF(Cost_in_dollars!E400=""USD"",Cost_in_dollars!B400,Cost_in_dollars!B400 * GOOGLEFINANCE(""CURRENCY:"" &amp; Cost_in_dollars!E400 &amp; ""USD""))
"),2800000)</f>
        <v>2800000</v>
      </c>
      <c r="P400" s="4">
        <f ca="1">IFERROR(__xludf.DUMMYFUNCTION("IF(Cost_in_dollars!E400=""USD"",Cost_in_dollars!C400,Cost_in_dollars!C400 * GOOGLEFINANCE(""CURRENCY:"" &amp; Cost_in_dollars!E400 &amp; ""USD""))
"),19170001)</f>
        <v>19170001</v>
      </c>
      <c r="Q400" s="4">
        <f t="shared" ca="1" si="6"/>
        <v>16370001</v>
      </c>
      <c r="R400" s="5" t="str">
        <f t="shared" si="7"/>
        <v>Friday the 13th Part VII: The New Blood</v>
      </c>
      <c r="S400" s="43" t="str">
        <f t="shared" si="10"/>
        <v>Horror</v>
      </c>
    </row>
    <row r="401" spans="1:19" ht="15.75" customHeight="1" x14ac:dyDescent="0.25">
      <c r="A401" s="6" t="s">
        <v>1660</v>
      </c>
      <c r="B401" s="6">
        <v>38</v>
      </c>
      <c r="C401" s="6">
        <v>15180000</v>
      </c>
      <c r="D401" s="6" t="s">
        <v>116</v>
      </c>
      <c r="E401" s="6" t="s">
        <v>1661</v>
      </c>
      <c r="F401" s="6" t="s">
        <v>1662</v>
      </c>
      <c r="G401" s="6">
        <v>3340</v>
      </c>
      <c r="H401" s="6" t="s">
        <v>1663</v>
      </c>
      <c r="I401" s="6">
        <v>50</v>
      </c>
      <c r="J401" s="6" t="s">
        <v>23</v>
      </c>
      <c r="K401" s="6" t="s">
        <v>24</v>
      </c>
      <c r="L401" s="6">
        <v>500000</v>
      </c>
      <c r="M401" s="6">
        <v>1971</v>
      </c>
      <c r="N401" s="6">
        <v>5.5</v>
      </c>
      <c r="O401" s="4">
        <f ca="1">IFERROR(__xludf.DUMMYFUNCTION("IF(Cost_in_dollars!E401=""USD"",Cost_in_dollars!B401,Cost_in_dollars!B401 * GOOGLEFINANCE(""CURRENCY:"" &amp; Cost_in_dollars!E401 &amp; ""USD""))
"),500000)</f>
        <v>500000</v>
      </c>
      <c r="P401" s="4">
        <f ca="1">IFERROR(__xludf.DUMMYFUNCTION("IF(Cost_in_dollars!E401=""USD"",Cost_in_dollars!C401,Cost_in_dollars!C401 * GOOGLEFINANCE(""CURRENCY:"" &amp; Cost_in_dollars!E401 &amp; ""USD""))
"),15180000)</f>
        <v>15180000</v>
      </c>
      <c r="Q401" s="6">
        <f t="shared" ca="1" si="6"/>
        <v>14680000</v>
      </c>
      <c r="R401" s="7" t="str">
        <f t="shared" si="7"/>
        <v>Sweet Sweetback's Baadasssss Song</v>
      </c>
      <c r="S401" s="43" t="str">
        <f t="shared" si="10"/>
        <v>Crime</v>
      </c>
    </row>
    <row r="402" spans="1:19" ht="15.75" customHeight="1" x14ac:dyDescent="0.25">
      <c r="A402" s="4" t="s">
        <v>1664</v>
      </c>
      <c r="B402" s="4">
        <v>8</v>
      </c>
      <c r="C402" s="4">
        <v>721</v>
      </c>
      <c r="D402" s="4" t="s">
        <v>211</v>
      </c>
      <c r="E402" s="4" t="s">
        <v>786</v>
      </c>
      <c r="F402" s="4" t="s">
        <v>1665</v>
      </c>
      <c r="G402" s="4">
        <v>783</v>
      </c>
      <c r="H402" s="4" t="s">
        <v>1666</v>
      </c>
      <c r="I402" s="4">
        <v>12</v>
      </c>
      <c r="J402" s="4" t="s">
        <v>23</v>
      </c>
      <c r="K402" s="4" t="s">
        <v>176</v>
      </c>
      <c r="L402" s="4">
        <v>1000000</v>
      </c>
      <c r="M402" s="4">
        <v>2006</v>
      </c>
      <c r="N402" s="4">
        <v>4.0999999999999996</v>
      </c>
      <c r="O402" s="4">
        <f ca="1">IFERROR(__xludf.DUMMYFUNCTION("IF(Cost_in_dollars!E402=""USD"",Cost_in_dollars!B402,Cost_in_dollars!B402 * GOOGLEFINANCE(""CURRENCY:"" &amp; Cost_in_dollars!E402 &amp; ""USD""))
"),1084740)</f>
        <v>1084740</v>
      </c>
      <c r="P402" s="4">
        <f ca="1">IFERROR(__xludf.DUMMYFUNCTION("IF(Cost_in_dollars!E402=""USD"",Cost_in_dollars!C402,Cost_in_dollars!C402 * GOOGLEFINANCE(""CURRENCY:"" &amp; Cost_in_dollars!E402 &amp; ""USD""))
"),782.09754)</f>
        <v>782.09753999999998</v>
      </c>
      <c r="Q402" s="4">
        <f t="shared" ca="1" si="6"/>
        <v>-1083957.90246</v>
      </c>
      <c r="R402" s="5" t="str">
        <f t="shared" si="7"/>
        <v>In Her Line of Fire</v>
      </c>
      <c r="S402" s="43" t="str">
        <f t="shared" si="10"/>
        <v>Action</v>
      </c>
    </row>
    <row r="403" spans="1:19" ht="15.75" customHeight="1" x14ac:dyDescent="0.25">
      <c r="A403" s="6" t="s">
        <v>1667</v>
      </c>
      <c r="B403" s="6">
        <v>201</v>
      </c>
      <c r="C403" s="6">
        <v>25244700</v>
      </c>
      <c r="D403" s="6" t="s">
        <v>851</v>
      </c>
      <c r="E403" s="6" t="s">
        <v>1632</v>
      </c>
      <c r="F403" s="6" t="s">
        <v>1668</v>
      </c>
      <c r="G403" s="6">
        <v>91017</v>
      </c>
      <c r="H403" s="6" t="s">
        <v>1669</v>
      </c>
      <c r="I403" s="6">
        <v>284</v>
      </c>
      <c r="J403" s="6" t="s">
        <v>23</v>
      </c>
      <c r="K403" s="6" t="s">
        <v>133</v>
      </c>
      <c r="L403" s="6">
        <v>6000000</v>
      </c>
      <c r="M403" s="6">
        <v>1981</v>
      </c>
      <c r="N403" s="6">
        <v>7.2</v>
      </c>
      <c r="O403" s="4">
        <f ca="1">IFERROR(__xludf.DUMMYFUNCTION("IF(Cost_in_dollars!E403=""USD"",Cost_in_dollars!B403,Cost_in_dollars!B403 * GOOGLEFINANCE(""CURRENCY:"" &amp; Cost_in_dollars!E403 &amp; ""USD""))
"),7712399.99999999)</f>
        <v>7712399.9999999898</v>
      </c>
      <c r="P403" s="4">
        <f ca="1">IFERROR(__xludf.DUMMYFUNCTION("IF(Cost_in_dollars!E403=""USD"",Cost_in_dollars!C403,Cost_in_dollars!C403 * GOOGLEFINANCE(""CURRENCY:"" &amp; Cost_in_dollars!E403 &amp; ""USD""))
"),32449537.3799999)</f>
        <v>32449537.379999898</v>
      </c>
      <c r="Q403" s="6">
        <f t="shared" ca="1" si="6"/>
        <v>24737137.37999991</v>
      </c>
      <c r="R403" s="7" t="str">
        <f t="shared" si="7"/>
        <v>Escape from New York</v>
      </c>
      <c r="S403" s="43" t="str">
        <f t="shared" si="10"/>
        <v>Action</v>
      </c>
    </row>
    <row r="404" spans="1:19" ht="15.75" customHeight="1" x14ac:dyDescent="0.25">
      <c r="A404" s="4" t="s">
        <v>1670</v>
      </c>
      <c r="B404" s="4">
        <v>60</v>
      </c>
      <c r="C404" s="4">
        <v>25600000</v>
      </c>
      <c r="D404" s="4" t="s">
        <v>53</v>
      </c>
      <c r="E404" s="4" t="s">
        <v>223</v>
      </c>
      <c r="F404" s="4" t="s">
        <v>1671</v>
      </c>
      <c r="G404" s="4">
        <v>57363</v>
      </c>
      <c r="H404" s="4" t="s">
        <v>1672</v>
      </c>
      <c r="I404" s="4">
        <v>308</v>
      </c>
      <c r="J404" s="4" t="s">
        <v>23</v>
      </c>
      <c r="K404" s="4" t="s">
        <v>24</v>
      </c>
      <c r="L404" s="4">
        <v>10000000</v>
      </c>
      <c r="M404" s="4">
        <v>1983</v>
      </c>
      <c r="N404" s="4">
        <v>7.2</v>
      </c>
      <c r="O404" s="4">
        <f ca="1">IFERROR(__xludf.DUMMYFUNCTION("IF(Cost_in_dollars!E404=""USD"",Cost_in_dollars!B404,Cost_in_dollars!B404 * GOOGLEFINANCE(""CURRENCY:"" &amp; Cost_in_dollars!E404 &amp; ""USD""))
"),10000000)</f>
        <v>10000000</v>
      </c>
      <c r="P404" s="4">
        <f ca="1">IFERROR(__xludf.DUMMYFUNCTION("IF(Cost_in_dollars!E404=""USD"",Cost_in_dollars!C404,Cost_in_dollars!C404 * GOOGLEFINANCE(""CURRENCY:"" &amp; Cost_in_dollars!E404 &amp; ""USD""))
"),25600000)</f>
        <v>25600000</v>
      </c>
      <c r="Q404" s="4">
        <f t="shared" ca="1" si="6"/>
        <v>15600000</v>
      </c>
      <c r="R404" s="5" t="str">
        <f t="shared" si="7"/>
        <v>The Outsiders</v>
      </c>
      <c r="S404" s="43" t="str">
        <f t="shared" si="10"/>
        <v>Crime</v>
      </c>
    </row>
    <row r="405" spans="1:19" ht="15.75" customHeight="1" x14ac:dyDescent="0.25">
      <c r="A405" s="6" t="s">
        <v>763</v>
      </c>
      <c r="B405" s="6">
        <v>233</v>
      </c>
      <c r="C405" s="6">
        <v>77679638</v>
      </c>
      <c r="D405" s="6" t="s">
        <v>53</v>
      </c>
      <c r="E405" s="6" t="s">
        <v>1358</v>
      </c>
      <c r="F405" s="6" t="s">
        <v>1673</v>
      </c>
      <c r="G405" s="6">
        <v>314033</v>
      </c>
      <c r="H405" s="6" t="s">
        <v>1674</v>
      </c>
      <c r="I405" s="6">
        <v>1166</v>
      </c>
      <c r="J405" s="6" t="s">
        <v>23</v>
      </c>
      <c r="K405" s="6" t="s">
        <v>24</v>
      </c>
      <c r="L405" s="6">
        <v>100000000</v>
      </c>
      <c r="M405" s="6">
        <v>2002</v>
      </c>
      <c r="N405" s="6">
        <v>7.5</v>
      </c>
      <c r="O405" s="4">
        <f ca="1">IFERROR(__xludf.DUMMYFUNCTION("IF(Cost_in_dollars!E405=""USD"",Cost_in_dollars!B405,Cost_in_dollars!B405 * GOOGLEFINANCE(""CURRENCY:"" &amp; Cost_in_dollars!E405 &amp; ""USD""))
"),100000000)</f>
        <v>100000000</v>
      </c>
      <c r="P405" s="4">
        <f ca="1">IFERROR(__xludf.DUMMYFUNCTION("IF(Cost_in_dollars!E405=""USD"",Cost_in_dollars!C405,Cost_in_dollars!C405 * GOOGLEFINANCE(""CURRENCY:"" &amp; Cost_in_dollars!E405 &amp; ""USD""))
"),77679638)</f>
        <v>77679638</v>
      </c>
      <c r="Q405" s="6">
        <f t="shared" ca="1" si="6"/>
        <v>-22320362</v>
      </c>
      <c r="R405" s="7" t="str">
        <f t="shared" si="7"/>
        <v>Gangs of New York</v>
      </c>
      <c r="S405" s="43" t="str">
        <f t="shared" si="10"/>
        <v>Crime</v>
      </c>
    </row>
    <row r="406" spans="1:19" ht="15.75" customHeight="1" x14ac:dyDescent="0.25">
      <c r="A406" s="4" t="s">
        <v>1675</v>
      </c>
      <c r="B406" s="4">
        <v>58</v>
      </c>
      <c r="C406" s="4">
        <v>52543632</v>
      </c>
      <c r="D406" s="4" t="s">
        <v>319</v>
      </c>
      <c r="E406" s="4" t="s">
        <v>1676</v>
      </c>
      <c r="F406" s="4" t="s">
        <v>1677</v>
      </c>
      <c r="G406" s="4">
        <v>12676</v>
      </c>
      <c r="H406" s="4" t="s">
        <v>1678</v>
      </c>
      <c r="I406" s="4">
        <v>84</v>
      </c>
      <c r="J406" s="4" t="s">
        <v>23</v>
      </c>
      <c r="K406" s="4" t="s">
        <v>24</v>
      </c>
      <c r="L406" s="4">
        <v>13200000</v>
      </c>
      <c r="M406" s="4">
        <v>2014</v>
      </c>
      <c r="N406" s="4">
        <v>5.6</v>
      </c>
      <c r="O406" s="4">
        <f ca="1">IFERROR(__xludf.DUMMYFUNCTION("IF(Cost_in_dollars!E406=""USD"",Cost_in_dollars!B406,Cost_in_dollars!B406 * GOOGLEFINANCE(""CURRENCY:"" &amp; Cost_in_dollars!E406 &amp; ""USD""))
"),13200000)</f>
        <v>13200000</v>
      </c>
      <c r="P406" s="4">
        <f ca="1">IFERROR(__xludf.DUMMYFUNCTION("IF(Cost_in_dollars!E406=""USD"",Cost_in_dollars!C406,Cost_in_dollars!C406 * GOOGLEFINANCE(""CURRENCY:"" &amp; Cost_in_dollars!E406 &amp; ""USD""))
"),52543632)</f>
        <v>52543632</v>
      </c>
      <c r="Q406" s="4">
        <f t="shared" ca="1" si="6"/>
        <v>39343632</v>
      </c>
      <c r="R406" s="5" t="str">
        <f t="shared" si="7"/>
        <v>No Good Deed</v>
      </c>
      <c r="S406" s="43" t="str">
        <f t="shared" si="10"/>
        <v>Crime</v>
      </c>
    </row>
    <row r="407" spans="1:19" ht="15.75" customHeight="1" x14ac:dyDescent="0.25">
      <c r="A407" s="6" t="s">
        <v>1679</v>
      </c>
      <c r="B407" s="6">
        <v>38</v>
      </c>
      <c r="C407" s="6">
        <v>6044618</v>
      </c>
      <c r="D407" s="6" t="s">
        <v>981</v>
      </c>
      <c r="E407" s="6" t="s">
        <v>1680</v>
      </c>
      <c r="F407" s="6" t="s">
        <v>1681</v>
      </c>
      <c r="G407" s="6">
        <v>6200</v>
      </c>
      <c r="H407" s="6" t="s">
        <v>1682</v>
      </c>
      <c r="I407" s="6">
        <v>92</v>
      </c>
      <c r="J407" s="6" t="s">
        <v>23</v>
      </c>
      <c r="K407" s="6" t="s">
        <v>24</v>
      </c>
      <c r="L407" s="6">
        <v>10000000</v>
      </c>
      <c r="M407" s="6">
        <v>2002</v>
      </c>
      <c r="N407" s="6">
        <v>5.6</v>
      </c>
      <c r="O407" s="4">
        <f ca="1">IFERROR(__xludf.DUMMYFUNCTION("IF(Cost_in_dollars!E407=""USD"",Cost_in_dollars!B407,Cost_in_dollars!B407 * GOOGLEFINANCE(""CURRENCY:"" &amp; Cost_in_dollars!E407 &amp; ""USD""))
"),10000000)</f>
        <v>10000000</v>
      </c>
      <c r="P407" s="4">
        <f ca="1">IFERROR(__xludf.DUMMYFUNCTION("IF(Cost_in_dollars!E407=""USD"",Cost_in_dollars!C407,Cost_in_dollars!C407 * GOOGLEFINANCE(""CURRENCY:"" &amp; Cost_in_dollars!E407 &amp; ""USD""))
"),6044618)</f>
        <v>6044618</v>
      </c>
      <c r="Q407" s="6">
        <f t="shared" ca="1" si="6"/>
        <v>-3955382</v>
      </c>
      <c r="R407" s="7" t="str">
        <f t="shared" si="7"/>
        <v>Deuces Wild</v>
      </c>
      <c r="S407" s="43" t="str">
        <f t="shared" si="10"/>
        <v>Action</v>
      </c>
    </row>
    <row r="408" spans="1:19" ht="15.75" customHeight="1" x14ac:dyDescent="0.25">
      <c r="A408" s="4" t="s">
        <v>1683</v>
      </c>
      <c r="B408" s="4">
        <v>274</v>
      </c>
      <c r="C408" s="4">
        <v>101055</v>
      </c>
      <c r="D408" s="4" t="s">
        <v>151</v>
      </c>
      <c r="E408" s="4" t="s">
        <v>1684</v>
      </c>
      <c r="F408" s="4" t="s">
        <v>1685</v>
      </c>
      <c r="G408" s="4">
        <v>17478</v>
      </c>
      <c r="H408" s="4" t="s">
        <v>1686</v>
      </c>
      <c r="I408" s="4">
        <v>159</v>
      </c>
      <c r="J408" s="4" t="s">
        <v>23</v>
      </c>
      <c r="K408" s="4" t="s">
        <v>24</v>
      </c>
      <c r="L408" s="4">
        <v>4000000</v>
      </c>
      <c r="M408" s="4">
        <v>2009</v>
      </c>
      <c r="N408" s="4">
        <v>5</v>
      </c>
      <c r="O408" s="4">
        <f ca="1">IFERROR(__xludf.DUMMYFUNCTION("IF(Cost_in_dollars!E408=""USD"",Cost_in_dollars!B408,Cost_in_dollars!B408 * GOOGLEFINANCE(""CURRENCY:"" &amp; Cost_in_dollars!E408 &amp; ""USD""))
"),4000000)</f>
        <v>4000000</v>
      </c>
      <c r="P408" s="4">
        <f ca="1">IFERROR(__xludf.DUMMYFUNCTION("IF(Cost_in_dollars!E408=""USD"",Cost_in_dollars!C408,Cost_in_dollars!C408 * GOOGLEFINANCE(""CURRENCY:"" &amp; Cost_in_dollars!E408 &amp; ""USD""))
"),101055)</f>
        <v>101055</v>
      </c>
      <c r="Q408" s="4">
        <f t="shared" ca="1" si="6"/>
        <v>-3898945</v>
      </c>
      <c r="R408" s="5" t="str">
        <f t="shared" si="7"/>
        <v>Survival of the Dead</v>
      </c>
      <c r="S408" s="43" t="str">
        <f t="shared" si="10"/>
        <v>Horror</v>
      </c>
    </row>
    <row r="409" spans="1:19" ht="15.75" customHeight="1" x14ac:dyDescent="0.25">
      <c r="A409" s="6" t="s">
        <v>1687</v>
      </c>
      <c r="B409" s="6">
        <v>82</v>
      </c>
      <c r="C409" s="6">
        <v>4170647</v>
      </c>
      <c r="D409" s="6" t="s">
        <v>457</v>
      </c>
      <c r="E409" s="6" t="s">
        <v>1612</v>
      </c>
      <c r="F409" s="6" t="s">
        <v>1688</v>
      </c>
      <c r="G409" s="6">
        <v>14548</v>
      </c>
      <c r="H409" s="6" t="s">
        <v>1689</v>
      </c>
      <c r="I409" s="6">
        <v>161</v>
      </c>
      <c r="J409" s="6" t="s">
        <v>23</v>
      </c>
      <c r="K409" s="6" t="s">
        <v>133</v>
      </c>
      <c r="L409" s="6">
        <v>1900000</v>
      </c>
      <c r="M409" s="6">
        <v>1999</v>
      </c>
      <c r="N409" s="6">
        <v>6.9</v>
      </c>
      <c r="O409" s="4">
        <f ca="1">IFERROR(__xludf.DUMMYFUNCTION("IF(Cost_in_dollars!E409=""USD"",Cost_in_dollars!B409,Cost_in_dollars!B409 * GOOGLEFINANCE(""CURRENCY:"" &amp; Cost_in_dollars!E409 &amp; ""USD""))
"),2442259.99999999)</f>
        <v>2442259.9999999902</v>
      </c>
      <c r="P409" s="4">
        <f ca="1">IFERROR(__xludf.DUMMYFUNCTION("IF(Cost_in_dollars!E409=""USD"",Cost_in_dollars!C409,Cost_in_dollars!C409 * GOOGLEFINANCE(""CURRENCY:"" &amp; Cost_in_dollars!E409 &amp; ""USD""))
"),5360949.65379999)</f>
        <v>5360949.6537999902</v>
      </c>
      <c r="Q409" s="6">
        <f t="shared" ca="1" si="6"/>
        <v>2918689.6538</v>
      </c>
      <c r="R409" s="7" t="str">
        <f t="shared" si="7"/>
        <v>East Is East</v>
      </c>
      <c r="S409" s="43" t="str">
        <f t="shared" si="10"/>
        <v>Comedy</v>
      </c>
    </row>
    <row r="410" spans="1:19" ht="15.75" customHeight="1" x14ac:dyDescent="0.25">
      <c r="A410" s="4" t="s">
        <v>1690</v>
      </c>
      <c r="B410" s="4">
        <v>118</v>
      </c>
      <c r="C410" s="4">
        <v>81593527</v>
      </c>
      <c r="D410" s="4" t="s">
        <v>1691</v>
      </c>
      <c r="E410" s="4" t="s">
        <v>805</v>
      </c>
      <c r="F410" s="4" t="s">
        <v>1692</v>
      </c>
      <c r="G410" s="4">
        <v>48806</v>
      </c>
      <c r="H410" s="4" t="s">
        <v>1693</v>
      </c>
      <c r="I410" s="4">
        <v>263</v>
      </c>
      <c r="J410" s="4" t="s">
        <v>23</v>
      </c>
      <c r="K410" s="4" t="s">
        <v>24</v>
      </c>
      <c r="L410" s="4">
        <v>40000000</v>
      </c>
      <c r="M410" s="4">
        <v>2006</v>
      </c>
      <c r="N410" s="4">
        <v>7.3</v>
      </c>
      <c r="O410" s="4">
        <f ca="1">IFERROR(__xludf.DUMMYFUNCTION("IF(Cost_in_dollars!E410=""USD"",Cost_in_dollars!B410,Cost_in_dollars!B410 * GOOGLEFINANCE(""CURRENCY:"" &amp; Cost_in_dollars!E410 &amp; ""USD""))
"),40000000)</f>
        <v>40000000</v>
      </c>
      <c r="P410" s="4">
        <f ca="1">IFERROR(__xludf.DUMMYFUNCTION("IF(Cost_in_dollars!E410=""USD"",Cost_in_dollars!C410,Cost_in_dollars!C410 * GOOGLEFINANCE(""CURRENCY:"" &amp; Cost_in_dollars!E410 &amp; ""USD""))
"),81593527)</f>
        <v>81593527</v>
      </c>
      <c r="Q410" s="4">
        <f t="shared" ca="1" si="6"/>
        <v>41593527</v>
      </c>
      <c r="R410" s="5" t="str">
        <f t="shared" si="7"/>
        <v>Eight Below</v>
      </c>
      <c r="S410" s="43" t="str">
        <f t="shared" si="10"/>
        <v>Adventure</v>
      </c>
    </row>
    <row r="411" spans="1:19" ht="15.75" customHeight="1" x14ac:dyDescent="0.25">
      <c r="A411" s="6" t="s">
        <v>1694</v>
      </c>
      <c r="B411" s="6">
        <v>108</v>
      </c>
      <c r="C411" s="6">
        <v>87856565</v>
      </c>
      <c r="D411" s="6" t="s">
        <v>88</v>
      </c>
      <c r="E411" s="6" t="s">
        <v>1347</v>
      </c>
      <c r="F411" s="6" t="s">
        <v>1695</v>
      </c>
      <c r="G411" s="6">
        <v>106909</v>
      </c>
      <c r="H411" s="6" t="s">
        <v>1696</v>
      </c>
      <c r="I411" s="6">
        <v>268</v>
      </c>
      <c r="J411" s="6" t="s">
        <v>23</v>
      </c>
      <c r="K411" s="6" t="s">
        <v>24</v>
      </c>
      <c r="L411" s="6">
        <v>42000000</v>
      </c>
      <c r="M411" s="6">
        <v>2004</v>
      </c>
      <c r="N411" s="6">
        <v>5.9</v>
      </c>
      <c r="O411" s="4">
        <f ca="1">IFERROR(__xludf.DUMMYFUNCTION("IF(Cost_in_dollars!E411=""USD"",Cost_in_dollars!B411,Cost_in_dollars!B411 * GOOGLEFINANCE(""CURRENCY:"" &amp; Cost_in_dollars!E411 &amp; ""USD""))
"),42000000)</f>
        <v>42000000</v>
      </c>
      <c r="P411" s="4">
        <f ca="1">IFERROR(__xludf.DUMMYFUNCTION("IF(Cost_in_dollars!E411=""USD"",Cost_in_dollars!C411,Cost_in_dollars!C411 * GOOGLEFINANCE(""CURRENCY:"" &amp; Cost_in_dollars!E411 &amp; ""USD""))
"),87856565)</f>
        <v>87856565</v>
      </c>
      <c r="Q411" s="6">
        <f t="shared" ca="1" si="6"/>
        <v>45856565</v>
      </c>
      <c r="R411" s="7" t="str">
        <f t="shared" si="7"/>
        <v>Along Came Polly</v>
      </c>
      <c r="S411" s="43" t="str">
        <f t="shared" si="10"/>
        <v>Comedy</v>
      </c>
    </row>
    <row r="412" spans="1:19" ht="15.75" customHeight="1" x14ac:dyDescent="0.25">
      <c r="A412" s="4" t="s">
        <v>1697</v>
      </c>
      <c r="B412" s="4">
        <v>272</v>
      </c>
      <c r="C412" s="4">
        <v>23219748</v>
      </c>
      <c r="D412" s="4" t="s">
        <v>1698</v>
      </c>
      <c r="E412" s="4" t="s">
        <v>1699</v>
      </c>
      <c r="F412" s="4" t="s">
        <v>1700</v>
      </c>
      <c r="G412" s="4">
        <v>84508</v>
      </c>
      <c r="H412" s="4" t="s">
        <v>1701</v>
      </c>
      <c r="I412" s="4">
        <v>308</v>
      </c>
      <c r="J412" s="4" t="s">
        <v>23</v>
      </c>
      <c r="K412" s="4" t="s">
        <v>627</v>
      </c>
      <c r="L412" s="4">
        <v>80000000</v>
      </c>
      <c r="M412" s="4">
        <v>2014</v>
      </c>
      <c r="N412" s="4">
        <v>5.6</v>
      </c>
      <c r="O412" s="4">
        <f ca="1">IFERROR(__xludf.DUMMYFUNCTION("IF(Cost_in_dollars!E412=""USD"",Cost_in_dollars!B412,Cost_in_dollars!B412 * GOOGLEFINANCE(""CURRENCY:"" &amp; Cost_in_dollars!E412 &amp; ""USD""))
"),57872400)</f>
        <v>57872400</v>
      </c>
      <c r="P412" s="4">
        <f ca="1">IFERROR(__xludf.DUMMYFUNCTION("IF(Cost_in_dollars!E412=""USD"",Cost_in_dollars!C412,Cost_in_dollars!C412 * GOOGLEFINANCE(""CURRENCY:"" &amp; Cost_in_dollars!E412 &amp; ""USD""))
"),16797281.8019399)</f>
        <v>16797281.801939901</v>
      </c>
      <c r="Q412" s="4">
        <f t="shared" ca="1" si="6"/>
        <v>-41075118.198060095</v>
      </c>
      <c r="R412" s="5" t="str">
        <f t="shared" si="7"/>
        <v>Pompeii</v>
      </c>
      <c r="S412" s="43" t="str">
        <f t="shared" si="10"/>
        <v>Action</v>
      </c>
    </row>
    <row r="413" spans="1:19" ht="15.75" customHeight="1" x14ac:dyDescent="0.25">
      <c r="A413" s="6" t="s">
        <v>1702</v>
      </c>
      <c r="B413" s="6">
        <v>151</v>
      </c>
      <c r="C413" s="6">
        <v>36447959</v>
      </c>
      <c r="D413" s="6" t="s">
        <v>1127</v>
      </c>
      <c r="E413" s="6" t="s">
        <v>1703</v>
      </c>
      <c r="F413" s="6" t="s">
        <v>1704</v>
      </c>
      <c r="G413" s="6">
        <v>35833</v>
      </c>
      <c r="H413" s="6" t="s">
        <v>1705</v>
      </c>
      <c r="I413" s="6">
        <v>96</v>
      </c>
      <c r="J413" s="6" t="s">
        <v>23</v>
      </c>
      <c r="K413" s="6" t="s">
        <v>24</v>
      </c>
      <c r="L413" s="6">
        <v>25000000</v>
      </c>
      <c r="M413" s="6">
        <v>2014</v>
      </c>
      <c r="N413" s="6">
        <v>7</v>
      </c>
      <c r="O413" s="4">
        <f ca="1">IFERROR(__xludf.DUMMYFUNCTION("IF(Cost_in_dollars!E413=""USD"",Cost_in_dollars!B413,Cost_in_dollars!B413 * GOOGLEFINANCE(""CURRENCY:"" &amp; Cost_in_dollars!E413 &amp; ""USD""))
"),25000000)</f>
        <v>25000000</v>
      </c>
      <c r="P413" s="4">
        <f ca="1">IFERROR(__xludf.DUMMYFUNCTION("IF(Cost_in_dollars!E413=""USD"",Cost_in_dollars!C413,Cost_in_dollars!C413 * GOOGLEFINANCE(""CURRENCY:"" &amp; Cost_in_dollars!E413 &amp; ""USD""))
"),36447959)</f>
        <v>36447959</v>
      </c>
      <c r="Q413" s="6">
        <f t="shared" ca="1" si="6"/>
        <v>11447959</v>
      </c>
      <c r="R413" s="7" t="str">
        <f t="shared" si="7"/>
        <v>Million Dollar Arm</v>
      </c>
      <c r="S413" s="43" t="str">
        <f t="shared" si="10"/>
        <v>Biography</v>
      </c>
    </row>
    <row r="414" spans="1:19" ht="15.75" customHeight="1" x14ac:dyDescent="0.25">
      <c r="A414" s="4" t="s">
        <v>1706</v>
      </c>
      <c r="B414" s="4">
        <v>556</v>
      </c>
      <c r="C414" s="4">
        <v>183635922</v>
      </c>
      <c r="D414" s="4" t="s">
        <v>1707</v>
      </c>
      <c r="E414" s="4" t="s">
        <v>1358</v>
      </c>
      <c r="F414" s="4" t="s">
        <v>1708</v>
      </c>
      <c r="G414" s="4">
        <v>406020</v>
      </c>
      <c r="H414" s="4" t="s">
        <v>1709</v>
      </c>
      <c r="I414" s="4">
        <v>1188</v>
      </c>
      <c r="J414" s="4" t="s">
        <v>23</v>
      </c>
      <c r="K414" s="4" t="s">
        <v>24</v>
      </c>
      <c r="L414" s="4">
        <v>135000000</v>
      </c>
      <c r="M414" s="4">
        <v>2015</v>
      </c>
      <c r="N414" s="4">
        <v>8.1</v>
      </c>
      <c r="O414" s="4">
        <f ca="1">IFERROR(__xludf.DUMMYFUNCTION("IF(Cost_in_dollars!E414=""USD"",Cost_in_dollars!B414,Cost_in_dollars!B414 * GOOGLEFINANCE(""CURRENCY:"" &amp; Cost_in_dollars!E414 &amp; ""USD""))
"),135000000)</f>
        <v>135000000</v>
      </c>
      <c r="P414" s="4">
        <f ca="1">IFERROR(__xludf.DUMMYFUNCTION("IF(Cost_in_dollars!E414=""USD"",Cost_in_dollars!C414,Cost_in_dollars!C414 * GOOGLEFINANCE(""CURRENCY:"" &amp; Cost_in_dollars!E414 &amp; ""USD""))
"),183635922)</f>
        <v>183635922</v>
      </c>
      <c r="Q414" s="4">
        <f t="shared" ca="1" si="6"/>
        <v>48635922</v>
      </c>
      <c r="R414" s="5" t="str">
        <f t="shared" si="7"/>
        <v>The Revenant</v>
      </c>
      <c r="S414" s="43" t="str">
        <f t="shared" si="10"/>
        <v>Adventure</v>
      </c>
    </row>
    <row r="415" spans="1:19" ht="15.75" customHeight="1" x14ac:dyDescent="0.25">
      <c r="A415" s="6" t="s">
        <v>1710</v>
      </c>
      <c r="B415" s="6">
        <v>197</v>
      </c>
      <c r="C415" s="6">
        <v>37760080</v>
      </c>
      <c r="D415" s="6" t="s">
        <v>1711</v>
      </c>
      <c r="E415" s="6" t="s">
        <v>847</v>
      </c>
      <c r="F415" s="6" t="s">
        <v>1712</v>
      </c>
      <c r="G415" s="6">
        <v>72868</v>
      </c>
      <c r="H415" s="6" t="s">
        <v>1713</v>
      </c>
      <c r="I415" s="6">
        <v>618</v>
      </c>
      <c r="J415" s="6" t="s">
        <v>23</v>
      </c>
      <c r="K415" s="6" t="s">
        <v>24</v>
      </c>
      <c r="L415" s="6">
        <v>70000000</v>
      </c>
      <c r="M415" s="6">
        <v>2004</v>
      </c>
      <c r="N415" s="6">
        <v>6.1</v>
      </c>
      <c r="O415" s="4">
        <f ca="1">IFERROR(__xludf.DUMMYFUNCTION("IF(Cost_in_dollars!E415=""USD"",Cost_in_dollars!B415,Cost_in_dollars!B415 * GOOGLEFINANCE(""CURRENCY:"" &amp; Cost_in_dollars!E415 &amp; ""USD""))
"),70000000)</f>
        <v>70000000</v>
      </c>
      <c r="P415" s="4">
        <f ca="1">IFERROR(__xludf.DUMMYFUNCTION("IF(Cost_in_dollars!E415=""USD"",Cost_in_dollars!C415,Cost_in_dollars!C415 * GOOGLEFINANCE(""CURRENCY:"" &amp; Cost_in_dollars!E415 &amp; ""USD""))
"),37760080)</f>
        <v>37760080</v>
      </c>
      <c r="Q415" s="6">
        <f t="shared" ca="1" si="6"/>
        <v>-32239920</v>
      </c>
      <c r="R415" s="7" t="str">
        <f t="shared" si="7"/>
        <v>Sky Captain and the World of Tomorrow</v>
      </c>
      <c r="S415" s="43" t="str">
        <f t="shared" si="10"/>
        <v>Action</v>
      </c>
    </row>
    <row r="416" spans="1:19" ht="15.75" customHeight="1" x14ac:dyDescent="0.25">
      <c r="A416" s="4" t="s">
        <v>30</v>
      </c>
      <c r="B416" s="4">
        <v>123</v>
      </c>
      <c r="C416" s="4">
        <v>1512815</v>
      </c>
      <c r="D416" s="4" t="s">
        <v>36</v>
      </c>
      <c r="E416" s="4" t="s">
        <v>1091</v>
      </c>
      <c r="F416" s="4" t="s">
        <v>1714</v>
      </c>
      <c r="G416" s="4">
        <v>8885</v>
      </c>
      <c r="H416" s="4" t="s">
        <v>1715</v>
      </c>
      <c r="I416" s="4">
        <v>56</v>
      </c>
      <c r="J416" s="4" t="s">
        <v>23</v>
      </c>
      <c r="K416" s="4" t="s">
        <v>24</v>
      </c>
      <c r="L416" s="4">
        <v>25000000</v>
      </c>
      <c r="M416" s="4">
        <v>2016</v>
      </c>
      <c r="N416" s="4">
        <v>5.8</v>
      </c>
      <c r="O416" s="4">
        <f ca="1">IFERROR(__xludf.DUMMYFUNCTION("IF(Cost_in_dollars!E416=""USD"",Cost_in_dollars!B416,Cost_in_dollars!B416 * GOOGLEFINANCE(""CURRENCY:"" &amp; Cost_in_dollars!E416 &amp; ""USD""))
"),25000000)</f>
        <v>25000000</v>
      </c>
      <c r="P416" s="4">
        <f ca="1">IFERROR(__xludf.DUMMYFUNCTION("IF(Cost_in_dollars!E416=""USD"",Cost_in_dollars!C416,Cost_in_dollars!C416 * GOOGLEFINANCE(""CURRENCY:"" &amp; Cost_in_dollars!E416 &amp; ""USD""))
"),1512815)</f>
        <v>1512815</v>
      </c>
      <c r="Q416" s="4">
        <f t="shared" ca="1" si="6"/>
        <v>-23487185</v>
      </c>
      <c r="R416" s="5" t="str">
        <f t="shared" si="7"/>
        <v>Jane Got a Gun</v>
      </c>
      <c r="S416" s="43" t="str">
        <f t="shared" si="10"/>
        <v>Action</v>
      </c>
    </row>
    <row r="417" spans="1:19" ht="15.75" customHeight="1" x14ac:dyDescent="0.25">
      <c r="A417" s="6" t="s">
        <v>1716</v>
      </c>
      <c r="B417" s="6">
        <v>131</v>
      </c>
      <c r="C417" s="6">
        <v>9664316</v>
      </c>
      <c r="D417" s="6" t="s">
        <v>372</v>
      </c>
      <c r="E417" s="6" t="s">
        <v>881</v>
      </c>
      <c r="F417" s="6" t="s">
        <v>1717</v>
      </c>
      <c r="G417" s="6">
        <v>47203</v>
      </c>
      <c r="H417" s="6" t="s">
        <v>1718</v>
      </c>
      <c r="I417" s="6">
        <v>197</v>
      </c>
      <c r="J417" s="6" t="s">
        <v>23</v>
      </c>
      <c r="K417" s="6" t="s">
        <v>24</v>
      </c>
      <c r="L417" s="6">
        <v>27500000</v>
      </c>
      <c r="M417" s="6">
        <v>2007</v>
      </c>
      <c r="N417" s="6">
        <v>6.8</v>
      </c>
      <c r="O417" s="4">
        <f ca="1">IFERROR(__xludf.DUMMYFUNCTION("IF(Cost_in_dollars!E417=""USD"",Cost_in_dollars!B417,Cost_in_dollars!B417 * GOOGLEFINANCE(""CURRENCY:"" &amp; Cost_in_dollars!E417 &amp; ""USD""))
"),27500000)</f>
        <v>27500000</v>
      </c>
      <c r="P417" s="4">
        <f ca="1">IFERROR(__xludf.DUMMYFUNCTION("IF(Cost_in_dollars!E417=""USD"",Cost_in_dollars!C417,Cost_in_dollars!C417 * GOOGLEFINANCE(""CURRENCY:"" &amp; Cost_in_dollars!E417 &amp; ""USD""))
"),9664316)</f>
        <v>9664316</v>
      </c>
      <c r="Q417" s="6">
        <f t="shared" ca="1" si="6"/>
        <v>-17835684</v>
      </c>
      <c r="R417" s="7" t="str">
        <f t="shared" si="7"/>
        <v>Rendition</v>
      </c>
      <c r="S417" s="43" t="str">
        <f t="shared" si="10"/>
        <v>Drama</v>
      </c>
    </row>
    <row r="418" spans="1:19" ht="15.75" customHeight="1" x14ac:dyDescent="0.25">
      <c r="A418" s="4" t="s">
        <v>128</v>
      </c>
      <c r="B418" s="4">
        <v>427</v>
      </c>
      <c r="C418" s="4">
        <v>26003149</v>
      </c>
      <c r="D418" s="4" t="s">
        <v>1719</v>
      </c>
      <c r="E418" s="4" t="s">
        <v>1720</v>
      </c>
      <c r="F418" s="4" t="s">
        <v>1721</v>
      </c>
      <c r="G418" s="4">
        <v>185587</v>
      </c>
      <c r="H418" s="4" t="s">
        <v>1722</v>
      </c>
      <c r="I418" s="4">
        <v>401</v>
      </c>
      <c r="J418" s="4" t="s">
        <v>23</v>
      </c>
      <c r="K418" s="4" t="s">
        <v>133</v>
      </c>
      <c r="L418" s="4">
        <v>20000000</v>
      </c>
      <c r="M418" s="4">
        <v>2013</v>
      </c>
      <c r="N418" s="4">
        <v>7</v>
      </c>
      <c r="O418" s="4">
        <f ca="1">IFERROR(__xludf.DUMMYFUNCTION("IF(Cost_in_dollars!E418=""USD"",Cost_in_dollars!B418,Cost_in_dollars!B418 * GOOGLEFINANCE(""CURRENCY:"" &amp; Cost_in_dollars!E418 &amp; ""USD""))
"),25707999.9999999)</f>
        <v>25707999.999999899</v>
      </c>
      <c r="P418" s="4">
        <f ca="1">IFERROR(__xludf.DUMMYFUNCTION("IF(Cost_in_dollars!E418=""USD"",Cost_in_dollars!C418,Cost_in_dollars!C418 * GOOGLEFINANCE(""CURRENCY:"" &amp; Cost_in_dollars!E418 &amp; ""USD""))
"),33424447.7246)</f>
        <v>33424447.724599998</v>
      </c>
      <c r="Q418" s="4">
        <f t="shared" ca="1" si="6"/>
        <v>7716447.724600099</v>
      </c>
      <c r="R418" s="5" t="str">
        <f t="shared" si="7"/>
        <v>The World's End</v>
      </c>
      <c r="S418" s="43" t="str">
        <f t="shared" si="10"/>
        <v>Action</v>
      </c>
    </row>
    <row r="419" spans="1:19" ht="15.75" customHeight="1" x14ac:dyDescent="0.25">
      <c r="A419" s="6" t="s">
        <v>1723</v>
      </c>
      <c r="B419" s="6">
        <v>196</v>
      </c>
      <c r="C419" s="6">
        <v>111505642</v>
      </c>
      <c r="D419" s="6" t="s">
        <v>19</v>
      </c>
      <c r="E419" s="6" t="s">
        <v>1724</v>
      </c>
      <c r="F419" s="6" t="s">
        <v>1725</v>
      </c>
      <c r="G419" s="6">
        <v>47900</v>
      </c>
      <c r="H419" s="6" t="s">
        <v>1726</v>
      </c>
      <c r="I419" s="6">
        <v>130</v>
      </c>
      <c r="J419" s="6" t="s">
        <v>23</v>
      </c>
      <c r="K419" s="6" t="s">
        <v>24</v>
      </c>
      <c r="L419" s="6">
        <v>145000000</v>
      </c>
      <c r="M419" s="6">
        <v>2014</v>
      </c>
      <c r="N419" s="6">
        <v>6.9</v>
      </c>
      <c r="O419" s="4">
        <f ca="1">IFERROR(__xludf.DUMMYFUNCTION("IF(Cost_in_dollars!E419=""USD"",Cost_in_dollars!B419,Cost_in_dollars!B419 * GOOGLEFINANCE(""CURRENCY:"" &amp; Cost_in_dollars!E419 &amp; ""USD""))
"),145000000)</f>
        <v>145000000</v>
      </c>
      <c r="P419" s="4">
        <f ca="1">IFERROR(__xludf.DUMMYFUNCTION("IF(Cost_in_dollars!E419=""USD"",Cost_in_dollars!C419,Cost_in_dollars!C419 * GOOGLEFINANCE(""CURRENCY:"" &amp; Cost_in_dollars!E419 &amp; ""USD""))
"),111505642)</f>
        <v>111505642</v>
      </c>
      <c r="Q419" s="6">
        <f t="shared" ca="1" si="6"/>
        <v>-33494358</v>
      </c>
      <c r="R419" s="7" t="str">
        <f t="shared" si="7"/>
        <v>Mr. Peabody &amp; Sherman</v>
      </c>
      <c r="S419" s="43" t="str">
        <f t="shared" si="10"/>
        <v>Adventure</v>
      </c>
    </row>
    <row r="420" spans="1:19" ht="15.75" customHeight="1" x14ac:dyDescent="0.25">
      <c r="A420" s="4" t="s">
        <v>1727</v>
      </c>
      <c r="B420" s="4">
        <v>183</v>
      </c>
      <c r="C420" s="4">
        <v>50820940</v>
      </c>
      <c r="D420" s="4" t="s">
        <v>1242</v>
      </c>
      <c r="E420" s="4" t="s">
        <v>1728</v>
      </c>
      <c r="F420" s="4" t="s">
        <v>1729</v>
      </c>
      <c r="G420" s="4">
        <v>31915</v>
      </c>
      <c r="H420" s="4" t="s">
        <v>1730</v>
      </c>
      <c r="I420" s="4">
        <v>159</v>
      </c>
      <c r="J420" s="4" t="s">
        <v>23</v>
      </c>
      <c r="K420" s="4" t="s">
        <v>24</v>
      </c>
      <c r="L420" s="4">
        <v>5000000</v>
      </c>
      <c r="M420" s="4">
        <v>2014</v>
      </c>
      <c r="N420" s="4">
        <v>4.4000000000000004</v>
      </c>
      <c r="O420" s="4">
        <f ca="1">IFERROR(__xludf.DUMMYFUNCTION("IF(Cost_in_dollars!E420=""USD"",Cost_in_dollars!B420,Cost_in_dollars!B420 * GOOGLEFINANCE(""CURRENCY:"" &amp; Cost_in_dollars!E420 &amp; ""USD""))
"),5000000)</f>
        <v>5000000</v>
      </c>
      <c r="P420" s="4">
        <f ca="1">IFERROR(__xludf.DUMMYFUNCTION("IF(Cost_in_dollars!E420=""USD"",Cost_in_dollars!C420,Cost_in_dollars!C420 * GOOGLEFINANCE(""CURRENCY:"" &amp; Cost_in_dollars!E420 &amp; ""USD""))
"),50820940)</f>
        <v>50820940</v>
      </c>
      <c r="Q420" s="4">
        <f t="shared" ca="1" si="6"/>
        <v>45820940</v>
      </c>
      <c r="R420" s="5" t="str">
        <f t="shared" si="7"/>
        <v>Ouija</v>
      </c>
      <c r="S420" s="43" t="str">
        <f t="shared" si="10"/>
        <v>Fantasy</v>
      </c>
    </row>
    <row r="421" spans="1:19" ht="15.75" customHeight="1" x14ac:dyDescent="0.25">
      <c r="A421" s="6" t="s">
        <v>1731</v>
      </c>
      <c r="B421" s="6">
        <v>212</v>
      </c>
      <c r="C421" s="6">
        <v>30993544</v>
      </c>
      <c r="D421" s="6" t="s">
        <v>162</v>
      </c>
      <c r="E421" s="6" t="s">
        <v>1732</v>
      </c>
      <c r="F421" s="6" t="s">
        <v>1733</v>
      </c>
      <c r="G421" s="6">
        <v>58871</v>
      </c>
      <c r="H421" s="6" t="s">
        <v>1734</v>
      </c>
      <c r="I421" s="6">
        <v>156</v>
      </c>
      <c r="J421" s="6" t="s">
        <v>23</v>
      </c>
      <c r="K421" s="6" t="s">
        <v>24</v>
      </c>
      <c r="L421" s="6">
        <v>40000000</v>
      </c>
      <c r="M421" s="6">
        <v>2010</v>
      </c>
      <c r="N421" s="6">
        <v>6.5</v>
      </c>
      <c r="O421" s="4">
        <f ca="1">IFERROR(__xludf.DUMMYFUNCTION("IF(Cost_in_dollars!E421=""USD"",Cost_in_dollars!B421,Cost_in_dollars!B421 * GOOGLEFINANCE(""CURRENCY:"" &amp; Cost_in_dollars!E421 &amp; ""USD""))
"),40000000)</f>
        <v>40000000</v>
      </c>
      <c r="P421" s="4">
        <f ca="1">IFERROR(__xludf.DUMMYFUNCTION("IF(Cost_in_dollars!E421=""USD"",Cost_in_dollars!C421,Cost_in_dollars!C421 * GOOGLEFINANCE(""CURRENCY:"" &amp; Cost_in_dollars!E421 &amp; ""USD""))
"),30993544)</f>
        <v>30993544</v>
      </c>
      <c r="Q421" s="6">
        <f t="shared" ca="1" si="6"/>
        <v>-9006456</v>
      </c>
      <c r="R421" s="7" t="str">
        <f t="shared" si="7"/>
        <v>Morning Glory</v>
      </c>
      <c r="S421" s="43" t="str">
        <f t="shared" si="10"/>
        <v>Comedy</v>
      </c>
    </row>
    <row r="422" spans="1:19" ht="15.75" customHeight="1" x14ac:dyDescent="0.25">
      <c r="A422" s="4" t="s">
        <v>1735</v>
      </c>
      <c r="B422" s="4">
        <v>40</v>
      </c>
      <c r="C422" s="4">
        <v>144431</v>
      </c>
      <c r="D422" s="4" t="s">
        <v>1736</v>
      </c>
      <c r="E422" s="4" t="s">
        <v>1737</v>
      </c>
      <c r="F422" s="4" t="s">
        <v>1738</v>
      </c>
      <c r="G422" s="4">
        <v>1290</v>
      </c>
      <c r="H422" s="4" t="s">
        <v>1739</v>
      </c>
      <c r="I422" s="4">
        <v>13</v>
      </c>
      <c r="J422" s="4" t="s">
        <v>23</v>
      </c>
      <c r="K422" s="4" t="s">
        <v>133</v>
      </c>
      <c r="L422" s="4">
        <v>1000000</v>
      </c>
      <c r="M422" s="4">
        <v>2006</v>
      </c>
      <c r="N422" s="4">
        <v>7.3</v>
      </c>
      <c r="O422" s="4">
        <f ca="1">IFERROR(__xludf.DUMMYFUNCTION("IF(Cost_in_dollars!E422=""USD"",Cost_in_dollars!B422,Cost_in_dollars!B422 * GOOGLEFINANCE(""CURRENCY:"" &amp; Cost_in_dollars!E422 &amp; ""USD""))
"),1285399.99999999)</f>
        <v>1285399.99999999</v>
      </c>
      <c r="P422" s="4">
        <f ca="1">IFERROR(__xludf.DUMMYFUNCTION("IF(Cost_in_dollars!E422=""USD"",Cost_in_dollars!C422,Cost_in_dollars!C422 * GOOGLEFINANCE(""CURRENCY:"" &amp; Cost_in_dollars!E422 &amp; ""USD""))
"),185651.607399999)</f>
        <v>185651.60739999899</v>
      </c>
      <c r="Q422" s="4">
        <f t="shared" ca="1" si="6"/>
        <v>-1099748.3925999911</v>
      </c>
      <c r="R422" s="5" t="str">
        <f t="shared" si="7"/>
        <v>Once in a Lifetime: The Extraordinary Story of the New York Cosmos</v>
      </c>
      <c r="S422" s="43" t="str">
        <f t="shared" si="10"/>
        <v>Documentary</v>
      </c>
    </row>
    <row r="423" spans="1:19" ht="15.75" customHeight="1" x14ac:dyDescent="0.25">
      <c r="A423" s="6" t="s">
        <v>1740</v>
      </c>
      <c r="B423" s="6">
        <v>81</v>
      </c>
      <c r="C423" s="6">
        <v>90800000</v>
      </c>
      <c r="D423" s="6" t="s">
        <v>1741</v>
      </c>
      <c r="E423" s="6" t="s">
        <v>1742</v>
      </c>
      <c r="F423" s="6" t="s">
        <v>1743</v>
      </c>
      <c r="G423" s="6">
        <v>126907</v>
      </c>
      <c r="H423" s="6" t="s">
        <v>1744</v>
      </c>
      <c r="I423" s="6">
        <v>235</v>
      </c>
      <c r="J423" s="6" t="s">
        <v>23</v>
      </c>
      <c r="K423" s="6" t="s">
        <v>24</v>
      </c>
      <c r="L423" s="6">
        <v>8000000</v>
      </c>
      <c r="M423" s="6">
        <v>1984</v>
      </c>
      <c r="N423" s="6">
        <v>7.2</v>
      </c>
      <c r="O423" s="4">
        <f ca="1">IFERROR(__xludf.DUMMYFUNCTION("IF(Cost_in_dollars!E423=""USD"",Cost_in_dollars!B423,Cost_in_dollars!B423 * GOOGLEFINANCE(""CURRENCY:"" &amp; Cost_in_dollars!E423 &amp; ""USD""))
"),8000000)</f>
        <v>8000000</v>
      </c>
      <c r="P423" s="4">
        <f ca="1">IFERROR(__xludf.DUMMYFUNCTION("IF(Cost_in_dollars!E423=""USD"",Cost_in_dollars!C423,Cost_in_dollars!C423 * GOOGLEFINANCE(""CURRENCY:"" &amp; Cost_in_dollars!E423 &amp; ""USD""))
"),90800000)</f>
        <v>90800000</v>
      </c>
      <c r="Q423" s="6">
        <f t="shared" ca="1" si="6"/>
        <v>82800000</v>
      </c>
      <c r="R423" s="7" t="str">
        <f t="shared" si="7"/>
        <v>The Karate Kid</v>
      </c>
      <c r="S423" s="43" t="str">
        <f t="shared" si="10"/>
        <v>Action</v>
      </c>
    </row>
    <row r="424" spans="1:19" ht="15.75" customHeight="1" x14ac:dyDescent="0.25">
      <c r="A424" s="4" t="s">
        <v>1745</v>
      </c>
      <c r="B424" s="4">
        <v>49</v>
      </c>
      <c r="C424" s="4">
        <v>10429707</v>
      </c>
      <c r="D424" s="4" t="s">
        <v>140</v>
      </c>
      <c r="E424" s="4" t="s">
        <v>355</v>
      </c>
      <c r="F424" s="4" t="s">
        <v>1746</v>
      </c>
      <c r="G424" s="4">
        <v>10483</v>
      </c>
      <c r="H424" s="4" t="s">
        <v>1747</v>
      </c>
      <c r="I424" s="4">
        <v>125</v>
      </c>
      <c r="J424" s="4" t="s">
        <v>23</v>
      </c>
      <c r="K424" s="4" t="s">
        <v>24</v>
      </c>
      <c r="L424" s="4">
        <v>5000000</v>
      </c>
      <c r="M424" s="4">
        <v>2014</v>
      </c>
      <c r="N424" s="4">
        <v>5.4</v>
      </c>
      <c r="O424" s="4">
        <f ca="1">IFERROR(__xludf.DUMMYFUNCTION("IF(Cost_in_dollars!E424=""USD"",Cost_in_dollars!B424,Cost_in_dollars!B424 * GOOGLEFINANCE(""CURRENCY:"" &amp; Cost_in_dollars!E424 &amp; ""USD""))
"),5000000)</f>
        <v>5000000</v>
      </c>
      <c r="P424" s="4">
        <f ca="1">IFERROR(__xludf.DUMMYFUNCTION("IF(Cost_in_dollars!E424=""USD"",Cost_in_dollars!C424,Cost_in_dollars!C424 * GOOGLEFINANCE(""CURRENCY:"" &amp; Cost_in_dollars!E424 &amp; ""USD""))
"),10429707)</f>
        <v>10429707</v>
      </c>
      <c r="Q424" s="4">
        <f t="shared" ca="1" si="6"/>
        <v>5429707</v>
      </c>
      <c r="R424" s="5" t="str">
        <f t="shared" si="7"/>
        <v>Moms' Night Out</v>
      </c>
      <c r="S424" s="43" t="str">
        <f t="shared" si="10"/>
        <v>Comedy</v>
      </c>
    </row>
    <row r="425" spans="1:19" ht="15.75" customHeight="1" x14ac:dyDescent="0.25">
      <c r="A425" s="6" t="s">
        <v>1748</v>
      </c>
      <c r="B425" s="6">
        <v>180</v>
      </c>
      <c r="C425" s="6">
        <v>20488579</v>
      </c>
      <c r="D425" s="6" t="s">
        <v>1749</v>
      </c>
      <c r="E425" s="6" t="s">
        <v>833</v>
      </c>
      <c r="F425" s="6" t="s">
        <v>1750</v>
      </c>
      <c r="G425" s="6">
        <v>113483</v>
      </c>
      <c r="H425" s="6" t="s">
        <v>1751</v>
      </c>
      <c r="I425" s="6">
        <v>245</v>
      </c>
      <c r="J425" s="6" t="s">
        <v>23</v>
      </c>
      <c r="K425" s="6" t="s">
        <v>24</v>
      </c>
      <c r="L425" s="6">
        <v>50000000</v>
      </c>
      <c r="M425" s="6">
        <v>2009</v>
      </c>
      <c r="N425" s="6">
        <v>5.8</v>
      </c>
      <c r="O425" s="4">
        <f ca="1">IFERROR(__xludf.DUMMYFUNCTION("IF(Cost_in_dollars!E425=""USD"",Cost_in_dollars!B425,Cost_in_dollars!B425 * GOOGLEFINANCE(""CURRENCY:"" &amp; Cost_in_dollars!E425 &amp; ""USD""))
"),50000000)</f>
        <v>50000000</v>
      </c>
      <c r="P425" s="4">
        <f ca="1">IFERROR(__xludf.DUMMYFUNCTION("IF(Cost_in_dollars!E425=""USD"",Cost_in_dollars!C425,Cost_in_dollars!C425 * GOOGLEFINANCE(""CURRENCY:"" &amp; Cost_in_dollars!E425 &amp; ""USD""))
"),20488579)</f>
        <v>20488579</v>
      </c>
      <c r="Q425" s="6">
        <f t="shared" ca="1" si="6"/>
        <v>-29511421</v>
      </c>
      <c r="R425" s="7" t="str">
        <f t="shared" si="7"/>
        <v>Gamer</v>
      </c>
      <c r="S425" s="43" t="str">
        <f t="shared" si="10"/>
        <v>Action</v>
      </c>
    </row>
    <row r="426" spans="1:19" ht="15.75" customHeight="1" x14ac:dyDescent="0.25">
      <c r="A426" s="4" t="s">
        <v>1752</v>
      </c>
      <c r="B426" s="4">
        <v>204</v>
      </c>
      <c r="C426" s="4">
        <v>58879132</v>
      </c>
      <c r="D426" s="4" t="s">
        <v>696</v>
      </c>
      <c r="E426" s="4" t="s">
        <v>1449</v>
      </c>
      <c r="F426" s="4" t="s">
        <v>1753</v>
      </c>
      <c r="G426" s="4">
        <v>66123</v>
      </c>
      <c r="H426" s="4" t="s">
        <v>1754</v>
      </c>
      <c r="I426" s="4">
        <v>219</v>
      </c>
      <c r="J426" s="4" t="s">
        <v>23</v>
      </c>
      <c r="K426" s="4" t="s">
        <v>24</v>
      </c>
      <c r="L426" s="4">
        <v>31000000</v>
      </c>
      <c r="M426" s="4">
        <v>2015</v>
      </c>
      <c r="N426" s="4">
        <v>6.1</v>
      </c>
      <c r="O426" s="4">
        <f ca="1">IFERROR(__xludf.DUMMYFUNCTION("IF(Cost_in_dollars!E426=""USD"",Cost_in_dollars!B426,Cost_in_dollars!B426 * GOOGLEFINANCE(""CURRENCY:"" &amp; Cost_in_dollars!E426 &amp; ""USD""))
"),31000000)</f>
        <v>31000000</v>
      </c>
      <c r="P426" s="4">
        <f ca="1">IFERROR(__xludf.DUMMYFUNCTION("IF(Cost_in_dollars!E426=""USD"",Cost_in_dollars!C426,Cost_in_dollars!C426 * GOOGLEFINANCE(""CURRENCY:"" &amp; Cost_in_dollars!E426 &amp; ""USD""))
"),58879132)</f>
        <v>58879132</v>
      </c>
      <c r="Q426" s="4">
        <f t="shared" ca="1" si="6"/>
        <v>27879132</v>
      </c>
      <c r="R426" s="5" t="str">
        <f t="shared" si="7"/>
        <v>Vacation</v>
      </c>
      <c r="S426" s="43" t="str">
        <f t="shared" si="10"/>
        <v>Adventure</v>
      </c>
    </row>
    <row r="427" spans="1:19" ht="15.75" customHeight="1" x14ac:dyDescent="0.25">
      <c r="A427" s="6" t="s">
        <v>1755</v>
      </c>
      <c r="B427" s="6">
        <v>487</v>
      </c>
      <c r="C427" s="6">
        <v>56816662</v>
      </c>
      <c r="D427" s="6" t="s">
        <v>1756</v>
      </c>
      <c r="E427" s="6" t="s">
        <v>1757</v>
      </c>
      <c r="F427" s="6" t="s">
        <v>1758</v>
      </c>
      <c r="G427" s="6">
        <v>301149</v>
      </c>
      <c r="H427" s="6" t="s">
        <v>1759</v>
      </c>
      <c r="I427" s="6">
        <v>509</v>
      </c>
      <c r="J427" s="6" t="s">
        <v>23</v>
      </c>
      <c r="K427" s="6" t="s">
        <v>1111</v>
      </c>
      <c r="L427" s="6">
        <v>17000000</v>
      </c>
      <c r="M427" s="6">
        <v>2011</v>
      </c>
      <c r="N427" s="6">
        <v>7.7</v>
      </c>
      <c r="O427" s="4">
        <f ca="1">IFERROR(__xludf.DUMMYFUNCTION("IF(Cost_in_dollars!E427=""USD"",Cost_in_dollars!B427,Cost_in_dollars!B427 * GOOGLEFINANCE(""CURRENCY:"" &amp; Cost_in_dollars!E427 &amp; ""USD""))
"),18440580)</f>
        <v>18440580</v>
      </c>
      <c r="P427" s="4">
        <f ca="1">IFERROR(__xludf.DUMMYFUNCTION("IF(Cost_in_dollars!E427=""USD"",Cost_in_dollars!C427,Cost_in_dollars!C427 * GOOGLEFINANCE(""CURRENCY:"" &amp; Cost_in_dollars!E427 &amp; ""USD""))
"),61631305.93788)</f>
        <v>61631305.937880002</v>
      </c>
      <c r="Q427" s="6">
        <f t="shared" ca="1" si="6"/>
        <v>43190725.937880002</v>
      </c>
      <c r="R427" s="7" t="str">
        <f t="shared" si="7"/>
        <v>Midnight in Paris</v>
      </c>
      <c r="S427" s="43" t="str">
        <f t="shared" si="10"/>
        <v>Comedy</v>
      </c>
    </row>
    <row r="428" spans="1:19" ht="15.75" customHeight="1" x14ac:dyDescent="0.25">
      <c r="A428" s="4" t="s">
        <v>555</v>
      </c>
      <c r="B428" s="4">
        <v>149</v>
      </c>
      <c r="C428" s="4">
        <v>32522352</v>
      </c>
      <c r="D428" s="4" t="s">
        <v>1760</v>
      </c>
      <c r="E428" s="4" t="s">
        <v>1347</v>
      </c>
      <c r="F428" s="4" t="s">
        <v>1761</v>
      </c>
      <c r="G428" s="4">
        <v>207287</v>
      </c>
      <c r="H428" s="4" t="s">
        <v>1762</v>
      </c>
      <c r="I428" s="4">
        <v>822</v>
      </c>
      <c r="J428" s="4" t="s">
        <v>23</v>
      </c>
      <c r="K428" s="4" t="s">
        <v>24</v>
      </c>
      <c r="L428" s="4">
        <v>60000000</v>
      </c>
      <c r="M428" s="4">
        <v>2000</v>
      </c>
      <c r="N428" s="4">
        <v>7.9</v>
      </c>
      <c r="O428" s="4">
        <f ca="1">IFERROR(__xludf.DUMMYFUNCTION("IF(Cost_in_dollars!E428=""USD"",Cost_in_dollars!B428,Cost_in_dollars!B428 * GOOGLEFINANCE(""CURRENCY:"" &amp; Cost_in_dollars!E428 &amp; ""USD""))
"),60000000)</f>
        <v>60000000</v>
      </c>
      <c r="P428" s="4">
        <f ca="1">IFERROR(__xludf.DUMMYFUNCTION("IF(Cost_in_dollars!E428=""USD"",Cost_in_dollars!C428,Cost_in_dollars!C428 * GOOGLEFINANCE(""CURRENCY:"" &amp; Cost_in_dollars!E428 &amp; ""USD""))
"),32522352)</f>
        <v>32522352</v>
      </c>
      <c r="Q428" s="4">
        <f t="shared" ca="1" si="6"/>
        <v>-27477648</v>
      </c>
      <c r="R428" s="5" t="str">
        <f t="shared" si="7"/>
        <v>Almost Famous</v>
      </c>
      <c r="S428" s="43" t="str">
        <f t="shared" si="10"/>
        <v>Adventure</v>
      </c>
    </row>
    <row r="429" spans="1:19" ht="15.75" customHeight="1" x14ac:dyDescent="0.25">
      <c r="A429" s="6" t="s">
        <v>1763</v>
      </c>
      <c r="B429" s="6">
        <v>15</v>
      </c>
      <c r="C429" s="6">
        <v>13854000</v>
      </c>
      <c r="D429" s="6" t="s">
        <v>1465</v>
      </c>
      <c r="E429" s="6" t="s">
        <v>1764</v>
      </c>
      <c r="F429" s="6" t="s">
        <v>1765</v>
      </c>
      <c r="G429" s="6">
        <v>21079</v>
      </c>
      <c r="H429" s="6" t="s">
        <v>1766</v>
      </c>
      <c r="I429" s="6">
        <v>55</v>
      </c>
      <c r="J429" s="6" t="s">
        <v>23</v>
      </c>
      <c r="K429" s="6" t="s">
        <v>24</v>
      </c>
      <c r="L429" s="6">
        <v>20000000</v>
      </c>
      <c r="M429" s="6">
        <v>1988</v>
      </c>
      <c r="N429" s="6">
        <v>5.2</v>
      </c>
      <c r="O429" s="4">
        <f ca="1">IFERROR(__xludf.DUMMYFUNCTION("IF(Cost_in_dollars!E429=""USD"",Cost_in_dollars!B429,Cost_in_dollars!B429 * GOOGLEFINANCE(""CURRENCY:"" &amp; Cost_in_dollars!E429 &amp; ""USD""))
"),20000000)</f>
        <v>20000000</v>
      </c>
      <c r="P429" s="4">
        <f ca="1">IFERROR(__xludf.DUMMYFUNCTION("IF(Cost_in_dollars!E429=""USD"",Cost_in_dollars!C429,Cost_in_dollars!C429 * GOOGLEFINANCE(""CURRENCY:"" &amp; Cost_in_dollars!E429 &amp; ""USD""))
"),13854000)</f>
        <v>13854000</v>
      </c>
      <c r="Q429" s="6">
        <f t="shared" ca="1" si="6"/>
        <v>-6146000</v>
      </c>
      <c r="R429" s="7" t="str">
        <f t="shared" si="7"/>
        <v>My Stepmother Is an Alien</v>
      </c>
      <c r="S429" s="43" t="str">
        <f t="shared" si="10"/>
        <v>Comedy</v>
      </c>
    </row>
    <row r="430" spans="1:19" ht="15.75" customHeight="1" x14ac:dyDescent="0.25">
      <c r="A430" s="4" t="s">
        <v>1767</v>
      </c>
      <c r="B430" s="4">
        <v>80</v>
      </c>
      <c r="C430" s="4">
        <v>1309849</v>
      </c>
      <c r="D430" s="4" t="s">
        <v>235</v>
      </c>
      <c r="E430" s="4" t="s">
        <v>1768</v>
      </c>
      <c r="F430" s="4" t="s">
        <v>1769</v>
      </c>
      <c r="G430" s="4">
        <v>9395</v>
      </c>
      <c r="H430" s="4" t="s">
        <v>1770</v>
      </c>
      <c r="I430" s="4">
        <v>103</v>
      </c>
      <c r="J430" s="4" t="s">
        <v>23</v>
      </c>
      <c r="K430" s="4" t="s">
        <v>133</v>
      </c>
      <c r="L430" s="4">
        <v>10000000</v>
      </c>
      <c r="M430" s="4">
        <v>2002</v>
      </c>
      <c r="N430" s="4">
        <v>7.2</v>
      </c>
      <c r="O430" s="4">
        <f ca="1">IFERROR(__xludf.DUMMYFUNCTION("IF(Cost_in_dollars!E430=""USD"",Cost_in_dollars!B430,Cost_in_dollars!B430 * GOOGLEFINANCE(""CURRENCY:"" &amp; Cost_in_dollars!E430 &amp; ""USD""))
"),12853999.9999999)</f>
        <v>12853999.999999899</v>
      </c>
      <c r="P430" s="4">
        <f ca="1">IFERROR(__xludf.DUMMYFUNCTION("IF(Cost_in_dollars!E430=""USD"",Cost_in_dollars!C430,Cost_in_dollars!C430 * GOOGLEFINANCE(""CURRENCY:"" &amp; Cost_in_dollars!E430 &amp; ""USD""))
"),1683679.90459999)</f>
        <v>1683679.90459999</v>
      </c>
      <c r="Q430" s="4">
        <f t="shared" ca="1" si="6"/>
        <v>-11170320.095399909</v>
      </c>
      <c r="R430" s="5" t="str">
        <f t="shared" si="7"/>
        <v>Nicholas Nickleby</v>
      </c>
      <c r="S430" s="43" t="str">
        <f t="shared" si="10"/>
        <v>Drama</v>
      </c>
    </row>
    <row r="431" spans="1:19" ht="15.75" customHeight="1" x14ac:dyDescent="0.25">
      <c r="A431" s="6" t="s">
        <v>1771</v>
      </c>
      <c r="B431" s="6">
        <v>146</v>
      </c>
      <c r="C431" s="6">
        <v>10494494</v>
      </c>
      <c r="D431" s="6" t="s">
        <v>155</v>
      </c>
      <c r="E431" s="6" t="s">
        <v>1772</v>
      </c>
      <c r="F431" s="6" t="s">
        <v>1773</v>
      </c>
      <c r="G431" s="6">
        <v>19586</v>
      </c>
      <c r="H431" s="6" t="s">
        <v>1774</v>
      </c>
      <c r="I431" s="6">
        <v>109</v>
      </c>
      <c r="J431" s="6" t="s">
        <v>23</v>
      </c>
      <c r="K431" s="6" t="s">
        <v>24</v>
      </c>
      <c r="L431" s="6">
        <v>18000000</v>
      </c>
      <c r="M431" s="6">
        <v>2013</v>
      </c>
      <c r="N431" s="6">
        <v>4.4000000000000004</v>
      </c>
      <c r="O431" s="4">
        <f ca="1">IFERROR(__xludf.DUMMYFUNCTION("IF(Cost_in_dollars!E431=""USD"",Cost_in_dollars!B431,Cost_in_dollars!B431 * GOOGLEFINANCE(""CURRENCY:"" &amp; Cost_in_dollars!E431 &amp; ""USD""))
"),18000000)</f>
        <v>18000000</v>
      </c>
      <c r="P431" s="4">
        <f ca="1">IFERROR(__xludf.DUMMYFUNCTION("IF(Cost_in_dollars!E431=""USD"",Cost_in_dollars!C431,Cost_in_dollars!C431 * GOOGLEFINANCE(""CURRENCY:"" &amp; Cost_in_dollars!E431 &amp; ""USD""))
"),10494494)</f>
        <v>10494494</v>
      </c>
      <c r="Q431" s="6">
        <f t="shared" ca="1" si="6"/>
        <v>-7505506</v>
      </c>
      <c r="R431" s="7" t="str">
        <f t="shared" si="7"/>
        <v>Getaway</v>
      </c>
      <c r="S431" s="43" t="str">
        <f t="shared" si="10"/>
        <v>Action</v>
      </c>
    </row>
    <row r="432" spans="1:19" ht="15.75" customHeight="1" x14ac:dyDescent="0.25">
      <c r="A432" s="4" t="s">
        <v>1775</v>
      </c>
      <c r="B432" s="4">
        <v>152</v>
      </c>
      <c r="C432" s="4">
        <v>128486</v>
      </c>
      <c r="D432" s="4" t="s">
        <v>1776</v>
      </c>
      <c r="E432" s="4" t="s">
        <v>1777</v>
      </c>
      <c r="F432" s="4" t="s">
        <v>1778</v>
      </c>
      <c r="G432" s="4">
        <v>26156</v>
      </c>
      <c r="H432" s="4" t="s">
        <v>1779</v>
      </c>
      <c r="I432" s="4">
        <v>74</v>
      </c>
      <c r="J432" s="4" t="s">
        <v>1780</v>
      </c>
      <c r="K432" s="4" t="s">
        <v>1491</v>
      </c>
      <c r="L432" s="4">
        <v>10000000</v>
      </c>
      <c r="M432" s="4">
        <v>2008</v>
      </c>
      <c r="N432" s="4">
        <v>7.3</v>
      </c>
      <c r="O432" s="4">
        <f ca="1">IFERROR(__xludf.DUMMYFUNCTION("IF(Cost_in_dollars!E432=""USD"",Cost_in_dollars!B432,Cost_in_dollars!B432 * GOOGLEFINANCE(""CURRENCY:"" &amp; Cost_in_dollars!E432 &amp; ""USD""))
"),7238.67)</f>
        <v>7238.67</v>
      </c>
      <c r="P432" s="4">
        <f ca="1">IFERROR(__xludf.DUMMYFUNCTION("IF(Cost_in_dollars!E432=""USD"",Cost_in_dollars!C432,Cost_in_dollars!C432 * GOOGLEFINANCE(""CURRENCY:"" &amp; Cost_in_dollars!E432 &amp; ""USD""))
"),93.006775362)</f>
        <v>93.006775361999999</v>
      </c>
      <c r="Q432" s="4">
        <f t="shared" ca="1" si="6"/>
        <v>-7145.6632246380004</v>
      </c>
      <c r="R432" s="5" t="str">
        <f t="shared" si="7"/>
        <v>The Good, the Bad, the Weird</v>
      </c>
      <c r="S432" s="43" t="str">
        <f t="shared" si="10"/>
        <v>Action</v>
      </c>
    </row>
    <row r="433" spans="1:19" ht="15.75" customHeight="1" x14ac:dyDescent="0.25">
      <c r="A433" s="6" t="s">
        <v>1781</v>
      </c>
      <c r="B433" s="6">
        <v>42</v>
      </c>
      <c r="C433" s="6">
        <v>14100000</v>
      </c>
      <c r="D433" s="6" t="s">
        <v>457</v>
      </c>
      <c r="E433" s="6" t="s">
        <v>141</v>
      </c>
      <c r="F433" s="6" t="s">
        <v>1782</v>
      </c>
      <c r="G433" s="6">
        <v>14995</v>
      </c>
      <c r="H433" s="6" t="s">
        <v>1783</v>
      </c>
      <c r="I433" s="6">
        <v>87</v>
      </c>
      <c r="J433" s="6" t="s">
        <v>23</v>
      </c>
      <c r="K433" s="6" t="s">
        <v>24</v>
      </c>
      <c r="L433" s="6">
        <v>5000000</v>
      </c>
      <c r="M433" s="6">
        <v>1982</v>
      </c>
      <c r="N433" s="6">
        <v>7.2</v>
      </c>
      <c r="O433" s="4">
        <f ca="1">IFERROR(__xludf.DUMMYFUNCTION("IF(Cost_in_dollars!E433=""USD"",Cost_in_dollars!B433,Cost_in_dollars!B433 * GOOGLEFINANCE(""CURRENCY:"" &amp; Cost_in_dollars!E433 &amp; ""USD""))
"),5000000)</f>
        <v>5000000</v>
      </c>
      <c r="P433" s="4">
        <f ca="1">IFERROR(__xludf.DUMMYFUNCTION("IF(Cost_in_dollars!E433=""USD"",Cost_in_dollars!C433,Cost_in_dollars!C433 * GOOGLEFINANCE(""CURRENCY:"" &amp; Cost_in_dollars!E433 &amp; ""USD""))
"),14100000)</f>
        <v>14100000</v>
      </c>
      <c r="Q433" s="6">
        <f t="shared" ca="1" si="6"/>
        <v>9100000</v>
      </c>
      <c r="R433" s="7" t="str">
        <f t="shared" si="7"/>
        <v>Diner</v>
      </c>
      <c r="S433" s="43" t="str">
        <f t="shared" si="10"/>
        <v>Comedy</v>
      </c>
    </row>
    <row r="434" spans="1:19" ht="15.75" customHeight="1" x14ac:dyDescent="0.25">
      <c r="A434" s="4" t="s">
        <v>1626</v>
      </c>
      <c r="B434" s="4">
        <v>132</v>
      </c>
      <c r="C434" s="4">
        <v>6409206</v>
      </c>
      <c r="D434" s="4" t="s">
        <v>324</v>
      </c>
      <c r="E434" s="4" t="s">
        <v>500</v>
      </c>
      <c r="F434" s="4" t="s">
        <v>1784</v>
      </c>
      <c r="G434" s="4">
        <v>32311</v>
      </c>
      <c r="H434" s="4" t="s">
        <v>1785</v>
      </c>
      <c r="I434" s="4">
        <v>104</v>
      </c>
      <c r="J434" s="4" t="s">
        <v>23</v>
      </c>
      <c r="K434" s="4" t="s">
        <v>24</v>
      </c>
      <c r="L434" s="4">
        <v>15000000</v>
      </c>
      <c r="M434" s="4">
        <v>2008</v>
      </c>
      <c r="N434" s="4">
        <v>6.2</v>
      </c>
      <c r="O434" s="4">
        <f ca="1">IFERROR(__xludf.DUMMYFUNCTION("IF(Cost_in_dollars!E434=""USD"",Cost_in_dollars!B434,Cost_in_dollars!B434 * GOOGLEFINANCE(""CURRENCY:"" &amp; Cost_in_dollars!E434 &amp; ""USD""))
"),15000000)</f>
        <v>15000000</v>
      </c>
      <c r="P434" s="4">
        <f ca="1">IFERROR(__xludf.DUMMYFUNCTION("IF(Cost_in_dollars!E434=""USD"",Cost_in_dollars!C434,Cost_in_dollars!C434 * GOOGLEFINANCE(""CURRENCY:"" &amp; Cost_in_dollars!E434 &amp; ""USD""))
"),6409206)</f>
        <v>6409206</v>
      </c>
      <c r="Q434" s="4">
        <f t="shared" ca="1" si="6"/>
        <v>-8590794</v>
      </c>
      <c r="R434" s="5" t="str">
        <f t="shared" si="7"/>
        <v>The Rocker</v>
      </c>
      <c r="S434" s="43" t="str">
        <f t="shared" si="10"/>
        <v>Comedy</v>
      </c>
    </row>
    <row r="435" spans="1:19" ht="15.75" customHeight="1" x14ac:dyDescent="0.25">
      <c r="A435" s="6" t="s">
        <v>384</v>
      </c>
      <c r="B435" s="6">
        <v>117</v>
      </c>
      <c r="C435" s="6">
        <v>55585389</v>
      </c>
      <c r="D435" s="6" t="s">
        <v>578</v>
      </c>
      <c r="E435" s="6" t="s">
        <v>461</v>
      </c>
      <c r="F435" s="6" t="s">
        <v>1786</v>
      </c>
      <c r="G435" s="6">
        <v>64121</v>
      </c>
      <c r="H435" s="6" t="s">
        <v>1787</v>
      </c>
      <c r="I435" s="6">
        <v>241</v>
      </c>
      <c r="J435" s="6" t="s">
        <v>23</v>
      </c>
      <c r="K435" s="6" t="s">
        <v>24</v>
      </c>
      <c r="L435" s="6">
        <v>69000000</v>
      </c>
      <c r="M435" s="6">
        <v>1998</v>
      </c>
      <c r="N435" s="6">
        <v>5.9</v>
      </c>
      <c r="O435" s="4">
        <f ca="1">IFERROR(__xludf.DUMMYFUNCTION("IF(Cost_in_dollars!E435=""USD"",Cost_in_dollars!B435,Cost_in_dollars!B435 * GOOGLEFINANCE(""CURRENCY:"" &amp; Cost_in_dollars!E435 &amp; ""USD""))
"),69000000)</f>
        <v>69000000</v>
      </c>
      <c r="P435" s="4">
        <f ca="1">IFERROR(__xludf.DUMMYFUNCTION("IF(Cost_in_dollars!E435=""USD"",Cost_in_dollars!C435,Cost_in_dollars!C435 * GOOGLEFINANCE(""CURRENCY:"" &amp; Cost_in_dollars!E435 &amp; ""USD""))
"),55585389)</f>
        <v>55585389</v>
      </c>
      <c r="Q435" s="6">
        <f t="shared" ca="1" si="6"/>
        <v>-13414611</v>
      </c>
      <c r="R435" s="7" t="str">
        <f t="shared" si="7"/>
        <v>Snake Eyes</v>
      </c>
      <c r="S435" s="43" t="str">
        <f t="shared" si="10"/>
        <v>Crime</v>
      </c>
    </row>
    <row r="436" spans="1:19" ht="15.75" customHeight="1" x14ac:dyDescent="0.25">
      <c r="A436" s="4" t="s">
        <v>638</v>
      </c>
      <c r="B436" s="4">
        <v>194</v>
      </c>
      <c r="C436" s="4">
        <v>164435221</v>
      </c>
      <c r="D436" s="4" t="s">
        <v>1788</v>
      </c>
      <c r="E436" s="4" t="s">
        <v>1358</v>
      </c>
      <c r="F436" s="4" t="s">
        <v>1789</v>
      </c>
      <c r="G436" s="4">
        <v>525801</v>
      </c>
      <c r="H436" s="4" t="s">
        <v>1790</v>
      </c>
      <c r="I436" s="4">
        <v>667</v>
      </c>
      <c r="J436" s="4" t="s">
        <v>23</v>
      </c>
      <c r="K436" s="4" t="s">
        <v>24</v>
      </c>
      <c r="L436" s="4">
        <v>52000000</v>
      </c>
      <c r="M436" s="4">
        <v>2002</v>
      </c>
      <c r="N436" s="4">
        <v>8</v>
      </c>
      <c r="O436" s="4">
        <f ca="1">IFERROR(__xludf.DUMMYFUNCTION("IF(Cost_in_dollars!E436=""USD"",Cost_in_dollars!B436,Cost_in_dollars!B436 * GOOGLEFINANCE(""CURRENCY:"" &amp; Cost_in_dollars!E436 &amp; ""USD""))
"),52000000)</f>
        <v>52000000</v>
      </c>
      <c r="P436" s="4">
        <f ca="1">IFERROR(__xludf.DUMMYFUNCTION("IF(Cost_in_dollars!E436=""USD"",Cost_in_dollars!C436,Cost_in_dollars!C436 * GOOGLEFINANCE(""CURRENCY:"" &amp; Cost_in_dollars!E436 &amp; ""USD""))
"),164435221)</f>
        <v>164435221</v>
      </c>
      <c r="Q436" s="4">
        <f t="shared" ca="1" si="6"/>
        <v>112435221</v>
      </c>
      <c r="R436" s="5" t="str">
        <f t="shared" si="7"/>
        <v>Catch Me If You Can</v>
      </c>
      <c r="S436" s="43" t="str">
        <f t="shared" si="10"/>
        <v>Biography</v>
      </c>
    </row>
    <row r="437" spans="1:19" ht="15.75" customHeight="1" x14ac:dyDescent="0.25">
      <c r="A437" s="6" t="s">
        <v>643</v>
      </c>
      <c r="B437" s="6">
        <v>183</v>
      </c>
      <c r="C437" s="6">
        <v>12784713</v>
      </c>
      <c r="D437" s="6" t="s">
        <v>140</v>
      </c>
      <c r="E437" s="6" t="s">
        <v>877</v>
      </c>
      <c r="F437" s="6" t="s">
        <v>1791</v>
      </c>
      <c r="G437" s="6">
        <v>56813</v>
      </c>
      <c r="H437" s="6" t="s">
        <v>1792</v>
      </c>
      <c r="I437" s="6">
        <v>381</v>
      </c>
      <c r="J437" s="6" t="s">
        <v>23</v>
      </c>
      <c r="K437" s="6" t="s">
        <v>24</v>
      </c>
      <c r="L437" s="6">
        <v>22000000</v>
      </c>
      <c r="M437" s="6">
        <v>2004</v>
      </c>
      <c r="N437" s="6">
        <v>6.7</v>
      </c>
      <c r="O437" s="4">
        <f ca="1">IFERROR(__xludf.DUMMYFUNCTION("IF(Cost_in_dollars!E437=""USD"",Cost_in_dollars!B437,Cost_in_dollars!B437 * GOOGLEFINANCE(""CURRENCY:"" &amp; Cost_in_dollars!E437 &amp; ""USD""))
"),22000000)</f>
        <v>22000000</v>
      </c>
      <c r="P437" s="4">
        <f ca="1">IFERROR(__xludf.DUMMYFUNCTION("IF(Cost_in_dollars!E437=""USD"",Cost_in_dollars!C437,Cost_in_dollars!C437 * GOOGLEFINANCE(""CURRENCY:"" &amp; Cost_in_dollars!E437 &amp; ""USD""))
"),12784713)</f>
        <v>12784713</v>
      </c>
      <c r="Q437" s="6">
        <f t="shared" ca="1" si="6"/>
        <v>-9215287</v>
      </c>
      <c r="R437" s="7" t="str">
        <f t="shared" si="7"/>
        <v>I Heart Huckabees</v>
      </c>
      <c r="S437" s="43" t="str">
        <f t="shared" si="10"/>
        <v>Comedy</v>
      </c>
    </row>
    <row r="438" spans="1:19" ht="15.75" customHeight="1" x14ac:dyDescent="0.25">
      <c r="A438" s="4" t="s">
        <v>1793</v>
      </c>
      <c r="B438" s="4">
        <v>323</v>
      </c>
      <c r="C438" s="4">
        <v>20803237</v>
      </c>
      <c r="D438" s="4" t="s">
        <v>457</v>
      </c>
      <c r="E438" s="4" t="s">
        <v>814</v>
      </c>
      <c r="F438" s="4" t="s">
        <v>1794</v>
      </c>
      <c r="G438" s="4">
        <v>110616</v>
      </c>
      <c r="H438" s="4" t="s">
        <v>1795</v>
      </c>
      <c r="I438" s="4">
        <v>291</v>
      </c>
      <c r="J438" s="4" t="s">
        <v>23</v>
      </c>
      <c r="K438" s="4" t="s">
        <v>24</v>
      </c>
      <c r="L438" s="4">
        <v>3500000</v>
      </c>
      <c r="M438" s="4">
        <v>2010</v>
      </c>
      <c r="N438" s="4">
        <v>7.1</v>
      </c>
      <c r="O438" s="4">
        <f ca="1">IFERROR(__xludf.DUMMYFUNCTION("IF(Cost_in_dollars!E438=""USD"",Cost_in_dollars!B438,Cost_in_dollars!B438 * GOOGLEFINANCE(""CURRENCY:"" &amp; Cost_in_dollars!E438 &amp; ""USD""))
"),3500000)</f>
        <v>3500000</v>
      </c>
      <c r="P438" s="4">
        <f ca="1">IFERROR(__xludf.DUMMYFUNCTION("IF(Cost_in_dollars!E438=""USD"",Cost_in_dollars!C438,Cost_in_dollars!C438 * GOOGLEFINANCE(""CURRENCY:"" &amp; Cost_in_dollars!E438 &amp; ""USD""))
"),20803237)</f>
        <v>20803237</v>
      </c>
      <c r="Q438" s="4">
        <f t="shared" ca="1" si="6"/>
        <v>17303237</v>
      </c>
      <c r="R438" s="5" t="str">
        <f t="shared" si="7"/>
        <v>The Kids Are All Right</v>
      </c>
      <c r="S438" s="43" t="str">
        <f t="shared" si="10"/>
        <v>Comedy</v>
      </c>
    </row>
    <row r="439" spans="1:19" ht="15.75" customHeight="1" x14ac:dyDescent="0.25">
      <c r="A439" s="6" t="s">
        <v>1796</v>
      </c>
      <c r="B439" s="6">
        <v>77</v>
      </c>
      <c r="C439" s="6">
        <v>11546543</v>
      </c>
      <c r="D439" s="6" t="s">
        <v>971</v>
      </c>
      <c r="E439" s="6" t="s">
        <v>1797</v>
      </c>
      <c r="F439" s="6" t="s">
        <v>1798</v>
      </c>
      <c r="G439" s="6">
        <v>34520</v>
      </c>
      <c r="H439" s="6" t="s">
        <v>1799</v>
      </c>
      <c r="I439" s="6">
        <v>146</v>
      </c>
      <c r="J439" s="6" t="s">
        <v>159</v>
      </c>
      <c r="K439" s="6" t="s">
        <v>160</v>
      </c>
      <c r="L439" s="6">
        <v>2000000</v>
      </c>
      <c r="M439" s="6">
        <v>1994</v>
      </c>
      <c r="N439" s="6">
        <v>7.6</v>
      </c>
      <c r="O439" s="4">
        <f ca="1">IFERROR(__xludf.DUMMYFUNCTION("IF(Cost_in_dollars!E439=""USD"",Cost_in_dollars!B439,Cost_in_dollars!B439 * GOOGLEFINANCE(""CURRENCY:"" &amp; Cost_in_dollars!E439 &amp; ""USD""))
"),256188.599999999)</f>
        <v>256188.59999999899</v>
      </c>
      <c r="P439" s="4">
        <f ca="1">IFERROR(__xludf.DUMMYFUNCTION("IF(Cost_in_dollars!E439=""USD"",Cost_in_dollars!C439,Cost_in_dollars!C439 * GOOGLEFINANCE(""CURRENCY:"" &amp; Cost_in_dollars!E439 &amp; ""USD""))
"),1479046.3430049)</f>
        <v>1479046.3430049</v>
      </c>
      <c r="Q439" s="6">
        <f t="shared" ca="1" si="6"/>
        <v>1222857.7430049011</v>
      </c>
      <c r="R439" s="7" t="str">
        <f t="shared" si="7"/>
        <v>The Legend of Drunken Master</v>
      </c>
      <c r="S439" s="43" t="str">
        <f t="shared" si="10"/>
        <v>Action</v>
      </c>
    </row>
    <row r="440" spans="1:19" ht="15.75" customHeight="1" x14ac:dyDescent="0.25">
      <c r="A440" s="4" t="s">
        <v>1800</v>
      </c>
      <c r="B440" s="4">
        <v>216</v>
      </c>
      <c r="C440" s="4">
        <v>70011073</v>
      </c>
      <c r="D440" s="4" t="s">
        <v>1801</v>
      </c>
      <c r="E440" s="4" t="s">
        <v>1802</v>
      </c>
      <c r="F440" s="4" t="s">
        <v>1803</v>
      </c>
      <c r="G440" s="4">
        <v>57996</v>
      </c>
      <c r="H440" s="4" t="s">
        <v>1804</v>
      </c>
      <c r="I440" s="4">
        <v>349</v>
      </c>
      <c r="J440" s="4" t="s">
        <v>23</v>
      </c>
      <c r="K440" s="4" t="s">
        <v>24</v>
      </c>
      <c r="L440" s="4">
        <v>12000000</v>
      </c>
      <c r="M440" s="4">
        <v>2012</v>
      </c>
      <c r="N440" s="4">
        <v>6.5</v>
      </c>
      <c r="O440" s="4">
        <f ca="1">IFERROR(__xludf.DUMMYFUNCTION("IF(Cost_in_dollars!E440=""USD"",Cost_in_dollars!B440,Cost_in_dollars!B440 * GOOGLEFINANCE(""CURRENCY:"" &amp; Cost_in_dollars!E440 &amp; ""USD""))
"),12000000)</f>
        <v>12000000</v>
      </c>
      <c r="P440" s="4">
        <f ca="1">IFERROR(__xludf.DUMMYFUNCTION("IF(Cost_in_dollars!E440=""USD"",Cost_in_dollars!C440,Cost_in_dollars!C440 * GOOGLEFINANCE(""CURRENCY:"" &amp; Cost_in_dollars!E440 &amp; ""USD""))
"),70011073)</f>
        <v>70011073</v>
      </c>
      <c r="Q440" s="4">
        <f t="shared" ca="1" si="6"/>
        <v>58011073</v>
      </c>
      <c r="R440" s="5" t="str">
        <f t="shared" si="7"/>
        <v>Act of Valor</v>
      </c>
      <c r="S440" s="43" t="str">
        <f t="shared" si="10"/>
        <v>Action</v>
      </c>
    </row>
    <row r="441" spans="1:19" ht="15.75" customHeight="1" x14ac:dyDescent="0.25">
      <c r="A441" s="6" t="s">
        <v>1805</v>
      </c>
      <c r="B441" s="6">
        <v>140</v>
      </c>
      <c r="C441" s="6">
        <v>298110</v>
      </c>
      <c r="D441" s="6" t="s">
        <v>1806</v>
      </c>
      <c r="E441" s="6" t="s">
        <v>1807</v>
      </c>
      <c r="F441" s="6" t="s">
        <v>1808</v>
      </c>
      <c r="G441" s="6">
        <v>25055</v>
      </c>
      <c r="H441" s="6" t="s">
        <v>1809</v>
      </c>
      <c r="I441" s="6">
        <v>98</v>
      </c>
      <c r="J441" s="6" t="s">
        <v>23</v>
      </c>
      <c r="K441" s="6" t="s">
        <v>627</v>
      </c>
      <c r="L441" s="6">
        <v>8000000</v>
      </c>
      <c r="M441" s="6">
        <v>2006</v>
      </c>
      <c r="N441" s="6">
        <v>6.8</v>
      </c>
      <c r="O441" s="4">
        <f ca="1">IFERROR(__xludf.DUMMYFUNCTION("IF(Cost_in_dollars!E441=""USD"",Cost_in_dollars!B441,Cost_in_dollars!B441 * GOOGLEFINANCE(""CURRENCY:"" &amp; Cost_in_dollars!E441 &amp; ""USD""))
"),5787240)</f>
        <v>5787240</v>
      </c>
      <c r="P441" s="4">
        <f ca="1">IFERROR(__xludf.DUMMYFUNCTION("IF(Cost_in_dollars!E441=""USD"",Cost_in_dollars!C441,Cost_in_dollars!C441 * GOOGLEFINANCE(""CURRENCY:"" &amp; Cost_in_dollars!E441 &amp; ""USD""))
"),215654.26455)</f>
        <v>215654.26454999999</v>
      </c>
      <c r="Q441" s="6">
        <f t="shared" ca="1" si="6"/>
        <v>-5571585.7354499996</v>
      </c>
      <c r="R441" s="7" t="str">
        <f t="shared" si="7"/>
        <v>Fido</v>
      </c>
      <c r="S441" s="43" t="str">
        <f t="shared" si="10"/>
        <v>Comedy</v>
      </c>
    </row>
    <row r="442" spans="1:19" ht="15.75" customHeight="1" x14ac:dyDescent="0.25">
      <c r="A442" s="4" t="s">
        <v>1810</v>
      </c>
      <c r="B442" s="4">
        <v>43</v>
      </c>
      <c r="C442" s="4">
        <v>20101861</v>
      </c>
      <c r="D442" s="4" t="s">
        <v>1465</v>
      </c>
      <c r="E442" s="4" t="s">
        <v>1811</v>
      </c>
      <c r="F442" s="4" t="s">
        <v>1812</v>
      </c>
      <c r="G442" s="4">
        <v>24757</v>
      </c>
      <c r="H442" s="4" t="s">
        <v>1813</v>
      </c>
      <c r="I442" s="4">
        <v>81</v>
      </c>
      <c r="J442" s="4" t="s">
        <v>23</v>
      </c>
      <c r="K442" s="4" t="s">
        <v>24</v>
      </c>
      <c r="L442" s="4">
        <v>45000000</v>
      </c>
      <c r="M442" s="4">
        <v>1996</v>
      </c>
      <c r="N442" s="4">
        <v>6</v>
      </c>
      <c r="O442" s="4">
        <f ca="1">IFERROR(__xludf.DUMMYFUNCTION("IF(Cost_in_dollars!E442=""USD"",Cost_in_dollars!B442,Cost_in_dollars!B442 * GOOGLEFINANCE(""CURRENCY:"" &amp; Cost_in_dollars!E442 &amp; ""USD""))
"),45000000)</f>
        <v>45000000</v>
      </c>
      <c r="P442" s="4">
        <f ca="1">IFERROR(__xludf.DUMMYFUNCTION("IF(Cost_in_dollars!E442=""USD"",Cost_in_dollars!C442,Cost_in_dollars!C442 * GOOGLEFINANCE(""CURRENCY:"" &amp; Cost_in_dollars!E442 &amp; ""USD""))
"),20101861)</f>
        <v>20101861</v>
      </c>
      <c r="Q442" s="4">
        <f t="shared" ca="1" si="6"/>
        <v>-24898139</v>
      </c>
      <c r="R442" s="5" t="str">
        <f t="shared" si="7"/>
        <v>Multiplicity</v>
      </c>
      <c r="S442" s="43" t="str">
        <f t="shared" si="10"/>
        <v>Comedy</v>
      </c>
    </row>
    <row r="443" spans="1:19" ht="15.75" customHeight="1" x14ac:dyDescent="0.25">
      <c r="A443" s="6" t="s">
        <v>679</v>
      </c>
      <c r="B443" s="6">
        <v>42</v>
      </c>
      <c r="C443" s="6">
        <v>82528097</v>
      </c>
      <c r="D443" s="6" t="s">
        <v>421</v>
      </c>
      <c r="E443" s="6" t="s">
        <v>1814</v>
      </c>
      <c r="F443" s="6" t="s">
        <v>1815</v>
      </c>
      <c r="G443" s="6">
        <v>30230</v>
      </c>
      <c r="H443" s="6" t="s">
        <v>1816</v>
      </c>
      <c r="I443" s="6">
        <v>154</v>
      </c>
      <c r="J443" s="6" t="s">
        <v>23</v>
      </c>
      <c r="K443" s="6" t="s">
        <v>24</v>
      </c>
      <c r="L443" s="6">
        <v>6500000</v>
      </c>
      <c r="M443" s="6">
        <v>1995</v>
      </c>
      <c r="N443" s="6">
        <v>7.3</v>
      </c>
      <c r="O443" s="4">
        <f ca="1">IFERROR(__xludf.DUMMYFUNCTION("IF(Cost_in_dollars!E443=""USD"",Cost_in_dollars!B443,Cost_in_dollars!B443 * GOOGLEFINANCE(""CURRENCY:"" &amp; Cost_in_dollars!E443 &amp; ""USD""))
"),6500000)</f>
        <v>6500000</v>
      </c>
      <c r="P443" s="4">
        <f ca="1">IFERROR(__xludf.DUMMYFUNCTION("IF(Cost_in_dollars!E443=""USD"",Cost_in_dollars!C443,Cost_in_dollars!C443 * GOOGLEFINANCE(""CURRENCY:"" &amp; Cost_in_dollars!E443 &amp; ""USD""))
"),82528097)</f>
        <v>82528097</v>
      </c>
      <c r="Q443" s="6">
        <f t="shared" ca="1" si="6"/>
        <v>76028097</v>
      </c>
      <c r="R443" s="7" t="str">
        <f t="shared" si="7"/>
        <v>Mr. Holland's Opus</v>
      </c>
      <c r="S443" s="43" t="str">
        <f t="shared" si="10"/>
        <v>Drama</v>
      </c>
    </row>
    <row r="444" spans="1:19" ht="15.75" customHeight="1" x14ac:dyDescent="0.25">
      <c r="A444" s="4" t="s">
        <v>695</v>
      </c>
      <c r="B444" s="4">
        <v>147</v>
      </c>
      <c r="C444" s="4">
        <v>120776832</v>
      </c>
      <c r="D444" s="4" t="s">
        <v>88</v>
      </c>
      <c r="E444" s="4" t="s">
        <v>619</v>
      </c>
      <c r="F444" s="4" t="s">
        <v>1817</v>
      </c>
      <c r="G444" s="4">
        <v>266103</v>
      </c>
      <c r="H444" s="4" t="s">
        <v>1818</v>
      </c>
      <c r="I444" s="4">
        <v>456</v>
      </c>
      <c r="J444" s="4" t="s">
        <v>23</v>
      </c>
      <c r="K444" s="4" t="s">
        <v>24</v>
      </c>
      <c r="L444" s="4">
        <v>75000000</v>
      </c>
      <c r="M444" s="4">
        <v>2004</v>
      </c>
      <c r="N444" s="4">
        <v>6.8</v>
      </c>
      <c r="O444" s="4">
        <f ca="1">IFERROR(__xludf.DUMMYFUNCTION("IF(Cost_in_dollars!E444=""USD"",Cost_in_dollars!B444,Cost_in_dollars!B444 * GOOGLEFINANCE(""CURRENCY:"" &amp; Cost_in_dollars!E444 &amp; ""USD""))
"),75000000)</f>
        <v>75000000</v>
      </c>
      <c r="P444" s="4">
        <f ca="1">IFERROR(__xludf.DUMMYFUNCTION("IF(Cost_in_dollars!E444=""USD"",Cost_in_dollars!C444,Cost_in_dollars!C444 * GOOGLEFINANCE(""CURRENCY:"" &amp; Cost_in_dollars!E444 &amp; ""USD""))
"),120776832)</f>
        <v>120776832</v>
      </c>
      <c r="Q444" s="4">
        <f t="shared" ca="1" si="6"/>
        <v>45776832</v>
      </c>
      <c r="R444" s="5" t="str">
        <f t="shared" si="7"/>
        <v>50 First Dates</v>
      </c>
      <c r="S444" s="43" t="str">
        <f t="shared" si="10"/>
        <v>Comedy</v>
      </c>
    </row>
    <row r="445" spans="1:19" ht="15.75" customHeight="1" x14ac:dyDescent="0.25">
      <c r="A445" s="6" t="s">
        <v>1819</v>
      </c>
      <c r="B445" s="6">
        <v>84</v>
      </c>
      <c r="C445" s="6">
        <v>52700832</v>
      </c>
      <c r="D445" s="6" t="s">
        <v>162</v>
      </c>
      <c r="E445" s="6" t="s">
        <v>1426</v>
      </c>
      <c r="F445" s="6" t="s">
        <v>1820</v>
      </c>
      <c r="G445" s="6">
        <v>107923</v>
      </c>
      <c r="H445" s="6" t="s">
        <v>1821</v>
      </c>
      <c r="I445" s="6">
        <v>197</v>
      </c>
      <c r="J445" s="6" t="s">
        <v>23</v>
      </c>
      <c r="K445" s="6" t="s">
        <v>133</v>
      </c>
      <c r="L445" s="6">
        <v>4500000</v>
      </c>
      <c r="M445" s="6">
        <v>1994</v>
      </c>
      <c r="N445" s="6">
        <v>7.1</v>
      </c>
      <c r="O445" s="4">
        <f ca="1">IFERROR(__xludf.DUMMYFUNCTION("IF(Cost_in_dollars!E445=""USD"",Cost_in_dollars!B445,Cost_in_dollars!B445 * GOOGLEFINANCE(""CURRENCY:"" &amp; Cost_in_dollars!E445 &amp; ""USD""))
"),5784299.99999999)</f>
        <v>5784299.9999999898</v>
      </c>
      <c r="P445" s="4">
        <f ca="1">IFERROR(__xludf.DUMMYFUNCTION("IF(Cost_in_dollars!E445=""USD"",Cost_in_dollars!C445,Cost_in_dollars!C445 * GOOGLEFINANCE(""CURRENCY:"" &amp; Cost_in_dollars!E445 &amp; ""USD""))
"),67741649.4527999)</f>
        <v>67741649.452799901</v>
      </c>
      <c r="Q445" s="6">
        <f t="shared" ca="1" si="6"/>
        <v>61957349.452799909</v>
      </c>
      <c r="R445" s="7" t="str">
        <f t="shared" si="7"/>
        <v>Four Weddings and a Funeral</v>
      </c>
      <c r="S445" s="43" t="str">
        <f t="shared" si="10"/>
        <v>Comedy</v>
      </c>
    </row>
    <row r="446" spans="1:19" ht="15.75" customHeight="1" x14ac:dyDescent="0.25">
      <c r="A446" s="4" t="s">
        <v>1822</v>
      </c>
      <c r="B446" s="4">
        <v>211</v>
      </c>
      <c r="C446" s="4">
        <v>8324748</v>
      </c>
      <c r="D446" s="4" t="s">
        <v>623</v>
      </c>
      <c r="E446" s="4" t="s">
        <v>1823</v>
      </c>
      <c r="F446" s="4" t="s">
        <v>1824</v>
      </c>
      <c r="G446" s="4">
        <v>21223</v>
      </c>
      <c r="H446" s="4" t="s">
        <v>1825</v>
      </c>
      <c r="I446" s="4">
        <v>108</v>
      </c>
      <c r="J446" s="4" t="s">
        <v>23</v>
      </c>
      <c r="K446" s="4" t="s">
        <v>133</v>
      </c>
      <c r="L446" s="4">
        <v>35000000</v>
      </c>
      <c r="M446" s="4">
        <v>2013</v>
      </c>
      <c r="N446" s="4">
        <v>7.1</v>
      </c>
      <c r="O446" s="4">
        <f ca="1">IFERROR(__xludf.DUMMYFUNCTION("IF(Cost_in_dollars!E446=""USD"",Cost_in_dollars!B446,Cost_in_dollars!B446 * GOOGLEFINANCE(""CURRENCY:"" &amp; Cost_in_dollars!E446 &amp; ""USD""))
"),44988999.9999999)</f>
        <v>44988999.999999903</v>
      </c>
      <c r="P446" s="4">
        <f ca="1">IFERROR(__xludf.DUMMYFUNCTION("IF(Cost_in_dollars!E446=""USD"",Cost_in_dollars!C446,Cost_in_dollars!C446 * GOOGLEFINANCE(""CURRENCY:"" &amp; Cost_in_dollars!E446 &amp; ""USD""))
"),10700631.0792)</f>
        <v>10700631.0792</v>
      </c>
      <c r="Q446" s="4">
        <f t="shared" ca="1" si="6"/>
        <v>-34288368.920799904</v>
      </c>
      <c r="R446" s="5" t="str">
        <f t="shared" si="7"/>
        <v>Mandela: Long Walk to Freedom</v>
      </c>
      <c r="S446" s="43" t="str">
        <f t="shared" si="10"/>
        <v>Biography</v>
      </c>
    </row>
    <row r="447" spans="1:19" ht="15.75" customHeight="1" x14ac:dyDescent="0.25">
      <c r="A447" s="6" t="s">
        <v>1826</v>
      </c>
      <c r="B447" s="6">
        <v>233</v>
      </c>
      <c r="C447" s="6">
        <v>161317423</v>
      </c>
      <c r="D447" s="6" t="s">
        <v>1827</v>
      </c>
      <c r="E447" s="6" t="s">
        <v>352</v>
      </c>
      <c r="F447" s="6" t="s">
        <v>1828</v>
      </c>
      <c r="G447" s="6">
        <v>145321</v>
      </c>
      <c r="H447" s="6" t="s">
        <v>1829</v>
      </c>
      <c r="I447" s="6">
        <v>139</v>
      </c>
      <c r="J447" s="6" t="s">
        <v>23</v>
      </c>
      <c r="K447" s="6" t="s">
        <v>24</v>
      </c>
      <c r="L447" s="6">
        <v>95000000</v>
      </c>
      <c r="M447" s="6">
        <v>2012</v>
      </c>
      <c r="N447" s="6">
        <v>6.6</v>
      </c>
      <c r="O447" s="4">
        <f ca="1">IFERROR(__xludf.DUMMYFUNCTION("IF(Cost_in_dollars!E447=""USD"",Cost_in_dollars!B447,Cost_in_dollars!B447 * GOOGLEFINANCE(""CURRENCY:"" &amp; Cost_in_dollars!E447 &amp; ""USD""))
"),95000000)</f>
        <v>95000000</v>
      </c>
      <c r="P447" s="4">
        <f ca="1">IFERROR(__xludf.DUMMYFUNCTION("IF(Cost_in_dollars!E447=""USD"",Cost_in_dollars!C447,Cost_in_dollars!C447 * GOOGLEFINANCE(""CURRENCY:"" &amp; Cost_in_dollars!E447 &amp; ""USD""))
"),161317423)</f>
        <v>161317423</v>
      </c>
      <c r="Q447" s="6">
        <f t="shared" ca="1" si="6"/>
        <v>66317423</v>
      </c>
      <c r="R447" s="7" t="str">
        <f t="shared" si="7"/>
        <v>Ice Age: Continental Drift</v>
      </c>
      <c r="S447" s="43" t="str">
        <f t="shared" si="10"/>
        <v>Adventure</v>
      </c>
    </row>
    <row r="448" spans="1:19" ht="15.75" customHeight="1" x14ac:dyDescent="0.25">
      <c r="A448" s="4" t="s">
        <v>1830</v>
      </c>
      <c r="B448" s="4">
        <v>96</v>
      </c>
      <c r="C448" s="4">
        <v>75370763</v>
      </c>
      <c r="D448" s="4" t="s">
        <v>448</v>
      </c>
      <c r="E448" s="4" t="s">
        <v>439</v>
      </c>
      <c r="F448" s="4" t="s">
        <v>1831</v>
      </c>
      <c r="G448" s="4">
        <v>32353</v>
      </c>
      <c r="H448" s="4" t="s">
        <v>1832</v>
      </c>
      <c r="I448" s="4">
        <v>263</v>
      </c>
      <c r="J448" s="4" t="s">
        <v>23</v>
      </c>
      <c r="K448" s="4" t="s">
        <v>24</v>
      </c>
      <c r="L448" s="4">
        <v>60000000</v>
      </c>
      <c r="M448" s="4">
        <v>1998</v>
      </c>
      <c r="N448" s="4">
        <v>6.5</v>
      </c>
      <c r="O448" s="4">
        <f ca="1">IFERROR(__xludf.DUMMYFUNCTION("IF(Cost_in_dollars!E448=""USD"",Cost_in_dollars!B448,Cost_in_dollars!B448 * GOOGLEFINANCE(""CURRENCY:"" &amp; Cost_in_dollars!E448 &amp; ""USD""))
"),60000000)</f>
        <v>60000000</v>
      </c>
      <c r="P448" s="4">
        <f ca="1">IFERROR(__xludf.DUMMYFUNCTION("IF(Cost_in_dollars!E448=""USD"",Cost_in_dollars!C448,Cost_in_dollars!C448 * GOOGLEFINANCE(""CURRENCY:"" &amp; Cost_in_dollars!E448 &amp; ""USD""))
"),75370763)</f>
        <v>75370763</v>
      </c>
      <c r="Q448" s="4">
        <f t="shared" ca="1" si="6"/>
        <v>15370763</v>
      </c>
      <c r="R448" s="5" t="str">
        <f t="shared" si="7"/>
        <v>The Horse Whisperer</v>
      </c>
      <c r="S448" s="43" t="str">
        <f t="shared" si="10"/>
        <v>Drama</v>
      </c>
    </row>
    <row r="449" spans="1:19" ht="15.75" customHeight="1" x14ac:dyDescent="0.25">
      <c r="A449" s="6" t="s">
        <v>1781</v>
      </c>
      <c r="B449" s="6">
        <v>111</v>
      </c>
      <c r="C449" s="6">
        <v>37442180</v>
      </c>
      <c r="D449" s="6" t="s">
        <v>1833</v>
      </c>
      <c r="E449" s="6" t="s">
        <v>676</v>
      </c>
      <c r="F449" s="6" t="s">
        <v>1834</v>
      </c>
      <c r="G449" s="6">
        <v>28005</v>
      </c>
      <c r="H449" s="6" t="s">
        <v>1835</v>
      </c>
      <c r="I449" s="6">
        <v>236</v>
      </c>
      <c r="J449" s="6" t="s">
        <v>23</v>
      </c>
      <c r="K449" s="6" t="s">
        <v>24</v>
      </c>
      <c r="L449" s="6">
        <v>20000000</v>
      </c>
      <c r="M449" s="6">
        <v>2006</v>
      </c>
      <c r="N449" s="6">
        <v>6.2</v>
      </c>
      <c r="O449" s="4">
        <f ca="1">IFERROR(__xludf.DUMMYFUNCTION("IF(Cost_in_dollars!E449=""USD"",Cost_in_dollars!B449,Cost_in_dollars!B449 * GOOGLEFINANCE(""CURRENCY:"" &amp; Cost_in_dollars!E449 &amp; ""USD""))
"),20000000)</f>
        <v>20000000</v>
      </c>
      <c r="P449" s="4">
        <f ca="1">IFERROR(__xludf.DUMMYFUNCTION("IF(Cost_in_dollars!E449=""USD"",Cost_in_dollars!C449,Cost_in_dollars!C449 * GOOGLEFINANCE(""CURRENCY:"" &amp; Cost_in_dollars!E449 &amp; ""USD""))
"),37442180)</f>
        <v>37442180</v>
      </c>
      <c r="Q449" s="6">
        <f t="shared" ca="1" si="6"/>
        <v>17442180</v>
      </c>
      <c r="R449" s="7" t="str">
        <f t="shared" si="7"/>
        <v>Man of the Year</v>
      </c>
      <c r="S449" s="43" t="str">
        <f t="shared" si="10"/>
        <v>Comedy</v>
      </c>
    </row>
    <row r="450" spans="1:19" ht="15.75" customHeight="1" x14ac:dyDescent="0.25">
      <c r="A450" s="4" t="s">
        <v>1836</v>
      </c>
      <c r="B450" s="4">
        <v>226</v>
      </c>
      <c r="C450" s="4">
        <v>3074838</v>
      </c>
      <c r="D450" s="4" t="s">
        <v>1028</v>
      </c>
      <c r="E450" s="4" t="s">
        <v>608</v>
      </c>
      <c r="F450" s="4" t="s">
        <v>1837</v>
      </c>
      <c r="G450" s="4">
        <v>56264</v>
      </c>
      <c r="H450" s="4" t="s">
        <v>1838</v>
      </c>
      <c r="I450" s="4">
        <v>166</v>
      </c>
      <c r="J450" s="4" t="s">
        <v>23</v>
      </c>
      <c r="K450" s="4" t="s">
        <v>24</v>
      </c>
      <c r="L450" s="4">
        <v>11000000</v>
      </c>
      <c r="M450" s="4">
        <v>2009</v>
      </c>
      <c r="N450" s="4">
        <v>6.3</v>
      </c>
      <c r="O450" s="4">
        <f ca="1">IFERROR(__xludf.DUMMYFUNCTION("IF(Cost_in_dollars!E450=""USD"",Cost_in_dollars!B450,Cost_in_dollars!B450 * GOOGLEFINANCE(""CURRENCY:"" &amp; Cost_in_dollars!E450 &amp; ""USD""))
"),11000000)</f>
        <v>11000000</v>
      </c>
      <c r="P450" s="4">
        <f ca="1">IFERROR(__xludf.DUMMYFUNCTION("IF(Cost_in_dollars!E450=""USD"",Cost_in_dollars!C450,Cost_in_dollars!C450 * GOOGLEFINANCE(""CURRENCY:"" &amp; Cost_in_dollars!E450 &amp; ""USD""))
"),3074838)</f>
        <v>3074838</v>
      </c>
      <c r="Q450" s="4">
        <f t="shared" ca="1" si="6"/>
        <v>-7925162</v>
      </c>
      <c r="R450" s="5" t="str">
        <f t="shared" si="7"/>
        <v>Chloe</v>
      </c>
      <c r="S450" s="43" t="str">
        <f t="shared" ref="S450:S513" si="11">IF(ISNUMBER(FIND("|", D450)), LEFT(D450, FIND("|", D450) - 1), D450)</f>
        <v>Drama</v>
      </c>
    </row>
    <row r="451" spans="1:19" ht="15.75" customHeight="1" x14ac:dyDescent="0.25">
      <c r="A451" s="6" t="s">
        <v>746</v>
      </c>
      <c r="B451" s="6">
        <v>105</v>
      </c>
      <c r="C451" s="6">
        <v>93375151</v>
      </c>
      <c r="D451" s="6" t="s">
        <v>1839</v>
      </c>
      <c r="E451" s="6" t="s">
        <v>1840</v>
      </c>
      <c r="F451" s="6" t="s">
        <v>1841</v>
      </c>
      <c r="G451" s="6">
        <v>46031</v>
      </c>
      <c r="H451" s="6" t="s">
        <v>1842</v>
      </c>
      <c r="I451" s="6">
        <v>235</v>
      </c>
      <c r="J451" s="6" t="s">
        <v>23</v>
      </c>
      <c r="K451" s="6" t="s">
        <v>24</v>
      </c>
      <c r="L451" s="6">
        <v>60000000</v>
      </c>
      <c r="M451" s="6">
        <v>2001</v>
      </c>
      <c r="N451" s="6">
        <v>5.2</v>
      </c>
      <c r="O451" s="4">
        <f ca="1">IFERROR(__xludf.DUMMYFUNCTION("IF(Cost_in_dollars!E451=""USD"",Cost_in_dollars!B451,Cost_in_dollars!B451 * GOOGLEFINANCE(""CURRENCY:"" &amp; Cost_in_dollars!E451 &amp; ""USD""))
"),60000000)</f>
        <v>60000000</v>
      </c>
      <c r="P451" s="4">
        <f ca="1">IFERROR(__xludf.DUMMYFUNCTION("IF(Cost_in_dollars!E451=""USD"",Cost_in_dollars!C451,Cost_in_dollars!C451 * GOOGLEFINANCE(""CURRENCY:"" &amp; Cost_in_dollars!E451 &amp; ""USD""))
"),93375151)</f>
        <v>93375151</v>
      </c>
      <c r="Q451" s="6">
        <f t="shared" ca="1" si="6"/>
        <v>33375151</v>
      </c>
      <c r="R451" s="7" t="str">
        <f t="shared" si="7"/>
        <v>Cats &amp; Dogs</v>
      </c>
      <c r="S451" s="43" t="str">
        <f t="shared" si="11"/>
        <v>Action</v>
      </c>
    </row>
    <row r="452" spans="1:19" ht="15.75" customHeight="1" x14ac:dyDescent="0.25">
      <c r="A452" s="4" t="s">
        <v>1843</v>
      </c>
      <c r="B452" s="4">
        <v>74</v>
      </c>
      <c r="C452" s="4">
        <v>4771000</v>
      </c>
      <c r="D452" s="4" t="s">
        <v>457</v>
      </c>
      <c r="E452" s="4" t="s">
        <v>916</v>
      </c>
      <c r="F452" s="4" t="s">
        <v>1844</v>
      </c>
      <c r="G452" s="4">
        <v>26513</v>
      </c>
      <c r="H452" s="4" t="s">
        <v>1845</v>
      </c>
      <c r="I452" s="4">
        <v>174</v>
      </c>
      <c r="J452" s="4" t="s">
        <v>23</v>
      </c>
      <c r="K452" s="4" t="s">
        <v>24</v>
      </c>
      <c r="L452" s="4">
        <v>800000</v>
      </c>
      <c r="M452" s="4">
        <v>1995</v>
      </c>
      <c r="N452" s="4">
        <v>7.5</v>
      </c>
      <c r="O452" s="4">
        <f ca="1">IFERROR(__xludf.DUMMYFUNCTION("IF(Cost_in_dollars!E452=""USD"",Cost_in_dollars!B452,Cost_in_dollars!B452 * GOOGLEFINANCE(""CURRENCY:"" &amp; Cost_in_dollars!E452 &amp; ""USD""))
"),800000)</f>
        <v>800000</v>
      </c>
      <c r="P452" s="4">
        <f ca="1">IFERROR(__xludf.DUMMYFUNCTION("IF(Cost_in_dollars!E452=""USD"",Cost_in_dollars!C452,Cost_in_dollars!C452 * GOOGLEFINANCE(""CURRENCY:"" &amp; Cost_in_dollars!E452 &amp; ""USD""))
"),4771000)</f>
        <v>4771000</v>
      </c>
      <c r="Q452" s="4">
        <f t="shared" ca="1" si="6"/>
        <v>3971000</v>
      </c>
      <c r="R452" s="5" t="str">
        <f t="shared" si="7"/>
        <v>Welcome to the Dollhouse</v>
      </c>
      <c r="S452" s="43" t="str">
        <f t="shared" si="11"/>
        <v>Comedy</v>
      </c>
    </row>
    <row r="453" spans="1:19" ht="15.75" customHeight="1" x14ac:dyDescent="0.25">
      <c r="A453" s="6" t="s">
        <v>1846</v>
      </c>
      <c r="B453" s="6">
        <v>110</v>
      </c>
      <c r="C453" s="6">
        <v>480314</v>
      </c>
      <c r="D453" s="6" t="s">
        <v>639</v>
      </c>
      <c r="E453" s="6" t="s">
        <v>1847</v>
      </c>
      <c r="F453" s="6" t="s">
        <v>1848</v>
      </c>
      <c r="G453" s="6">
        <v>38503</v>
      </c>
      <c r="H453" s="6" t="s">
        <v>1849</v>
      </c>
      <c r="I453" s="6">
        <v>180</v>
      </c>
      <c r="J453" s="6" t="s">
        <v>23</v>
      </c>
      <c r="K453" s="6" t="s">
        <v>24</v>
      </c>
      <c r="L453" s="6">
        <v>21000000</v>
      </c>
      <c r="M453" s="6">
        <v>2006</v>
      </c>
      <c r="N453" s="6">
        <v>4.8</v>
      </c>
      <c r="O453" s="4">
        <f ca="1">IFERROR(__xludf.DUMMYFUNCTION("IF(Cost_in_dollars!E453=""USD"",Cost_in_dollars!B453,Cost_in_dollars!B453 * GOOGLEFINANCE(""CURRENCY:"" &amp; Cost_in_dollars!E453 &amp; ""USD""))
"),21000000)</f>
        <v>21000000</v>
      </c>
      <c r="P453" s="4">
        <f ca="1">IFERROR(__xludf.DUMMYFUNCTION("IF(Cost_in_dollars!E453=""USD"",Cost_in_dollars!C453,Cost_in_dollars!C453 * GOOGLEFINANCE(""CURRENCY:"" &amp; Cost_in_dollars!E453 &amp; ""USD""))
"),480314)</f>
        <v>480314</v>
      </c>
      <c r="Q453" s="6">
        <f t="shared" ca="1" si="6"/>
        <v>-20519686</v>
      </c>
      <c r="R453" s="7" t="str">
        <f t="shared" si="7"/>
        <v>DOA: Dead or Alive</v>
      </c>
      <c r="S453" s="43" t="str">
        <f t="shared" si="11"/>
        <v>Action</v>
      </c>
    </row>
    <row r="454" spans="1:19" ht="15.75" customHeight="1" x14ac:dyDescent="0.25">
      <c r="A454" s="4" t="s">
        <v>280</v>
      </c>
      <c r="B454" s="4">
        <v>264</v>
      </c>
      <c r="C454" s="4">
        <v>102176165</v>
      </c>
      <c r="D454" s="4" t="s">
        <v>1850</v>
      </c>
      <c r="E454" s="4" t="s">
        <v>1571</v>
      </c>
      <c r="F454" s="4" t="s">
        <v>1851</v>
      </c>
      <c r="G454" s="4">
        <v>117927</v>
      </c>
      <c r="H454" s="4" t="s">
        <v>1852</v>
      </c>
      <c r="I454" s="4">
        <v>501</v>
      </c>
      <c r="J454" s="4" t="s">
        <v>23</v>
      </c>
      <c r="K454" s="4" t="s">
        <v>24</v>
      </c>
      <c r="L454" s="4">
        <v>145000000</v>
      </c>
      <c r="M454" s="4">
        <v>2008</v>
      </c>
      <c r="N454" s="4">
        <v>5.2</v>
      </c>
      <c r="O454" s="4">
        <f ca="1">IFERROR(__xludf.DUMMYFUNCTION("IF(Cost_in_dollars!E454=""USD"",Cost_in_dollars!B454,Cost_in_dollars!B454 * GOOGLEFINANCE(""CURRENCY:"" &amp; Cost_in_dollars!E454 &amp; ""USD""))
"),145000000)</f>
        <v>145000000</v>
      </c>
      <c r="P454" s="4">
        <f ca="1">IFERROR(__xludf.DUMMYFUNCTION("IF(Cost_in_dollars!E454=""USD"",Cost_in_dollars!C454,Cost_in_dollars!C454 * GOOGLEFINANCE(""CURRENCY:"" &amp; Cost_in_dollars!E454 &amp; ""USD""))
"),102176165)</f>
        <v>102176165</v>
      </c>
      <c r="Q454" s="4">
        <f t="shared" ca="1" si="6"/>
        <v>-42823835</v>
      </c>
      <c r="R454" s="5" t="str">
        <f t="shared" si="7"/>
        <v>The Mummy: Tomb of the Dragon Emperor</v>
      </c>
      <c r="S454" s="43" t="str">
        <f t="shared" si="11"/>
        <v>Action</v>
      </c>
    </row>
    <row r="455" spans="1:19" ht="15.75" customHeight="1" x14ac:dyDescent="0.25">
      <c r="A455" s="6" t="s">
        <v>1853</v>
      </c>
      <c r="B455" s="6">
        <v>100</v>
      </c>
      <c r="C455" s="6">
        <v>16779636</v>
      </c>
      <c r="D455" s="6" t="s">
        <v>1854</v>
      </c>
      <c r="E455" s="6" t="s">
        <v>1855</v>
      </c>
      <c r="F455" s="6" t="s">
        <v>1856</v>
      </c>
      <c r="G455" s="6">
        <v>9338</v>
      </c>
      <c r="H455" s="6" t="s">
        <v>1857</v>
      </c>
      <c r="I455" s="6">
        <v>167</v>
      </c>
      <c r="J455" s="6" t="s">
        <v>23</v>
      </c>
      <c r="K455" s="6" t="s">
        <v>24</v>
      </c>
      <c r="L455" s="6">
        <v>28000000</v>
      </c>
      <c r="M455" s="6">
        <v>2000</v>
      </c>
      <c r="N455" s="6">
        <v>4.8</v>
      </c>
      <c r="O455" s="4">
        <f ca="1">IFERROR(__xludf.DUMMYFUNCTION("IF(Cost_in_dollars!E455=""USD"",Cost_in_dollars!B455,Cost_in_dollars!B455 * GOOGLEFINANCE(""CURRENCY:"" &amp; Cost_in_dollars!E455 &amp; ""USD""))
"),28000000)</f>
        <v>28000000</v>
      </c>
      <c r="P455" s="4">
        <f ca="1">IFERROR(__xludf.DUMMYFUNCTION("IF(Cost_in_dollars!E455=""USD"",Cost_in_dollars!C455,Cost_in_dollars!C455 * GOOGLEFINANCE(""CURRENCY:"" &amp; Cost_in_dollars!E455 &amp; ""USD""))
"),16779636)</f>
        <v>16779636</v>
      </c>
      <c r="Q455" s="6">
        <f t="shared" ca="1" si="6"/>
        <v>-11220364</v>
      </c>
      <c r="R455" s="7" t="str">
        <f t="shared" si="7"/>
        <v>Lost Souls</v>
      </c>
      <c r="S455" s="43" t="str">
        <f t="shared" si="11"/>
        <v>Drama</v>
      </c>
    </row>
    <row r="456" spans="1:19" ht="15.75" customHeight="1" x14ac:dyDescent="0.25">
      <c r="A456" s="4" t="s">
        <v>1858</v>
      </c>
      <c r="B456" s="4">
        <v>103</v>
      </c>
      <c r="C456" s="4">
        <v>6201757</v>
      </c>
      <c r="D456" s="4" t="s">
        <v>1859</v>
      </c>
      <c r="E456" s="4" t="s">
        <v>1860</v>
      </c>
      <c r="F456" s="4" t="s">
        <v>1861</v>
      </c>
      <c r="G456" s="4">
        <v>10037</v>
      </c>
      <c r="H456" s="4" t="s">
        <v>1862</v>
      </c>
      <c r="I456" s="4">
        <v>202</v>
      </c>
      <c r="J456" s="4" t="s">
        <v>23</v>
      </c>
      <c r="K456" s="4" t="s">
        <v>133</v>
      </c>
      <c r="L456" s="4">
        <v>10000000</v>
      </c>
      <c r="M456" s="4">
        <v>1999</v>
      </c>
      <c r="N456" s="4">
        <v>7.4</v>
      </c>
      <c r="O456" s="4">
        <f ca="1">IFERROR(__xludf.DUMMYFUNCTION("IF(Cost_in_dollars!E456=""USD"",Cost_in_dollars!B456,Cost_in_dollars!B456 * GOOGLEFINANCE(""CURRENCY:"" &amp; Cost_in_dollars!E456 &amp; ""USD""))
"),12853999.9999999)</f>
        <v>12853999.999999899</v>
      </c>
      <c r="P456" s="4">
        <f ca="1">IFERROR(__xludf.DUMMYFUNCTION("IF(Cost_in_dollars!E456=""USD"",Cost_in_dollars!C456,Cost_in_dollars!C456 * GOOGLEFINANCE(""CURRENCY:"" &amp; Cost_in_dollars!E456 &amp; ""USD""))
"),7971738.44779999)</f>
        <v>7971738.44779999</v>
      </c>
      <c r="Q456" s="4">
        <f t="shared" ca="1" si="6"/>
        <v>-4882261.5521999095</v>
      </c>
      <c r="R456" s="5" t="str">
        <f t="shared" si="7"/>
        <v>Topsy-Turvy</v>
      </c>
      <c r="S456" s="43" t="str">
        <f t="shared" si="11"/>
        <v>Biography</v>
      </c>
    </row>
    <row r="457" spans="1:19" ht="15.75" customHeight="1" x14ac:dyDescent="0.25">
      <c r="A457" s="6" t="s">
        <v>1863</v>
      </c>
      <c r="B457" s="6">
        <v>173</v>
      </c>
      <c r="C457" s="6">
        <v>67266300</v>
      </c>
      <c r="D457" s="6" t="s">
        <v>140</v>
      </c>
      <c r="E457" s="6" t="s">
        <v>1864</v>
      </c>
      <c r="F457" s="6" t="s">
        <v>1865</v>
      </c>
      <c r="G457" s="6">
        <v>195255</v>
      </c>
      <c r="H457" s="6" t="s">
        <v>1866</v>
      </c>
      <c r="I457" s="6">
        <v>170</v>
      </c>
      <c r="J457" s="6" t="s">
        <v>23</v>
      </c>
      <c r="K457" s="6" t="s">
        <v>176</v>
      </c>
      <c r="L457" s="6">
        <v>28000000</v>
      </c>
      <c r="M457" s="6">
        <v>2008</v>
      </c>
      <c r="N457" s="6">
        <v>6.9</v>
      </c>
      <c r="O457" s="4">
        <f ca="1">IFERROR(__xludf.DUMMYFUNCTION("IF(Cost_in_dollars!E457=""USD"",Cost_in_dollars!B457,Cost_in_dollars!B457 * GOOGLEFINANCE(""CURRENCY:"" &amp; Cost_in_dollars!E457 &amp; ""USD""))
"),30372720)</f>
        <v>30372720</v>
      </c>
      <c r="P457" s="4">
        <f ca="1">IFERROR(__xludf.DUMMYFUNCTION("IF(Cost_in_dollars!E457=""USD"",Cost_in_dollars!C457,Cost_in_dollars!C457 * GOOGLEFINANCE(""CURRENCY:"" &amp; Cost_in_dollars!E457 &amp; ""USD""))
"),72966446.262)</f>
        <v>72966446.261999995</v>
      </c>
      <c r="Q457" s="6">
        <f t="shared" ca="1" si="6"/>
        <v>42593726.261999995</v>
      </c>
      <c r="R457" s="7" t="str">
        <f t="shared" si="7"/>
        <v>Role Models</v>
      </c>
      <c r="S457" s="43" t="str">
        <f t="shared" si="11"/>
        <v>Comedy</v>
      </c>
    </row>
    <row r="458" spans="1:19" ht="15.75" customHeight="1" x14ac:dyDescent="0.25">
      <c r="A458" s="4" t="s">
        <v>1867</v>
      </c>
      <c r="B458" s="4">
        <v>74</v>
      </c>
      <c r="C458" s="4">
        <v>568695</v>
      </c>
      <c r="D458" s="4" t="s">
        <v>1868</v>
      </c>
      <c r="E458" s="4" t="s">
        <v>1869</v>
      </c>
      <c r="F458" s="4" t="s">
        <v>1870</v>
      </c>
      <c r="G458" s="4">
        <v>16617</v>
      </c>
      <c r="H458" s="4" t="s">
        <v>1871</v>
      </c>
      <c r="I458" s="4">
        <v>110</v>
      </c>
      <c r="J458" s="4" t="s">
        <v>23</v>
      </c>
      <c r="K458" s="4" t="s">
        <v>24</v>
      </c>
      <c r="L458" s="4">
        <v>8000000</v>
      </c>
      <c r="M458" s="4">
        <v>2005</v>
      </c>
      <c r="N458" s="4">
        <v>6.5</v>
      </c>
      <c r="O458" s="4">
        <f ca="1">IFERROR(__xludf.DUMMYFUNCTION("IF(Cost_in_dollars!E458=""USD"",Cost_in_dollars!B458,Cost_in_dollars!B458 * GOOGLEFINANCE(""CURRENCY:"" &amp; Cost_in_dollars!E458 &amp; ""USD""))
"),8000000)</f>
        <v>8000000</v>
      </c>
      <c r="P458" s="4">
        <f ca="1">IFERROR(__xludf.DUMMYFUNCTION("IF(Cost_in_dollars!E458=""USD"",Cost_in_dollars!C458,Cost_in_dollars!C458 * GOOGLEFINANCE(""CURRENCY:"" &amp; Cost_in_dollars!E458 &amp; ""USD""))
"),568695)</f>
        <v>568695</v>
      </c>
      <c r="Q458" s="4">
        <f t="shared" ca="1" si="6"/>
        <v>-7431305</v>
      </c>
      <c r="R458" s="5" t="str">
        <f t="shared" si="7"/>
        <v>Down in the Valley</v>
      </c>
      <c r="S458" s="43" t="str">
        <f t="shared" si="11"/>
        <v>Drama</v>
      </c>
    </row>
    <row r="459" spans="1:19" ht="15.75" customHeight="1" x14ac:dyDescent="0.25">
      <c r="A459" s="6" t="s">
        <v>1872</v>
      </c>
      <c r="B459" s="6">
        <v>143</v>
      </c>
      <c r="C459" s="6">
        <v>100169068</v>
      </c>
      <c r="D459" s="6" t="s">
        <v>1827</v>
      </c>
      <c r="E459" s="6" t="s">
        <v>305</v>
      </c>
      <c r="F459" s="6" t="s">
        <v>1873</v>
      </c>
      <c r="G459" s="6">
        <v>16385</v>
      </c>
      <c r="H459" s="6" t="s">
        <v>1874</v>
      </c>
      <c r="I459" s="6">
        <v>100</v>
      </c>
      <c r="J459" s="6" t="s">
        <v>23</v>
      </c>
      <c r="K459" s="6" t="s">
        <v>24</v>
      </c>
      <c r="L459" s="6">
        <v>80000000</v>
      </c>
      <c r="M459" s="6">
        <v>2010</v>
      </c>
      <c r="N459" s="6">
        <v>4.5999999999999996</v>
      </c>
      <c r="O459" s="4">
        <f ca="1">IFERROR(__xludf.DUMMYFUNCTION("IF(Cost_in_dollars!E459=""USD"",Cost_in_dollars!B459,Cost_in_dollars!B459 * GOOGLEFINANCE(""CURRENCY:"" &amp; Cost_in_dollars!E459 &amp; ""USD""))
"),80000000)</f>
        <v>80000000</v>
      </c>
      <c r="P459" s="4">
        <f ca="1">IFERROR(__xludf.DUMMYFUNCTION("IF(Cost_in_dollars!E459=""USD"",Cost_in_dollars!C459,Cost_in_dollars!C459 * GOOGLEFINANCE(""CURRENCY:"" &amp; Cost_in_dollars!E459 &amp; ""USD""))
"),100169068)</f>
        <v>100169068</v>
      </c>
      <c r="Q459" s="6">
        <f t="shared" ca="1" si="6"/>
        <v>20169068</v>
      </c>
      <c r="R459" s="7" t="str">
        <f t="shared" si="7"/>
        <v>Yogi Bear</v>
      </c>
      <c r="S459" s="43" t="str">
        <f t="shared" si="11"/>
        <v>Adventure</v>
      </c>
    </row>
    <row r="460" spans="1:19" ht="15.75" customHeight="1" x14ac:dyDescent="0.25">
      <c r="A460" s="4" t="s">
        <v>1875</v>
      </c>
      <c r="B460" s="4">
        <v>181</v>
      </c>
      <c r="C460" s="4">
        <v>17266505</v>
      </c>
      <c r="D460" s="4" t="s">
        <v>111</v>
      </c>
      <c r="E460" s="4" t="s">
        <v>439</v>
      </c>
      <c r="F460" s="4" t="s">
        <v>1876</v>
      </c>
      <c r="G460" s="4">
        <v>43764</v>
      </c>
      <c r="H460" s="4" t="s">
        <v>1877</v>
      </c>
      <c r="I460" s="4">
        <v>291</v>
      </c>
      <c r="J460" s="4" t="s">
        <v>23</v>
      </c>
      <c r="K460" s="4" t="s">
        <v>24</v>
      </c>
      <c r="L460" s="4">
        <v>30000000</v>
      </c>
      <c r="M460" s="4">
        <v>2002</v>
      </c>
      <c r="N460" s="4">
        <v>5.4</v>
      </c>
      <c r="O460" s="4">
        <f ca="1">IFERROR(__xludf.DUMMYFUNCTION("IF(Cost_in_dollars!E460=""USD"",Cost_in_dollars!B460,Cost_in_dollars!B460 * GOOGLEFINANCE(""CURRENCY:"" &amp; Cost_in_dollars!E460 &amp; ""USD""))
"),30000000)</f>
        <v>30000000</v>
      </c>
      <c r="P460" s="4">
        <f ca="1">IFERROR(__xludf.DUMMYFUNCTION("IF(Cost_in_dollars!E460=""USD"",Cost_in_dollars!C460,Cost_in_dollars!C460 * GOOGLEFINANCE(""CURRENCY:"" &amp; Cost_in_dollars!E460 &amp; ""USD""))
"),17266505)</f>
        <v>17266505</v>
      </c>
      <c r="Q460" s="4">
        <f t="shared" ca="1" si="6"/>
        <v>-12733495</v>
      </c>
      <c r="R460" s="5" t="str">
        <f t="shared" si="7"/>
        <v>Eight Legged Freaks</v>
      </c>
      <c r="S460" s="43" t="str">
        <f t="shared" si="11"/>
        <v>Action</v>
      </c>
    </row>
    <row r="461" spans="1:19" ht="15.75" customHeight="1" x14ac:dyDescent="0.25">
      <c r="A461" s="6" t="s">
        <v>1878</v>
      </c>
      <c r="B461" s="6">
        <v>148</v>
      </c>
      <c r="C461" s="6">
        <v>16027866</v>
      </c>
      <c r="D461" s="6" t="s">
        <v>155</v>
      </c>
      <c r="E461" s="6" t="s">
        <v>1879</v>
      </c>
      <c r="F461" s="6" t="s">
        <v>1880</v>
      </c>
      <c r="G461" s="6">
        <v>26767</v>
      </c>
      <c r="H461" s="6" t="s">
        <v>1881</v>
      </c>
      <c r="I461" s="6">
        <v>121</v>
      </c>
      <c r="J461" s="6" t="s">
        <v>23</v>
      </c>
      <c r="K461" s="6" t="s">
        <v>611</v>
      </c>
      <c r="L461" s="6">
        <v>25000000</v>
      </c>
      <c r="M461" s="6">
        <v>2015</v>
      </c>
      <c r="N461" s="6">
        <v>5.0999999999999996</v>
      </c>
      <c r="O461" s="4">
        <f ca="1">IFERROR(__xludf.DUMMYFUNCTION("IF(Cost_in_dollars!E461=""USD"",Cost_in_dollars!B461,Cost_in_dollars!B461 * GOOGLEFINANCE(""CURRENCY:"" &amp; Cost_in_dollars!E461 &amp; ""USD""))
"),27118500)</f>
        <v>27118500</v>
      </c>
      <c r="P461" s="4">
        <f ca="1">IFERROR(__xludf.DUMMYFUNCTION("IF(Cost_in_dollars!E461=""USD"",Cost_in_dollars!C461,Cost_in_dollars!C461 * GOOGLEFINANCE(""CURRENCY:"" &amp; Cost_in_dollars!E461 &amp; ""USD""))
"),17386067.36484)</f>
        <v>17386067.364840001</v>
      </c>
      <c r="Q461" s="6">
        <f t="shared" ca="1" si="6"/>
        <v>-9732432.6351599991</v>
      </c>
      <c r="R461" s="7" t="str">
        <f t="shared" si="7"/>
        <v>The Transporter Refueled</v>
      </c>
      <c r="S461" s="43" t="str">
        <f t="shared" si="11"/>
        <v>Action</v>
      </c>
    </row>
    <row r="462" spans="1:19" ht="15.75" customHeight="1" x14ac:dyDescent="0.25">
      <c r="A462" s="4" t="s">
        <v>1882</v>
      </c>
      <c r="B462" s="4">
        <v>127</v>
      </c>
      <c r="C462" s="4">
        <v>226138454</v>
      </c>
      <c r="D462" s="4" t="s">
        <v>793</v>
      </c>
      <c r="E462" s="4" t="s">
        <v>1883</v>
      </c>
      <c r="F462" s="4" t="s">
        <v>1884</v>
      </c>
      <c r="G462" s="4">
        <v>160440</v>
      </c>
      <c r="H462" s="4" t="s">
        <v>1885</v>
      </c>
      <c r="I462" s="4">
        <v>394</v>
      </c>
      <c r="J462" s="4" t="s">
        <v>23</v>
      </c>
      <c r="K462" s="4" t="s">
        <v>24</v>
      </c>
      <c r="L462" s="4">
        <v>90000000</v>
      </c>
      <c r="M462" s="4">
        <v>2001</v>
      </c>
      <c r="N462" s="4">
        <v>6.6</v>
      </c>
      <c r="O462" s="4">
        <f ca="1">IFERROR(__xludf.DUMMYFUNCTION("IF(Cost_in_dollars!E462=""USD"",Cost_in_dollars!B462,Cost_in_dollars!B462 * GOOGLEFINANCE(""CURRENCY:"" &amp; Cost_in_dollars!E462 &amp; ""USD""))
"),90000000)</f>
        <v>90000000</v>
      </c>
      <c r="P462" s="4">
        <f ca="1">IFERROR(__xludf.DUMMYFUNCTION("IF(Cost_in_dollars!E462=""USD"",Cost_in_dollars!C462,Cost_in_dollars!C462 * GOOGLEFINANCE(""CURRENCY:"" &amp; Cost_in_dollars!E462 &amp; ""USD""))
"),226138454)</f>
        <v>226138454</v>
      </c>
      <c r="Q462" s="4">
        <f t="shared" ca="1" si="6"/>
        <v>136138454</v>
      </c>
      <c r="R462" s="5" t="str">
        <f t="shared" si="7"/>
        <v>Rush Hour 2</v>
      </c>
      <c r="S462" s="43" t="str">
        <f t="shared" si="11"/>
        <v>Action</v>
      </c>
    </row>
    <row r="463" spans="1:19" ht="15.75" customHeight="1" x14ac:dyDescent="0.25">
      <c r="A463" s="6" t="s">
        <v>634</v>
      </c>
      <c r="B463" s="6">
        <v>123</v>
      </c>
      <c r="C463" s="6">
        <v>19480739</v>
      </c>
      <c r="D463" s="6" t="s">
        <v>188</v>
      </c>
      <c r="E463" s="6" t="s">
        <v>805</v>
      </c>
      <c r="F463" s="6" t="s">
        <v>1886</v>
      </c>
      <c r="G463" s="6">
        <v>53057</v>
      </c>
      <c r="H463" s="6" t="s">
        <v>1887</v>
      </c>
      <c r="I463" s="6">
        <v>457</v>
      </c>
      <c r="J463" s="6" t="s">
        <v>23</v>
      </c>
      <c r="K463" s="6" t="s">
        <v>24</v>
      </c>
      <c r="L463" s="6">
        <v>80000000</v>
      </c>
      <c r="M463" s="6">
        <v>2003</v>
      </c>
      <c r="N463" s="6">
        <v>5.6</v>
      </c>
      <c r="O463" s="4">
        <f ca="1">IFERROR(__xludf.DUMMYFUNCTION("IF(Cost_in_dollars!E463=""USD"",Cost_in_dollars!B463,Cost_in_dollars!B463 * GOOGLEFINANCE(""CURRENCY:"" &amp; Cost_in_dollars!E463 &amp; ""USD""))
"),80000000)</f>
        <v>80000000</v>
      </c>
      <c r="P463" s="4">
        <f ca="1">IFERROR(__xludf.DUMMYFUNCTION("IF(Cost_in_dollars!E463=""USD"",Cost_in_dollars!C463,Cost_in_dollars!C463 * GOOGLEFINANCE(""CURRENCY:"" &amp; Cost_in_dollars!E463 &amp; ""USD""))
"),19480739)</f>
        <v>19480739</v>
      </c>
      <c r="Q463" s="6">
        <f t="shared" ca="1" si="6"/>
        <v>-60519261</v>
      </c>
      <c r="R463" s="7" t="str">
        <f t="shared" si="7"/>
        <v>Timeline</v>
      </c>
      <c r="S463" s="43" t="str">
        <f t="shared" si="11"/>
        <v>Action</v>
      </c>
    </row>
    <row r="464" spans="1:19" ht="15.75" customHeight="1" x14ac:dyDescent="0.25">
      <c r="A464" s="4" t="s">
        <v>1723</v>
      </c>
      <c r="B464" s="4">
        <v>101</v>
      </c>
      <c r="C464" s="4">
        <v>140015224</v>
      </c>
      <c r="D464" s="4" t="s">
        <v>1888</v>
      </c>
      <c r="E464" s="4" t="s">
        <v>1889</v>
      </c>
      <c r="F464" s="4" t="s">
        <v>1890</v>
      </c>
      <c r="G464" s="4">
        <v>94172</v>
      </c>
      <c r="H464" s="4" t="s">
        <v>1891</v>
      </c>
      <c r="I464" s="4">
        <v>179</v>
      </c>
      <c r="J464" s="4" t="s">
        <v>23</v>
      </c>
      <c r="K464" s="4" t="s">
        <v>176</v>
      </c>
      <c r="L464" s="4">
        <v>133000000</v>
      </c>
      <c r="M464" s="4">
        <v>1999</v>
      </c>
      <c r="N464" s="4">
        <v>5.9</v>
      </c>
      <c r="O464" s="4">
        <f ca="1">IFERROR(__xludf.DUMMYFUNCTION("IF(Cost_in_dollars!E464=""USD"",Cost_in_dollars!B464,Cost_in_dollars!B464 * GOOGLEFINANCE(""CURRENCY:"" &amp; Cost_in_dollars!E464 &amp; ""USD""))
"),144270420)</f>
        <v>144270420</v>
      </c>
      <c r="P464" s="4">
        <f ca="1">IFERROR(__xludf.DUMMYFUNCTION("IF(Cost_in_dollars!E464=""USD"",Cost_in_dollars!C464,Cost_in_dollars!C464 * GOOGLEFINANCE(""CURRENCY:"" &amp; Cost_in_dollars!E464 &amp; ""USD""))
"),151880114.08176)</f>
        <v>151880114.08175999</v>
      </c>
      <c r="Q464" s="4">
        <f t="shared" ca="1" si="6"/>
        <v>7609694.0817599893</v>
      </c>
      <c r="R464" s="5" t="str">
        <f t="shared" si="7"/>
        <v>Stuart Little</v>
      </c>
      <c r="S464" s="43" t="str">
        <f t="shared" si="11"/>
        <v>Adventure</v>
      </c>
    </row>
    <row r="465" spans="1:19" ht="15.75" customHeight="1" x14ac:dyDescent="0.25">
      <c r="A465" s="6" t="s">
        <v>1892</v>
      </c>
      <c r="B465" s="6">
        <v>60</v>
      </c>
      <c r="C465" s="6">
        <v>17218080</v>
      </c>
      <c r="D465" s="6" t="s">
        <v>1893</v>
      </c>
      <c r="E465" s="6" t="s">
        <v>54</v>
      </c>
      <c r="F465" s="6" t="s">
        <v>1894</v>
      </c>
      <c r="G465" s="6">
        <v>43376</v>
      </c>
      <c r="H465" s="6" t="s">
        <v>1895</v>
      </c>
      <c r="I465" s="6">
        <v>249</v>
      </c>
      <c r="J465" s="6" t="s">
        <v>23</v>
      </c>
      <c r="K465" s="6" t="s">
        <v>24</v>
      </c>
      <c r="L465" s="6">
        <v>70000000</v>
      </c>
      <c r="M465" s="6">
        <v>1991</v>
      </c>
      <c r="N465" s="6">
        <v>5.7</v>
      </c>
      <c r="O465" s="4">
        <f ca="1">IFERROR(__xludf.DUMMYFUNCTION("IF(Cost_in_dollars!E465=""USD"",Cost_in_dollars!B465,Cost_in_dollars!B465 * GOOGLEFINANCE(""CURRENCY:"" &amp; Cost_in_dollars!E465 &amp; ""USD""))
"),70000000)</f>
        <v>70000000</v>
      </c>
      <c r="P465" s="4">
        <f ca="1">IFERROR(__xludf.DUMMYFUNCTION("IF(Cost_in_dollars!E465=""USD"",Cost_in_dollars!C465,Cost_in_dollars!C465 * GOOGLEFINANCE(""CURRENCY:"" &amp; Cost_in_dollars!E465 &amp; ""USD""))
"),17218080)</f>
        <v>17218080</v>
      </c>
      <c r="Q465" s="6">
        <f t="shared" ca="1" si="6"/>
        <v>-52781920</v>
      </c>
      <c r="R465" s="7" t="str">
        <f t="shared" si="7"/>
        <v>Hudson Hawk</v>
      </c>
      <c r="S465" s="43" t="str">
        <f t="shared" si="11"/>
        <v>Action</v>
      </c>
    </row>
    <row r="466" spans="1:19" ht="15.75" customHeight="1" x14ac:dyDescent="0.25">
      <c r="A466" s="4" t="s">
        <v>318</v>
      </c>
      <c r="B466" s="4">
        <v>169</v>
      </c>
      <c r="C466" s="4">
        <v>125548685</v>
      </c>
      <c r="D466" s="4" t="s">
        <v>362</v>
      </c>
      <c r="E466" s="4" t="s">
        <v>536</v>
      </c>
      <c r="F466" s="4" t="s">
        <v>1896</v>
      </c>
      <c r="G466" s="4">
        <v>135246</v>
      </c>
      <c r="H466" s="4" t="s">
        <v>1897</v>
      </c>
      <c r="I466" s="4">
        <v>498</v>
      </c>
      <c r="J466" s="4" t="s">
        <v>23</v>
      </c>
      <c r="K466" s="4" t="s">
        <v>24</v>
      </c>
      <c r="L466" s="4">
        <v>52000000</v>
      </c>
      <c r="M466" s="4">
        <v>2000</v>
      </c>
      <c r="N466" s="4">
        <v>7.3</v>
      </c>
      <c r="O466" s="4">
        <f ca="1">IFERROR(__xludf.DUMMYFUNCTION("IF(Cost_in_dollars!E466=""USD"",Cost_in_dollars!B466,Cost_in_dollars!B466 * GOOGLEFINANCE(""CURRENCY:"" &amp; Cost_in_dollars!E466 &amp; ""USD""))
"),52000000)</f>
        <v>52000000</v>
      </c>
      <c r="P466" s="4">
        <f ca="1">IFERROR(__xludf.DUMMYFUNCTION("IF(Cost_in_dollars!E466=""USD"",Cost_in_dollars!C466,Cost_in_dollars!C466 * GOOGLEFINANCE(""CURRENCY:"" &amp; Cost_in_dollars!E466 &amp; ""USD""))
"),125548685)</f>
        <v>125548685</v>
      </c>
      <c r="Q466" s="4">
        <f t="shared" ca="1" si="6"/>
        <v>73548685</v>
      </c>
      <c r="R466" s="5" t="str">
        <f t="shared" si="7"/>
        <v>Erin Brockovich</v>
      </c>
      <c r="S466" s="43" t="str">
        <f t="shared" si="11"/>
        <v>Biography</v>
      </c>
    </row>
    <row r="467" spans="1:19" ht="15.75" customHeight="1" x14ac:dyDescent="0.25">
      <c r="A467" s="6" t="s">
        <v>197</v>
      </c>
      <c r="B467" s="6">
        <v>122</v>
      </c>
      <c r="C467" s="6">
        <v>6200756</v>
      </c>
      <c r="D467" s="6" t="s">
        <v>457</v>
      </c>
      <c r="E467" s="6" t="s">
        <v>439</v>
      </c>
      <c r="F467" s="6" t="s">
        <v>1898</v>
      </c>
      <c r="G467" s="6">
        <v>96129</v>
      </c>
      <c r="H467" s="6" t="s">
        <v>1899</v>
      </c>
      <c r="I467" s="6">
        <v>488</v>
      </c>
      <c r="J467" s="6" t="s">
        <v>23</v>
      </c>
      <c r="K467" s="6" t="s">
        <v>24</v>
      </c>
      <c r="L467" s="6">
        <v>7000000</v>
      </c>
      <c r="M467" s="6">
        <v>2001</v>
      </c>
      <c r="N467" s="6">
        <v>7.4</v>
      </c>
      <c r="O467" s="4">
        <f ca="1">IFERROR(__xludf.DUMMYFUNCTION("IF(Cost_in_dollars!E467=""USD"",Cost_in_dollars!B467,Cost_in_dollars!B467 * GOOGLEFINANCE(""CURRENCY:"" &amp; Cost_in_dollars!E467 &amp; ""USD""))
"),7000000)</f>
        <v>7000000</v>
      </c>
      <c r="P467" s="4">
        <f ca="1">IFERROR(__xludf.DUMMYFUNCTION("IF(Cost_in_dollars!E467=""USD"",Cost_in_dollars!C467,Cost_in_dollars!C467 * GOOGLEFINANCE(""CURRENCY:"" &amp; Cost_in_dollars!E467 &amp; ""USD""))
"),6200756)</f>
        <v>6200756</v>
      </c>
      <c r="Q467" s="6">
        <f t="shared" ca="1" si="6"/>
        <v>-799244</v>
      </c>
      <c r="R467" s="7" t="str">
        <f t="shared" si="7"/>
        <v>Ghost World</v>
      </c>
      <c r="S467" s="43" t="str">
        <f t="shared" si="11"/>
        <v>Comedy</v>
      </c>
    </row>
    <row r="468" spans="1:19" ht="15.75" customHeight="1" x14ac:dyDescent="0.25">
      <c r="A468" s="4" t="s">
        <v>1900</v>
      </c>
      <c r="B468" s="4">
        <v>101</v>
      </c>
      <c r="C468" s="4">
        <v>38048637</v>
      </c>
      <c r="D468" s="4" t="s">
        <v>93</v>
      </c>
      <c r="E468" s="4" t="s">
        <v>1814</v>
      </c>
      <c r="F468" s="4" t="s">
        <v>1901</v>
      </c>
      <c r="G468" s="4">
        <v>47814</v>
      </c>
      <c r="H468" s="4" t="s">
        <v>1902</v>
      </c>
      <c r="I468" s="4">
        <v>426</v>
      </c>
      <c r="J468" s="4" t="s">
        <v>23</v>
      </c>
      <c r="K468" s="4" t="s">
        <v>24</v>
      </c>
      <c r="L468" s="4">
        <v>14000000</v>
      </c>
      <c r="M468" s="4">
        <v>1998</v>
      </c>
      <c r="N468" s="4">
        <v>5.5</v>
      </c>
      <c r="O468" s="4">
        <f ca="1">IFERROR(__xludf.DUMMYFUNCTION("IF(Cost_in_dollars!E468=""USD"",Cost_in_dollars!B468,Cost_in_dollars!B468 * GOOGLEFINANCE(""CURRENCY:"" &amp; Cost_in_dollars!E468 &amp; ""USD""))
"),14000000)</f>
        <v>14000000</v>
      </c>
      <c r="P468" s="4">
        <f ca="1">IFERROR(__xludf.DUMMYFUNCTION("IF(Cost_in_dollars!E468=""USD"",Cost_in_dollars!C468,Cost_in_dollars!C468 * GOOGLEFINANCE(""CURRENCY:"" &amp; Cost_in_dollars!E468 &amp; ""USD""))
"),38048637)</f>
        <v>38048637</v>
      </c>
      <c r="Q468" s="4">
        <f t="shared" ca="1" si="6"/>
        <v>24048637</v>
      </c>
      <c r="R468" s="5" t="str">
        <f t="shared" si="7"/>
        <v>Urban Legend</v>
      </c>
      <c r="S468" s="43" t="str">
        <f t="shared" si="11"/>
        <v>Horror</v>
      </c>
    </row>
    <row r="469" spans="1:19" ht="15.75" customHeight="1" x14ac:dyDescent="0.25">
      <c r="A469" s="6" t="s">
        <v>1903</v>
      </c>
      <c r="B469" s="6">
        <v>85</v>
      </c>
      <c r="C469" s="6">
        <v>5709616</v>
      </c>
      <c r="D469" s="6" t="s">
        <v>235</v>
      </c>
      <c r="E469" s="6" t="s">
        <v>1904</v>
      </c>
      <c r="F469" s="6" t="s">
        <v>1905</v>
      </c>
      <c r="G469" s="6">
        <v>11088</v>
      </c>
      <c r="H469" s="6" t="s">
        <v>1906</v>
      </c>
      <c r="I469" s="6">
        <v>110</v>
      </c>
      <c r="J469" s="6" t="s">
        <v>1569</v>
      </c>
      <c r="K469" s="6" t="s">
        <v>1220</v>
      </c>
      <c r="L469" s="6">
        <v>1800000</v>
      </c>
      <c r="M469" s="6">
        <v>2002</v>
      </c>
      <c r="N469" s="6">
        <v>6.8</v>
      </c>
      <c r="O469" s="4">
        <f ca="1">IFERROR(__xludf.DUMMYFUNCTION("IF(Cost_in_dollars!E469=""USD"",Cost_in_dollars!B469,Cost_in_dollars!B469 * GOOGLEFINANCE(""CURRENCY:"" &amp; Cost_in_dollars!E469 &amp; ""USD""))
"),97568.442)</f>
        <v>97568.441999999995</v>
      </c>
      <c r="P469" s="4">
        <f ca="1">IFERROR(__xludf.DUMMYFUNCTION("IF(Cost_in_dollars!E469=""USD"",Cost_in_dollars!C469,Cost_in_dollars!C469 * GOOGLEFINANCE(""CURRENCY:"" &amp; Cost_in_dollars!E469 &amp; ""USD""))
"),309487.96529904)</f>
        <v>309487.96529904002</v>
      </c>
      <c r="Q469" s="6">
        <f t="shared" ca="1" si="6"/>
        <v>211919.52329904004</v>
      </c>
      <c r="R469" s="7" t="str">
        <f t="shared" si="7"/>
        <v>El crimen del padre Amaro</v>
      </c>
      <c r="S469" s="43" t="str">
        <f t="shared" si="11"/>
        <v>Drama</v>
      </c>
    </row>
    <row r="470" spans="1:19" ht="15.75" customHeight="1" x14ac:dyDescent="0.25">
      <c r="A470" s="4" t="s">
        <v>1907</v>
      </c>
      <c r="B470" s="4">
        <v>111</v>
      </c>
      <c r="C470" s="4">
        <v>14131298</v>
      </c>
      <c r="D470" s="4" t="s">
        <v>1908</v>
      </c>
      <c r="E470" s="4" t="s">
        <v>1909</v>
      </c>
      <c r="F470" s="4" t="s">
        <v>1910</v>
      </c>
      <c r="G470" s="4">
        <v>55889</v>
      </c>
      <c r="H470" s="4" t="s">
        <v>1911</v>
      </c>
      <c r="I470" s="4">
        <v>390</v>
      </c>
      <c r="J470" s="4" t="s">
        <v>23</v>
      </c>
      <c r="K470" s="4" t="s">
        <v>611</v>
      </c>
      <c r="L470" s="4">
        <v>390000000</v>
      </c>
      <c r="M470" s="4">
        <v>1999</v>
      </c>
      <c r="N470" s="4">
        <v>6.4</v>
      </c>
      <c r="O470" s="4">
        <f ca="1">IFERROR(__xludf.DUMMYFUNCTION("IF(Cost_in_dollars!E470=""USD"",Cost_in_dollars!B470,Cost_in_dollars!B470 * GOOGLEFINANCE(""CURRENCY:"" &amp; Cost_in_dollars!E470 &amp; ""USD""))
"),423048600)</f>
        <v>423048600</v>
      </c>
      <c r="P470" s="4">
        <f ca="1">IFERROR(__xludf.DUMMYFUNCTION("IF(Cost_in_dollars!E470=""USD"",Cost_in_dollars!C470,Cost_in_dollars!C470 * GOOGLEFINANCE(""CURRENCY:"" &amp; Cost_in_dollars!E470 &amp; ""USD""))
"),15328784.19252)</f>
        <v>15328784.19252</v>
      </c>
      <c r="Q470" s="4">
        <f t="shared" ca="1" si="6"/>
        <v>-407719815.80747998</v>
      </c>
      <c r="R470" s="5" t="str">
        <f t="shared" si="7"/>
        <v>The Messenger: The Story of Joan of Arc</v>
      </c>
      <c r="S470" s="43" t="str">
        <f t="shared" si="11"/>
        <v>Adventure</v>
      </c>
    </row>
    <row r="471" spans="1:19" ht="15.75" customHeight="1" x14ac:dyDescent="0.25">
      <c r="A471" s="6" t="s">
        <v>433</v>
      </c>
      <c r="B471" s="6">
        <v>157</v>
      </c>
      <c r="C471" s="6">
        <v>1641788</v>
      </c>
      <c r="D471" s="6" t="s">
        <v>314</v>
      </c>
      <c r="E471" s="6" t="s">
        <v>1912</v>
      </c>
      <c r="F471" s="6" t="s">
        <v>1913</v>
      </c>
      <c r="G471" s="6">
        <v>30096</v>
      </c>
      <c r="H471" s="6" t="s">
        <v>1914</v>
      </c>
      <c r="I471" s="6">
        <v>213</v>
      </c>
      <c r="J471" s="6" t="s">
        <v>23</v>
      </c>
      <c r="K471" s="6" t="s">
        <v>627</v>
      </c>
      <c r="L471" s="6">
        <v>8000000</v>
      </c>
      <c r="M471" s="6">
        <v>2002</v>
      </c>
      <c r="N471" s="6">
        <v>6.8</v>
      </c>
      <c r="O471" s="4">
        <f ca="1">IFERROR(__xludf.DUMMYFUNCTION("IF(Cost_in_dollars!E471=""USD"",Cost_in_dollars!B471,Cost_in_dollars!B471 * GOOGLEFINANCE(""CURRENCY:"" &amp; Cost_in_dollars!E471 &amp; ""USD""))
"),5787240)</f>
        <v>5787240</v>
      </c>
      <c r="P471" s="4">
        <f ca="1">IFERROR(__xludf.DUMMYFUNCTION("IF(Cost_in_dollars!E471=""USD"",Cost_in_dollars!C471,Cost_in_dollars!C471 * GOOGLEFINANCE(""CURRENCY:"" &amp; Cost_in_dollars!E471 &amp; ""USD""))
"),1187677.64814)</f>
        <v>1187677.6481399999</v>
      </c>
      <c r="Q471" s="6">
        <f t="shared" ca="1" si="6"/>
        <v>-4599562.3518599998</v>
      </c>
      <c r="R471" s="7" t="str">
        <f t="shared" si="7"/>
        <v>Spider</v>
      </c>
      <c r="S471" s="43" t="str">
        <f t="shared" si="11"/>
        <v>Drama</v>
      </c>
    </row>
    <row r="472" spans="1:19" ht="15.75" customHeight="1" x14ac:dyDescent="0.25">
      <c r="A472" s="4" t="s">
        <v>1915</v>
      </c>
      <c r="B472" s="4">
        <v>143</v>
      </c>
      <c r="C472" s="4">
        <v>88658172</v>
      </c>
      <c r="D472" s="4" t="s">
        <v>88</v>
      </c>
      <c r="E472" s="4" t="s">
        <v>1916</v>
      </c>
      <c r="F472" s="4" t="s">
        <v>1917</v>
      </c>
      <c r="G472" s="4">
        <v>58412</v>
      </c>
      <c r="H472" s="4" t="s">
        <v>1918</v>
      </c>
      <c r="I472" s="4">
        <v>242</v>
      </c>
      <c r="J472" s="4" t="s">
        <v>23</v>
      </c>
      <c r="K472" s="4" t="s">
        <v>24</v>
      </c>
      <c r="L472" s="4">
        <v>50000000</v>
      </c>
      <c r="M472" s="4">
        <v>2006</v>
      </c>
      <c r="N472" s="4">
        <v>5.6</v>
      </c>
      <c r="O472" s="4">
        <f ca="1">IFERROR(__xludf.DUMMYFUNCTION("IF(Cost_in_dollars!E472=""USD"",Cost_in_dollars!B472,Cost_in_dollars!B472 * GOOGLEFINANCE(""CURRENCY:"" &amp; Cost_in_dollars!E472 &amp; ""USD""))
"),50000000)</f>
        <v>50000000</v>
      </c>
      <c r="P472" s="4">
        <f ca="1">IFERROR(__xludf.DUMMYFUNCTION("IF(Cost_in_dollars!E472=""USD"",Cost_in_dollars!C472,Cost_in_dollars!C472 * GOOGLEFINANCE(""CURRENCY:"" &amp; Cost_in_dollars!E472 &amp; ""USD""))
"),88658172)</f>
        <v>88658172</v>
      </c>
      <c r="Q472" s="4">
        <f t="shared" ca="1" si="6"/>
        <v>38658172</v>
      </c>
      <c r="R472" s="5" t="str">
        <f t="shared" si="7"/>
        <v>Failure to Launch</v>
      </c>
      <c r="S472" s="43" t="str">
        <f t="shared" si="11"/>
        <v>Comedy</v>
      </c>
    </row>
    <row r="473" spans="1:19" ht="15.75" customHeight="1" x14ac:dyDescent="0.25">
      <c r="A473" s="6" t="s">
        <v>1919</v>
      </c>
      <c r="B473" s="6">
        <v>228</v>
      </c>
      <c r="C473" s="6">
        <v>17683670</v>
      </c>
      <c r="D473" s="6" t="s">
        <v>1920</v>
      </c>
      <c r="E473" s="6" t="s">
        <v>1921</v>
      </c>
      <c r="F473" s="6" t="s">
        <v>1922</v>
      </c>
      <c r="G473" s="6">
        <v>47227</v>
      </c>
      <c r="H473" s="6" t="s">
        <v>1923</v>
      </c>
      <c r="I473" s="6">
        <v>323</v>
      </c>
      <c r="J473" s="6" t="s">
        <v>23</v>
      </c>
      <c r="K473" s="6" t="s">
        <v>24</v>
      </c>
      <c r="L473" s="6">
        <v>5000000</v>
      </c>
      <c r="M473" s="6">
        <v>2011</v>
      </c>
      <c r="N473" s="6">
        <v>5.2</v>
      </c>
      <c r="O473" s="4">
        <f ca="1">IFERROR(__xludf.DUMMYFUNCTION("IF(Cost_in_dollars!E473=""USD"",Cost_in_dollars!B473,Cost_in_dollars!B473 * GOOGLEFINANCE(""CURRENCY:"" &amp; Cost_in_dollars!E473 &amp; ""USD""))
"),5000000)</f>
        <v>5000000</v>
      </c>
      <c r="P473" s="4">
        <f ca="1">IFERROR(__xludf.DUMMYFUNCTION("IF(Cost_in_dollars!E473=""USD"",Cost_in_dollars!C473,Cost_in_dollars!C473 * GOOGLEFINANCE(""CURRENCY:"" &amp; Cost_in_dollars!E473 &amp; ""USD""))
"),17683670)</f>
        <v>17683670</v>
      </c>
      <c r="Q473" s="6">
        <f t="shared" ca="1" si="6"/>
        <v>12683670</v>
      </c>
      <c r="R473" s="7" t="str">
        <f t="shared" si="7"/>
        <v>Apollo 18</v>
      </c>
      <c r="S473" s="43" t="str">
        <f t="shared" si="11"/>
        <v>Horror</v>
      </c>
    </row>
    <row r="474" spans="1:19" ht="15.75" customHeight="1" x14ac:dyDescent="0.25">
      <c r="A474" s="4" t="s">
        <v>1924</v>
      </c>
      <c r="B474" s="4">
        <v>56</v>
      </c>
      <c r="C474" s="4">
        <v>40363530</v>
      </c>
      <c r="D474" s="4" t="s">
        <v>860</v>
      </c>
      <c r="E474" s="4" t="s">
        <v>1925</v>
      </c>
      <c r="F474" s="4" t="s">
        <v>1926</v>
      </c>
      <c r="G474" s="4">
        <v>18254</v>
      </c>
      <c r="H474" s="4" t="s">
        <v>1927</v>
      </c>
      <c r="I474" s="4">
        <v>307</v>
      </c>
      <c r="J474" s="4" t="s">
        <v>23</v>
      </c>
      <c r="K474" s="4" t="s">
        <v>24</v>
      </c>
      <c r="L474" s="4">
        <v>16000000</v>
      </c>
      <c r="M474" s="4">
        <v>2002</v>
      </c>
      <c r="N474" s="4">
        <v>3.3</v>
      </c>
      <c r="O474" s="4">
        <f ca="1">IFERROR(__xludf.DUMMYFUNCTION("IF(Cost_in_dollars!E474=""USD"",Cost_in_dollars!B474,Cost_in_dollars!B474 * GOOGLEFINANCE(""CURRENCY:"" &amp; Cost_in_dollars!E474 &amp; ""USD""))
"),16000000)</f>
        <v>16000000</v>
      </c>
      <c r="P474" s="4">
        <f ca="1">IFERROR(__xludf.DUMMYFUNCTION("IF(Cost_in_dollars!E474=""USD"",Cost_in_dollars!C474,Cost_in_dollars!C474 * GOOGLEFINANCE(""CURRENCY:"" &amp; Cost_in_dollars!E474 &amp; ""USD""))
"),40363530)</f>
        <v>40363530</v>
      </c>
      <c r="Q474" s="4">
        <f t="shared" ca="1" si="6"/>
        <v>24363530</v>
      </c>
      <c r="R474" s="5" t="str">
        <f t="shared" si="7"/>
        <v>The Master of Disguise</v>
      </c>
      <c r="S474" s="43" t="str">
        <f t="shared" si="11"/>
        <v>Comedy</v>
      </c>
    </row>
    <row r="475" spans="1:19" ht="15.75" customHeight="1" x14ac:dyDescent="0.25">
      <c r="A475" s="6" t="s">
        <v>1928</v>
      </c>
      <c r="B475" s="6">
        <v>121</v>
      </c>
      <c r="C475" s="6">
        <v>25871834</v>
      </c>
      <c r="D475" s="6" t="s">
        <v>1929</v>
      </c>
      <c r="E475" s="6" t="s">
        <v>1930</v>
      </c>
      <c r="F475" s="6" t="s">
        <v>1931</v>
      </c>
      <c r="G475" s="6">
        <v>52052</v>
      </c>
      <c r="H475" s="6" t="s">
        <v>1932</v>
      </c>
      <c r="I475" s="6">
        <v>173</v>
      </c>
      <c r="J475" s="6" t="s">
        <v>23</v>
      </c>
      <c r="K475" s="6" t="s">
        <v>24</v>
      </c>
      <c r="L475" s="6">
        <v>35000000</v>
      </c>
      <c r="M475" s="6">
        <v>2008</v>
      </c>
      <c r="N475" s="6">
        <v>4.5</v>
      </c>
      <c r="O475" s="4">
        <f ca="1">IFERROR(__xludf.DUMMYFUNCTION("IF(Cost_in_dollars!E475=""USD"",Cost_in_dollars!B475,Cost_in_dollars!B475 * GOOGLEFINANCE(""CURRENCY:"" &amp; Cost_in_dollars!E475 &amp; ""USD""))
"),35000000)</f>
        <v>35000000</v>
      </c>
      <c r="P475" s="4">
        <f ca="1">IFERROR(__xludf.DUMMYFUNCTION("IF(Cost_in_dollars!E475=""USD"",Cost_in_dollars!C475,Cost_in_dollars!C475 * GOOGLEFINANCE(""CURRENCY:"" &amp; Cost_in_dollars!E475 &amp; ""USD""))
"),25871834)</f>
        <v>25871834</v>
      </c>
      <c r="Q475" s="6">
        <f t="shared" ca="1" si="6"/>
        <v>-9128166</v>
      </c>
      <c r="R475" s="7" t="str">
        <f t="shared" si="7"/>
        <v>Superhero Movie</v>
      </c>
      <c r="S475" s="43" t="str">
        <f t="shared" si="11"/>
        <v>Action</v>
      </c>
    </row>
    <row r="476" spans="1:19" ht="15.75" customHeight="1" x14ac:dyDescent="0.25">
      <c r="A476" s="4" t="s">
        <v>182</v>
      </c>
      <c r="B476" s="4">
        <v>148</v>
      </c>
      <c r="C476" s="4">
        <v>5887457</v>
      </c>
      <c r="D476" s="4" t="s">
        <v>1933</v>
      </c>
      <c r="E476" s="4" t="s">
        <v>84</v>
      </c>
      <c r="F476" s="4" t="s">
        <v>1934</v>
      </c>
      <c r="G476" s="4">
        <v>142416</v>
      </c>
      <c r="H476" s="4" t="s">
        <v>1935</v>
      </c>
      <c r="I476" s="4">
        <v>420</v>
      </c>
      <c r="J476" s="4" t="s">
        <v>23</v>
      </c>
      <c r="K476" s="4" t="s">
        <v>24</v>
      </c>
      <c r="L476" s="4">
        <v>18000000</v>
      </c>
      <c r="M476" s="4">
        <v>1994</v>
      </c>
      <c r="N476" s="4">
        <v>7.9</v>
      </c>
      <c r="O476" s="4">
        <f ca="1">IFERROR(__xludf.DUMMYFUNCTION("IF(Cost_in_dollars!E476=""USD"",Cost_in_dollars!B476,Cost_in_dollars!B476 * GOOGLEFINANCE(""CURRENCY:"" &amp; Cost_in_dollars!E476 &amp; ""USD""))
"),18000000)</f>
        <v>18000000</v>
      </c>
      <c r="P476" s="4">
        <f ca="1">IFERROR(__xludf.DUMMYFUNCTION("IF(Cost_in_dollars!E476=""USD"",Cost_in_dollars!C476,Cost_in_dollars!C476 * GOOGLEFINANCE(""CURRENCY:"" &amp; Cost_in_dollars!E476 &amp; ""USD""))
"),5887457)</f>
        <v>5887457</v>
      </c>
      <c r="Q476" s="4">
        <f t="shared" ca="1" si="6"/>
        <v>-12112543</v>
      </c>
      <c r="R476" s="5" t="str">
        <f t="shared" si="7"/>
        <v>Ed Wood</v>
      </c>
      <c r="S476" s="43" t="str">
        <f t="shared" si="11"/>
        <v>Biography</v>
      </c>
    </row>
    <row r="477" spans="1:19" ht="15.75" customHeight="1" x14ac:dyDescent="0.25">
      <c r="A477" s="6" t="s">
        <v>638</v>
      </c>
      <c r="B477" s="6">
        <v>308</v>
      </c>
      <c r="C477" s="6">
        <v>356784000</v>
      </c>
      <c r="D477" s="6" t="s">
        <v>1324</v>
      </c>
      <c r="E477" s="6" t="s">
        <v>1936</v>
      </c>
      <c r="F477" s="6" t="s">
        <v>1937</v>
      </c>
      <c r="G477" s="6">
        <v>613473</v>
      </c>
      <c r="H477" s="6" t="s">
        <v>1938</v>
      </c>
      <c r="I477" s="6">
        <v>895</v>
      </c>
      <c r="J477" s="6" t="s">
        <v>23</v>
      </c>
      <c r="K477" s="6" t="s">
        <v>24</v>
      </c>
      <c r="L477" s="6">
        <v>63000000</v>
      </c>
      <c r="M477" s="6">
        <v>1993</v>
      </c>
      <c r="N477" s="6">
        <v>8.1</v>
      </c>
      <c r="O477" s="4">
        <f ca="1">IFERROR(__xludf.DUMMYFUNCTION("IF(Cost_in_dollars!E477=""USD"",Cost_in_dollars!B477,Cost_in_dollars!B477 * GOOGLEFINANCE(""CURRENCY:"" &amp; Cost_in_dollars!E477 &amp; ""USD""))
"),63000000)</f>
        <v>63000000</v>
      </c>
      <c r="P477" s="4">
        <f ca="1">IFERROR(__xludf.DUMMYFUNCTION("IF(Cost_in_dollars!E477=""USD"",Cost_in_dollars!C477,Cost_in_dollars!C477 * GOOGLEFINANCE(""CURRENCY:"" &amp; Cost_in_dollars!E477 &amp; ""USD""))
"),356784000)</f>
        <v>356784000</v>
      </c>
      <c r="Q477" s="6">
        <f t="shared" ca="1" si="6"/>
        <v>293784000</v>
      </c>
      <c r="R477" s="7" t="str">
        <f t="shared" si="7"/>
        <v>Jurassic Park</v>
      </c>
      <c r="S477" s="43" t="str">
        <f t="shared" si="11"/>
        <v>Adventure</v>
      </c>
    </row>
    <row r="478" spans="1:19" ht="15.75" customHeight="1" x14ac:dyDescent="0.25">
      <c r="A478" s="4" t="s">
        <v>1939</v>
      </c>
      <c r="B478" s="4">
        <v>35</v>
      </c>
      <c r="C478" s="4">
        <v>19539</v>
      </c>
      <c r="D478" s="4" t="s">
        <v>140</v>
      </c>
      <c r="E478" s="4" t="s">
        <v>645</v>
      </c>
      <c r="F478" s="4" t="s">
        <v>1940</v>
      </c>
      <c r="G478" s="4">
        <v>4182</v>
      </c>
      <c r="H478" s="4" t="s">
        <v>1941</v>
      </c>
      <c r="I478" s="4">
        <v>53</v>
      </c>
      <c r="J478" s="4" t="s">
        <v>23</v>
      </c>
      <c r="K478" s="4" t="s">
        <v>24</v>
      </c>
      <c r="L478" s="4">
        <v>1000000</v>
      </c>
      <c r="M478" s="4">
        <v>2003</v>
      </c>
      <c r="N478" s="4">
        <v>6.2</v>
      </c>
      <c r="O478" s="4">
        <f ca="1">IFERROR(__xludf.DUMMYFUNCTION("IF(Cost_in_dollars!E478=""USD"",Cost_in_dollars!B478,Cost_in_dollars!B478 * GOOGLEFINANCE(""CURRENCY:"" &amp; Cost_in_dollars!E478 &amp; ""USD""))
"),1000000)</f>
        <v>1000000</v>
      </c>
      <c r="P478" s="4">
        <f ca="1">IFERROR(__xludf.DUMMYFUNCTION("IF(Cost_in_dollars!E478=""USD"",Cost_in_dollars!C478,Cost_in_dollars!C478 * GOOGLEFINANCE(""CURRENCY:"" &amp; Cost_in_dollars!E478 &amp; ""USD""))
"),19539)</f>
        <v>19539</v>
      </c>
      <c r="Q478" s="4">
        <f t="shared" ca="1" si="6"/>
        <v>-980461</v>
      </c>
      <c r="R478" s="5" t="str">
        <f t="shared" si="7"/>
        <v>The Hebrew Hammer</v>
      </c>
      <c r="S478" s="43" t="str">
        <f t="shared" si="11"/>
        <v>Comedy</v>
      </c>
    </row>
    <row r="479" spans="1:19" ht="15.75" customHeight="1" x14ac:dyDescent="0.25">
      <c r="A479" s="6" t="s">
        <v>634</v>
      </c>
      <c r="B479" s="6">
        <v>169</v>
      </c>
      <c r="C479" s="6">
        <v>134218018</v>
      </c>
      <c r="D479" s="6" t="s">
        <v>1942</v>
      </c>
      <c r="E479" s="6" t="s">
        <v>1943</v>
      </c>
      <c r="F479" s="6" t="s">
        <v>1944</v>
      </c>
      <c r="G479" s="6">
        <v>126357</v>
      </c>
      <c r="H479" s="6" t="s">
        <v>1945</v>
      </c>
      <c r="I479" s="6">
        <v>497</v>
      </c>
      <c r="J479" s="6" t="s">
        <v>23</v>
      </c>
      <c r="K479" s="6" t="s">
        <v>24</v>
      </c>
      <c r="L479" s="6">
        <v>55000000</v>
      </c>
      <c r="M479" s="6">
        <v>1978</v>
      </c>
      <c r="N479" s="6">
        <v>7.3</v>
      </c>
      <c r="O479" s="4">
        <f ca="1">IFERROR(__xludf.DUMMYFUNCTION("IF(Cost_in_dollars!E479=""USD"",Cost_in_dollars!B479,Cost_in_dollars!B479 * GOOGLEFINANCE(""CURRENCY:"" &amp; Cost_in_dollars!E479 &amp; ""USD""))
"),55000000)</f>
        <v>55000000</v>
      </c>
      <c r="P479" s="4">
        <f ca="1">IFERROR(__xludf.DUMMYFUNCTION("IF(Cost_in_dollars!E479=""USD"",Cost_in_dollars!C479,Cost_in_dollars!C479 * GOOGLEFINANCE(""CURRENCY:"" &amp; Cost_in_dollars!E479 &amp; ""USD""))
"),134218018)</f>
        <v>134218018</v>
      </c>
      <c r="Q479" s="6">
        <f t="shared" ca="1" si="6"/>
        <v>79218018</v>
      </c>
      <c r="R479" s="7" t="str">
        <f t="shared" si="7"/>
        <v>Superman</v>
      </c>
      <c r="S479" s="43" t="str">
        <f t="shared" si="11"/>
        <v>Action</v>
      </c>
    </row>
    <row r="480" spans="1:19" ht="15.75" customHeight="1" x14ac:dyDescent="0.25">
      <c r="A480" s="4" t="s">
        <v>989</v>
      </c>
      <c r="B480" s="4">
        <v>139</v>
      </c>
      <c r="C480" s="4">
        <v>101087161</v>
      </c>
      <c r="D480" s="4" t="s">
        <v>155</v>
      </c>
      <c r="E480" s="4" t="s">
        <v>456</v>
      </c>
      <c r="F480" s="4" t="s">
        <v>1946</v>
      </c>
      <c r="G480" s="4">
        <v>225282</v>
      </c>
      <c r="H480" s="4" t="s">
        <v>1947</v>
      </c>
      <c r="I480" s="4">
        <v>339</v>
      </c>
      <c r="J480" s="4" t="s">
        <v>23</v>
      </c>
      <c r="K480" s="4" t="s">
        <v>24</v>
      </c>
      <c r="L480" s="4">
        <v>75000000</v>
      </c>
      <c r="M480" s="4">
        <v>1997</v>
      </c>
      <c r="N480" s="4">
        <v>6.8</v>
      </c>
      <c r="O480" s="4">
        <f ca="1">IFERROR(__xludf.DUMMYFUNCTION("IF(Cost_in_dollars!E480=""USD"",Cost_in_dollars!B480,Cost_in_dollars!B480 * GOOGLEFINANCE(""CURRENCY:"" &amp; Cost_in_dollars!E480 &amp; ""USD""))
"),75000000)</f>
        <v>75000000</v>
      </c>
      <c r="P480" s="4">
        <f ca="1">IFERROR(__xludf.DUMMYFUNCTION("IF(Cost_in_dollars!E480=""USD"",Cost_in_dollars!C480,Cost_in_dollars!C480 * GOOGLEFINANCE(""CURRENCY:"" &amp; Cost_in_dollars!E480 &amp; ""USD""))
"),101087161)</f>
        <v>101087161</v>
      </c>
      <c r="Q480" s="4">
        <f t="shared" ca="1" si="6"/>
        <v>26087161</v>
      </c>
      <c r="R480" s="5" t="str">
        <f t="shared" si="7"/>
        <v>Con Air</v>
      </c>
      <c r="S480" s="43" t="str">
        <f t="shared" si="11"/>
        <v>Action</v>
      </c>
    </row>
    <row r="481" spans="1:19" ht="15.75" customHeight="1" x14ac:dyDescent="0.25">
      <c r="A481" s="6" t="s">
        <v>1948</v>
      </c>
      <c r="B481" s="6">
        <v>66</v>
      </c>
      <c r="C481" s="6">
        <v>3000000</v>
      </c>
      <c r="D481" s="6" t="s">
        <v>1949</v>
      </c>
      <c r="E481" s="6" t="s">
        <v>1950</v>
      </c>
      <c r="F481" s="6" t="s">
        <v>1951</v>
      </c>
      <c r="G481" s="6">
        <v>13269</v>
      </c>
      <c r="H481" s="6" t="s">
        <v>1952</v>
      </c>
      <c r="I481" s="6">
        <v>98</v>
      </c>
      <c r="J481" s="6" t="s">
        <v>23</v>
      </c>
      <c r="K481" s="6" t="s">
        <v>24</v>
      </c>
      <c r="L481" s="6">
        <v>609000</v>
      </c>
      <c r="M481" s="6">
        <v>1935</v>
      </c>
      <c r="N481" s="6">
        <v>7.8</v>
      </c>
      <c r="O481" s="4">
        <f ca="1">IFERROR(__xludf.DUMMYFUNCTION("IF(Cost_in_dollars!E481=""USD"",Cost_in_dollars!B481,Cost_in_dollars!B481 * GOOGLEFINANCE(""CURRENCY:"" &amp; Cost_in_dollars!E481 &amp; ""USD""))
"),609000)</f>
        <v>609000</v>
      </c>
      <c r="P481" s="4">
        <f ca="1">IFERROR(__xludf.DUMMYFUNCTION("IF(Cost_in_dollars!E481=""USD"",Cost_in_dollars!C481,Cost_in_dollars!C481 * GOOGLEFINANCE(""CURRENCY:"" &amp; Cost_in_dollars!E481 &amp; ""USD""))
"),3000000)</f>
        <v>3000000</v>
      </c>
      <c r="Q481" s="6">
        <f t="shared" ca="1" si="6"/>
        <v>2391000</v>
      </c>
      <c r="R481" s="7" t="str">
        <f t="shared" si="7"/>
        <v>Top Hat</v>
      </c>
      <c r="S481" s="43" t="str">
        <f t="shared" si="11"/>
        <v>Comedy</v>
      </c>
    </row>
    <row r="482" spans="1:19" ht="15.75" customHeight="1" x14ac:dyDescent="0.25">
      <c r="A482" s="4" t="s">
        <v>1953</v>
      </c>
      <c r="B482" s="4">
        <v>174</v>
      </c>
      <c r="C482" s="4">
        <v>41597830</v>
      </c>
      <c r="D482" s="4" t="s">
        <v>235</v>
      </c>
      <c r="E482" s="4" t="s">
        <v>1954</v>
      </c>
      <c r="F482" s="4" t="s">
        <v>1955</v>
      </c>
      <c r="G482" s="4">
        <v>102123</v>
      </c>
      <c r="H482" s="4" t="s">
        <v>1956</v>
      </c>
      <c r="I482" s="4">
        <v>660</v>
      </c>
      <c r="J482" s="4" t="s">
        <v>23</v>
      </c>
      <c r="K482" s="4" t="s">
        <v>24</v>
      </c>
      <c r="L482" s="4">
        <v>25000000</v>
      </c>
      <c r="M482" s="4">
        <v>2002</v>
      </c>
      <c r="N482" s="4">
        <v>7.6</v>
      </c>
      <c r="O482" s="4">
        <f ca="1">IFERROR(__xludf.DUMMYFUNCTION("IF(Cost_in_dollars!E482=""USD"",Cost_in_dollars!B482,Cost_in_dollars!B482 * GOOGLEFINANCE(""CURRENCY:"" &amp; Cost_in_dollars!E482 &amp; ""USD""))
"),25000000)</f>
        <v>25000000</v>
      </c>
      <c r="P482" s="4">
        <f ca="1">IFERROR(__xludf.DUMMYFUNCTION("IF(Cost_in_dollars!E482=""USD"",Cost_in_dollars!C482,Cost_in_dollars!C482 * GOOGLEFINANCE(""CURRENCY:"" &amp; Cost_in_dollars!E482 &amp; ""USD""))
"),41597830)</f>
        <v>41597830</v>
      </c>
      <c r="Q482" s="4">
        <f t="shared" ca="1" si="6"/>
        <v>16597830</v>
      </c>
      <c r="R482" s="5" t="str">
        <f t="shared" si="7"/>
        <v>The Hours</v>
      </c>
      <c r="S482" s="43" t="str">
        <f t="shared" si="11"/>
        <v>Drama</v>
      </c>
    </row>
    <row r="483" spans="1:19" ht="15.75" customHeight="1" x14ac:dyDescent="0.25">
      <c r="A483" s="6" t="s">
        <v>1748</v>
      </c>
      <c r="B483" s="6">
        <v>150</v>
      </c>
      <c r="C483" s="6">
        <v>13630226</v>
      </c>
      <c r="D483" s="6" t="s">
        <v>774</v>
      </c>
      <c r="E483" s="6" t="s">
        <v>818</v>
      </c>
      <c r="F483" s="6" t="s">
        <v>1957</v>
      </c>
      <c r="G483" s="6">
        <v>112516</v>
      </c>
      <c r="H483" s="6" t="s">
        <v>1958</v>
      </c>
      <c r="I483" s="6">
        <v>223</v>
      </c>
      <c r="J483" s="6" t="s">
        <v>23</v>
      </c>
      <c r="K483" s="6" t="s">
        <v>24</v>
      </c>
      <c r="L483" s="6">
        <v>20000000</v>
      </c>
      <c r="M483" s="6">
        <v>2009</v>
      </c>
      <c r="N483" s="6">
        <v>6.2</v>
      </c>
      <c r="O483" s="4">
        <f ca="1">IFERROR(__xludf.DUMMYFUNCTION("IF(Cost_in_dollars!E483=""USD"",Cost_in_dollars!B483,Cost_in_dollars!B483 * GOOGLEFINANCE(""CURRENCY:"" &amp; Cost_in_dollars!E483 &amp; ""USD""))
"),20000000)</f>
        <v>20000000</v>
      </c>
      <c r="P483" s="4">
        <f ca="1">IFERROR(__xludf.DUMMYFUNCTION("IF(Cost_in_dollars!E483=""USD"",Cost_in_dollars!C483,Cost_in_dollars!C483 * GOOGLEFINANCE(""CURRENCY:"" &amp; Cost_in_dollars!E483 &amp; ""USD""))
"),13630226)</f>
        <v>13630226</v>
      </c>
      <c r="Q483" s="6">
        <f t="shared" ca="1" si="6"/>
        <v>-6369774</v>
      </c>
      <c r="R483" s="7" t="str">
        <f t="shared" si="7"/>
        <v>Crank: High Voltage</v>
      </c>
      <c r="S483" s="43" t="str">
        <f t="shared" si="11"/>
        <v>Action</v>
      </c>
    </row>
    <row r="484" spans="1:19" ht="15.75" customHeight="1" x14ac:dyDescent="0.25">
      <c r="A484" s="4" t="s">
        <v>1959</v>
      </c>
      <c r="B484" s="4">
        <v>181</v>
      </c>
      <c r="C484" s="4">
        <v>7605668</v>
      </c>
      <c r="D484" s="4" t="s">
        <v>1960</v>
      </c>
      <c r="E484" s="4" t="s">
        <v>84</v>
      </c>
      <c r="F484" s="4" t="s">
        <v>1961</v>
      </c>
      <c r="G484" s="4">
        <v>47320</v>
      </c>
      <c r="H484" s="4" t="s">
        <v>1962</v>
      </c>
      <c r="I484" s="4">
        <v>188</v>
      </c>
      <c r="J484" s="4" t="s">
        <v>23</v>
      </c>
      <c r="K484" s="4" t="s">
        <v>133</v>
      </c>
      <c r="L484" s="4">
        <v>60000000</v>
      </c>
      <c r="M484" s="4">
        <v>2015</v>
      </c>
      <c r="N484" s="4">
        <v>5.5</v>
      </c>
      <c r="O484" s="4">
        <f ca="1">IFERROR(__xludf.DUMMYFUNCTION("IF(Cost_in_dollars!E484=""USD"",Cost_in_dollars!B484,Cost_in_dollars!B484 * GOOGLEFINANCE(""CURRENCY:"" &amp; Cost_in_dollars!E484 &amp; ""USD""))
"),77124000)</f>
        <v>77124000</v>
      </c>
      <c r="P484" s="4">
        <f ca="1">IFERROR(__xludf.DUMMYFUNCTION("IF(Cost_in_dollars!E484=""USD"",Cost_in_dollars!C484,Cost_in_dollars!C484 * GOOGLEFINANCE(""CURRENCY:"" &amp; Cost_in_dollars!E484 &amp; ""USD""))
"),9776325.6472)</f>
        <v>9776325.6471999995</v>
      </c>
      <c r="Q484" s="4">
        <f t="shared" ca="1" si="6"/>
        <v>-67347674.352799997</v>
      </c>
      <c r="R484" s="5" t="str">
        <f t="shared" si="7"/>
        <v>Mortdecai</v>
      </c>
      <c r="S484" s="43" t="str">
        <f t="shared" si="11"/>
        <v>Action</v>
      </c>
    </row>
    <row r="485" spans="1:19" ht="15.75" customHeight="1" x14ac:dyDescent="0.25">
      <c r="A485" s="6" t="s">
        <v>1963</v>
      </c>
      <c r="B485" s="6">
        <v>238</v>
      </c>
      <c r="C485" s="6">
        <v>143704210</v>
      </c>
      <c r="D485" s="6" t="s">
        <v>1964</v>
      </c>
      <c r="E485" s="6" t="s">
        <v>545</v>
      </c>
      <c r="F485" s="6" t="s">
        <v>1965</v>
      </c>
      <c r="G485" s="6">
        <v>145974</v>
      </c>
      <c r="H485" s="6" t="s">
        <v>1966</v>
      </c>
      <c r="I485" s="6">
        <v>611</v>
      </c>
      <c r="J485" s="6" t="s">
        <v>23</v>
      </c>
      <c r="K485" s="6" t="s">
        <v>24</v>
      </c>
      <c r="L485" s="6">
        <v>52000000</v>
      </c>
      <c r="M485" s="6">
        <v>2008</v>
      </c>
      <c r="N485" s="6">
        <v>6.3</v>
      </c>
      <c r="O485" s="4">
        <f ca="1">IFERROR(__xludf.DUMMYFUNCTION("IF(Cost_in_dollars!E485=""USD"",Cost_in_dollars!B485,Cost_in_dollars!B485 * GOOGLEFINANCE(""CURRENCY:"" &amp; Cost_in_dollars!E485 &amp; ""USD""))
"),52000000)</f>
        <v>52000000</v>
      </c>
      <c r="P485" s="4">
        <f ca="1">IFERROR(__xludf.DUMMYFUNCTION("IF(Cost_in_dollars!E485=""USD"",Cost_in_dollars!C485,Cost_in_dollars!C485 * GOOGLEFINANCE(""CURRENCY:"" &amp; Cost_in_dollars!E485 &amp; ""USD""))
"),143704210)</f>
        <v>143704210</v>
      </c>
      <c r="Q485" s="6">
        <f t="shared" ca="1" si="6"/>
        <v>91704210</v>
      </c>
      <c r="R485" s="7" t="str">
        <f t="shared" si="7"/>
        <v>Mamma Mia!</v>
      </c>
      <c r="S485" s="43" t="str">
        <f t="shared" si="11"/>
        <v>Comedy</v>
      </c>
    </row>
    <row r="486" spans="1:19" ht="15.75" customHeight="1" x14ac:dyDescent="0.25">
      <c r="A486" s="4" t="s">
        <v>1967</v>
      </c>
      <c r="B486" s="4">
        <v>285</v>
      </c>
      <c r="C486" s="4">
        <v>34014398</v>
      </c>
      <c r="D486" s="4" t="s">
        <v>1968</v>
      </c>
      <c r="E486" s="4" t="s">
        <v>1728</v>
      </c>
      <c r="F486" s="4" t="s">
        <v>1969</v>
      </c>
      <c r="G486" s="4">
        <v>115650</v>
      </c>
      <c r="H486" s="4" t="s">
        <v>1970</v>
      </c>
      <c r="I486" s="4">
        <v>1033</v>
      </c>
      <c r="J486" s="4" t="s">
        <v>23</v>
      </c>
      <c r="K486" s="4" t="s">
        <v>176</v>
      </c>
      <c r="L486" s="4">
        <v>33000000</v>
      </c>
      <c r="M486" s="4">
        <v>2006</v>
      </c>
      <c r="N486" s="4">
        <v>5.6</v>
      </c>
      <c r="O486" s="4">
        <f ca="1">IFERROR(__xludf.DUMMYFUNCTION("IF(Cost_in_dollars!E486=""USD"",Cost_in_dollars!B486,Cost_in_dollars!B486 * GOOGLEFINANCE(""CURRENCY:"" &amp; Cost_in_dollars!E486 &amp; ""USD""))
"),35796420)</f>
        <v>35796420</v>
      </c>
      <c r="P486" s="4">
        <f ca="1">IFERROR(__xludf.DUMMYFUNCTION("IF(Cost_in_dollars!E486=""USD"",Cost_in_dollars!C486,Cost_in_dollars!C486 * GOOGLEFINANCE(""CURRENCY:"" &amp; Cost_in_dollars!E486 &amp; ""USD""))
"),36896778.08652)</f>
        <v>36896778.086520001</v>
      </c>
      <c r="Q486" s="4">
        <f t="shared" ca="1" si="6"/>
        <v>1100358.0865200013</v>
      </c>
      <c r="R486" s="5" t="str">
        <f t="shared" si="7"/>
        <v>Snakes on a Plane</v>
      </c>
      <c r="S486" s="43" t="str">
        <f t="shared" si="11"/>
        <v>Action</v>
      </c>
    </row>
    <row r="487" spans="1:19" ht="15.75" customHeight="1" x14ac:dyDescent="0.25">
      <c r="A487" s="6" t="s">
        <v>1971</v>
      </c>
      <c r="B487" s="6">
        <v>32</v>
      </c>
      <c r="C487" s="6">
        <v>9975684</v>
      </c>
      <c r="D487" s="6" t="s">
        <v>140</v>
      </c>
      <c r="E487" s="6" t="s">
        <v>1972</v>
      </c>
      <c r="F487" s="6" t="s">
        <v>1973</v>
      </c>
      <c r="G487" s="6">
        <v>20033</v>
      </c>
      <c r="H487" s="6" t="s">
        <v>1974</v>
      </c>
      <c r="I487" s="6">
        <v>117</v>
      </c>
      <c r="J487" s="6" t="s">
        <v>23</v>
      </c>
      <c r="K487" s="6" t="s">
        <v>627</v>
      </c>
      <c r="L487" s="6">
        <v>13000000</v>
      </c>
      <c r="M487" s="6">
        <v>1998</v>
      </c>
      <c r="N487" s="6">
        <v>6.4</v>
      </c>
      <c r="O487" s="4">
        <f ca="1">IFERROR(__xludf.DUMMYFUNCTION("IF(Cost_in_dollars!E487=""USD"",Cost_in_dollars!B487,Cost_in_dollars!B487 * GOOGLEFINANCE(""CURRENCY:"" &amp; Cost_in_dollars!E487 &amp; ""USD""))
"),9404265)</f>
        <v>9404265</v>
      </c>
      <c r="P487" s="4">
        <f ca="1">IFERROR(__xludf.DUMMYFUNCTION("IF(Cost_in_dollars!E487=""USD"",Cost_in_dollars!C487,Cost_in_dollars!C487 * GOOGLEFINANCE(""CURRENCY:"" &amp; Cost_in_dollars!E487 &amp; ""USD""))
"),7216459.68402)</f>
        <v>7216459.6840199996</v>
      </c>
      <c r="Q487" s="6">
        <f t="shared" ca="1" si="6"/>
        <v>-2187805.3159800004</v>
      </c>
      <c r="R487" s="7" t="str">
        <f t="shared" si="7"/>
        <v>Dirty Work</v>
      </c>
      <c r="S487" s="43" t="str">
        <f t="shared" si="11"/>
        <v>Comedy</v>
      </c>
    </row>
    <row r="488" spans="1:19" ht="15.75" customHeight="1" x14ac:dyDescent="0.25">
      <c r="A488" s="4" t="s">
        <v>1975</v>
      </c>
      <c r="B488" s="4">
        <v>114</v>
      </c>
      <c r="C488" s="4">
        <v>11694528</v>
      </c>
      <c r="D488" s="4" t="s">
        <v>1976</v>
      </c>
      <c r="E488" s="4" t="s">
        <v>1977</v>
      </c>
      <c r="F488" s="4" t="s">
        <v>1978</v>
      </c>
      <c r="G488" s="4">
        <v>7721</v>
      </c>
      <c r="H488" s="4" t="s">
        <v>1979</v>
      </c>
      <c r="I488" s="4">
        <v>72</v>
      </c>
      <c r="J488" s="4" t="s">
        <v>23</v>
      </c>
      <c r="K488" s="4" t="s">
        <v>24</v>
      </c>
      <c r="L488" s="4">
        <v>3000000</v>
      </c>
      <c r="M488" s="4">
        <v>2005</v>
      </c>
      <c r="N488" s="4">
        <v>7.2</v>
      </c>
      <c r="O488" s="4">
        <f ca="1">IFERROR(__xludf.DUMMYFUNCTION("IF(Cost_in_dollars!E488=""USD"",Cost_in_dollars!B488,Cost_in_dollars!B488 * GOOGLEFINANCE(""CURRENCY:"" &amp; Cost_in_dollars!E488 &amp; ""USD""))
"),3000000)</f>
        <v>3000000</v>
      </c>
      <c r="P488" s="4">
        <f ca="1">IFERROR(__xludf.DUMMYFUNCTION("IF(Cost_in_dollars!E488=""USD"",Cost_in_dollars!C488,Cost_in_dollars!C488 * GOOGLEFINANCE(""CURRENCY:"" &amp; Cost_in_dollars!E488 &amp; ""USD""))
"),11694528)</f>
        <v>11694528</v>
      </c>
      <c r="Q488" s="4">
        <f t="shared" ca="1" si="6"/>
        <v>8694528</v>
      </c>
      <c r="R488" s="5" t="str">
        <f t="shared" si="7"/>
        <v>Dave Chappelle's Block Party</v>
      </c>
      <c r="S488" s="43" t="str">
        <f t="shared" si="11"/>
        <v>Comedy</v>
      </c>
    </row>
    <row r="489" spans="1:19" ht="15.75" customHeight="1" x14ac:dyDescent="0.25">
      <c r="A489" s="6" t="s">
        <v>1464</v>
      </c>
      <c r="B489" s="6">
        <v>186</v>
      </c>
      <c r="C489" s="6">
        <v>100289690</v>
      </c>
      <c r="D489" s="6" t="s">
        <v>517</v>
      </c>
      <c r="E489" s="6" t="s">
        <v>469</v>
      </c>
      <c r="F489" s="6" t="s">
        <v>1980</v>
      </c>
      <c r="G489" s="6">
        <v>115099</v>
      </c>
      <c r="H489" s="6" t="s">
        <v>1981</v>
      </c>
      <c r="I489" s="6">
        <v>257</v>
      </c>
      <c r="J489" s="6" t="s">
        <v>23</v>
      </c>
      <c r="K489" s="6" t="s">
        <v>24</v>
      </c>
      <c r="L489" s="6">
        <v>175000000</v>
      </c>
      <c r="M489" s="6">
        <v>2007</v>
      </c>
      <c r="N489" s="6">
        <v>5.4</v>
      </c>
      <c r="O489" s="4">
        <f ca="1">IFERROR(__xludf.DUMMYFUNCTION("IF(Cost_in_dollars!E489=""USD"",Cost_in_dollars!B489,Cost_in_dollars!B489 * GOOGLEFINANCE(""CURRENCY:"" &amp; Cost_in_dollars!E489 &amp; ""USD""))
"),175000000)</f>
        <v>175000000</v>
      </c>
      <c r="P489" s="4">
        <f ca="1">IFERROR(__xludf.DUMMYFUNCTION("IF(Cost_in_dollars!E489=""USD"",Cost_in_dollars!C489,Cost_in_dollars!C489 * GOOGLEFINANCE(""CURRENCY:"" &amp; Cost_in_dollars!E489 &amp; ""USD""))
"),100289690)</f>
        <v>100289690</v>
      </c>
      <c r="Q489" s="6">
        <f t="shared" ca="1" si="6"/>
        <v>-74710310</v>
      </c>
      <c r="R489" s="7" t="str">
        <f t="shared" si="7"/>
        <v>Evan Almighty</v>
      </c>
      <c r="S489" s="43" t="str">
        <f t="shared" si="11"/>
        <v>Comedy</v>
      </c>
    </row>
    <row r="490" spans="1:19" ht="15.75" customHeight="1" x14ac:dyDescent="0.25">
      <c r="A490" s="4" t="s">
        <v>1435</v>
      </c>
      <c r="B490" s="4">
        <v>233</v>
      </c>
      <c r="C490" s="4">
        <v>95308367</v>
      </c>
      <c r="D490" s="4" t="s">
        <v>116</v>
      </c>
      <c r="E490" s="4" t="s">
        <v>1982</v>
      </c>
      <c r="F490" s="4" t="s">
        <v>1983</v>
      </c>
      <c r="G490" s="4">
        <v>206104</v>
      </c>
      <c r="H490" s="4" t="s">
        <v>1984</v>
      </c>
      <c r="I490" s="4">
        <v>850</v>
      </c>
      <c r="J490" s="4" t="s">
        <v>23</v>
      </c>
      <c r="K490" s="4" t="s">
        <v>24</v>
      </c>
      <c r="L490" s="4">
        <v>48000000</v>
      </c>
      <c r="M490" s="4">
        <v>2002</v>
      </c>
      <c r="N490" s="4">
        <v>6.8</v>
      </c>
      <c r="O490" s="4">
        <f ca="1">IFERROR(__xludf.DUMMYFUNCTION("IF(Cost_in_dollars!E490=""USD"",Cost_in_dollars!B490,Cost_in_dollars!B490 * GOOGLEFINANCE(""CURRENCY:"" &amp; Cost_in_dollars!E490 &amp; ""USD""))
"),48000000)</f>
        <v>48000000</v>
      </c>
      <c r="P490" s="4">
        <f ca="1">IFERROR(__xludf.DUMMYFUNCTION("IF(Cost_in_dollars!E490=""USD"",Cost_in_dollars!C490,Cost_in_dollars!C490 * GOOGLEFINANCE(""CURRENCY:"" &amp; Cost_in_dollars!E490 &amp; ""USD""))
"),95308367)</f>
        <v>95308367</v>
      </c>
      <c r="Q490" s="4">
        <f t="shared" ca="1" si="6"/>
        <v>47308367</v>
      </c>
      <c r="R490" s="5" t="str">
        <f t="shared" si="7"/>
        <v>Panic Room</v>
      </c>
      <c r="S490" s="43" t="str">
        <f t="shared" si="11"/>
        <v>Crime</v>
      </c>
    </row>
    <row r="491" spans="1:19" ht="15.75" customHeight="1" x14ac:dyDescent="0.25">
      <c r="A491" s="6" t="s">
        <v>1985</v>
      </c>
      <c r="B491" s="6">
        <v>34</v>
      </c>
      <c r="C491" s="6">
        <v>31155435</v>
      </c>
      <c r="D491" s="6" t="s">
        <v>618</v>
      </c>
      <c r="E491" s="6" t="s">
        <v>1986</v>
      </c>
      <c r="F491" s="6" t="s">
        <v>1987</v>
      </c>
      <c r="G491" s="6">
        <v>42644</v>
      </c>
      <c r="H491" s="6" t="s">
        <v>1988</v>
      </c>
      <c r="I491" s="6">
        <v>102</v>
      </c>
      <c r="J491" s="6" t="s">
        <v>23</v>
      </c>
      <c r="K491" s="6" t="s">
        <v>24</v>
      </c>
      <c r="L491" s="6">
        <v>12000000</v>
      </c>
      <c r="M491" s="6">
        <v>2001</v>
      </c>
      <c r="N491" s="6">
        <v>6.2</v>
      </c>
      <c r="O491" s="4">
        <f ca="1">IFERROR(__xludf.DUMMYFUNCTION("IF(Cost_in_dollars!E491=""USD"",Cost_in_dollars!B491,Cost_in_dollars!B491 * GOOGLEFINANCE(""CURRENCY:"" &amp; Cost_in_dollars!E491 &amp; ""USD""))
"),12000000)</f>
        <v>12000000</v>
      </c>
      <c r="P491" s="4">
        <f ca="1">IFERROR(__xludf.DUMMYFUNCTION("IF(Cost_in_dollars!E491=""USD"",Cost_in_dollars!C491,Cost_in_dollars!C491 * GOOGLEFINANCE(""CURRENCY:"" &amp; Cost_in_dollars!E491 &amp; ""USD""))
"),31155435)</f>
        <v>31155435</v>
      </c>
      <c r="Q491" s="6">
        <f t="shared" ca="1" si="6"/>
        <v>19155435</v>
      </c>
      <c r="R491" s="7" t="str">
        <f t="shared" si="7"/>
        <v>How High</v>
      </c>
      <c r="S491" s="43" t="str">
        <f t="shared" si="11"/>
        <v>Comedy</v>
      </c>
    </row>
    <row r="492" spans="1:19" ht="15.75" customHeight="1" x14ac:dyDescent="0.25">
      <c r="A492" s="4" t="s">
        <v>975</v>
      </c>
      <c r="B492" s="4">
        <v>179</v>
      </c>
      <c r="C492" s="4">
        <v>250863268</v>
      </c>
      <c r="D492" s="4" t="s">
        <v>1989</v>
      </c>
      <c r="E492" s="4" t="s">
        <v>676</v>
      </c>
      <c r="F492" s="4" t="s">
        <v>1990</v>
      </c>
      <c r="G492" s="4">
        <v>234480</v>
      </c>
      <c r="H492" s="4" t="s">
        <v>1991</v>
      </c>
      <c r="I492" s="4">
        <v>444</v>
      </c>
      <c r="J492" s="4" t="s">
        <v>23</v>
      </c>
      <c r="K492" s="4" t="s">
        <v>24</v>
      </c>
      <c r="L492" s="4">
        <v>110000000</v>
      </c>
      <c r="M492" s="4">
        <v>2006</v>
      </c>
      <c r="N492" s="4">
        <v>6.4</v>
      </c>
      <c r="O492" s="4">
        <f ca="1">IFERROR(__xludf.DUMMYFUNCTION("IF(Cost_in_dollars!E492=""USD"",Cost_in_dollars!B492,Cost_in_dollars!B492 * GOOGLEFINANCE(""CURRENCY:"" &amp; Cost_in_dollars!E492 &amp; ""USD""))
"),110000000)</f>
        <v>110000000</v>
      </c>
      <c r="P492" s="4">
        <f ca="1">IFERROR(__xludf.DUMMYFUNCTION("IF(Cost_in_dollars!E492=""USD"",Cost_in_dollars!C492,Cost_in_dollars!C492 * GOOGLEFINANCE(""CURRENCY:"" &amp; Cost_in_dollars!E492 &amp; ""USD""))
"),250863268)</f>
        <v>250863268</v>
      </c>
      <c r="Q492" s="4">
        <f t="shared" ca="1" si="6"/>
        <v>140863268</v>
      </c>
      <c r="R492" s="5" t="str">
        <f t="shared" si="7"/>
        <v>Night at the Museum</v>
      </c>
      <c r="S492" s="43" t="str">
        <f t="shared" si="11"/>
        <v>Action</v>
      </c>
    </row>
    <row r="493" spans="1:19" ht="15.75" customHeight="1" x14ac:dyDescent="0.25">
      <c r="A493" s="6" t="s">
        <v>384</v>
      </c>
      <c r="B493" s="6">
        <v>123</v>
      </c>
      <c r="C493" s="6">
        <v>76270454</v>
      </c>
      <c r="D493" s="6" t="s">
        <v>116</v>
      </c>
      <c r="E493" s="6" t="s">
        <v>886</v>
      </c>
      <c r="F493" s="6" t="s">
        <v>1992</v>
      </c>
      <c r="G493" s="6">
        <v>219008</v>
      </c>
      <c r="H493" s="6" t="s">
        <v>1993</v>
      </c>
      <c r="I493" s="6">
        <v>418</v>
      </c>
      <c r="J493" s="6" t="s">
        <v>23</v>
      </c>
      <c r="K493" s="6" t="s">
        <v>24</v>
      </c>
      <c r="L493" s="6">
        <v>25000000</v>
      </c>
      <c r="M493" s="6">
        <v>1987</v>
      </c>
      <c r="N493" s="6">
        <v>7.9</v>
      </c>
      <c r="O493" s="4">
        <f ca="1">IFERROR(__xludf.DUMMYFUNCTION("IF(Cost_in_dollars!E493=""USD"",Cost_in_dollars!B493,Cost_in_dollars!B493 * GOOGLEFINANCE(""CURRENCY:"" &amp; Cost_in_dollars!E493 &amp; ""USD""))
"),25000000)</f>
        <v>25000000</v>
      </c>
      <c r="P493" s="4">
        <f ca="1">IFERROR(__xludf.DUMMYFUNCTION("IF(Cost_in_dollars!E493=""USD"",Cost_in_dollars!C493,Cost_in_dollars!C493 * GOOGLEFINANCE(""CURRENCY:"" &amp; Cost_in_dollars!E493 &amp; ""USD""))
"),76270454)</f>
        <v>76270454</v>
      </c>
      <c r="Q493" s="6">
        <f t="shared" ca="1" si="6"/>
        <v>51270454</v>
      </c>
      <c r="R493" s="7" t="str">
        <f t="shared" si="7"/>
        <v>The Untouchables</v>
      </c>
      <c r="S493" s="43" t="str">
        <f t="shared" si="11"/>
        <v>Crime</v>
      </c>
    </row>
    <row r="494" spans="1:19" ht="15.75" customHeight="1" x14ac:dyDescent="0.25">
      <c r="A494" s="4" t="s">
        <v>1241</v>
      </c>
      <c r="B494" s="4">
        <v>73</v>
      </c>
      <c r="C494" s="4">
        <v>15171475</v>
      </c>
      <c r="D494" s="4" t="s">
        <v>1242</v>
      </c>
      <c r="E494" s="4" t="s">
        <v>1994</v>
      </c>
      <c r="F494" s="4" t="s">
        <v>1995</v>
      </c>
      <c r="G494" s="4">
        <v>19805</v>
      </c>
      <c r="H494" s="4" t="s">
        <v>1996</v>
      </c>
      <c r="I494" s="4">
        <v>122</v>
      </c>
      <c r="J494" s="4" t="s">
        <v>23</v>
      </c>
      <c r="K494" s="4" t="s">
        <v>24</v>
      </c>
      <c r="L494" s="4">
        <v>8500000</v>
      </c>
      <c r="M494" s="4">
        <v>1996</v>
      </c>
      <c r="N494" s="4">
        <v>5.7</v>
      </c>
      <c r="O494" s="4">
        <f ca="1">IFERROR(__xludf.DUMMYFUNCTION("IF(Cost_in_dollars!E494=""USD"",Cost_in_dollars!B494,Cost_in_dollars!B494 * GOOGLEFINANCE(""CURRENCY:"" &amp; Cost_in_dollars!E494 &amp; ""USD""))
"),8500000)</f>
        <v>8500000</v>
      </c>
      <c r="P494" s="4">
        <f ca="1">IFERROR(__xludf.DUMMYFUNCTION("IF(Cost_in_dollars!E494=""USD"",Cost_in_dollars!C494,Cost_in_dollars!C494 * GOOGLEFINANCE(""CURRENCY:"" &amp; Cost_in_dollars!E494 &amp; ""USD""))
"),15171475)</f>
        <v>15171475</v>
      </c>
      <c r="Q494" s="4">
        <f t="shared" ca="1" si="6"/>
        <v>6671475</v>
      </c>
      <c r="R494" s="5" t="str">
        <f t="shared" si="7"/>
        <v>Thinner</v>
      </c>
      <c r="S494" s="43" t="str">
        <f t="shared" si="11"/>
        <v>Fantasy</v>
      </c>
    </row>
    <row r="495" spans="1:19" ht="15.75" customHeight="1" x14ac:dyDescent="0.25">
      <c r="A495" s="6" t="s">
        <v>1997</v>
      </c>
      <c r="B495" s="6">
        <v>32</v>
      </c>
      <c r="C495" s="6">
        <v>24276500</v>
      </c>
      <c r="D495" s="6" t="s">
        <v>1788</v>
      </c>
      <c r="E495" s="6" t="s">
        <v>1998</v>
      </c>
      <c r="F495" s="6" t="s">
        <v>1999</v>
      </c>
      <c r="G495" s="6">
        <v>17124</v>
      </c>
      <c r="H495" s="6" t="s">
        <v>2000</v>
      </c>
      <c r="I495" s="6">
        <v>68</v>
      </c>
      <c r="J495" s="6" t="s">
        <v>23</v>
      </c>
      <c r="K495" s="6" t="s">
        <v>24</v>
      </c>
      <c r="L495" s="6">
        <v>35000000</v>
      </c>
      <c r="M495" s="6">
        <v>1992</v>
      </c>
      <c r="N495" s="6">
        <v>6.6</v>
      </c>
      <c r="O495" s="4">
        <f ca="1">IFERROR(__xludf.DUMMYFUNCTION("IF(Cost_in_dollars!E495=""USD"",Cost_in_dollars!B495,Cost_in_dollars!B495 * GOOGLEFINANCE(""CURRENCY:"" &amp; Cost_in_dollars!E495 &amp; ""USD""))
"),35000000)</f>
        <v>35000000</v>
      </c>
      <c r="P495" s="4">
        <f ca="1">IFERROR(__xludf.DUMMYFUNCTION("IF(Cost_in_dollars!E495=""USD"",Cost_in_dollars!C495,Cost_in_dollars!C495 * GOOGLEFINANCE(""CURRENCY:"" &amp; Cost_in_dollars!E495 &amp; ""USD""))
"),24276500)</f>
        <v>24276500</v>
      </c>
      <c r="Q495" s="6">
        <f t="shared" ca="1" si="6"/>
        <v>-10723500</v>
      </c>
      <c r="R495" s="7" t="str">
        <f t="shared" si="7"/>
        <v>Hoffa</v>
      </c>
      <c r="S495" s="43" t="str">
        <f t="shared" si="11"/>
        <v>Biography</v>
      </c>
    </row>
    <row r="496" spans="1:19" ht="15.75" customHeight="1" x14ac:dyDescent="0.25">
      <c r="A496" s="4" t="s">
        <v>2001</v>
      </c>
      <c r="B496" s="4">
        <v>52</v>
      </c>
      <c r="C496" s="4">
        <v>6543194</v>
      </c>
      <c r="D496" s="4" t="s">
        <v>2002</v>
      </c>
      <c r="E496" s="4" t="s">
        <v>398</v>
      </c>
      <c r="F496" s="4" t="s">
        <v>2003</v>
      </c>
      <c r="G496" s="4">
        <v>3740</v>
      </c>
      <c r="H496" s="4" t="s">
        <v>2004</v>
      </c>
      <c r="I496" s="4">
        <v>61</v>
      </c>
      <c r="J496" s="4" t="s">
        <v>23</v>
      </c>
      <c r="K496" s="4" t="s">
        <v>24</v>
      </c>
      <c r="L496" s="4">
        <v>34000000</v>
      </c>
      <c r="M496" s="4">
        <v>2000</v>
      </c>
      <c r="N496" s="4">
        <v>5.6</v>
      </c>
      <c r="O496" s="4">
        <f ca="1">IFERROR(__xludf.DUMMYFUNCTION("IF(Cost_in_dollars!E496=""USD"",Cost_in_dollars!B496,Cost_in_dollars!B496 * GOOGLEFINANCE(""CURRENCY:"" &amp; Cost_in_dollars!E496 &amp; ""USD""))
"),34000000)</f>
        <v>34000000</v>
      </c>
      <c r="P496" s="4">
        <f ca="1">IFERROR(__xludf.DUMMYFUNCTION("IF(Cost_in_dollars!E496=""USD"",Cost_in_dollars!C496,Cost_in_dollars!C496 * GOOGLEFINANCE(""CURRENCY:"" &amp; Cost_in_dollars!E496 &amp; ""USD""))
"),6543194)</f>
        <v>6543194</v>
      </c>
      <c r="Q496" s="4">
        <f t="shared" ca="1" si="6"/>
        <v>-27456806</v>
      </c>
      <c r="R496" s="5" t="str">
        <f t="shared" si="7"/>
        <v>I Dreamed of Africa</v>
      </c>
      <c r="S496" s="43" t="str">
        <f t="shared" si="11"/>
        <v>Adventure</v>
      </c>
    </row>
    <row r="497" spans="1:19" ht="15.75" customHeight="1" x14ac:dyDescent="0.25">
      <c r="A497" s="6" t="s">
        <v>2005</v>
      </c>
      <c r="B497" s="6">
        <v>327</v>
      </c>
      <c r="C497" s="6">
        <v>34963967</v>
      </c>
      <c r="D497" s="6" t="s">
        <v>162</v>
      </c>
      <c r="E497" s="6" t="s">
        <v>767</v>
      </c>
      <c r="F497" s="6" t="s">
        <v>2006</v>
      </c>
      <c r="G497" s="6">
        <v>270441</v>
      </c>
      <c r="H497" s="6" t="s">
        <v>2007</v>
      </c>
      <c r="I497" s="6">
        <v>378</v>
      </c>
      <c r="J497" s="6" t="s">
        <v>23</v>
      </c>
      <c r="K497" s="6" t="s">
        <v>24</v>
      </c>
      <c r="L497" s="6">
        <v>8000000</v>
      </c>
      <c r="M497" s="6">
        <v>2011</v>
      </c>
      <c r="N497" s="6">
        <v>7.7</v>
      </c>
      <c r="O497" s="4">
        <f ca="1">IFERROR(__xludf.DUMMYFUNCTION("IF(Cost_in_dollars!E497=""USD"",Cost_in_dollars!B497,Cost_in_dollars!B497 * GOOGLEFINANCE(""CURRENCY:"" &amp; Cost_in_dollars!E497 &amp; ""USD""))
"),8000000)</f>
        <v>8000000</v>
      </c>
      <c r="P497" s="4">
        <f ca="1">IFERROR(__xludf.DUMMYFUNCTION("IF(Cost_in_dollars!E497=""USD"",Cost_in_dollars!C497,Cost_in_dollars!C497 * GOOGLEFINANCE(""CURRENCY:"" &amp; Cost_in_dollars!E497 &amp; ""USD""))
"),34963967)</f>
        <v>34963967</v>
      </c>
      <c r="Q497" s="6">
        <f t="shared" ca="1" si="6"/>
        <v>26963967</v>
      </c>
      <c r="R497" s="7" t="str">
        <f t="shared" si="7"/>
        <v>50/50</v>
      </c>
      <c r="S497" s="43" t="str">
        <f t="shared" si="11"/>
        <v>Comedy</v>
      </c>
    </row>
    <row r="498" spans="1:19" ht="15.75" customHeight="1" x14ac:dyDescent="0.25">
      <c r="A498" s="4" t="s">
        <v>2008</v>
      </c>
      <c r="B498" s="4">
        <v>56</v>
      </c>
      <c r="C498" s="4">
        <v>15549702</v>
      </c>
      <c r="D498" s="4" t="s">
        <v>88</v>
      </c>
      <c r="E498" s="4" t="s">
        <v>2009</v>
      </c>
      <c r="F498" s="4" t="s">
        <v>2010</v>
      </c>
      <c r="G498" s="4">
        <v>24038</v>
      </c>
      <c r="H498" s="4" t="s">
        <v>2011</v>
      </c>
      <c r="I498" s="4">
        <v>123</v>
      </c>
      <c r="J498" s="4" t="s">
        <v>23</v>
      </c>
      <c r="K498" s="4" t="s">
        <v>24</v>
      </c>
      <c r="L498" s="4">
        <v>14000000</v>
      </c>
      <c r="M498" s="4">
        <v>2003</v>
      </c>
      <c r="N498" s="4">
        <v>4.5999999999999996</v>
      </c>
      <c r="O498" s="4">
        <f ca="1">IFERROR(__xludf.DUMMYFUNCTION("IF(Cost_in_dollars!E498=""USD"",Cost_in_dollars!B498,Cost_in_dollars!B498 * GOOGLEFINANCE(""CURRENCY:"" &amp; Cost_in_dollars!E498 &amp; ""USD""))
"),14000000)</f>
        <v>14000000</v>
      </c>
      <c r="P498" s="4">
        <f ca="1">IFERROR(__xludf.DUMMYFUNCTION("IF(Cost_in_dollars!E498=""USD"",Cost_in_dollars!C498,Cost_in_dollars!C498 * GOOGLEFINANCE(""CURRENCY:"" &amp; Cost_in_dollars!E498 &amp; ""USD""))
"),15549702)</f>
        <v>15549702</v>
      </c>
      <c r="Q498" s="4">
        <f t="shared" ca="1" si="6"/>
        <v>1549702</v>
      </c>
      <c r="R498" s="5" t="str">
        <f t="shared" si="7"/>
        <v>My Boss's Daughter</v>
      </c>
      <c r="S498" s="43" t="str">
        <f t="shared" si="11"/>
        <v>Comedy</v>
      </c>
    </row>
    <row r="499" spans="1:19" ht="15.75" customHeight="1" x14ac:dyDescent="0.25">
      <c r="A499" s="6" t="s">
        <v>532</v>
      </c>
      <c r="B499" s="6">
        <v>128</v>
      </c>
      <c r="C499" s="6">
        <v>30157016</v>
      </c>
      <c r="D499" s="6" t="s">
        <v>1210</v>
      </c>
      <c r="E499" s="6" t="s">
        <v>240</v>
      </c>
      <c r="F499" s="6" t="s">
        <v>2012</v>
      </c>
      <c r="G499" s="6">
        <v>39659</v>
      </c>
      <c r="H499" s="6" t="s">
        <v>2013</v>
      </c>
      <c r="I499" s="6">
        <v>189</v>
      </c>
      <c r="J499" s="6" t="s">
        <v>23</v>
      </c>
      <c r="K499" s="6" t="s">
        <v>24</v>
      </c>
      <c r="L499" s="6">
        <v>70000000</v>
      </c>
      <c r="M499" s="6">
        <v>2002</v>
      </c>
      <c r="N499" s="6">
        <v>5.6</v>
      </c>
      <c r="O499" s="4">
        <f ca="1">IFERROR(__xludf.DUMMYFUNCTION("IF(Cost_in_dollars!E499=""USD"",Cost_in_dollars!B499,Cost_in_dollars!B499 * GOOGLEFINANCE(""CURRENCY:"" &amp; Cost_in_dollars!E499 &amp; ""USD""))
"),70000000)</f>
        <v>70000000</v>
      </c>
      <c r="P499" s="4">
        <f ca="1">IFERROR(__xludf.DUMMYFUNCTION("IF(Cost_in_dollars!E499=""USD"",Cost_in_dollars!C499,Cost_in_dollars!C499 * GOOGLEFINANCE(""CURRENCY:"" &amp; Cost_in_dollars!E499 &amp; ""USD""))
"),30157016)</f>
        <v>30157016</v>
      </c>
      <c r="Q499" s="6">
        <f t="shared" ca="1" si="6"/>
        <v>-39842984</v>
      </c>
      <c r="R499" s="7" t="str">
        <f t="shared" si="7"/>
        <v>Bad Company</v>
      </c>
      <c r="S499" s="43" t="str">
        <f t="shared" si="11"/>
        <v>Action</v>
      </c>
    </row>
    <row r="500" spans="1:19" ht="15.75" customHeight="1" x14ac:dyDescent="0.25">
      <c r="A500" s="4" t="s">
        <v>2014</v>
      </c>
      <c r="B500" s="4">
        <v>61</v>
      </c>
      <c r="C500" s="4">
        <v>3058380</v>
      </c>
      <c r="D500" s="4" t="s">
        <v>235</v>
      </c>
      <c r="E500" s="4" t="s">
        <v>2015</v>
      </c>
      <c r="F500" s="4" t="s">
        <v>2016</v>
      </c>
      <c r="G500" s="4">
        <v>4767</v>
      </c>
      <c r="H500" s="4" t="s">
        <v>2017</v>
      </c>
      <c r="I500" s="4">
        <v>69</v>
      </c>
      <c r="J500" s="4" t="s">
        <v>661</v>
      </c>
      <c r="K500" s="4" t="s">
        <v>611</v>
      </c>
      <c r="L500" s="4">
        <v>100000000</v>
      </c>
      <c r="M500" s="4">
        <v>2000</v>
      </c>
      <c r="N500" s="4">
        <v>7.3</v>
      </c>
      <c r="O500" s="4">
        <f ca="1">IFERROR(__xludf.DUMMYFUNCTION("IF(Cost_in_dollars!E500=""USD"",Cost_in_dollars!B500,Cost_in_dollars!B500 * GOOGLEFINANCE(""CURRENCY:"" &amp; Cost_in_dollars!E500 &amp; ""USD""))
"),108474000)</f>
        <v>108474000</v>
      </c>
      <c r="P500" s="4">
        <f ca="1">IFERROR(__xludf.DUMMYFUNCTION("IF(Cost_in_dollars!E500=""USD"",Cost_in_dollars!C500,Cost_in_dollars!C500 * GOOGLEFINANCE(""CURRENCY:"" &amp; Cost_in_dollars!E500 &amp; ""USD""))
"),3317547.1212)</f>
        <v>3317547.1211999999</v>
      </c>
      <c r="Q500" s="4">
        <f t="shared" ca="1" si="6"/>
        <v>-105156452.8788</v>
      </c>
      <c r="R500" s="5" t="str">
        <f t="shared" si="7"/>
        <v>The Widow of Saint-Pierre</v>
      </c>
      <c r="S500" s="43" t="str">
        <f t="shared" si="11"/>
        <v>Drama</v>
      </c>
    </row>
    <row r="501" spans="1:19" ht="15.75" customHeight="1" x14ac:dyDescent="0.25">
      <c r="A501" s="6" t="s">
        <v>429</v>
      </c>
      <c r="B501" s="6">
        <v>400</v>
      </c>
      <c r="C501" s="6">
        <v>167007184</v>
      </c>
      <c r="D501" s="6" t="s">
        <v>477</v>
      </c>
      <c r="E501" s="6" t="s">
        <v>1558</v>
      </c>
      <c r="F501" s="6" t="s">
        <v>1559</v>
      </c>
      <c r="G501" s="6">
        <v>470501</v>
      </c>
      <c r="H501" s="6" t="s">
        <v>1560</v>
      </c>
      <c r="I501" s="6">
        <v>2301</v>
      </c>
      <c r="J501" s="6" t="s">
        <v>23</v>
      </c>
      <c r="K501" s="6" t="s">
        <v>133</v>
      </c>
      <c r="L501" s="6">
        <v>150000000</v>
      </c>
      <c r="M501" s="6">
        <v>2006</v>
      </c>
      <c r="N501" s="6">
        <v>8</v>
      </c>
      <c r="O501" s="4">
        <f ca="1">IFERROR(__xludf.DUMMYFUNCTION("IF(Cost_in_dollars!E501=""USD"",Cost_in_dollars!B501,Cost_in_dollars!B501 * GOOGLEFINANCE(""CURRENCY:"" &amp; Cost_in_dollars!E501 &amp; ""USD""))
"),192809999.999999)</f>
        <v>192809999.99999899</v>
      </c>
      <c r="P501" s="4">
        <f ca="1">IFERROR(__xludf.DUMMYFUNCTION("IF(Cost_in_dollars!E501=""USD"",Cost_in_dollars!C501,Cost_in_dollars!C501 * GOOGLEFINANCE(""CURRENCY:"" &amp; Cost_in_dollars!E501 &amp; ""USD""))
"),214671034.313599)</f>
        <v>214671034.31359899</v>
      </c>
      <c r="Q501" s="6">
        <f t="shared" ca="1" si="6"/>
        <v>21861034.313600004</v>
      </c>
      <c r="R501" s="7" t="str">
        <f t="shared" si="7"/>
        <v>Casino Royale</v>
      </c>
      <c r="S501" s="43" t="str">
        <f t="shared" si="11"/>
        <v>Action</v>
      </c>
    </row>
    <row r="502" spans="1:19" ht="15.75" customHeight="1" x14ac:dyDescent="0.25">
      <c r="A502" s="4" t="s">
        <v>2018</v>
      </c>
      <c r="B502" s="4">
        <v>175</v>
      </c>
      <c r="C502" s="4">
        <v>33631221</v>
      </c>
      <c r="D502" s="4" t="s">
        <v>116</v>
      </c>
      <c r="E502" s="4" t="s">
        <v>2019</v>
      </c>
      <c r="F502" s="4" t="s">
        <v>2020</v>
      </c>
      <c r="G502" s="4">
        <v>48562</v>
      </c>
      <c r="H502" s="4" t="s">
        <v>2021</v>
      </c>
      <c r="I502" s="4">
        <v>145</v>
      </c>
      <c r="J502" s="4" t="s">
        <v>23</v>
      </c>
      <c r="K502" s="4" t="s">
        <v>24</v>
      </c>
      <c r="L502" s="4">
        <v>25000000</v>
      </c>
      <c r="M502" s="4">
        <v>2014</v>
      </c>
      <c r="N502" s="4">
        <v>6</v>
      </c>
      <c r="O502" s="4">
        <f ca="1">IFERROR(__xludf.DUMMYFUNCTION("IF(Cost_in_dollars!E502=""USD"",Cost_in_dollars!B502,Cost_in_dollars!B502 * GOOGLEFINANCE(""CURRENCY:"" &amp; Cost_in_dollars!E502 &amp; ""USD""))
"),25000000)</f>
        <v>25000000</v>
      </c>
      <c r="P502" s="4">
        <f ca="1">IFERROR(__xludf.DUMMYFUNCTION("IF(Cost_in_dollars!E502=""USD"",Cost_in_dollars!C502,Cost_in_dollars!C502 * GOOGLEFINANCE(""CURRENCY:"" &amp; Cost_in_dollars!E502 &amp; ""USD""))
"),33631221)</f>
        <v>33631221</v>
      </c>
      <c r="Q502" s="4">
        <f t="shared" ca="1" si="6"/>
        <v>8631221</v>
      </c>
      <c r="R502" s="5" t="str">
        <f t="shared" si="7"/>
        <v>The Gambler</v>
      </c>
      <c r="S502" s="43" t="str">
        <f t="shared" si="11"/>
        <v>Crime</v>
      </c>
    </row>
    <row r="503" spans="1:19" ht="15.75" customHeight="1" x14ac:dyDescent="0.25">
      <c r="A503" s="6" t="s">
        <v>2022</v>
      </c>
      <c r="B503" s="6">
        <v>155</v>
      </c>
      <c r="C503" s="6">
        <v>34507079</v>
      </c>
      <c r="D503" s="6" t="s">
        <v>268</v>
      </c>
      <c r="E503" s="6" t="s">
        <v>998</v>
      </c>
      <c r="F503" s="6" t="s">
        <v>2023</v>
      </c>
      <c r="G503" s="6">
        <v>34948</v>
      </c>
      <c r="H503" s="6" t="s">
        <v>2024</v>
      </c>
      <c r="I503" s="6">
        <v>118</v>
      </c>
      <c r="J503" s="6" t="s">
        <v>23</v>
      </c>
      <c r="K503" s="6" t="s">
        <v>24</v>
      </c>
      <c r="L503" s="6">
        <v>35000000</v>
      </c>
      <c r="M503" s="6">
        <v>2015</v>
      </c>
      <c r="N503" s="6">
        <v>5.0999999999999996</v>
      </c>
      <c r="O503" s="4">
        <f ca="1">IFERROR(__xludf.DUMMYFUNCTION("IF(Cost_in_dollars!E503=""USD"",Cost_in_dollars!B503,Cost_in_dollars!B503 * GOOGLEFINANCE(""CURRENCY:"" &amp; Cost_in_dollars!E503 &amp; ""USD""))
"),35000000)</f>
        <v>35000000</v>
      </c>
      <c r="P503" s="4">
        <f ca="1">IFERROR(__xludf.DUMMYFUNCTION("IF(Cost_in_dollars!E503=""USD"",Cost_in_dollars!C503,Cost_in_dollars!C503 * GOOGLEFINANCE(""CURRENCY:"" &amp; Cost_in_dollars!E503 &amp; ""USD""))
"),34507079)</f>
        <v>34507079</v>
      </c>
      <c r="Q503" s="6">
        <f t="shared" ca="1" si="6"/>
        <v>-492921</v>
      </c>
      <c r="R503" s="7" t="str">
        <f t="shared" si="7"/>
        <v>Hot Pursuit</v>
      </c>
      <c r="S503" s="43" t="str">
        <f t="shared" si="11"/>
        <v>Action</v>
      </c>
    </row>
    <row r="504" spans="1:19" ht="15.75" customHeight="1" x14ac:dyDescent="0.25">
      <c r="A504" s="4" t="s">
        <v>2025</v>
      </c>
      <c r="B504" s="4">
        <v>364</v>
      </c>
      <c r="C504" s="4">
        <v>17738570</v>
      </c>
      <c r="D504" s="4" t="s">
        <v>235</v>
      </c>
      <c r="E504" s="4" t="s">
        <v>2026</v>
      </c>
      <c r="F504" s="4" t="s">
        <v>2027</v>
      </c>
      <c r="G504" s="4">
        <v>351274</v>
      </c>
      <c r="H504" s="4" t="s">
        <v>2028</v>
      </c>
      <c r="I504" s="4">
        <v>457</v>
      </c>
      <c r="J504" s="4" t="s">
        <v>23</v>
      </c>
      <c r="K504" s="4" t="s">
        <v>24</v>
      </c>
      <c r="L504" s="4">
        <v>13000000</v>
      </c>
      <c r="M504" s="4">
        <v>2012</v>
      </c>
      <c r="N504" s="4">
        <v>8</v>
      </c>
      <c r="O504" s="4">
        <f ca="1">IFERROR(__xludf.DUMMYFUNCTION("IF(Cost_in_dollars!E504=""USD"",Cost_in_dollars!B504,Cost_in_dollars!B504 * GOOGLEFINANCE(""CURRENCY:"" &amp; Cost_in_dollars!E504 &amp; ""USD""))
"),13000000)</f>
        <v>13000000</v>
      </c>
      <c r="P504" s="4">
        <f ca="1">IFERROR(__xludf.DUMMYFUNCTION("IF(Cost_in_dollars!E504=""USD"",Cost_in_dollars!C504,Cost_in_dollars!C504 * GOOGLEFINANCE(""CURRENCY:"" &amp; Cost_in_dollars!E504 &amp; ""USD""))
"),17738570)</f>
        <v>17738570</v>
      </c>
      <c r="Q504" s="4">
        <f t="shared" ca="1" si="6"/>
        <v>4738570</v>
      </c>
      <c r="R504" s="5" t="str">
        <f t="shared" si="7"/>
        <v>The Perks of Being a Wallflower</v>
      </c>
      <c r="S504" s="43" t="str">
        <f t="shared" si="11"/>
        <v>Drama</v>
      </c>
    </row>
    <row r="505" spans="1:19" ht="15.75" customHeight="1" x14ac:dyDescent="0.25">
      <c r="A505" s="6" t="s">
        <v>2029</v>
      </c>
      <c r="B505" s="6">
        <v>129</v>
      </c>
      <c r="C505" s="6">
        <v>3093491</v>
      </c>
      <c r="D505" s="6" t="s">
        <v>362</v>
      </c>
      <c r="E505" s="6" t="s">
        <v>2030</v>
      </c>
      <c r="F505" s="6" t="s">
        <v>2031</v>
      </c>
      <c r="G505" s="6">
        <v>8307</v>
      </c>
      <c r="H505" s="6" t="s">
        <v>2032</v>
      </c>
      <c r="I505" s="6">
        <v>37</v>
      </c>
      <c r="J505" s="6" t="s">
        <v>23</v>
      </c>
      <c r="K505" s="6" t="s">
        <v>24</v>
      </c>
      <c r="L505" s="6">
        <v>5000000</v>
      </c>
      <c r="M505" s="6">
        <v>2014</v>
      </c>
      <c r="N505" s="6">
        <v>6.6</v>
      </c>
      <c r="O505" s="4">
        <f ca="1">IFERROR(__xludf.DUMMYFUNCTION("IF(Cost_in_dollars!E505=""USD"",Cost_in_dollars!B505,Cost_in_dollars!B505 * GOOGLEFINANCE(""CURRENCY:"" &amp; Cost_in_dollars!E505 &amp; ""USD""))
"),5000000)</f>
        <v>5000000</v>
      </c>
      <c r="P505" s="4">
        <f ca="1">IFERROR(__xludf.DUMMYFUNCTION("IF(Cost_in_dollars!E505=""USD"",Cost_in_dollars!C505,Cost_in_dollars!C505 * GOOGLEFINANCE(""CURRENCY:"" &amp; Cost_in_dollars!E505 &amp; ""USD""))
"),3093491)</f>
        <v>3093491</v>
      </c>
      <c r="Q505" s="6">
        <f t="shared" ca="1" si="6"/>
        <v>-1906509</v>
      </c>
      <c r="R505" s="7" t="str">
        <f t="shared" si="7"/>
        <v>Rosewater</v>
      </c>
      <c r="S505" s="43" t="str">
        <f t="shared" si="11"/>
        <v>Biography</v>
      </c>
    </row>
    <row r="506" spans="1:19" ht="15.75" customHeight="1" x14ac:dyDescent="0.25">
      <c r="A506" s="4" t="s">
        <v>2033</v>
      </c>
      <c r="B506" s="4">
        <v>234</v>
      </c>
      <c r="C506" s="4">
        <v>3609278</v>
      </c>
      <c r="D506" s="4" t="s">
        <v>102</v>
      </c>
      <c r="E506" s="4" t="s">
        <v>136</v>
      </c>
      <c r="F506" s="4" t="s">
        <v>2034</v>
      </c>
      <c r="G506" s="4">
        <v>573541</v>
      </c>
      <c r="H506" s="4" t="s">
        <v>2035</v>
      </c>
      <c r="I506" s="4">
        <v>1916</v>
      </c>
      <c r="J506" s="4" t="s">
        <v>23</v>
      </c>
      <c r="K506" s="4" t="s">
        <v>24</v>
      </c>
      <c r="L506" s="4">
        <v>4500000</v>
      </c>
      <c r="M506" s="4">
        <v>2000</v>
      </c>
      <c r="N506" s="4">
        <v>8.4</v>
      </c>
      <c r="O506" s="4">
        <f ca="1">IFERROR(__xludf.DUMMYFUNCTION("IF(Cost_in_dollars!E506=""USD"",Cost_in_dollars!B506,Cost_in_dollars!B506 * GOOGLEFINANCE(""CURRENCY:"" &amp; Cost_in_dollars!E506 &amp; ""USD""))
"),4500000)</f>
        <v>4500000</v>
      </c>
      <c r="P506" s="4">
        <f ca="1">IFERROR(__xludf.DUMMYFUNCTION("IF(Cost_in_dollars!E506=""USD"",Cost_in_dollars!C506,Cost_in_dollars!C506 * GOOGLEFINANCE(""CURRENCY:"" &amp; Cost_in_dollars!E506 &amp; ""USD""))
"),3609278)</f>
        <v>3609278</v>
      </c>
      <c r="Q506" s="4">
        <f t="shared" ca="1" si="6"/>
        <v>-890722</v>
      </c>
      <c r="R506" s="5" t="str">
        <f t="shared" si="7"/>
        <v>Requiem for a Dream</v>
      </c>
      <c r="S506" s="43" t="str">
        <f t="shared" si="11"/>
        <v>Drama</v>
      </c>
    </row>
    <row r="507" spans="1:19" ht="15.75" customHeight="1" x14ac:dyDescent="0.25">
      <c r="A507" s="6" t="s">
        <v>2036</v>
      </c>
      <c r="B507" s="6">
        <v>90</v>
      </c>
      <c r="C507" s="6">
        <v>1276984</v>
      </c>
      <c r="D507" s="6" t="s">
        <v>592</v>
      </c>
      <c r="E507" s="6" t="s">
        <v>1814</v>
      </c>
      <c r="F507" s="6" t="s">
        <v>2037</v>
      </c>
      <c r="G507" s="6">
        <v>11403</v>
      </c>
      <c r="H507" s="6" t="s">
        <v>2038</v>
      </c>
      <c r="I507" s="6">
        <v>150</v>
      </c>
      <c r="J507" s="6" t="s">
        <v>23</v>
      </c>
      <c r="K507" s="6" t="s">
        <v>611</v>
      </c>
      <c r="L507" s="6">
        <v>10000000</v>
      </c>
      <c r="M507" s="6">
        <v>2000</v>
      </c>
      <c r="N507" s="6">
        <v>6.2</v>
      </c>
      <c r="O507" s="4">
        <f ca="1">IFERROR(__xludf.DUMMYFUNCTION("IF(Cost_in_dollars!E507=""USD"",Cost_in_dollars!B507,Cost_in_dollars!B507 * GOOGLEFINANCE(""CURRENCY:"" &amp; Cost_in_dollars!E507 &amp; ""USD""))
"),10847400)</f>
        <v>10847400</v>
      </c>
      <c r="P507" s="4">
        <f ca="1">IFERROR(__xludf.DUMMYFUNCTION("IF(Cost_in_dollars!E507=""USD"",Cost_in_dollars!C507,Cost_in_dollars!C507 * GOOGLEFINANCE(""CURRENCY:"" &amp; Cost_in_dollars!E507 &amp; ""USD""))
"),1385195.62416)</f>
        <v>1385195.6241599999</v>
      </c>
      <c r="Q507" s="6">
        <f t="shared" ca="1" si="6"/>
        <v>-9462204.3758400008</v>
      </c>
      <c r="R507" s="7" t="str">
        <f t="shared" si="7"/>
        <v>Cecil B. DeMented</v>
      </c>
      <c r="S507" s="43" t="str">
        <f t="shared" si="11"/>
        <v>Comedy</v>
      </c>
    </row>
    <row r="508" spans="1:19" ht="15.75" customHeight="1" x14ac:dyDescent="0.25">
      <c r="A508" s="4" t="s">
        <v>2039</v>
      </c>
      <c r="B508" s="4">
        <v>401</v>
      </c>
      <c r="C508" s="4">
        <v>14989761</v>
      </c>
      <c r="D508" s="4" t="s">
        <v>443</v>
      </c>
      <c r="E508" s="4" t="s">
        <v>2040</v>
      </c>
      <c r="F508" s="4" t="s">
        <v>2041</v>
      </c>
      <c r="G508" s="4">
        <v>185845</v>
      </c>
      <c r="H508" s="4" t="s">
        <v>2042</v>
      </c>
      <c r="I508" s="4">
        <v>284</v>
      </c>
      <c r="J508" s="4" t="s">
        <v>23</v>
      </c>
      <c r="K508" s="4" t="s">
        <v>133</v>
      </c>
      <c r="L508" s="4">
        <v>15000000</v>
      </c>
      <c r="M508" s="4">
        <v>2012</v>
      </c>
      <c r="N508" s="4">
        <v>7.2</v>
      </c>
      <c r="O508" s="4">
        <f ca="1">IFERROR(__xludf.DUMMYFUNCTION("IF(Cost_in_dollars!E508=""USD"",Cost_in_dollars!B508,Cost_in_dollars!B508 * GOOGLEFINANCE(""CURRENCY:"" &amp; Cost_in_dollars!E508 &amp; ""USD""))
"),19281000)</f>
        <v>19281000</v>
      </c>
      <c r="P508" s="4">
        <f ca="1">IFERROR(__xludf.DUMMYFUNCTION("IF(Cost_in_dollars!E508=""USD"",Cost_in_dollars!C508,Cost_in_dollars!C508 * GOOGLEFINANCE(""CURRENCY:"" &amp; Cost_in_dollars!E508 &amp; ""USD""))
"),19267838.7893999)</f>
        <v>19267838.7893999</v>
      </c>
      <c r="Q508" s="4">
        <f t="shared" ca="1" si="6"/>
        <v>-13161.210600100458</v>
      </c>
      <c r="R508" s="5" t="str">
        <f t="shared" si="7"/>
        <v>Seven Psychopaths</v>
      </c>
      <c r="S508" s="43" t="str">
        <f t="shared" si="11"/>
        <v>Comedy</v>
      </c>
    </row>
    <row r="509" spans="1:19" ht="15.75" customHeight="1" x14ac:dyDescent="0.25">
      <c r="A509" s="6" t="s">
        <v>258</v>
      </c>
      <c r="B509" s="6">
        <v>153</v>
      </c>
      <c r="C509" s="6">
        <v>83348920</v>
      </c>
      <c r="D509" s="6" t="s">
        <v>1827</v>
      </c>
      <c r="E509" s="6" t="s">
        <v>561</v>
      </c>
      <c r="F509" s="6" t="s">
        <v>2043</v>
      </c>
      <c r="G509" s="6">
        <v>60230</v>
      </c>
      <c r="H509" s="6" t="s">
        <v>2044</v>
      </c>
      <c r="I509" s="6">
        <v>118</v>
      </c>
      <c r="J509" s="6" t="s">
        <v>23</v>
      </c>
      <c r="K509" s="6" t="s">
        <v>24</v>
      </c>
      <c r="L509" s="6">
        <v>132000000</v>
      </c>
      <c r="M509" s="6">
        <v>2014</v>
      </c>
      <c r="N509" s="6">
        <v>6.7</v>
      </c>
      <c r="O509" s="4">
        <f ca="1">IFERROR(__xludf.DUMMYFUNCTION("IF(Cost_in_dollars!E509=""USD"",Cost_in_dollars!B509,Cost_in_dollars!B509 * GOOGLEFINANCE(""CURRENCY:"" &amp; Cost_in_dollars!E509 &amp; ""USD""))
"),132000000)</f>
        <v>132000000</v>
      </c>
      <c r="P509" s="4">
        <f ca="1">IFERROR(__xludf.DUMMYFUNCTION("IF(Cost_in_dollars!E509=""USD"",Cost_in_dollars!C509,Cost_in_dollars!C509 * GOOGLEFINANCE(""CURRENCY:"" &amp; Cost_in_dollars!E509 &amp; ""USD""))
"),83348920)</f>
        <v>83348920</v>
      </c>
      <c r="Q509" s="6">
        <f t="shared" ca="1" si="6"/>
        <v>-48651080</v>
      </c>
      <c r="R509" s="7" t="str">
        <f t="shared" si="7"/>
        <v>Penguins of Madagascar</v>
      </c>
      <c r="S509" s="43" t="str">
        <f t="shared" si="11"/>
        <v>Adventure</v>
      </c>
    </row>
    <row r="510" spans="1:19" ht="15.75" customHeight="1" x14ac:dyDescent="0.25">
      <c r="A510" s="4" t="s">
        <v>2045</v>
      </c>
      <c r="B510" s="4">
        <v>152</v>
      </c>
      <c r="C510" s="4">
        <v>34636443</v>
      </c>
      <c r="D510" s="4" t="s">
        <v>613</v>
      </c>
      <c r="E510" s="4" t="s">
        <v>469</v>
      </c>
      <c r="F510" s="4" t="s">
        <v>2046</v>
      </c>
      <c r="G510" s="4">
        <v>93790</v>
      </c>
      <c r="H510" s="4" t="s">
        <v>2047</v>
      </c>
      <c r="I510" s="4">
        <v>288</v>
      </c>
      <c r="J510" s="4" t="s">
        <v>23</v>
      </c>
      <c r="K510" s="4" t="s">
        <v>24</v>
      </c>
      <c r="L510" s="4">
        <v>52000000</v>
      </c>
      <c r="M510" s="4">
        <v>2005</v>
      </c>
      <c r="N510" s="4">
        <v>6.6</v>
      </c>
      <c r="O510" s="4">
        <f ca="1">IFERROR(__xludf.DUMMYFUNCTION("IF(Cost_in_dollars!E510=""USD"",Cost_in_dollars!B510,Cost_in_dollars!B510 * GOOGLEFINANCE(""CURRENCY:"" &amp; Cost_in_dollars!E510 &amp; ""USD""))
"),52000000)</f>
        <v>52000000</v>
      </c>
      <c r="P510" s="4">
        <f ca="1">IFERROR(__xludf.DUMMYFUNCTION("IF(Cost_in_dollars!E510=""USD"",Cost_in_dollars!C510,Cost_in_dollars!C510 * GOOGLEFINANCE(""CURRENCY:"" &amp; Cost_in_dollars!E510 &amp; ""USD""))
"),34636443)</f>
        <v>34636443</v>
      </c>
      <c r="Q510" s="4">
        <f t="shared" ca="1" si="6"/>
        <v>-17363557</v>
      </c>
      <c r="R510" s="5" t="str">
        <f t="shared" si="7"/>
        <v>Hostage</v>
      </c>
      <c r="S510" s="43" t="str">
        <f t="shared" si="11"/>
        <v>Action</v>
      </c>
    </row>
    <row r="511" spans="1:19" ht="15.75" customHeight="1" x14ac:dyDescent="0.25">
      <c r="A511" s="6" t="s">
        <v>2048</v>
      </c>
      <c r="B511" s="6">
        <v>80</v>
      </c>
      <c r="C511" s="6">
        <v>20763013</v>
      </c>
      <c r="D511" s="6" t="s">
        <v>2049</v>
      </c>
      <c r="E511" s="6" t="s">
        <v>2050</v>
      </c>
      <c r="F511" s="6" t="s">
        <v>2051</v>
      </c>
      <c r="G511" s="6">
        <v>30840</v>
      </c>
      <c r="H511" s="6" t="s">
        <v>2052</v>
      </c>
      <c r="I511" s="6">
        <v>383</v>
      </c>
      <c r="J511" s="6" t="s">
        <v>23</v>
      </c>
      <c r="K511" s="6" t="s">
        <v>24</v>
      </c>
      <c r="L511" s="6">
        <v>23000000</v>
      </c>
      <c r="M511" s="6">
        <v>1987</v>
      </c>
      <c r="N511" s="6">
        <v>2.8</v>
      </c>
      <c r="O511" s="4">
        <f ca="1">IFERROR(__xludf.DUMMYFUNCTION("IF(Cost_in_dollars!E511=""USD"",Cost_in_dollars!B511,Cost_in_dollars!B511 * GOOGLEFINANCE(""CURRENCY:"" &amp; Cost_in_dollars!E511 &amp; ""USD""))
"),23000000)</f>
        <v>23000000</v>
      </c>
      <c r="P511" s="4">
        <f ca="1">IFERROR(__xludf.DUMMYFUNCTION("IF(Cost_in_dollars!E511=""USD"",Cost_in_dollars!C511,Cost_in_dollars!C511 * GOOGLEFINANCE(""CURRENCY:"" &amp; Cost_in_dollars!E511 &amp; ""USD""))
"),20763013)</f>
        <v>20763013</v>
      </c>
      <c r="Q511" s="6">
        <f t="shared" ca="1" si="6"/>
        <v>-2236987</v>
      </c>
      <c r="R511" s="7" t="str">
        <f t="shared" si="7"/>
        <v>Jaws: The Revenge</v>
      </c>
      <c r="S511" s="43" t="str">
        <f t="shared" si="11"/>
        <v>Adventure</v>
      </c>
    </row>
    <row r="512" spans="1:19" ht="15.75" customHeight="1" x14ac:dyDescent="0.25">
      <c r="A512" s="4" t="s">
        <v>2053</v>
      </c>
      <c r="B512" s="4">
        <v>32</v>
      </c>
      <c r="C512" s="4">
        <v>127144</v>
      </c>
      <c r="D512" s="4" t="s">
        <v>162</v>
      </c>
      <c r="E512" s="4" t="s">
        <v>444</v>
      </c>
      <c r="F512" s="4" t="s">
        <v>2054</v>
      </c>
      <c r="G512" s="4">
        <v>5159</v>
      </c>
      <c r="H512" s="4" t="s">
        <v>2055</v>
      </c>
      <c r="I512" s="4">
        <v>27</v>
      </c>
      <c r="J512" s="4" t="s">
        <v>23</v>
      </c>
      <c r="K512" s="4" t="s">
        <v>24</v>
      </c>
      <c r="L512" s="4">
        <v>8000000</v>
      </c>
      <c r="M512" s="4">
        <v>2005</v>
      </c>
      <c r="N512" s="4">
        <v>5.5</v>
      </c>
      <c r="O512" s="4">
        <f ca="1">IFERROR(__xludf.DUMMYFUNCTION("IF(Cost_in_dollars!E512=""USD"",Cost_in_dollars!B512,Cost_in_dollars!B512 * GOOGLEFINANCE(""CURRENCY:"" &amp; Cost_in_dollars!E512 &amp; ""USD""))
"),8000000)</f>
        <v>8000000</v>
      </c>
      <c r="P512" s="4">
        <f ca="1">IFERROR(__xludf.DUMMYFUNCTION("IF(Cost_in_dollars!E512=""USD"",Cost_in_dollars!C512,Cost_in_dollars!C512 * GOOGLEFINANCE(""CURRENCY:"" &amp; Cost_in_dollars!E512 &amp; ""USD""))
"),127144)</f>
        <v>127144</v>
      </c>
      <c r="Q512" s="4">
        <f t="shared" ref="Q512:Q766" ca="1" si="12">P512-O512</f>
        <v>-7872856</v>
      </c>
      <c r="R512" s="5" t="str">
        <f t="shared" ref="R512:R766" si="13">LEFT(F512,LEN(F512)-2)</f>
        <v>The Wendell Baker Story</v>
      </c>
      <c r="S512" s="43" t="str">
        <f t="shared" si="11"/>
        <v>Comedy</v>
      </c>
    </row>
    <row r="513" spans="1:19" ht="15.75" customHeight="1" x14ac:dyDescent="0.25">
      <c r="A513" s="6" t="s">
        <v>2056</v>
      </c>
      <c r="B513" s="6">
        <v>265</v>
      </c>
      <c r="C513" s="6">
        <v>34350553</v>
      </c>
      <c r="D513" s="6" t="s">
        <v>1719</v>
      </c>
      <c r="E513" s="6" t="s">
        <v>1282</v>
      </c>
      <c r="F513" s="6" t="s">
        <v>2057</v>
      </c>
      <c r="G513" s="6">
        <v>104066</v>
      </c>
      <c r="H513" s="6" t="s">
        <v>2058</v>
      </c>
      <c r="I513" s="6">
        <v>207</v>
      </c>
      <c r="J513" s="6" t="s">
        <v>23</v>
      </c>
      <c r="K513" s="6" t="s">
        <v>24</v>
      </c>
      <c r="L513" s="6">
        <v>68000000</v>
      </c>
      <c r="M513" s="6">
        <v>2012</v>
      </c>
      <c r="N513" s="6">
        <v>5.7</v>
      </c>
      <c r="O513" s="4">
        <f ca="1">IFERROR(__xludf.DUMMYFUNCTION("IF(Cost_in_dollars!E513=""USD"",Cost_in_dollars!B513,Cost_in_dollars!B513 * GOOGLEFINANCE(""CURRENCY:"" &amp; Cost_in_dollars!E513 &amp; ""USD""))
"),68000000)</f>
        <v>68000000</v>
      </c>
      <c r="P513" s="4">
        <f ca="1">IFERROR(__xludf.DUMMYFUNCTION("IF(Cost_in_dollars!E513=""USD"",Cost_in_dollars!C513,Cost_in_dollars!C513 * GOOGLEFINANCE(""CURRENCY:"" &amp; Cost_in_dollars!E513 &amp; ""USD""))
"),34350553)</f>
        <v>34350553</v>
      </c>
      <c r="Q513" s="6">
        <f t="shared" ca="1" si="12"/>
        <v>-33649447</v>
      </c>
      <c r="R513" s="7" t="str">
        <f t="shared" si="13"/>
        <v>The Watch</v>
      </c>
      <c r="S513" s="43" t="str">
        <f t="shared" si="11"/>
        <v>Action</v>
      </c>
    </row>
    <row r="514" spans="1:19" ht="15.75" customHeight="1" x14ac:dyDescent="0.25">
      <c r="A514" s="4" t="s">
        <v>2059</v>
      </c>
      <c r="B514" s="4">
        <v>63</v>
      </c>
      <c r="C514" s="4">
        <v>30324946</v>
      </c>
      <c r="D514" s="4" t="s">
        <v>2060</v>
      </c>
      <c r="E514" s="4" t="s">
        <v>444</v>
      </c>
      <c r="F514" s="4" t="s">
        <v>2061</v>
      </c>
      <c r="G514" s="4">
        <v>48458</v>
      </c>
      <c r="H514" s="4" t="s">
        <v>2062</v>
      </c>
      <c r="I514" s="4">
        <v>239</v>
      </c>
      <c r="J514" s="4" t="s">
        <v>23</v>
      </c>
      <c r="K514" s="4" t="s">
        <v>24</v>
      </c>
      <c r="L514" s="4">
        <v>17000000</v>
      </c>
      <c r="M514" s="4">
        <v>1998</v>
      </c>
      <c r="N514" s="4">
        <v>6.2</v>
      </c>
      <c r="O514" s="4">
        <f ca="1">IFERROR(__xludf.DUMMYFUNCTION("IF(Cost_in_dollars!E514=""USD"",Cost_in_dollars!B514,Cost_in_dollars!B514 * GOOGLEFINANCE(""CURRENCY:"" &amp; Cost_in_dollars!E514 &amp; ""USD""))
"),17000000)</f>
        <v>17000000</v>
      </c>
      <c r="P514" s="4">
        <f ca="1">IFERROR(__xludf.DUMMYFUNCTION("IF(Cost_in_dollars!E514=""USD"",Cost_in_dollars!C514,Cost_in_dollars!C514 * GOOGLEFINANCE(""CURRENCY:"" &amp; Cost_in_dollars!E514 &amp; ""USD""))
"),30324946)</f>
        <v>30324946</v>
      </c>
      <c r="Q514" s="4">
        <f t="shared" ca="1" si="12"/>
        <v>13324946</v>
      </c>
      <c r="R514" s="5" t="str">
        <f t="shared" si="13"/>
        <v>A Night at the Roxbury</v>
      </c>
      <c r="S514" s="43" t="str">
        <f t="shared" ref="S514:S577" si="14">IF(ISNUMBER(FIND("|", D514)), LEFT(D514, FIND("|", D514) - 1), D514)</f>
        <v>Comedy</v>
      </c>
    </row>
    <row r="515" spans="1:19" ht="15.75" customHeight="1" x14ac:dyDescent="0.25">
      <c r="A515" s="6" t="s">
        <v>2063</v>
      </c>
      <c r="B515" s="6">
        <v>119</v>
      </c>
      <c r="C515" s="6">
        <v>159600000</v>
      </c>
      <c r="D515" s="6" t="s">
        <v>172</v>
      </c>
      <c r="E515" s="6" t="s">
        <v>2064</v>
      </c>
      <c r="F515" s="6" t="s">
        <v>2065</v>
      </c>
      <c r="G515" s="6">
        <v>175607</v>
      </c>
      <c r="H515" s="6" t="s">
        <v>2066</v>
      </c>
      <c r="I515" s="6">
        <v>252</v>
      </c>
      <c r="J515" s="6" t="s">
        <v>23</v>
      </c>
      <c r="K515" s="6" t="s">
        <v>24</v>
      </c>
      <c r="L515" s="6">
        <v>5500000</v>
      </c>
      <c r="M515" s="6">
        <v>1973</v>
      </c>
      <c r="N515" s="6">
        <v>8.3000000000000007</v>
      </c>
      <c r="O515" s="4">
        <f ca="1">IFERROR(__xludf.DUMMYFUNCTION("IF(Cost_in_dollars!E515=""USD"",Cost_in_dollars!B515,Cost_in_dollars!B515 * GOOGLEFINANCE(""CURRENCY:"" &amp; Cost_in_dollars!E515 &amp; ""USD""))
"),5500000)</f>
        <v>5500000</v>
      </c>
      <c r="P515" s="4">
        <f ca="1">IFERROR(__xludf.DUMMYFUNCTION("IF(Cost_in_dollars!E515=""USD"",Cost_in_dollars!C515,Cost_in_dollars!C515 * GOOGLEFINANCE(""CURRENCY:"" &amp; Cost_in_dollars!E515 &amp; ""USD""))
"),159600000)</f>
        <v>159600000</v>
      </c>
      <c r="Q515" s="6">
        <f t="shared" ca="1" si="12"/>
        <v>154100000</v>
      </c>
      <c r="R515" s="7" t="str">
        <f t="shared" si="13"/>
        <v>The Sting</v>
      </c>
      <c r="S515" s="43" t="str">
        <f t="shared" si="14"/>
        <v>Comedy</v>
      </c>
    </row>
    <row r="516" spans="1:19" ht="15.75" customHeight="1" x14ac:dyDescent="0.25">
      <c r="A516" s="4" t="s">
        <v>2067</v>
      </c>
      <c r="B516" s="4">
        <v>92</v>
      </c>
      <c r="C516" s="4">
        <v>184208848</v>
      </c>
      <c r="D516" s="4" t="s">
        <v>2068</v>
      </c>
      <c r="E516" s="4" t="s">
        <v>2069</v>
      </c>
      <c r="F516" s="4" t="s">
        <v>2070</v>
      </c>
      <c r="G516" s="4">
        <v>186485</v>
      </c>
      <c r="H516" s="4" t="s">
        <v>2071</v>
      </c>
      <c r="I516" s="4">
        <v>382</v>
      </c>
      <c r="J516" s="4" t="s">
        <v>23</v>
      </c>
      <c r="K516" s="4" t="s">
        <v>24</v>
      </c>
      <c r="L516" s="4">
        <v>22000000</v>
      </c>
      <c r="M516" s="4">
        <v>1990</v>
      </c>
      <c r="N516" s="4">
        <v>8</v>
      </c>
      <c r="O516" s="4">
        <f ca="1">IFERROR(__xludf.DUMMYFUNCTION("IF(Cost_in_dollars!E516=""USD"",Cost_in_dollars!B516,Cost_in_dollars!B516 * GOOGLEFINANCE(""CURRENCY:"" &amp; Cost_in_dollars!E516 &amp; ""USD""))
"),22000000)</f>
        <v>22000000</v>
      </c>
      <c r="P516" s="4">
        <f ca="1">IFERROR(__xludf.DUMMYFUNCTION("IF(Cost_in_dollars!E516=""USD"",Cost_in_dollars!C516,Cost_in_dollars!C516 * GOOGLEFINANCE(""CURRENCY:"" &amp; Cost_in_dollars!E516 &amp; ""USD""))
"),184208848)</f>
        <v>184208848</v>
      </c>
      <c r="Q516" s="4">
        <f t="shared" ca="1" si="12"/>
        <v>162208848</v>
      </c>
      <c r="R516" s="5" t="str">
        <f t="shared" si="13"/>
        <v>Dances with Wolves</v>
      </c>
      <c r="S516" s="43" t="str">
        <f t="shared" si="14"/>
        <v>Adventure</v>
      </c>
    </row>
    <row r="517" spans="1:19" ht="15.75" customHeight="1" x14ac:dyDescent="0.25">
      <c r="A517" s="6" t="s">
        <v>2072</v>
      </c>
      <c r="B517" s="6">
        <v>64</v>
      </c>
      <c r="C517" s="6">
        <v>144833357</v>
      </c>
      <c r="D517" s="6" t="s">
        <v>2073</v>
      </c>
      <c r="E517" s="6" t="s">
        <v>2074</v>
      </c>
      <c r="F517" s="6" t="s">
        <v>2075</v>
      </c>
      <c r="G517" s="6">
        <v>64742</v>
      </c>
      <c r="H517" s="6" t="s">
        <v>2076</v>
      </c>
      <c r="I517" s="6">
        <v>111</v>
      </c>
      <c r="J517" s="6" t="s">
        <v>23</v>
      </c>
      <c r="K517" s="6" t="s">
        <v>24</v>
      </c>
      <c r="L517" s="6">
        <v>22000000</v>
      </c>
      <c r="M517" s="6">
        <v>1994</v>
      </c>
      <c r="N517" s="6">
        <v>6.4</v>
      </c>
      <c r="O517" s="4">
        <f ca="1">IFERROR(__xludf.DUMMYFUNCTION("IF(Cost_in_dollars!E517=""USD"",Cost_in_dollars!B517,Cost_in_dollars!B517 * GOOGLEFINANCE(""CURRENCY:"" &amp; Cost_in_dollars!E517 &amp; ""USD""))
"),22000000)</f>
        <v>22000000</v>
      </c>
      <c r="P517" s="4">
        <f ca="1">IFERROR(__xludf.DUMMYFUNCTION("IF(Cost_in_dollars!E517=""USD"",Cost_in_dollars!C517,Cost_in_dollars!C517 * GOOGLEFINANCE(""CURRENCY:"" &amp; Cost_in_dollars!E517 &amp; ""USD""))
"),144833357)</f>
        <v>144833357</v>
      </c>
      <c r="Q517" s="6">
        <f t="shared" ca="1" si="12"/>
        <v>122833357</v>
      </c>
      <c r="R517" s="7" t="str">
        <f t="shared" si="13"/>
        <v>The Santa Clause</v>
      </c>
      <c r="S517" s="43" t="str">
        <f t="shared" si="14"/>
        <v>Comedy</v>
      </c>
    </row>
    <row r="518" spans="1:19" ht="15.75" customHeight="1" x14ac:dyDescent="0.25">
      <c r="A518" s="4" t="s">
        <v>2077</v>
      </c>
      <c r="B518" s="4">
        <v>599</v>
      </c>
      <c r="C518" s="4">
        <v>262030663</v>
      </c>
      <c r="D518" s="4" t="s">
        <v>281</v>
      </c>
      <c r="E518" s="4" t="s">
        <v>500</v>
      </c>
      <c r="F518" s="4" t="s">
        <v>2078</v>
      </c>
      <c r="G518" s="4">
        <v>451803</v>
      </c>
      <c r="H518" s="4" t="s">
        <v>2079</v>
      </c>
      <c r="I518" s="4">
        <v>1225</v>
      </c>
      <c r="J518" s="4" t="s">
        <v>23</v>
      </c>
      <c r="K518" s="4" t="s">
        <v>24</v>
      </c>
      <c r="L518" s="4">
        <v>230000000</v>
      </c>
      <c r="M518" s="4">
        <v>2012</v>
      </c>
      <c r="N518" s="4">
        <v>7</v>
      </c>
      <c r="O518" s="4">
        <f ca="1">IFERROR(__xludf.DUMMYFUNCTION("IF(Cost_in_dollars!E518=""USD"",Cost_in_dollars!B518,Cost_in_dollars!B518 * GOOGLEFINANCE(""CURRENCY:"" &amp; Cost_in_dollars!E518 &amp; ""USD""))
"),230000000)</f>
        <v>230000000</v>
      </c>
      <c r="P518" s="4">
        <f ca="1">IFERROR(__xludf.DUMMYFUNCTION("IF(Cost_in_dollars!E518=""USD"",Cost_in_dollars!C518,Cost_in_dollars!C518 * GOOGLEFINANCE(""CURRENCY:"" &amp; Cost_in_dollars!E518 &amp; ""USD""))
"),262030663)</f>
        <v>262030663</v>
      </c>
      <c r="Q518" s="4">
        <f t="shared" ca="1" si="12"/>
        <v>32030663</v>
      </c>
      <c r="R518" s="5" t="str">
        <f t="shared" si="13"/>
        <v>The Amazing Spider-Man</v>
      </c>
      <c r="S518" s="43" t="str">
        <f t="shared" si="14"/>
        <v>Action</v>
      </c>
    </row>
    <row r="519" spans="1:19" ht="15.75" customHeight="1" x14ac:dyDescent="0.25">
      <c r="A519" s="6" t="s">
        <v>272</v>
      </c>
      <c r="B519" s="6">
        <v>167</v>
      </c>
      <c r="C519" s="6">
        <v>1357042</v>
      </c>
      <c r="D519" s="6" t="s">
        <v>434</v>
      </c>
      <c r="E519" s="6" t="s">
        <v>2080</v>
      </c>
      <c r="F519" s="6" t="s">
        <v>2081</v>
      </c>
      <c r="G519" s="6">
        <v>53977</v>
      </c>
      <c r="H519" s="6" t="s">
        <v>2082</v>
      </c>
      <c r="I519" s="6">
        <v>125</v>
      </c>
      <c r="J519" s="6" t="s">
        <v>23</v>
      </c>
      <c r="K519" s="6" t="s">
        <v>2083</v>
      </c>
      <c r="L519" s="6">
        <v>15000000</v>
      </c>
      <c r="M519" s="6">
        <v>2011</v>
      </c>
      <c r="N519" s="6">
        <v>7.1</v>
      </c>
      <c r="O519" s="4">
        <f ca="1">IFERROR(__xludf.DUMMYFUNCTION("IF(Cost_in_dollars!E519=""USD"",Cost_in_dollars!B519,Cost_in_dollars!B519 * GOOGLEFINANCE(""CURRENCY:"" &amp; Cost_in_dollars!E519 &amp; ""USD""))
"),16271100)</f>
        <v>16271100</v>
      </c>
      <c r="P519" s="4">
        <f ca="1">IFERROR(__xludf.DUMMYFUNCTION("IF(Cost_in_dollars!E519=""USD"",Cost_in_dollars!C519,Cost_in_dollars!C519 * GOOGLEFINANCE(""CURRENCY:"" &amp; Cost_in_dollars!E519 &amp; ""USD""))
"),1472037.73908)</f>
        <v>1472037.73908</v>
      </c>
      <c r="Q519" s="6">
        <f t="shared" ca="1" si="12"/>
        <v>-14799062.260919999</v>
      </c>
      <c r="R519" s="7" t="str">
        <f t="shared" si="13"/>
        <v>The Devil's Double</v>
      </c>
      <c r="S519" s="43" t="str">
        <f t="shared" si="14"/>
        <v>Biography</v>
      </c>
    </row>
    <row r="520" spans="1:19" ht="15.75" customHeight="1" x14ac:dyDescent="0.25">
      <c r="A520" s="4" t="s">
        <v>2084</v>
      </c>
      <c r="B520" s="4">
        <v>104</v>
      </c>
      <c r="C520" s="4">
        <v>8378141</v>
      </c>
      <c r="D520" s="4" t="s">
        <v>162</v>
      </c>
      <c r="E520" s="4" t="s">
        <v>545</v>
      </c>
      <c r="F520" s="4" t="s">
        <v>2085</v>
      </c>
      <c r="G520" s="4">
        <v>18966</v>
      </c>
      <c r="H520" s="4" t="s">
        <v>2086</v>
      </c>
      <c r="I520" s="4">
        <v>141</v>
      </c>
      <c r="J520" s="4" t="s">
        <v>23</v>
      </c>
      <c r="K520" s="4" t="s">
        <v>133</v>
      </c>
      <c r="L520" s="4">
        <v>15000000</v>
      </c>
      <c r="M520" s="4">
        <v>2002</v>
      </c>
      <c r="N520" s="4">
        <v>6.9</v>
      </c>
      <c r="O520" s="4">
        <f ca="1">IFERROR(__xludf.DUMMYFUNCTION("IF(Cost_in_dollars!E520=""USD"",Cost_in_dollars!B520,Cost_in_dollars!B520 * GOOGLEFINANCE(""CURRENCY:"" &amp; Cost_in_dollars!E520 &amp; ""USD""))
"),19281000)</f>
        <v>19281000</v>
      </c>
      <c r="P520" s="4">
        <f ca="1">IFERROR(__xludf.DUMMYFUNCTION("IF(Cost_in_dollars!E520=""USD"",Cost_in_dollars!C520,Cost_in_dollars!C520 * GOOGLEFINANCE(""CURRENCY:"" &amp; Cost_in_dollars!E520 &amp; ""USD""))
"),10769262.4413999)</f>
        <v>10769262.4413999</v>
      </c>
      <c r="Q520" s="4">
        <f t="shared" ca="1" si="12"/>
        <v>-8511737.5586000998</v>
      </c>
      <c r="R520" s="5" t="str">
        <f t="shared" si="13"/>
        <v>The Importance of Being Earnest</v>
      </c>
      <c r="S520" s="43" t="str">
        <f t="shared" si="14"/>
        <v>Comedy</v>
      </c>
    </row>
    <row r="521" spans="1:19" ht="15.75" customHeight="1" x14ac:dyDescent="0.25">
      <c r="A521" s="6" t="s">
        <v>2087</v>
      </c>
      <c r="B521" s="6">
        <v>398</v>
      </c>
      <c r="C521" s="6">
        <v>88625922</v>
      </c>
      <c r="D521" s="6" t="s">
        <v>2088</v>
      </c>
      <c r="E521" s="6" t="s">
        <v>945</v>
      </c>
      <c r="F521" s="6" t="s">
        <v>2089</v>
      </c>
      <c r="G521" s="6">
        <v>75176</v>
      </c>
      <c r="H521" s="6" t="s">
        <v>2090</v>
      </c>
      <c r="I521" s="6">
        <v>252</v>
      </c>
      <c r="J521" s="6" t="s">
        <v>23</v>
      </c>
      <c r="K521" s="6" t="s">
        <v>24</v>
      </c>
      <c r="L521" s="6">
        <v>45000000</v>
      </c>
      <c r="M521" s="6">
        <v>2011</v>
      </c>
      <c r="N521" s="6">
        <v>7.1</v>
      </c>
      <c r="O521" s="4">
        <f ca="1">IFERROR(__xludf.DUMMYFUNCTION("IF(Cost_in_dollars!E521=""USD"",Cost_in_dollars!B521,Cost_in_dollars!B521 * GOOGLEFINANCE(""CURRENCY:"" &amp; Cost_in_dollars!E521 &amp; ""USD""))
"),45000000)</f>
        <v>45000000</v>
      </c>
      <c r="P521" s="4">
        <f ca="1">IFERROR(__xludf.DUMMYFUNCTION("IF(Cost_in_dollars!E521=""USD"",Cost_in_dollars!C521,Cost_in_dollars!C521 * GOOGLEFINANCE(""CURRENCY:"" &amp; Cost_in_dollars!E521 &amp; ""USD""))
"),88625922)</f>
        <v>88625922</v>
      </c>
      <c r="Q521" s="6">
        <f t="shared" ca="1" si="12"/>
        <v>43625922</v>
      </c>
      <c r="R521" s="7" t="str">
        <f t="shared" si="13"/>
        <v>The Muppets</v>
      </c>
      <c r="S521" s="43" t="str">
        <f t="shared" si="14"/>
        <v>Adventure</v>
      </c>
    </row>
    <row r="522" spans="1:19" ht="15.75" customHeight="1" x14ac:dyDescent="0.25">
      <c r="A522" s="4" t="s">
        <v>2091</v>
      </c>
      <c r="B522" s="4">
        <v>31</v>
      </c>
      <c r="C522" s="4">
        <v>59847242</v>
      </c>
      <c r="D522" s="4" t="s">
        <v>2092</v>
      </c>
      <c r="E522" s="4" t="s">
        <v>2093</v>
      </c>
      <c r="F522" s="4" t="s">
        <v>2094</v>
      </c>
      <c r="G522" s="4">
        <v>55895</v>
      </c>
      <c r="H522" s="4" t="s">
        <v>2095</v>
      </c>
      <c r="I522" s="4">
        <v>115</v>
      </c>
      <c r="J522" s="4" t="s">
        <v>23</v>
      </c>
      <c r="K522" s="4" t="s">
        <v>24</v>
      </c>
      <c r="L522" s="4">
        <v>16500000</v>
      </c>
      <c r="M522" s="4">
        <v>1991</v>
      </c>
      <c r="N522" s="4">
        <v>6.8</v>
      </c>
      <c r="O522" s="4">
        <f ca="1">IFERROR(__xludf.DUMMYFUNCTION("IF(Cost_in_dollars!E522=""USD"",Cost_in_dollars!B522,Cost_in_dollars!B522 * GOOGLEFINANCE(""CURRENCY:"" &amp; Cost_in_dollars!E522 &amp; ""USD""))
"),16500000)</f>
        <v>16500000</v>
      </c>
      <c r="P522" s="4">
        <f ca="1">IFERROR(__xludf.DUMMYFUNCTION("IF(Cost_in_dollars!E522=""USD"",Cost_in_dollars!C522,Cost_in_dollars!C522 * GOOGLEFINANCE(""CURRENCY:"" &amp; Cost_in_dollars!E522 &amp; ""USD""))
"),59847242)</f>
        <v>59847242</v>
      </c>
      <c r="Q522" s="4">
        <f t="shared" ca="1" si="12"/>
        <v>43347242</v>
      </c>
      <c r="R522" s="5" t="str">
        <f t="shared" si="13"/>
        <v>My Girl</v>
      </c>
      <c r="S522" s="43" t="str">
        <f t="shared" si="14"/>
        <v>Comedy</v>
      </c>
    </row>
    <row r="523" spans="1:19" ht="15.75" customHeight="1" x14ac:dyDescent="0.25">
      <c r="A523" s="6" t="s">
        <v>863</v>
      </c>
      <c r="B523" s="6">
        <v>122</v>
      </c>
      <c r="C523" s="6">
        <v>134006721</v>
      </c>
      <c r="D523" s="6" t="s">
        <v>477</v>
      </c>
      <c r="E523" s="6" t="s">
        <v>461</v>
      </c>
      <c r="F523" s="6" t="s">
        <v>2096</v>
      </c>
      <c r="G523" s="6">
        <v>259492</v>
      </c>
      <c r="H523" s="6" t="s">
        <v>2097</v>
      </c>
      <c r="I523" s="6">
        <v>415</v>
      </c>
      <c r="J523" s="6" t="s">
        <v>23</v>
      </c>
      <c r="K523" s="6" t="s">
        <v>24</v>
      </c>
      <c r="L523" s="6">
        <v>75000000</v>
      </c>
      <c r="M523" s="6">
        <v>1996</v>
      </c>
      <c r="N523" s="6">
        <v>7.4</v>
      </c>
      <c r="O523" s="4">
        <f ca="1">IFERROR(__xludf.DUMMYFUNCTION("IF(Cost_in_dollars!E523=""USD"",Cost_in_dollars!B523,Cost_in_dollars!B523 * GOOGLEFINANCE(""CURRENCY:"" &amp; Cost_in_dollars!E523 &amp; ""USD""))
"),75000000)</f>
        <v>75000000</v>
      </c>
      <c r="P523" s="4">
        <f ca="1">IFERROR(__xludf.DUMMYFUNCTION("IF(Cost_in_dollars!E523=""USD"",Cost_in_dollars!C523,Cost_in_dollars!C523 * GOOGLEFINANCE(""CURRENCY:"" &amp; Cost_in_dollars!E523 &amp; ""USD""))
"),134006721)</f>
        <v>134006721</v>
      </c>
      <c r="Q523" s="6">
        <f t="shared" ca="1" si="12"/>
        <v>59006721</v>
      </c>
      <c r="R523" s="7" t="str">
        <f t="shared" si="13"/>
        <v>The Rock</v>
      </c>
      <c r="S523" s="43" t="str">
        <f t="shared" si="14"/>
        <v>Action</v>
      </c>
    </row>
    <row r="524" spans="1:19" ht="15.75" customHeight="1" x14ac:dyDescent="0.25">
      <c r="A524" s="4" t="s">
        <v>2098</v>
      </c>
      <c r="B524" s="4">
        <v>28</v>
      </c>
      <c r="C524" s="4">
        <v>464655</v>
      </c>
      <c r="D524" s="4" t="s">
        <v>457</v>
      </c>
      <c r="E524" s="4" t="s">
        <v>2099</v>
      </c>
      <c r="F524" s="4" t="s">
        <v>2100</v>
      </c>
      <c r="G524" s="4">
        <v>1524</v>
      </c>
      <c r="H524" s="4" t="s">
        <v>2101</v>
      </c>
      <c r="I524" s="4">
        <v>29</v>
      </c>
      <c r="J524" s="4" t="s">
        <v>23</v>
      </c>
      <c r="K524" s="4" t="s">
        <v>24</v>
      </c>
      <c r="L524" s="4">
        <v>1000000</v>
      </c>
      <c r="M524" s="4">
        <v>1997</v>
      </c>
      <c r="N524" s="4">
        <v>7</v>
      </c>
      <c r="O524" s="4">
        <f ca="1">IFERROR(__xludf.DUMMYFUNCTION("IF(Cost_in_dollars!E524=""USD"",Cost_in_dollars!B524,Cost_in_dollars!B524 * GOOGLEFINANCE(""CURRENCY:"" &amp; Cost_in_dollars!E524 &amp; ""USD""))
"),1000000)</f>
        <v>1000000</v>
      </c>
      <c r="P524" s="4">
        <f ca="1">IFERROR(__xludf.DUMMYFUNCTION("IF(Cost_in_dollars!E524=""USD"",Cost_in_dollars!C524,Cost_in_dollars!C524 * GOOGLEFINANCE(""CURRENCY:"" &amp; Cost_in_dollars!E524 &amp; ""USD""))
"),464655)</f>
        <v>464655</v>
      </c>
      <c r="Q524" s="4">
        <f t="shared" ca="1" si="12"/>
        <v>-535345</v>
      </c>
      <c r="R524" s="5" t="str">
        <f t="shared" si="13"/>
        <v>Dream with the Fishes</v>
      </c>
      <c r="S524" s="43" t="str">
        <f t="shared" si="14"/>
        <v>Comedy</v>
      </c>
    </row>
    <row r="525" spans="1:19" ht="15.75" customHeight="1" x14ac:dyDescent="0.25">
      <c r="A525" s="6" t="s">
        <v>2102</v>
      </c>
      <c r="B525" s="6">
        <v>88</v>
      </c>
      <c r="C525" s="6">
        <v>39008741</v>
      </c>
      <c r="D525" s="6" t="s">
        <v>2092</v>
      </c>
      <c r="E525" s="6" t="s">
        <v>2103</v>
      </c>
      <c r="F525" s="6" t="s">
        <v>2104</v>
      </c>
      <c r="G525" s="6">
        <v>44838</v>
      </c>
      <c r="H525" s="6" t="s">
        <v>2105</v>
      </c>
      <c r="I525" s="6">
        <v>223</v>
      </c>
      <c r="J525" s="6" t="s">
        <v>23</v>
      </c>
      <c r="K525" s="6" t="s">
        <v>24</v>
      </c>
      <c r="L525" s="6">
        <v>25000000</v>
      </c>
      <c r="M525" s="6">
        <v>2005</v>
      </c>
      <c r="N525" s="6">
        <v>6.6</v>
      </c>
      <c r="O525" s="4">
        <f ca="1">IFERROR(__xludf.DUMMYFUNCTION("IF(Cost_in_dollars!E525=""USD"",Cost_in_dollars!B525,Cost_in_dollars!B525 * GOOGLEFINANCE(""CURRENCY:"" &amp; Cost_in_dollars!E525 &amp; ""USD""))
"),25000000)</f>
        <v>25000000</v>
      </c>
      <c r="P525" s="4">
        <f ca="1">IFERROR(__xludf.DUMMYFUNCTION("IF(Cost_in_dollars!E525=""USD"",Cost_in_dollars!C525,Cost_in_dollars!C525 * GOOGLEFINANCE(""CURRENCY:"" &amp; Cost_in_dollars!E525 &amp; ""USD""))
"),39008741)</f>
        <v>39008741</v>
      </c>
      <c r="Q525" s="6">
        <f t="shared" ca="1" si="12"/>
        <v>14008741</v>
      </c>
      <c r="R525" s="7" t="str">
        <f t="shared" si="13"/>
        <v>The Sisterhood of the Traveling Pants</v>
      </c>
      <c r="S525" s="43" t="str">
        <f t="shared" si="14"/>
        <v>Comedy</v>
      </c>
    </row>
    <row r="526" spans="1:19" ht="15.75" customHeight="1" x14ac:dyDescent="0.25">
      <c r="A526" s="4" t="s">
        <v>717</v>
      </c>
      <c r="B526" s="4">
        <v>196</v>
      </c>
      <c r="C526" s="4">
        <v>64685359</v>
      </c>
      <c r="D526" s="4" t="s">
        <v>2106</v>
      </c>
      <c r="E526" s="4" t="s">
        <v>2107</v>
      </c>
      <c r="F526" s="4" t="s">
        <v>2108</v>
      </c>
      <c r="G526" s="4">
        <v>40862</v>
      </c>
      <c r="H526" s="4" t="s">
        <v>2109</v>
      </c>
      <c r="I526" s="4">
        <v>139</v>
      </c>
      <c r="J526" s="4" t="s">
        <v>23</v>
      </c>
      <c r="K526" s="4" t="s">
        <v>24</v>
      </c>
      <c r="L526" s="4">
        <v>90000000</v>
      </c>
      <c r="M526" s="4">
        <v>2016</v>
      </c>
      <c r="N526" s="4">
        <v>6.9</v>
      </c>
      <c r="O526" s="4">
        <f ca="1">IFERROR(__xludf.DUMMYFUNCTION("IF(Cost_in_dollars!E526=""USD"",Cost_in_dollars!B526,Cost_in_dollars!B526 * GOOGLEFINANCE(""CURRENCY:"" &amp; Cost_in_dollars!E526 &amp; ""USD""))
"),90000000)</f>
        <v>90000000</v>
      </c>
      <c r="P526" s="4">
        <f ca="1">IFERROR(__xludf.DUMMYFUNCTION("IF(Cost_in_dollars!E526=""USD"",Cost_in_dollars!C526,Cost_in_dollars!C526 * GOOGLEFINANCE(""CURRENCY:"" &amp; Cost_in_dollars!E526 &amp; ""USD""))
"),64685359)</f>
        <v>64685359</v>
      </c>
      <c r="Q526" s="4">
        <f t="shared" ca="1" si="12"/>
        <v>-25314641</v>
      </c>
      <c r="R526" s="5" t="str">
        <f t="shared" si="13"/>
        <v>Now You See Me 2</v>
      </c>
      <c r="S526" s="43" t="str">
        <f t="shared" si="14"/>
        <v>Action</v>
      </c>
    </row>
    <row r="527" spans="1:19" ht="15.75" customHeight="1" x14ac:dyDescent="0.25">
      <c r="A527" s="6" t="s">
        <v>2110</v>
      </c>
      <c r="B527" s="6">
        <v>139</v>
      </c>
      <c r="C527" s="6">
        <v>133668525</v>
      </c>
      <c r="D527" s="6" t="s">
        <v>140</v>
      </c>
      <c r="E527" s="6" t="s">
        <v>456</v>
      </c>
      <c r="F527" s="6" t="s">
        <v>2111</v>
      </c>
      <c r="G527" s="6">
        <v>107817</v>
      </c>
      <c r="H527" s="6" t="s">
        <v>2112</v>
      </c>
      <c r="I527" s="6">
        <v>255</v>
      </c>
      <c r="J527" s="6" t="s">
        <v>23</v>
      </c>
      <c r="K527" s="6" t="s">
        <v>24</v>
      </c>
      <c r="L527" s="6">
        <v>80000000</v>
      </c>
      <c r="M527" s="6">
        <v>2013</v>
      </c>
      <c r="N527" s="6">
        <v>5.4</v>
      </c>
      <c r="O527" s="4">
        <f ca="1">IFERROR(__xludf.DUMMYFUNCTION("IF(Cost_in_dollars!E527=""USD"",Cost_in_dollars!B527,Cost_in_dollars!B527 * GOOGLEFINANCE(""CURRENCY:"" &amp; Cost_in_dollars!E527 &amp; ""USD""))
"),80000000)</f>
        <v>80000000</v>
      </c>
      <c r="P527" s="4">
        <f ca="1">IFERROR(__xludf.DUMMYFUNCTION("IF(Cost_in_dollars!E527=""USD"",Cost_in_dollars!C527,Cost_in_dollars!C527 * GOOGLEFINANCE(""CURRENCY:"" &amp; Cost_in_dollars!E527 &amp; ""USD""))
"),133668525)</f>
        <v>133668525</v>
      </c>
      <c r="Q527" s="6">
        <f t="shared" ca="1" si="12"/>
        <v>53668525</v>
      </c>
      <c r="R527" s="7" t="str">
        <f t="shared" si="13"/>
        <v>Grown Ups 2</v>
      </c>
      <c r="S527" s="43" t="str">
        <f t="shared" si="14"/>
        <v>Comedy</v>
      </c>
    </row>
    <row r="528" spans="1:19" ht="15.75" customHeight="1" x14ac:dyDescent="0.25">
      <c r="A528" s="4" t="s">
        <v>1378</v>
      </c>
      <c r="B528" s="4">
        <v>518</v>
      </c>
      <c r="C528" s="4">
        <v>257704099</v>
      </c>
      <c r="D528" s="4" t="s">
        <v>188</v>
      </c>
      <c r="E528" s="4" t="s">
        <v>1449</v>
      </c>
      <c r="F528" s="4" t="s">
        <v>2113</v>
      </c>
      <c r="G528" s="4">
        <v>504419</v>
      </c>
      <c r="H528" s="4" t="s">
        <v>2114</v>
      </c>
      <c r="I528" s="4">
        <v>1559</v>
      </c>
      <c r="J528" s="4" t="s">
        <v>23</v>
      </c>
      <c r="K528" s="4" t="s">
        <v>24</v>
      </c>
      <c r="L528" s="4">
        <v>150000000</v>
      </c>
      <c r="M528" s="4">
        <v>2009</v>
      </c>
      <c r="N528" s="4">
        <v>8</v>
      </c>
      <c r="O528" s="4">
        <f ca="1">IFERROR(__xludf.DUMMYFUNCTION("IF(Cost_in_dollars!E528=""USD"",Cost_in_dollars!B528,Cost_in_dollars!B528 * GOOGLEFINANCE(""CURRENCY:"" &amp; Cost_in_dollars!E528 &amp; ""USD""))
"),150000000)</f>
        <v>150000000</v>
      </c>
      <c r="P528" s="4">
        <f ca="1">IFERROR(__xludf.DUMMYFUNCTION("IF(Cost_in_dollars!E528=""USD"",Cost_in_dollars!C528,Cost_in_dollars!C528 * GOOGLEFINANCE(""CURRENCY:"" &amp; Cost_in_dollars!E528 &amp; ""USD""))
"),257704099)</f>
        <v>257704099</v>
      </c>
      <c r="Q528" s="4">
        <f t="shared" ca="1" si="12"/>
        <v>107704099</v>
      </c>
      <c r="R528" s="5" t="str">
        <f t="shared" si="13"/>
        <v>Star Trek</v>
      </c>
      <c r="S528" s="43" t="str">
        <f t="shared" si="14"/>
        <v>Action</v>
      </c>
    </row>
    <row r="529" spans="1:19" ht="15.75" customHeight="1" x14ac:dyDescent="0.25">
      <c r="A529" s="6" t="s">
        <v>2115</v>
      </c>
      <c r="B529" s="6">
        <v>238</v>
      </c>
      <c r="C529" s="6">
        <v>322157</v>
      </c>
      <c r="D529" s="6" t="s">
        <v>172</v>
      </c>
      <c r="E529" s="6" t="s">
        <v>2116</v>
      </c>
      <c r="F529" s="6" t="s">
        <v>2117</v>
      </c>
      <c r="G529" s="6">
        <v>61787</v>
      </c>
      <c r="H529" s="6" t="s">
        <v>2118</v>
      </c>
      <c r="I529" s="6">
        <v>203</v>
      </c>
      <c r="J529" s="6" t="s">
        <v>23</v>
      </c>
      <c r="K529" s="6" t="s">
        <v>24</v>
      </c>
      <c r="L529" s="6">
        <v>2500000</v>
      </c>
      <c r="M529" s="6">
        <v>2010</v>
      </c>
      <c r="N529" s="6">
        <v>6.8</v>
      </c>
      <c r="O529" s="4">
        <f ca="1">IFERROR(__xludf.DUMMYFUNCTION("IF(Cost_in_dollars!E529=""USD"",Cost_in_dollars!B529,Cost_in_dollars!B529 * GOOGLEFINANCE(""CURRENCY:"" &amp; Cost_in_dollars!E529 &amp; ""USD""))
"),2500000)</f>
        <v>2500000</v>
      </c>
      <c r="P529" s="4">
        <f ca="1">IFERROR(__xludf.DUMMYFUNCTION("IF(Cost_in_dollars!E529=""USD"",Cost_in_dollars!C529,Cost_in_dollars!C529 * GOOGLEFINANCE(""CURRENCY:"" &amp; Cost_in_dollars!E529 &amp; ""USD""))
"),322157)</f>
        <v>322157</v>
      </c>
      <c r="Q529" s="6">
        <f t="shared" ca="1" si="12"/>
        <v>-2177843</v>
      </c>
      <c r="R529" s="7" t="str">
        <f t="shared" si="13"/>
        <v>Super</v>
      </c>
      <c r="S529" s="43" t="str">
        <f t="shared" si="14"/>
        <v>Comedy</v>
      </c>
    </row>
    <row r="530" spans="1:19" ht="15.75" customHeight="1" x14ac:dyDescent="0.25">
      <c r="A530" s="4" t="s">
        <v>2119</v>
      </c>
      <c r="B530" s="4">
        <v>75</v>
      </c>
      <c r="C530" s="4">
        <v>10431220</v>
      </c>
      <c r="D530" s="4" t="s">
        <v>851</v>
      </c>
      <c r="E530" s="4" t="s">
        <v>2120</v>
      </c>
      <c r="F530" s="4" t="s">
        <v>2121</v>
      </c>
      <c r="G530" s="4">
        <v>24216</v>
      </c>
      <c r="H530" s="4" t="s">
        <v>2122</v>
      </c>
      <c r="I530" s="4">
        <v>162</v>
      </c>
      <c r="J530" s="4" t="s">
        <v>23</v>
      </c>
      <c r="K530" s="4" t="s">
        <v>24</v>
      </c>
      <c r="L530" s="4">
        <v>24000000</v>
      </c>
      <c r="M530" s="4">
        <v>1999</v>
      </c>
      <c r="N530" s="4">
        <v>4.0999999999999996</v>
      </c>
      <c r="O530" s="4">
        <f ca="1">IFERROR(__xludf.DUMMYFUNCTION("IF(Cost_in_dollars!E530=""USD"",Cost_in_dollars!B530,Cost_in_dollars!B530 * GOOGLEFINANCE(""CURRENCY:"" &amp; Cost_in_dollars!E530 &amp; ""USD""))
"),24000000)</f>
        <v>24000000</v>
      </c>
      <c r="P530" s="4">
        <f ca="1">IFERROR(__xludf.DUMMYFUNCTION("IF(Cost_in_dollars!E530=""USD"",Cost_in_dollars!C530,Cost_in_dollars!C530 * GOOGLEFINANCE(""CURRENCY:"" &amp; Cost_in_dollars!E530 &amp; ""USD""))
"),10431220)</f>
        <v>10431220</v>
      </c>
      <c r="Q530" s="4">
        <f t="shared" ca="1" si="12"/>
        <v>-13568780</v>
      </c>
      <c r="R530" s="5" t="str">
        <f t="shared" si="13"/>
        <v>Universal Soldier: The Return</v>
      </c>
      <c r="S530" s="43" t="str">
        <f t="shared" si="14"/>
        <v>Action</v>
      </c>
    </row>
    <row r="531" spans="1:19" ht="15.75" customHeight="1" x14ac:dyDescent="0.25">
      <c r="A531" s="6" t="s">
        <v>177</v>
      </c>
      <c r="B531" s="6">
        <v>367</v>
      </c>
      <c r="C531" s="6">
        <v>166112167</v>
      </c>
      <c r="D531" s="6" t="s">
        <v>188</v>
      </c>
      <c r="E531" s="6" t="s">
        <v>112</v>
      </c>
      <c r="F531" s="6" t="s">
        <v>2123</v>
      </c>
      <c r="G531" s="6">
        <v>283418</v>
      </c>
      <c r="H531" s="6" t="s">
        <v>2124</v>
      </c>
      <c r="I531" s="6">
        <v>1055</v>
      </c>
      <c r="J531" s="6" t="s">
        <v>23</v>
      </c>
      <c r="K531" s="6" t="s">
        <v>24</v>
      </c>
      <c r="L531" s="6">
        <v>200000000</v>
      </c>
      <c r="M531" s="6">
        <v>2009</v>
      </c>
      <c r="N531" s="6">
        <v>5.8</v>
      </c>
      <c r="O531" s="4">
        <f ca="1">IFERROR(__xludf.DUMMYFUNCTION("IF(Cost_in_dollars!E531=""USD"",Cost_in_dollars!B531,Cost_in_dollars!B531 * GOOGLEFINANCE(""CURRENCY:"" &amp; Cost_in_dollars!E531 &amp; ""USD""))
"),200000000)</f>
        <v>200000000</v>
      </c>
      <c r="P531" s="4">
        <f ca="1">IFERROR(__xludf.DUMMYFUNCTION("IF(Cost_in_dollars!E531=""USD"",Cost_in_dollars!C531,Cost_in_dollars!C531 * GOOGLEFINANCE(""CURRENCY:"" &amp; Cost_in_dollars!E531 &amp; ""USD""))
"),166112167)</f>
        <v>166112167</v>
      </c>
      <c r="Q531" s="6">
        <f t="shared" ca="1" si="12"/>
        <v>-33887833</v>
      </c>
      <c r="R531" s="7" t="str">
        <f t="shared" si="13"/>
        <v>2012</v>
      </c>
      <c r="S531" s="43" t="str">
        <f t="shared" si="14"/>
        <v>Action</v>
      </c>
    </row>
    <row r="532" spans="1:19" ht="15.75" customHeight="1" x14ac:dyDescent="0.25">
      <c r="A532" s="4" t="s">
        <v>675</v>
      </c>
      <c r="B532" s="4">
        <v>213</v>
      </c>
      <c r="C532" s="4">
        <v>125603360</v>
      </c>
      <c r="D532" s="4" t="s">
        <v>2125</v>
      </c>
      <c r="E532" s="4" t="s">
        <v>2126</v>
      </c>
      <c r="F532" s="4" t="s">
        <v>2127</v>
      </c>
      <c r="G532" s="4">
        <v>667983</v>
      </c>
      <c r="H532" s="4" t="s">
        <v>2128</v>
      </c>
      <c r="I532" s="4">
        <v>877</v>
      </c>
      <c r="J532" s="4" t="s">
        <v>23</v>
      </c>
      <c r="K532" s="4" t="s">
        <v>24</v>
      </c>
      <c r="L532" s="4">
        <v>60000000</v>
      </c>
      <c r="M532" s="4">
        <v>1998</v>
      </c>
      <c r="N532" s="4">
        <v>8.1</v>
      </c>
      <c r="O532" s="4">
        <f ca="1">IFERROR(__xludf.DUMMYFUNCTION("IF(Cost_in_dollars!E532=""USD"",Cost_in_dollars!B532,Cost_in_dollars!B532 * GOOGLEFINANCE(""CURRENCY:"" &amp; Cost_in_dollars!E532 &amp; ""USD""))
"),60000000)</f>
        <v>60000000</v>
      </c>
      <c r="P532" s="4">
        <f ca="1">IFERROR(__xludf.DUMMYFUNCTION("IF(Cost_in_dollars!E532=""USD"",Cost_in_dollars!C532,Cost_in_dollars!C532 * GOOGLEFINANCE(""CURRENCY:"" &amp; Cost_in_dollars!E532 &amp; ""USD""))
"),125603360)</f>
        <v>125603360</v>
      </c>
      <c r="Q532" s="4">
        <f t="shared" ca="1" si="12"/>
        <v>65603360</v>
      </c>
      <c r="R532" s="5" t="str">
        <f t="shared" si="13"/>
        <v>The Truman Show</v>
      </c>
      <c r="S532" s="43" t="str">
        <f t="shared" si="14"/>
        <v>Comedy</v>
      </c>
    </row>
    <row r="533" spans="1:19" ht="15.75" customHeight="1" x14ac:dyDescent="0.25">
      <c r="A533" s="6" t="s">
        <v>2129</v>
      </c>
      <c r="B533" s="6">
        <v>62</v>
      </c>
      <c r="C533" s="6">
        <v>14348123</v>
      </c>
      <c r="D533" s="6" t="s">
        <v>2130</v>
      </c>
      <c r="E533" s="6" t="s">
        <v>2131</v>
      </c>
      <c r="F533" s="6" t="s">
        <v>2132</v>
      </c>
      <c r="G533" s="6">
        <v>9323</v>
      </c>
      <c r="H533" s="6" t="s">
        <v>2133</v>
      </c>
      <c r="I533" s="6">
        <v>157</v>
      </c>
      <c r="J533" s="6" t="s">
        <v>23</v>
      </c>
      <c r="K533" s="6" t="s">
        <v>41</v>
      </c>
      <c r="L533" s="6">
        <v>12000000</v>
      </c>
      <c r="M533" s="6">
        <v>1999</v>
      </c>
      <c r="N533" s="6">
        <v>6.9</v>
      </c>
      <c r="O533" s="4">
        <f ca="1">IFERROR(__xludf.DUMMYFUNCTION("IF(Cost_in_dollars!E533=""USD"",Cost_in_dollars!B533,Cost_in_dollars!B533 * GOOGLEFINANCE(""CURRENCY:"" &amp; Cost_in_dollars!E533 &amp; ""USD""))
"),13016880)</f>
        <v>13016880</v>
      </c>
      <c r="P533" s="4">
        <f ca="1">IFERROR(__xludf.DUMMYFUNCTION("IF(Cost_in_dollars!E533=""USD"",Cost_in_dollars!C533,Cost_in_dollars!C533 * GOOGLEFINANCE(""CURRENCY:"" &amp; Cost_in_dollars!E533 &amp; ""USD""))
"),15563982.94302)</f>
        <v>15563982.943019999</v>
      </c>
      <c r="Q533" s="6">
        <f t="shared" ca="1" si="12"/>
        <v>2547102.9430199992</v>
      </c>
      <c r="R533" s="7" t="str">
        <f t="shared" si="13"/>
        <v>Tea with Mussolini</v>
      </c>
      <c r="S533" s="43" t="str">
        <f t="shared" si="14"/>
        <v>Comedy</v>
      </c>
    </row>
    <row r="534" spans="1:19" ht="15.75" customHeight="1" x14ac:dyDescent="0.25">
      <c r="A534" s="4" t="s">
        <v>284</v>
      </c>
      <c r="B534" s="4">
        <v>173</v>
      </c>
      <c r="C534" s="4">
        <v>100468793</v>
      </c>
      <c r="D534" s="4" t="s">
        <v>140</v>
      </c>
      <c r="E534" s="4" t="s">
        <v>444</v>
      </c>
      <c r="F534" s="4" t="s">
        <v>2134</v>
      </c>
      <c r="G534" s="4">
        <v>212499</v>
      </c>
      <c r="H534" s="4" t="s">
        <v>2135</v>
      </c>
      <c r="I534" s="4">
        <v>277</v>
      </c>
      <c r="J534" s="4" t="s">
        <v>23</v>
      </c>
      <c r="K534" s="4" t="s">
        <v>24</v>
      </c>
      <c r="L534" s="4">
        <v>65000000</v>
      </c>
      <c r="M534" s="4">
        <v>2008</v>
      </c>
      <c r="N534" s="4">
        <v>6.9</v>
      </c>
      <c r="O534" s="4">
        <f ca="1">IFERROR(__xludf.DUMMYFUNCTION("IF(Cost_in_dollars!E534=""USD"",Cost_in_dollars!B534,Cost_in_dollars!B534 * GOOGLEFINANCE(""CURRENCY:"" &amp; Cost_in_dollars!E534 &amp; ""USD""))
"),65000000)</f>
        <v>65000000</v>
      </c>
      <c r="P534" s="4">
        <f ca="1">IFERROR(__xludf.DUMMYFUNCTION("IF(Cost_in_dollars!E534=""USD"",Cost_in_dollars!C534,Cost_in_dollars!C534 * GOOGLEFINANCE(""CURRENCY:"" &amp; Cost_in_dollars!E534 &amp; ""USD""))
"),100468793)</f>
        <v>100468793</v>
      </c>
      <c r="Q534" s="4">
        <f t="shared" ca="1" si="12"/>
        <v>35468793</v>
      </c>
      <c r="R534" s="5" t="str">
        <f t="shared" si="13"/>
        <v>Step Brothers</v>
      </c>
      <c r="S534" s="43" t="str">
        <f t="shared" si="14"/>
        <v>Comedy</v>
      </c>
    </row>
    <row r="535" spans="1:19" ht="15.75" customHeight="1" x14ac:dyDescent="0.25">
      <c r="A535" s="6" t="s">
        <v>658</v>
      </c>
      <c r="B535" s="6">
        <v>164</v>
      </c>
      <c r="C535" s="6">
        <v>22531698</v>
      </c>
      <c r="D535" s="6" t="s">
        <v>797</v>
      </c>
      <c r="E535" s="6" t="s">
        <v>920</v>
      </c>
      <c r="F535" s="6" t="s">
        <v>2136</v>
      </c>
      <c r="G535" s="6">
        <v>81523</v>
      </c>
      <c r="H535" s="6" t="s">
        <v>2137</v>
      </c>
      <c r="I535" s="6">
        <v>214</v>
      </c>
      <c r="J535" s="6" t="s">
        <v>23</v>
      </c>
      <c r="K535" s="6" t="s">
        <v>611</v>
      </c>
      <c r="L535" s="6">
        <v>70000000</v>
      </c>
      <c r="M535" s="6">
        <v>2008</v>
      </c>
      <c r="N535" s="6">
        <v>5.6</v>
      </c>
      <c r="O535" s="4">
        <f ca="1">IFERROR(__xludf.DUMMYFUNCTION("IF(Cost_in_dollars!E535=""USD"",Cost_in_dollars!B535,Cost_in_dollars!B535 * GOOGLEFINANCE(""CURRENCY:"" &amp; Cost_in_dollars!E535 &amp; ""USD""))
"),75931800)</f>
        <v>75931800</v>
      </c>
      <c r="P535" s="4">
        <f ca="1">IFERROR(__xludf.DUMMYFUNCTION("IF(Cost_in_dollars!E535=""USD"",Cost_in_dollars!C535,Cost_in_dollars!C535 * GOOGLEFINANCE(""CURRENCY:"" &amp; Cost_in_dollars!E535 &amp; ""USD""))
"),24441034.08852)</f>
        <v>24441034.088520002</v>
      </c>
      <c r="Q535" s="6">
        <f t="shared" ca="1" si="12"/>
        <v>-51490765.911479995</v>
      </c>
      <c r="R535" s="7" t="str">
        <f t="shared" si="13"/>
        <v>Babylon A.D.</v>
      </c>
      <c r="S535" s="43" t="str">
        <f t="shared" si="14"/>
        <v>Action</v>
      </c>
    </row>
    <row r="536" spans="1:19" ht="15.75" customHeight="1" x14ac:dyDescent="0.25">
      <c r="A536" s="4" t="s">
        <v>638</v>
      </c>
      <c r="B536" s="4">
        <v>149</v>
      </c>
      <c r="C536" s="4">
        <v>197171806</v>
      </c>
      <c r="D536" s="4" t="s">
        <v>281</v>
      </c>
      <c r="E536" s="4" t="s">
        <v>640</v>
      </c>
      <c r="F536" s="4" t="s">
        <v>2138</v>
      </c>
      <c r="G536" s="4">
        <v>515306</v>
      </c>
      <c r="H536" s="4" t="s">
        <v>2139</v>
      </c>
      <c r="I536" s="4">
        <v>477</v>
      </c>
      <c r="J536" s="4" t="s">
        <v>23</v>
      </c>
      <c r="K536" s="4" t="s">
        <v>24</v>
      </c>
      <c r="L536" s="4">
        <v>48000000</v>
      </c>
      <c r="M536" s="4">
        <v>1989</v>
      </c>
      <c r="N536" s="4">
        <v>8.3000000000000007</v>
      </c>
      <c r="O536" s="4">
        <f ca="1">IFERROR(__xludf.DUMMYFUNCTION("IF(Cost_in_dollars!E536=""USD"",Cost_in_dollars!B536,Cost_in_dollars!B536 * GOOGLEFINANCE(""CURRENCY:"" &amp; Cost_in_dollars!E536 &amp; ""USD""))
"),48000000)</f>
        <v>48000000</v>
      </c>
      <c r="P536" s="4">
        <f ca="1">IFERROR(__xludf.DUMMYFUNCTION("IF(Cost_in_dollars!E536=""USD"",Cost_in_dollars!C536,Cost_in_dollars!C536 * GOOGLEFINANCE(""CURRENCY:"" &amp; Cost_in_dollars!E536 &amp; ""USD""))
"),197171806)</f>
        <v>197171806</v>
      </c>
      <c r="Q536" s="4">
        <f t="shared" ca="1" si="12"/>
        <v>149171806</v>
      </c>
      <c r="R536" s="5" t="str">
        <f t="shared" si="13"/>
        <v>Indiana Jones and the Last Crusade</v>
      </c>
      <c r="S536" s="43" t="str">
        <f t="shared" si="14"/>
        <v>Action</v>
      </c>
    </row>
    <row r="537" spans="1:19" ht="15.75" customHeight="1" x14ac:dyDescent="0.25">
      <c r="A537" s="6" t="s">
        <v>2140</v>
      </c>
      <c r="B537" s="6">
        <v>27</v>
      </c>
      <c r="C537" s="6">
        <v>2246000</v>
      </c>
      <c r="D537" s="6" t="s">
        <v>1127</v>
      </c>
      <c r="E537" s="6" t="s">
        <v>2141</v>
      </c>
      <c r="F537" s="6" t="s">
        <v>2142</v>
      </c>
      <c r="G537" s="6">
        <v>2302</v>
      </c>
      <c r="H537" s="6" t="s">
        <v>2143</v>
      </c>
      <c r="I537" s="6">
        <v>20</v>
      </c>
      <c r="J537" s="6" t="s">
        <v>23</v>
      </c>
      <c r="K537" s="6" t="s">
        <v>24</v>
      </c>
      <c r="L537" s="6">
        <v>20000000</v>
      </c>
      <c r="M537" s="6">
        <v>2015</v>
      </c>
      <c r="N537" s="6">
        <v>7</v>
      </c>
      <c r="O537" s="4">
        <f ca="1">IFERROR(__xludf.DUMMYFUNCTION("IF(Cost_in_dollars!E537=""USD"",Cost_in_dollars!B537,Cost_in_dollars!B537 * GOOGLEFINANCE(""CURRENCY:"" &amp; Cost_in_dollars!E537 &amp; ""USD""))
"),20000000)</f>
        <v>20000000</v>
      </c>
      <c r="P537" s="4">
        <f ca="1">IFERROR(__xludf.DUMMYFUNCTION("IF(Cost_in_dollars!E537=""USD"",Cost_in_dollars!C537,Cost_in_dollars!C537 * GOOGLEFINANCE(""CURRENCY:"" &amp; Cost_in_dollars!E537 &amp; ""USD""))
"),2246000)</f>
        <v>2246000</v>
      </c>
      <c r="Q537" s="6">
        <f t="shared" ca="1" si="12"/>
        <v>-17754000</v>
      </c>
      <c r="R537" s="7" t="str">
        <f t="shared" si="13"/>
        <v>Courage</v>
      </c>
      <c r="S537" s="43" t="str">
        <f t="shared" si="14"/>
        <v>Biography</v>
      </c>
    </row>
    <row r="538" spans="1:19" ht="15.75" customHeight="1" x14ac:dyDescent="0.25">
      <c r="A538" s="4" t="s">
        <v>2144</v>
      </c>
      <c r="B538" s="4">
        <v>164</v>
      </c>
      <c r="C538" s="4">
        <v>45802315</v>
      </c>
      <c r="D538" s="4" t="s">
        <v>452</v>
      </c>
      <c r="E538" s="4" t="s">
        <v>2145</v>
      </c>
      <c r="F538" s="4" t="s">
        <v>2146</v>
      </c>
      <c r="G538" s="4">
        <v>119974</v>
      </c>
      <c r="H538" s="4" t="s">
        <v>2147</v>
      </c>
      <c r="I538" s="4">
        <v>169</v>
      </c>
      <c r="J538" s="4" t="s">
        <v>23</v>
      </c>
      <c r="K538" s="4" t="s">
        <v>24</v>
      </c>
      <c r="L538" s="4">
        <v>35000000</v>
      </c>
      <c r="M538" s="4">
        <v>2009</v>
      </c>
      <c r="N538" s="4">
        <v>6.6</v>
      </c>
      <c r="O538" s="4">
        <f ca="1">IFERROR(__xludf.DUMMYFUNCTION("IF(Cost_in_dollars!E538=""USD"",Cost_in_dollars!B538,Cost_in_dollars!B538 * GOOGLEFINANCE(""CURRENCY:"" &amp; Cost_in_dollars!E538 &amp; ""USD""))
"),35000000)</f>
        <v>35000000</v>
      </c>
      <c r="P538" s="4">
        <f ca="1">IFERROR(__xludf.DUMMYFUNCTION("IF(Cost_in_dollars!E538=""USD"",Cost_in_dollars!C538,Cost_in_dollars!C538 * GOOGLEFINANCE(""CURRENCY:"" &amp; Cost_in_dollars!E538 &amp; ""USD""))
"),45802315)</f>
        <v>45802315</v>
      </c>
      <c r="Q538" s="4">
        <f t="shared" ca="1" si="12"/>
        <v>10802315</v>
      </c>
      <c r="R538" s="5" t="str">
        <f t="shared" si="13"/>
        <v>Underworld: Rise of the Lycans</v>
      </c>
      <c r="S538" s="43" t="str">
        <f t="shared" si="14"/>
        <v>Action</v>
      </c>
    </row>
    <row r="539" spans="1:19" ht="15.75" customHeight="1" x14ac:dyDescent="0.25">
      <c r="A539" s="6" t="s">
        <v>2148</v>
      </c>
      <c r="B539" s="6">
        <v>60</v>
      </c>
      <c r="C539" s="6">
        <v>10014234</v>
      </c>
      <c r="D539" s="6" t="s">
        <v>443</v>
      </c>
      <c r="E539" s="6" t="s">
        <v>2149</v>
      </c>
      <c r="F539" s="6" t="s">
        <v>2150</v>
      </c>
      <c r="G539" s="6">
        <v>8560</v>
      </c>
      <c r="H539" s="6" t="s">
        <v>2151</v>
      </c>
      <c r="I539" s="6">
        <v>69</v>
      </c>
      <c r="J539" s="6" t="s">
        <v>23</v>
      </c>
      <c r="K539" s="6" t="s">
        <v>611</v>
      </c>
      <c r="L539" s="6">
        <v>65000000</v>
      </c>
      <c r="M539" s="6">
        <v>2000</v>
      </c>
      <c r="N539" s="6">
        <v>5</v>
      </c>
      <c r="O539" s="4">
        <f ca="1">IFERROR(__xludf.DUMMYFUNCTION("IF(Cost_in_dollars!E539=""USD"",Cost_in_dollars!B539,Cost_in_dollars!B539 * GOOGLEFINANCE(""CURRENCY:"" &amp; Cost_in_dollars!E539 &amp; ""USD""))
"),70508100)</f>
        <v>70508100</v>
      </c>
      <c r="P539" s="4">
        <f ca="1">IFERROR(__xludf.DUMMYFUNCTION("IF(Cost_in_dollars!E539=""USD"",Cost_in_dollars!C539,Cost_in_dollars!C539 * GOOGLEFINANCE(""CURRENCY:"" &amp; Cost_in_dollars!E539 &amp; ""USD""))
"),10862840.18916)</f>
        <v>10862840.189160001</v>
      </c>
      <c r="Q539" s="6">
        <f t="shared" ca="1" si="12"/>
        <v>-59645259.810839996</v>
      </c>
      <c r="R539" s="7" t="str">
        <f t="shared" si="13"/>
        <v>Lucky Numbers</v>
      </c>
      <c r="S539" s="43" t="str">
        <f t="shared" si="14"/>
        <v>Comedy</v>
      </c>
    </row>
    <row r="540" spans="1:19" ht="15.75" customHeight="1" x14ac:dyDescent="0.25">
      <c r="A540" s="4" t="s">
        <v>2152</v>
      </c>
      <c r="B540" s="4">
        <v>254</v>
      </c>
      <c r="C540" s="4">
        <v>10955425</v>
      </c>
      <c r="D540" s="4" t="s">
        <v>1749</v>
      </c>
      <c r="E540" s="4" t="s">
        <v>2153</v>
      </c>
      <c r="F540" s="4" t="s">
        <v>2154</v>
      </c>
      <c r="G540" s="4">
        <v>62770</v>
      </c>
      <c r="H540" s="4" t="s">
        <v>2155</v>
      </c>
      <c r="I540" s="4">
        <v>396</v>
      </c>
      <c r="J540" s="4" t="s">
        <v>23</v>
      </c>
      <c r="K540" s="4" t="s">
        <v>133</v>
      </c>
      <c r="L540" s="4">
        <v>30000000</v>
      </c>
      <c r="M540" s="4">
        <v>2008</v>
      </c>
      <c r="N540" s="4">
        <v>6</v>
      </c>
      <c r="O540" s="4">
        <f ca="1">IFERROR(__xludf.DUMMYFUNCTION("IF(Cost_in_dollars!E540=""USD"",Cost_in_dollars!B540,Cost_in_dollars!B540 * GOOGLEFINANCE(""CURRENCY:"" &amp; Cost_in_dollars!E540 &amp; ""USD""))
"),38562000)</f>
        <v>38562000</v>
      </c>
      <c r="P540" s="4">
        <f ca="1">IFERROR(__xludf.DUMMYFUNCTION("IF(Cost_in_dollars!E540=""USD"",Cost_in_dollars!C540,Cost_in_dollars!C540 * GOOGLEFINANCE(""CURRENCY:"" &amp; Cost_in_dollars!E540 &amp; ""USD""))
"),14082103.2949999)</f>
        <v>14082103.294999899</v>
      </c>
      <c r="Q540" s="4">
        <f t="shared" ca="1" si="12"/>
        <v>-24479896.705000103</v>
      </c>
      <c r="R540" s="5" t="str">
        <f t="shared" si="13"/>
        <v>Doomsday</v>
      </c>
      <c r="S540" s="43" t="str">
        <f t="shared" si="14"/>
        <v>Action</v>
      </c>
    </row>
    <row r="541" spans="1:19" ht="15.75" customHeight="1" x14ac:dyDescent="0.25">
      <c r="A541" s="6" t="s">
        <v>1357</v>
      </c>
      <c r="B541" s="6">
        <v>813</v>
      </c>
      <c r="C541" s="6">
        <v>448130642</v>
      </c>
      <c r="D541" s="6" t="s">
        <v>1099</v>
      </c>
      <c r="E541" s="6" t="s">
        <v>1649</v>
      </c>
      <c r="F541" s="6" t="s">
        <v>2156</v>
      </c>
      <c r="G541" s="6">
        <v>1144337</v>
      </c>
      <c r="H541" s="6" t="s">
        <v>2157</v>
      </c>
      <c r="I541" s="6">
        <v>2701</v>
      </c>
      <c r="J541" s="6" t="s">
        <v>23</v>
      </c>
      <c r="K541" s="6" t="s">
        <v>24</v>
      </c>
      <c r="L541" s="6">
        <v>250000000</v>
      </c>
      <c r="M541" s="6">
        <v>2012</v>
      </c>
      <c r="N541" s="6">
        <v>8.5</v>
      </c>
      <c r="O541" s="4">
        <f ca="1">IFERROR(__xludf.DUMMYFUNCTION("IF(Cost_in_dollars!E541=""USD"",Cost_in_dollars!B541,Cost_in_dollars!B541 * GOOGLEFINANCE(""CURRENCY:"" &amp; Cost_in_dollars!E541 &amp; ""USD""))
"),250000000)</f>
        <v>250000000</v>
      </c>
      <c r="P541" s="4">
        <f ca="1">IFERROR(__xludf.DUMMYFUNCTION("IF(Cost_in_dollars!E541=""USD"",Cost_in_dollars!C541,Cost_in_dollars!C541 * GOOGLEFINANCE(""CURRENCY:"" &amp; Cost_in_dollars!E541 &amp; ""USD""))
"),448130642)</f>
        <v>448130642</v>
      </c>
      <c r="Q541" s="6">
        <f t="shared" ca="1" si="12"/>
        <v>198130642</v>
      </c>
      <c r="R541" s="7" t="str">
        <f t="shared" si="13"/>
        <v>The Dark Knight Rise</v>
      </c>
      <c r="S541" s="43" t="str">
        <f t="shared" si="14"/>
        <v>Action</v>
      </c>
    </row>
    <row r="542" spans="1:19" ht="15.75" customHeight="1" x14ac:dyDescent="0.25">
      <c r="A542" s="4" t="s">
        <v>2158</v>
      </c>
      <c r="B542" s="4">
        <v>70</v>
      </c>
      <c r="C542" s="4">
        <v>10114315</v>
      </c>
      <c r="D542" s="4" t="s">
        <v>314</v>
      </c>
      <c r="E542" s="4" t="s">
        <v>2159</v>
      </c>
      <c r="F542" s="4" t="s">
        <v>2160</v>
      </c>
      <c r="G542" s="4">
        <v>18693</v>
      </c>
      <c r="H542" s="4" t="s">
        <v>2161</v>
      </c>
      <c r="I542" s="4">
        <v>187</v>
      </c>
      <c r="J542" s="4" t="s">
        <v>23</v>
      </c>
      <c r="K542" s="4" t="s">
        <v>24</v>
      </c>
      <c r="L542" s="4">
        <v>25000000</v>
      </c>
      <c r="M542" s="4">
        <v>1999</v>
      </c>
      <c r="N542" s="4">
        <v>6.4</v>
      </c>
      <c r="O542" s="4">
        <f ca="1">IFERROR(__xludf.DUMMYFUNCTION("IF(Cost_in_dollars!E542=""USD"",Cost_in_dollars!B542,Cost_in_dollars!B542 * GOOGLEFINANCE(""CURRENCY:"" &amp; Cost_in_dollars!E542 &amp; ""USD""))
"),25000000)</f>
        <v>25000000</v>
      </c>
      <c r="P542" s="4">
        <f ca="1">IFERROR(__xludf.DUMMYFUNCTION("IF(Cost_in_dollars!E542=""USD"",Cost_in_dollars!C542,Cost_in_dollars!C542 * GOOGLEFINANCE(""CURRENCY:"" &amp; Cost_in_dollars!E542 &amp; ""USD""))
"),10114315)</f>
        <v>10114315</v>
      </c>
      <c r="Q542" s="4">
        <f t="shared" ca="1" si="12"/>
        <v>-14885685</v>
      </c>
      <c r="R542" s="5" t="str">
        <f t="shared" si="13"/>
        <v>Brokedown Palace</v>
      </c>
      <c r="S542" s="43" t="str">
        <f t="shared" si="14"/>
        <v>Drama</v>
      </c>
    </row>
    <row r="543" spans="1:19" ht="15.75" customHeight="1" x14ac:dyDescent="0.25">
      <c r="A543" s="6" t="s">
        <v>1907</v>
      </c>
      <c r="B543" s="6">
        <v>173</v>
      </c>
      <c r="C543" s="6">
        <v>63540020</v>
      </c>
      <c r="D543" s="6" t="s">
        <v>188</v>
      </c>
      <c r="E543" s="6" t="s">
        <v>64</v>
      </c>
      <c r="F543" s="6" t="s">
        <v>2162</v>
      </c>
      <c r="G543" s="6">
        <v>343274</v>
      </c>
      <c r="H543" s="6" t="s">
        <v>2163</v>
      </c>
      <c r="I543" s="6">
        <v>742</v>
      </c>
      <c r="J543" s="6" t="s">
        <v>23</v>
      </c>
      <c r="K543" s="6" t="s">
        <v>611</v>
      </c>
      <c r="L543" s="6">
        <v>93000000</v>
      </c>
      <c r="M543" s="6">
        <v>1997</v>
      </c>
      <c r="N543" s="6">
        <v>7.7</v>
      </c>
      <c r="O543" s="4">
        <f ca="1">IFERROR(__xludf.DUMMYFUNCTION("IF(Cost_in_dollars!E543=""USD"",Cost_in_dollars!B543,Cost_in_dollars!B543 * GOOGLEFINANCE(""CURRENCY:"" &amp; Cost_in_dollars!E543 &amp; ""USD""))
"),100880820)</f>
        <v>100880820</v>
      </c>
      <c r="P543" s="4">
        <f ca="1">IFERROR(__xludf.DUMMYFUNCTION("IF(Cost_in_dollars!E543=""USD"",Cost_in_dollars!C543,Cost_in_dollars!C543 * GOOGLEFINANCE(""CURRENCY:"" &amp; Cost_in_dollars!E543 &amp; ""USD""))
"),68924401.2948)</f>
        <v>68924401.294799998</v>
      </c>
      <c r="Q543" s="6">
        <f t="shared" ca="1" si="12"/>
        <v>-31956418.705200002</v>
      </c>
      <c r="R543" s="7" t="str">
        <f t="shared" si="13"/>
        <v>The Fifth Element</v>
      </c>
      <c r="S543" s="43" t="str">
        <f t="shared" si="14"/>
        <v>Action</v>
      </c>
    </row>
    <row r="544" spans="1:19" ht="15.75" customHeight="1" x14ac:dyDescent="0.25">
      <c r="A544" s="4" t="s">
        <v>763</v>
      </c>
      <c r="B544" s="4">
        <v>352</v>
      </c>
      <c r="C544" s="4">
        <v>132373442</v>
      </c>
      <c r="D544" s="4" t="s">
        <v>116</v>
      </c>
      <c r="E544" s="4" t="s">
        <v>1358</v>
      </c>
      <c r="F544" s="4" t="s">
        <v>2164</v>
      </c>
      <c r="G544" s="4">
        <v>873649</v>
      </c>
      <c r="H544" s="4" t="s">
        <v>2165</v>
      </c>
      <c r="I544" s="4">
        <v>2054</v>
      </c>
      <c r="J544" s="4" t="s">
        <v>23</v>
      </c>
      <c r="K544" s="4" t="s">
        <v>24</v>
      </c>
      <c r="L544" s="4">
        <v>90000000</v>
      </c>
      <c r="M544" s="4">
        <v>2006</v>
      </c>
      <c r="N544" s="4">
        <v>8.5</v>
      </c>
      <c r="O544" s="4">
        <f ca="1">IFERROR(__xludf.DUMMYFUNCTION("IF(Cost_in_dollars!E544=""USD"",Cost_in_dollars!B544,Cost_in_dollars!B544 * GOOGLEFINANCE(""CURRENCY:"" &amp; Cost_in_dollars!E544 &amp; ""USD""))
"),90000000)</f>
        <v>90000000</v>
      </c>
      <c r="P544" s="4">
        <f ca="1">IFERROR(__xludf.DUMMYFUNCTION("IF(Cost_in_dollars!E544=""USD"",Cost_in_dollars!C544,Cost_in_dollars!C544 * GOOGLEFINANCE(""CURRENCY:"" &amp; Cost_in_dollars!E544 &amp; ""USD""))
"),132373442)</f>
        <v>132373442</v>
      </c>
      <c r="Q544" s="4">
        <f t="shared" ca="1" si="12"/>
        <v>42373442</v>
      </c>
      <c r="R544" s="5" t="str">
        <f t="shared" si="13"/>
        <v>The Departed</v>
      </c>
      <c r="S544" s="43" t="str">
        <f t="shared" si="14"/>
        <v>Crime</v>
      </c>
    </row>
    <row r="545" spans="1:19" ht="15.75" customHeight="1" x14ac:dyDescent="0.25">
      <c r="A545" s="6" t="s">
        <v>1706</v>
      </c>
      <c r="B545" s="6">
        <v>157</v>
      </c>
      <c r="C545" s="6">
        <v>5383834</v>
      </c>
      <c r="D545" s="6" t="s">
        <v>372</v>
      </c>
      <c r="E545" s="6" t="s">
        <v>2166</v>
      </c>
      <c r="F545" s="6" t="s">
        <v>2167</v>
      </c>
      <c r="G545" s="6">
        <v>173551</v>
      </c>
      <c r="H545" s="6" t="s">
        <v>2168</v>
      </c>
      <c r="I545" s="6">
        <v>361</v>
      </c>
      <c r="J545" s="6" t="s">
        <v>1569</v>
      </c>
      <c r="K545" s="6" t="s">
        <v>1220</v>
      </c>
      <c r="L545" s="6">
        <v>2000000</v>
      </c>
      <c r="M545" s="6">
        <v>2000</v>
      </c>
      <c r="N545" s="6">
        <v>8.1</v>
      </c>
      <c r="O545" s="4">
        <f ca="1">IFERROR(__xludf.DUMMYFUNCTION("IF(Cost_in_dollars!E545=""USD"",Cost_in_dollars!B545,Cost_in_dollars!B545 * GOOGLEFINANCE(""CURRENCY:"" &amp; Cost_in_dollars!E545 &amp; ""USD""))
"),108409.38)</f>
        <v>108409.38</v>
      </c>
      <c r="P545" s="4">
        <f ca="1">IFERROR(__xludf.DUMMYFUNCTION("IF(Cost_in_dollars!E545=""USD"",Cost_in_dollars!C545,Cost_in_dollars!C545 * GOOGLEFINANCE(""CURRENCY:"" &amp; Cost_in_dollars!E545 &amp; ""USD""))
"),291829.05298146)</f>
        <v>291829.05298146</v>
      </c>
      <c r="Q545" s="6">
        <f t="shared" ca="1" si="12"/>
        <v>183419.67298146</v>
      </c>
      <c r="R545" s="7" t="str">
        <f t="shared" si="13"/>
        <v>Amores Perros</v>
      </c>
      <c r="S545" s="43" t="str">
        <f t="shared" si="14"/>
        <v>Drama</v>
      </c>
    </row>
    <row r="546" spans="1:19" ht="15.75" customHeight="1" x14ac:dyDescent="0.25">
      <c r="A546" s="4" t="s">
        <v>166</v>
      </c>
      <c r="B546" s="4">
        <v>349</v>
      </c>
      <c r="C546" s="4">
        <v>161029270</v>
      </c>
      <c r="D546" s="4" t="s">
        <v>2169</v>
      </c>
      <c r="E546" s="4" t="s">
        <v>2170</v>
      </c>
      <c r="F546" s="4" t="s">
        <v>2171</v>
      </c>
      <c r="G546" s="4">
        <v>119928</v>
      </c>
      <c r="H546" s="4" t="s">
        <v>2172</v>
      </c>
      <c r="I546" s="4">
        <v>331</v>
      </c>
      <c r="J546" s="4" t="s">
        <v>23</v>
      </c>
      <c r="K546" s="4" t="s">
        <v>24</v>
      </c>
      <c r="L546" s="4">
        <v>28000000</v>
      </c>
      <c r="M546" s="4">
        <v>2015</v>
      </c>
      <c r="N546" s="4">
        <v>7.9</v>
      </c>
      <c r="O546" s="4">
        <f ca="1">IFERROR(__xludf.DUMMYFUNCTION("IF(Cost_in_dollars!E546=""USD"",Cost_in_dollars!B546,Cost_in_dollars!B546 * GOOGLEFINANCE(""CURRENCY:"" &amp; Cost_in_dollars!E546 &amp; ""USD""))
"),28000000)</f>
        <v>28000000</v>
      </c>
      <c r="P546" s="4">
        <f ca="1">IFERROR(__xludf.DUMMYFUNCTION("IF(Cost_in_dollars!E546=""USD"",Cost_in_dollars!C546,Cost_in_dollars!C546 * GOOGLEFINANCE(""CURRENCY:"" &amp; Cost_in_dollars!E546 &amp; ""USD""))
"),161029270)</f>
        <v>161029270</v>
      </c>
      <c r="Q546" s="4">
        <f t="shared" ca="1" si="12"/>
        <v>133029270</v>
      </c>
      <c r="R546" s="5" t="str">
        <f t="shared" si="13"/>
        <v>Straight Outta Compton</v>
      </c>
      <c r="S546" s="43" t="str">
        <f t="shared" si="14"/>
        <v>Biography</v>
      </c>
    </row>
    <row r="547" spans="1:19" ht="15.75" customHeight="1" x14ac:dyDescent="0.25">
      <c r="A547" s="6" t="s">
        <v>2173</v>
      </c>
      <c r="B547" s="6">
        <v>138</v>
      </c>
      <c r="C547" s="6">
        <v>19548064</v>
      </c>
      <c r="D547" s="6" t="s">
        <v>2174</v>
      </c>
      <c r="E547" s="6" t="s">
        <v>461</v>
      </c>
      <c r="F547" s="6" t="s">
        <v>2175</v>
      </c>
      <c r="G547" s="6">
        <v>25681</v>
      </c>
      <c r="H547" s="6" t="s">
        <v>2176</v>
      </c>
      <c r="I547" s="6">
        <v>77</v>
      </c>
      <c r="J547" s="6" t="s">
        <v>23</v>
      </c>
      <c r="K547" s="6" t="s">
        <v>160</v>
      </c>
      <c r="L547" s="6">
        <v>65000000</v>
      </c>
      <c r="M547" s="6">
        <v>2009</v>
      </c>
      <c r="N547" s="6">
        <v>6.3</v>
      </c>
      <c r="O547" s="4">
        <f ca="1">IFERROR(__xludf.DUMMYFUNCTION("IF(Cost_in_dollars!E547=""USD"",Cost_in_dollars!B547,Cost_in_dollars!B547 * GOOGLEFINANCE(""CURRENCY:"" &amp; Cost_in_dollars!E547 &amp; ""USD""))
"),8326129.5)</f>
        <v>8326129.5</v>
      </c>
      <c r="P547" s="4">
        <f ca="1">IFERROR(__xludf.DUMMYFUNCTION("IF(Cost_in_dollars!E547=""USD"",Cost_in_dollars!C547,Cost_in_dollars!C547 * GOOGLEFINANCE(""CURRENCY:"" &amp; Cost_in_dollars!E547 &amp; ""USD""))
"),2503995.5744352)</f>
        <v>2503995.5744352001</v>
      </c>
      <c r="Q547" s="6">
        <f t="shared" ca="1" si="12"/>
        <v>-5822133.9255647995</v>
      </c>
      <c r="R547" s="7" t="str">
        <f t="shared" si="13"/>
        <v>Astro Boy</v>
      </c>
      <c r="S547" s="43" t="str">
        <f t="shared" si="14"/>
        <v>Action</v>
      </c>
    </row>
    <row r="548" spans="1:19" ht="15.75" customHeight="1" x14ac:dyDescent="0.25">
      <c r="A548" s="4" t="s">
        <v>1001</v>
      </c>
      <c r="B548" s="4">
        <v>297</v>
      </c>
      <c r="C548" s="4">
        <v>313837577</v>
      </c>
      <c r="D548" s="4" t="s">
        <v>1032</v>
      </c>
      <c r="E548" s="4" t="s">
        <v>1033</v>
      </c>
      <c r="F548" s="4" t="s">
        <v>2177</v>
      </c>
      <c r="G548" s="4">
        <v>1238746</v>
      </c>
      <c r="H548" s="4" t="s">
        <v>2178</v>
      </c>
      <c r="I548" s="4">
        <v>5060</v>
      </c>
      <c r="J548" s="4" t="s">
        <v>23</v>
      </c>
      <c r="K548" s="4" t="s">
        <v>1005</v>
      </c>
      <c r="L548" s="4">
        <v>93000000</v>
      </c>
      <c r="M548" s="4">
        <v>2001</v>
      </c>
      <c r="N548" s="4">
        <v>8.8000000000000007</v>
      </c>
      <c r="O548" s="4">
        <f ca="1">IFERROR(__xludf.DUMMYFUNCTION("IF(Cost_in_dollars!E548=""USD"",Cost_in_dollars!B548,Cost_in_dollars!B548 * GOOGLEFINANCE(""CURRENCY:"" &amp; Cost_in_dollars!E548 &amp; ""USD""))
"),54753285)</f>
        <v>54753285</v>
      </c>
      <c r="P548" s="4">
        <f ca="1">IFERROR(__xludf.DUMMYFUNCTION("IF(Cost_in_dollars!E548=""USD"",Cost_in_dollars!C548,Cost_in_dollars!C548 * GOOGLEFINANCE(""CURRENCY:"" &amp; Cost_in_dollars!E548 &amp; ""USD""))
"),184770304.270865)</f>
        <v>184770304.27086499</v>
      </c>
      <c r="Q548" s="4">
        <f t="shared" ca="1" si="12"/>
        <v>130017019.27086499</v>
      </c>
      <c r="R548" s="5" t="str">
        <f t="shared" si="13"/>
        <v>The Lord of the Rings: The Fellowship of the Ring</v>
      </c>
      <c r="S548" s="43" t="str">
        <f t="shared" si="14"/>
        <v>Action</v>
      </c>
    </row>
    <row r="549" spans="1:19" ht="15.75" customHeight="1" x14ac:dyDescent="0.25">
      <c r="A549" s="6" t="s">
        <v>1626</v>
      </c>
      <c r="B549" s="6">
        <v>24</v>
      </c>
      <c r="C549" s="6">
        <v>13751</v>
      </c>
      <c r="D549" s="6" t="s">
        <v>2179</v>
      </c>
      <c r="E549" s="6" t="s">
        <v>2180</v>
      </c>
      <c r="F549" s="6" t="s">
        <v>2181</v>
      </c>
      <c r="G549" s="6">
        <v>813</v>
      </c>
      <c r="H549" s="6" t="s">
        <v>2182</v>
      </c>
      <c r="I549" s="6">
        <v>6</v>
      </c>
      <c r="J549" s="6" t="s">
        <v>23</v>
      </c>
      <c r="K549" s="6" t="s">
        <v>149</v>
      </c>
      <c r="L549" s="6">
        <v>11400000</v>
      </c>
      <c r="M549" s="6">
        <v>2006</v>
      </c>
      <c r="N549" s="6">
        <v>6.6</v>
      </c>
      <c r="O549" s="4">
        <f ca="1">IFERROR(__xludf.DUMMYFUNCTION("IF(Cost_in_dollars!E549=""USD"",Cost_in_dollars!B549,Cost_in_dollars!B549 * GOOGLEFINANCE(""CURRENCY:"" &amp; Cost_in_dollars!E549 &amp; ""USD""))
"),7454232)</f>
        <v>7454232</v>
      </c>
      <c r="P549" s="4">
        <f ca="1">IFERROR(__xludf.DUMMYFUNCTION("IF(Cost_in_dollars!E549=""USD"",Cost_in_dollars!C549,Cost_in_dollars!C549 * GOOGLEFINANCE(""CURRENCY:"" &amp; Cost_in_dollars!E549 &amp; ""USD""))
"),8991.50388)</f>
        <v>8991.5038800000002</v>
      </c>
      <c r="Q549" s="6">
        <f t="shared" ca="1" si="12"/>
        <v>-7445240.4961200003</v>
      </c>
      <c r="R549" s="7" t="str">
        <f t="shared" si="13"/>
        <v>Opal Dream</v>
      </c>
      <c r="S549" s="43" t="str">
        <f t="shared" si="14"/>
        <v>Drama</v>
      </c>
    </row>
    <row r="550" spans="1:19" ht="15.75" customHeight="1" x14ac:dyDescent="0.25">
      <c r="A550" s="4" t="s">
        <v>1339</v>
      </c>
      <c r="B550" s="4">
        <v>156</v>
      </c>
      <c r="C550" s="4">
        <v>59573085</v>
      </c>
      <c r="D550" s="4" t="s">
        <v>292</v>
      </c>
      <c r="E550" s="4" t="s">
        <v>293</v>
      </c>
      <c r="F550" s="4" t="s">
        <v>2183</v>
      </c>
      <c r="G550" s="4">
        <v>13562</v>
      </c>
      <c r="H550" s="4" t="s">
        <v>2184</v>
      </c>
      <c r="I550" s="4">
        <v>103</v>
      </c>
      <c r="J550" s="4" t="s">
        <v>23</v>
      </c>
      <c r="K550" s="4" t="s">
        <v>24</v>
      </c>
      <c r="L550" s="4">
        <v>18000000</v>
      </c>
      <c r="M550" s="4">
        <v>2016</v>
      </c>
      <c r="N550" s="4">
        <v>6.1</v>
      </c>
      <c r="O550" s="4">
        <f ca="1">IFERROR(__xludf.DUMMYFUNCTION("IF(Cost_in_dollars!E550=""USD"",Cost_in_dollars!B550,Cost_in_dollars!B550 * GOOGLEFINANCE(""CURRENCY:"" &amp; Cost_in_dollars!E550 &amp; ""USD""))
"),18000000)</f>
        <v>18000000</v>
      </c>
      <c r="P550" s="4">
        <f ca="1">IFERROR(__xludf.DUMMYFUNCTION("IF(Cost_in_dollars!E550=""USD"",Cost_in_dollars!C550,Cost_in_dollars!C550 * GOOGLEFINANCE(""CURRENCY:"" &amp; Cost_in_dollars!E550 &amp; ""USD""))
"),59573085)</f>
        <v>59573085</v>
      </c>
      <c r="Q550" s="4">
        <f t="shared" ca="1" si="12"/>
        <v>41573085</v>
      </c>
      <c r="R550" s="5" t="str">
        <f t="shared" si="13"/>
        <v>My Big Fat Greek Wedding 2</v>
      </c>
      <c r="S550" s="43" t="str">
        <f t="shared" si="14"/>
        <v>Comedy</v>
      </c>
    </row>
    <row r="551" spans="1:19" ht="15.75" customHeight="1" x14ac:dyDescent="0.25">
      <c r="A551" s="6" t="s">
        <v>2185</v>
      </c>
      <c r="B551" s="6">
        <v>287</v>
      </c>
      <c r="C551" s="6">
        <v>15045676</v>
      </c>
      <c r="D551" s="6" t="s">
        <v>2186</v>
      </c>
      <c r="E551" s="6" t="s">
        <v>2187</v>
      </c>
      <c r="F551" s="6" t="s">
        <v>2188</v>
      </c>
      <c r="G551" s="6">
        <v>76303</v>
      </c>
      <c r="H551" s="6" t="s">
        <v>2189</v>
      </c>
      <c r="I551" s="6">
        <v>376</v>
      </c>
      <c r="J551" s="6" t="s">
        <v>23</v>
      </c>
      <c r="K551" s="6" t="s">
        <v>24</v>
      </c>
      <c r="L551" s="6">
        <v>16000000</v>
      </c>
      <c r="M551" s="6">
        <v>2009</v>
      </c>
      <c r="N551" s="6">
        <v>5.6</v>
      </c>
      <c r="O551" s="4">
        <f ca="1">IFERROR(__xludf.DUMMYFUNCTION("IF(Cost_in_dollars!E551=""USD"",Cost_in_dollars!B551,Cost_in_dollars!B551 * GOOGLEFINANCE(""CURRENCY:"" &amp; Cost_in_dollars!E551 &amp; ""USD""))
"),16000000)</f>
        <v>16000000</v>
      </c>
      <c r="P551" s="4">
        <f ca="1">IFERROR(__xludf.DUMMYFUNCTION("IF(Cost_in_dollars!E551=""USD"",Cost_in_dollars!C551,Cost_in_dollars!C551 * GOOGLEFINANCE(""CURRENCY:"" &amp; Cost_in_dollars!E551 &amp; ""USD""))
"),15045676)</f>
        <v>15045676</v>
      </c>
      <c r="Q551" s="6">
        <f t="shared" ca="1" si="12"/>
        <v>-954324</v>
      </c>
      <c r="R551" s="7" t="str">
        <f t="shared" si="13"/>
        <v>The Box</v>
      </c>
      <c r="S551" s="43" t="str">
        <f t="shared" si="14"/>
        <v>Drama</v>
      </c>
    </row>
    <row r="552" spans="1:19" ht="15.75" customHeight="1" x14ac:dyDescent="0.25">
      <c r="A552" s="4" t="s">
        <v>1570</v>
      </c>
      <c r="B552" s="4">
        <v>107</v>
      </c>
      <c r="C552" s="4">
        <v>51758599</v>
      </c>
      <c r="D552" s="4" t="s">
        <v>2190</v>
      </c>
      <c r="E552" s="4" t="s">
        <v>2120</v>
      </c>
      <c r="F552" s="4" t="s">
        <v>2191</v>
      </c>
      <c r="G552" s="4">
        <v>27580</v>
      </c>
      <c r="H552" s="4" t="s">
        <v>2192</v>
      </c>
      <c r="I552" s="4">
        <v>232</v>
      </c>
      <c r="J552" s="4" t="s">
        <v>23</v>
      </c>
      <c r="K552" s="4" t="s">
        <v>24</v>
      </c>
      <c r="L552" s="4">
        <v>33000000</v>
      </c>
      <c r="M552" s="4">
        <v>2001</v>
      </c>
      <c r="N552" s="4">
        <v>5.5</v>
      </c>
      <c r="O552" s="4">
        <f ca="1">IFERROR(__xludf.DUMMYFUNCTION("IF(Cost_in_dollars!E552=""USD"",Cost_in_dollars!B552,Cost_in_dollars!B552 * GOOGLEFINANCE(""CURRENCY:"" &amp; Cost_in_dollars!E552 &amp; ""USD""))
"),33000000)</f>
        <v>33000000</v>
      </c>
      <c r="P552" s="4">
        <f ca="1">IFERROR(__xludf.DUMMYFUNCTION("IF(Cost_in_dollars!E552=""USD"",Cost_in_dollars!C552,Cost_in_dollars!C552 * GOOGLEFINANCE(""CURRENCY:"" &amp; Cost_in_dollars!E552 &amp; ""USD""))
"),51758599)</f>
        <v>51758599</v>
      </c>
      <c r="Q552" s="4">
        <f t="shared" ca="1" si="12"/>
        <v>18758599</v>
      </c>
      <c r="R552" s="5" t="str">
        <f t="shared" si="13"/>
        <v>Exit Wounds</v>
      </c>
      <c r="S552" s="43" t="str">
        <f t="shared" si="14"/>
        <v>Action</v>
      </c>
    </row>
    <row r="553" spans="1:19" ht="15.75" customHeight="1" x14ac:dyDescent="0.25">
      <c r="A553" s="6" t="s">
        <v>2193</v>
      </c>
      <c r="B553" s="6">
        <v>71</v>
      </c>
      <c r="C553" s="6">
        <v>2938208</v>
      </c>
      <c r="D553" s="6" t="s">
        <v>162</v>
      </c>
      <c r="E553" s="6" t="s">
        <v>2194</v>
      </c>
      <c r="F553" s="6" t="s">
        <v>2195</v>
      </c>
      <c r="G553" s="6">
        <v>7143</v>
      </c>
      <c r="H553" s="6" t="s">
        <v>2196</v>
      </c>
      <c r="I553" s="6">
        <v>52</v>
      </c>
      <c r="J553" s="6" t="s">
        <v>23</v>
      </c>
      <c r="K553" s="6" t="s">
        <v>24</v>
      </c>
      <c r="L553" s="6">
        <v>225000</v>
      </c>
      <c r="M553" s="6">
        <v>1990</v>
      </c>
      <c r="N553" s="6">
        <v>7.5</v>
      </c>
      <c r="O553" s="4">
        <f ca="1">IFERROR(__xludf.DUMMYFUNCTION("IF(Cost_in_dollars!E553=""USD"",Cost_in_dollars!B553,Cost_in_dollars!B553 * GOOGLEFINANCE(""CURRENCY:"" &amp; Cost_in_dollars!E553 &amp; ""USD""))
"),225000)</f>
        <v>225000</v>
      </c>
      <c r="P553" s="4">
        <f ca="1">IFERROR(__xludf.DUMMYFUNCTION("IF(Cost_in_dollars!E553=""USD"",Cost_in_dollars!C553,Cost_in_dollars!C553 * GOOGLEFINANCE(""CURRENCY:"" &amp; Cost_in_dollars!E553 &amp; ""USD""))
"),2938208)</f>
        <v>2938208</v>
      </c>
      <c r="Q553" s="6">
        <f t="shared" ca="1" si="12"/>
        <v>2713208</v>
      </c>
      <c r="R553" s="7" t="str">
        <f t="shared" si="13"/>
        <v>Metropolitan</v>
      </c>
      <c r="S553" s="43" t="str">
        <f t="shared" si="14"/>
        <v>Comedy</v>
      </c>
    </row>
    <row r="554" spans="1:19" ht="15.75" customHeight="1" x14ac:dyDescent="0.25">
      <c r="A554" s="4" t="s">
        <v>1552</v>
      </c>
      <c r="B554" s="4">
        <v>414</v>
      </c>
      <c r="C554" s="4">
        <v>64572496</v>
      </c>
      <c r="D554" s="4" t="s">
        <v>1238</v>
      </c>
      <c r="E554" s="4" t="s">
        <v>2197</v>
      </c>
      <c r="F554" s="4" t="s">
        <v>2198</v>
      </c>
      <c r="G554" s="4">
        <v>204327</v>
      </c>
      <c r="H554" s="4" t="s">
        <v>2199</v>
      </c>
      <c r="I554" s="4">
        <v>471</v>
      </c>
      <c r="J554" s="4" t="s">
        <v>23</v>
      </c>
      <c r="K554" s="4" t="s">
        <v>24</v>
      </c>
      <c r="L554" s="4">
        <v>12000000</v>
      </c>
      <c r="M554" s="4">
        <v>2012</v>
      </c>
      <c r="N554" s="4">
        <v>7.1</v>
      </c>
      <c r="O554" s="4">
        <f ca="1">IFERROR(__xludf.DUMMYFUNCTION("IF(Cost_in_dollars!E554=""USD"",Cost_in_dollars!B554,Cost_in_dollars!B554 * GOOGLEFINANCE(""CURRENCY:"" &amp; Cost_in_dollars!E554 &amp; ""USD""))
"),12000000)</f>
        <v>12000000</v>
      </c>
      <c r="P554" s="4">
        <f ca="1">IFERROR(__xludf.DUMMYFUNCTION("IF(Cost_in_dollars!E554=""USD"",Cost_in_dollars!C554,Cost_in_dollars!C554 * GOOGLEFINANCE(""CURRENCY:"" &amp; Cost_in_dollars!E554 &amp; ""USD""))
"),64572496)</f>
        <v>64572496</v>
      </c>
      <c r="Q554" s="4">
        <f t="shared" ca="1" si="12"/>
        <v>52572496</v>
      </c>
      <c r="R554" s="5" t="str">
        <f t="shared" si="13"/>
        <v>Chronicle</v>
      </c>
      <c r="S554" s="43" t="str">
        <f t="shared" si="14"/>
        <v>Drama</v>
      </c>
    </row>
    <row r="555" spans="1:19" ht="15.75" customHeight="1" x14ac:dyDescent="0.25">
      <c r="A555" s="6" t="s">
        <v>2200</v>
      </c>
      <c r="B555" s="6">
        <v>100</v>
      </c>
      <c r="C555" s="6">
        <v>117559438</v>
      </c>
      <c r="D555" s="6" t="s">
        <v>268</v>
      </c>
      <c r="E555" s="6" t="s">
        <v>1222</v>
      </c>
      <c r="F555" s="6" t="s">
        <v>2201</v>
      </c>
      <c r="G555" s="6">
        <v>66941</v>
      </c>
      <c r="H555" s="6" t="s">
        <v>2202</v>
      </c>
      <c r="I555" s="6">
        <v>148</v>
      </c>
      <c r="J555" s="6" t="s">
        <v>23</v>
      </c>
      <c r="K555" s="6" t="s">
        <v>24</v>
      </c>
      <c r="L555" s="6">
        <v>30000000</v>
      </c>
      <c r="M555" s="6">
        <v>2000</v>
      </c>
      <c r="N555" s="6">
        <v>5.0999999999999996</v>
      </c>
      <c r="O555" s="4">
        <f ca="1">IFERROR(__xludf.DUMMYFUNCTION("IF(Cost_in_dollars!E555=""USD"",Cost_in_dollars!B555,Cost_in_dollars!B555 * GOOGLEFINANCE(""CURRENCY:"" &amp; Cost_in_dollars!E555 &amp; ""USD""))
"),30000000)</f>
        <v>30000000</v>
      </c>
      <c r="P555" s="4">
        <f ca="1">IFERROR(__xludf.DUMMYFUNCTION("IF(Cost_in_dollars!E555=""USD"",Cost_in_dollars!C555,Cost_in_dollars!C555 * GOOGLEFINANCE(""CURRENCY:"" &amp; Cost_in_dollars!E555 &amp; ""USD""))
"),117559438)</f>
        <v>117559438</v>
      </c>
      <c r="Q555" s="6">
        <f t="shared" ca="1" si="12"/>
        <v>87559438</v>
      </c>
      <c r="R555" s="7" t="str">
        <f t="shared" si="13"/>
        <v>Big Momma's House</v>
      </c>
      <c r="S555" s="43" t="str">
        <f t="shared" si="14"/>
        <v>Action</v>
      </c>
    </row>
    <row r="556" spans="1:19" ht="15.75" customHeight="1" x14ac:dyDescent="0.25">
      <c r="A556" s="4" t="s">
        <v>2203</v>
      </c>
      <c r="B556" s="4">
        <v>72</v>
      </c>
      <c r="C556" s="4">
        <v>60154431</v>
      </c>
      <c r="D556" s="4" t="s">
        <v>2204</v>
      </c>
      <c r="E556" s="4" t="s">
        <v>2205</v>
      </c>
      <c r="F556" s="4" t="s">
        <v>2206</v>
      </c>
      <c r="G556" s="4">
        <v>122347</v>
      </c>
      <c r="H556" s="4" t="s">
        <v>2207</v>
      </c>
      <c r="I556" s="4">
        <v>345</v>
      </c>
      <c r="J556" s="4" t="s">
        <v>23</v>
      </c>
      <c r="K556" s="4" t="s">
        <v>24</v>
      </c>
      <c r="L556" s="4">
        <v>47000000</v>
      </c>
      <c r="M556" s="4">
        <v>1996</v>
      </c>
      <c r="N556" s="4">
        <v>6</v>
      </c>
      <c r="O556" s="4">
        <f ca="1">IFERROR(__xludf.DUMMYFUNCTION("IF(Cost_in_dollars!E556=""USD"",Cost_in_dollars!B556,Cost_in_dollars!B556 * GOOGLEFINANCE(""CURRENCY:"" &amp; Cost_in_dollars!E556 &amp; ""USD""))
"),47000000)</f>
        <v>47000000</v>
      </c>
      <c r="P556" s="4">
        <f ca="1">IFERROR(__xludf.DUMMYFUNCTION("IF(Cost_in_dollars!E556=""USD"",Cost_in_dollars!C556,Cost_in_dollars!C556 * GOOGLEFINANCE(""CURRENCY:"" &amp; Cost_in_dollars!E556 &amp; ""USD""))
"),60154431)</f>
        <v>60154431</v>
      </c>
      <c r="Q556" s="4">
        <f t="shared" ca="1" si="12"/>
        <v>13154431</v>
      </c>
      <c r="R556" s="5" t="str">
        <f t="shared" si="13"/>
        <v>The Cable Guy</v>
      </c>
      <c r="S556" s="43" t="str">
        <f t="shared" si="14"/>
        <v>Comedy</v>
      </c>
    </row>
    <row r="557" spans="1:19" ht="15.75" customHeight="1" x14ac:dyDescent="0.25">
      <c r="A557" s="6" t="s">
        <v>2208</v>
      </c>
      <c r="B557" s="6">
        <v>85</v>
      </c>
      <c r="C557" s="6">
        <v>38432823</v>
      </c>
      <c r="D557" s="6" t="s">
        <v>2209</v>
      </c>
      <c r="E557" s="6" t="s">
        <v>49</v>
      </c>
      <c r="F557" s="6" t="s">
        <v>2210</v>
      </c>
      <c r="G557" s="6">
        <v>33067</v>
      </c>
      <c r="H557" s="6" t="s">
        <v>2211</v>
      </c>
      <c r="I557" s="6">
        <v>134</v>
      </c>
      <c r="J557" s="6" t="s">
        <v>23</v>
      </c>
      <c r="K557" s="6" t="s">
        <v>24</v>
      </c>
      <c r="L557" s="6">
        <v>30000000</v>
      </c>
      <c r="M557" s="6">
        <v>2006</v>
      </c>
      <c r="N557" s="6">
        <v>6.9</v>
      </c>
      <c r="O557" s="4">
        <f ca="1">IFERROR(__xludf.DUMMYFUNCTION("IF(Cost_in_dollars!E557=""USD"",Cost_in_dollars!B557,Cost_in_dollars!B557 * GOOGLEFINANCE(""CURRENCY:"" &amp; Cost_in_dollars!E557 &amp; ""USD""))
"),30000000)</f>
        <v>30000000</v>
      </c>
      <c r="P557" s="4">
        <f ca="1">IFERROR(__xludf.DUMMYFUNCTION("IF(Cost_in_dollars!E557=""USD"",Cost_in_dollars!C557,Cost_in_dollars!C557 * GOOGLEFINANCE(""CURRENCY:"" &amp; Cost_in_dollars!E557 &amp; ""USD""))
"),38432823)</f>
        <v>38432823</v>
      </c>
      <c r="Q557" s="6">
        <f t="shared" ca="1" si="12"/>
        <v>8432823</v>
      </c>
      <c r="R557" s="7" t="str">
        <f t="shared" si="13"/>
        <v>Gridiron Gang</v>
      </c>
      <c r="S557" s="43" t="str">
        <f t="shared" si="14"/>
        <v>Crime</v>
      </c>
    </row>
    <row r="558" spans="1:19" ht="15.75" customHeight="1" x14ac:dyDescent="0.25">
      <c r="A558" s="4" t="s">
        <v>2212</v>
      </c>
      <c r="B558" s="4">
        <v>131</v>
      </c>
      <c r="C558" s="4">
        <v>50041732</v>
      </c>
      <c r="D558" s="4" t="s">
        <v>151</v>
      </c>
      <c r="E558" s="4" t="s">
        <v>1222</v>
      </c>
      <c r="F558" s="4" t="s">
        <v>2213</v>
      </c>
      <c r="G558" s="4">
        <v>54390</v>
      </c>
      <c r="H558" s="4" t="s">
        <v>2214</v>
      </c>
      <c r="I558" s="4">
        <v>398</v>
      </c>
      <c r="J558" s="4" t="s">
        <v>23</v>
      </c>
      <c r="K558" s="4" t="s">
        <v>24</v>
      </c>
      <c r="L558" s="4">
        <v>29000000</v>
      </c>
      <c r="M558" s="4">
        <v>1999</v>
      </c>
      <c r="N558" s="4">
        <v>6.2</v>
      </c>
      <c r="O558" s="4">
        <f ca="1">IFERROR(__xludf.DUMMYFUNCTION("IF(Cost_in_dollars!E558=""USD"",Cost_in_dollars!B558,Cost_in_dollars!B558 * GOOGLEFINANCE(""CURRENCY:"" &amp; Cost_in_dollars!E558 &amp; ""USD""))
"),29000000)</f>
        <v>29000000</v>
      </c>
      <c r="P558" s="4">
        <f ca="1">IFERROR(__xludf.DUMMYFUNCTION("IF(Cost_in_dollars!E558=""USD"",Cost_in_dollars!C558,Cost_in_dollars!C558 * GOOGLEFINANCE(""CURRENCY:"" &amp; Cost_in_dollars!E558 &amp; ""USD""))
"),50041732)</f>
        <v>50041732</v>
      </c>
      <c r="Q558" s="4">
        <f t="shared" ca="1" si="12"/>
        <v>21041732</v>
      </c>
      <c r="R558" s="5" t="str">
        <f t="shared" si="13"/>
        <v>Stigmata</v>
      </c>
      <c r="S558" s="43" t="str">
        <f t="shared" si="14"/>
        <v>Horror</v>
      </c>
    </row>
    <row r="559" spans="1:19" ht="15.75" customHeight="1" x14ac:dyDescent="0.25">
      <c r="A559" s="6" t="s">
        <v>668</v>
      </c>
      <c r="B559" s="6">
        <v>50</v>
      </c>
      <c r="C559" s="6">
        <v>3047539</v>
      </c>
      <c r="D559" s="6" t="s">
        <v>235</v>
      </c>
      <c r="E559" s="6" t="s">
        <v>670</v>
      </c>
      <c r="F559" s="6" t="s">
        <v>2215</v>
      </c>
      <c r="G559" s="6">
        <v>42296</v>
      </c>
      <c r="H559" s="6" t="s">
        <v>2216</v>
      </c>
      <c r="I559" s="6">
        <v>286</v>
      </c>
      <c r="J559" s="6" t="s">
        <v>673</v>
      </c>
      <c r="K559" s="6" t="s">
        <v>674</v>
      </c>
      <c r="L559" s="6">
        <v>7217600</v>
      </c>
      <c r="M559" s="6">
        <v>2012</v>
      </c>
      <c r="N559" s="6">
        <v>6.9</v>
      </c>
      <c r="O559" s="4">
        <f ca="1">IFERROR(__xludf.DUMMYFUNCTION("IF(Cost_in_dollars!E559=""USD"",Cost_in_dollars!B559,Cost_in_dollars!B559 * GOOGLEFINANCE(""CURRENCY:"" &amp; Cost_in_dollars!E559 &amp; ""USD""))
"),86188.681696)</f>
        <v>86188.681696</v>
      </c>
      <c r="P559" s="4">
        <f ca="1">IFERROR(__xludf.DUMMYFUNCTION("IF(Cost_in_dollars!E559=""USD"",Cost_in_dollars!C559,Cost_in_dollars!C559 * GOOGLEFINANCE(""CURRENCY:"" &amp; Cost_in_dollars!E559 &amp; ""USD""))
"),36392.06506694)</f>
        <v>36392.065066939998</v>
      </c>
      <c r="Q559" s="6">
        <f t="shared" ca="1" si="12"/>
        <v>-49796.616629060001</v>
      </c>
      <c r="R559" s="7" t="str">
        <f t="shared" si="13"/>
        <v>Jab Tak Hai Jaan</v>
      </c>
      <c r="S559" s="43" t="str">
        <f t="shared" si="14"/>
        <v>Drama</v>
      </c>
    </row>
    <row r="560" spans="1:19" ht="15.75" customHeight="1" x14ac:dyDescent="0.25">
      <c r="A560" s="4" t="s">
        <v>2217</v>
      </c>
      <c r="B560" s="4">
        <v>88</v>
      </c>
      <c r="C560" s="4">
        <v>16459004</v>
      </c>
      <c r="D560" s="4" t="s">
        <v>314</v>
      </c>
      <c r="E560" s="4" t="s">
        <v>2218</v>
      </c>
      <c r="F560" s="4" t="s">
        <v>2219</v>
      </c>
      <c r="G560" s="4">
        <v>13320</v>
      </c>
      <c r="H560" s="4" t="s">
        <v>2220</v>
      </c>
      <c r="I560" s="4">
        <v>415</v>
      </c>
      <c r="J560" s="4" t="s">
        <v>23</v>
      </c>
      <c r="K560" s="4" t="s">
        <v>627</v>
      </c>
      <c r="L560" s="4">
        <v>15000000</v>
      </c>
      <c r="M560" s="4">
        <v>1999</v>
      </c>
      <c r="N560" s="4">
        <v>4.9000000000000004</v>
      </c>
      <c r="O560" s="4">
        <f ca="1">IFERROR(__xludf.DUMMYFUNCTION("IF(Cost_in_dollars!E560=""USD"",Cost_in_dollars!B560,Cost_in_dollars!B560 * GOOGLEFINANCE(""CURRENCY:"" &amp; Cost_in_dollars!E560 &amp; ""USD""))
"),10851075)</f>
        <v>10851075</v>
      </c>
      <c r="P560" s="4">
        <f ca="1">IFERROR(__xludf.DUMMYFUNCTION("IF(Cost_in_dollars!E560=""USD"",Cost_in_dollars!C560,Cost_in_dollars!C560 * GOOGLEFINANCE(""CURRENCY:"" &amp; Cost_in_dollars!E560 &amp; ""USD""))
"),11906525.7886199)</f>
        <v>11906525.7886199</v>
      </c>
      <c r="Q560" s="4">
        <f t="shared" ca="1" si="12"/>
        <v>1055450.7886199001</v>
      </c>
      <c r="R560" s="5" t="str">
        <f t="shared" si="13"/>
        <v>Eye of the Beholder</v>
      </c>
      <c r="S560" s="43" t="str">
        <f t="shared" si="14"/>
        <v>Drama</v>
      </c>
    </row>
    <row r="561" spans="1:19" ht="15.75" customHeight="1" x14ac:dyDescent="0.25">
      <c r="A561" s="6" t="s">
        <v>1670</v>
      </c>
      <c r="B561" s="6">
        <v>261</v>
      </c>
      <c r="C561" s="6">
        <v>78800000</v>
      </c>
      <c r="D561" s="6" t="s">
        <v>682</v>
      </c>
      <c r="E561" s="6" t="s">
        <v>640</v>
      </c>
      <c r="F561" s="6" t="s">
        <v>2221</v>
      </c>
      <c r="G561" s="6">
        <v>450676</v>
      </c>
      <c r="H561" s="6" t="s">
        <v>2222</v>
      </c>
      <c r="I561" s="6">
        <v>983</v>
      </c>
      <c r="J561" s="6" t="s">
        <v>23</v>
      </c>
      <c r="K561" s="6" t="s">
        <v>24</v>
      </c>
      <c r="L561" s="6">
        <v>31500000</v>
      </c>
      <c r="M561" s="6">
        <v>1979</v>
      </c>
      <c r="N561" s="6">
        <v>8.5</v>
      </c>
      <c r="O561" s="4">
        <f ca="1">IFERROR(__xludf.DUMMYFUNCTION("IF(Cost_in_dollars!E561=""USD"",Cost_in_dollars!B561,Cost_in_dollars!B561 * GOOGLEFINANCE(""CURRENCY:"" &amp; Cost_in_dollars!E561 &amp; ""USD""))
"),31500000)</f>
        <v>31500000</v>
      </c>
      <c r="P561" s="4">
        <f ca="1">IFERROR(__xludf.DUMMYFUNCTION("IF(Cost_in_dollars!E561=""USD"",Cost_in_dollars!C561,Cost_in_dollars!C561 * GOOGLEFINANCE(""CURRENCY:"" &amp; Cost_in_dollars!E561 &amp; ""USD""))
"),78800000)</f>
        <v>78800000</v>
      </c>
      <c r="Q561" s="6">
        <f t="shared" ca="1" si="12"/>
        <v>47300000</v>
      </c>
      <c r="R561" s="7" t="str">
        <f t="shared" si="13"/>
        <v>Apocalypse Now</v>
      </c>
      <c r="S561" s="43" t="str">
        <f t="shared" si="14"/>
        <v>Drama</v>
      </c>
    </row>
    <row r="562" spans="1:19" ht="15.75" customHeight="1" x14ac:dyDescent="0.25">
      <c r="A562" s="4" t="s">
        <v>2223</v>
      </c>
      <c r="B562" s="4">
        <v>87</v>
      </c>
      <c r="C562" s="4">
        <v>58336565</v>
      </c>
      <c r="D562" s="4" t="s">
        <v>1827</v>
      </c>
      <c r="E562" s="4" t="s">
        <v>444</v>
      </c>
      <c r="F562" s="4" t="s">
        <v>2224</v>
      </c>
      <c r="G562" s="4">
        <v>12845</v>
      </c>
      <c r="H562" s="4" t="s">
        <v>2225</v>
      </c>
      <c r="I562" s="4">
        <v>118</v>
      </c>
      <c r="J562" s="4" t="s">
        <v>23</v>
      </c>
      <c r="K562" s="4" t="s">
        <v>24</v>
      </c>
      <c r="L562" s="4">
        <v>50000000</v>
      </c>
      <c r="M562" s="4">
        <v>2006</v>
      </c>
      <c r="N562" s="4">
        <v>6.6</v>
      </c>
      <c r="O562" s="4">
        <f ca="1">IFERROR(__xludf.DUMMYFUNCTION("IF(Cost_in_dollars!E562=""USD"",Cost_in_dollars!B562,Cost_in_dollars!B562 * GOOGLEFINANCE(""CURRENCY:"" &amp; Cost_in_dollars!E562 &amp; ""USD""))
"),50000000)</f>
        <v>50000000</v>
      </c>
      <c r="P562" s="4">
        <f ca="1">IFERROR(__xludf.DUMMYFUNCTION("IF(Cost_in_dollars!E562=""USD"",Cost_in_dollars!C562,Cost_in_dollars!C562 * GOOGLEFINANCE(""CURRENCY:"" &amp; Cost_in_dollars!E562 &amp; ""USD""))
"),58336565)</f>
        <v>58336565</v>
      </c>
      <c r="Q562" s="4">
        <f t="shared" ca="1" si="12"/>
        <v>8336565</v>
      </c>
      <c r="R562" s="5" t="str">
        <f t="shared" si="13"/>
        <v>Curious George</v>
      </c>
      <c r="S562" s="43" t="str">
        <f t="shared" si="14"/>
        <v>Adventure</v>
      </c>
    </row>
    <row r="563" spans="1:19" ht="15.75" customHeight="1" x14ac:dyDescent="0.25">
      <c r="A563" s="6" t="s">
        <v>1190</v>
      </c>
      <c r="B563" s="6">
        <v>124</v>
      </c>
      <c r="C563" s="6">
        <v>7837632</v>
      </c>
      <c r="D563" s="6" t="s">
        <v>102</v>
      </c>
      <c r="E563" s="6" t="s">
        <v>2226</v>
      </c>
      <c r="F563" s="6" t="s">
        <v>2227</v>
      </c>
      <c r="G563" s="6">
        <v>46396</v>
      </c>
      <c r="H563" s="6" t="s">
        <v>2228</v>
      </c>
      <c r="I563" s="6">
        <v>287</v>
      </c>
      <c r="J563" s="6" t="s">
        <v>23</v>
      </c>
      <c r="K563" s="6" t="s">
        <v>24</v>
      </c>
      <c r="L563" s="6">
        <v>18000000</v>
      </c>
      <c r="M563" s="6">
        <v>1997</v>
      </c>
      <c r="N563" s="6">
        <v>7.5</v>
      </c>
      <c r="O563" s="4">
        <f ca="1">IFERROR(__xludf.DUMMYFUNCTION("IF(Cost_in_dollars!E563=""USD"",Cost_in_dollars!B563,Cost_in_dollars!B563 * GOOGLEFINANCE(""CURRENCY:"" &amp; Cost_in_dollars!E563 &amp; ""USD""))
"),18000000)</f>
        <v>18000000</v>
      </c>
      <c r="P563" s="4">
        <f ca="1">IFERROR(__xludf.DUMMYFUNCTION("IF(Cost_in_dollars!E563=""USD"",Cost_in_dollars!C563,Cost_in_dollars!C563 * GOOGLEFINANCE(""CURRENCY:"" &amp; Cost_in_dollars!E563 &amp; ""USD""))
"),7837632)</f>
        <v>7837632</v>
      </c>
      <c r="Q563" s="6">
        <f t="shared" ca="1" si="12"/>
        <v>-10162368</v>
      </c>
      <c r="R563" s="7" t="str">
        <f t="shared" si="13"/>
        <v>The Ice Storm</v>
      </c>
      <c r="S563" s="43" t="str">
        <f t="shared" si="14"/>
        <v>Drama</v>
      </c>
    </row>
    <row r="564" spans="1:19" ht="15.75" customHeight="1" x14ac:dyDescent="0.25">
      <c r="A564" s="4" t="s">
        <v>880</v>
      </c>
      <c r="B564" s="4">
        <v>233</v>
      </c>
      <c r="C564" s="4">
        <v>10499968</v>
      </c>
      <c r="D564" s="4" t="s">
        <v>504</v>
      </c>
      <c r="E564" s="4" t="s">
        <v>2229</v>
      </c>
      <c r="F564" s="4" t="s">
        <v>2230</v>
      </c>
      <c r="G564" s="4">
        <v>47502</v>
      </c>
      <c r="H564" s="4" t="s">
        <v>2231</v>
      </c>
      <c r="I564" s="4">
        <v>212</v>
      </c>
      <c r="J564" s="4" t="s">
        <v>23</v>
      </c>
      <c r="K564" s="4" t="s">
        <v>24</v>
      </c>
      <c r="L564" s="4">
        <v>35000000</v>
      </c>
      <c r="M564" s="4">
        <v>2014</v>
      </c>
      <c r="N564" s="4">
        <v>5.7</v>
      </c>
      <c r="O564" s="4">
        <f ca="1">IFERROR(__xludf.DUMMYFUNCTION("IF(Cost_in_dollars!E564=""USD"",Cost_in_dollars!B564,Cost_in_dollars!B564 * GOOGLEFINANCE(""CURRENCY:"" &amp; Cost_in_dollars!E564 &amp; ""USD""))
"),35000000)</f>
        <v>35000000</v>
      </c>
      <c r="P564" s="4">
        <f ca="1">IFERROR(__xludf.DUMMYFUNCTION("IF(Cost_in_dollars!E564=""USD"",Cost_in_dollars!C564,Cost_in_dollars!C564 * GOOGLEFINANCE(""CURRENCY:"" &amp; Cost_in_dollars!E564 &amp; ""USD""))
"),10499968)</f>
        <v>10499968</v>
      </c>
      <c r="Q564" s="4">
        <f t="shared" ca="1" si="12"/>
        <v>-24500032</v>
      </c>
      <c r="R564" s="5" t="str">
        <f t="shared" si="13"/>
        <v>Sabotage</v>
      </c>
      <c r="S564" s="43" t="str">
        <f t="shared" si="14"/>
        <v>Action</v>
      </c>
    </row>
    <row r="565" spans="1:19" ht="15.75" customHeight="1" x14ac:dyDescent="0.25">
      <c r="A565" s="6" t="s">
        <v>2232</v>
      </c>
      <c r="B565" s="6">
        <v>262</v>
      </c>
      <c r="C565" s="6">
        <v>20167424</v>
      </c>
      <c r="D565" s="6" t="s">
        <v>314</v>
      </c>
      <c r="E565" s="6" t="s">
        <v>2233</v>
      </c>
      <c r="F565" s="6" t="s">
        <v>2234</v>
      </c>
      <c r="G565" s="6">
        <v>131831</v>
      </c>
      <c r="H565" s="6" t="s">
        <v>2235</v>
      </c>
      <c r="I565" s="6">
        <v>231</v>
      </c>
      <c r="J565" s="6" t="s">
        <v>1569</v>
      </c>
      <c r="K565" s="6" t="s">
        <v>2236</v>
      </c>
      <c r="L565" s="6">
        <v>2000000</v>
      </c>
      <c r="M565" s="6">
        <v>2009</v>
      </c>
      <c r="N565" s="6">
        <v>8.1999999999999993</v>
      </c>
      <c r="O565" s="4">
        <f ca="1">IFERROR(__xludf.DUMMYFUNCTION("IF(Cost_in_dollars!E565=""USD"",Cost_in_dollars!B565,Cost_in_dollars!B565 * GOOGLEFINANCE(""CURRENCY:"" &amp; Cost_in_dollars!E565 &amp; ""USD""))
"),2151.714)</f>
        <v>2151.7139999999999</v>
      </c>
      <c r="P565" s="4">
        <f ca="1">IFERROR(__xludf.DUMMYFUNCTION("IF(Cost_in_dollars!E565=""USD"",Cost_in_dollars!C565,Cost_in_dollars!C565 * GOOGLEFINANCE(""CURRENCY:"" &amp; Cost_in_dollars!E565 &amp; ""USD""))
"),21697.264282368)</f>
        <v>21697.264282368</v>
      </c>
      <c r="Q565" s="6">
        <f t="shared" ca="1" si="12"/>
        <v>19545.550282368</v>
      </c>
      <c r="R565" s="7" t="str">
        <f t="shared" si="13"/>
        <v>The Secret in Their Eyes</v>
      </c>
      <c r="S565" s="43" t="str">
        <f t="shared" si="14"/>
        <v>Drama</v>
      </c>
    </row>
    <row r="566" spans="1:19" ht="15.75" customHeight="1" x14ac:dyDescent="0.25">
      <c r="A566" s="4" t="s">
        <v>2237</v>
      </c>
      <c r="B566" s="4">
        <v>78</v>
      </c>
      <c r="C566" s="4">
        <v>352786</v>
      </c>
      <c r="D566" s="4" t="s">
        <v>2238</v>
      </c>
      <c r="E566" s="4" t="s">
        <v>2239</v>
      </c>
      <c r="F566" s="4" t="s">
        <v>2240</v>
      </c>
      <c r="G566" s="4">
        <v>11132</v>
      </c>
      <c r="H566" s="4" t="s">
        <v>2241</v>
      </c>
      <c r="I566" s="4">
        <v>86</v>
      </c>
      <c r="J566" s="4" t="s">
        <v>23</v>
      </c>
      <c r="K566" s="4" t="s">
        <v>24</v>
      </c>
      <c r="L566" s="4">
        <v>11000000</v>
      </c>
      <c r="M566" s="4">
        <v>2006</v>
      </c>
      <c r="N566" s="4">
        <v>6.8</v>
      </c>
      <c r="O566" s="4">
        <f ca="1">IFERROR(__xludf.DUMMYFUNCTION("IF(Cost_in_dollars!E566=""USD"",Cost_in_dollars!B566,Cost_in_dollars!B566 * GOOGLEFINANCE(""CURRENCY:"" &amp; Cost_in_dollars!E566 &amp; ""USD""))
"),11000000)</f>
        <v>11000000</v>
      </c>
      <c r="P566" s="4">
        <f ca="1">IFERROR(__xludf.DUMMYFUNCTION("IF(Cost_in_dollars!E566=""USD"",Cost_in_dollars!C566,Cost_in_dollars!C566 * GOOGLEFINANCE(""CURRENCY:"" &amp; Cost_in_dollars!E566 &amp; ""USD""))
"),352786)</f>
        <v>352786</v>
      </c>
      <c r="Q566" s="4">
        <f t="shared" ca="1" si="12"/>
        <v>-10647214</v>
      </c>
      <c r="R566" s="5" t="str">
        <f t="shared" si="13"/>
        <v>Copying Beethoven</v>
      </c>
      <c r="S566" s="43" t="str">
        <f t="shared" si="14"/>
        <v>Biography</v>
      </c>
    </row>
    <row r="567" spans="1:19" ht="15.75" customHeight="1" x14ac:dyDescent="0.25">
      <c r="A567" s="6" t="s">
        <v>2242</v>
      </c>
      <c r="B567" s="6">
        <v>98</v>
      </c>
      <c r="C567" s="6">
        <v>45207112</v>
      </c>
      <c r="D567" s="6" t="s">
        <v>578</v>
      </c>
      <c r="E567" s="6" t="s">
        <v>456</v>
      </c>
      <c r="F567" s="6" t="s">
        <v>2243</v>
      </c>
      <c r="G567" s="6">
        <v>21283</v>
      </c>
      <c r="H567" s="6" t="s">
        <v>2244</v>
      </c>
      <c r="I567" s="6">
        <v>190</v>
      </c>
      <c r="J567" s="6" t="s">
        <v>23</v>
      </c>
      <c r="K567" s="6" t="s">
        <v>24</v>
      </c>
      <c r="L567" s="6">
        <v>53000000</v>
      </c>
      <c r="M567" s="6">
        <v>2001</v>
      </c>
      <c r="N567" s="6">
        <v>5.5</v>
      </c>
      <c r="O567" s="4">
        <f ca="1">IFERROR(__xludf.DUMMYFUNCTION("IF(Cost_in_dollars!E567=""USD"",Cost_in_dollars!B567,Cost_in_dollars!B567 * GOOGLEFINANCE(""CURRENCY:"" &amp; Cost_in_dollars!E567 &amp; ""USD""))
"),53000000)</f>
        <v>53000000</v>
      </c>
      <c r="P567" s="4">
        <f ca="1">IFERROR(__xludf.DUMMYFUNCTION("IF(Cost_in_dollars!E567=""USD"",Cost_in_dollars!C567,Cost_in_dollars!C567 * GOOGLEFINANCE(""CURRENCY:"" &amp; Cost_in_dollars!E567 &amp; ""USD""))
"),45207112)</f>
        <v>45207112</v>
      </c>
      <c r="Q567" s="6">
        <f t="shared" ca="1" si="12"/>
        <v>-7792888</v>
      </c>
      <c r="R567" s="7" t="str">
        <f t="shared" si="13"/>
        <v>Domestic Disturbance</v>
      </c>
      <c r="S567" s="43" t="str">
        <f t="shared" si="14"/>
        <v>Crime</v>
      </c>
    </row>
    <row r="568" spans="1:19" ht="15.75" customHeight="1" x14ac:dyDescent="0.25">
      <c r="A568" s="4" t="s">
        <v>2245</v>
      </c>
      <c r="B568" s="4">
        <v>156</v>
      </c>
      <c r="C568" s="4">
        <v>24343673</v>
      </c>
      <c r="D568" s="4" t="s">
        <v>2246</v>
      </c>
      <c r="E568" s="4" t="s">
        <v>2247</v>
      </c>
      <c r="F568" s="4" t="s">
        <v>2248</v>
      </c>
      <c r="G568" s="4">
        <v>91863</v>
      </c>
      <c r="H568" s="4" t="s">
        <v>2249</v>
      </c>
      <c r="I568" s="4">
        <v>524</v>
      </c>
      <c r="J568" s="4" t="s">
        <v>23</v>
      </c>
      <c r="K568" s="4" t="s">
        <v>24</v>
      </c>
      <c r="L568" s="4">
        <v>45000000</v>
      </c>
      <c r="M568" s="4">
        <v>2007</v>
      </c>
      <c r="N568" s="4">
        <v>7.4</v>
      </c>
      <c r="O568" s="4">
        <f ca="1">IFERROR(__xludf.DUMMYFUNCTION("IF(Cost_in_dollars!E568=""USD"",Cost_in_dollars!B568,Cost_in_dollars!B568 * GOOGLEFINANCE(""CURRENCY:"" &amp; Cost_in_dollars!E568 &amp; ""USD""))
"),45000000)</f>
        <v>45000000</v>
      </c>
      <c r="P568" s="4">
        <f ca="1">IFERROR(__xludf.DUMMYFUNCTION("IF(Cost_in_dollars!E568=""USD"",Cost_in_dollars!C568,Cost_in_dollars!C568 * GOOGLEFINANCE(""CURRENCY:"" &amp; Cost_in_dollars!E568 &amp; ""USD""))
"),24343673)</f>
        <v>24343673</v>
      </c>
      <c r="Q568" s="4">
        <f t="shared" ca="1" si="12"/>
        <v>-20656327</v>
      </c>
      <c r="R568" s="5" t="str">
        <f t="shared" si="13"/>
        <v>Across the Universe</v>
      </c>
      <c r="S568" s="43" t="str">
        <f t="shared" si="14"/>
        <v>Drama</v>
      </c>
    </row>
    <row r="569" spans="1:19" ht="15.75" customHeight="1" x14ac:dyDescent="0.25">
      <c r="A569" s="6" t="s">
        <v>2250</v>
      </c>
      <c r="B569" s="6">
        <v>60</v>
      </c>
      <c r="C569" s="6">
        <v>80000000</v>
      </c>
      <c r="D569" s="6" t="s">
        <v>737</v>
      </c>
      <c r="E569" s="6" t="s">
        <v>2251</v>
      </c>
      <c r="F569" s="6" t="s">
        <v>2252</v>
      </c>
      <c r="G569" s="6">
        <v>51459</v>
      </c>
      <c r="H569" s="6" t="s">
        <v>2253</v>
      </c>
      <c r="I569" s="6">
        <v>113</v>
      </c>
      <c r="J569" s="6" t="s">
        <v>23</v>
      </c>
      <c r="K569" s="6" t="s">
        <v>24</v>
      </c>
      <c r="L569" s="6">
        <v>8200000</v>
      </c>
      <c r="M569" s="6">
        <v>1984</v>
      </c>
      <c r="N569" s="6">
        <v>6.5</v>
      </c>
      <c r="O569" s="4">
        <f ca="1">IFERROR(__xludf.DUMMYFUNCTION("IF(Cost_in_dollars!E569=""USD"",Cost_in_dollars!B569,Cost_in_dollars!B569 * GOOGLEFINANCE(""CURRENCY:"" &amp; Cost_in_dollars!E569 &amp; ""USD""))
"),8200000)</f>
        <v>8200000</v>
      </c>
      <c r="P569" s="4">
        <f ca="1">IFERROR(__xludf.DUMMYFUNCTION("IF(Cost_in_dollars!E569=""USD"",Cost_in_dollars!C569,Cost_in_dollars!C569 * GOOGLEFINANCE(""CURRENCY:"" &amp; Cost_in_dollars!E569 &amp; ""USD""))
"),80000000)</f>
        <v>80000000</v>
      </c>
      <c r="Q569" s="6">
        <f t="shared" ca="1" si="12"/>
        <v>71800000</v>
      </c>
      <c r="R569" s="7" t="str">
        <f t="shared" si="13"/>
        <v>Footloose</v>
      </c>
      <c r="S569" s="43" t="str">
        <f t="shared" si="14"/>
        <v>Drama</v>
      </c>
    </row>
    <row r="570" spans="1:19" ht="15.75" customHeight="1" x14ac:dyDescent="0.25">
      <c r="A570" s="4" t="s">
        <v>1123</v>
      </c>
      <c r="B570" s="4">
        <v>26</v>
      </c>
      <c r="C570" s="4">
        <v>100328194</v>
      </c>
      <c r="D570" s="4" t="s">
        <v>517</v>
      </c>
      <c r="E570" s="4" t="s">
        <v>2254</v>
      </c>
      <c r="F570" s="4" t="s">
        <v>2255</v>
      </c>
      <c r="G570" s="4">
        <v>85903</v>
      </c>
      <c r="H570" s="4" t="s">
        <v>2256</v>
      </c>
      <c r="I570" s="4">
        <v>92</v>
      </c>
      <c r="J570" s="4" t="s">
        <v>23</v>
      </c>
      <c r="K570" s="4" t="s">
        <v>24</v>
      </c>
      <c r="L570" s="4">
        <v>50000000</v>
      </c>
      <c r="M570" s="4">
        <v>1995</v>
      </c>
      <c r="N570" s="4">
        <v>6</v>
      </c>
      <c r="O570" s="4">
        <f ca="1">IFERROR(__xludf.DUMMYFUNCTION("IF(Cost_in_dollars!E570=""USD"",Cost_in_dollars!B570,Cost_in_dollars!B570 * GOOGLEFINANCE(""CURRENCY:"" &amp; Cost_in_dollars!E570 &amp; ""USD""))
"),50000000)</f>
        <v>50000000</v>
      </c>
      <c r="P570" s="4">
        <f ca="1">IFERROR(__xludf.DUMMYFUNCTION("IF(Cost_in_dollars!E570=""USD"",Cost_in_dollars!C570,Cost_in_dollars!C570 * GOOGLEFINANCE(""CURRENCY:"" &amp; Cost_in_dollars!E570 &amp; ""USD""))
"),100328194)</f>
        <v>100328194</v>
      </c>
      <c r="Q570" s="4">
        <f t="shared" ca="1" si="12"/>
        <v>50328194</v>
      </c>
      <c r="R570" s="5" t="str">
        <f t="shared" si="13"/>
        <v>Casper</v>
      </c>
      <c r="S570" s="43" t="str">
        <f t="shared" si="14"/>
        <v>Comedy</v>
      </c>
    </row>
    <row r="571" spans="1:19" ht="15.75" customHeight="1" x14ac:dyDescent="0.25">
      <c r="A571" s="6" t="s">
        <v>2257</v>
      </c>
      <c r="B571" s="6">
        <v>31</v>
      </c>
      <c r="C571" s="6">
        <v>7382993</v>
      </c>
      <c r="D571" s="6" t="s">
        <v>304</v>
      </c>
      <c r="E571" s="6" t="s">
        <v>2258</v>
      </c>
      <c r="F571" s="6" t="s">
        <v>2259</v>
      </c>
      <c r="G571" s="6">
        <v>3851</v>
      </c>
      <c r="H571" s="6" t="s">
        <v>2260</v>
      </c>
      <c r="I571" s="6">
        <v>114</v>
      </c>
      <c r="J571" s="6" t="s">
        <v>23</v>
      </c>
      <c r="K571" s="6" t="s">
        <v>24</v>
      </c>
      <c r="L571" s="6">
        <v>20000000</v>
      </c>
      <c r="M571" s="6">
        <v>2006</v>
      </c>
      <c r="N571" s="6">
        <v>2.8</v>
      </c>
      <c r="O571" s="4">
        <f ca="1">IFERROR(__xludf.DUMMYFUNCTION("IF(Cost_in_dollars!E571=""USD"",Cost_in_dollars!B571,Cost_in_dollars!B571 * GOOGLEFINANCE(""CURRENCY:"" &amp; Cost_in_dollars!E571 &amp; ""USD""))
"),20000000)</f>
        <v>20000000</v>
      </c>
      <c r="P571" s="4">
        <f ca="1">IFERROR(__xludf.DUMMYFUNCTION("IF(Cost_in_dollars!E571=""USD"",Cost_in_dollars!C571,Cost_in_dollars!C571 * GOOGLEFINANCE(""CURRENCY:"" &amp; Cost_in_dollars!E571 &amp; ""USD""))
"),7382993)</f>
        <v>7382993</v>
      </c>
      <c r="Q571" s="6">
        <f t="shared" ca="1" si="12"/>
        <v>-12617007</v>
      </c>
      <c r="R571" s="7" t="str">
        <f t="shared" si="13"/>
        <v>Doogal</v>
      </c>
      <c r="S571" s="43" t="str">
        <f t="shared" si="14"/>
        <v>Adventure</v>
      </c>
    </row>
    <row r="572" spans="1:19" ht="15.75" customHeight="1" x14ac:dyDescent="0.25">
      <c r="A572" s="4" t="s">
        <v>2261</v>
      </c>
      <c r="B572" s="4">
        <v>176</v>
      </c>
      <c r="C572" s="4">
        <v>70224196</v>
      </c>
      <c r="D572" s="4" t="s">
        <v>2262</v>
      </c>
      <c r="E572" s="4" t="s">
        <v>79</v>
      </c>
      <c r="F572" s="4" t="s">
        <v>2263</v>
      </c>
      <c r="G572" s="4">
        <v>59352</v>
      </c>
      <c r="H572" s="4" t="s">
        <v>2264</v>
      </c>
      <c r="I572" s="4">
        <v>138</v>
      </c>
      <c r="J572" s="4" t="s">
        <v>23</v>
      </c>
      <c r="K572" s="4" t="s">
        <v>24</v>
      </c>
      <c r="L572" s="4">
        <v>70000000</v>
      </c>
      <c r="M572" s="4">
        <v>2008</v>
      </c>
      <c r="N572" s="4">
        <v>5.6</v>
      </c>
      <c r="O572" s="4">
        <f ca="1">IFERROR(__xludf.DUMMYFUNCTION("IF(Cost_in_dollars!E572=""USD"",Cost_in_dollars!B572,Cost_in_dollars!B572 * GOOGLEFINANCE(""CURRENCY:"" &amp; Cost_in_dollars!E572 &amp; ""USD""))
"),70000000)</f>
        <v>70000000</v>
      </c>
      <c r="P572" s="4">
        <f ca="1">IFERROR(__xludf.DUMMYFUNCTION("IF(Cost_in_dollars!E572=""USD"",Cost_in_dollars!C572,Cost_in_dollars!C572 * GOOGLEFINANCE(""CURRENCY:"" &amp; Cost_in_dollars!E572 &amp; ""USD""))
"),70224196)</f>
        <v>70224196</v>
      </c>
      <c r="Q572" s="4">
        <f t="shared" ca="1" si="12"/>
        <v>224196</v>
      </c>
      <c r="R572" s="5" t="str">
        <f t="shared" si="13"/>
        <v>Fool's Gold</v>
      </c>
      <c r="S572" s="43" t="str">
        <f t="shared" si="14"/>
        <v>Action</v>
      </c>
    </row>
    <row r="573" spans="1:19" ht="15.75" customHeight="1" x14ac:dyDescent="0.25">
      <c r="A573" s="6" t="s">
        <v>2265</v>
      </c>
      <c r="B573" s="6">
        <v>415</v>
      </c>
      <c r="C573" s="6">
        <v>45996718</v>
      </c>
      <c r="D573" s="6" t="s">
        <v>504</v>
      </c>
      <c r="E573" s="6" t="s">
        <v>227</v>
      </c>
      <c r="F573" s="6" t="s">
        <v>2266</v>
      </c>
      <c r="G573" s="6">
        <v>173530</v>
      </c>
      <c r="H573" s="6" t="s">
        <v>2267</v>
      </c>
      <c r="I573" s="6">
        <v>264</v>
      </c>
      <c r="J573" s="6" t="s">
        <v>23</v>
      </c>
      <c r="K573" s="6" t="s">
        <v>24</v>
      </c>
      <c r="L573" s="6">
        <v>60000000</v>
      </c>
      <c r="M573" s="6">
        <v>2013</v>
      </c>
      <c r="N573" s="6">
        <v>6.7</v>
      </c>
      <c r="O573" s="4">
        <f ca="1">IFERROR(__xludf.DUMMYFUNCTION("IF(Cost_in_dollars!E573=""USD"",Cost_in_dollars!B573,Cost_in_dollars!B573 * GOOGLEFINANCE(""CURRENCY:"" &amp; Cost_in_dollars!E573 &amp; ""USD""))
"),60000000)</f>
        <v>60000000</v>
      </c>
      <c r="P573" s="4">
        <f ca="1">IFERROR(__xludf.DUMMYFUNCTION("IF(Cost_in_dollars!E573=""USD"",Cost_in_dollars!C573,Cost_in_dollars!C573 * GOOGLEFINANCE(""CURRENCY:"" &amp; Cost_in_dollars!E573 &amp; ""USD""))
"),45996718)</f>
        <v>45996718</v>
      </c>
      <c r="Q573" s="6">
        <f t="shared" ca="1" si="12"/>
        <v>-14003282</v>
      </c>
      <c r="R573" s="7" t="str">
        <f t="shared" si="13"/>
        <v>Gangster Squad</v>
      </c>
      <c r="S573" s="43" t="str">
        <f t="shared" si="14"/>
        <v>Action</v>
      </c>
    </row>
    <row r="574" spans="1:19" ht="15.75" customHeight="1" x14ac:dyDescent="0.25">
      <c r="A574" s="4" t="s">
        <v>1975</v>
      </c>
      <c r="B574" s="4">
        <v>248</v>
      </c>
      <c r="C574" s="4">
        <v>11169531</v>
      </c>
      <c r="D574" s="4" t="s">
        <v>140</v>
      </c>
      <c r="E574" s="4" t="s">
        <v>2268</v>
      </c>
      <c r="F574" s="4" t="s">
        <v>2269</v>
      </c>
      <c r="G574" s="4">
        <v>79855</v>
      </c>
      <c r="H574" s="4" t="s">
        <v>2270</v>
      </c>
      <c r="I574" s="4">
        <v>235</v>
      </c>
      <c r="J574" s="4" t="s">
        <v>23</v>
      </c>
      <c r="K574" s="4" t="s">
        <v>133</v>
      </c>
      <c r="L574" s="4">
        <v>20000000</v>
      </c>
      <c r="M574" s="4">
        <v>2008</v>
      </c>
      <c r="N574" s="4">
        <v>6.4</v>
      </c>
      <c r="O574" s="4">
        <f ca="1">IFERROR(__xludf.DUMMYFUNCTION("IF(Cost_in_dollars!E574=""USD"",Cost_in_dollars!B574,Cost_in_dollars!B574 * GOOGLEFINANCE(""CURRENCY:"" &amp; Cost_in_dollars!E574 &amp; ""USD""))
"),25707999.9999999)</f>
        <v>25707999.999999899</v>
      </c>
      <c r="P574" s="4">
        <f ca="1">IFERROR(__xludf.DUMMYFUNCTION("IF(Cost_in_dollars!E574=""USD"",Cost_in_dollars!C574,Cost_in_dollars!C574 * GOOGLEFINANCE(""CURRENCY:"" &amp; Cost_in_dollars!E574 &amp; ""USD""))
"),14357315.1474)</f>
        <v>14357315.147399999</v>
      </c>
      <c r="Q574" s="4">
        <f t="shared" ca="1" si="12"/>
        <v>-11350684.8525999</v>
      </c>
      <c r="R574" s="5" t="str">
        <f t="shared" si="13"/>
        <v>Be Kind Rewind</v>
      </c>
      <c r="S574" s="43" t="str">
        <f t="shared" si="14"/>
        <v>Comedy</v>
      </c>
    </row>
    <row r="575" spans="1:19" ht="15.75" customHeight="1" x14ac:dyDescent="0.25">
      <c r="A575" s="6" t="s">
        <v>2271</v>
      </c>
      <c r="B575" s="6">
        <v>111</v>
      </c>
      <c r="C575" s="6">
        <v>64001297</v>
      </c>
      <c r="D575" s="6" t="s">
        <v>860</v>
      </c>
      <c r="E575" s="6" t="s">
        <v>2272</v>
      </c>
      <c r="F575" s="6" t="s">
        <v>2273</v>
      </c>
      <c r="G575" s="6">
        <v>32002</v>
      </c>
      <c r="H575" s="6" t="s">
        <v>2274</v>
      </c>
      <c r="I575" s="6">
        <v>103</v>
      </c>
      <c r="J575" s="6" t="s">
        <v>23</v>
      </c>
      <c r="K575" s="6" t="s">
        <v>24</v>
      </c>
      <c r="L575" s="6">
        <v>15000000</v>
      </c>
      <c r="M575" s="6">
        <v>2010</v>
      </c>
      <c r="N575" s="6">
        <v>6.2</v>
      </c>
      <c r="O575" s="4">
        <f ca="1">IFERROR(__xludf.DUMMYFUNCTION("IF(Cost_in_dollars!E575=""USD"",Cost_in_dollars!B575,Cost_in_dollars!B575 * GOOGLEFINANCE(""CURRENCY:"" &amp; Cost_in_dollars!E575 &amp; ""USD""))
"),15000000)</f>
        <v>15000000</v>
      </c>
      <c r="P575" s="4">
        <f ca="1">IFERROR(__xludf.DUMMYFUNCTION("IF(Cost_in_dollars!E575=""USD"",Cost_in_dollars!C575,Cost_in_dollars!C575 * GOOGLEFINANCE(""CURRENCY:"" &amp; Cost_in_dollars!E575 &amp; ""USD""))
"),64001297)</f>
        <v>64001297</v>
      </c>
      <c r="Q575" s="6">
        <f t="shared" ca="1" si="12"/>
        <v>49001297</v>
      </c>
      <c r="R575" s="7" t="str">
        <f t="shared" si="13"/>
        <v>Diary of a Wimpy Kid</v>
      </c>
      <c r="S575" s="43" t="str">
        <f t="shared" si="14"/>
        <v>Comedy</v>
      </c>
    </row>
    <row r="576" spans="1:19" ht="15.75" customHeight="1" x14ac:dyDescent="0.25">
      <c r="A576" s="4" t="s">
        <v>634</v>
      </c>
      <c r="B576" s="4">
        <v>141</v>
      </c>
      <c r="C576" s="4">
        <v>129734803</v>
      </c>
      <c r="D576" s="4" t="s">
        <v>155</v>
      </c>
      <c r="E576" s="4" t="s">
        <v>1571</v>
      </c>
      <c r="F576" s="4" t="s">
        <v>2275</v>
      </c>
      <c r="G576" s="4">
        <v>127497</v>
      </c>
      <c r="H576" s="4" t="s">
        <v>2276</v>
      </c>
      <c r="I576" s="4">
        <v>287</v>
      </c>
      <c r="J576" s="4" t="s">
        <v>23</v>
      </c>
      <c r="K576" s="4" t="s">
        <v>24</v>
      </c>
      <c r="L576" s="4">
        <v>140000000</v>
      </c>
      <c r="M576" s="4">
        <v>1998</v>
      </c>
      <c r="N576" s="4">
        <v>6.6</v>
      </c>
      <c r="O576" s="4">
        <f ca="1">IFERROR(__xludf.DUMMYFUNCTION("IF(Cost_in_dollars!E576=""USD"",Cost_in_dollars!B576,Cost_in_dollars!B576 * GOOGLEFINANCE(""CURRENCY:"" &amp; Cost_in_dollars!E576 &amp; ""USD""))
"),140000000)</f>
        <v>140000000</v>
      </c>
      <c r="P576" s="4">
        <f ca="1">IFERROR(__xludf.DUMMYFUNCTION("IF(Cost_in_dollars!E576=""USD"",Cost_in_dollars!C576,Cost_in_dollars!C576 * GOOGLEFINANCE(""CURRENCY:"" &amp; Cost_in_dollars!E576 &amp; ""USD""))
"),129734803)</f>
        <v>129734803</v>
      </c>
      <c r="Q576" s="4">
        <f t="shared" ca="1" si="12"/>
        <v>-10265197</v>
      </c>
      <c r="R576" s="5" t="str">
        <f t="shared" si="13"/>
        <v>Lethal Weapon 4</v>
      </c>
      <c r="S576" s="43" t="str">
        <f t="shared" si="14"/>
        <v>Action</v>
      </c>
    </row>
    <row r="577" spans="1:19" ht="15.75" customHeight="1" x14ac:dyDescent="0.25">
      <c r="A577" s="6" t="s">
        <v>2277</v>
      </c>
      <c r="B577" s="6">
        <v>144</v>
      </c>
      <c r="C577" s="6">
        <v>1474508</v>
      </c>
      <c r="D577" s="6" t="s">
        <v>457</v>
      </c>
      <c r="E577" s="6" t="s">
        <v>1575</v>
      </c>
      <c r="F577" s="6" t="s">
        <v>2278</v>
      </c>
      <c r="G577" s="6">
        <v>33473</v>
      </c>
      <c r="H577" s="6" t="s">
        <v>2279</v>
      </c>
      <c r="I577" s="6">
        <v>88</v>
      </c>
      <c r="J577" s="6" t="s">
        <v>23</v>
      </c>
      <c r="K577" s="6" t="s">
        <v>24</v>
      </c>
      <c r="L577" s="6">
        <v>5000000</v>
      </c>
      <c r="M577" s="6">
        <v>2009</v>
      </c>
      <c r="N577" s="6">
        <v>6.5</v>
      </c>
      <c r="O577" s="4">
        <f ca="1">IFERROR(__xludf.DUMMYFUNCTION("IF(Cost_in_dollars!E577=""USD"",Cost_in_dollars!B577,Cost_in_dollars!B577 * GOOGLEFINANCE(""CURRENCY:"" &amp; Cost_in_dollars!E577 &amp; ""USD""))
"),5000000)</f>
        <v>5000000</v>
      </c>
      <c r="P577" s="4">
        <f ca="1">IFERROR(__xludf.DUMMYFUNCTION("IF(Cost_in_dollars!E577=""USD"",Cost_in_dollars!C577,Cost_in_dollars!C577 * GOOGLEFINANCE(""CURRENCY:"" &amp; Cost_in_dollars!E577 &amp; ""USD""))
"),1474508)</f>
        <v>1474508</v>
      </c>
      <c r="Q577" s="6">
        <f t="shared" ca="1" si="12"/>
        <v>-3525492</v>
      </c>
      <c r="R577" s="7" t="str">
        <f t="shared" si="13"/>
        <v>The Joneses</v>
      </c>
      <c r="S577" s="43" t="str">
        <f t="shared" si="14"/>
        <v>Comedy</v>
      </c>
    </row>
    <row r="578" spans="1:19" ht="15.75" customHeight="1" x14ac:dyDescent="0.25">
      <c r="A578" s="4" t="s">
        <v>2115</v>
      </c>
      <c r="B578" s="4">
        <v>653</v>
      </c>
      <c r="C578" s="4">
        <v>333130696</v>
      </c>
      <c r="D578" s="4" t="s">
        <v>188</v>
      </c>
      <c r="E578" s="4" t="s">
        <v>1916</v>
      </c>
      <c r="F578" s="4" t="s">
        <v>2280</v>
      </c>
      <c r="G578" s="4">
        <v>682155</v>
      </c>
      <c r="H578" s="4" t="s">
        <v>2281</v>
      </c>
      <c r="I578" s="4">
        <v>1097</v>
      </c>
      <c r="J578" s="4" t="s">
        <v>23</v>
      </c>
      <c r="K578" s="4" t="s">
        <v>24</v>
      </c>
      <c r="L578" s="4">
        <v>170000000</v>
      </c>
      <c r="M578" s="4">
        <v>2014</v>
      </c>
      <c r="N578" s="4">
        <v>8.1</v>
      </c>
      <c r="O578" s="4">
        <f ca="1">IFERROR(__xludf.DUMMYFUNCTION("IF(Cost_in_dollars!E578=""USD"",Cost_in_dollars!B578,Cost_in_dollars!B578 * GOOGLEFINANCE(""CURRENCY:"" &amp; Cost_in_dollars!E578 &amp; ""USD""))
"),170000000)</f>
        <v>170000000</v>
      </c>
      <c r="P578" s="4">
        <f ca="1">IFERROR(__xludf.DUMMYFUNCTION("IF(Cost_in_dollars!E578=""USD"",Cost_in_dollars!C578,Cost_in_dollars!C578 * GOOGLEFINANCE(""CURRENCY:"" &amp; Cost_in_dollars!E578 &amp; ""USD""))
"),333130696)</f>
        <v>333130696</v>
      </c>
      <c r="Q578" s="4">
        <f t="shared" ca="1" si="12"/>
        <v>163130696</v>
      </c>
      <c r="R578" s="5" t="str">
        <f t="shared" si="13"/>
        <v>Guardians of the Galaxy</v>
      </c>
      <c r="S578" s="43" t="str">
        <f t="shared" ref="S578:S641" si="15">IF(ISNUMBER(FIND("|", D578)), LEFT(D578, FIND("|", D578) - 1), D578)</f>
        <v>Action</v>
      </c>
    </row>
    <row r="579" spans="1:19" ht="15.75" customHeight="1" x14ac:dyDescent="0.25">
      <c r="A579" s="6" t="s">
        <v>2282</v>
      </c>
      <c r="B579" s="6">
        <v>91</v>
      </c>
      <c r="C579" s="6">
        <v>1056102</v>
      </c>
      <c r="D579" s="6" t="s">
        <v>438</v>
      </c>
      <c r="E579" s="6" t="s">
        <v>2283</v>
      </c>
      <c r="F579" s="6" t="s">
        <v>2284</v>
      </c>
      <c r="G579" s="6">
        <v>18792</v>
      </c>
      <c r="H579" s="6" t="s">
        <v>2285</v>
      </c>
      <c r="I579" s="6">
        <v>153</v>
      </c>
      <c r="J579" s="6" t="s">
        <v>23</v>
      </c>
      <c r="K579" s="6" t="s">
        <v>24</v>
      </c>
      <c r="L579" s="6">
        <v>5000000</v>
      </c>
      <c r="M579" s="6">
        <v>2003</v>
      </c>
      <c r="N579" s="6">
        <v>6.6</v>
      </c>
      <c r="O579" s="4">
        <f ca="1">IFERROR(__xludf.DUMMYFUNCTION("IF(Cost_in_dollars!E579=""USD"",Cost_in_dollars!B579,Cost_in_dollars!B579 * GOOGLEFINANCE(""CURRENCY:"" &amp; Cost_in_dollars!E579 &amp; ""USD""))
"),5000000)</f>
        <v>5000000</v>
      </c>
      <c r="P579" s="4">
        <f ca="1">IFERROR(__xludf.DUMMYFUNCTION("IF(Cost_in_dollars!E579=""USD"",Cost_in_dollars!C579,Cost_in_dollars!C579 * GOOGLEFINANCE(""CURRENCY:"" &amp; Cost_in_dollars!E579 &amp; ""USD""))
"),1056102)</f>
        <v>1056102</v>
      </c>
      <c r="Q579" s="6">
        <f t="shared" ca="1" si="12"/>
        <v>-3943898</v>
      </c>
      <c r="R579" s="7" t="str">
        <f t="shared" si="13"/>
        <v>Wonderland</v>
      </c>
      <c r="S579" s="43" t="str">
        <f t="shared" si="15"/>
        <v>Crime</v>
      </c>
    </row>
    <row r="580" spans="1:19" ht="15.75" customHeight="1" x14ac:dyDescent="0.25">
      <c r="A580" s="4" t="s">
        <v>927</v>
      </c>
      <c r="B580" s="4">
        <v>142</v>
      </c>
      <c r="C580" s="4">
        <v>172620724</v>
      </c>
      <c r="D580" s="4" t="s">
        <v>928</v>
      </c>
      <c r="E580" s="4" t="s">
        <v>640</v>
      </c>
      <c r="F580" s="4" t="s">
        <v>2286</v>
      </c>
      <c r="G580" s="4">
        <v>146134</v>
      </c>
      <c r="H580" s="4" t="s">
        <v>2287</v>
      </c>
      <c r="I580" s="4">
        <v>393</v>
      </c>
      <c r="J580" s="4" t="s">
        <v>23</v>
      </c>
      <c r="K580" s="4" t="s">
        <v>24</v>
      </c>
      <c r="L580" s="4">
        <v>85000000</v>
      </c>
      <c r="M580" s="4">
        <v>1997</v>
      </c>
      <c r="N580" s="4">
        <v>6.4</v>
      </c>
      <c r="O580" s="4">
        <f ca="1">IFERROR(__xludf.DUMMYFUNCTION("IF(Cost_in_dollars!E580=""USD"",Cost_in_dollars!B580,Cost_in_dollars!B580 * GOOGLEFINANCE(""CURRENCY:"" &amp; Cost_in_dollars!E580 &amp; ""USD""))
"),85000000)</f>
        <v>85000000</v>
      </c>
      <c r="P580" s="4">
        <f ca="1">IFERROR(__xludf.DUMMYFUNCTION("IF(Cost_in_dollars!E580=""USD"",Cost_in_dollars!C580,Cost_in_dollars!C580 * GOOGLEFINANCE(""CURRENCY:"" &amp; Cost_in_dollars!E580 &amp; ""USD""))
"),172620724)</f>
        <v>172620724</v>
      </c>
      <c r="Q580" s="4">
        <f t="shared" ca="1" si="12"/>
        <v>87620724</v>
      </c>
      <c r="R580" s="5" t="str">
        <f t="shared" si="13"/>
        <v>Air Force One</v>
      </c>
      <c r="S580" s="43" t="str">
        <f t="shared" si="15"/>
        <v>Action</v>
      </c>
    </row>
    <row r="581" spans="1:19" ht="15.75" customHeight="1" x14ac:dyDescent="0.25">
      <c r="A581" s="6" t="s">
        <v>2288</v>
      </c>
      <c r="B581" s="6">
        <v>117</v>
      </c>
      <c r="C581" s="6">
        <v>162792677</v>
      </c>
      <c r="D581" s="6" t="s">
        <v>304</v>
      </c>
      <c r="E581" s="6" t="s">
        <v>486</v>
      </c>
      <c r="F581" s="6" t="s">
        <v>2289</v>
      </c>
      <c r="G581" s="6">
        <v>211226</v>
      </c>
      <c r="H581" s="6" t="s">
        <v>2290</v>
      </c>
      <c r="I581" s="6">
        <v>317</v>
      </c>
      <c r="J581" s="6" t="s">
        <v>23</v>
      </c>
      <c r="K581" s="6" t="s">
        <v>24</v>
      </c>
      <c r="L581" s="6">
        <v>120000000</v>
      </c>
      <c r="M581" s="6">
        <v>1998</v>
      </c>
      <c r="N581" s="6">
        <v>7.2</v>
      </c>
      <c r="O581" s="4">
        <f ca="1">IFERROR(__xludf.DUMMYFUNCTION("IF(Cost_in_dollars!E581=""USD"",Cost_in_dollars!B581,Cost_in_dollars!B581 * GOOGLEFINANCE(""CURRENCY:"" &amp; Cost_in_dollars!E581 &amp; ""USD""))
"),120000000)</f>
        <v>120000000</v>
      </c>
      <c r="P581" s="4">
        <f ca="1">IFERROR(__xludf.DUMMYFUNCTION("IF(Cost_in_dollars!E581=""USD"",Cost_in_dollars!C581,Cost_in_dollars!C581 * GOOGLEFINANCE(""CURRENCY:"" &amp; Cost_in_dollars!E581 &amp; ""USD""))
"),162792677)</f>
        <v>162792677</v>
      </c>
      <c r="Q581" s="6">
        <f t="shared" ca="1" si="12"/>
        <v>42792677</v>
      </c>
      <c r="R581" s="7" t="str">
        <f t="shared" si="13"/>
        <v>A Bug's Life</v>
      </c>
      <c r="S581" s="43" t="str">
        <f t="shared" si="15"/>
        <v>Adventure</v>
      </c>
    </row>
    <row r="582" spans="1:19" ht="15.75" customHeight="1" x14ac:dyDescent="0.25">
      <c r="A582" s="4" t="s">
        <v>2291</v>
      </c>
      <c r="B582" s="4">
        <v>323</v>
      </c>
      <c r="C582" s="4">
        <v>47536959</v>
      </c>
      <c r="D582" s="4" t="s">
        <v>102</v>
      </c>
      <c r="E582" s="4" t="s">
        <v>2292</v>
      </c>
      <c r="F582" s="4" t="s">
        <v>2293</v>
      </c>
      <c r="G582" s="4">
        <v>86956</v>
      </c>
      <c r="H582" s="4" t="s">
        <v>2294</v>
      </c>
      <c r="I582" s="4">
        <v>275</v>
      </c>
      <c r="J582" s="4" t="s">
        <v>23</v>
      </c>
      <c r="K582" s="4" t="s">
        <v>24</v>
      </c>
      <c r="L582" s="4">
        <v>10000000</v>
      </c>
      <c r="M582" s="4">
        <v>2009</v>
      </c>
      <c r="N582" s="4">
        <v>7.3</v>
      </c>
      <c r="O582" s="4">
        <f ca="1">IFERROR(__xludf.DUMMYFUNCTION("IF(Cost_in_dollars!E582=""USD"",Cost_in_dollars!B582,Cost_in_dollars!B582 * GOOGLEFINANCE(""CURRENCY:"" &amp; Cost_in_dollars!E582 &amp; ""USD""))
"),10000000)</f>
        <v>10000000</v>
      </c>
      <c r="P582" s="4">
        <f ca="1">IFERROR(__xludf.DUMMYFUNCTION("IF(Cost_in_dollars!E582=""USD"",Cost_in_dollars!C582,Cost_in_dollars!C582 * GOOGLEFINANCE(""CURRENCY:"" &amp; Cost_in_dollars!E582 &amp; ""USD""))
"),47536959)</f>
        <v>47536959</v>
      </c>
      <c r="Q582" s="4">
        <f t="shared" ca="1" si="12"/>
        <v>37536959</v>
      </c>
      <c r="R582" s="5" t="str">
        <f t="shared" si="13"/>
        <v>Precious</v>
      </c>
      <c r="S582" s="43" t="str">
        <f t="shared" si="15"/>
        <v>Drama</v>
      </c>
    </row>
    <row r="583" spans="1:19" ht="15.75" customHeight="1" x14ac:dyDescent="0.25">
      <c r="A583" s="6" t="s">
        <v>416</v>
      </c>
      <c r="B583" s="6">
        <v>105</v>
      </c>
      <c r="C583" s="6">
        <v>41482207</v>
      </c>
      <c r="D583" s="6" t="s">
        <v>1102</v>
      </c>
      <c r="E583" s="6" t="s">
        <v>1033</v>
      </c>
      <c r="F583" s="6" t="s">
        <v>2295</v>
      </c>
      <c r="G583" s="6">
        <v>68428</v>
      </c>
      <c r="H583" s="6" t="s">
        <v>2296</v>
      </c>
      <c r="I583" s="6">
        <v>148</v>
      </c>
      <c r="J583" s="6" t="s">
        <v>23</v>
      </c>
      <c r="K583" s="6" t="s">
        <v>24</v>
      </c>
      <c r="L583" s="6">
        <v>50000000</v>
      </c>
      <c r="M583" s="6">
        <v>1990</v>
      </c>
      <c r="N583" s="6">
        <v>6.3</v>
      </c>
      <c r="O583" s="4">
        <f ca="1">IFERROR(__xludf.DUMMYFUNCTION("IF(Cost_in_dollars!E583=""USD"",Cost_in_dollars!B583,Cost_in_dollars!B583 * GOOGLEFINANCE(""CURRENCY:"" &amp; Cost_in_dollars!E583 &amp; ""USD""))
"),50000000)</f>
        <v>50000000</v>
      </c>
      <c r="P583" s="4">
        <f ca="1">IFERROR(__xludf.DUMMYFUNCTION("IF(Cost_in_dollars!E583=""USD"",Cost_in_dollars!C583,Cost_in_dollars!C583 * GOOGLEFINANCE(""CURRENCY:"" &amp; Cost_in_dollars!E583 &amp; ""USD""))
"),41482207)</f>
        <v>41482207</v>
      </c>
      <c r="Q583" s="6">
        <f t="shared" ca="1" si="12"/>
        <v>-8517793</v>
      </c>
      <c r="R583" s="7" t="str">
        <f t="shared" si="13"/>
        <v>Gremlins 2: The New Batch</v>
      </c>
      <c r="S583" s="43" t="str">
        <f t="shared" si="15"/>
        <v>Comedy</v>
      </c>
    </row>
    <row r="584" spans="1:19" ht="15.75" customHeight="1" x14ac:dyDescent="0.25">
      <c r="A584" s="4" t="s">
        <v>2297</v>
      </c>
      <c r="B584" s="4">
        <v>112</v>
      </c>
      <c r="C584" s="4">
        <v>38916903</v>
      </c>
      <c r="D584" s="4" t="s">
        <v>2298</v>
      </c>
      <c r="E584" s="4" t="s">
        <v>2299</v>
      </c>
      <c r="F584" s="4" t="s">
        <v>2300</v>
      </c>
      <c r="G584" s="4">
        <v>15664</v>
      </c>
      <c r="H584" s="4" t="s">
        <v>2301</v>
      </c>
      <c r="I584" s="4">
        <v>149</v>
      </c>
      <c r="J584" s="4" t="s">
        <v>23</v>
      </c>
      <c r="K584" s="4" t="s">
        <v>24</v>
      </c>
      <c r="L584" s="4">
        <v>13000000</v>
      </c>
      <c r="M584" s="4">
        <v>2014</v>
      </c>
      <c r="N584" s="4">
        <v>5.8</v>
      </c>
      <c r="O584" s="4">
        <f ca="1">IFERROR(__xludf.DUMMYFUNCTION("IF(Cost_in_dollars!E584=""USD"",Cost_in_dollars!B584,Cost_in_dollars!B584 * GOOGLEFINANCE(""CURRENCY:"" &amp; Cost_in_dollars!E584 &amp; ""USD""))
"),13000000)</f>
        <v>13000000</v>
      </c>
      <c r="P584" s="4">
        <f ca="1">IFERROR(__xludf.DUMMYFUNCTION("IF(Cost_in_dollars!E584=""USD"",Cost_in_dollars!C584,Cost_in_dollars!C584 * GOOGLEFINANCE(""CURRENCY:"" &amp; Cost_in_dollars!E584 &amp; ""USD""))
"),38916903)</f>
        <v>38916903</v>
      </c>
      <c r="Q584" s="4">
        <f t="shared" ca="1" si="12"/>
        <v>25916903</v>
      </c>
      <c r="R584" s="5" t="str">
        <f t="shared" si="13"/>
        <v>Earth to Echo</v>
      </c>
      <c r="S584" s="43" t="str">
        <f t="shared" si="15"/>
        <v>Adventure</v>
      </c>
    </row>
    <row r="585" spans="1:19" ht="15.75" customHeight="1" x14ac:dyDescent="0.25">
      <c r="A585" s="6" t="s">
        <v>2302</v>
      </c>
      <c r="B585" s="6">
        <v>115</v>
      </c>
      <c r="C585" s="6">
        <v>2601847</v>
      </c>
      <c r="D585" s="6" t="s">
        <v>718</v>
      </c>
      <c r="E585" s="6" t="s">
        <v>2303</v>
      </c>
      <c r="F585" s="6" t="s">
        <v>2304</v>
      </c>
      <c r="G585" s="6">
        <v>22457</v>
      </c>
      <c r="H585" s="6" t="s">
        <v>2305</v>
      </c>
      <c r="I585" s="6">
        <v>69</v>
      </c>
      <c r="J585" s="6" t="s">
        <v>2306</v>
      </c>
      <c r="K585" s="6" t="s">
        <v>24</v>
      </c>
      <c r="L585" s="6">
        <v>4000000</v>
      </c>
      <c r="M585" s="6">
        <v>2011</v>
      </c>
      <c r="N585" s="6">
        <v>8.5</v>
      </c>
      <c r="O585" s="4">
        <f ca="1">IFERROR(__xludf.DUMMYFUNCTION("IF(Cost_in_dollars!E585=""USD"",Cost_in_dollars!B585,Cost_in_dollars!B585 * GOOGLEFINANCE(""CURRENCY:"" &amp; Cost_in_dollars!E585 &amp; ""USD""))
"),4000000)</f>
        <v>4000000</v>
      </c>
      <c r="P585" s="4">
        <f ca="1">IFERROR(__xludf.DUMMYFUNCTION("IF(Cost_in_dollars!E585=""USD"",Cost_in_dollars!C585,Cost_in_dollars!C585 * GOOGLEFINANCE(""CURRENCY:"" &amp; Cost_in_dollars!E585 &amp; ""USD""))
"),2601847)</f>
        <v>2601847</v>
      </c>
      <c r="Q585" s="6">
        <f t="shared" ca="1" si="12"/>
        <v>-1398153</v>
      </c>
      <c r="R585" s="7" t="str">
        <f t="shared" si="13"/>
        <v>Samsara</v>
      </c>
      <c r="S585" s="43" t="str">
        <f t="shared" si="15"/>
        <v>Documentary</v>
      </c>
    </row>
    <row r="586" spans="1:19" ht="15.75" customHeight="1" x14ac:dyDescent="0.25">
      <c r="A586" s="4" t="s">
        <v>2307</v>
      </c>
      <c r="B586" s="4">
        <v>313</v>
      </c>
      <c r="C586" s="4">
        <v>59617068</v>
      </c>
      <c r="D586" s="4" t="s">
        <v>88</v>
      </c>
      <c r="E586" s="4" t="s">
        <v>2308</v>
      </c>
      <c r="F586" s="4" t="s">
        <v>2309</v>
      </c>
      <c r="G586" s="4">
        <v>213863</v>
      </c>
      <c r="H586" s="4" t="s">
        <v>2310</v>
      </c>
      <c r="I586" s="4">
        <v>310</v>
      </c>
      <c r="J586" s="4" t="s">
        <v>23</v>
      </c>
      <c r="K586" s="4" t="s">
        <v>24</v>
      </c>
      <c r="L586" s="4">
        <v>65000000</v>
      </c>
      <c r="M586" s="4">
        <v>2012</v>
      </c>
      <c r="N586" s="4">
        <v>6.4</v>
      </c>
      <c r="O586" s="4">
        <f ca="1">IFERROR(__xludf.DUMMYFUNCTION("IF(Cost_in_dollars!E586=""USD"",Cost_in_dollars!B586,Cost_in_dollars!B586 * GOOGLEFINANCE(""CURRENCY:"" &amp; Cost_in_dollars!E586 &amp; ""USD""))
"),65000000)</f>
        <v>65000000</v>
      </c>
      <c r="P586" s="4">
        <f ca="1">IFERROR(__xludf.DUMMYFUNCTION("IF(Cost_in_dollars!E586=""USD"",Cost_in_dollars!C586,Cost_in_dollars!C586 * GOOGLEFINANCE(""CURRENCY:"" &amp; Cost_in_dollars!E586 &amp; ""USD""))
"),59617068)</f>
        <v>59617068</v>
      </c>
      <c r="Q586" s="4">
        <f t="shared" ca="1" si="12"/>
        <v>-5382932</v>
      </c>
      <c r="R586" s="5" t="str">
        <f t="shared" si="13"/>
        <v>The Dictator</v>
      </c>
      <c r="S586" s="43" t="str">
        <f t="shared" si="15"/>
        <v>Comedy</v>
      </c>
    </row>
    <row r="587" spans="1:19" ht="15.75" customHeight="1" x14ac:dyDescent="0.25">
      <c r="A587" s="6" t="s">
        <v>2311</v>
      </c>
      <c r="B587" s="6">
        <v>114</v>
      </c>
      <c r="C587" s="6">
        <v>145540</v>
      </c>
      <c r="D587" s="6" t="s">
        <v>1476</v>
      </c>
      <c r="E587" s="6" t="s">
        <v>2312</v>
      </c>
      <c r="F587" s="6" t="s">
        <v>2313</v>
      </c>
      <c r="G587" s="6">
        <v>26773</v>
      </c>
      <c r="H587" s="6" t="s">
        <v>2314</v>
      </c>
      <c r="I587" s="6">
        <v>277</v>
      </c>
      <c r="J587" s="6" t="s">
        <v>23</v>
      </c>
      <c r="K587" s="6" t="s">
        <v>24</v>
      </c>
      <c r="L587" s="6">
        <v>500000</v>
      </c>
      <c r="M587" s="6">
        <v>2002</v>
      </c>
      <c r="N587" s="6">
        <v>6.7</v>
      </c>
      <c r="O587" s="4">
        <f ca="1">IFERROR(__xludf.DUMMYFUNCTION("IF(Cost_in_dollars!E587=""USD"",Cost_in_dollars!B587,Cost_in_dollars!B587 * GOOGLEFINANCE(""CURRENCY:"" &amp; Cost_in_dollars!E587 &amp; ""USD""))
"),500000)</f>
        <v>500000</v>
      </c>
      <c r="P587" s="4">
        <f ca="1">IFERROR(__xludf.DUMMYFUNCTION("IF(Cost_in_dollars!E587=""USD"",Cost_in_dollars!C587,Cost_in_dollars!C587 * GOOGLEFINANCE(""CURRENCY:"" &amp; Cost_in_dollars!E587 &amp; ""USD""))
"),145540)</f>
        <v>145540</v>
      </c>
      <c r="Q587" s="6">
        <f t="shared" ca="1" si="12"/>
        <v>-354460</v>
      </c>
      <c r="R587" s="7" t="str">
        <f t="shared" si="13"/>
        <v>May</v>
      </c>
      <c r="S587" s="43" t="str">
        <f t="shared" si="15"/>
        <v>Drama</v>
      </c>
    </row>
    <row r="588" spans="1:19" ht="15.75" customHeight="1" x14ac:dyDescent="0.25">
      <c r="A588" s="4" t="s">
        <v>2315</v>
      </c>
      <c r="B588" s="4">
        <v>196</v>
      </c>
      <c r="C588" s="4">
        <v>23225911</v>
      </c>
      <c r="D588" s="4" t="s">
        <v>504</v>
      </c>
      <c r="E588" s="4" t="s">
        <v>49</v>
      </c>
      <c r="F588" s="4" t="s">
        <v>2316</v>
      </c>
      <c r="G588" s="4">
        <v>80574</v>
      </c>
      <c r="H588" s="4" t="s">
        <v>2317</v>
      </c>
      <c r="I588" s="4">
        <v>157</v>
      </c>
      <c r="J588" s="4" t="s">
        <v>23</v>
      </c>
      <c r="K588" s="4" t="s">
        <v>24</v>
      </c>
      <c r="L588" s="4">
        <v>24000000</v>
      </c>
      <c r="M588" s="4">
        <v>2010</v>
      </c>
      <c r="N588" s="4">
        <v>6.5</v>
      </c>
      <c r="O588" s="4">
        <f ca="1">IFERROR(__xludf.DUMMYFUNCTION("IF(Cost_in_dollars!E588=""USD"",Cost_in_dollars!B588,Cost_in_dollars!B588 * GOOGLEFINANCE(""CURRENCY:"" &amp; Cost_in_dollars!E588 &amp; ""USD""))
"),24000000)</f>
        <v>24000000</v>
      </c>
      <c r="P588" s="4">
        <f ca="1">IFERROR(__xludf.DUMMYFUNCTION("IF(Cost_in_dollars!E588=""USD"",Cost_in_dollars!C588,Cost_in_dollars!C588 * GOOGLEFINANCE(""CURRENCY:"" &amp; Cost_in_dollars!E588 &amp; ""USD""))
"),23225911)</f>
        <v>23225911</v>
      </c>
      <c r="Q588" s="4">
        <f t="shared" ca="1" si="12"/>
        <v>-774089</v>
      </c>
      <c r="R588" s="5" t="str">
        <f t="shared" si="13"/>
        <v>Faster</v>
      </c>
      <c r="S588" s="43" t="str">
        <f t="shared" si="15"/>
        <v>Action</v>
      </c>
    </row>
    <row r="589" spans="1:19" ht="15.75" customHeight="1" x14ac:dyDescent="0.25">
      <c r="A589" s="6" t="s">
        <v>1810</v>
      </c>
      <c r="B589" s="6">
        <v>147</v>
      </c>
      <c r="C589" s="6">
        <v>70906973</v>
      </c>
      <c r="D589" s="6" t="s">
        <v>1756</v>
      </c>
      <c r="E589" s="6" t="s">
        <v>473</v>
      </c>
      <c r="F589" s="6" t="s">
        <v>2318</v>
      </c>
      <c r="G589" s="6">
        <v>437418</v>
      </c>
      <c r="H589" s="6" t="s">
        <v>2319</v>
      </c>
      <c r="I589" s="6">
        <v>609</v>
      </c>
      <c r="J589" s="6" t="s">
        <v>23</v>
      </c>
      <c r="K589" s="6" t="s">
        <v>24</v>
      </c>
      <c r="L589" s="6">
        <v>14600000</v>
      </c>
      <c r="M589" s="6">
        <v>1993</v>
      </c>
      <c r="N589" s="6">
        <v>8.1</v>
      </c>
      <c r="O589" s="4">
        <f ca="1">IFERROR(__xludf.DUMMYFUNCTION("IF(Cost_in_dollars!E589=""USD"",Cost_in_dollars!B589,Cost_in_dollars!B589 * GOOGLEFINANCE(""CURRENCY:"" &amp; Cost_in_dollars!E589 &amp; ""USD""))
"),14600000)</f>
        <v>14600000</v>
      </c>
      <c r="P589" s="4">
        <f ca="1">IFERROR(__xludf.DUMMYFUNCTION("IF(Cost_in_dollars!E589=""USD"",Cost_in_dollars!C589,Cost_in_dollars!C589 * GOOGLEFINANCE(""CURRENCY:"" &amp; Cost_in_dollars!E589 &amp; ""USD""))
"),70906973)</f>
        <v>70906973</v>
      </c>
      <c r="Q589" s="6">
        <f t="shared" ca="1" si="12"/>
        <v>56306973</v>
      </c>
      <c r="R589" s="7" t="str">
        <f t="shared" si="13"/>
        <v>Groundhog Day</v>
      </c>
      <c r="S589" s="43" t="str">
        <f t="shared" si="15"/>
        <v>Comedy</v>
      </c>
    </row>
    <row r="590" spans="1:19" ht="15.75" customHeight="1" x14ac:dyDescent="0.25">
      <c r="A590" s="4" t="s">
        <v>1393</v>
      </c>
      <c r="B590" s="4">
        <v>79</v>
      </c>
      <c r="C590" s="4">
        <v>1430185</v>
      </c>
      <c r="D590" s="4" t="s">
        <v>2320</v>
      </c>
      <c r="E590" s="4" t="s">
        <v>2321</v>
      </c>
      <c r="F590" s="4" t="s">
        <v>2322</v>
      </c>
      <c r="G590" s="4">
        <v>7314</v>
      </c>
      <c r="H590" s="4" t="s">
        <v>2323</v>
      </c>
      <c r="I590" s="4">
        <v>55</v>
      </c>
      <c r="J590" s="4" t="s">
        <v>23</v>
      </c>
      <c r="K590" s="4" t="s">
        <v>24</v>
      </c>
      <c r="L590" s="4">
        <v>2000000</v>
      </c>
      <c r="M590" s="4">
        <v>2007</v>
      </c>
      <c r="N590" s="4">
        <v>8.3000000000000007</v>
      </c>
      <c r="O590" s="4">
        <f ca="1">IFERROR(__xludf.DUMMYFUNCTION("IF(Cost_in_dollars!E590=""USD"",Cost_in_dollars!B590,Cost_in_dollars!B590 * GOOGLEFINANCE(""CURRENCY:"" &amp; Cost_in_dollars!E590 &amp; ""USD""))
"),2000000)</f>
        <v>2000000</v>
      </c>
      <c r="P590" s="4">
        <f ca="1">IFERROR(__xludf.DUMMYFUNCTION("IF(Cost_in_dollars!E590=""USD"",Cost_in_dollars!C590,Cost_in_dollars!C590 * GOOGLEFINANCE(""CURRENCY:"" &amp; Cost_in_dollars!E590 &amp; ""USD""))
"),1430185)</f>
        <v>1430185</v>
      </c>
      <c r="Q590" s="4">
        <f t="shared" ca="1" si="12"/>
        <v>-569815</v>
      </c>
      <c r="R590" s="5" t="str">
        <f t="shared" si="13"/>
        <v>No End in Sight</v>
      </c>
      <c r="S590" s="43" t="str">
        <f t="shared" si="15"/>
        <v>Documentary</v>
      </c>
    </row>
    <row r="591" spans="1:19" ht="15.75" customHeight="1" x14ac:dyDescent="0.25">
      <c r="A591" s="6" t="s">
        <v>2324</v>
      </c>
      <c r="B591" s="6">
        <v>180</v>
      </c>
      <c r="C591" s="6">
        <v>28064226</v>
      </c>
      <c r="D591" s="6" t="s">
        <v>1158</v>
      </c>
      <c r="E591" s="6" t="s">
        <v>2325</v>
      </c>
      <c r="F591" s="6" t="s">
        <v>2326</v>
      </c>
      <c r="G591" s="6">
        <v>65044</v>
      </c>
      <c r="H591" s="6" t="s">
        <v>2327</v>
      </c>
      <c r="I591" s="6">
        <v>173</v>
      </c>
      <c r="J591" s="6" t="s">
        <v>23</v>
      </c>
      <c r="K591" s="6" t="s">
        <v>24</v>
      </c>
      <c r="L591" s="6">
        <v>35000000</v>
      </c>
      <c r="M591" s="6">
        <v>2011</v>
      </c>
      <c r="N591" s="6">
        <v>5</v>
      </c>
      <c r="O591" s="4">
        <f ca="1">IFERROR(__xludf.DUMMYFUNCTION("IF(Cost_in_dollars!E591=""USD"",Cost_in_dollars!B591,Cost_in_dollars!B591 * GOOGLEFINANCE(""CURRENCY:"" &amp; Cost_in_dollars!E591 &amp; ""USD""))
"),35000000)</f>
        <v>35000000</v>
      </c>
      <c r="P591" s="4">
        <f ca="1">IFERROR(__xludf.DUMMYFUNCTION("IF(Cost_in_dollars!E591=""USD"",Cost_in_dollars!C591,Cost_in_dollars!C591 * GOOGLEFINANCE(""CURRENCY:"" &amp; Cost_in_dollars!E591 &amp; ""USD""))
"),28064226)</f>
        <v>28064226</v>
      </c>
      <c r="Q591" s="6">
        <f t="shared" ca="1" si="12"/>
        <v>-6935774</v>
      </c>
      <c r="R591" s="7" t="str">
        <f t="shared" si="13"/>
        <v>Abduction</v>
      </c>
      <c r="S591" s="43" t="str">
        <f t="shared" si="15"/>
        <v>Action</v>
      </c>
    </row>
    <row r="592" spans="1:19" ht="15.75" customHeight="1" x14ac:dyDescent="0.25">
      <c r="A592" s="4" t="s">
        <v>2328</v>
      </c>
      <c r="B592" s="4">
        <v>117</v>
      </c>
      <c r="C592" s="4">
        <v>3752725</v>
      </c>
      <c r="D592" s="4" t="s">
        <v>235</v>
      </c>
      <c r="E592" s="4" t="s">
        <v>320</v>
      </c>
      <c r="F592" s="4" t="s">
        <v>2329</v>
      </c>
      <c r="G592" s="4">
        <v>29715</v>
      </c>
      <c r="H592" s="4" t="s">
        <v>2330</v>
      </c>
      <c r="I592" s="4">
        <v>161</v>
      </c>
      <c r="J592" s="4" t="s">
        <v>23</v>
      </c>
      <c r="K592" s="4" t="s">
        <v>24</v>
      </c>
      <c r="L592" s="4">
        <v>18000000</v>
      </c>
      <c r="M592" s="4">
        <v>2004</v>
      </c>
      <c r="N592" s="4">
        <v>7.1</v>
      </c>
      <c r="O592" s="4">
        <f ca="1">IFERROR(__xludf.DUMMYFUNCTION("IF(Cost_in_dollars!E592=""USD"",Cost_in_dollars!B592,Cost_in_dollars!B592 * GOOGLEFINANCE(""CURRENCY:"" &amp; Cost_in_dollars!E592 &amp; ""USD""))
"),18000000)</f>
        <v>18000000</v>
      </c>
      <c r="P592" s="4">
        <f ca="1">IFERROR(__xludf.DUMMYFUNCTION("IF(Cost_in_dollars!E592=""USD"",Cost_in_dollars!C592,Cost_in_dollars!C592 * GOOGLEFINANCE(""CURRENCY:"" &amp; Cost_in_dollars!E592 &amp; ""USD""))
"),3752725)</f>
        <v>3752725</v>
      </c>
      <c r="Q592" s="4">
        <f t="shared" ca="1" si="12"/>
        <v>-14247275</v>
      </c>
      <c r="R592" s="5" t="str">
        <f t="shared" si="13"/>
        <v>The Merchant of Venice</v>
      </c>
      <c r="S592" s="43" t="str">
        <f t="shared" si="15"/>
        <v>Drama</v>
      </c>
    </row>
    <row r="593" spans="1:19" ht="15.75" customHeight="1" x14ac:dyDescent="0.25">
      <c r="A593" s="6" t="s">
        <v>2331</v>
      </c>
      <c r="B593" s="6">
        <v>153</v>
      </c>
      <c r="C593" s="6">
        <v>4063859</v>
      </c>
      <c r="D593" s="6" t="s">
        <v>235</v>
      </c>
      <c r="E593" s="6" t="s">
        <v>2332</v>
      </c>
      <c r="F593" s="6" t="s">
        <v>2333</v>
      </c>
      <c r="G593" s="6">
        <v>114407</v>
      </c>
      <c r="H593" s="6" t="s">
        <v>2334</v>
      </c>
      <c r="I593" s="6">
        <v>225</v>
      </c>
      <c r="J593" s="6" t="s">
        <v>1045</v>
      </c>
      <c r="K593" s="6" t="s">
        <v>176</v>
      </c>
      <c r="L593" s="6">
        <v>4800000</v>
      </c>
      <c r="M593" s="6">
        <v>2003</v>
      </c>
      <c r="N593" s="6">
        <v>7.7</v>
      </c>
      <c r="O593" s="4">
        <f ca="1">IFERROR(__xludf.DUMMYFUNCTION("IF(Cost_in_dollars!E593=""USD"",Cost_in_dollars!B593,Cost_in_dollars!B593 * GOOGLEFINANCE(""CURRENCY:"" &amp; Cost_in_dollars!E593 &amp; ""USD""))
"),5206752)</f>
        <v>5206752</v>
      </c>
      <c r="P593" s="4">
        <f ca="1">IFERROR(__xludf.DUMMYFUNCTION("IF(Cost_in_dollars!E593=""USD"",Cost_in_dollars!C593,Cost_in_dollars!C593 * GOOGLEFINANCE(""CURRENCY:"" &amp; Cost_in_dollars!E593 &amp; ""USD""))
"),4408230.41166)</f>
        <v>4408230.4116599998</v>
      </c>
      <c r="Q593" s="6">
        <f t="shared" ca="1" si="12"/>
        <v>-798521.58834000025</v>
      </c>
      <c r="R593" s="7" t="str">
        <f t="shared" si="13"/>
        <v>Good Bye Lenin!</v>
      </c>
      <c r="S593" s="43" t="str">
        <f t="shared" si="15"/>
        <v>Drama</v>
      </c>
    </row>
    <row r="594" spans="1:19" ht="15.75" customHeight="1" x14ac:dyDescent="0.25">
      <c r="A594" s="4" t="s">
        <v>2335</v>
      </c>
      <c r="B594" s="4">
        <v>148</v>
      </c>
      <c r="C594" s="4">
        <v>20259297</v>
      </c>
      <c r="D594" s="4" t="s">
        <v>2336</v>
      </c>
      <c r="E594" s="4" t="s">
        <v>2337</v>
      </c>
      <c r="F594" s="4" t="s">
        <v>2338</v>
      </c>
      <c r="G594" s="4">
        <v>24969</v>
      </c>
      <c r="H594" s="4" t="s">
        <v>2339</v>
      </c>
      <c r="I594" s="4">
        <v>258</v>
      </c>
      <c r="J594" s="4" t="s">
        <v>23</v>
      </c>
      <c r="K594" s="4" t="s">
        <v>24</v>
      </c>
      <c r="L594" s="4">
        <v>20000000</v>
      </c>
      <c r="M594" s="4">
        <v>2006</v>
      </c>
      <c r="N594" s="4">
        <v>4.7</v>
      </c>
      <c r="O594" s="4">
        <f ca="1">IFERROR(__xludf.DUMMYFUNCTION("IF(Cost_in_dollars!E594=""USD"",Cost_in_dollars!B594,Cost_in_dollars!B594 * GOOGLEFINANCE(""CURRENCY:"" &amp; Cost_in_dollars!E594 &amp; ""USD""))
"),20000000)</f>
        <v>20000000</v>
      </c>
      <c r="P594" s="4">
        <f ca="1">IFERROR(__xludf.DUMMYFUNCTION("IF(Cost_in_dollars!E594=""USD"",Cost_in_dollars!C594,Cost_in_dollars!C594 * GOOGLEFINANCE(""CURRENCY:"" &amp; Cost_in_dollars!E594 &amp; ""USD""))
"),20259297)</f>
        <v>20259297</v>
      </c>
      <c r="Q594" s="4">
        <f t="shared" ca="1" si="12"/>
        <v>259297</v>
      </c>
      <c r="R594" s="5" t="str">
        <f t="shared" si="13"/>
        <v>Pulse</v>
      </c>
      <c r="S594" s="43" t="str">
        <f t="shared" si="15"/>
        <v>Drama</v>
      </c>
    </row>
    <row r="595" spans="1:19" ht="15.75" customHeight="1" x14ac:dyDescent="0.25">
      <c r="A595" s="6" t="s">
        <v>1690</v>
      </c>
      <c r="B595" s="6">
        <v>74</v>
      </c>
      <c r="C595" s="6">
        <v>53133888</v>
      </c>
      <c r="D595" s="6" t="s">
        <v>2340</v>
      </c>
      <c r="E595" s="6" t="s">
        <v>1037</v>
      </c>
      <c r="F595" s="6" t="s">
        <v>2341</v>
      </c>
      <c r="G595" s="6">
        <v>50389</v>
      </c>
      <c r="H595" s="6" t="s">
        <v>2342</v>
      </c>
      <c r="I595" s="6">
        <v>136</v>
      </c>
      <c r="J595" s="6" t="s">
        <v>23</v>
      </c>
      <c r="K595" s="6" t="s">
        <v>24</v>
      </c>
      <c r="L595" s="6">
        <v>31000000</v>
      </c>
      <c r="M595" s="6">
        <v>1990</v>
      </c>
      <c r="N595" s="6">
        <v>6.3</v>
      </c>
      <c r="O595" s="4">
        <f ca="1">IFERROR(__xludf.DUMMYFUNCTION("IF(Cost_in_dollars!E595=""USD"",Cost_in_dollars!B595,Cost_in_dollars!B595 * GOOGLEFINANCE(""CURRENCY:"" &amp; Cost_in_dollars!E595 &amp; ""USD""))
"),31000000)</f>
        <v>31000000</v>
      </c>
      <c r="P595" s="4">
        <f ca="1">IFERROR(__xludf.DUMMYFUNCTION("IF(Cost_in_dollars!E595=""USD"",Cost_in_dollars!C595,Cost_in_dollars!C595 * GOOGLEFINANCE(""CURRENCY:"" &amp; Cost_in_dollars!E595 &amp; ""USD""))
"),53133888)</f>
        <v>53133888</v>
      </c>
      <c r="Q595" s="6">
        <f t="shared" ca="1" si="12"/>
        <v>22133888</v>
      </c>
      <c r="R595" s="7" t="str">
        <f t="shared" si="13"/>
        <v>Arachnophobia</v>
      </c>
      <c r="S595" s="43" t="str">
        <f t="shared" si="15"/>
        <v>Comedy</v>
      </c>
    </row>
    <row r="596" spans="1:19" ht="15.75" customHeight="1" x14ac:dyDescent="0.25">
      <c r="A596" s="4" t="s">
        <v>2343</v>
      </c>
      <c r="B596" s="4">
        <v>81</v>
      </c>
      <c r="C596" s="4">
        <v>15408822</v>
      </c>
      <c r="D596" s="4" t="s">
        <v>88</v>
      </c>
      <c r="E596" s="4" t="s">
        <v>2344</v>
      </c>
      <c r="F596" s="4" t="s">
        <v>2345</v>
      </c>
      <c r="G596" s="4">
        <v>14147</v>
      </c>
      <c r="H596" s="4" t="s">
        <v>2346</v>
      </c>
      <c r="I596" s="4">
        <v>92</v>
      </c>
      <c r="J596" s="4" t="s">
        <v>23</v>
      </c>
      <c r="K596" s="4" t="s">
        <v>24</v>
      </c>
      <c r="L596" s="4">
        <v>20000000</v>
      </c>
      <c r="M596" s="4">
        <v>2003</v>
      </c>
      <c r="N596" s="4">
        <v>5.6</v>
      </c>
      <c r="O596" s="4">
        <f ca="1">IFERROR(__xludf.DUMMYFUNCTION("IF(Cost_in_dollars!E596=""USD"",Cost_in_dollars!B596,Cost_in_dollars!B596 * GOOGLEFINANCE(""CURRENCY:"" &amp; Cost_in_dollars!E596 &amp; ""USD""))
"),20000000)</f>
        <v>20000000</v>
      </c>
      <c r="P596" s="4">
        <f ca="1">IFERROR(__xludf.DUMMYFUNCTION("IF(Cost_in_dollars!E596=""USD"",Cost_in_dollars!C596,Cost_in_dollars!C596 * GOOGLEFINANCE(""CURRENCY:"" &amp; Cost_in_dollars!E596 &amp; ""USD""))
"),15408822)</f>
        <v>15408822</v>
      </c>
      <c r="Q596" s="4">
        <f t="shared" ca="1" si="12"/>
        <v>-4591178</v>
      </c>
      <c r="R596" s="5" t="str">
        <f t="shared" si="13"/>
        <v>A Guy Thing</v>
      </c>
      <c r="S596" s="43" t="str">
        <f t="shared" si="15"/>
        <v>Comedy</v>
      </c>
    </row>
    <row r="597" spans="1:19" ht="15.75" customHeight="1" x14ac:dyDescent="0.25">
      <c r="A597" s="6" t="s">
        <v>1468</v>
      </c>
      <c r="B597" s="6">
        <v>155</v>
      </c>
      <c r="C597" s="6">
        <v>90567722</v>
      </c>
      <c r="D597" s="6" t="s">
        <v>140</v>
      </c>
      <c r="E597" s="6" t="s">
        <v>2347</v>
      </c>
      <c r="F597" s="6" t="s">
        <v>2348</v>
      </c>
      <c r="G597" s="6">
        <v>185878</v>
      </c>
      <c r="H597" s="6" t="s">
        <v>2349</v>
      </c>
      <c r="I597" s="6">
        <v>481</v>
      </c>
      <c r="J597" s="6" t="s">
        <v>23</v>
      </c>
      <c r="K597" s="6" t="s">
        <v>24</v>
      </c>
      <c r="L597" s="6">
        <v>51000000</v>
      </c>
      <c r="M597" s="6">
        <v>2000</v>
      </c>
      <c r="N597" s="6">
        <v>6.5</v>
      </c>
      <c r="O597" s="4">
        <f ca="1">IFERROR(__xludf.DUMMYFUNCTION("IF(Cost_in_dollars!E597=""USD"",Cost_in_dollars!B597,Cost_in_dollars!B597 * GOOGLEFINANCE(""CURRENCY:"" &amp; Cost_in_dollars!E597 &amp; ""USD""))
"),51000000)</f>
        <v>51000000</v>
      </c>
      <c r="P597" s="4">
        <f ca="1">IFERROR(__xludf.DUMMYFUNCTION("IF(Cost_in_dollars!E597=""USD"",Cost_in_dollars!C597,Cost_in_dollars!C597 * GOOGLEFINANCE(""CURRENCY:"" &amp; Cost_in_dollars!E597 &amp; ""USD""))
"),90567722)</f>
        <v>90567722</v>
      </c>
      <c r="Q597" s="6">
        <f t="shared" ca="1" si="12"/>
        <v>39567722</v>
      </c>
      <c r="R597" s="7" t="str">
        <f t="shared" si="13"/>
        <v>Me, Myself &amp; Irene</v>
      </c>
      <c r="S597" s="43" t="str">
        <f t="shared" si="15"/>
        <v>Comedy</v>
      </c>
    </row>
    <row r="598" spans="1:19" ht="15.75" customHeight="1" x14ac:dyDescent="0.25">
      <c r="A598" s="4" t="s">
        <v>2350</v>
      </c>
      <c r="B598" s="4">
        <v>69</v>
      </c>
      <c r="C598" s="4">
        <v>36985501</v>
      </c>
      <c r="D598" s="4" t="s">
        <v>2351</v>
      </c>
      <c r="E598" s="4" t="s">
        <v>189</v>
      </c>
      <c r="F598" s="4" t="s">
        <v>2352</v>
      </c>
      <c r="G598" s="4">
        <v>11212</v>
      </c>
      <c r="H598" s="4" t="s">
        <v>2353</v>
      </c>
      <c r="I598" s="4">
        <v>94</v>
      </c>
      <c r="J598" s="4" t="s">
        <v>23</v>
      </c>
      <c r="K598" s="4" t="s">
        <v>24</v>
      </c>
      <c r="L598" s="4">
        <v>26000000</v>
      </c>
      <c r="M598" s="4">
        <v>2002</v>
      </c>
      <c r="N598" s="4">
        <v>5.2</v>
      </c>
      <c r="O598" s="4">
        <f ca="1">IFERROR(__xludf.DUMMYFUNCTION("IF(Cost_in_dollars!E598=""USD"",Cost_in_dollars!B598,Cost_in_dollars!B598 * GOOGLEFINANCE(""CURRENCY:"" &amp; Cost_in_dollars!E598 &amp; ""USD""))
"),26000000)</f>
        <v>26000000</v>
      </c>
      <c r="P598" s="4">
        <f ca="1">IFERROR(__xludf.DUMMYFUNCTION("IF(Cost_in_dollars!E598=""USD"",Cost_in_dollars!C598,Cost_in_dollars!C598 * GOOGLEFINANCE(""CURRENCY:"" &amp; Cost_in_dollars!E598 &amp; ""USD""))
"),36985501)</f>
        <v>36985501</v>
      </c>
      <c r="Q598" s="4">
        <f t="shared" ca="1" si="12"/>
        <v>10985501</v>
      </c>
      <c r="R598" s="5" t="str">
        <f t="shared" si="13"/>
        <v>Clockstoppers</v>
      </c>
      <c r="S598" s="43" t="str">
        <f t="shared" si="15"/>
        <v>Action</v>
      </c>
    </row>
    <row r="599" spans="1:19" ht="15.75" customHeight="1" x14ac:dyDescent="0.25">
      <c r="A599" s="6" t="s">
        <v>2354</v>
      </c>
      <c r="B599" s="6">
        <v>152</v>
      </c>
      <c r="C599" s="6">
        <v>19976073</v>
      </c>
      <c r="D599" s="6" t="s">
        <v>504</v>
      </c>
      <c r="E599" s="6" t="s">
        <v>402</v>
      </c>
      <c r="F599" s="6" t="s">
        <v>2355</v>
      </c>
      <c r="G599" s="6">
        <v>65979</v>
      </c>
      <c r="H599" s="6" t="s">
        <v>2356</v>
      </c>
      <c r="I599" s="6">
        <v>220</v>
      </c>
      <c r="J599" s="6" t="s">
        <v>23</v>
      </c>
      <c r="K599" s="6" t="s">
        <v>24</v>
      </c>
      <c r="L599" s="6">
        <v>20000000</v>
      </c>
      <c r="M599" s="6">
        <v>2005</v>
      </c>
      <c r="N599" s="6">
        <v>6.3</v>
      </c>
      <c r="O599" s="4">
        <f ca="1">IFERROR(__xludf.DUMMYFUNCTION("IF(Cost_in_dollars!E599=""USD"",Cost_in_dollars!B599,Cost_in_dollars!B599 * GOOGLEFINANCE(""CURRENCY:"" &amp; Cost_in_dollars!E599 &amp; ""USD""))
"),20000000)</f>
        <v>20000000</v>
      </c>
      <c r="P599" s="4">
        <f ca="1">IFERROR(__xludf.DUMMYFUNCTION("IF(Cost_in_dollars!E599=""USD"",Cost_in_dollars!C599,Cost_in_dollars!C599 * GOOGLEFINANCE(""CURRENCY:"" &amp; Cost_in_dollars!E599 &amp; ""USD""))
"),19976073)</f>
        <v>19976073</v>
      </c>
      <c r="Q599" s="6">
        <f t="shared" ca="1" si="12"/>
        <v>-23927</v>
      </c>
      <c r="R599" s="7" t="str">
        <f t="shared" si="13"/>
        <v>Assault on Precinct 13</v>
      </c>
      <c r="S599" s="43" t="str">
        <f t="shared" si="15"/>
        <v>Action</v>
      </c>
    </row>
    <row r="600" spans="1:19" ht="15.75" customHeight="1" x14ac:dyDescent="0.25">
      <c r="A600" s="4" t="s">
        <v>2357</v>
      </c>
      <c r="B600" s="4">
        <v>62</v>
      </c>
      <c r="C600" s="4">
        <v>28870</v>
      </c>
      <c r="D600" s="4" t="s">
        <v>116</v>
      </c>
      <c r="E600" s="4" t="s">
        <v>179</v>
      </c>
      <c r="F600" s="4" t="s">
        <v>2358</v>
      </c>
      <c r="G600" s="4">
        <v>14280</v>
      </c>
      <c r="H600" s="4" t="s">
        <v>2359</v>
      </c>
      <c r="I600" s="4">
        <v>41</v>
      </c>
      <c r="J600" s="4" t="s">
        <v>23</v>
      </c>
      <c r="K600" s="4" t="s">
        <v>24</v>
      </c>
      <c r="L600" s="4">
        <v>15000000</v>
      </c>
      <c r="M600" s="4">
        <v>2011</v>
      </c>
      <c r="N600" s="4">
        <v>5.0999999999999996</v>
      </c>
      <c r="O600" s="4">
        <f ca="1">IFERROR(__xludf.DUMMYFUNCTION("IF(Cost_in_dollars!E600=""USD"",Cost_in_dollars!B600,Cost_in_dollars!B600 * GOOGLEFINANCE(""CURRENCY:"" &amp; Cost_in_dollars!E600 &amp; ""USD""))
"),15000000)</f>
        <v>15000000</v>
      </c>
      <c r="P600" s="4">
        <f ca="1">IFERROR(__xludf.DUMMYFUNCTION("IF(Cost_in_dollars!E600=""USD"",Cost_in_dollars!C600,Cost_in_dollars!C600 * GOOGLEFINANCE(""CURRENCY:"" &amp; Cost_in_dollars!E600 &amp; ""USD""))
"),28870)</f>
        <v>28870</v>
      </c>
      <c r="Q600" s="4">
        <f t="shared" ca="1" si="12"/>
        <v>-14971130</v>
      </c>
      <c r="R600" s="5" t="str">
        <f t="shared" si="13"/>
        <v>The Son of No One</v>
      </c>
      <c r="S600" s="43" t="str">
        <f t="shared" si="15"/>
        <v>Crime</v>
      </c>
    </row>
    <row r="601" spans="1:19" ht="15.75" customHeight="1" x14ac:dyDescent="0.25">
      <c r="A601" s="6" t="s">
        <v>2360</v>
      </c>
      <c r="B601" s="6">
        <v>188</v>
      </c>
      <c r="C601" s="6">
        <v>196573705</v>
      </c>
      <c r="D601" s="6" t="s">
        <v>259</v>
      </c>
      <c r="E601" s="6" t="s">
        <v>2361</v>
      </c>
      <c r="F601" s="6" t="s">
        <v>2362</v>
      </c>
      <c r="G601" s="6">
        <v>166791</v>
      </c>
      <c r="H601" s="6" t="s">
        <v>2363</v>
      </c>
      <c r="I601" s="6">
        <v>132</v>
      </c>
      <c r="J601" s="6" t="s">
        <v>23</v>
      </c>
      <c r="K601" s="6" t="s">
        <v>24</v>
      </c>
      <c r="L601" s="6">
        <v>90000000</v>
      </c>
      <c r="M601" s="6">
        <v>2009</v>
      </c>
      <c r="N601" s="6">
        <v>7</v>
      </c>
      <c r="O601" s="4">
        <f ca="1">IFERROR(__xludf.DUMMYFUNCTION("IF(Cost_in_dollars!E601=""USD"",Cost_in_dollars!B601,Cost_in_dollars!B601 * GOOGLEFINANCE(""CURRENCY:"" &amp; Cost_in_dollars!E601 &amp; ""USD""))
"),90000000)</f>
        <v>90000000</v>
      </c>
      <c r="P601" s="4">
        <f ca="1">IFERROR(__xludf.DUMMYFUNCTION("IF(Cost_in_dollars!E601=""USD"",Cost_in_dollars!C601,Cost_in_dollars!C601 * GOOGLEFINANCE(""CURRENCY:"" &amp; Cost_in_dollars!E601 &amp; ""USD""))
"),196573705)</f>
        <v>196573705</v>
      </c>
      <c r="Q601" s="6">
        <f t="shared" ca="1" si="12"/>
        <v>106573705</v>
      </c>
      <c r="R601" s="7" t="str">
        <f t="shared" si="13"/>
        <v>Ice Age: Dawn of the Dinosaurs</v>
      </c>
      <c r="S601" s="43" t="str">
        <f t="shared" si="15"/>
        <v>Action</v>
      </c>
    </row>
    <row r="602" spans="1:19" ht="15.75" customHeight="1" x14ac:dyDescent="0.25">
      <c r="A602" s="4" t="s">
        <v>2364</v>
      </c>
      <c r="B602" s="4">
        <v>37</v>
      </c>
      <c r="C602" s="4">
        <v>418953</v>
      </c>
      <c r="D602" s="4" t="s">
        <v>116</v>
      </c>
      <c r="E602" s="4" t="s">
        <v>2365</v>
      </c>
      <c r="F602" s="4" t="s">
        <v>2366</v>
      </c>
      <c r="G602" s="4">
        <v>17322</v>
      </c>
      <c r="H602" s="4" t="s">
        <v>2367</v>
      </c>
      <c r="I602" s="4">
        <v>93</v>
      </c>
      <c r="J602" s="4" t="s">
        <v>23</v>
      </c>
      <c r="K602" s="4" t="s">
        <v>611</v>
      </c>
      <c r="L602" s="4">
        <v>1500000</v>
      </c>
      <c r="M602" s="4">
        <v>1993</v>
      </c>
      <c r="N602" s="4">
        <v>6.5</v>
      </c>
      <c r="O602" s="4">
        <f ca="1">IFERROR(__xludf.DUMMYFUNCTION("IF(Cost_in_dollars!E602=""USD"",Cost_in_dollars!B602,Cost_in_dollars!B602 * GOOGLEFINANCE(""CURRENCY:"" &amp; Cost_in_dollars!E602 &amp; ""USD""))
"),1627110)</f>
        <v>1627110</v>
      </c>
      <c r="P602" s="4">
        <f ca="1">IFERROR(__xludf.DUMMYFUNCTION("IF(Cost_in_dollars!E602=""USD"",Cost_in_dollars!C602,Cost_in_dollars!C602 * GOOGLEFINANCE(""CURRENCY:"" &amp; Cost_in_dollars!E602 &amp; ""USD""))
"),454455.07722)</f>
        <v>454455.07721999998</v>
      </c>
      <c r="Q602" s="4">
        <f t="shared" ca="1" si="12"/>
        <v>-1172654.9227800001</v>
      </c>
      <c r="R602" s="5" t="str">
        <f t="shared" si="13"/>
        <v>Killing Zoe</v>
      </c>
      <c r="S602" s="43" t="str">
        <f t="shared" si="15"/>
        <v>Crime</v>
      </c>
    </row>
    <row r="603" spans="1:19" ht="15.75" customHeight="1" x14ac:dyDescent="0.25">
      <c r="A603" s="6" t="s">
        <v>2368</v>
      </c>
      <c r="B603" s="6">
        <v>315</v>
      </c>
      <c r="C603" s="6">
        <v>90356857</v>
      </c>
      <c r="D603" s="6" t="s">
        <v>793</v>
      </c>
      <c r="E603" s="6" t="s">
        <v>54</v>
      </c>
      <c r="F603" s="6" t="s">
        <v>2369</v>
      </c>
      <c r="G603" s="6">
        <v>238916</v>
      </c>
      <c r="H603" s="6" t="s">
        <v>2370</v>
      </c>
      <c r="I603" s="6">
        <v>328</v>
      </c>
      <c r="J603" s="6" t="s">
        <v>23</v>
      </c>
      <c r="K603" s="6" t="s">
        <v>24</v>
      </c>
      <c r="L603" s="6">
        <v>58000000</v>
      </c>
      <c r="M603" s="6">
        <v>2010</v>
      </c>
      <c r="N603" s="6">
        <v>7.1</v>
      </c>
      <c r="O603" s="4">
        <f ca="1">IFERROR(__xludf.DUMMYFUNCTION("IF(Cost_in_dollars!E603=""USD"",Cost_in_dollars!B603,Cost_in_dollars!B603 * GOOGLEFINANCE(""CURRENCY:"" &amp; Cost_in_dollars!E603 &amp; ""USD""))
"),58000000)</f>
        <v>58000000</v>
      </c>
      <c r="P603" s="4">
        <f ca="1">IFERROR(__xludf.DUMMYFUNCTION("IF(Cost_in_dollars!E603=""USD"",Cost_in_dollars!C603,Cost_in_dollars!C603 * GOOGLEFINANCE(""CURRENCY:"" &amp; Cost_in_dollars!E603 &amp; ""USD""))
"),90356857)</f>
        <v>90356857</v>
      </c>
      <c r="Q603" s="6">
        <f t="shared" ca="1" si="12"/>
        <v>32356857</v>
      </c>
      <c r="R603" s="7" t="str">
        <f t="shared" si="13"/>
        <v>RED</v>
      </c>
      <c r="S603" s="43" t="str">
        <f t="shared" si="15"/>
        <v>Action</v>
      </c>
    </row>
    <row r="604" spans="1:19" ht="15.75" customHeight="1" x14ac:dyDescent="0.25">
      <c r="A604" s="4" t="s">
        <v>2371</v>
      </c>
      <c r="B604" s="4">
        <v>49</v>
      </c>
      <c r="C604" s="4">
        <v>2331318</v>
      </c>
      <c r="D604" s="4" t="s">
        <v>140</v>
      </c>
      <c r="E604" s="4" t="s">
        <v>2372</v>
      </c>
      <c r="F604" s="4" t="s">
        <v>2373</v>
      </c>
      <c r="G604" s="4">
        <v>9541</v>
      </c>
      <c r="H604" s="4" t="s">
        <v>2374</v>
      </c>
      <c r="I604" s="4">
        <v>64</v>
      </c>
      <c r="J604" s="4" t="s">
        <v>23</v>
      </c>
      <c r="K604" s="4" t="s">
        <v>24</v>
      </c>
      <c r="L604" s="4">
        <v>10000000</v>
      </c>
      <c r="M604" s="4">
        <v>2011</v>
      </c>
      <c r="N604" s="4">
        <v>3.3</v>
      </c>
      <c r="O604" s="4">
        <f ca="1">IFERROR(__xludf.DUMMYFUNCTION("IF(Cost_in_dollars!E604=""USD"",Cost_in_dollars!B604,Cost_in_dollars!B604 * GOOGLEFINANCE(""CURRENCY:"" &amp; Cost_in_dollars!E604 &amp; ""USD""))
"),10000000)</f>
        <v>10000000</v>
      </c>
      <c r="P604" s="4">
        <f ca="1">IFERROR(__xludf.DUMMYFUNCTION("IF(Cost_in_dollars!E604=""USD"",Cost_in_dollars!C604,Cost_in_dollars!C604 * GOOGLEFINANCE(""CURRENCY:"" &amp; Cost_in_dollars!E604 &amp; ""USD""))
"),2331318)</f>
        <v>2331318</v>
      </c>
      <c r="Q604" s="4">
        <f t="shared" ca="1" si="12"/>
        <v>-7668682</v>
      </c>
      <c r="R604" s="5" t="str">
        <f t="shared" si="13"/>
        <v>Bucky Larson: Born to Be a Star</v>
      </c>
      <c r="S604" s="43" t="str">
        <f t="shared" si="15"/>
        <v>Comedy</v>
      </c>
    </row>
    <row r="605" spans="1:19" ht="15.75" customHeight="1" x14ac:dyDescent="0.25">
      <c r="A605" s="6" t="s">
        <v>2375</v>
      </c>
      <c r="B605" s="6">
        <v>14</v>
      </c>
      <c r="C605" s="6">
        <v>24103594</v>
      </c>
      <c r="D605" s="6" t="s">
        <v>2376</v>
      </c>
      <c r="E605" s="6" t="s">
        <v>752</v>
      </c>
      <c r="F605" s="6" t="s">
        <v>2377</v>
      </c>
      <c r="G605" s="6">
        <v>6384</v>
      </c>
      <c r="H605" s="6" t="s">
        <v>2378</v>
      </c>
      <c r="I605" s="6">
        <v>54</v>
      </c>
      <c r="J605" s="6" t="s">
        <v>23</v>
      </c>
      <c r="K605" s="6" t="s">
        <v>24</v>
      </c>
      <c r="L605" s="6">
        <v>6500000</v>
      </c>
      <c r="M605" s="6">
        <v>1993</v>
      </c>
      <c r="N605" s="6">
        <v>6.2</v>
      </c>
      <c r="O605" s="4">
        <f ca="1">IFERROR(__xludf.DUMMYFUNCTION("IF(Cost_in_dollars!E605=""USD"",Cost_in_dollars!B605,Cost_in_dollars!B605 * GOOGLEFINANCE(""CURRENCY:"" &amp; Cost_in_dollars!E605 &amp; ""USD""))
"),6500000)</f>
        <v>6500000</v>
      </c>
      <c r="P605" s="4">
        <f ca="1">IFERROR(__xludf.DUMMYFUNCTION("IF(Cost_in_dollars!E605=""USD"",Cost_in_dollars!C605,Cost_in_dollars!C605 * GOOGLEFINANCE(""CURRENCY:"" &amp; Cost_in_dollars!E605 &amp; ""USD""))
"),24103594)</f>
        <v>24103594</v>
      </c>
      <c r="Q605" s="6">
        <f t="shared" ca="1" si="12"/>
        <v>17603594</v>
      </c>
      <c r="R605" s="7" t="str">
        <f t="shared" si="13"/>
        <v>The Adventures of Huck Finn</v>
      </c>
      <c r="S605" s="43" t="str">
        <f t="shared" si="15"/>
        <v>Adventure</v>
      </c>
    </row>
    <row r="606" spans="1:19" ht="15.75" customHeight="1" x14ac:dyDescent="0.25">
      <c r="A606" s="4" t="s">
        <v>2379</v>
      </c>
      <c r="B606" s="4">
        <v>111</v>
      </c>
      <c r="C606" s="4">
        <v>43601508</v>
      </c>
      <c r="D606" s="4" t="s">
        <v>162</v>
      </c>
      <c r="E606" s="4" t="s">
        <v>2380</v>
      </c>
      <c r="F606" s="4" t="s">
        <v>2381</v>
      </c>
      <c r="G606" s="4">
        <v>35718</v>
      </c>
      <c r="H606" s="4" t="s">
        <v>2382</v>
      </c>
      <c r="I606" s="4">
        <v>317</v>
      </c>
      <c r="J606" s="4" t="s">
        <v>23</v>
      </c>
      <c r="K606" s="4" t="s">
        <v>24</v>
      </c>
      <c r="L606" s="4">
        <v>18000000</v>
      </c>
      <c r="M606" s="4">
        <v>2003</v>
      </c>
      <c r="N606" s="4">
        <v>6.7</v>
      </c>
      <c r="O606" s="4">
        <f ca="1">IFERROR(__xludf.DUMMYFUNCTION("IF(Cost_in_dollars!E606=""USD"",Cost_in_dollars!B606,Cost_in_dollars!B606 * GOOGLEFINANCE(""CURRENCY:"" &amp; Cost_in_dollars!E606 &amp; ""USD""))
"),18000000)</f>
        <v>18000000</v>
      </c>
      <c r="P606" s="4">
        <f ca="1">IFERROR(__xludf.DUMMYFUNCTION("IF(Cost_in_dollars!E606=""USD"",Cost_in_dollars!C606,Cost_in_dollars!C606 * GOOGLEFINANCE(""CURRENCY:"" &amp; Cost_in_dollars!E606 &amp; ""USD""))
"),43601508)</f>
        <v>43601508</v>
      </c>
      <c r="Q606" s="4">
        <f t="shared" ca="1" si="12"/>
        <v>25601508</v>
      </c>
      <c r="R606" s="5" t="str">
        <f t="shared" si="13"/>
        <v>Under the Tuscan Sun</v>
      </c>
      <c r="S606" s="43" t="str">
        <f t="shared" si="15"/>
        <v>Comedy</v>
      </c>
    </row>
    <row r="607" spans="1:19" ht="15.75" customHeight="1" x14ac:dyDescent="0.25">
      <c r="A607" s="6" t="s">
        <v>2383</v>
      </c>
      <c r="B607" s="6">
        <v>227</v>
      </c>
      <c r="C607" s="6">
        <v>72515360</v>
      </c>
      <c r="D607" s="6" t="s">
        <v>578</v>
      </c>
      <c r="E607" s="6" t="s">
        <v>2384</v>
      </c>
      <c r="F607" s="6" t="s">
        <v>2385</v>
      </c>
      <c r="G607" s="6">
        <v>86152</v>
      </c>
      <c r="H607" s="6" t="s">
        <v>2386</v>
      </c>
      <c r="I607" s="6">
        <v>411</v>
      </c>
      <c r="J607" s="6" t="s">
        <v>2387</v>
      </c>
      <c r="K607" s="6" t="s">
        <v>133</v>
      </c>
      <c r="L607" s="6">
        <v>80000000</v>
      </c>
      <c r="M607" s="6">
        <v>2005</v>
      </c>
      <c r="N607" s="6">
        <v>6.4</v>
      </c>
      <c r="O607" s="4">
        <f ca="1">IFERROR(__xludf.DUMMYFUNCTION("IF(Cost_in_dollars!E607=""USD"",Cost_in_dollars!B607,Cost_in_dollars!B607 * GOOGLEFINANCE(""CURRENCY:"" &amp; Cost_in_dollars!E607 &amp; ""USD""))
"),102831999.999999)</f>
        <v>102831999.999999</v>
      </c>
      <c r="P607" s="4">
        <f ca="1">IFERROR(__xludf.DUMMYFUNCTION("IF(Cost_in_dollars!E607=""USD"",Cost_in_dollars!C607,Cost_in_dollars!C607 * GOOGLEFINANCE(""CURRENCY:"" &amp; Cost_in_dollars!E607 &amp; ""USD""))
"),93211243.7439999)</f>
        <v>93211243.743999898</v>
      </c>
      <c r="Q607" s="6">
        <f t="shared" ca="1" si="12"/>
        <v>-9620756.2559991032</v>
      </c>
      <c r="R607" s="7" t="str">
        <f t="shared" si="13"/>
        <v>The Interpreter</v>
      </c>
      <c r="S607" s="43" t="str">
        <f t="shared" si="15"/>
        <v>Crime</v>
      </c>
    </row>
    <row r="608" spans="1:19" ht="15.75" customHeight="1" x14ac:dyDescent="0.25">
      <c r="A608" s="4" t="s">
        <v>2388</v>
      </c>
      <c r="B608" s="4">
        <v>283</v>
      </c>
      <c r="C608" s="4">
        <v>16168741</v>
      </c>
      <c r="D608" s="4" t="s">
        <v>421</v>
      </c>
      <c r="E608" s="4" t="s">
        <v>207</v>
      </c>
      <c r="F608" s="4" t="s">
        <v>2389</v>
      </c>
      <c r="G608" s="4">
        <v>99430</v>
      </c>
      <c r="H608" s="4" t="s">
        <v>2390</v>
      </c>
      <c r="I608" s="4">
        <v>182</v>
      </c>
      <c r="J608" s="4" t="s">
        <v>23</v>
      </c>
      <c r="K608" s="4" t="s">
        <v>24</v>
      </c>
      <c r="L608" s="4">
        <v>8000000</v>
      </c>
      <c r="M608" s="4">
        <v>2013</v>
      </c>
      <c r="N608" s="4">
        <v>7.4</v>
      </c>
      <c r="O608" s="4">
        <f ca="1">IFERROR(__xludf.DUMMYFUNCTION("IF(Cost_in_dollars!E608=""USD"",Cost_in_dollars!B608,Cost_in_dollars!B608 * GOOGLEFINANCE(""CURRENCY:"" &amp; Cost_in_dollars!E608 &amp; ""USD""))
"),8000000)</f>
        <v>8000000</v>
      </c>
      <c r="P608" s="4">
        <f ca="1">IFERROR(__xludf.DUMMYFUNCTION("IF(Cost_in_dollars!E608=""USD"",Cost_in_dollars!C608,Cost_in_dollars!C608 * GOOGLEFINANCE(""CURRENCY:"" &amp; Cost_in_dollars!E608 &amp; ""USD""))
"),16168741)</f>
        <v>16168741</v>
      </c>
      <c r="Q608" s="4">
        <f t="shared" ca="1" si="12"/>
        <v>8168741</v>
      </c>
      <c r="R608" s="5" t="str">
        <f t="shared" si="13"/>
        <v>Begin Again</v>
      </c>
      <c r="S608" s="43" t="str">
        <f t="shared" si="15"/>
        <v>Drama</v>
      </c>
    </row>
    <row r="609" spans="1:19" ht="15.75" customHeight="1" x14ac:dyDescent="0.25">
      <c r="A609" s="6" t="s">
        <v>2391</v>
      </c>
      <c r="B609" s="6">
        <v>54</v>
      </c>
      <c r="C609" s="6">
        <v>13376506</v>
      </c>
      <c r="D609" s="6" t="s">
        <v>102</v>
      </c>
      <c r="E609" s="6" t="s">
        <v>2392</v>
      </c>
      <c r="F609" s="6" t="s">
        <v>2393</v>
      </c>
      <c r="G609" s="6">
        <v>10413</v>
      </c>
      <c r="H609" s="6" t="s">
        <v>2394</v>
      </c>
      <c r="I609" s="6">
        <v>111</v>
      </c>
      <c r="J609" s="6" t="s">
        <v>23</v>
      </c>
      <c r="K609" s="6" t="s">
        <v>24</v>
      </c>
      <c r="L609" s="6">
        <v>40000000</v>
      </c>
      <c r="M609" s="6">
        <v>1999</v>
      </c>
      <c r="N609" s="6">
        <v>6.3</v>
      </c>
      <c r="O609" s="4">
        <f ca="1">IFERROR(__xludf.DUMMYFUNCTION("IF(Cost_in_dollars!E609=""USD"",Cost_in_dollars!B609,Cost_in_dollars!B609 * GOOGLEFINANCE(""CURRENCY:"" &amp; Cost_in_dollars!E609 &amp; ""USD""))
"),40000000)</f>
        <v>40000000</v>
      </c>
      <c r="P609" s="4">
        <f ca="1">IFERROR(__xludf.DUMMYFUNCTION("IF(Cost_in_dollars!E609=""USD"",Cost_in_dollars!C609,Cost_in_dollars!C609 * GOOGLEFINANCE(""CURRENCY:"" &amp; Cost_in_dollars!E609 &amp; ""USD""))
"),13376506)</f>
        <v>13376506</v>
      </c>
      <c r="Q609" s="6">
        <f t="shared" ca="1" si="12"/>
        <v>-26623494</v>
      </c>
      <c r="R609" s="7" t="str">
        <f t="shared" si="13"/>
        <v>The Deep End of the Ocean</v>
      </c>
      <c r="S609" s="43" t="str">
        <f t="shared" si="15"/>
        <v>Drama</v>
      </c>
    </row>
    <row r="610" spans="1:19" ht="15.75" customHeight="1" x14ac:dyDescent="0.25">
      <c r="A610" s="4" t="s">
        <v>2395</v>
      </c>
      <c r="B610" s="4">
        <v>64</v>
      </c>
      <c r="C610" s="4">
        <v>3100650</v>
      </c>
      <c r="D610" s="4" t="s">
        <v>2396</v>
      </c>
      <c r="E610" s="4" t="s">
        <v>2397</v>
      </c>
      <c r="F610" s="4" t="s">
        <v>2398</v>
      </c>
      <c r="G610" s="4">
        <v>7277</v>
      </c>
      <c r="H610" s="4" t="s">
        <v>2399</v>
      </c>
      <c r="I610" s="4">
        <v>181</v>
      </c>
      <c r="J610" s="4" t="s">
        <v>23</v>
      </c>
      <c r="K610" s="4" t="s">
        <v>24</v>
      </c>
      <c r="L610" s="4">
        <v>14000000</v>
      </c>
      <c r="M610" s="4">
        <v>2001</v>
      </c>
      <c r="N610" s="4">
        <v>3.9</v>
      </c>
      <c r="O610" s="4">
        <f ca="1">IFERROR(__xludf.DUMMYFUNCTION("IF(Cost_in_dollars!E610=""USD"",Cost_in_dollars!B610,Cost_in_dollars!B610 * GOOGLEFINANCE(""CURRENCY:"" &amp; Cost_in_dollars!E610 &amp; ""USD""))
"),14000000)</f>
        <v>14000000</v>
      </c>
      <c r="P610" s="4">
        <f ca="1">IFERROR(__xludf.DUMMYFUNCTION("IF(Cost_in_dollars!E610=""USD"",Cost_in_dollars!C610,Cost_in_dollars!C610 * GOOGLEFINANCE(""CURRENCY:"" &amp; Cost_in_dollars!E610 &amp; ""USD""))
"),3100650)</f>
        <v>3100650</v>
      </c>
      <c r="Q610" s="4">
        <f t="shared" ca="1" si="12"/>
        <v>-10899350</v>
      </c>
      <c r="R610" s="5" t="str">
        <f t="shared" si="13"/>
        <v>Soul Survivors</v>
      </c>
      <c r="S610" s="43" t="str">
        <f t="shared" si="15"/>
        <v>Drama</v>
      </c>
    </row>
    <row r="611" spans="1:19" ht="15.75" customHeight="1" x14ac:dyDescent="0.25">
      <c r="A611" s="6" t="s">
        <v>2400</v>
      </c>
      <c r="B611" s="6">
        <v>267</v>
      </c>
      <c r="C611" s="6">
        <v>108521835</v>
      </c>
      <c r="D611" s="6" t="s">
        <v>1099</v>
      </c>
      <c r="E611" s="6" t="s">
        <v>588</v>
      </c>
      <c r="F611" s="6" t="s">
        <v>2401</v>
      </c>
      <c r="G611" s="6">
        <v>40123</v>
      </c>
      <c r="H611" s="6" t="s">
        <v>2402</v>
      </c>
      <c r="I611" s="6">
        <v>297</v>
      </c>
      <c r="J611" s="6" t="s">
        <v>23</v>
      </c>
      <c r="K611" s="6" t="s">
        <v>133</v>
      </c>
      <c r="L611" s="6">
        <v>120000000</v>
      </c>
      <c r="M611" s="6">
        <v>2016</v>
      </c>
      <c r="N611" s="6">
        <v>7.1</v>
      </c>
      <c r="O611" s="4">
        <f ca="1">IFERROR(__xludf.DUMMYFUNCTION("IF(Cost_in_dollars!E611=""USD"",Cost_in_dollars!B611,Cost_in_dollars!B611 * GOOGLEFINANCE(""CURRENCY:"" &amp; Cost_in_dollars!E611 &amp; ""USD""))
"),154248000)</f>
        <v>154248000</v>
      </c>
      <c r="P611" s="4">
        <f ca="1">IFERROR(__xludf.DUMMYFUNCTION("IF(Cost_in_dollars!E611=""USD"",Cost_in_dollars!C611,Cost_in_dollars!C611 * GOOGLEFINANCE(""CURRENCY:"" &amp; Cost_in_dollars!E611 &amp; ""USD""))
"),139493966.709)</f>
        <v>139493966.70899999</v>
      </c>
      <c r="Q611" s="6">
        <f t="shared" ca="1" si="12"/>
        <v>-14754033.291000009</v>
      </c>
      <c r="R611" s="7" t="str">
        <f t="shared" si="13"/>
        <v>Jason Bourne</v>
      </c>
      <c r="S611" s="43" t="str">
        <f t="shared" si="15"/>
        <v>Action</v>
      </c>
    </row>
    <row r="612" spans="1:19" ht="15.75" customHeight="1" x14ac:dyDescent="0.25">
      <c r="A612" s="4" t="s">
        <v>323</v>
      </c>
      <c r="B612" s="4">
        <v>93</v>
      </c>
      <c r="C612" s="4">
        <v>24881000</v>
      </c>
      <c r="D612" s="4" t="s">
        <v>2403</v>
      </c>
      <c r="E612" s="4" t="s">
        <v>2404</v>
      </c>
      <c r="F612" s="4" t="s">
        <v>2405</v>
      </c>
      <c r="G612" s="4">
        <v>57140</v>
      </c>
      <c r="H612" s="4" t="s">
        <v>2406</v>
      </c>
      <c r="I612" s="4">
        <v>195</v>
      </c>
      <c r="J612" s="4" t="s">
        <v>23</v>
      </c>
      <c r="K612" s="4" t="s">
        <v>24</v>
      </c>
      <c r="L612" s="4">
        <v>15000000</v>
      </c>
      <c r="M612" s="4">
        <v>1996</v>
      </c>
      <c r="N612" s="4">
        <v>6.2</v>
      </c>
      <c r="O612" s="4">
        <f ca="1">IFERROR(__xludf.DUMMYFUNCTION("IF(Cost_in_dollars!E612=""USD"",Cost_in_dollars!B612,Cost_in_dollars!B612 * GOOGLEFINANCE(""CURRENCY:"" &amp; Cost_in_dollars!E612 &amp; ""USD""))
"),15000000)</f>
        <v>15000000</v>
      </c>
      <c r="P612" s="4">
        <f ca="1">IFERROR(__xludf.DUMMYFUNCTION("IF(Cost_in_dollars!E612=""USD"",Cost_in_dollars!C612,Cost_in_dollars!C612 * GOOGLEFINANCE(""CURRENCY:"" &amp; Cost_in_dollars!E612 &amp; ""USD""))
"),24881000)</f>
        <v>24881000</v>
      </c>
      <c r="Q612" s="4">
        <f t="shared" ca="1" si="12"/>
        <v>9881000</v>
      </c>
      <c r="R612" s="5" t="str">
        <f t="shared" si="13"/>
        <v>The Craft</v>
      </c>
      <c r="S612" s="43" t="str">
        <f t="shared" si="15"/>
        <v>Drama</v>
      </c>
    </row>
    <row r="613" spans="1:19" ht="15.75" customHeight="1" x14ac:dyDescent="0.25">
      <c r="A613" s="6" t="s">
        <v>1574</v>
      </c>
      <c r="B613" s="6">
        <v>96</v>
      </c>
      <c r="C613" s="6">
        <v>43532294</v>
      </c>
      <c r="D613" s="6" t="s">
        <v>135</v>
      </c>
      <c r="E613" s="6" t="s">
        <v>79</v>
      </c>
      <c r="F613" s="6" t="s">
        <v>2407</v>
      </c>
      <c r="G613" s="6">
        <v>46951</v>
      </c>
      <c r="H613" s="6" t="s">
        <v>2408</v>
      </c>
      <c r="I613" s="6">
        <v>175</v>
      </c>
      <c r="J613" s="6" t="s">
        <v>23</v>
      </c>
      <c r="K613" s="6" t="s">
        <v>24</v>
      </c>
      <c r="L613" s="6">
        <v>65000000</v>
      </c>
      <c r="M613" s="6">
        <v>2006</v>
      </c>
      <c r="N613" s="6">
        <v>7.1</v>
      </c>
      <c r="O613" s="4">
        <f ca="1">IFERROR(__xludf.DUMMYFUNCTION("IF(Cost_in_dollars!E613=""USD"",Cost_in_dollars!B613,Cost_in_dollars!B613 * GOOGLEFINANCE(""CURRENCY:"" &amp; Cost_in_dollars!E613 &amp; ""USD""))
"),65000000)</f>
        <v>65000000</v>
      </c>
      <c r="P613" s="4">
        <f ca="1">IFERROR(__xludf.DUMMYFUNCTION("IF(Cost_in_dollars!E613=""USD"",Cost_in_dollars!C613,Cost_in_dollars!C613 * GOOGLEFINANCE(""CURRENCY:"" &amp; Cost_in_dollars!E613 &amp; ""USD""))
"),43532294)</f>
        <v>43532294</v>
      </c>
      <c r="Q613" s="6">
        <f t="shared" ca="1" si="12"/>
        <v>-21467706</v>
      </c>
      <c r="R613" s="7" t="str">
        <f t="shared" si="13"/>
        <v>We Are Marshall</v>
      </c>
      <c r="S613" s="43" t="str">
        <f t="shared" si="15"/>
        <v>Drama</v>
      </c>
    </row>
    <row r="614" spans="1:19" ht="15.75" customHeight="1" x14ac:dyDescent="0.25">
      <c r="A614" s="4" t="s">
        <v>2288</v>
      </c>
      <c r="B614" s="4">
        <v>304</v>
      </c>
      <c r="C614" s="4">
        <v>191450875</v>
      </c>
      <c r="D614" s="4" t="s">
        <v>2409</v>
      </c>
      <c r="E614" s="4" t="s">
        <v>1994</v>
      </c>
      <c r="F614" s="4" t="s">
        <v>2410</v>
      </c>
      <c r="G614" s="4">
        <v>101178</v>
      </c>
      <c r="H614" s="4" t="s">
        <v>2411</v>
      </c>
      <c r="I614" s="4">
        <v>283</v>
      </c>
      <c r="J614" s="4" t="s">
        <v>23</v>
      </c>
      <c r="K614" s="4" t="s">
        <v>24</v>
      </c>
      <c r="L614" s="4">
        <v>200000000</v>
      </c>
      <c r="M614" s="4">
        <v>2011</v>
      </c>
      <c r="N614" s="4">
        <v>6.3</v>
      </c>
      <c r="O614" s="4">
        <f ca="1">IFERROR(__xludf.DUMMYFUNCTION("IF(Cost_in_dollars!E614=""USD"",Cost_in_dollars!B614,Cost_in_dollars!B614 * GOOGLEFINANCE(""CURRENCY:"" &amp; Cost_in_dollars!E614 &amp; ""USD""))
"),200000000)</f>
        <v>200000000</v>
      </c>
      <c r="P614" s="4">
        <f ca="1">IFERROR(__xludf.DUMMYFUNCTION("IF(Cost_in_dollars!E614=""USD"",Cost_in_dollars!C614,Cost_in_dollars!C614 * GOOGLEFINANCE(""CURRENCY:"" &amp; Cost_in_dollars!E614 &amp; ""USD""))
"),191450875)</f>
        <v>191450875</v>
      </c>
      <c r="Q614" s="4">
        <f t="shared" ca="1" si="12"/>
        <v>-8549125</v>
      </c>
      <c r="R614" s="5" t="str">
        <f t="shared" si="13"/>
        <v>Cars 2</v>
      </c>
      <c r="S614" s="43" t="str">
        <f t="shared" si="15"/>
        <v>Adventure</v>
      </c>
    </row>
    <row r="615" spans="1:19" ht="15.75" customHeight="1" x14ac:dyDescent="0.25">
      <c r="A615" s="6" t="s">
        <v>2412</v>
      </c>
      <c r="B615" s="6">
        <v>285</v>
      </c>
      <c r="C615" s="6">
        <v>56715371</v>
      </c>
      <c r="D615" s="6" t="s">
        <v>779</v>
      </c>
      <c r="E615" s="6" t="s">
        <v>2413</v>
      </c>
      <c r="F615" s="6" t="s">
        <v>2414</v>
      </c>
      <c r="G615" s="6">
        <v>427357</v>
      </c>
      <c r="H615" s="6" t="s">
        <v>2415</v>
      </c>
      <c r="I615" s="6">
        <v>1736</v>
      </c>
      <c r="J615" s="6" t="s">
        <v>23</v>
      </c>
      <c r="K615" s="6" t="s">
        <v>133</v>
      </c>
      <c r="L615" s="6">
        <v>12000000</v>
      </c>
      <c r="M615" s="6">
        <v>1968</v>
      </c>
      <c r="N615" s="6">
        <v>8.3000000000000007</v>
      </c>
      <c r="O615" s="4">
        <f ca="1">IFERROR(__xludf.DUMMYFUNCTION("IF(Cost_in_dollars!E615=""USD"",Cost_in_dollars!B615,Cost_in_dollars!B615 * GOOGLEFINANCE(""CURRENCY:"" &amp; Cost_in_dollars!E615 &amp; ""USD""))
"),15424799.9999999)</f>
        <v>15424799.999999899</v>
      </c>
      <c r="P615" s="4">
        <f ca="1">IFERROR(__xludf.DUMMYFUNCTION("IF(Cost_in_dollars!E615=""USD"",Cost_in_dollars!C615,Cost_in_dollars!C615 * GOOGLEFINANCE(""CURRENCY:"" &amp; Cost_in_dollars!E615 &amp; ""USD""))
"),72901937.8834)</f>
        <v>72901937.883399993</v>
      </c>
      <c r="Q615" s="6">
        <f t="shared" ca="1" si="12"/>
        <v>57477137.883400097</v>
      </c>
      <c r="R615" s="7" t="str">
        <f t="shared" si="13"/>
        <v>2001: A Space Odyssey</v>
      </c>
      <c r="S615" s="43" t="str">
        <f t="shared" si="15"/>
        <v>Adventure</v>
      </c>
    </row>
    <row r="616" spans="1:19" ht="15.75" customHeight="1" x14ac:dyDescent="0.25">
      <c r="A616" s="4" t="s">
        <v>2416</v>
      </c>
      <c r="B616" s="4">
        <v>5</v>
      </c>
      <c r="C616" s="4">
        <v>39552600</v>
      </c>
      <c r="D616" s="4" t="s">
        <v>2417</v>
      </c>
      <c r="E616" s="4" t="s">
        <v>2418</v>
      </c>
      <c r="F616" s="4" t="s">
        <v>2419</v>
      </c>
      <c r="G616" s="4">
        <v>3411</v>
      </c>
      <c r="H616" s="4" t="s">
        <v>2420</v>
      </c>
      <c r="I616" s="4">
        <v>36</v>
      </c>
      <c r="J616" s="4" t="s">
        <v>23</v>
      </c>
      <c r="K616" s="4" t="s">
        <v>24</v>
      </c>
      <c r="L616" s="4">
        <v>500000</v>
      </c>
      <c r="M616" s="4">
        <v>1974</v>
      </c>
      <c r="N616" s="4">
        <v>6.1</v>
      </c>
      <c r="O616" s="4">
        <f ca="1">IFERROR(__xludf.DUMMYFUNCTION("IF(Cost_in_dollars!E616=""USD"",Cost_in_dollars!B616,Cost_in_dollars!B616 * GOOGLEFINANCE(""CURRENCY:"" &amp; Cost_in_dollars!E616 &amp; ""USD""))
"),500000)</f>
        <v>500000</v>
      </c>
      <c r="P616" s="4">
        <f ca="1">IFERROR(__xludf.DUMMYFUNCTION("IF(Cost_in_dollars!E616=""USD"",Cost_in_dollars!C616,Cost_in_dollars!C616 * GOOGLEFINANCE(""CURRENCY:"" &amp; Cost_in_dollars!E616 &amp; ""USD""))
"),39552600)</f>
        <v>39552600</v>
      </c>
      <c r="Q616" s="4">
        <f t="shared" ca="1" si="12"/>
        <v>39052600</v>
      </c>
      <c r="R616" s="5" t="str">
        <f t="shared" si="13"/>
        <v>Benji</v>
      </c>
      <c r="S616" s="43" t="str">
        <f t="shared" si="15"/>
        <v>Adventure</v>
      </c>
    </row>
    <row r="617" spans="1:19" ht="15.75" customHeight="1" x14ac:dyDescent="0.25">
      <c r="A617" s="6" t="s">
        <v>2421</v>
      </c>
      <c r="B617" s="6">
        <v>174</v>
      </c>
      <c r="C617" s="6">
        <v>27277055</v>
      </c>
      <c r="D617" s="6" t="s">
        <v>1012</v>
      </c>
      <c r="E617" s="6" t="s">
        <v>1930</v>
      </c>
      <c r="F617" s="6" t="s">
        <v>2422</v>
      </c>
      <c r="G617" s="6">
        <v>143137</v>
      </c>
      <c r="H617" s="6" t="s">
        <v>2423</v>
      </c>
      <c r="I617" s="6">
        <v>602</v>
      </c>
      <c r="J617" s="6" t="s">
        <v>23</v>
      </c>
      <c r="K617" s="6" t="s">
        <v>133</v>
      </c>
      <c r="L617" s="6">
        <v>20000000</v>
      </c>
      <c r="M617" s="6">
        <v>2000</v>
      </c>
      <c r="N617" s="6">
        <v>7.6</v>
      </c>
      <c r="O617" s="4">
        <f ca="1">IFERROR(__xludf.DUMMYFUNCTION("IF(Cost_in_dollars!E617=""USD"",Cost_in_dollars!B617,Cost_in_dollars!B617 * GOOGLEFINANCE(""CURRENCY:"" &amp; Cost_in_dollars!E617 &amp; ""USD""))
"),25707999.9999999)</f>
        <v>25707999.999999899</v>
      </c>
      <c r="P617" s="4">
        <f ca="1">IFERROR(__xludf.DUMMYFUNCTION("IF(Cost_in_dollars!E617=""USD"",Cost_in_dollars!C617,Cost_in_dollars!C617 * GOOGLEFINANCE(""CURRENCY:"" &amp; Cost_in_dollars!E617 &amp; ""USD""))
"),35061926.4969999)</f>
        <v>35061926.496999897</v>
      </c>
      <c r="Q617" s="6">
        <f t="shared" ca="1" si="12"/>
        <v>9353926.4969999976</v>
      </c>
      <c r="R617" s="7" t="str">
        <f t="shared" si="13"/>
        <v>High Fidelity</v>
      </c>
      <c r="S617" s="43" t="str">
        <f t="shared" si="15"/>
        <v>Comedy</v>
      </c>
    </row>
    <row r="618" spans="1:19" ht="15.75" customHeight="1" x14ac:dyDescent="0.25">
      <c r="A618" s="4" t="s">
        <v>2033</v>
      </c>
      <c r="B618" s="4">
        <v>274</v>
      </c>
      <c r="C618" s="4">
        <v>10139254</v>
      </c>
      <c r="D618" s="4" t="s">
        <v>885</v>
      </c>
      <c r="E618" s="4" t="s">
        <v>977</v>
      </c>
      <c r="F618" s="4" t="s">
        <v>2424</v>
      </c>
      <c r="G618" s="4">
        <v>190990</v>
      </c>
      <c r="H618" s="4" t="s">
        <v>2425</v>
      </c>
      <c r="I618" s="4">
        <v>915</v>
      </c>
      <c r="J618" s="4" t="s">
        <v>23</v>
      </c>
      <c r="K618" s="4" t="s">
        <v>24</v>
      </c>
      <c r="L618" s="4">
        <v>35000000</v>
      </c>
      <c r="M618" s="4">
        <v>2006</v>
      </c>
      <c r="N618" s="4">
        <v>7.3</v>
      </c>
      <c r="O618" s="4">
        <f ca="1">IFERROR(__xludf.DUMMYFUNCTION("IF(Cost_in_dollars!E618=""USD"",Cost_in_dollars!B618,Cost_in_dollars!B618 * GOOGLEFINANCE(""CURRENCY:"" &amp; Cost_in_dollars!E618 &amp; ""USD""))
"),35000000)</f>
        <v>35000000</v>
      </c>
      <c r="P618" s="4">
        <f ca="1">IFERROR(__xludf.DUMMYFUNCTION("IF(Cost_in_dollars!E618=""USD"",Cost_in_dollars!C618,Cost_in_dollars!C618 * GOOGLEFINANCE(""CURRENCY:"" &amp; Cost_in_dollars!E618 &amp; ""USD""))
"),10139254)</f>
        <v>10139254</v>
      </c>
      <c r="Q618" s="4">
        <f t="shared" ca="1" si="12"/>
        <v>-24860746</v>
      </c>
      <c r="R618" s="5" t="str">
        <f t="shared" si="13"/>
        <v>The Fountain</v>
      </c>
      <c r="S618" s="43" t="str">
        <f t="shared" si="15"/>
        <v>Drama</v>
      </c>
    </row>
    <row r="619" spans="1:19" ht="15.75" customHeight="1" x14ac:dyDescent="0.25">
      <c r="A619" s="6" t="s">
        <v>2426</v>
      </c>
      <c r="B619" s="6">
        <v>143</v>
      </c>
      <c r="C619" s="6">
        <v>40203020</v>
      </c>
      <c r="D619" s="6" t="s">
        <v>162</v>
      </c>
      <c r="E619" s="6" t="s">
        <v>545</v>
      </c>
      <c r="F619" s="6" t="s">
        <v>2427</v>
      </c>
      <c r="G619" s="6">
        <v>74315</v>
      </c>
      <c r="H619" s="6" t="s">
        <v>2428</v>
      </c>
      <c r="I619" s="6">
        <v>259</v>
      </c>
      <c r="J619" s="6" t="s">
        <v>23</v>
      </c>
      <c r="K619" s="6" t="s">
        <v>133</v>
      </c>
      <c r="L619" s="6">
        <v>40000000</v>
      </c>
      <c r="M619" s="6">
        <v>2004</v>
      </c>
      <c r="N619" s="6">
        <v>5.9</v>
      </c>
      <c r="O619" s="4">
        <f ca="1">IFERROR(__xludf.DUMMYFUNCTION("IF(Cost_in_dollars!E619=""USD"",Cost_in_dollars!B619,Cost_in_dollars!B619 * GOOGLEFINANCE(""CURRENCY:"" &amp; Cost_in_dollars!E619 &amp; ""USD""))
"),51415999.9999999)</f>
        <v>51415999.999999903</v>
      </c>
      <c r="P619" s="4">
        <f ca="1">IFERROR(__xludf.DUMMYFUNCTION("IF(Cost_in_dollars!E619=""USD"",Cost_in_dollars!C619,Cost_in_dollars!C619 * GOOGLEFINANCE(""CURRENCY:"" &amp; Cost_in_dollars!E619 &amp; ""USD""))
"),51676961.9079999)</f>
        <v>51676961.907999903</v>
      </c>
      <c r="Q619" s="6">
        <f t="shared" ca="1" si="12"/>
        <v>260961.90799999982</v>
      </c>
      <c r="R619" s="7" t="str">
        <f t="shared" si="13"/>
        <v>Bridget Jones: The Edge of Reason</v>
      </c>
      <c r="S619" s="43" t="str">
        <f t="shared" si="15"/>
        <v>Comedy</v>
      </c>
    </row>
    <row r="620" spans="1:19" ht="15.75" customHeight="1" x14ac:dyDescent="0.25">
      <c r="A620" s="4" t="s">
        <v>657</v>
      </c>
      <c r="B620" s="4">
        <v>223</v>
      </c>
      <c r="C620" s="4">
        <v>47748610</v>
      </c>
      <c r="D620" s="4" t="s">
        <v>2429</v>
      </c>
      <c r="E620" s="4" t="s">
        <v>1609</v>
      </c>
      <c r="F620" s="4" t="s">
        <v>2430</v>
      </c>
      <c r="G620" s="4">
        <v>170179</v>
      </c>
      <c r="H620" s="4" t="s">
        <v>2431</v>
      </c>
      <c r="I620" s="4">
        <v>656</v>
      </c>
      <c r="J620" s="4" t="s">
        <v>23</v>
      </c>
      <c r="K620" s="4" t="s">
        <v>24</v>
      </c>
      <c r="L620" s="4">
        <v>75000000</v>
      </c>
      <c r="M620" s="4">
        <v>1997</v>
      </c>
      <c r="N620" s="4">
        <v>6.3</v>
      </c>
      <c r="O620" s="4">
        <f ca="1">IFERROR(__xludf.DUMMYFUNCTION("IF(Cost_in_dollars!E620=""USD"",Cost_in_dollars!B620,Cost_in_dollars!B620 * GOOGLEFINANCE(""CURRENCY:"" &amp; Cost_in_dollars!E620 &amp; ""USD""))
"),75000000)</f>
        <v>75000000</v>
      </c>
      <c r="P620" s="4">
        <f ca="1">IFERROR(__xludf.DUMMYFUNCTION("IF(Cost_in_dollars!E620=""USD"",Cost_in_dollars!C620,Cost_in_dollars!C620 * GOOGLEFINANCE(""CURRENCY:"" &amp; Cost_in_dollars!E620 &amp; ""USD""))
"),47748610)</f>
        <v>47748610</v>
      </c>
      <c r="Q620" s="4">
        <f t="shared" ca="1" si="12"/>
        <v>-27251390</v>
      </c>
      <c r="R620" s="5" t="str">
        <f t="shared" si="13"/>
        <v>Alien: Resurrection</v>
      </c>
      <c r="S620" s="43" t="str">
        <f t="shared" si="15"/>
        <v>Action</v>
      </c>
    </row>
    <row r="621" spans="1:19" ht="15.75" customHeight="1" x14ac:dyDescent="0.25">
      <c r="A621" s="6" t="s">
        <v>1697</v>
      </c>
      <c r="B621" s="6">
        <v>67</v>
      </c>
      <c r="C621" s="6">
        <v>14567883</v>
      </c>
      <c r="D621" s="6" t="s">
        <v>2432</v>
      </c>
      <c r="E621" s="6" t="s">
        <v>2433</v>
      </c>
      <c r="F621" s="6" t="s">
        <v>2434</v>
      </c>
      <c r="G621" s="6">
        <v>44248</v>
      </c>
      <c r="H621" s="6" t="s">
        <v>2435</v>
      </c>
      <c r="I621" s="6">
        <v>373</v>
      </c>
      <c r="J621" s="6" t="s">
        <v>23</v>
      </c>
      <c r="K621" s="6" t="s">
        <v>133</v>
      </c>
      <c r="L621" s="6">
        <v>75000000</v>
      </c>
      <c r="M621" s="6">
        <v>1998</v>
      </c>
      <c r="N621" s="6">
        <v>6</v>
      </c>
      <c r="O621" s="4">
        <f ca="1">IFERROR(__xludf.DUMMYFUNCTION("IF(Cost_in_dollars!E621=""USD"",Cost_in_dollars!B621,Cost_in_dollars!B621 * GOOGLEFINANCE(""CURRENCY:"" &amp; Cost_in_dollars!E621 &amp; ""USD""))
"),96404999.9999999)</f>
        <v>96404999.999999896</v>
      </c>
      <c r="P621" s="4">
        <f ca="1">IFERROR(__xludf.DUMMYFUNCTION("IF(Cost_in_dollars!E621=""USD"",Cost_in_dollars!C621,Cost_in_dollars!C621 * GOOGLEFINANCE(""CURRENCY:"" &amp; Cost_in_dollars!E621 &amp; ""USD""))
"),18725556.8081999)</f>
        <v>18725556.808199901</v>
      </c>
      <c r="Q621" s="6">
        <f t="shared" ca="1" si="12"/>
        <v>-77679443.191799998</v>
      </c>
      <c r="R621" s="7" t="str">
        <f t="shared" si="13"/>
        <v>Soldier</v>
      </c>
      <c r="S621" s="43" t="str">
        <f t="shared" si="15"/>
        <v>Action</v>
      </c>
    </row>
    <row r="622" spans="1:19" ht="15.75" customHeight="1" x14ac:dyDescent="0.25">
      <c r="A622" s="4" t="s">
        <v>1953</v>
      </c>
      <c r="B622" s="4">
        <v>283</v>
      </c>
      <c r="C622" s="4">
        <v>31836745</v>
      </c>
      <c r="D622" s="4" t="s">
        <v>587</v>
      </c>
      <c r="E622" s="4" t="s">
        <v>464</v>
      </c>
      <c r="F622" s="4" t="s">
        <v>2436</v>
      </c>
      <c r="G622" s="4">
        <v>81298</v>
      </c>
      <c r="H622" s="4" t="s">
        <v>2437</v>
      </c>
      <c r="I622" s="4">
        <v>341</v>
      </c>
      <c r="J622" s="4" t="s">
        <v>23</v>
      </c>
      <c r="K622" s="4" t="s">
        <v>24</v>
      </c>
      <c r="L622" s="4">
        <v>40000000</v>
      </c>
      <c r="M622" s="4">
        <v>2011</v>
      </c>
      <c r="N622" s="4">
        <v>6.9</v>
      </c>
      <c r="O622" s="4">
        <f ca="1">IFERROR(__xludf.DUMMYFUNCTION("IF(Cost_in_dollars!E622=""USD"",Cost_in_dollars!B622,Cost_in_dollars!B622 * GOOGLEFINANCE(""CURRENCY:"" &amp; Cost_in_dollars!E622 &amp; ""USD""))
"),40000000)</f>
        <v>40000000</v>
      </c>
      <c r="P622" s="4">
        <f ca="1">IFERROR(__xludf.DUMMYFUNCTION("IF(Cost_in_dollars!E622=""USD"",Cost_in_dollars!C622,Cost_in_dollars!C622 * GOOGLEFINANCE(""CURRENCY:"" &amp; Cost_in_dollars!E622 &amp; ""USD""))
"),31836745)</f>
        <v>31836745</v>
      </c>
      <c r="Q622" s="4">
        <f t="shared" ca="1" si="12"/>
        <v>-8163255</v>
      </c>
      <c r="R622" s="5" t="str">
        <f t="shared" si="13"/>
        <v>Extremely Loud &amp; Incredibly Close</v>
      </c>
      <c r="S622" s="43" t="str">
        <f t="shared" si="15"/>
        <v>Adventure</v>
      </c>
    </row>
    <row r="623" spans="1:19" ht="15.75" customHeight="1" x14ac:dyDescent="0.25">
      <c r="A623" s="6" t="s">
        <v>2438</v>
      </c>
      <c r="B623" s="6">
        <v>75</v>
      </c>
      <c r="C623" s="6">
        <v>399879</v>
      </c>
      <c r="D623" s="6" t="s">
        <v>438</v>
      </c>
      <c r="E623" s="6" t="s">
        <v>2439</v>
      </c>
      <c r="F623" s="6" t="s">
        <v>2440</v>
      </c>
      <c r="G623" s="6">
        <v>5772</v>
      </c>
      <c r="H623" s="6" t="s">
        <v>2441</v>
      </c>
      <c r="I623" s="6">
        <v>115</v>
      </c>
      <c r="J623" s="6" t="s">
        <v>23</v>
      </c>
      <c r="K623" s="6" t="s">
        <v>149</v>
      </c>
      <c r="L623" s="6">
        <v>15000000</v>
      </c>
      <c r="M623" s="6">
        <v>2006</v>
      </c>
      <c r="N623" s="6">
        <v>6.4</v>
      </c>
      <c r="O623" s="4">
        <f ca="1">IFERROR(__xludf.DUMMYFUNCTION("IF(Cost_in_dollars!E623=""USD"",Cost_in_dollars!B623,Cost_in_dollars!B623 * GOOGLEFINANCE(""CURRENCY:"" &amp; Cost_in_dollars!E623 &amp; ""USD""))
"),9808200)</f>
        <v>9808200</v>
      </c>
      <c r="P623" s="4">
        <f ca="1">IFERROR(__xludf.DUMMYFUNCTION("IF(Cost_in_dollars!E623=""USD"",Cost_in_dollars!C623,Cost_in_dollars!C623 * GOOGLEFINANCE(""CURRENCY:"" &amp; Cost_in_dollars!E623 &amp; ""USD""))
"),261472.88052)</f>
        <v>261472.88052000001</v>
      </c>
      <c r="Q623" s="6">
        <f t="shared" ca="1" si="12"/>
        <v>-9546727.1194800008</v>
      </c>
      <c r="R623" s="7" t="str">
        <f t="shared" si="13"/>
        <v>Jindabyne</v>
      </c>
      <c r="S623" s="43" t="str">
        <f t="shared" si="15"/>
        <v>Crime</v>
      </c>
    </row>
    <row r="624" spans="1:19" ht="15.75" customHeight="1" x14ac:dyDescent="0.25">
      <c r="A624" s="4" t="s">
        <v>2442</v>
      </c>
      <c r="B624" s="4">
        <v>408</v>
      </c>
      <c r="C624" s="4">
        <v>292979556</v>
      </c>
      <c r="D624" s="4" t="s">
        <v>1827</v>
      </c>
      <c r="E624" s="4" t="s">
        <v>2443</v>
      </c>
      <c r="F624" s="4" t="s">
        <v>2444</v>
      </c>
      <c r="G624" s="4">
        <v>665575</v>
      </c>
      <c r="H624" s="4" t="s">
        <v>2445</v>
      </c>
      <c r="I624" s="4">
        <v>704</v>
      </c>
      <c r="J624" s="4" t="s">
        <v>23</v>
      </c>
      <c r="K624" s="4" t="s">
        <v>24</v>
      </c>
      <c r="L624" s="4">
        <v>175000000</v>
      </c>
      <c r="M624" s="4">
        <v>2009</v>
      </c>
      <c r="N624" s="4">
        <v>8.3000000000000007</v>
      </c>
      <c r="O624" s="4">
        <f ca="1">IFERROR(__xludf.DUMMYFUNCTION("IF(Cost_in_dollars!E624=""USD"",Cost_in_dollars!B624,Cost_in_dollars!B624 * GOOGLEFINANCE(""CURRENCY:"" &amp; Cost_in_dollars!E624 &amp; ""USD""))
"),175000000)</f>
        <v>175000000</v>
      </c>
      <c r="P624" s="4">
        <f ca="1">IFERROR(__xludf.DUMMYFUNCTION("IF(Cost_in_dollars!E624=""USD"",Cost_in_dollars!C624,Cost_in_dollars!C624 * GOOGLEFINANCE(""CURRENCY:"" &amp; Cost_in_dollars!E624 &amp; ""USD""))
"),292979556)</f>
        <v>292979556</v>
      </c>
      <c r="Q624" s="4">
        <f t="shared" ca="1" si="12"/>
        <v>117979556</v>
      </c>
      <c r="R624" s="5" t="str">
        <f t="shared" si="13"/>
        <v>Up</v>
      </c>
      <c r="S624" s="43" t="str">
        <f t="shared" si="15"/>
        <v>Adventure</v>
      </c>
    </row>
    <row r="625" spans="1:19" ht="15.75" customHeight="1" x14ac:dyDescent="0.25">
      <c r="A625" s="6" t="s">
        <v>2400</v>
      </c>
      <c r="B625" s="6">
        <v>491</v>
      </c>
      <c r="C625" s="6">
        <v>107100855</v>
      </c>
      <c r="D625" s="6" t="s">
        <v>434</v>
      </c>
      <c r="E625" s="6" t="s">
        <v>464</v>
      </c>
      <c r="F625" s="6" t="s">
        <v>2446</v>
      </c>
      <c r="G625" s="6">
        <v>323353</v>
      </c>
      <c r="H625" s="6" t="s">
        <v>2447</v>
      </c>
      <c r="I625" s="6">
        <v>527</v>
      </c>
      <c r="J625" s="6" t="s">
        <v>23</v>
      </c>
      <c r="K625" s="6" t="s">
        <v>24</v>
      </c>
      <c r="L625" s="6">
        <v>55000000</v>
      </c>
      <c r="M625" s="6">
        <v>2013</v>
      </c>
      <c r="N625" s="6">
        <v>7.9</v>
      </c>
      <c r="O625" s="4">
        <f ca="1">IFERROR(__xludf.DUMMYFUNCTION("IF(Cost_in_dollars!E625=""USD"",Cost_in_dollars!B625,Cost_in_dollars!B625 * GOOGLEFINANCE(""CURRENCY:"" &amp; Cost_in_dollars!E625 &amp; ""USD""))
"),55000000)</f>
        <v>55000000</v>
      </c>
      <c r="P625" s="4">
        <f ca="1">IFERROR(__xludf.DUMMYFUNCTION("IF(Cost_in_dollars!E625=""USD"",Cost_in_dollars!C625,Cost_in_dollars!C625 * GOOGLEFINANCE(""CURRENCY:"" &amp; Cost_in_dollars!E625 &amp; ""USD""))
"),107100855)</f>
        <v>107100855</v>
      </c>
      <c r="Q625" s="6">
        <f t="shared" ca="1" si="12"/>
        <v>52100855</v>
      </c>
      <c r="R625" s="7" t="str">
        <f t="shared" si="13"/>
        <v>Captain Phillips</v>
      </c>
      <c r="S625" s="43" t="str">
        <f t="shared" si="15"/>
        <v>Biography</v>
      </c>
    </row>
    <row r="626" spans="1:19" ht="15.75" customHeight="1" x14ac:dyDescent="0.25">
      <c r="A626" s="4" t="s">
        <v>1078</v>
      </c>
      <c r="B626" s="4">
        <v>119</v>
      </c>
      <c r="C626" s="4">
        <v>13337299</v>
      </c>
      <c r="D626" s="4" t="s">
        <v>2448</v>
      </c>
      <c r="E626" s="4" t="s">
        <v>2449</v>
      </c>
      <c r="F626" s="4" t="s">
        <v>2450</v>
      </c>
      <c r="G626" s="4">
        <v>9649</v>
      </c>
      <c r="H626" s="4" t="s">
        <v>2451</v>
      </c>
      <c r="I626" s="4">
        <v>226</v>
      </c>
      <c r="J626" s="4" t="s">
        <v>23</v>
      </c>
      <c r="K626" s="4" t="s">
        <v>24</v>
      </c>
      <c r="L626" s="4">
        <v>20000000</v>
      </c>
      <c r="M626" s="4">
        <v>2004</v>
      </c>
      <c r="N626" s="4">
        <v>6.6</v>
      </c>
      <c r="O626" s="4">
        <f ca="1">IFERROR(__xludf.DUMMYFUNCTION("IF(Cost_in_dollars!E626=""USD"",Cost_in_dollars!B626,Cost_in_dollars!B626 * GOOGLEFINANCE(""CURRENCY:"" &amp; Cost_in_dollars!E626 &amp; ""USD""))
"),20000000)</f>
        <v>20000000</v>
      </c>
      <c r="P626" s="4">
        <f ca="1">IFERROR(__xludf.DUMMYFUNCTION("IF(Cost_in_dollars!E626=""USD"",Cost_in_dollars!C626,Cost_in_dollars!C626 * GOOGLEFINANCE(""CURRENCY:"" &amp; Cost_in_dollars!E626 &amp; ""USD""))
"),13337299)</f>
        <v>13337299</v>
      </c>
      <c r="Q626" s="4">
        <f t="shared" ca="1" si="12"/>
        <v>-6662701</v>
      </c>
      <c r="R626" s="5" t="str">
        <f t="shared" si="13"/>
        <v>De-Lovely</v>
      </c>
      <c r="S626" s="43" t="str">
        <f t="shared" si="15"/>
        <v>Biography</v>
      </c>
    </row>
    <row r="627" spans="1:19" ht="15.75" customHeight="1" x14ac:dyDescent="0.25">
      <c r="A627" s="6" t="s">
        <v>634</v>
      </c>
      <c r="B627" s="6">
        <v>88</v>
      </c>
      <c r="C627" s="6">
        <v>60328558</v>
      </c>
      <c r="D627" s="6" t="s">
        <v>2452</v>
      </c>
      <c r="E627" s="6" t="s">
        <v>473</v>
      </c>
      <c r="F627" s="6" t="s">
        <v>2453</v>
      </c>
      <c r="G627" s="6">
        <v>61396</v>
      </c>
      <c r="H627" s="6" t="s">
        <v>2454</v>
      </c>
      <c r="I627" s="6">
        <v>159</v>
      </c>
      <c r="J627" s="6" t="s">
        <v>23</v>
      </c>
      <c r="K627" s="6" t="s">
        <v>24</v>
      </c>
      <c r="L627" s="6">
        <v>32000000</v>
      </c>
      <c r="M627" s="6">
        <v>1988</v>
      </c>
      <c r="N627" s="6">
        <v>7</v>
      </c>
      <c r="O627" s="4">
        <f ca="1">IFERROR(__xludf.DUMMYFUNCTION("IF(Cost_in_dollars!E627=""USD"",Cost_in_dollars!B627,Cost_in_dollars!B627 * GOOGLEFINANCE(""CURRENCY:"" &amp; Cost_in_dollars!E627 &amp; ""USD""))
"),32000000)</f>
        <v>32000000</v>
      </c>
      <c r="P627" s="4">
        <f ca="1">IFERROR(__xludf.DUMMYFUNCTION("IF(Cost_in_dollars!E627=""USD"",Cost_in_dollars!C627,Cost_in_dollars!C627 * GOOGLEFINANCE(""CURRENCY:"" &amp; Cost_in_dollars!E627 &amp; ""USD""))
"),60328558)</f>
        <v>60328558</v>
      </c>
      <c r="Q627" s="6">
        <f t="shared" ca="1" si="12"/>
        <v>28328558</v>
      </c>
      <c r="R627" s="7" t="str">
        <f t="shared" si="13"/>
        <v>Scrooged</v>
      </c>
      <c r="S627" s="43" t="str">
        <f t="shared" si="15"/>
        <v>Comedy</v>
      </c>
    </row>
    <row r="628" spans="1:19" ht="15.75" customHeight="1" x14ac:dyDescent="0.25">
      <c r="A628" s="4" t="s">
        <v>2455</v>
      </c>
      <c r="B628" s="4">
        <v>37</v>
      </c>
      <c r="C628" s="4">
        <v>78030</v>
      </c>
      <c r="D628" s="4" t="s">
        <v>102</v>
      </c>
      <c r="E628" s="4" t="s">
        <v>2456</v>
      </c>
      <c r="F628" s="4" t="s">
        <v>2457</v>
      </c>
      <c r="G628" s="4">
        <v>1034</v>
      </c>
      <c r="H628" s="4" t="s">
        <v>109</v>
      </c>
      <c r="I628" s="4">
        <v>10</v>
      </c>
      <c r="J628" s="4" t="s">
        <v>23</v>
      </c>
      <c r="K628" s="4" t="s">
        <v>24</v>
      </c>
      <c r="L628" s="4">
        <v>200000</v>
      </c>
      <c r="M628" s="4">
        <v>2012</v>
      </c>
      <c r="N628" s="4">
        <v>6.5</v>
      </c>
      <c r="O628" s="4">
        <f ca="1">IFERROR(__xludf.DUMMYFUNCTION("IF(Cost_in_dollars!E628=""USD"",Cost_in_dollars!B628,Cost_in_dollars!B628 * GOOGLEFINANCE(""CURRENCY:"" &amp; Cost_in_dollars!E628 &amp; ""USD""))
"),200000)</f>
        <v>200000</v>
      </c>
      <c r="P628" s="4">
        <f ca="1">IFERROR(__xludf.DUMMYFUNCTION("IF(Cost_in_dollars!E628=""USD"",Cost_in_dollars!C628,Cost_in_dollars!C628 * GOOGLEFINANCE(""CURRENCY:"" &amp; Cost_in_dollars!E628 &amp; ""USD""))
"),78030)</f>
        <v>78030</v>
      </c>
      <c r="Q628" s="4">
        <f t="shared" ca="1" si="12"/>
        <v>-121970</v>
      </c>
      <c r="R628" s="5" t="str">
        <f t="shared" si="13"/>
        <v>Middle of Nowhere</v>
      </c>
      <c r="S628" s="43" t="str">
        <f t="shared" si="15"/>
        <v>Drama</v>
      </c>
    </row>
    <row r="629" spans="1:19" ht="15.75" customHeight="1" x14ac:dyDescent="0.25">
      <c r="A629" s="6" t="s">
        <v>287</v>
      </c>
      <c r="B629" s="6">
        <v>225</v>
      </c>
      <c r="C629" s="6">
        <v>53245055</v>
      </c>
      <c r="D629" s="6" t="s">
        <v>151</v>
      </c>
      <c r="E629" s="6" t="s">
        <v>2458</v>
      </c>
      <c r="F629" s="6" t="s">
        <v>2459</v>
      </c>
      <c r="G629" s="6">
        <v>30570</v>
      </c>
      <c r="H629" s="6" t="s">
        <v>2460</v>
      </c>
      <c r="I629" s="6">
        <v>290</v>
      </c>
      <c r="J629" s="6" t="s">
        <v>23</v>
      </c>
      <c r="K629" s="6" t="s">
        <v>24</v>
      </c>
      <c r="L629" s="6">
        <v>1000000</v>
      </c>
      <c r="M629" s="6">
        <v>2012</v>
      </c>
      <c r="N629" s="6">
        <v>4.2</v>
      </c>
      <c r="O629" s="4">
        <f ca="1">IFERROR(__xludf.DUMMYFUNCTION("IF(Cost_in_dollars!E629=""USD"",Cost_in_dollars!B629,Cost_in_dollars!B629 * GOOGLEFINANCE(""CURRENCY:"" &amp; Cost_in_dollars!E629 &amp; ""USD""))
"),1000000)</f>
        <v>1000000</v>
      </c>
      <c r="P629" s="4">
        <f ca="1">IFERROR(__xludf.DUMMYFUNCTION("IF(Cost_in_dollars!E629=""USD"",Cost_in_dollars!C629,Cost_in_dollars!C629 * GOOGLEFINANCE(""CURRENCY:"" &amp; Cost_in_dollars!E629 &amp; ""USD""))
"),53245055)</f>
        <v>53245055</v>
      </c>
      <c r="Q629" s="6">
        <f t="shared" ca="1" si="12"/>
        <v>52245055</v>
      </c>
      <c r="R629" s="7" t="str">
        <f t="shared" si="13"/>
        <v>The Devil Inside</v>
      </c>
      <c r="S629" s="43" t="str">
        <f t="shared" si="15"/>
        <v>Horror</v>
      </c>
    </row>
    <row r="630" spans="1:19" ht="15.75" customHeight="1" x14ac:dyDescent="0.25">
      <c r="A630" s="4" t="s">
        <v>2461</v>
      </c>
      <c r="B630" s="4">
        <v>150</v>
      </c>
      <c r="C630" s="4">
        <v>2203641</v>
      </c>
      <c r="D630" s="4" t="s">
        <v>438</v>
      </c>
      <c r="E630" s="4" t="s">
        <v>2462</v>
      </c>
      <c r="F630" s="4" t="s">
        <v>2463</v>
      </c>
      <c r="G630" s="4">
        <v>42792</v>
      </c>
      <c r="H630" s="4" t="s">
        <v>2464</v>
      </c>
      <c r="I630" s="4">
        <v>162</v>
      </c>
      <c r="J630" s="4" t="s">
        <v>23</v>
      </c>
      <c r="K630" s="4" t="s">
        <v>1111</v>
      </c>
      <c r="L630" s="4">
        <v>15000000</v>
      </c>
      <c r="M630" s="4">
        <v>2008</v>
      </c>
      <c r="N630" s="4">
        <v>6.7</v>
      </c>
      <c r="O630" s="4">
        <f ca="1">IFERROR(__xludf.DUMMYFUNCTION("IF(Cost_in_dollars!E630=""USD"",Cost_in_dollars!B630,Cost_in_dollars!B630 * GOOGLEFINANCE(""CURRENCY:"" &amp; Cost_in_dollars!E630 &amp; ""USD""))
"),16271100)</f>
        <v>16271100</v>
      </c>
      <c r="P630" s="4">
        <f ca="1">IFERROR(__xludf.DUMMYFUNCTION("IF(Cost_in_dollars!E630=""USD"",Cost_in_dollars!C630,Cost_in_dollars!C630 * GOOGLEFINANCE(""CURRENCY:"" &amp; Cost_in_dollars!E630 &amp; ""USD""))
"),2390377.53834)</f>
        <v>2390377.53834</v>
      </c>
      <c r="Q630" s="4">
        <f t="shared" ca="1" si="12"/>
        <v>-13880722.46166</v>
      </c>
      <c r="R630" s="5" t="str">
        <f t="shared" si="13"/>
        <v>Transsiberian</v>
      </c>
      <c r="S630" s="43" t="str">
        <f t="shared" si="15"/>
        <v>Crime</v>
      </c>
    </row>
    <row r="631" spans="1:19" ht="15.75" customHeight="1" x14ac:dyDescent="0.25">
      <c r="A631" s="6" t="s">
        <v>2368</v>
      </c>
      <c r="B631" s="6">
        <v>208</v>
      </c>
      <c r="C631" s="6">
        <v>33592415</v>
      </c>
      <c r="D631" s="6" t="s">
        <v>2465</v>
      </c>
      <c r="E631" s="6" t="s">
        <v>2466</v>
      </c>
      <c r="F631" s="6" t="s">
        <v>2467</v>
      </c>
      <c r="G631" s="6">
        <v>91640</v>
      </c>
      <c r="H631" s="6" t="s">
        <v>2468</v>
      </c>
      <c r="I631" s="6">
        <v>210</v>
      </c>
      <c r="J631" s="6" t="s">
        <v>23</v>
      </c>
      <c r="K631" s="6" t="s">
        <v>24</v>
      </c>
      <c r="L631" s="6">
        <v>130000000</v>
      </c>
      <c r="M631" s="6">
        <v>2013</v>
      </c>
      <c r="N631" s="6">
        <v>5.6</v>
      </c>
      <c r="O631" s="4">
        <f ca="1">IFERROR(__xludf.DUMMYFUNCTION("IF(Cost_in_dollars!E631=""USD"",Cost_in_dollars!B631,Cost_in_dollars!B631 * GOOGLEFINANCE(""CURRENCY:"" &amp; Cost_in_dollars!E631 &amp; ""USD""))
"),130000000)</f>
        <v>130000000</v>
      </c>
      <c r="P631" s="4">
        <f ca="1">IFERROR(__xludf.DUMMYFUNCTION("IF(Cost_in_dollars!E631=""USD"",Cost_in_dollars!C631,Cost_in_dollars!C631 * GOOGLEFINANCE(""CURRENCY:"" &amp; Cost_in_dollars!E631 &amp; ""USD""))
"),33592415)</f>
        <v>33592415</v>
      </c>
      <c r="Q631" s="6">
        <f t="shared" ca="1" si="12"/>
        <v>-96407585</v>
      </c>
      <c r="R631" s="7" t="str">
        <f t="shared" si="13"/>
        <v>R.I.P.D.</v>
      </c>
      <c r="S631" s="43" t="str">
        <f t="shared" si="15"/>
        <v>Action</v>
      </c>
    </row>
    <row r="632" spans="1:19" ht="15.75" customHeight="1" x14ac:dyDescent="0.25">
      <c r="A632" s="4" t="s">
        <v>2469</v>
      </c>
      <c r="B632" s="4">
        <v>160</v>
      </c>
      <c r="C632" s="4">
        <v>26421314</v>
      </c>
      <c r="D632" s="4" t="s">
        <v>2470</v>
      </c>
      <c r="E632" s="4" t="s">
        <v>2471</v>
      </c>
      <c r="F632" s="4" t="s">
        <v>2472</v>
      </c>
      <c r="G632" s="4">
        <v>28964</v>
      </c>
      <c r="H632" s="4" t="s">
        <v>2473</v>
      </c>
      <c r="I632" s="4">
        <v>457</v>
      </c>
      <c r="J632" s="4" t="s">
        <v>23</v>
      </c>
      <c r="K632" s="4" t="s">
        <v>24</v>
      </c>
      <c r="L632" s="4">
        <v>15000000</v>
      </c>
      <c r="M632" s="4">
        <v>2000</v>
      </c>
      <c r="N632" s="4">
        <v>4</v>
      </c>
      <c r="O632" s="4">
        <f ca="1">IFERROR(__xludf.DUMMYFUNCTION("IF(Cost_in_dollars!E632=""USD"",Cost_in_dollars!B632,Cost_in_dollars!B632 * GOOGLEFINANCE(""CURRENCY:"" &amp; Cost_in_dollars!E632 &amp; ""USD""))
"),15000000)</f>
        <v>15000000</v>
      </c>
      <c r="P632" s="4">
        <f ca="1">IFERROR(__xludf.DUMMYFUNCTION("IF(Cost_in_dollars!E632=""USD"",Cost_in_dollars!C632,Cost_in_dollars!C632 * GOOGLEFINANCE(""CURRENCY:"" &amp; Cost_in_dollars!E632 &amp; ""USD""))
"),26421314)</f>
        <v>26421314</v>
      </c>
      <c r="Q632" s="4">
        <f t="shared" ca="1" si="12"/>
        <v>11421314</v>
      </c>
      <c r="R632" s="5" t="str">
        <f t="shared" si="13"/>
        <v>Book of Shadows: Blair Witch 2</v>
      </c>
      <c r="S632" s="43" t="str">
        <f t="shared" si="15"/>
        <v>Adventure</v>
      </c>
    </row>
    <row r="633" spans="1:19" ht="15.75" customHeight="1" x14ac:dyDescent="0.25">
      <c r="A633" s="6" t="s">
        <v>2474</v>
      </c>
      <c r="B633" s="6">
        <v>344</v>
      </c>
      <c r="C633" s="6">
        <v>237301</v>
      </c>
      <c r="D633" s="6" t="s">
        <v>1238</v>
      </c>
      <c r="E633" s="6" t="s">
        <v>2475</v>
      </c>
      <c r="F633" s="6" t="s">
        <v>2476</v>
      </c>
      <c r="G633" s="6">
        <v>75669</v>
      </c>
      <c r="H633" s="6" t="s">
        <v>2477</v>
      </c>
      <c r="I633" s="6">
        <v>451</v>
      </c>
      <c r="J633" s="6" t="s">
        <v>23</v>
      </c>
      <c r="K633" s="6" t="s">
        <v>133</v>
      </c>
      <c r="L633" s="6">
        <v>500000</v>
      </c>
      <c r="M633" s="6">
        <v>2010</v>
      </c>
      <c r="N633" s="6">
        <v>6.4</v>
      </c>
      <c r="O633" s="4">
        <f ca="1">IFERROR(__xludf.DUMMYFUNCTION("IF(Cost_in_dollars!E633=""USD"",Cost_in_dollars!B633,Cost_in_dollars!B633 * GOOGLEFINANCE(""CURRENCY:"" &amp; Cost_in_dollars!E633 &amp; ""USD""))
"),642699.999999999)</f>
        <v>642699.99999999895</v>
      </c>
      <c r="P633" s="4">
        <f ca="1">IFERROR(__xludf.DUMMYFUNCTION("IF(Cost_in_dollars!E633=""USD"",Cost_in_dollars!C633,Cost_in_dollars!C633 * GOOGLEFINANCE(""CURRENCY:"" &amp; Cost_in_dollars!E633 &amp; ""USD""))
"),305026.7054)</f>
        <v>305026.70539999998</v>
      </c>
      <c r="Q633" s="6">
        <f t="shared" ca="1" si="12"/>
        <v>-337673.29459999898</v>
      </c>
      <c r="R633" s="7" t="str">
        <f t="shared" si="13"/>
        <v>Monsters</v>
      </c>
      <c r="S633" s="43" t="str">
        <f t="shared" si="15"/>
        <v>Drama</v>
      </c>
    </row>
    <row r="634" spans="1:19" ht="15.75" customHeight="1" x14ac:dyDescent="0.25">
      <c r="A634" s="4" t="s">
        <v>679</v>
      </c>
      <c r="B634" s="4">
        <v>22</v>
      </c>
      <c r="C634" s="4">
        <v>50752337</v>
      </c>
      <c r="D634" s="4" t="s">
        <v>2478</v>
      </c>
      <c r="E634" s="4" t="s">
        <v>2479</v>
      </c>
      <c r="F634" s="4" t="s">
        <v>2480</v>
      </c>
      <c r="G634" s="4">
        <v>44502</v>
      </c>
      <c r="H634" s="4" t="s">
        <v>2481</v>
      </c>
      <c r="I634" s="4">
        <v>46</v>
      </c>
      <c r="J634" s="4" t="s">
        <v>23</v>
      </c>
      <c r="K634" s="4" t="s">
        <v>24</v>
      </c>
      <c r="L634" s="4">
        <v>10000000</v>
      </c>
      <c r="M634" s="4">
        <v>1992</v>
      </c>
      <c r="N634" s="4">
        <v>6.4</v>
      </c>
      <c r="O634" s="4">
        <f ca="1">IFERROR(__xludf.DUMMYFUNCTION("IF(Cost_in_dollars!E634=""USD"",Cost_in_dollars!B634,Cost_in_dollars!B634 * GOOGLEFINANCE(""CURRENCY:"" &amp; Cost_in_dollars!E634 &amp; ""USD""))
"),10000000)</f>
        <v>10000000</v>
      </c>
      <c r="P634" s="4">
        <f ca="1">IFERROR(__xludf.DUMMYFUNCTION("IF(Cost_in_dollars!E634=""USD"",Cost_in_dollars!C634,Cost_in_dollars!C634 * GOOGLEFINANCE(""CURRENCY:"" &amp; Cost_in_dollars!E634 &amp; ""USD""))
"),50752337)</f>
        <v>50752337</v>
      </c>
      <c r="Q634" s="4">
        <f t="shared" ca="1" si="12"/>
        <v>40752337</v>
      </c>
      <c r="R634" s="5" t="str">
        <f t="shared" si="13"/>
        <v>The Mighty Ducks</v>
      </c>
      <c r="S634" s="43" t="str">
        <f t="shared" si="15"/>
        <v>Comedy</v>
      </c>
    </row>
    <row r="635" spans="1:19" ht="15.75" customHeight="1" x14ac:dyDescent="0.25">
      <c r="A635" s="6" t="s">
        <v>2482</v>
      </c>
      <c r="B635" s="6">
        <v>105</v>
      </c>
      <c r="C635" s="6">
        <v>515005</v>
      </c>
      <c r="D635" s="6" t="s">
        <v>2483</v>
      </c>
      <c r="E635" s="6" t="s">
        <v>2484</v>
      </c>
      <c r="F635" s="6" t="s">
        <v>2485</v>
      </c>
      <c r="G635" s="6">
        <v>31429</v>
      </c>
      <c r="H635" s="6" t="s">
        <v>2486</v>
      </c>
      <c r="I635" s="6">
        <v>219</v>
      </c>
      <c r="J635" s="6" t="s">
        <v>23</v>
      </c>
      <c r="K635" s="6" t="s">
        <v>133</v>
      </c>
      <c r="L635" s="6">
        <v>560000</v>
      </c>
      <c r="M635" s="6">
        <v>1964</v>
      </c>
      <c r="N635" s="6">
        <v>7.7</v>
      </c>
      <c r="O635" s="4">
        <f ca="1">IFERROR(__xludf.DUMMYFUNCTION("IF(Cost_in_dollars!E635=""USD"",Cost_in_dollars!B635,Cost_in_dollars!B635 * GOOGLEFINANCE(""CURRENCY:"" &amp; Cost_in_dollars!E635 &amp; ""USD""))
"),719823.999999999)</f>
        <v>719823.99999999895</v>
      </c>
      <c r="P635" s="4">
        <f ca="1">IFERROR(__xludf.DUMMYFUNCTION("IF(Cost_in_dollars!E635=""USD"",Cost_in_dollars!C635,Cost_in_dollars!C635 * GOOGLEFINANCE(""CURRENCY:"" &amp; Cost_in_dollars!E635 &amp; ""USD""))
"),661987.426999999)</f>
        <v>661987.42699999898</v>
      </c>
      <c r="Q635" s="6">
        <f t="shared" ca="1" si="12"/>
        <v>-57836.572999999975</v>
      </c>
      <c r="R635" s="7" t="str">
        <f t="shared" si="13"/>
        <v>A Hard Day's Night</v>
      </c>
      <c r="S635" s="43" t="str">
        <f t="shared" si="15"/>
        <v>Comedy</v>
      </c>
    </row>
    <row r="636" spans="1:19" ht="15.75" customHeight="1" x14ac:dyDescent="0.25">
      <c r="A636" s="4" t="s">
        <v>2487</v>
      </c>
      <c r="B636" s="4">
        <v>70</v>
      </c>
      <c r="C636" s="4">
        <v>14018364</v>
      </c>
      <c r="D636" s="4" t="s">
        <v>2488</v>
      </c>
      <c r="E636" s="4" t="s">
        <v>2489</v>
      </c>
      <c r="F636" s="4" t="s">
        <v>2490</v>
      </c>
      <c r="G636" s="4">
        <v>17722</v>
      </c>
      <c r="H636" s="4" t="s">
        <v>2491</v>
      </c>
      <c r="I636" s="4">
        <v>111</v>
      </c>
      <c r="J636" s="4" t="s">
        <v>23</v>
      </c>
      <c r="K636" s="4" t="s">
        <v>24</v>
      </c>
      <c r="L636" s="4">
        <v>30000000</v>
      </c>
      <c r="M636" s="4">
        <v>2004</v>
      </c>
      <c r="N636" s="4">
        <v>4.8</v>
      </c>
      <c r="O636" s="4">
        <f ca="1">IFERROR(__xludf.DUMMYFUNCTION("IF(Cost_in_dollars!E636=""USD"",Cost_in_dollars!B636,Cost_in_dollars!B636 * GOOGLEFINANCE(""CURRENCY:"" &amp; Cost_in_dollars!E636 &amp; ""USD""))
"),30000000)</f>
        <v>30000000</v>
      </c>
      <c r="P636" s="4">
        <f ca="1">IFERROR(__xludf.DUMMYFUNCTION("IF(Cost_in_dollars!E636=""USD"",Cost_in_dollars!C636,Cost_in_dollars!C636 * GOOGLEFINANCE(""CURRENCY:"" &amp; Cost_in_dollars!E636 &amp; ""USD""))
"),14018364)</f>
        <v>14018364</v>
      </c>
      <c r="Q636" s="4">
        <f t="shared" ca="1" si="12"/>
        <v>-15981636</v>
      </c>
      <c r="R636" s="5" t="str">
        <f t="shared" si="13"/>
        <v>New York Minute</v>
      </c>
      <c r="S636" s="43" t="str">
        <f t="shared" si="15"/>
        <v>Comedy</v>
      </c>
    </row>
    <row r="637" spans="1:19" ht="15.75" customHeight="1" x14ac:dyDescent="0.25">
      <c r="A637" s="6" t="s">
        <v>2492</v>
      </c>
      <c r="B637" s="6">
        <v>275</v>
      </c>
      <c r="C637" s="6">
        <v>46978995</v>
      </c>
      <c r="D637" s="6" t="s">
        <v>281</v>
      </c>
      <c r="E637" s="6" t="s">
        <v>2493</v>
      </c>
      <c r="F637" s="6" t="s">
        <v>2494</v>
      </c>
      <c r="G637" s="6">
        <v>111609</v>
      </c>
      <c r="H637" s="6" t="s">
        <v>2495</v>
      </c>
      <c r="I637" s="6">
        <v>781</v>
      </c>
      <c r="J637" s="6" t="s">
        <v>23</v>
      </c>
      <c r="K637" s="6" t="s">
        <v>24</v>
      </c>
      <c r="L637" s="6">
        <v>160000000</v>
      </c>
      <c r="M637" s="6">
        <v>2016</v>
      </c>
      <c r="N637" s="6">
        <v>7.3</v>
      </c>
      <c r="O637" s="4">
        <f ca="1">IFERROR(__xludf.DUMMYFUNCTION("IF(Cost_in_dollars!E637=""USD"",Cost_in_dollars!B637,Cost_in_dollars!B637 * GOOGLEFINANCE(""CURRENCY:"" &amp; Cost_in_dollars!E637 &amp; ""USD""))
"),160000000)</f>
        <v>160000000</v>
      </c>
      <c r="P637" s="4">
        <f ca="1">IFERROR(__xludf.DUMMYFUNCTION("IF(Cost_in_dollars!E637=""USD"",Cost_in_dollars!C637,Cost_in_dollars!C637 * GOOGLEFINANCE(""CURRENCY:"" &amp; Cost_in_dollars!E637 &amp; ""USD""))
"),46978995)</f>
        <v>46978995</v>
      </c>
      <c r="Q637" s="6">
        <f t="shared" ca="1" si="12"/>
        <v>-113021005</v>
      </c>
      <c r="R637" s="7" t="str">
        <f t="shared" si="13"/>
        <v>Warcraft</v>
      </c>
      <c r="S637" s="43" t="str">
        <f t="shared" si="15"/>
        <v>Action</v>
      </c>
    </row>
    <row r="638" spans="1:19" ht="15.75" customHeight="1" x14ac:dyDescent="0.25">
      <c r="A638" s="4" t="s">
        <v>2496</v>
      </c>
      <c r="B638" s="4">
        <v>61</v>
      </c>
      <c r="C638" s="4">
        <v>106593296</v>
      </c>
      <c r="D638" s="4" t="s">
        <v>1499</v>
      </c>
      <c r="E638" s="4" t="s">
        <v>173</v>
      </c>
      <c r="F638" s="4" t="s">
        <v>2497</v>
      </c>
      <c r="G638" s="4">
        <v>72324</v>
      </c>
      <c r="H638" s="4" t="s">
        <v>2498</v>
      </c>
      <c r="I638" s="4">
        <v>134</v>
      </c>
      <c r="J638" s="4" t="s">
        <v>23</v>
      </c>
      <c r="K638" s="4" t="s">
        <v>24</v>
      </c>
      <c r="L638" s="4">
        <v>7500000</v>
      </c>
      <c r="M638" s="4">
        <v>1989</v>
      </c>
      <c r="N638" s="4">
        <v>7.4</v>
      </c>
      <c r="O638" s="4">
        <f ca="1">IFERROR(__xludf.DUMMYFUNCTION("IF(Cost_in_dollars!E638=""USD"",Cost_in_dollars!B638,Cost_in_dollars!B638 * GOOGLEFINANCE(""CURRENCY:"" &amp; Cost_in_dollars!E638 &amp; ""USD""))
"),7500000)</f>
        <v>7500000</v>
      </c>
      <c r="P638" s="4">
        <f ca="1">IFERROR(__xludf.DUMMYFUNCTION("IF(Cost_in_dollars!E638=""USD"",Cost_in_dollars!C638,Cost_in_dollars!C638 * GOOGLEFINANCE(""CURRENCY:"" &amp; Cost_in_dollars!E638 &amp; ""USD""))
"),106593296)</f>
        <v>106593296</v>
      </c>
      <c r="Q638" s="4">
        <f t="shared" ca="1" si="12"/>
        <v>99093296</v>
      </c>
      <c r="R638" s="5" t="str">
        <f t="shared" si="13"/>
        <v>Driving Miss Daisy</v>
      </c>
      <c r="S638" s="43" t="str">
        <f t="shared" si="15"/>
        <v>Comedy</v>
      </c>
    </row>
    <row r="639" spans="1:19" ht="15.75" customHeight="1" x14ac:dyDescent="0.25">
      <c r="A639" s="6" t="s">
        <v>2499</v>
      </c>
      <c r="B639" s="6">
        <v>82</v>
      </c>
      <c r="C639" s="6">
        <v>41407470</v>
      </c>
      <c r="D639" s="6" t="s">
        <v>1499</v>
      </c>
      <c r="E639" s="6" t="s">
        <v>1232</v>
      </c>
      <c r="F639" s="6" t="s">
        <v>2500</v>
      </c>
      <c r="G639" s="6">
        <v>43378</v>
      </c>
      <c r="H639" s="6" t="s">
        <v>2501</v>
      </c>
      <c r="I639" s="6">
        <v>292</v>
      </c>
      <c r="J639" s="6" t="s">
        <v>23</v>
      </c>
      <c r="K639" s="6" t="s">
        <v>24</v>
      </c>
      <c r="L639" s="6">
        <v>30000000</v>
      </c>
      <c r="M639" s="6">
        <v>2003</v>
      </c>
      <c r="N639" s="6">
        <v>7.6</v>
      </c>
      <c r="O639" s="4">
        <f ca="1">IFERROR(__xludf.DUMMYFUNCTION("IF(Cost_in_dollars!E639=""USD"",Cost_in_dollars!B639,Cost_in_dollars!B639 * GOOGLEFINANCE(""CURRENCY:"" &amp; Cost_in_dollars!E639 &amp; ""USD""))
"),30000000)</f>
        <v>30000000</v>
      </c>
      <c r="P639" s="4">
        <f ca="1">IFERROR(__xludf.DUMMYFUNCTION("IF(Cost_in_dollars!E639=""USD"",Cost_in_dollars!C639,Cost_in_dollars!C639 * GOOGLEFINANCE(""CURRENCY:"" &amp; Cost_in_dollars!E639 &amp; ""USD""))
"),41407470)</f>
        <v>41407470</v>
      </c>
      <c r="Q639" s="6">
        <f t="shared" ca="1" si="12"/>
        <v>11407470</v>
      </c>
      <c r="R639" s="7" t="str">
        <f t="shared" si="13"/>
        <v>Secondhand Lions</v>
      </c>
      <c r="S639" s="43" t="str">
        <f t="shared" si="15"/>
        <v>Comedy</v>
      </c>
    </row>
    <row r="640" spans="1:19" ht="15.75" customHeight="1" x14ac:dyDescent="0.25">
      <c r="A640" s="4" t="s">
        <v>2502</v>
      </c>
      <c r="B640" s="4">
        <v>158</v>
      </c>
      <c r="C640" s="4">
        <v>19057024</v>
      </c>
      <c r="D640" s="4" t="s">
        <v>235</v>
      </c>
      <c r="E640" s="4" t="s">
        <v>264</v>
      </c>
      <c r="F640" s="4" t="s">
        <v>2503</v>
      </c>
      <c r="G640" s="4">
        <v>113963</v>
      </c>
      <c r="H640" s="4" t="s">
        <v>2504</v>
      </c>
      <c r="I640" s="4">
        <v>361</v>
      </c>
      <c r="J640" s="4" t="s">
        <v>23</v>
      </c>
      <c r="K640" s="4" t="s">
        <v>24</v>
      </c>
      <c r="L640" s="4">
        <v>16000000</v>
      </c>
      <c r="M640" s="4">
        <v>2010</v>
      </c>
      <c r="N640" s="4">
        <v>7.2</v>
      </c>
      <c r="O640" s="4">
        <f ca="1">IFERROR(__xludf.DUMMYFUNCTION("IF(Cost_in_dollars!E640=""USD"",Cost_in_dollars!B640,Cost_in_dollars!B640 * GOOGLEFINANCE(""CURRENCY:"" &amp; Cost_in_dollars!E640 &amp; ""USD""))
"),16000000)</f>
        <v>16000000</v>
      </c>
      <c r="P640" s="4">
        <f ca="1">IFERROR(__xludf.DUMMYFUNCTION("IF(Cost_in_dollars!E640=""USD"",Cost_in_dollars!C640,Cost_in_dollars!C640 * GOOGLEFINANCE(""CURRENCY:"" &amp; Cost_in_dollars!E640 &amp; ""USD""))
"),19057024)</f>
        <v>19057024</v>
      </c>
      <c r="Q640" s="4">
        <f t="shared" ca="1" si="12"/>
        <v>3057024</v>
      </c>
      <c r="R640" s="5" t="str">
        <f t="shared" si="13"/>
        <v>Remember Me</v>
      </c>
      <c r="S640" s="43" t="str">
        <f t="shared" si="15"/>
        <v>Drama</v>
      </c>
    </row>
    <row r="641" spans="1:19" ht="15.75" customHeight="1" x14ac:dyDescent="0.25">
      <c r="A641" s="6" t="s">
        <v>2505</v>
      </c>
      <c r="B641" s="6">
        <v>234</v>
      </c>
      <c r="C641" s="6">
        <v>63536011</v>
      </c>
      <c r="D641" s="6" t="s">
        <v>162</v>
      </c>
      <c r="E641" s="6" t="s">
        <v>1954</v>
      </c>
      <c r="F641" s="6" t="s">
        <v>2506</v>
      </c>
      <c r="G641" s="6">
        <v>34258</v>
      </c>
      <c r="H641" s="6" t="s">
        <v>2507</v>
      </c>
      <c r="I641" s="6">
        <v>178</v>
      </c>
      <c r="J641" s="6" t="s">
        <v>23</v>
      </c>
      <c r="K641" s="6" t="s">
        <v>24</v>
      </c>
      <c r="L641" s="6">
        <v>30000000</v>
      </c>
      <c r="M641" s="6">
        <v>2012</v>
      </c>
      <c r="N641" s="6">
        <v>6.3</v>
      </c>
      <c r="O641" s="4">
        <f ca="1">IFERROR(__xludf.DUMMYFUNCTION("IF(Cost_in_dollars!E641=""USD"",Cost_in_dollars!B641,Cost_in_dollars!B641 * GOOGLEFINANCE(""CURRENCY:"" &amp; Cost_in_dollars!E641 &amp; ""USD""))
"),30000000)</f>
        <v>30000000</v>
      </c>
      <c r="P641" s="4">
        <f ca="1">IFERROR(__xludf.DUMMYFUNCTION("IF(Cost_in_dollars!E641=""USD"",Cost_in_dollars!C641,Cost_in_dollars!C641 * GOOGLEFINANCE(""CURRENCY:"" &amp; Cost_in_dollars!E641 &amp; ""USD""))
"),63536011)</f>
        <v>63536011</v>
      </c>
      <c r="Q641" s="6">
        <f t="shared" ca="1" si="12"/>
        <v>33536011</v>
      </c>
      <c r="R641" s="7" t="str">
        <f t="shared" si="13"/>
        <v>Hope Springs</v>
      </c>
      <c r="S641" s="43" t="str">
        <f t="shared" si="15"/>
        <v>Comedy</v>
      </c>
    </row>
    <row r="642" spans="1:19" ht="15.75" customHeight="1" x14ac:dyDescent="0.25">
      <c r="A642" s="4" t="s">
        <v>1585</v>
      </c>
      <c r="B642" s="4">
        <v>226</v>
      </c>
      <c r="C642" s="4">
        <v>2208939</v>
      </c>
      <c r="D642" s="4" t="s">
        <v>2508</v>
      </c>
      <c r="E642" s="4" t="s">
        <v>1720</v>
      </c>
      <c r="F642" s="4" t="s">
        <v>2509</v>
      </c>
      <c r="G642" s="4">
        <v>190490</v>
      </c>
      <c r="H642" s="4" t="s">
        <v>2510</v>
      </c>
      <c r="I642" s="4">
        <v>482</v>
      </c>
      <c r="J642" s="4" t="s">
        <v>23</v>
      </c>
      <c r="K642" s="4" t="s">
        <v>176</v>
      </c>
      <c r="L642" s="4">
        <v>50000000</v>
      </c>
      <c r="M642" s="4">
        <v>2006</v>
      </c>
      <c r="N642" s="4">
        <v>7.5</v>
      </c>
      <c r="O642" s="4">
        <f ca="1">IFERROR(__xludf.DUMMYFUNCTION("IF(Cost_in_dollars!E642=""USD"",Cost_in_dollars!B642,Cost_in_dollars!B642 * GOOGLEFINANCE(""CURRENCY:"" &amp; Cost_in_dollars!E642 &amp; ""USD""))
"),54237000)</f>
        <v>54237000</v>
      </c>
      <c r="P642" s="4">
        <f ca="1">IFERROR(__xludf.DUMMYFUNCTION("IF(Cost_in_dollars!E642=""USD"",Cost_in_dollars!C642,Cost_in_dollars!C642 * GOOGLEFINANCE(""CURRENCY:"" &amp; Cost_in_dollars!E642 &amp; ""USD""))
"),2396124.49086)</f>
        <v>2396124.4908599998</v>
      </c>
      <c r="Q642" s="4">
        <f t="shared" ca="1" si="12"/>
        <v>-51840875.50914</v>
      </c>
      <c r="R642" s="5" t="str">
        <f t="shared" si="13"/>
        <v>Perfume: The Story of a Murderer</v>
      </c>
      <c r="S642" s="43" t="str">
        <f t="shared" ref="S642:S705" si="16">IF(ISNUMBER(FIND("|", D642)), LEFT(D642, FIND("|", D642) - 1), D642)</f>
        <v>Crime</v>
      </c>
    </row>
    <row r="643" spans="1:19" ht="15.75" customHeight="1" x14ac:dyDescent="0.25">
      <c r="A643" s="6" t="s">
        <v>239</v>
      </c>
      <c r="B643" s="6">
        <v>20</v>
      </c>
      <c r="C643" s="6">
        <v>2474000</v>
      </c>
      <c r="D643" s="6" t="s">
        <v>68</v>
      </c>
      <c r="E643" s="6" t="s">
        <v>2511</v>
      </c>
      <c r="F643" s="6" t="s">
        <v>2512</v>
      </c>
      <c r="G643" s="6">
        <v>2427</v>
      </c>
      <c r="H643" s="6" t="s">
        <v>2513</v>
      </c>
      <c r="I643" s="6">
        <v>27</v>
      </c>
      <c r="J643" s="6" t="s">
        <v>23</v>
      </c>
      <c r="K643" s="6" t="s">
        <v>611</v>
      </c>
      <c r="L643" s="6">
        <v>14000000</v>
      </c>
      <c r="M643" s="6">
        <v>1995</v>
      </c>
      <c r="N643" s="6">
        <v>5.7</v>
      </c>
      <c r="O643" s="4">
        <f ca="1">IFERROR(__xludf.DUMMYFUNCTION("IF(Cost_in_dollars!E643=""USD"",Cost_in_dollars!B643,Cost_in_dollars!B643 * GOOGLEFINANCE(""CURRENCY:"" &amp; Cost_in_dollars!E643 &amp; ""USD""))
"),15186360)</f>
        <v>15186360</v>
      </c>
      <c r="P643" s="4">
        <f ca="1">IFERROR(__xludf.DUMMYFUNCTION("IF(Cost_in_dollars!E643=""USD"",Cost_in_dollars!C643,Cost_in_dollars!C643 * GOOGLEFINANCE(""CURRENCY:"" &amp; Cost_in_dollars!E643 &amp; ""USD""))
"),2683646.76)</f>
        <v>2683646.7599999998</v>
      </c>
      <c r="Q643" s="6">
        <f t="shared" ca="1" si="12"/>
        <v>-12502713.24</v>
      </c>
      <c r="R643" s="7" t="str">
        <f t="shared" si="13"/>
        <v>Jefferson in Paris</v>
      </c>
      <c r="S643" s="43" t="str">
        <f t="shared" si="16"/>
        <v>Biography</v>
      </c>
    </row>
    <row r="644" spans="1:19" ht="15.75" customHeight="1" x14ac:dyDescent="0.25">
      <c r="A644" s="4" t="s">
        <v>2514</v>
      </c>
      <c r="B644" s="4">
        <v>256</v>
      </c>
      <c r="C644" s="4">
        <v>34964818</v>
      </c>
      <c r="D644" s="4" t="s">
        <v>1259</v>
      </c>
      <c r="E644" s="4" t="s">
        <v>977</v>
      </c>
      <c r="F644" s="4" t="s">
        <v>2515</v>
      </c>
      <c r="G644" s="4">
        <v>39956</v>
      </c>
      <c r="H644" s="4" t="s">
        <v>2516</v>
      </c>
      <c r="I644" s="4">
        <v>186</v>
      </c>
      <c r="J644" s="4" t="s">
        <v>23</v>
      </c>
      <c r="K644" s="4" t="s">
        <v>24</v>
      </c>
      <c r="L644" s="4">
        <v>150000000</v>
      </c>
      <c r="M644" s="4">
        <v>2015</v>
      </c>
      <c r="N644" s="4">
        <v>5.8</v>
      </c>
      <c r="O644" s="4">
        <f ca="1">IFERROR(__xludf.DUMMYFUNCTION("IF(Cost_in_dollars!E644=""USD"",Cost_in_dollars!B644,Cost_in_dollars!B644 * GOOGLEFINANCE(""CURRENCY:"" &amp; Cost_in_dollars!E644 &amp; ""USD""))
"),150000000)</f>
        <v>150000000</v>
      </c>
      <c r="P644" s="4">
        <f ca="1">IFERROR(__xludf.DUMMYFUNCTION("IF(Cost_in_dollars!E644=""USD"",Cost_in_dollars!C644,Cost_in_dollars!C644 * GOOGLEFINANCE(""CURRENCY:"" &amp; Cost_in_dollars!E644 &amp; ""USD""))
"),34964818)</f>
        <v>34964818</v>
      </c>
      <c r="Q644" s="4">
        <f t="shared" ca="1" si="12"/>
        <v>-115035182</v>
      </c>
      <c r="R644" s="5" t="str">
        <f t="shared" si="13"/>
        <v>Pan</v>
      </c>
      <c r="S644" s="43" t="str">
        <f t="shared" si="16"/>
        <v>Adventure</v>
      </c>
    </row>
    <row r="645" spans="1:19" ht="15.75" customHeight="1" x14ac:dyDescent="0.25">
      <c r="A645" s="6" t="s">
        <v>648</v>
      </c>
      <c r="B645" s="6">
        <v>135</v>
      </c>
      <c r="C645" s="6">
        <v>110332737</v>
      </c>
      <c r="D645" s="6" t="s">
        <v>443</v>
      </c>
      <c r="E645" s="6" t="s">
        <v>2517</v>
      </c>
      <c r="F645" s="6" t="s">
        <v>2518</v>
      </c>
      <c r="G645" s="6">
        <v>110788</v>
      </c>
      <c r="H645" s="6" t="s">
        <v>2519</v>
      </c>
      <c r="I645" s="6">
        <v>258</v>
      </c>
      <c r="J645" s="6" t="s">
        <v>23</v>
      </c>
      <c r="K645" s="6" t="s">
        <v>24</v>
      </c>
      <c r="L645" s="6">
        <v>100000000</v>
      </c>
      <c r="M645" s="6">
        <v>2005</v>
      </c>
      <c r="N645" s="6">
        <v>6.1</v>
      </c>
      <c r="O645" s="4">
        <f ca="1">IFERROR(__xludf.DUMMYFUNCTION("IF(Cost_in_dollars!E645=""USD"",Cost_in_dollars!B645,Cost_in_dollars!B645 * GOOGLEFINANCE(""CURRENCY:"" &amp; Cost_in_dollars!E645 &amp; ""USD""))
"),100000000)</f>
        <v>100000000</v>
      </c>
      <c r="P645" s="4">
        <f ca="1">IFERROR(__xludf.DUMMYFUNCTION("IF(Cost_in_dollars!E645=""USD"",Cost_in_dollars!C645,Cost_in_dollars!C645 * GOOGLEFINANCE(""CURRENCY:"" &amp; Cost_in_dollars!E645 &amp; ""USD""))
"),110332737)</f>
        <v>110332737</v>
      </c>
      <c r="Q645" s="6">
        <f t="shared" ca="1" si="12"/>
        <v>10332737</v>
      </c>
      <c r="R645" s="7" t="str">
        <f t="shared" si="13"/>
        <v>Fun with Dick and Jane</v>
      </c>
      <c r="S645" s="43" t="str">
        <f t="shared" si="16"/>
        <v>Comedy</v>
      </c>
    </row>
    <row r="646" spans="1:19" ht="15.75" customHeight="1" x14ac:dyDescent="0.25">
      <c r="A646" s="4" t="s">
        <v>2520</v>
      </c>
      <c r="B646" s="4">
        <v>122</v>
      </c>
      <c r="C646" s="4">
        <v>12281500</v>
      </c>
      <c r="D646" s="4" t="s">
        <v>167</v>
      </c>
      <c r="E646" s="4" t="s">
        <v>1436</v>
      </c>
      <c r="F646" s="4" t="s">
        <v>2521</v>
      </c>
      <c r="G646" s="4">
        <v>163492</v>
      </c>
      <c r="H646" s="4" t="s">
        <v>2522</v>
      </c>
      <c r="I646" s="4">
        <v>460</v>
      </c>
      <c r="J646" s="4" t="s">
        <v>23</v>
      </c>
      <c r="K646" s="4" t="s">
        <v>24</v>
      </c>
      <c r="L646" s="4">
        <v>13000000</v>
      </c>
      <c r="M646" s="4">
        <v>1993</v>
      </c>
      <c r="N646" s="4">
        <v>8</v>
      </c>
      <c r="O646" s="4">
        <f ca="1">IFERROR(__xludf.DUMMYFUNCTION("IF(Cost_in_dollars!E646=""USD"",Cost_in_dollars!B646,Cost_in_dollars!B646 * GOOGLEFINANCE(""CURRENCY:"" &amp; Cost_in_dollars!E646 &amp; ""USD""))
"),13000000)</f>
        <v>13000000</v>
      </c>
      <c r="P646" s="4">
        <f ca="1">IFERROR(__xludf.DUMMYFUNCTION("IF(Cost_in_dollars!E646=""USD"",Cost_in_dollars!C646,Cost_in_dollars!C646 * GOOGLEFINANCE(""CURRENCY:"" &amp; Cost_in_dollars!E646 &amp; ""USD""))
"),12281500)</f>
        <v>12281500</v>
      </c>
      <c r="Q646" s="4">
        <f t="shared" ca="1" si="12"/>
        <v>-718500</v>
      </c>
      <c r="R646" s="5" t="str">
        <f t="shared" si="13"/>
        <v>True Romance</v>
      </c>
      <c r="S646" s="43" t="str">
        <f t="shared" si="16"/>
        <v>Action</v>
      </c>
    </row>
    <row r="647" spans="1:19" ht="15.75" customHeight="1" x14ac:dyDescent="0.25">
      <c r="A647" s="6" t="s">
        <v>2523</v>
      </c>
      <c r="B647" s="6">
        <v>534</v>
      </c>
      <c r="C647" s="6">
        <v>32279955</v>
      </c>
      <c r="D647" s="6" t="s">
        <v>116</v>
      </c>
      <c r="E647" s="6" t="s">
        <v>2524</v>
      </c>
      <c r="F647" s="6" t="s">
        <v>2525</v>
      </c>
      <c r="G647" s="6">
        <v>293304</v>
      </c>
      <c r="H647" s="6" t="s">
        <v>2526</v>
      </c>
      <c r="I647" s="6">
        <v>552</v>
      </c>
      <c r="J647" s="6" t="s">
        <v>23</v>
      </c>
      <c r="K647" s="6" t="s">
        <v>24</v>
      </c>
      <c r="L647" s="6">
        <v>8500000</v>
      </c>
      <c r="M647" s="6">
        <v>2014</v>
      </c>
      <c r="N647" s="6">
        <v>7.9</v>
      </c>
      <c r="O647" s="4">
        <f ca="1">IFERROR(__xludf.DUMMYFUNCTION("IF(Cost_in_dollars!E647=""USD"",Cost_in_dollars!B647,Cost_in_dollars!B647 * GOOGLEFINANCE(""CURRENCY:"" &amp; Cost_in_dollars!E647 &amp; ""USD""))
"),8500000)</f>
        <v>8500000</v>
      </c>
      <c r="P647" s="4">
        <f ca="1">IFERROR(__xludf.DUMMYFUNCTION("IF(Cost_in_dollars!E647=""USD"",Cost_in_dollars!C647,Cost_in_dollars!C647 * GOOGLEFINANCE(""CURRENCY:"" &amp; Cost_in_dollars!E647 &amp; ""USD""))
"),32279955)</f>
        <v>32279955</v>
      </c>
      <c r="Q647" s="6">
        <f t="shared" ca="1" si="12"/>
        <v>23779955</v>
      </c>
      <c r="R647" s="7" t="str">
        <f t="shared" si="13"/>
        <v>Nightcrawler</v>
      </c>
      <c r="S647" s="43" t="str">
        <f t="shared" si="16"/>
        <v>Crime</v>
      </c>
    </row>
    <row r="648" spans="1:19" ht="15.75" customHeight="1" x14ac:dyDescent="0.25">
      <c r="A648" s="4" t="s">
        <v>962</v>
      </c>
      <c r="B648" s="4">
        <v>339</v>
      </c>
      <c r="C648" s="4">
        <v>47307550</v>
      </c>
      <c r="D648" s="4" t="s">
        <v>116</v>
      </c>
      <c r="E648" s="4" t="s">
        <v>2527</v>
      </c>
      <c r="F648" s="4" t="s">
        <v>2528</v>
      </c>
      <c r="G648" s="4">
        <v>104301</v>
      </c>
      <c r="H648" s="4" t="s">
        <v>2529</v>
      </c>
      <c r="I648" s="4">
        <v>269</v>
      </c>
      <c r="J648" s="4" t="s">
        <v>23</v>
      </c>
      <c r="K648" s="4" t="s">
        <v>24</v>
      </c>
      <c r="L648" s="4">
        <v>45000000</v>
      </c>
      <c r="M648" s="4">
        <v>2012</v>
      </c>
      <c r="N648" s="4">
        <v>6.5</v>
      </c>
      <c r="O648" s="4">
        <f ca="1">IFERROR(__xludf.DUMMYFUNCTION("IF(Cost_in_dollars!E648=""USD"",Cost_in_dollars!B648,Cost_in_dollars!B648 * GOOGLEFINANCE(""CURRENCY:"" &amp; Cost_in_dollars!E648 &amp; ""USD""))
"),45000000)</f>
        <v>45000000</v>
      </c>
      <c r="P648" s="4">
        <f ca="1">IFERROR(__xludf.DUMMYFUNCTION("IF(Cost_in_dollars!E648=""USD"",Cost_in_dollars!C648,Cost_in_dollars!C648 * GOOGLEFINANCE(""CURRENCY:"" &amp; Cost_in_dollars!E648 &amp; ""USD""))
"),47307550)</f>
        <v>47307550</v>
      </c>
      <c r="Q648" s="4">
        <f t="shared" ca="1" si="12"/>
        <v>2307550</v>
      </c>
      <c r="R648" s="5" t="str">
        <f t="shared" si="13"/>
        <v>Savages</v>
      </c>
      <c r="S648" s="43" t="str">
        <f t="shared" si="16"/>
        <v>Crime</v>
      </c>
    </row>
    <row r="649" spans="1:19" ht="15.75" customHeight="1" x14ac:dyDescent="0.25">
      <c r="A649" s="6" t="s">
        <v>2261</v>
      </c>
      <c r="B649" s="6">
        <v>97</v>
      </c>
      <c r="C649" s="6">
        <v>127214072</v>
      </c>
      <c r="D649" s="6" t="s">
        <v>88</v>
      </c>
      <c r="E649" s="6" t="s">
        <v>2530</v>
      </c>
      <c r="F649" s="6" t="s">
        <v>2531</v>
      </c>
      <c r="G649" s="6">
        <v>83786</v>
      </c>
      <c r="H649" s="6" t="s">
        <v>2532</v>
      </c>
      <c r="I649" s="6">
        <v>392</v>
      </c>
      <c r="J649" s="6" t="s">
        <v>23</v>
      </c>
      <c r="K649" s="6" t="s">
        <v>24</v>
      </c>
      <c r="L649" s="6">
        <v>38000000</v>
      </c>
      <c r="M649" s="6">
        <v>2002</v>
      </c>
      <c r="N649" s="6">
        <v>6.1</v>
      </c>
      <c r="O649" s="4">
        <f ca="1">IFERROR(__xludf.DUMMYFUNCTION("IF(Cost_in_dollars!E649=""USD"",Cost_in_dollars!B649,Cost_in_dollars!B649 * GOOGLEFINANCE(""CURRENCY:"" &amp; Cost_in_dollars!E649 &amp; ""USD""))
"),38000000)</f>
        <v>38000000</v>
      </c>
      <c r="P649" s="4">
        <f ca="1">IFERROR(__xludf.DUMMYFUNCTION("IF(Cost_in_dollars!E649=""USD"",Cost_in_dollars!C649,Cost_in_dollars!C649 * GOOGLEFINANCE(""CURRENCY:"" &amp; Cost_in_dollars!E649 &amp; ""USD""))
"),127214072)</f>
        <v>127214072</v>
      </c>
      <c r="Q649" s="6">
        <f t="shared" ca="1" si="12"/>
        <v>89214072</v>
      </c>
      <c r="R649" s="7" t="str">
        <f t="shared" si="13"/>
        <v>Sweet Home Alabama</v>
      </c>
      <c r="S649" s="43" t="str">
        <f t="shared" si="16"/>
        <v>Comedy</v>
      </c>
    </row>
    <row r="650" spans="1:19" ht="15.75" customHeight="1" x14ac:dyDescent="0.25">
      <c r="A650" s="4" t="s">
        <v>2533</v>
      </c>
      <c r="B650" s="4">
        <v>56</v>
      </c>
      <c r="C650" s="4">
        <v>16115878</v>
      </c>
      <c r="D650" s="4" t="s">
        <v>2534</v>
      </c>
      <c r="E650" s="4" t="s">
        <v>487</v>
      </c>
      <c r="F650" s="4" t="s">
        <v>2535</v>
      </c>
      <c r="G650" s="4">
        <v>24438</v>
      </c>
      <c r="H650" s="4" t="s">
        <v>2536</v>
      </c>
      <c r="I650" s="4">
        <v>194</v>
      </c>
      <c r="J650" s="4" t="s">
        <v>23</v>
      </c>
      <c r="K650" s="4" t="s">
        <v>24</v>
      </c>
      <c r="L650" s="4">
        <v>8000000</v>
      </c>
      <c r="M650" s="4">
        <v>1995</v>
      </c>
      <c r="N650" s="4">
        <v>6.6</v>
      </c>
      <c r="O650" s="4">
        <f ca="1">IFERROR(__xludf.DUMMYFUNCTION("IF(Cost_in_dollars!E650=""USD"",Cost_in_dollars!B650,Cost_in_dollars!B650 * GOOGLEFINANCE(""CURRENCY:"" &amp; Cost_in_dollars!E650 &amp; ""USD""))
"),8000000)</f>
        <v>8000000</v>
      </c>
      <c r="P650" s="4">
        <f ca="1">IFERROR(__xludf.DUMMYFUNCTION("IF(Cost_in_dollars!E650=""USD"",Cost_in_dollars!C650,Cost_in_dollars!C650 * GOOGLEFINANCE(""CURRENCY:"" &amp; Cost_in_dollars!E650 &amp; ""USD""))
"),16115878)</f>
        <v>16115878</v>
      </c>
      <c r="Q650" s="4">
        <f t="shared" ca="1" si="12"/>
        <v>8115878</v>
      </c>
      <c r="R650" s="5" t="str">
        <f t="shared" si="13"/>
        <v>The Prophecy</v>
      </c>
      <c r="S650" s="43" t="str">
        <f t="shared" si="16"/>
        <v>Action</v>
      </c>
    </row>
    <row r="651" spans="1:19" ht="15.75" customHeight="1" x14ac:dyDescent="0.25">
      <c r="A651" s="6" t="s">
        <v>2537</v>
      </c>
      <c r="B651" s="6">
        <v>129</v>
      </c>
      <c r="C651" s="6">
        <v>2207975</v>
      </c>
      <c r="D651" s="6" t="s">
        <v>216</v>
      </c>
      <c r="E651" s="6" t="s">
        <v>2538</v>
      </c>
      <c r="F651" s="6" t="s">
        <v>2539</v>
      </c>
      <c r="G651" s="6">
        <v>28855</v>
      </c>
      <c r="H651" s="6" t="s">
        <v>2540</v>
      </c>
      <c r="I651" s="6">
        <v>190</v>
      </c>
      <c r="J651" s="6" t="s">
        <v>23</v>
      </c>
      <c r="K651" s="6" t="s">
        <v>24</v>
      </c>
      <c r="L651" s="6">
        <v>6000000</v>
      </c>
      <c r="M651" s="6">
        <v>2003</v>
      </c>
      <c r="N651" s="6">
        <v>7.2</v>
      </c>
      <c r="O651" s="4">
        <f ca="1">IFERROR(__xludf.DUMMYFUNCTION("IF(Cost_in_dollars!E651=""USD"",Cost_in_dollars!B651,Cost_in_dollars!B651 * GOOGLEFINANCE(""CURRENCY:"" &amp; Cost_in_dollars!E651 &amp; ""USD""))
"),6000000)</f>
        <v>6000000</v>
      </c>
      <c r="P651" s="4">
        <f ca="1">IFERROR(__xludf.DUMMYFUNCTION("IF(Cost_in_dollars!E651=""USD"",Cost_in_dollars!C651,Cost_in_dollars!C651 * GOOGLEFINANCE(""CURRENCY:"" &amp; Cost_in_dollars!E651 &amp; ""USD""))
"),2207975)</f>
        <v>2207975</v>
      </c>
      <c r="Q651" s="6">
        <f t="shared" ca="1" si="12"/>
        <v>-3792025</v>
      </c>
      <c r="R651" s="7" t="str">
        <f t="shared" si="13"/>
        <v>Shattered Glass</v>
      </c>
      <c r="S651" s="43" t="str">
        <f t="shared" si="16"/>
        <v>Drama</v>
      </c>
    </row>
    <row r="652" spans="1:19" ht="15.75" customHeight="1" x14ac:dyDescent="0.25">
      <c r="A652" s="4" t="s">
        <v>2541</v>
      </c>
      <c r="B652" s="4">
        <v>64</v>
      </c>
      <c r="C652" s="4">
        <v>673780</v>
      </c>
      <c r="D652" s="4" t="s">
        <v>102</v>
      </c>
      <c r="E652" s="4" t="s">
        <v>2542</v>
      </c>
      <c r="F652" s="4" t="s">
        <v>2543</v>
      </c>
      <c r="G652" s="4">
        <v>4555</v>
      </c>
      <c r="H652" s="4" t="s">
        <v>2544</v>
      </c>
      <c r="I652" s="4">
        <v>26</v>
      </c>
      <c r="J652" s="4" t="s">
        <v>2545</v>
      </c>
      <c r="K652" s="4" t="s">
        <v>2546</v>
      </c>
      <c r="L652" s="4">
        <v>10000</v>
      </c>
      <c r="M652" s="4">
        <v>2000</v>
      </c>
      <c r="N652" s="4">
        <v>7.5</v>
      </c>
      <c r="O652" s="4">
        <f ca="1">IFERROR(__xludf.DUMMYFUNCTION("IF(Cost_in_dollars!E652=""USD"",Cost_in_dollars!B652,Cost_in_dollars!B652 * GOOGLEFINANCE(""CURRENCY:"" &amp; Cost_in_dollars!E652 &amp; ""USD""))
"),0.23750148)</f>
        <v>0.23750147999999999</v>
      </c>
      <c r="P652" s="4">
        <f ca="1">IFERROR(__xludf.DUMMYFUNCTION("IF(Cost_in_dollars!E652=""USD"",Cost_in_dollars!C652,Cost_in_dollars!C652 * GOOGLEFINANCE(""CURRENCY:"" &amp; Cost_in_dollars!E652 &amp; ""USD""))
"),16.00237471944)</f>
        <v>16.002374719439999</v>
      </c>
      <c r="Q652" s="4">
        <f t="shared" ca="1" si="12"/>
        <v>15.764873239439998</v>
      </c>
      <c r="R652" s="5" t="str">
        <f t="shared" si="13"/>
        <v>The Circle</v>
      </c>
      <c r="S652" s="43" t="str">
        <f t="shared" si="16"/>
        <v>Drama</v>
      </c>
    </row>
    <row r="653" spans="1:19" ht="15.75" customHeight="1" x14ac:dyDescent="0.25">
      <c r="A653" s="6" t="s">
        <v>280</v>
      </c>
      <c r="B653" s="6">
        <v>61</v>
      </c>
      <c r="C653" s="6">
        <v>32885565</v>
      </c>
      <c r="D653" s="6" t="s">
        <v>928</v>
      </c>
      <c r="E653" s="6" t="s">
        <v>2547</v>
      </c>
      <c r="F653" s="6" t="s">
        <v>2548</v>
      </c>
      <c r="G653" s="6">
        <v>53132</v>
      </c>
      <c r="H653" s="6" t="s">
        <v>2549</v>
      </c>
      <c r="I653" s="6">
        <v>101</v>
      </c>
      <c r="J653" s="6" t="s">
        <v>23</v>
      </c>
      <c r="K653" s="6" t="s">
        <v>24</v>
      </c>
      <c r="L653" s="6">
        <v>80000000</v>
      </c>
      <c r="M653" s="6">
        <v>1996</v>
      </c>
      <c r="N653" s="6">
        <v>5.8</v>
      </c>
      <c r="O653" s="4">
        <f ca="1">IFERROR(__xludf.DUMMYFUNCTION("IF(Cost_in_dollars!E653=""USD"",Cost_in_dollars!B653,Cost_in_dollars!B653 * GOOGLEFINANCE(""CURRENCY:"" &amp; Cost_in_dollars!E653 &amp; ""USD""))
"),80000000)</f>
        <v>80000000</v>
      </c>
      <c r="P653" s="4">
        <f ca="1">IFERROR(__xludf.DUMMYFUNCTION("IF(Cost_in_dollars!E653=""USD"",Cost_in_dollars!C653,Cost_in_dollars!C653 * GOOGLEFINANCE(""CURRENCY:"" &amp; Cost_in_dollars!E653 &amp; ""USD""))
"),32885565)</f>
        <v>32885565</v>
      </c>
      <c r="Q653" s="6">
        <f t="shared" ca="1" si="12"/>
        <v>-47114435</v>
      </c>
      <c r="R653" s="7" t="str">
        <f t="shared" si="13"/>
        <v>Daylight</v>
      </c>
      <c r="S653" s="43" t="str">
        <f t="shared" si="16"/>
        <v>Action</v>
      </c>
    </row>
    <row r="654" spans="1:19" ht="15.75" customHeight="1" x14ac:dyDescent="0.25">
      <c r="A654" s="4" t="s">
        <v>2550</v>
      </c>
      <c r="B654" s="4">
        <v>46</v>
      </c>
      <c r="C654" s="4">
        <v>91457688</v>
      </c>
      <c r="D654" s="4" t="s">
        <v>268</v>
      </c>
      <c r="E654" s="4" t="s">
        <v>2551</v>
      </c>
      <c r="F654" s="4" t="s">
        <v>2552</v>
      </c>
      <c r="G654" s="4">
        <v>107801</v>
      </c>
      <c r="H654" s="4" t="s">
        <v>2553</v>
      </c>
      <c r="I654" s="4">
        <v>109</v>
      </c>
      <c r="J654" s="4" t="s">
        <v>23</v>
      </c>
      <c r="K654" s="4" t="s">
        <v>24</v>
      </c>
      <c r="L654" s="4">
        <v>26000000</v>
      </c>
      <c r="M654" s="4">
        <v>1990</v>
      </c>
      <c r="N654" s="4">
        <v>6</v>
      </c>
      <c r="O654" s="4">
        <f ca="1">IFERROR(__xludf.DUMMYFUNCTION("IF(Cost_in_dollars!E654=""USD"",Cost_in_dollars!B654,Cost_in_dollars!B654 * GOOGLEFINANCE(""CURRENCY:"" &amp; Cost_in_dollars!E654 &amp; ""USD""))
"),26000000)</f>
        <v>26000000</v>
      </c>
      <c r="P654" s="4">
        <f ca="1">IFERROR(__xludf.DUMMYFUNCTION("IF(Cost_in_dollars!E654=""USD"",Cost_in_dollars!C654,Cost_in_dollars!C654 * GOOGLEFINANCE(""CURRENCY:"" &amp; Cost_in_dollars!E654 &amp; ""USD""))
"),91457688)</f>
        <v>91457688</v>
      </c>
      <c r="Q654" s="4">
        <f t="shared" ca="1" si="12"/>
        <v>65457688</v>
      </c>
      <c r="R654" s="5" t="str">
        <f t="shared" si="13"/>
        <v>Kindergarten Cop</v>
      </c>
      <c r="S654" s="43" t="str">
        <f t="shared" si="16"/>
        <v>Action</v>
      </c>
    </row>
    <row r="655" spans="1:19" ht="15.75" customHeight="1" x14ac:dyDescent="0.25">
      <c r="A655" s="6" t="s">
        <v>358</v>
      </c>
      <c r="B655" s="6">
        <v>105</v>
      </c>
      <c r="C655" s="6">
        <v>18967571</v>
      </c>
      <c r="D655" s="6" t="s">
        <v>155</v>
      </c>
      <c r="E655" s="6" t="s">
        <v>1079</v>
      </c>
      <c r="F655" s="6" t="s">
        <v>2554</v>
      </c>
      <c r="G655" s="6">
        <v>23345</v>
      </c>
      <c r="H655" s="6" t="s">
        <v>2555</v>
      </c>
      <c r="I655" s="6">
        <v>167</v>
      </c>
      <c r="J655" s="6" t="s">
        <v>23</v>
      </c>
      <c r="K655" s="6" t="s">
        <v>24</v>
      </c>
      <c r="L655" s="6">
        <v>30000000</v>
      </c>
      <c r="M655" s="6">
        <v>1998</v>
      </c>
      <c r="N655" s="6">
        <v>6.1</v>
      </c>
      <c r="O655" s="4">
        <f ca="1">IFERROR(__xludf.DUMMYFUNCTION("IF(Cost_in_dollars!E655=""USD"",Cost_in_dollars!B655,Cost_in_dollars!B655 * GOOGLEFINANCE(""CURRENCY:"" &amp; Cost_in_dollars!E655 &amp; ""USD""))
"),30000000)</f>
        <v>30000000</v>
      </c>
      <c r="P655" s="4">
        <f ca="1">IFERROR(__xludf.DUMMYFUNCTION("IF(Cost_in_dollars!E655=""USD"",Cost_in_dollars!C655,Cost_in_dollars!C655 * GOOGLEFINANCE(""CURRENCY:"" &amp; Cost_in_dollars!E655 &amp; ""USD""))
"),18967571)</f>
        <v>18967571</v>
      </c>
      <c r="Q655" s="6">
        <f t="shared" ca="1" si="12"/>
        <v>-11032429</v>
      </c>
      <c r="R655" s="7" t="str">
        <f t="shared" si="13"/>
        <v>The Replacement Killers</v>
      </c>
      <c r="S655" s="43" t="str">
        <f t="shared" si="16"/>
        <v>Action</v>
      </c>
    </row>
    <row r="656" spans="1:19" ht="15.75" customHeight="1" x14ac:dyDescent="0.25">
      <c r="A656" s="4" t="s">
        <v>2556</v>
      </c>
      <c r="B656" s="4">
        <v>351</v>
      </c>
      <c r="C656" s="4">
        <v>52000688</v>
      </c>
      <c r="D656" s="4" t="s">
        <v>797</v>
      </c>
      <c r="E656" s="4" t="s">
        <v>2557</v>
      </c>
      <c r="F656" s="4" t="s">
        <v>2558</v>
      </c>
      <c r="G656" s="4">
        <v>171418</v>
      </c>
      <c r="H656" s="4" t="s">
        <v>2559</v>
      </c>
      <c r="I656" s="4">
        <v>619</v>
      </c>
      <c r="J656" s="4" t="s">
        <v>23</v>
      </c>
      <c r="K656" s="4" t="s">
        <v>24</v>
      </c>
      <c r="L656" s="4">
        <v>40000000</v>
      </c>
      <c r="M656" s="4">
        <v>2010</v>
      </c>
      <c r="N656" s="4">
        <v>6.4</v>
      </c>
      <c r="O656" s="4">
        <f ca="1">IFERROR(__xludf.DUMMYFUNCTION("IF(Cost_in_dollars!E656=""USD"",Cost_in_dollars!B656,Cost_in_dollars!B656 * GOOGLEFINANCE(""CURRENCY:"" &amp; Cost_in_dollars!E656 &amp; ""USD""))
"),40000000)</f>
        <v>40000000</v>
      </c>
      <c r="P656" s="4">
        <f ca="1">IFERROR(__xludf.DUMMYFUNCTION("IF(Cost_in_dollars!E656=""USD"",Cost_in_dollars!C656,Cost_in_dollars!C656 * GOOGLEFINANCE(""CURRENCY:"" &amp; Cost_in_dollars!E656 &amp; ""USD""))
"),52000688)</f>
        <v>52000688</v>
      </c>
      <c r="Q656" s="4">
        <f t="shared" ca="1" si="12"/>
        <v>12000688</v>
      </c>
      <c r="R656" s="5" t="str">
        <f t="shared" si="13"/>
        <v>Predators</v>
      </c>
      <c r="S656" s="43" t="str">
        <f t="shared" si="16"/>
        <v>Action</v>
      </c>
    </row>
    <row r="657" spans="1:19" ht="15.75" customHeight="1" x14ac:dyDescent="0.25">
      <c r="A657" s="6" t="s">
        <v>371</v>
      </c>
      <c r="B657" s="6">
        <v>235</v>
      </c>
      <c r="C657" s="6">
        <v>63143812</v>
      </c>
      <c r="D657" s="6" t="s">
        <v>351</v>
      </c>
      <c r="E657" s="6" t="s">
        <v>461</v>
      </c>
      <c r="F657" s="6" t="s">
        <v>2560</v>
      </c>
      <c r="G657" s="6">
        <v>124185</v>
      </c>
      <c r="H657" s="6" t="s">
        <v>2561</v>
      </c>
      <c r="I657" s="6">
        <v>238</v>
      </c>
      <c r="J657" s="6" t="s">
        <v>23</v>
      </c>
      <c r="K657" s="6" t="s">
        <v>24</v>
      </c>
      <c r="L657" s="6">
        <v>150000000</v>
      </c>
      <c r="M657" s="6">
        <v>2010</v>
      </c>
      <c r="N657" s="6">
        <v>6.1</v>
      </c>
      <c r="O657" s="4">
        <f ca="1">IFERROR(__xludf.DUMMYFUNCTION("IF(Cost_in_dollars!E657=""USD"",Cost_in_dollars!B657,Cost_in_dollars!B657 * GOOGLEFINANCE(""CURRENCY:"" &amp; Cost_in_dollars!E657 &amp; ""USD""))
"),150000000)</f>
        <v>150000000</v>
      </c>
      <c r="P657" s="4">
        <f ca="1">IFERROR(__xludf.DUMMYFUNCTION("IF(Cost_in_dollars!E657=""USD"",Cost_in_dollars!C657,Cost_in_dollars!C657 * GOOGLEFINANCE(""CURRENCY:"" &amp; Cost_in_dollars!E657 &amp; ""USD""))
"),63143812)</f>
        <v>63143812</v>
      </c>
      <c r="Q657" s="6">
        <f t="shared" ca="1" si="12"/>
        <v>-86856188</v>
      </c>
      <c r="R657" s="7" t="str">
        <f t="shared" si="13"/>
        <v>The Sorcerer's Apprentice</v>
      </c>
      <c r="S657" s="43" t="str">
        <f t="shared" si="16"/>
        <v>Action</v>
      </c>
    </row>
    <row r="658" spans="1:19" ht="15.75" customHeight="1" x14ac:dyDescent="0.25">
      <c r="A658" s="4" t="s">
        <v>2562</v>
      </c>
      <c r="B658" s="4">
        <v>132</v>
      </c>
      <c r="C658" s="4">
        <v>34017854</v>
      </c>
      <c r="D658" s="4" t="s">
        <v>140</v>
      </c>
      <c r="E658" s="4" t="s">
        <v>2563</v>
      </c>
      <c r="F658" s="4" t="s">
        <v>2564</v>
      </c>
      <c r="G658" s="4">
        <v>51326</v>
      </c>
      <c r="H658" s="4" t="s">
        <v>2565</v>
      </c>
      <c r="I658" s="4">
        <v>116</v>
      </c>
      <c r="J658" s="4" t="s">
        <v>23</v>
      </c>
      <c r="K658" s="4" t="s">
        <v>24</v>
      </c>
      <c r="L658" s="4">
        <v>8500000</v>
      </c>
      <c r="M658" s="4">
        <v>2015</v>
      </c>
      <c r="N658" s="4">
        <v>6.5</v>
      </c>
      <c r="O658" s="4">
        <f ca="1">IFERROR(__xludf.DUMMYFUNCTION("IF(Cost_in_dollars!E658=""USD"",Cost_in_dollars!B658,Cost_in_dollars!B658 * GOOGLEFINANCE(""CURRENCY:"" &amp; Cost_in_dollars!E658 &amp; ""USD""))
"),8500000)</f>
        <v>8500000</v>
      </c>
      <c r="P658" s="4">
        <f ca="1">IFERROR(__xludf.DUMMYFUNCTION("IF(Cost_in_dollars!E658=""USD"",Cost_in_dollars!C658,Cost_in_dollars!C658 * GOOGLEFINANCE(""CURRENCY:"" &amp; Cost_in_dollars!E658 &amp; ""USD""))
"),34017854)</f>
        <v>34017854</v>
      </c>
      <c r="Q658" s="4">
        <f t="shared" ca="1" si="12"/>
        <v>25517854</v>
      </c>
      <c r="R658" s="5" t="str">
        <f t="shared" si="13"/>
        <v>The DUFF</v>
      </c>
      <c r="S658" s="43" t="str">
        <f t="shared" si="16"/>
        <v>Comedy</v>
      </c>
    </row>
    <row r="659" spans="1:19" ht="15.75" customHeight="1" x14ac:dyDescent="0.25">
      <c r="A659" s="6" t="s">
        <v>2324</v>
      </c>
      <c r="B659" s="6">
        <v>41</v>
      </c>
      <c r="C659" s="6">
        <v>28734552</v>
      </c>
      <c r="D659" s="6" t="s">
        <v>813</v>
      </c>
      <c r="E659" s="6" t="s">
        <v>2292</v>
      </c>
      <c r="F659" s="6" t="s">
        <v>2566</v>
      </c>
      <c r="G659" s="6">
        <v>9566</v>
      </c>
      <c r="H659" s="6" t="s">
        <v>2567</v>
      </c>
      <c r="I659" s="6">
        <v>81</v>
      </c>
      <c r="J659" s="6" t="s">
        <v>23</v>
      </c>
      <c r="K659" s="6" t="s">
        <v>24</v>
      </c>
      <c r="L659" s="6">
        <v>16000000</v>
      </c>
      <c r="M659" s="6">
        <v>2001</v>
      </c>
      <c r="N659" s="6">
        <v>6.4</v>
      </c>
      <c r="O659" s="4">
        <f ca="1">IFERROR(__xludf.DUMMYFUNCTION("IF(Cost_in_dollars!E659=""USD"",Cost_in_dollars!B659,Cost_in_dollars!B659 * GOOGLEFINANCE(""CURRENCY:"" &amp; Cost_in_dollars!E659 &amp; ""USD""))
"),16000000)</f>
        <v>16000000</v>
      </c>
      <c r="P659" s="4">
        <f ca="1">IFERROR(__xludf.DUMMYFUNCTION("IF(Cost_in_dollars!E659=""USD"",Cost_in_dollars!C659,Cost_in_dollars!C659 * GOOGLEFINANCE(""CURRENCY:"" &amp; Cost_in_dollars!E659 &amp; ""USD""))
"),28734552)</f>
        <v>28734552</v>
      </c>
      <c r="Q659" s="6">
        <f t="shared" ca="1" si="12"/>
        <v>12734552</v>
      </c>
      <c r="R659" s="7" t="str">
        <f t="shared" si="13"/>
        <v>Baby Boy</v>
      </c>
      <c r="S659" s="43" t="str">
        <f t="shared" si="16"/>
        <v>Crime</v>
      </c>
    </row>
    <row r="660" spans="1:19" ht="15.75" customHeight="1" x14ac:dyDescent="0.25">
      <c r="A660" s="4" t="s">
        <v>2568</v>
      </c>
      <c r="B660" s="4">
        <v>1</v>
      </c>
      <c r="C660" s="4">
        <v>3000000</v>
      </c>
      <c r="D660" s="4" t="s">
        <v>53</v>
      </c>
      <c r="E660" s="4" t="s">
        <v>2569</v>
      </c>
      <c r="F660" s="4" t="s">
        <v>2570</v>
      </c>
      <c r="G660" s="4">
        <v>5</v>
      </c>
      <c r="H660" s="4" t="s">
        <v>2571</v>
      </c>
      <c r="I660" s="4">
        <v>1</v>
      </c>
      <c r="J660" s="4" t="s">
        <v>23</v>
      </c>
      <c r="K660" s="4" t="s">
        <v>24</v>
      </c>
      <c r="L660" s="4">
        <v>100000</v>
      </c>
      <c r="M660" s="4">
        <v>1920</v>
      </c>
      <c r="N660" s="4">
        <v>4.8</v>
      </c>
      <c r="O660" s="4">
        <f ca="1">IFERROR(__xludf.DUMMYFUNCTION("IF(Cost_in_dollars!E660=""USD"",Cost_in_dollars!B660,Cost_in_dollars!B660 * GOOGLEFINANCE(""CURRENCY:"" &amp; Cost_in_dollars!E660 &amp; ""USD""))
"),100000)</f>
        <v>100000</v>
      </c>
      <c r="P660" s="4">
        <f ca="1">IFERROR(__xludf.DUMMYFUNCTION("IF(Cost_in_dollars!E660=""USD"",Cost_in_dollars!C660,Cost_in_dollars!C660 * GOOGLEFINANCE(""CURRENCY:"" &amp; Cost_in_dollars!E660 &amp; ""USD""))
"),3000000)</f>
        <v>3000000</v>
      </c>
      <c r="Q660" s="4">
        <f t="shared" ca="1" si="12"/>
        <v>2900000</v>
      </c>
      <c r="R660" s="5" t="str">
        <f t="shared" si="13"/>
        <v>Over the Hill to the Poorhouse</v>
      </c>
      <c r="S660" s="43" t="str">
        <f t="shared" si="16"/>
        <v>Crime</v>
      </c>
    </row>
    <row r="661" spans="1:19" ht="15.75" customHeight="1" x14ac:dyDescent="0.25">
      <c r="A661" s="6" t="s">
        <v>1697</v>
      </c>
      <c r="B661" s="6">
        <v>230</v>
      </c>
      <c r="C661" s="6">
        <v>36064910</v>
      </c>
      <c r="D661" s="6" t="s">
        <v>1749</v>
      </c>
      <c r="E661" s="6" t="s">
        <v>818</v>
      </c>
      <c r="F661" s="6" t="s">
        <v>2572</v>
      </c>
      <c r="G661" s="6">
        <v>166610</v>
      </c>
      <c r="H661" s="6" t="s">
        <v>2573</v>
      </c>
      <c r="I661" s="6">
        <v>211</v>
      </c>
      <c r="J661" s="6" t="s">
        <v>23</v>
      </c>
      <c r="K661" s="6" t="s">
        <v>24</v>
      </c>
      <c r="L661" s="6">
        <v>45000000</v>
      </c>
      <c r="M661" s="6">
        <v>2008</v>
      </c>
      <c r="N661" s="6">
        <v>6.4</v>
      </c>
      <c r="O661" s="4">
        <f ca="1">IFERROR(__xludf.DUMMYFUNCTION("IF(Cost_in_dollars!E661=""USD"",Cost_in_dollars!B661,Cost_in_dollars!B661 * GOOGLEFINANCE(""CURRENCY:"" &amp; Cost_in_dollars!E661 &amp; ""USD""))
"),45000000)</f>
        <v>45000000</v>
      </c>
      <c r="P661" s="4">
        <f ca="1">IFERROR(__xludf.DUMMYFUNCTION("IF(Cost_in_dollars!E661=""USD"",Cost_in_dollars!C661,Cost_in_dollars!C661 * GOOGLEFINANCE(""CURRENCY:"" &amp; Cost_in_dollars!E661 &amp; ""USD""))
"),36064910)</f>
        <v>36064910</v>
      </c>
      <c r="Q661" s="6">
        <f t="shared" ca="1" si="12"/>
        <v>-8935090</v>
      </c>
      <c r="R661" s="7" t="str">
        <f t="shared" si="13"/>
        <v>Death Race</v>
      </c>
      <c r="S661" s="43" t="str">
        <f t="shared" si="16"/>
        <v>Action</v>
      </c>
    </row>
    <row r="662" spans="1:19" ht="15.75" customHeight="1" x14ac:dyDescent="0.25">
      <c r="A662" s="4" t="s">
        <v>2574</v>
      </c>
      <c r="B662" s="4">
        <v>49</v>
      </c>
      <c r="C662" s="4">
        <v>26000610</v>
      </c>
      <c r="D662" s="4" t="s">
        <v>304</v>
      </c>
      <c r="E662" s="4" t="s">
        <v>886</v>
      </c>
      <c r="F662" s="4" t="s">
        <v>2575</v>
      </c>
      <c r="G662" s="4">
        <v>16611</v>
      </c>
      <c r="H662" s="4" t="s">
        <v>2576</v>
      </c>
      <c r="I662" s="4">
        <v>197</v>
      </c>
      <c r="J662" s="4" t="s">
        <v>23</v>
      </c>
      <c r="K662" s="4" t="s">
        <v>24</v>
      </c>
      <c r="L662" s="4">
        <v>76000000</v>
      </c>
      <c r="M662" s="4">
        <v>2000</v>
      </c>
      <c r="N662" s="4">
        <v>4.0999999999999996</v>
      </c>
      <c r="O662" s="4">
        <f ca="1">IFERROR(__xludf.DUMMYFUNCTION("IF(Cost_in_dollars!E662=""USD"",Cost_in_dollars!B662,Cost_in_dollars!B662 * GOOGLEFINANCE(""CURRENCY:"" &amp; Cost_in_dollars!E662 &amp; ""USD""))
"),76000000)</f>
        <v>76000000</v>
      </c>
      <c r="P662" s="4">
        <f ca="1">IFERROR(__xludf.DUMMYFUNCTION("IF(Cost_in_dollars!E662=""USD"",Cost_in_dollars!C662,Cost_in_dollars!C662 * GOOGLEFINANCE(""CURRENCY:"" &amp; Cost_in_dollars!E662 &amp; ""USD""))
"),26000610)</f>
        <v>26000610</v>
      </c>
      <c r="Q662" s="4">
        <f t="shared" ca="1" si="12"/>
        <v>-49999390</v>
      </c>
      <c r="R662" s="5" t="str">
        <f t="shared" si="13"/>
        <v>The Adventures of Rocky &amp; Bullwinkle</v>
      </c>
      <c r="S662" s="43" t="str">
        <f t="shared" si="16"/>
        <v>Adventure</v>
      </c>
    </row>
    <row r="663" spans="1:19" ht="15.75" customHeight="1" x14ac:dyDescent="0.25">
      <c r="A663" s="6" t="s">
        <v>2577</v>
      </c>
      <c r="B663" s="6">
        <v>111</v>
      </c>
      <c r="C663" s="6">
        <v>22927390</v>
      </c>
      <c r="D663" s="6" t="s">
        <v>235</v>
      </c>
      <c r="E663" s="6" t="s">
        <v>645</v>
      </c>
      <c r="F663" s="6" t="s">
        <v>2578</v>
      </c>
      <c r="G663" s="6">
        <v>25344</v>
      </c>
      <c r="H663" s="6" t="s">
        <v>2579</v>
      </c>
      <c r="I663" s="6">
        <v>77</v>
      </c>
      <c r="J663" s="6" t="s">
        <v>23</v>
      </c>
      <c r="K663" s="6" t="s">
        <v>24</v>
      </c>
      <c r="L663" s="6">
        <v>18000000</v>
      </c>
      <c r="M663" s="6">
        <v>2009</v>
      </c>
      <c r="N663" s="6">
        <v>5.6</v>
      </c>
      <c r="O663" s="4">
        <f ca="1">IFERROR(__xludf.DUMMYFUNCTION("IF(Cost_in_dollars!E663=""USD"",Cost_in_dollars!B663,Cost_in_dollars!B663 * GOOGLEFINANCE(""CURRENCY:"" &amp; Cost_in_dollars!E663 &amp; ""USD""))
"),18000000)</f>
        <v>18000000</v>
      </c>
      <c r="P663" s="4">
        <f ca="1">IFERROR(__xludf.DUMMYFUNCTION("IF(Cost_in_dollars!E663=""USD"",Cost_in_dollars!C663,Cost_in_dollars!C663 * GOOGLEFINANCE(""CURRENCY:"" &amp; Cost_in_dollars!E663 &amp; ""USD""))
"),22927390)</f>
        <v>22927390</v>
      </c>
      <c r="Q663" s="6">
        <f t="shared" ca="1" si="12"/>
        <v>4927390</v>
      </c>
      <c r="R663" s="7" t="str">
        <f t="shared" si="13"/>
        <v>Love Happens</v>
      </c>
      <c r="S663" s="43" t="str">
        <f t="shared" si="16"/>
        <v>Drama</v>
      </c>
    </row>
    <row r="664" spans="1:19" ht="15.75" customHeight="1" x14ac:dyDescent="0.25">
      <c r="A664" s="4" t="s">
        <v>2580</v>
      </c>
      <c r="B664" s="4">
        <v>40</v>
      </c>
      <c r="C664" s="4">
        <v>5333658</v>
      </c>
      <c r="D664" s="4" t="s">
        <v>851</v>
      </c>
      <c r="E664" s="4" t="s">
        <v>2581</v>
      </c>
      <c r="F664" s="4" t="s">
        <v>2582</v>
      </c>
      <c r="G664" s="4">
        <v>2541</v>
      </c>
      <c r="H664" s="4" t="s">
        <v>2583</v>
      </c>
      <c r="I664" s="4">
        <v>54</v>
      </c>
      <c r="J664" s="4" t="s">
        <v>23</v>
      </c>
      <c r="K664" s="4" t="s">
        <v>24</v>
      </c>
      <c r="L664" s="4">
        <v>20000000</v>
      </c>
      <c r="M664" s="4">
        <v>1982</v>
      </c>
      <c r="N664" s="4">
        <v>3.5</v>
      </c>
      <c r="O664" s="4">
        <f ca="1">IFERROR(__xludf.DUMMYFUNCTION("IF(Cost_in_dollars!E664=""USD"",Cost_in_dollars!B664,Cost_in_dollars!B664 * GOOGLEFINANCE(""CURRENCY:"" &amp; Cost_in_dollars!E664 &amp; ""USD""))
"),20000000)</f>
        <v>20000000</v>
      </c>
      <c r="P664" s="4">
        <f ca="1">IFERROR(__xludf.DUMMYFUNCTION("IF(Cost_in_dollars!E664=""USD"",Cost_in_dollars!C664,Cost_in_dollars!C664 * GOOGLEFINANCE(""CURRENCY:"" &amp; Cost_in_dollars!E664 &amp; ""USD""))
"),5333658)</f>
        <v>5333658</v>
      </c>
      <c r="Q664" s="4">
        <f t="shared" ca="1" si="12"/>
        <v>-14666342</v>
      </c>
      <c r="R664" s="5" t="str">
        <f t="shared" si="13"/>
        <v>Megaforce</v>
      </c>
      <c r="S664" s="43" t="str">
        <f t="shared" si="16"/>
        <v>Action</v>
      </c>
    </row>
    <row r="665" spans="1:19" ht="15.75" customHeight="1" x14ac:dyDescent="0.25">
      <c r="A665" s="6" t="s">
        <v>318</v>
      </c>
      <c r="B665" s="6">
        <v>450</v>
      </c>
      <c r="C665" s="6">
        <v>32154410</v>
      </c>
      <c r="D665" s="6" t="s">
        <v>116</v>
      </c>
      <c r="E665" s="6" t="s">
        <v>179</v>
      </c>
      <c r="F665" s="6" t="s">
        <v>2584</v>
      </c>
      <c r="G665" s="6">
        <v>148334</v>
      </c>
      <c r="H665" s="6" t="s">
        <v>2585</v>
      </c>
      <c r="I665" s="6">
        <v>274</v>
      </c>
      <c r="J665" s="6" t="s">
        <v>23</v>
      </c>
      <c r="K665" s="6" t="s">
        <v>24</v>
      </c>
      <c r="L665" s="6">
        <v>30000000</v>
      </c>
      <c r="M665" s="6">
        <v>2013</v>
      </c>
      <c r="N665" s="6">
        <v>7.1</v>
      </c>
      <c r="O665" s="4">
        <f ca="1">IFERROR(__xludf.DUMMYFUNCTION("IF(Cost_in_dollars!E665=""USD"",Cost_in_dollars!B665,Cost_in_dollars!B665 * GOOGLEFINANCE(""CURRENCY:"" &amp; Cost_in_dollars!E665 &amp; ""USD""))
"),30000000)</f>
        <v>30000000</v>
      </c>
      <c r="P665" s="4">
        <f ca="1">IFERROR(__xludf.DUMMYFUNCTION("IF(Cost_in_dollars!E665=""USD"",Cost_in_dollars!C665,Cost_in_dollars!C665 * GOOGLEFINANCE(""CURRENCY:"" &amp; Cost_in_dollars!E665 &amp; ""USD""))
"),32154410)</f>
        <v>32154410</v>
      </c>
      <c r="Q665" s="6">
        <f t="shared" ca="1" si="12"/>
        <v>2154410</v>
      </c>
      <c r="R665" s="7" t="str">
        <f t="shared" si="13"/>
        <v>Side Effects</v>
      </c>
      <c r="S665" s="43" t="str">
        <f t="shared" si="16"/>
        <v>Crime</v>
      </c>
    </row>
    <row r="666" spans="1:19" ht="15.75" customHeight="1" x14ac:dyDescent="0.25">
      <c r="A666" s="4" t="s">
        <v>2586</v>
      </c>
      <c r="B666" s="4">
        <v>49</v>
      </c>
      <c r="C666" s="4">
        <v>1789892</v>
      </c>
      <c r="D666" s="4" t="s">
        <v>443</v>
      </c>
      <c r="E666" s="4" t="s">
        <v>2587</v>
      </c>
      <c r="F666" s="4" t="s">
        <v>2588</v>
      </c>
      <c r="G666" s="4">
        <v>9494</v>
      </c>
      <c r="H666" s="4" t="s">
        <v>2589</v>
      </c>
      <c r="I666" s="4">
        <v>109</v>
      </c>
      <c r="J666" s="4" t="s">
        <v>23</v>
      </c>
      <c r="K666" s="4" t="s">
        <v>176</v>
      </c>
      <c r="L666" s="4">
        <v>8000000</v>
      </c>
      <c r="M666" s="4">
        <v>1998</v>
      </c>
      <c r="N666" s="4">
        <v>6.6</v>
      </c>
      <c r="O666" s="4">
        <f ca="1">IFERROR(__xludf.DUMMYFUNCTION("IF(Cost_in_dollars!E666=""USD"",Cost_in_dollars!B666,Cost_in_dollars!B666 * GOOGLEFINANCE(""CURRENCY:"" &amp; Cost_in_dollars!E666 &amp; ""USD""))
"),8677920)</f>
        <v>8677920</v>
      </c>
      <c r="P666" s="4">
        <f ca="1">IFERROR(__xludf.DUMMYFUNCTION("IF(Cost_in_dollars!E666=""USD"",Cost_in_dollars!C666,Cost_in_dollars!C666 * GOOGLEFINANCE(""CURRENCY:"" &amp; Cost_in_dollars!E666 &amp; ""USD""))
"),1941567.44808)</f>
        <v>1941567.44808</v>
      </c>
      <c r="Q666" s="4">
        <f t="shared" ca="1" si="12"/>
        <v>-6736352.5519200005</v>
      </c>
      <c r="R666" s="5" t="str">
        <f t="shared" si="13"/>
        <v>Clay Pigeons</v>
      </c>
      <c r="S666" s="43" t="str">
        <f t="shared" si="16"/>
        <v>Comedy</v>
      </c>
    </row>
    <row r="667" spans="1:19" ht="15.75" customHeight="1" x14ac:dyDescent="0.25">
      <c r="A667" s="6" t="s">
        <v>2590</v>
      </c>
      <c r="B667" s="6">
        <v>194</v>
      </c>
      <c r="C667" s="6">
        <v>34912982</v>
      </c>
      <c r="D667" s="6" t="s">
        <v>797</v>
      </c>
      <c r="E667" s="6" t="s">
        <v>2272</v>
      </c>
      <c r="F667" s="6" t="s">
        <v>2591</v>
      </c>
      <c r="G667" s="6">
        <v>55617</v>
      </c>
      <c r="H667" s="6" t="s">
        <v>2592</v>
      </c>
      <c r="I667" s="6">
        <v>266</v>
      </c>
      <c r="J667" s="6" t="s">
        <v>23</v>
      </c>
      <c r="K667" s="6" t="s">
        <v>24</v>
      </c>
      <c r="L667" s="6">
        <v>38000000</v>
      </c>
      <c r="M667" s="6">
        <v>2016</v>
      </c>
      <c r="N667" s="6">
        <v>5.2</v>
      </c>
      <c r="O667" s="4">
        <f ca="1">IFERROR(__xludf.DUMMYFUNCTION("IF(Cost_in_dollars!E667=""USD"",Cost_in_dollars!B667,Cost_in_dollars!B667 * GOOGLEFINANCE(""CURRENCY:"" &amp; Cost_in_dollars!E667 &amp; ""USD""))
"),38000000)</f>
        <v>38000000</v>
      </c>
      <c r="P667" s="4">
        <f ca="1">IFERROR(__xludf.DUMMYFUNCTION("IF(Cost_in_dollars!E667=""USD"",Cost_in_dollars!C667,Cost_in_dollars!C667 * GOOGLEFINANCE(""CURRENCY:"" &amp; Cost_in_dollars!E667 &amp; ""USD""))
"),34912982)</f>
        <v>34912982</v>
      </c>
      <c r="Q667" s="6">
        <f t="shared" ca="1" si="12"/>
        <v>-3087018</v>
      </c>
      <c r="R667" s="7" t="str">
        <f t="shared" si="13"/>
        <v>The 5th Wave</v>
      </c>
      <c r="S667" s="43" t="str">
        <f t="shared" si="16"/>
        <v>Action</v>
      </c>
    </row>
    <row r="668" spans="1:19" ht="15.75" customHeight="1" x14ac:dyDescent="0.25">
      <c r="A668" s="4" t="s">
        <v>2593</v>
      </c>
      <c r="B668" s="4">
        <v>118</v>
      </c>
      <c r="C668" s="4">
        <v>686383</v>
      </c>
      <c r="D668" s="4" t="s">
        <v>868</v>
      </c>
      <c r="E668" s="4" t="s">
        <v>2594</v>
      </c>
      <c r="F668" s="4" t="s">
        <v>2595</v>
      </c>
      <c r="G668" s="4">
        <v>22811</v>
      </c>
      <c r="H668" s="4" t="s">
        <v>2596</v>
      </c>
      <c r="I668" s="4">
        <v>71</v>
      </c>
      <c r="J668" s="4" t="s">
        <v>23</v>
      </c>
      <c r="K668" s="4" t="s">
        <v>611</v>
      </c>
      <c r="L668" s="4">
        <v>6500000</v>
      </c>
      <c r="M668" s="4">
        <v>2009</v>
      </c>
      <c r="N668" s="4">
        <v>7.7</v>
      </c>
      <c r="O668" s="4">
        <f ca="1">IFERROR(__xludf.DUMMYFUNCTION("IF(Cost_in_dollars!E668=""USD"",Cost_in_dollars!B668,Cost_in_dollars!B668 * GOOGLEFINANCE(""CURRENCY:"" &amp; Cost_in_dollars!E668 &amp; ""USD""))
"),7050810)</f>
        <v>7050810</v>
      </c>
      <c r="P668" s="4">
        <f ca="1">IFERROR(__xludf.DUMMYFUNCTION("IF(Cost_in_dollars!E668=""USD"",Cost_in_dollars!C668,Cost_in_dollars!C668 * GOOGLEFINANCE(""CURRENCY:"" &amp; Cost_in_dollars!E668 &amp; ""USD""))
"),744547.09542)</f>
        <v>744547.09542000003</v>
      </c>
      <c r="Q668" s="4">
        <f t="shared" ca="1" si="12"/>
        <v>-6306262.9045799999</v>
      </c>
      <c r="R668" s="5" t="str">
        <f t="shared" si="13"/>
        <v>The Secret of Kells</v>
      </c>
      <c r="S668" s="43" t="str">
        <f t="shared" si="16"/>
        <v>Adventure</v>
      </c>
    </row>
    <row r="669" spans="1:19" ht="15.75" customHeight="1" x14ac:dyDescent="0.25">
      <c r="A669" s="6" t="s">
        <v>2597</v>
      </c>
      <c r="B669" s="6">
        <v>187</v>
      </c>
      <c r="C669" s="6">
        <v>23472900</v>
      </c>
      <c r="D669" s="6" t="s">
        <v>73</v>
      </c>
      <c r="E669" s="6" t="s">
        <v>593</v>
      </c>
      <c r="F669" s="6" t="s">
        <v>2598</v>
      </c>
      <c r="G669" s="6">
        <v>264533</v>
      </c>
      <c r="H669" s="6" t="s">
        <v>2599</v>
      </c>
      <c r="I669" s="6">
        <v>609</v>
      </c>
      <c r="J669" s="6" t="s">
        <v>23</v>
      </c>
      <c r="K669" s="6" t="s">
        <v>133</v>
      </c>
      <c r="L669" s="6">
        <v>17500000</v>
      </c>
      <c r="M669" s="6">
        <v>2004</v>
      </c>
      <c r="N669" s="6">
        <v>8.1</v>
      </c>
      <c r="O669" s="4">
        <f ca="1">IFERROR(__xludf.DUMMYFUNCTION("IF(Cost_in_dollars!E669=""USD"",Cost_in_dollars!B669,Cost_in_dollars!B669 * GOOGLEFINANCE(""CURRENCY:"" &amp; Cost_in_dollars!E669 &amp; ""USD""))
"),22494499.9999999)</f>
        <v>22494499.999999899</v>
      </c>
      <c r="P669" s="4">
        <f ca="1">IFERROR(__xludf.DUMMYFUNCTION("IF(Cost_in_dollars!E669=""USD"",Cost_in_dollars!C669,Cost_in_dollars!C669 * GOOGLEFINANCE(""CURRENCY:"" &amp; Cost_in_dollars!E669 &amp; ""USD""))
"),30172065.6599999)</f>
        <v>30172065.6599999</v>
      </c>
      <c r="Q669" s="6">
        <f t="shared" ca="1" si="12"/>
        <v>7677565.6600000001</v>
      </c>
      <c r="R669" s="7" t="str">
        <f t="shared" si="13"/>
        <v>Hotel Rwanda</v>
      </c>
      <c r="S669" s="43" t="str">
        <f t="shared" si="16"/>
        <v>Drama</v>
      </c>
    </row>
    <row r="670" spans="1:19" ht="15.75" customHeight="1" x14ac:dyDescent="0.25">
      <c r="A670" s="4" t="s">
        <v>2600</v>
      </c>
      <c r="B670" s="4">
        <v>37</v>
      </c>
      <c r="C670" s="4">
        <v>15655665</v>
      </c>
      <c r="D670" s="4" t="s">
        <v>88</v>
      </c>
      <c r="E670" s="4" t="s">
        <v>2601</v>
      </c>
      <c r="F670" s="4" t="s">
        <v>2602</v>
      </c>
      <c r="G670" s="4">
        <v>9104</v>
      </c>
      <c r="H670" s="4" t="s">
        <v>2603</v>
      </c>
      <c r="I670" s="4">
        <v>112</v>
      </c>
      <c r="J670" s="4" t="s">
        <v>23</v>
      </c>
      <c r="K670" s="4" t="s">
        <v>24</v>
      </c>
      <c r="L670" s="4">
        <v>4000000</v>
      </c>
      <c r="M670" s="4">
        <v>2006</v>
      </c>
      <c r="N670" s="4">
        <v>3.1</v>
      </c>
      <c r="O670" s="4">
        <f ca="1">IFERROR(__xludf.DUMMYFUNCTION("IF(Cost_in_dollars!E670=""USD"",Cost_in_dollars!B670,Cost_in_dollars!B670 * GOOGLEFINANCE(""CURRENCY:"" &amp; Cost_in_dollars!E670 &amp; ""USD""))
"),4000000)</f>
        <v>4000000</v>
      </c>
      <c r="P670" s="4">
        <f ca="1">IFERROR(__xludf.DUMMYFUNCTION("IF(Cost_in_dollars!E670=""USD"",Cost_in_dollars!C670,Cost_in_dollars!C670 * GOOGLEFINANCE(""CURRENCY:"" &amp; Cost_in_dollars!E670 &amp; ""USD""))
"),15655665)</f>
        <v>15655665</v>
      </c>
      <c r="Q670" s="4">
        <f t="shared" ca="1" si="12"/>
        <v>11655665</v>
      </c>
      <c r="R670" s="5" t="str">
        <f t="shared" si="13"/>
        <v>Larry the Cable Guy: Health Inspector</v>
      </c>
      <c r="S670" s="43" t="str">
        <f t="shared" si="16"/>
        <v>Comedy</v>
      </c>
    </row>
    <row r="671" spans="1:19" ht="15.75" customHeight="1" x14ac:dyDescent="0.25">
      <c r="A671" s="6" t="s">
        <v>2604</v>
      </c>
      <c r="B671" s="6">
        <v>110</v>
      </c>
      <c r="C671" s="6">
        <v>1523883</v>
      </c>
      <c r="D671" s="6" t="s">
        <v>1736</v>
      </c>
      <c r="E671" s="6" t="s">
        <v>2605</v>
      </c>
      <c r="F671" s="6" t="s">
        <v>2606</v>
      </c>
      <c r="G671" s="6">
        <v>9037</v>
      </c>
      <c r="H671" s="6" t="s">
        <v>2607</v>
      </c>
      <c r="I671" s="6">
        <v>70</v>
      </c>
      <c r="J671" s="6" t="s">
        <v>23</v>
      </c>
      <c r="K671" s="6" t="s">
        <v>24</v>
      </c>
      <c r="L671" s="6">
        <v>1750211</v>
      </c>
      <c r="M671" s="6">
        <v>2005</v>
      </c>
      <c r="N671" s="6">
        <v>7.8</v>
      </c>
      <c r="O671" s="4">
        <f ca="1">IFERROR(__xludf.DUMMYFUNCTION("IF(Cost_in_dollars!E671=""USD"",Cost_in_dollars!B671,Cost_in_dollars!B671 * GOOGLEFINANCE(""CURRENCY:"" &amp; Cost_in_dollars!E671 &amp; ""USD""))
"),1750211)</f>
        <v>1750211</v>
      </c>
      <c r="P671" s="4">
        <f ca="1">IFERROR(__xludf.DUMMYFUNCTION("IF(Cost_in_dollars!E671=""USD"",Cost_in_dollars!C671,Cost_in_dollars!C671 * GOOGLEFINANCE(""CURRENCY:"" &amp; Cost_in_dollars!E671 &amp; ""USD""))
"),1523883)</f>
        <v>1523883</v>
      </c>
      <c r="Q671" s="6">
        <f t="shared" ca="1" si="12"/>
        <v>-226328</v>
      </c>
      <c r="R671" s="7" t="str">
        <f t="shared" si="13"/>
        <v>Murderball</v>
      </c>
      <c r="S671" s="43" t="str">
        <f t="shared" si="16"/>
        <v>Documentary</v>
      </c>
    </row>
    <row r="672" spans="1:19" ht="15.75" customHeight="1" x14ac:dyDescent="0.25">
      <c r="A672" s="4" t="s">
        <v>2608</v>
      </c>
      <c r="B672" s="4">
        <v>260</v>
      </c>
      <c r="C672" s="4">
        <v>22525921</v>
      </c>
      <c r="D672" s="4" t="s">
        <v>140</v>
      </c>
      <c r="E672" s="4" t="s">
        <v>456</v>
      </c>
      <c r="F672" s="4" t="s">
        <v>2609</v>
      </c>
      <c r="G672" s="4">
        <v>60596</v>
      </c>
      <c r="H672" s="4" t="s">
        <v>2610</v>
      </c>
      <c r="I672" s="4">
        <v>158</v>
      </c>
      <c r="J672" s="4" t="s">
        <v>23</v>
      </c>
      <c r="K672" s="4" t="s">
        <v>24</v>
      </c>
      <c r="L672" s="4">
        <v>30000000</v>
      </c>
      <c r="M672" s="4">
        <v>2013</v>
      </c>
      <c r="N672" s="4">
        <v>5.9</v>
      </c>
      <c r="O672" s="4">
        <f ca="1">IFERROR(__xludf.DUMMYFUNCTION("IF(Cost_in_dollars!E672=""USD"",Cost_in_dollars!B672,Cost_in_dollars!B672 * GOOGLEFINANCE(""CURRENCY:"" &amp; Cost_in_dollars!E672 &amp; ""USD""))
"),30000000)</f>
        <v>30000000</v>
      </c>
      <c r="P672" s="4">
        <f ca="1">IFERROR(__xludf.DUMMYFUNCTION("IF(Cost_in_dollars!E672=""USD"",Cost_in_dollars!C672,Cost_in_dollars!C672 * GOOGLEFINANCE(""CURRENCY:"" &amp; Cost_in_dollars!E672 &amp; ""USD""))
"),22525921)</f>
        <v>22525921</v>
      </c>
      <c r="Q672" s="4">
        <f t="shared" ca="1" si="12"/>
        <v>-7474079</v>
      </c>
      <c r="R672" s="5" t="str">
        <f t="shared" si="13"/>
        <v>The Incredible Burt Wonderstone</v>
      </c>
      <c r="S672" s="43" t="str">
        <f t="shared" si="16"/>
        <v>Comedy</v>
      </c>
    </row>
    <row r="673" spans="1:19" ht="15.75" customHeight="1" x14ac:dyDescent="0.25">
      <c r="A673" s="6" t="s">
        <v>2388</v>
      </c>
      <c r="B673" s="6">
        <v>232</v>
      </c>
      <c r="C673" s="6">
        <v>9437933</v>
      </c>
      <c r="D673" s="6" t="s">
        <v>737</v>
      </c>
      <c r="E673" s="6" t="s">
        <v>2611</v>
      </c>
      <c r="F673" s="6" t="s">
        <v>2612</v>
      </c>
      <c r="G673" s="6">
        <v>90827</v>
      </c>
      <c r="H673" s="6" t="s">
        <v>2613</v>
      </c>
      <c r="I673" s="6">
        <v>329</v>
      </c>
      <c r="J673" s="6" t="s">
        <v>23</v>
      </c>
      <c r="K673" s="6" t="s">
        <v>596</v>
      </c>
      <c r="L673" s="6">
        <v>180000</v>
      </c>
      <c r="M673" s="6">
        <v>2007</v>
      </c>
      <c r="N673" s="6">
        <v>7.9</v>
      </c>
      <c r="O673" s="4">
        <f ca="1">IFERROR(__xludf.DUMMYFUNCTION("IF(Cost_in_dollars!E673=""USD"",Cost_in_dollars!B673,Cost_in_dollars!B673 * GOOGLEFINANCE(""CURRENCY:"" &amp; Cost_in_dollars!E673 &amp; ""USD""))
"),195253.2)</f>
        <v>195253.2</v>
      </c>
      <c r="P673" s="4">
        <f ca="1">IFERROR(__xludf.DUMMYFUNCTION("IF(Cost_in_dollars!E673=""USD"",Cost_in_dollars!C673,Cost_in_dollars!C673 * GOOGLEFINANCE(""CURRENCY:"" &amp; Cost_in_dollars!E673 &amp; ""USD""))
"),10237703.44242)</f>
        <v>10237703.44242</v>
      </c>
      <c r="Q673" s="6">
        <f t="shared" ca="1" si="12"/>
        <v>10042450.242420001</v>
      </c>
      <c r="R673" s="7" t="str">
        <f t="shared" si="13"/>
        <v>Once</v>
      </c>
      <c r="S673" s="43" t="str">
        <f t="shared" si="16"/>
        <v>Drama</v>
      </c>
    </row>
    <row r="674" spans="1:19" ht="15.75" customHeight="1" x14ac:dyDescent="0.25">
      <c r="A674" s="4" t="s">
        <v>2614</v>
      </c>
      <c r="B674" s="4">
        <v>152</v>
      </c>
      <c r="C674" s="4">
        <v>7993039</v>
      </c>
      <c r="D674" s="4" t="s">
        <v>140</v>
      </c>
      <c r="E674" s="4" t="s">
        <v>64</v>
      </c>
      <c r="F674" s="4" t="s">
        <v>2615</v>
      </c>
      <c r="G674" s="4">
        <v>120036</v>
      </c>
      <c r="H674" s="4" t="s">
        <v>2616</v>
      </c>
      <c r="I674" s="4">
        <v>408</v>
      </c>
      <c r="J674" s="4" t="s">
        <v>23</v>
      </c>
      <c r="K674" s="4" t="s">
        <v>24</v>
      </c>
      <c r="L674" s="4">
        <v>6900000</v>
      </c>
      <c r="M674" s="4">
        <v>1993</v>
      </c>
      <c r="N674" s="4">
        <v>7.7</v>
      </c>
      <c r="O674" s="4">
        <f ca="1">IFERROR(__xludf.DUMMYFUNCTION("IF(Cost_in_dollars!E674=""USD"",Cost_in_dollars!B674,Cost_in_dollars!B674 * GOOGLEFINANCE(""CURRENCY:"" &amp; Cost_in_dollars!E674 &amp; ""USD""))
"),6900000)</f>
        <v>6900000</v>
      </c>
      <c r="P674" s="4">
        <f ca="1">IFERROR(__xludf.DUMMYFUNCTION("IF(Cost_in_dollars!E674=""USD"",Cost_in_dollars!C674,Cost_in_dollars!C674 * GOOGLEFINANCE(""CURRENCY:"" &amp; Cost_in_dollars!E674 &amp; ""USD""))
"),7993039)</f>
        <v>7993039</v>
      </c>
      <c r="Q674" s="4">
        <f t="shared" ca="1" si="12"/>
        <v>1093039</v>
      </c>
      <c r="R674" s="5" t="str">
        <f t="shared" si="13"/>
        <v>Dazed and Confused</v>
      </c>
      <c r="S674" s="43" t="str">
        <f t="shared" si="16"/>
        <v>Comedy</v>
      </c>
    </row>
    <row r="675" spans="1:19" ht="15.75" customHeight="1" x14ac:dyDescent="0.25">
      <c r="A675" s="6" t="s">
        <v>2617</v>
      </c>
      <c r="B675" s="6">
        <v>100</v>
      </c>
      <c r="C675" s="6">
        <v>14218868</v>
      </c>
      <c r="D675" s="6" t="s">
        <v>1020</v>
      </c>
      <c r="E675" s="6" t="s">
        <v>2347</v>
      </c>
      <c r="F675" s="6" t="s">
        <v>2618</v>
      </c>
      <c r="G675" s="6">
        <v>14596</v>
      </c>
      <c r="H675" s="6" t="s">
        <v>2619</v>
      </c>
      <c r="I675" s="6">
        <v>282</v>
      </c>
      <c r="J675" s="6" t="s">
        <v>23</v>
      </c>
      <c r="K675" s="6" t="s">
        <v>24</v>
      </c>
      <c r="L675" s="6">
        <v>65000000</v>
      </c>
      <c r="M675" s="6">
        <v>2000</v>
      </c>
      <c r="N675" s="6">
        <v>4.8</v>
      </c>
      <c r="O675" s="4">
        <f ca="1">IFERROR(__xludf.DUMMYFUNCTION("IF(Cost_in_dollars!E675=""USD"",Cost_in_dollars!B675,Cost_in_dollars!B675 * GOOGLEFINANCE(""CURRENCY:"" &amp; Cost_in_dollars!E675 &amp; ""USD""))
"),65000000)</f>
        <v>65000000</v>
      </c>
      <c r="P675" s="4">
        <f ca="1">IFERROR(__xludf.DUMMYFUNCTION("IF(Cost_in_dollars!E675=""USD"",Cost_in_dollars!C675,Cost_in_dollars!C675 * GOOGLEFINANCE(""CURRENCY:"" &amp; Cost_in_dollars!E675 &amp; ""USD""))
"),14218868)</f>
        <v>14218868</v>
      </c>
      <c r="Q675" s="6">
        <f t="shared" ca="1" si="12"/>
        <v>-50781132</v>
      </c>
      <c r="R675" s="7" t="str">
        <f t="shared" si="13"/>
        <v>Supernova</v>
      </c>
      <c r="S675" s="43" t="str">
        <f t="shared" si="16"/>
        <v>Horror</v>
      </c>
    </row>
    <row r="676" spans="1:19" ht="15.75" customHeight="1" x14ac:dyDescent="0.25">
      <c r="A676" s="4" t="s">
        <v>612</v>
      </c>
      <c r="B676" s="4">
        <v>280</v>
      </c>
      <c r="C676" s="4">
        <v>150350192</v>
      </c>
      <c r="D676" s="4" t="s">
        <v>851</v>
      </c>
      <c r="E676" s="4" t="s">
        <v>2620</v>
      </c>
      <c r="F676" s="4" t="s">
        <v>2621</v>
      </c>
      <c r="G676" s="4">
        <v>305340</v>
      </c>
      <c r="H676" s="4" t="s">
        <v>2622</v>
      </c>
      <c r="I676" s="4">
        <v>1676</v>
      </c>
      <c r="J676" s="4" t="s">
        <v>23</v>
      </c>
      <c r="K676" s="4" t="s">
        <v>24</v>
      </c>
      <c r="L676" s="4">
        <v>200000000</v>
      </c>
      <c r="M676" s="4">
        <v>2003</v>
      </c>
      <c r="N676" s="4">
        <v>6.4</v>
      </c>
      <c r="O676" s="4">
        <f ca="1">IFERROR(__xludf.DUMMYFUNCTION("IF(Cost_in_dollars!E676=""USD"",Cost_in_dollars!B676,Cost_in_dollars!B676 * GOOGLEFINANCE(""CURRENCY:"" &amp; Cost_in_dollars!E676 &amp; ""USD""))
"),200000000)</f>
        <v>200000000</v>
      </c>
      <c r="P676" s="4">
        <f ca="1">IFERROR(__xludf.DUMMYFUNCTION("IF(Cost_in_dollars!E676=""USD"",Cost_in_dollars!C676,Cost_in_dollars!C676 * GOOGLEFINANCE(""CURRENCY:"" &amp; Cost_in_dollars!E676 &amp; ""USD""))
"),150350192)</f>
        <v>150350192</v>
      </c>
      <c r="Q676" s="4">
        <f t="shared" ca="1" si="12"/>
        <v>-49649808</v>
      </c>
      <c r="R676" s="5" t="str">
        <f t="shared" si="13"/>
        <v>Terminator 3: Rise of the Machines</v>
      </c>
      <c r="S676" s="43" t="str">
        <f t="shared" si="16"/>
        <v>Action</v>
      </c>
    </row>
    <row r="677" spans="1:19" ht="15.75" customHeight="1" x14ac:dyDescent="0.25">
      <c r="A677" s="6" t="s">
        <v>2623</v>
      </c>
      <c r="B677" s="6">
        <v>30</v>
      </c>
      <c r="C677" s="6">
        <v>74787599</v>
      </c>
      <c r="D677" s="6" t="s">
        <v>235</v>
      </c>
      <c r="E677" s="6" t="s">
        <v>2624</v>
      </c>
      <c r="F677" s="6" t="s">
        <v>2625</v>
      </c>
      <c r="G677" s="6">
        <v>12549</v>
      </c>
      <c r="H677" s="6" t="s">
        <v>2626</v>
      </c>
      <c r="I677" s="6">
        <v>109</v>
      </c>
      <c r="J677" s="6" t="s">
        <v>23</v>
      </c>
      <c r="K677" s="6" t="s">
        <v>24</v>
      </c>
      <c r="L677" s="6">
        <v>30000000</v>
      </c>
      <c r="M677" s="6">
        <v>1991</v>
      </c>
      <c r="N677" s="6">
        <v>6.6</v>
      </c>
      <c r="O677" s="4">
        <f ca="1">IFERROR(__xludf.DUMMYFUNCTION("IF(Cost_in_dollars!E677=""USD"",Cost_in_dollars!B677,Cost_in_dollars!B677 * GOOGLEFINANCE(""CURRENCY:"" &amp; Cost_in_dollars!E677 &amp; ""USD""))
"),30000000)</f>
        <v>30000000</v>
      </c>
      <c r="P677" s="4">
        <f ca="1">IFERROR(__xludf.DUMMYFUNCTION("IF(Cost_in_dollars!E677=""USD"",Cost_in_dollars!C677,Cost_in_dollars!C677 * GOOGLEFINANCE(""CURRENCY:"" &amp; Cost_in_dollars!E677 &amp; ""USD""))
"),74787599)</f>
        <v>74787599</v>
      </c>
      <c r="Q677" s="6">
        <f t="shared" ca="1" si="12"/>
        <v>44787599</v>
      </c>
      <c r="R677" s="7" t="str">
        <f t="shared" si="13"/>
        <v>The Prince of Tides</v>
      </c>
      <c r="S677" s="43" t="str">
        <f t="shared" si="16"/>
        <v>Drama</v>
      </c>
    </row>
    <row r="678" spans="1:19" ht="15.75" customHeight="1" x14ac:dyDescent="0.25">
      <c r="A678" s="4" t="s">
        <v>841</v>
      </c>
      <c r="B678" s="4">
        <v>105</v>
      </c>
      <c r="C678" s="4">
        <v>51185897</v>
      </c>
      <c r="D678" s="4" t="s">
        <v>477</v>
      </c>
      <c r="E678" s="4" t="s">
        <v>2627</v>
      </c>
      <c r="F678" s="4" t="s">
        <v>2628</v>
      </c>
      <c r="G678" s="4">
        <v>69457</v>
      </c>
      <c r="H678" s="4" t="s">
        <v>2629</v>
      </c>
      <c r="I678" s="4">
        <v>271</v>
      </c>
      <c r="J678" s="4" t="s">
        <v>23</v>
      </c>
      <c r="K678" s="4" t="s">
        <v>133</v>
      </c>
      <c r="L678" s="4">
        <v>30000000</v>
      </c>
      <c r="M678" s="4">
        <v>1987</v>
      </c>
      <c r="N678" s="4">
        <v>6.7</v>
      </c>
      <c r="O678" s="4">
        <f ca="1">IFERROR(__xludf.DUMMYFUNCTION("IF(Cost_in_dollars!E678=""USD"",Cost_in_dollars!B678,Cost_in_dollars!B678 * GOOGLEFINANCE(""CURRENCY:"" &amp; Cost_in_dollars!E678 &amp; ""USD""))
"),38562000)</f>
        <v>38562000</v>
      </c>
      <c r="P678" s="4">
        <f ca="1">IFERROR(__xludf.DUMMYFUNCTION("IF(Cost_in_dollars!E678=""USD"",Cost_in_dollars!C678,Cost_in_dollars!C678 * GOOGLEFINANCE(""CURRENCY:"" &amp; Cost_in_dollars!E678 &amp; ""USD""))
"),65794352.0038)</f>
        <v>65794352.003799997</v>
      </c>
      <c r="Q678" s="4">
        <f t="shared" ca="1" si="12"/>
        <v>27232352.003799997</v>
      </c>
      <c r="R678" s="5" t="str">
        <f t="shared" si="13"/>
        <v>The Living Daylights</v>
      </c>
      <c r="S678" s="43" t="str">
        <f t="shared" si="16"/>
        <v>Action</v>
      </c>
    </row>
    <row r="679" spans="1:19" ht="15.75" customHeight="1" x14ac:dyDescent="0.25">
      <c r="A679" s="6" t="s">
        <v>1542</v>
      </c>
      <c r="B679" s="6">
        <v>125</v>
      </c>
      <c r="C679" s="6">
        <v>66808615</v>
      </c>
      <c r="D679" s="6" t="s">
        <v>2630</v>
      </c>
      <c r="E679" s="6" t="s">
        <v>881</v>
      </c>
      <c r="F679" s="6" t="s">
        <v>2631</v>
      </c>
      <c r="G679" s="6">
        <v>87351</v>
      </c>
      <c r="H679" s="6" t="s">
        <v>2632</v>
      </c>
      <c r="I679" s="6">
        <v>344</v>
      </c>
      <c r="J679" s="6" t="s">
        <v>23</v>
      </c>
      <c r="K679" s="6" t="s">
        <v>24</v>
      </c>
      <c r="L679" s="6">
        <v>34000000</v>
      </c>
      <c r="M679" s="6">
        <v>2001</v>
      </c>
      <c r="N679" s="6">
        <v>6.1</v>
      </c>
      <c r="O679" s="4">
        <f ca="1">IFERROR(__xludf.DUMMYFUNCTION("IF(Cost_in_dollars!E679=""USD"",Cost_in_dollars!B679,Cost_in_dollars!B679 * GOOGLEFINANCE(""CURRENCY:"" &amp; Cost_in_dollars!E679 &amp; ""USD""))
"),34000000)</f>
        <v>34000000</v>
      </c>
      <c r="P679" s="4">
        <f ca="1">IFERROR(__xludf.DUMMYFUNCTION("IF(Cost_in_dollars!E679=""USD"",Cost_in_dollars!C679,Cost_in_dollars!C679 * GOOGLEFINANCE(""CURRENCY:"" &amp; Cost_in_dollars!E679 &amp; ""USD""))
"),66808615)</f>
        <v>66808615</v>
      </c>
      <c r="Q679" s="6">
        <f t="shared" ca="1" si="12"/>
        <v>32808615</v>
      </c>
      <c r="R679" s="7" t="str">
        <f t="shared" si="13"/>
        <v>The Mexican</v>
      </c>
      <c r="S679" s="43" t="str">
        <f t="shared" si="16"/>
        <v>Adventure</v>
      </c>
    </row>
    <row r="680" spans="1:19" ht="15.75" customHeight="1" x14ac:dyDescent="0.25">
      <c r="A680" s="4" t="s">
        <v>2633</v>
      </c>
      <c r="B680" s="4">
        <v>68</v>
      </c>
      <c r="C680" s="4">
        <v>77324422</v>
      </c>
      <c r="D680" s="4" t="s">
        <v>102</v>
      </c>
      <c r="E680" s="4" t="s">
        <v>69</v>
      </c>
      <c r="F680" s="4" t="s">
        <v>2634</v>
      </c>
      <c r="G680" s="4">
        <v>178731</v>
      </c>
      <c r="H680" s="4" t="s">
        <v>2635</v>
      </c>
      <c r="I680" s="4">
        <v>261</v>
      </c>
      <c r="J680" s="4" t="s">
        <v>23</v>
      </c>
      <c r="K680" s="4" t="s">
        <v>24</v>
      </c>
      <c r="L680" s="4">
        <v>26000000</v>
      </c>
      <c r="M680" s="4">
        <v>1993</v>
      </c>
      <c r="N680" s="4">
        <v>7.7</v>
      </c>
      <c r="O680" s="4">
        <f ca="1">IFERROR(__xludf.DUMMYFUNCTION("IF(Cost_in_dollars!E680=""USD"",Cost_in_dollars!B680,Cost_in_dollars!B680 * GOOGLEFINANCE(""CURRENCY:"" &amp; Cost_in_dollars!E680 &amp; ""USD""))
"),26000000)</f>
        <v>26000000</v>
      </c>
      <c r="P680" s="4">
        <f ca="1">IFERROR(__xludf.DUMMYFUNCTION("IF(Cost_in_dollars!E680=""USD"",Cost_in_dollars!C680,Cost_in_dollars!C680 * GOOGLEFINANCE(""CURRENCY:"" &amp; Cost_in_dollars!E680 &amp; ""USD""))
"),77324422)</f>
        <v>77324422</v>
      </c>
      <c r="Q680" s="4">
        <f t="shared" ca="1" si="12"/>
        <v>51324422</v>
      </c>
      <c r="R680" s="5" t="str">
        <f t="shared" si="13"/>
        <v>Philadelphia</v>
      </c>
      <c r="S680" s="43" t="str">
        <f t="shared" si="16"/>
        <v>Drama</v>
      </c>
    </row>
    <row r="681" spans="1:19" ht="15.75" customHeight="1" x14ac:dyDescent="0.25">
      <c r="A681" s="6" t="s">
        <v>1468</v>
      </c>
      <c r="B681" s="6">
        <v>171</v>
      </c>
      <c r="C681" s="6">
        <v>176483808</v>
      </c>
      <c r="D681" s="6" t="s">
        <v>88</v>
      </c>
      <c r="E681" s="6" t="s">
        <v>245</v>
      </c>
      <c r="F681" s="6" t="s">
        <v>2636</v>
      </c>
      <c r="G681" s="6">
        <v>247289</v>
      </c>
      <c r="H681" s="6" t="s">
        <v>2637</v>
      </c>
      <c r="I681" s="6">
        <v>611</v>
      </c>
      <c r="J681" s="6" t="s">
        <v>23</v>
      </c>
      <c r="K681" s="6" t="s">
        <v>24</v>
      </c>
      <c r="L681" s="6">
        <v>23000000</v>
      </c>
      <c r="M681" s="6">
        <v>1998</v>
      </c>
      <c r="N681" s="6">
        <v>7.1</v>
      </c>
      <c r="O681" s="4">
        <f ca="1">IFERROR(__xludf.DUMMYFUNCTION("IF(Cost_in_dollars!E681=""USD"",Cost_in_dollars!B681,Cost_in_dollars!B681 * GOOGLEFINANCE(""CURRENCY:"" &amp; Cost_in_dollars!E681 &amp; ""USD""))
"),23000000)</f>
        <v>23000000</v>
      </c>
      <c r="P681" s="4">
        <f ca="1">IFERROR(__xludf.DUMMYFUNCTION("IF(Cost_in_dollars!E681=""USD"",Cost_in_dollars!C681,Cost_in_dollars!C681 * GOOGLEFINANCE(""CURRENCY:"" &amp; Cost_in_dollars!E681 &amp; ""USD""))
"),176483808)</f>
        <v>176483808</v>
      </c>
      <c r="Q681" s="6">
        <f t="shared" ca="1" si="12"/>
        <v>153483808</v>
      </c>
      <c r="R681" s="7" t="str">
        <f t="shared" si="13"/>
        <v>There's Something About Mary</v>
      </c>
      <c r="S681" s="43" t="str">
        <f t="shared" si="16"/>
        <v>Comedy</v>
      </c>
    </row>
    <row r="682" spans="1:19" ht="15.75" customHeight="1" x14ac:dyDescent="0.25">
      <c r="A682" s="4" t="s">
        <v>2638</v>
      </c>
      <c r="B682" s="4">
        <v>184</v>
      </c>
      <c r="C682" s="4">
        <v>31141074</v>
      </c>
      <c r="D682" s="4" t="s">
        <v>281</v>
      </c>
      <c r="E682" s="4" t="s">
        <v>833</v>
      </c>
      <c r="F682" s="4" t="s">
        <v>2639</v>
      </c>
      <c r="G682" s="4">
        <v>51892</v>
      </c>
      <c r="H682" s="4" t="s">
        <v>2640</v>
      </c>
      <c r="I682" s="4">
        <v>273</v>
      </c>
      <c r="J682" s="4" t="s">
        <v>23</v>
      </c>
      <c r="K682" s="4" t="s">
        <v>24</v>
      </c>
      <c r="L682" s="4">
        <v>140000000</v>
      </c>
      <c r="M682" s="4">
        <v>2016</v>
      </c>
      <c r="N682" s="4">
        <v>5.5</v>
      </c>
      <c r="O682" s="4">
        <f ca="1">IFERROR(__xludf.DUMMYFUNCTION("IF(Cost_in_dollars!E682=""USD"",Cost_in_dollars!B682,Cost_in_dollars!B682 * GOOGLEFINANCE(""CURRENCY:"" &amp; Cost_in_dollars!E682 &amp; ""USD""))
"),140000000)</f>
        <v>140000000</v>
      </c>
      <c r="P682" s="4">
        <f ca="1">IFERROR(__xludf.DUMMYFUNCTION("IF(Cost_in_dollars!E682=""USD"",Cost_in_dollars!C682,Cost_in_dollars!C682 * GOOGLEFINANCE(""CURRENCY:"" &amp; Cost_in_dollars!E682 &amp; ""USD""))
"),31141074)</f>
        <v>31141074</v>
      </c>
      <c r="Q682" s="4">
        <f t="shared" ca="1" si="12"/>
        <v>-108858926</v>
      </c>
      <c r="R682" s="5" t="str">
        <f t="shared" si="13"/>
        <v>Gods of Egypt</v>
      </c>
      <c r="S682" s="43" t="str">
        <f t="shared" si="16"/>
        <v>Action</v>
      </c>
    </row>
    <row r="683" spans="1:19" ht="15.75" customHeight="1" x14ac:dyDescent="0.25">
      <c r="A683" s="6" t="s">
        <v>2641</v>
      </c>
      <c r="B683" s="6">
        <v>141</v>
      </c>
      <c r="C683" s="6">
        <v>30012990</v>
      </c>
      <c r="D683" s="6" t="s">
        <v>623</v>
      </c>
      <c r="E683" s="6" t="s">
        <v>2642</v>
      </c>
      <c r="F683" s="6" t="s">
        <v>2643</v>
      </c>
      <c r="G683" s="6">
        <v>75973</v>
      </c>
      <c r="H683" s="6" t="s">
        <v>2644</v>
      </c>
      <c r="I683" s="6">
        <v>409</v>
      </c>
      <c r="J683" s="6" t="s">
        <v>23</v>
      </c>
      <c r="K683" s="6" t="s">
        <v>133</v>
      </c>
      <c r="L683" s="6">
        <v>25000000</v>
      </c>
      <c r="M683" s="6">
        <v>1998</v>
      </c>
      <c r="N683" s="6">
        <v>7.5</v>
      </c>
      <c r="O683" s="4">
        <f ca="1">IFERROR(__xludf.DUMMYFUNCTION("IF(Cost_in_dollars!E683=""USD"",Cost_in_dollars!B683,Cost_in_dollars!B683 * GOOGLEFINANCE(""CURRENCY:"" &amp; Cost_in_dollars!E683 &amp; ""USD""))
"),32134999.9999999)</f>
        <v>32134999.999999899</v>
      </c>
      <c r="P683" s="4">
        <f ca="1">IFERROR(__xludf.DUMMYFUNCTION("IF(Cost_in_dollars!E683=""USD"",Cost_in_dollars!C683,Cost_in_dollars!C683 * GOOGLEFINANCE(""CURRENCY:"" &amp; Cost_in_dollars!E683 &amp; ""USD""))
"),38578697.3459999)</f>
        <v>38578697.345999897</v>
      </c>
      <c r="Q683" s="6">
        <f t="shared" ca="1" si="12"/>
        <v>6443697.3459999971</v>
      </c>
      <c r="R683" s="7" t="str">
        <f t="shared" si="13"/>
        <v>Elizabeth</v>
      </c>
      <c r="S683" s="43" t="str">
        <f t="shared" si="16"/>
        <v>Biography</v>
      </c>
    </row>
    <row r="684" spans="1:19" ht="15.75" customHeight="1" x14ac:dyDescent="0.25">
      <c r="A684" s="4" t="s">
        <v>2645</v>
      </c>
      <c r="B684" s="4">
        <v>89</v>
      </c>
      <c r="C684" s="4">
        <v>85416609</v>
      </c>
      <c r="D684" s="4" t="s">
        <v>304</v>
      </c>
      <c r="E684" s="4" t="s">
        <v>439</v>
      </c>
      <c r="F684" s="4" t="s">
        <v>2646</v>
      </c>
      <c r="G684" s="4">
        <v>58906</v>
      </c>
      <c r="H684" s="4" t="s">
        <v>2647</v>
      </c>
      <c r="I684" s="4">
        <v>186</v>
      </c>
      <c r="J684" s="4" t="s">
        <v>23</v>
      </c>
      <c r="K684" s="4" t="s">
        <v>24</v>
      </c>
      <c r="L684" s="4">
        <v>30000000</v>
      </c>
      <c r="M684" s="4">
        <v>2004</v>
      </c>
      <c r="N684" s="4">
        <v>7</v>
      </c>
      <c r="O684" s="4">
        <f ca="1">IFERROR(__xludf.DUMMYFUNCTION("IF(Cost_in_dollars!E684=""USD"",Cost_in_dollars!B684,Cost_in_dollars!B684 * GOOGLEFINANCE(""CURRENCY:"" &amp; Cost_in_dollars!E684 &amp; ""USD""))
"),30000000)</f>
        <v>30000000</v>
      </c>
      <c r="P684" s="4">
        <f ca="1">IFERROR(__xludf.DUMMYFUNCTION("IF(Cost_in_dollars!E684=""USD"",Cost_in_dollars!C684,Cost_in_dollars!C684 * GOOGLEFINANCE(""CURRENCY:"" &amp; Cost_in_dollars!E684 &amp; ""USD""))
"),85416609)</f>
        <v>85416609</v>
      </c>
      <c r="Q684" s="4">
        <f t="shared" ca="1" si="12"/>
        <v>55416609</v>
      </c>
      <c r="R684" s="5" t="str">
        <f t="shared" si="13"/>
        <v>The SpongeBob SquarePants Movie</v>
      </c>
      <c r="S684" s="43" t="str">
        <f t="shared" si="16"/>
        <v>Adventure</v>
      </c>
    </row>
    <row r="685" spans="1:19" ht="15.75" customHeight="1" x14ac:dyDescent="0.25">
      <c r="A685" s="6" t="s">
        <v>2648</v>
      </c>
      <c r="B685" s="6">
        <v>121</v>
      </c>
      <c r="C685" s="6">
        <v>8786715</v>
      </c>
      <c r="D685" s="6" t="s">
        <v>457</v>
      </c>
      <c r="E685" s="6" t="s">
        <v>2093</v>
      </c>
      <c r="F685" s="6" t="s">
        <v>2649</v>
      </c>
      <c r="G685" s="6">
        <v>40274</v>
      </c>
      <c r="H685" s="6" t="s">
        <v>2650</v>
      </c>
      <c r="I685" s="6">
        <v>324</v>
      </c>
      <c r="J685" s="6" t="s">
        <v>23</v>
      </c>
      <c r="K685" s="6" t="s">
        <v>24</v>
      </c>
      <c r="L685" s="6">
        <v>5000000</v>
      </c>
      <c r="M685" s="6">
        <v>2004</v>
      </c>
      <c r="N685" s="6">
        <v>6.9</v>
      </c>
      <c r="O685" s="4">
        <f ca="1">IFERROR(__xludf.DUMMYFUNCTION("IF(Cost_in_dollars!E685=""USD"",Cost_in_dollars!B685,Cost_in_dollars!B685 * GOOGLEFINANCE(""CURRENCY:"" &amp; Cost_in_dollars!E685 &amp; ""USD""))
"),5000000)</f>
        <v>5000000</v>
      </c>
      <c r="P685" s="4">
        <f ca="1">IFERROR(__xludf.DUMMYFUNCTION("IF(Cost_in_dollars!E685=""USD"",Cost_in_dollars!C685,Cost_in_dollars!C685 * GOOGLEFINANCE(""CURRENCY:"" &amp; Cost_in_dollars!E685 &amp; ""USD""))
"),8786715)</f>
        <v>8786715</v>
      </c>
      <c r="Q685" s="6">
        <f t="shared" ca="1" si="12"/>
        <v>3786715</v>
      </c>
      <c r="R685" s="7" t="str">
        <f t="shared" si="13"/>
        <v>Saved!</v>
      </c>
      <c r="S685" s="43" t="str">
        <f t="shared" si="16"/>
        <v>Comedy</v>
      </c>
    </row>
    <row r="686" spans="1:19" ht="15.75" customHeight="1" x14ac:dyDescent="0.25">
      <c r="A686" s="4" t="s">
        <v>2651</v>
      </c>
      <c r="B686" s="4">
        <v>63</v>
      </c>
      <c r="C686" s="4">
        <v>61693523</v>
      </c>
      <c r="D686" s="4" t="s">
        <v>102</v>
      </c>
      <c r="E686" s="4" t="s">
        <v>865</v>
      </c>
      <c r="F686" s="4" t="s">
        <v>2652</v>
      </c>
      <c r="G686" s="4">
        <v>6276</v>
      </c>
      <c r="H686" s="4" t="s">
        <v>2653</v>
      </c>
      <c r="I686" s="4">
        <v>55</v>
      </c>
      <c r="J686" s="4" t="s">
        <v>23</v>
      </c>
      <c r="K686" s="4" t="s">
        <v>24</v>
      </c>
      <c r="L686" s="4">
        <v>13000000</v>
      </c>
      <c r="M686" s="4">
        <v>2016</v>
      </c>
      <c r="N686" s="4">
        <v>6.8</v>
      </c>
      <c r="O686" s="4">
        <f ca="1">IFERROR(__xludf.DUMMYFUNCTION("IF(Cost_in_dollars!E686=""USD"",Cost_in_dollars!B686,Cost_in_dollars!B686 * GOOGLEFINANCE(""CURRENCY:"" &amp; Cost_in_dollars!E686 &amp; ""USD""))
"),13000000)</f>
        <v>13000000</v>
      </c>
      <c r="P686" s="4">
        <f ca="1">IFERROR(__xludf.DUMMYFUNCTION("IF(Cost_in_dollars!E686=""USD"",Cost_in_dollars!C686,Cost_in_dollars!C686 * GOOGLEFINANCE(""CURRENCY:"" &amp; Cost_in_dollars!E686 &amp; ""USD""))
"),61693523)</f>
        <v>61693523</v>
      </c>
      <c r="Q686" s="4">
        <f t="shared" ca="1" si="12"/>
        <v>48693523</v>
      </c>
      <c r="R686" s="5" t="str">
        <f t="shared" si="13"/>
        <v>Miracles from Heaven</v>
      </c>
      <c r="S686" s="43" t="str">
        <f t="shared" si="16"/>
        <v>Drama</v>
      </c>
    </row>
    <row r="687" spans="1:19" ht="15.75" customHeight="1" x14ac:dyDescent="0.25">
      <c r="A687" s="6" t="s">
        <v>2654</v>
      </c>
      <c r="B687" s="6">
        <v>186</v>
      </c>
      <c r="C687" s="6">
        <v>4435083</v>
      </c>
      <c r="D687" s="6" t="s">
        <v>2655</v>
      </c>
      <c r="E687" s="6" t="s">
        <v>683</v>
      </c>
      <c r="F687" s="6" t="s">
        <v>2656</v>
      </c>
      <c r="G687" s="6">
        <v>27882</v>
      </c>
      <c r="H687" s="6" t="s">
        <v>2657</v>
      </c>
      <c r="I687" s="6">
        <v>119</v>
      </c>
      <c r="J687" s="6" t="s">
        <v>23</v>
      </c>
      <c r="K687" s="6" t="s">
        <v>149</v>
      </c>
      <c r="L687" s="6">
        <v>18000000</v>
      </c>
      <c r="M687" s="6">
        <v>2013</v>
      </c>
      <c r="N687" s="6">
        <v>7.1</v>
      </c>
      <c r="O687" s="4">
        <f ca="1">IFERROR(__xludf.DUMMYFUNCTION("IF(Cost_in_dollars!E687=""USD"",Cost_in_dollars!B687,Cost_in_dollars!B687 * GOOGLEFINANCE(""CURRENCY:"" &amp; Cost_in_dollars!E687 &amp; ""USD""))
"),11769840)</f>
        <v>11769840</v>
      </c>
      <c r="P687" s="4">
        <f ca="1">IFERROR(__xludf.DUMMYFUNCTION("IF(Cost_in_dollars!E687=""USD"",Cost_in_dollars!C687,Cost_in_dollars!C687 * GOOGLEFINANCE(""CURRENCY:"" &amp; Cost_in_dollars!E687 &amp; ""USD""))
"),2900012.07204)</f>
        <v>2900012.07204</v>
      </c>
      <c r="Q687" s="6">
        <f t="shared" ca="1" si="12"/>
        <v>-8869827.9279600009</v>
      </c>
      <c r="R687" s="7" t="str">
        <f t="shared" si="13"/>
        <v>The Railway Man</v>
      </c>
      <c r="S687" s="43" t="str">
        <f t="shared" si="16"/>
        <v>Biography</v>
      </c>
    </row>
    <row r="688" spans="1:19" ht="15.75" customHeight="1" x14ac:dyDescent="0.25">
      <c r="A688" s="4" t="s">
        <v>638</v>
      </c>
      <c r="B688" s="4">
        <v>252</v>
      </c>
      <c r="C688" s="4">
        <v>132014112</v>
      </c>
      <c r="D688" s="4" t="s">
        <v>412</v>
      </c>
      <c r="E688" s="4" t="s">
        <v>223</v>
      </c>
      <c r="F688" s="4" t="s">
        <v>2658</v>
      </c>
      <c r="G688" s="4">
        <v>399651</v>
      </c>
      <c r="H688" s="4" t="s">
        <v>2659</v>
      </c>
      <c r="I688" s="4">
        <v>1331</v>
      </c>
      <c r="J688" s="4" t="s">
        <v>23</v>
      </c>
      <c r="K688" s="4" t="s">
        <v>24</v>
      </c>
      <c r="L688" s="4">
        <v>102000000</v>
      </c>
      <c r="M688" s="4">
        <v>2002</v>
      </c>
      <c r="N688" s="4">
        <v>7.7</v>
      </c>
      <c r="O688" s="4">
        <f ca="1">IFERROR(__xludf.DUMMYFUNCTION("IF(Cost_in_dollars!E688=""USD"",Cost_in_dollars!B688,Cost_in_dollars!B688 * GOOGLEFINANCE(""CURRENCY:"" &amp; Cost_in_dollars!E688 &amp; ""USD""))
"),102000000)</f>
        <v>102000000</v>
      </c>
      <c r="P688" s="4">
        <f ca="1">IFERROR(__xludf.DUMMYFUNCTION("IF(Cost_in_dollars!E688=""USD"",Cost_in_dollars!C688,Cost_in_dollars!C688 * GOOGLEFINANCE(""CURRENCY:"" &amp; Cost_in_dollars!E688 &amp; ""USD""))
"),132014112)</f>
        <v>132014112</v>
      </c>
      <c r="Q688" s="4">
        <f t="shared" ca="1" si="12"/>
        <v>30014112</v>
      </c>
      <c r="R688" s="5" t="str">
        <f t="shared" si="13"/>
        <v>Minority Report</v>
      </c>
      <c r="S688" s="43" t="str">
        <f t="shared" si="16"/>
        <v>Action</v>
      </c>
    </row>
    <row r="689" spans="1:19" ht="15.75" customHeight="1" x14ac:dyDescent="0.25">
      <c r="A689" s="6" t="s">
        <v>2660</v>
      </c>
      <c r="B689" s="6">
        <v>79</v>
      </c>
      <c r="C689" s="6">
        <v>14500000</v>
      </c>
      <c r="D689" s="6" t="s">
        <v>1456</v>
      </c>
      <c r="E689" s="6" t="s">
        <v>2661</v>
      </c>
      <c r="F689" s="6" t="s">
        <v>2662</v>
      </c>
      <c r="G689" s="6">
        <v>25019</v>
      </c>
      <c r="H689" s="6" t="s">
        <v>2663</v>
      </c>
      <c r="I689" s="6">
        <v>159</v>
      </c>
      <c r="J689" s="6" t="s">
        <v>23</v>
      </c>
      <c r="K689" s="6" t="s">
        <v>1551</v>
      </c>
      <c r="L689" s="6">
        <v>25000000</v>
      </c>
      <c r="M689" s="6">
        <v>1970</v>
      </c>
      <c r="N689" s="6">
        <v>7.5</v>
      </c>
      <c r="O689" s="4">
        <f ca="1">IFERROR(__xludf.DUMMYFUNCTION("IF(Cost_in_dollars!E689=""USD"",Cost_in_dollars!B689,Cost_in_dollars!B689 * GOOGLEFINANCE(""CURRENCY:"" &amp; Cost_in_dollars!E689 &amp; ""USD""))
"),162415)</f>
        <v>162415</v>
      </c>
      <c r="P689" s="4">
        <f ca="1">IFERROR(__xludf.DUMMYFUNCTION("IF(Cost_in_dollars!E689=""USD"",Cost_in_dollars!C689,Cost_in_dollars!C689 * GOOGLEFINANCE(""CURRENCY:"" &amp; Cost_in_dollars!E689 &amp; ""USD""))
"),94200.7)</f>
        <v>94200.7</v>
      </c>
      <c r="Q689" s="6">
        <f t="shared" ca="1" si="12"/>
        <v>-68214.3</v>
      </c>
      <c r="R689" s="7" t="str">
        <f t="shared" si="13"/>
        <v>Tora! Tora! Tora!</v>
      </c>
      <c r="S689" s="43" t="str">
        <f t="shared" si="16"/>
        <v>Action</v>
      </c>
    </row>
    <row r="690" spans="1:19" ht="15.75" customHeight="1" x14ac:dyDescent="0.25">
      <c r="A690" s="4" t="s">
        <v>2664</v>
      </c>
      <c r="B690" s="4">
        <v>40</v>
      </c>
      <c r="C690" s="4">
        <v>68208190</v>
      </c>
      <c r="D690" s="4" t="s">
        <v>793</v>
      </c>
      <c r="E690" s="4" t="s">
        <v>496</v>
      </c>
      <c r="F690" s="4" t="s">
        <v>2665</v>
      </c>
      <c r="G690" s="4">
        <v>60572</v>
      </c>
      <c r="H690" s="4" t="s">
        <v>2666</v>
      </c>
      <c r="I690" s="4">
        <v>144</v>
      </c>
      <c r="J690" s="4" t="s">
        <v>23</v>
      </c>
      <c r="K690" s="4" t="s">
        <v>24</v>
      </c>
      <c r="L690" s="4">
        <v>65000000</v>
      </c>
      <c r="M690" s="4">
        <v>1999</v>
      </c>
      <c r="N690" s="4">
        <v>6.3</v>
      </c>
      <c r="O690" s="4">
        <f ca="1">IFERROR(__xludf.DUMMYFUNCTION("IF(Cost_in_dollars!E690=""USD"",Cost_in_dollars!B690,Cost_in_dollars!B690 * GOOGLEFINANCE(""CURRENCY:"" &amp; Cost_in_dollars!E690 &amp; ""USD""))
"),65000000)</f>
        <v>65000000</v>
      </c>
      <c r="P690" s="4">
        <f ca="1">IFERROR(__xludf.DUMMYFUNCTION("IF(Cost_in_dollars!E690=""USD"",Cost_in_dollars!C690,Cost_in_dollars!C690 * GOOGLEFINANCE(""CURRENCY:"" &amp; Cost_in_dollars!E690 &amp; ""USD""))
"),68208190)</f>
        <v>68208190</v>
      </c>
      <c r="Q690" s="4">
        <f t="shared" ca="1" si="12"/>
        <v>3208190</v>
      </c>
      <c r="R690" s="5" t="str">
        <f t="shared" si="13"/>
        <v>Blue Streak</v>
      </c>
      <c r="S690" s="43" t="str">
        <f t="shared" si="16"/>
        <v>Action</v>
      </c>
    </row>
    <row r="691" spans="1:19" ht="15.75" customHeight="1" x14ac:dyDescent="0.25">
      <c r="A691" s="6" t="s">
        <v>938</v>
      </c>
      <c r="B691" s="6">
        <v>107</v>
      </c>
      <c r="C691" s="6">
        <v>219613391</v>
      </c>
      <c r="D691" s="6" t="s">
        <v>2667</v>
      </c>
      <c r="E691" s="6" t="s">
        <v>2668</v>
      </c>
      <c r="F691" s="6" t="s">
        <v>2669</v>
      </c>
      <c r="G691" s="6">
        <v>31649</v>
      </c>
      <c r="H691" s="6" t="s">
        <v>2670</v>
      </c>
      <c r="I691" s="6">
        <v>98</v>
      </c>
      <c r="J691" s="6" t="s">
        <v>23</v>
      </c>
      <c r="K691" s="6" t="s">
        <v>24</v>
      </c>
      <c r="L691" s="6">
        <v>75000000</v>
      </c>
      <c r="M691" s="6">
        <v>2009</v>
      </c>
      <c r="N691" s="6">
        <v>4.5</v>
      </c>
      <c r="O691" s="4">
        <f ca="1">IFERROR(__xludf.DUMMYFUNCTION("IF(Cost_in_dollars!E691=""USD"",Cost_in_dollars!B691,Cost_in_dollars!B691 * GOOGLEFINANCE(""CURRENCY:"" &amp; Cost_in_dollars!E691 &amp; ""USD""))
"),75000000)</f>
        <v>75000000</v>
      </c>
      <c r="P691" s="4">
        <f ca="1">IFERROR(__xludf.DUMMYFUNCTION("IF(Cost_in_dollars!E691=""USD"",Cost_in_dollars!C691,Cost_in_dollars!C691 * GOOGLEFINANCE(""CURRENCY:"" &amp; Cost_in_dollars!E691 &amp; ""USD""))
"),219613391)</f>
        <v>219613391</v>
      </c>
      <c r="Q691" s="6">
        <f t="shared" ca="1" si="12"/>
        <v>144613391</v>
      </c>
      <c r="R691" s="7" t="str">
        <f t="shared" si="13"/>
        <v>Alvin and the Chipmunks: The Squeakquel</v>
      </c>
      <c r="S691" s="43" t="str">
        <f t="shared" si="16"/>
        <v>Animation</v>
      </c>
    </row>
    <row r="692" spans="1:19" ht="15.75" customHeight="1" x14ac:dyDescent="0.25">
      <c r="A692" s="4" t="s">
        <v>884</v>
      </c>
      <c r="B692" s="4">
        <v>131</v>
      </c>
      <c r="C692" s="4">
        <v>1229197</v>
      </c>
      <c r="D692" s="4" t="s">
        <v>2671</v>
      </c>
      <c r="E692" s="4" t="s">
        <v>2254</v>
      </c>
      <c r="F692" s="4" t="s">
        <v>2672</v>
      </c>
      <c r="G692" s="4">
        <v>382240</v>
      </c>
      <c r="H692" s="4" t="s">
        <v>2673</v>
      </c>
      <c r="I692" s="4">
        <v>660</v>
      </c>
      <c r="J692" s="4" t="s">
        <v>23</v>
      </c>
      <c r="K692" s="4" t="s">
        <v>133</v>
      </c>
      <c r="L692" s="4">
        <v>229575</v>
      </c>
      <c r="M692" s="4">
        <v>1975</v>
      </c>
      <c r="N692" s="4">
        <v>8.3000000000000007</v>
      </c>
      <c r="O692" s="4">
        <f ca="1">IFERROR(__xludf.DUMMYFUNCTION("IF(Cost_in_dollars!E692=""USD"",Cost_in_dollars!B692,Cost_in_dollars!B692 * GOOGLEFINANCE(""CURRENCY:"" &amp; Cost_in_dollars!E692 &amp; ""USD""))
"),295095.704999999)</f>
        <v>295095.70499999903</v>
      </c>
      <c r="P692" s="4">
        <f ca="1">IFERROR(__xludf.DUMMYFUNCTION("IF(Cost_in_dollars!E692=""USD"",Cost_in_dollars!C692,Cost_in_dollars!C692 * GOOGLEFINANCE(""CURRENCY:"" &amp; Cost_in_dollars!E692 &amp; ""USD""))
"),1580009.8238)</f>
        <v>1580009.8237999999</v>
      </c>
      <c r="Q692" s="4">
        <f t="shared" ca="1" si="12"/>
        <v>1284914.1188000008</v>
      </c>
      <c r="R692" s="5" t="str">
        <f t="shared" si="13"/>
        <v>Monty Python and the Holy Grail</v>
      </c>
      <c r="S692" s="43" t="str">
        <f t="shared" si="16"/>
        <v>Adventure</v>
      </c>
    </row>
    <row r="693" spans="1:19" ht="15.75" customHeight="1" x14ac:dyDescent="0.25">
      <c r="A693" s="6" t="s">
        <v>2674</v>
      </c>
      <c r="B693" s="6">
        <v>43</v>
      </c>
      <c r="C693" s="6">
        <v>9123834</v>
      </c>
      <c r="D693" s="6" t="s">
        <v>88</v>
      </c>
      <c r="E693" s="6" t="s">
        <v>2675</v>
      </c>
      <c r="F693" s="6" t="s">
        <v>2676</v>
      </c>
      <c r="G693" s="6">
        <v>4065</v>
      </c>
      <c r="H693" s="6" t="s">
        <v>2677</v>
      </c>
      <c r="I693" s="6">
        <v>33</v>
      </c>
      <c r="J693" s="6" t="s">
        <v>23</v>
      </c>
      <c r="K693" s="6" t="s">
        <v>24</v>
      </c>
      <c r="L693" s="6">
        <v>15000000</v>
      </c>
      <c r="M693" s="6">
        <v>2013</v>
      </c>
      <c r="N693" s="6">
        <v>5.3</v>
      </c>
      <c r="O693" s="4">
        <f ca="1">IFERROR(__xludf.DUMMYFUNCTION("IF(Cost_in_dollars!E693=""USD"",Cost_in_dollars!B693,Cost_in_dollars!B693 * GOOGLEFINANCE(""CURRENCY:"" &amp; Cost_in_dollars!E693 &amp; ""USD""))
"),15000000)</f>
        <v>15000000</v>
      </c>
      <c r="P693" s="4">
        <f ca="1">IFERROR(__xludf.DUMMYFUNCTION("IF(Cost_in_dollars!E693=""USD"",Cost_in_dollars!C693,Cost_in_dollars!C693 * GOOGLEFINANCE(""CURRENCY:"" &amp; Cost_in_dollars!E693 &amp; ""USD""))
"),9123834)</f>
        <v>9123834</v>
      </c>
      <c r="Q693" s="6">
        <f t="shared" ca="1" si="12"/>
        <v>-5876166</v>
      </c>
      <c r="R693" s="7" t="str">
        <f t="shared" si="13"/>
        <v>Peeples</v>
      </c>
      <c r="S693" s="43" t="str">
        <f t="shared" si="16"/>
        <v>Comedy</v>
      </c>
    </row>
    <row r="694" spans="1:19" ht="15.75" customHeight="1" x14ac:dyDescent="0.25">
      <c r="A694" s="4" t="s">
        <v>2678</v>
      </c>
      <c r="B694" s="4">
        <v>63</v>
      </c>
      <c r="C694" s="4">
        <v>8586376</v>
      </c>
      <c r="D694" s="4" t="s">
        <v>140</v>
      </c>
      <c r="E694" s="4" t="s">
        <v>168</v>
      </c>
      <c r="F694" s="4" t="s">
        <v>2679</v>
      </c>
      <c r="G694" s="4">
        <v>26598</v>
      </c>
      <c r="H694" s="4" t="s">
        <v>2680</v>
      </c>
      <c r="I694" s="4">
        <v>132</v>
      </c>
      <c r="J694" s="4" t="s">
        <v>23</v>
      </c>
      <c r="K694" s="4" t="s">
        <v>24</v>
      </c>
      <c r="L694" s="4">
        <v>20000000</v>
      </c>
      <c r="M694" s="4">
        <v>2002</v>
      </c>
      <c r="N694" s="4">
        <v>4.9000000000000004</v>
      </c>
      <c r="O694" s="4">
        <f ca="1">IFERROR(__xludf.DUMMYFUNCTION("IF(Cost_in_dollars!E694=""USD"",Cost_in_dollars!B694,Cost_in_dollars!B694 * GOOGLEFINANCE(""CURRENCY:"" &amp; Cost_in_dollars!E694 &amp; ""USD""))
"),20000000)</f>
        <v>20000000</v>
      </c>
      <c r="P694" s="4">
        <f ca="1">IFERROR(__xludf.DUMMYFUNCTION("IF(Cost_in_dollars!E694=""USD"",Cost_in_dollars!C694,Cost_in_dollars!C694 * GOOGLEFINANCE(""CURRENCY:"" &amp; Cost_in_dollars!E694 &amp; ""USD""))
"),8586376)</f>
        <v>8586376</v>
      </c>
      <c r="Q694" s="4">
        <f t="shared" ca="1" si="12"/>
        <v>-11413624</v>
      </c>
      <c r="R694" s="5" t="str">
        <f t="shared" si="13"/>
        <v>Boat Trip</v>
      </c>
      <c r="S694" s="43" t="str">
        <f t="shared" si="16"/>
        <v>Comedy</v>
      </c>
    </row>
    <row r="695" spans="1:19" ht="15.75" customHeight="1" x14ac:dyDescent="0.25">
      <c r="A695" s="6" t="s">
        <v>2203</v>
      </c>
      <c r="B695" s="6">
        <v>362</v>
      </c>
      <c r="C695" s="6">
        <v>58229120</v>
      </c>
      <c r="D695" s="6" t="s">
        <v>2681</v>
      </c>
      <c r="E695" s="6" t="s">
        <v>2682</v>
      </c>
      <c r="F695" s="6" t="s">
        <v>2683</v>
      </c>
      <c r="G695" s="6">
        <v>236421</v>
      </c>
      <c r="H695" s="6" t="s">
        <v>2684</v>
      </c>
      <c r="I695" s="6">
        <v>515</v>
      </c>
      <c r="J695" s="6" t="s">
        <v>23</v>
      </c>
      <c r="K695" s="6" t="s">
        <v>24</v>
      </c>
      <c r="L695" s="6">
        <v>90000000</v>
      </c>
      <c r="M695" s="6">
        <v>2013</v>
      </c>
      <c r="N695" s="6">
        <v>7.3</v>
      </c>
      <c r="O695" s="4">
        <f ca="1">IFERROR(__xludf.DUMMYFUNCTION("IF(Cost_in_dollars!E695=""USD"",Cost_in_dollars!B695,Cost_in_dollars!B695 * GOOGLEFINANCE(""CURRENCY:"" &amp; Cost_in_dollars!E695 &amp; ""USD""))
"),90000000)</f>
        <v>90000000</v>
      </c>
      <c r="P695" s="4">
        <f ca="1">IFERROR(__xludf.DUMMYFUNCTION("IF(Cost_in_dollars!E695=""USD"",Cost_in_dollars!C695,Cost_in_dollars!C695 * GOOGLEFINANCE(""CURRENCY:"" &amp; Cost_in_dollars!E695 &amp; ""USD""))
"),58229120)</f>
        <v>58229120</v>
      </c>
      <c r="Q695" s="6">
        <f t="shared" ca="1" si="12"/>
        <v>-31770880</v>
      </c>
      <c r="R695" s="7" t="str">
        <f t="shared" si="13"/>
        <v>The Secret Life of Walter Mitty</v>
      </c>
      <c r="S695" s="43" t="str">
        <f t="shared" si="16"/>
        <v>Adventure</v>
      </c>
    </row>
    <row r="696" spans="1:19" ht="15.75" customHeight="1" x14ac:dyDescent="0.25">
      <c r="A696" s="4" t="s">
        <v>2685</v>
      </c>
      <c r="B696" s="4">
        <v>19</v>
      </c>
      <c r="C696" s="4">
        <v>2848578</v>
      </c>
      <c r="D696" s="4" t="s">
        <v>2179</v>
      </c>
      <c r="E696" s="4" t="s">
        <v>2686</v>
      </c>
      <c r="F696" s="4" t="s">
        <v>2687</v>
      </c>
      <c r="G696" s="4">
        <v>3942</v>
      </c>
      <c r="H696" s="4" t="s">
        <v>2688</v>
      </c>
      <c r="I696" s="4">
        <v>65</v>
      </c>
      <c r="J696" s="4" t="s">
        <v>23</v>
      </c>
      <c r="K696" s="4" t="s">
        <v>24</v>
      </c>
      <c r="L696" s="4">
        <v>3500000</v>
      </c>
      <c r="M696" s="4">
        <v>2010</v>
      </c>
      <c r="N696" s="4">
        <v>6.3</v>
      </c>
      <c r="O696" s="4">
        <f ca="1">IFERROR(__xludf.DUMMYFUNCTION("IF(Cost_in_dollars!E696=""USD"",Cost_in_dollars!B696,Cost_in_dollars!B696 * GOOGLEFINANCE(""CURRENCY:"" &amp; Cost_in_dollars!E696 &amp; ""USD""))
"),3500000)</f>
        <v>3500000</v>
      </c>
      <c r="P696" s="4">
        <f ca="1">IFERROR(__xludf.DUMMYFUNCTION("IF(Cost_in_dollars!E696=""USD"",Cost_in_dollars!C696,Cost_in_dollars!C696 * GOOGLEFINANCE(""CURRENCY:"" &amp; Cost_in_dollars!E696 &amp; ""USD""))
"),2848578)</f>
        <v>2848578</v>
      </c>
      <c r="Q696" s="4">
        <f t="shared" ca="1" si="12"/>
        <v>-651422</v>
      </c>
      <c r="R696" s="5" t="str">
        <f t="shared" si="13"/>
        <v>Letters to God</v>
      </c>
      <c r="S696" s="43" t="str">
        <f t="shared" si="16"/>
        <v>Drama</v>
      </c>
    </row>
    <row r="697" spans="1:19" ht="15.75" customHeight="1" x14ac:dyDescent="0.25">
      <c r="A697" s="6" t="s">
        <v>2689</v>
      </c>
      <c r="B697" s="6">
        <v>357</v>
      </c>
      <c r="C697" s="6">
        <v>97030725</v>
      </c>
      <c r="D697" s="6" t="s">
        <v>2690</v>
      </c>
      <c r="E697" s="6" t="s">
        <v>84</v>
      </c>
      <c r="F697" s="6" t="s">
        <v>2691</v>
      </c>
      <c r="G697" s="6">
        <v>230931</v>
      </c>
      <c r="H697" s="6" t="s">
        <v>2692</v>
      </c>
      <c r="I697" s="6">
        <v>585</v>
      </c>
      <c r="J697" s="6" t="s">
        <v>23</v>
      </c>
      <c r="K697" s="6" t="s">
        <v>24</v>
      </c>
      <c r="L697" s="6">
        <v>100000000</v>
      </c>
      <c r="M697" s="6">
        <v>2009</v>
      </c>
      <c r="N697" s="6">
        <v>7</v>
      </c>
      <c r="O697" s="4">
        <f ca="1">IFERROR(__xludf.DUMMYFUNCTION("IF(Cost_in_dollars!E697=""USD"",Cost_in_dollars!B697,Cost_in_dollars!B697 * GOOGLEFINANCE(""CURRENCY:"" &amp; Cost_in_dollars!E697 &amp; ""USD""))
"),100000000)</f>
        <v>100000000</v>
      </c>
      <c r="P697" s="4">
        <f ca="1">IFERROR(__xludf.DUMMYFUNCTION("IF(Cost_in_dollars!E697=""USD"",Cost_in_dollars!C697,Cost_in_dollars!C697 * GOOGLEFINANCE(""CURRENCY:"" &amp; Cost_in_dollars!E697 &amp; ""USD""))
"),97030725)</f>
        <v>97030725</v>
      </c>
      <c r="Q697" s="6">
        <f t="shared" ca="1" si="12"/>
        <v>-2969275</v>
      </c>
      <c r="R697" s="7" t="str">
        <f t="shared" si="13"/>
        <v>Public Enemies</v>
      </c>
      <c r="S697" s="43" t="str">
        <f t="shared" si="16"/>
        <v>Biography</v>
      </c>
    </row>
    <row r="698" spans="1:19" ht="15.75" customHeight="1" x14ac:dyDescent="0.25">
      <c r="A698" s="4" t="s">
        <v>763</v>
      </c>
      <c r="B698" s="4">
        <v>151</v>
      </c>
      <c r="C698" s="4">
        <v>45250</v>
      </c>
      <c r="D698" s="4" t="s">
        <v>1127</v>
      </c>
      <c r="E698" s="4" t="s">
        <v>886</v>
      </c>
      <c r="F698" s="4" t="s">
        <v>2693</v>
      </c>
      <c r="G698" s="4">
        <v>235133</v>
      </c>
      <c r="H698" s="4" t="s">
        <v>2694</v>
      </c>
      <c r="I698" s="4">
        <v>494</v>
      </c>
      <c r="J698" s="4" t="s">
        <v>23</v>
      </c>
      <c r="K698" s="4" t="s">
        <v>24</v>
      </c>
      <c r="L698" s="4">
        <v>18000000</v>
      </c>
      <c r="M698" s="4">
        <v>1980</v>
      </c>
      <c r="N698" s="4">
        <v>8.3000000000000007</v>
      </c>
      <c r="O698" s="4">
        <f ca="1">IFERROR(__xludf.DUMMYFUNCTION("IF(Cost_in_dollars!E698=""USD"",Cost_in_dollars!B698,Cost_in_dollars!B698 * GOOGLEFINANCE(""CURRENCY:"" &amp; Cost_in_dollars!E698 &amp; ""USD""))
"),18000000)</f>
        <v>18000000</v>
      </c>
      <c r="P698" s="4">
        <f ca="1">IFERROR(__xludf.DUMMYFUNCTION("IF(Cost_in_dollars!E698=""USD"",Cost_in_dollars!C698,Cost_in_dollars!C698 * GOOGLEFINANCE(""CURRENCY:"" &amp; Cost_in_dollars!E698 &amp; ""USD""))
"),45250)</f>
        <v>45250</v>
      </c>
      <c r="Q698" s="4">
        <f t="shared" ca="1" si="12"/>
        <v>-17954750</v>
      </c>
      <c r="R698" s="5" t="str">
        <f t="shared" si="13"/>
        <v>Raging Bull</v>
      </c>
      <c r="S698" s="43" t="str">
        <f t="shared" si="16"/>
        <v>Biography</v>
      </c>
    </row>
    <row r="699" spans="1:19" ht="15.75" customHeight="1" x14ac:dyDescent="0.25">
      <c r="A699" s="6" t="s">
        <v>2695</v>
      </c>
      <c r="B699" s="6">
        <v>203</v>
      </c>
      <c r="C699" s="6">
        <v>126387</v>
      </c>
      <c r="D699" s="6" t="s">
        <v>151</v>
      </c>
      <c r="E699" s="6" t="s">
        <v>2696</v>
      </c>
      <c r="F699" s="6" t="s">
        <v>2697</v>
      </c>
      <c r="G699" s="6">
        <v>14985</v>
      </c>
      <c r="H699" s="6" t="s">
        <v>2698</v>
      </c>
      <c r="I699" s="6">
        <v>253</v>
      </c>
      <c r="J699" s="6" t="s">
        <v>40</v>
      </c>
      <c r="K699" s="6" t="s">
        <v>41</v>
      </c>
      <c r="L699" s="6">
        <v>400000</v>
      </c>
      <c r="M699" s="6">
        <v>1981</v>
      </c>
      <c r="N699" s="6">
        <v>6.9</v>
      </c>
      <c r="O699" s="4">
        <f ca="1">IFERROR(__xludf.DUMMYFUNCTION("IF(Cost_in_dollars!E699=""USD"",Cost_in_dollars!B699,Cost_in_dollars!B699 * GOOGLEFINANCE(""CURRENCY:"" &amp; Cost_in_dollars!E699 &amp; ""USD""))
"),433896)</f>
        <v>433896</v>
      </c>
      <c r="P699" s="4">
        <f ca="1">IFERROR(__xludf.DUMMYFUNCTION("IF(Cost_in_dollars!E699=""USD"",Cost_in_dollars!C699,Cost_in_dollars!C699 * GOOGLEFINANCE(""CURRENCY:"" &amp; Cost_in_dollars!E699 &amp; ""USD""))
"),137097.03438)</f>
        <v>137097.03438</v>
      </c>
      <c r="Q699" s="6">
        <f t="shared" ca="1" si="12"/>
        <v>-296798.96562000003</v>
      </c>
      <c r="R699" s="7" t="str">
        <f t="shared" si="13"/>
        <v>The Beyond</v>
      </c>
      <c r="S699" s="43" t="str">
        <f t="shared" si="16"/>
        <v>Horror</v>
      </c>
    </row>
    <row r="700" spans="1:19" ht="15.75" customHeight="1" x14ac:dyDescent="0.25">
      <c r="A700" s="4" t="s">
        <v>2699</v>
      </c>
      <c r="B700" s="4">
        <v>72</v>
      </c>
      <c r="C700" s="4">
        <v>395592</v>
      </c>
      <c r="D700" s="4" t="s">
        <v>235</v>
      </c>
      <c r="E700" s="4" t="s">
        <v>2700</v>
      </c>
      <c r="F700" s="4" t="s">
        <v>2701</v>
      </c>
      <c r="G700" s="4">
        <v>21202</v>
      </c>
      <c r="H700" s="4" t="s">
        <v>2702</v>
      </c>
      <c r="I700" s="4">
        <v>134</v>
      </c>
      <c r="J700" s="4" t="s">
        <v>23</v>
      </c>
      <c r="K700" s="4" t="s">
        <v>1111</v>
      </c>
      <c r="L700" s="4">
        <v>2000000</v>
      </c>
      <c r="M700" s="4">
        <v>2003</v>
      </c>
      <c r="N700" s="4">
        <v>7.6</v>
      </c>
      <c r="O700" s="4">
        <f ca="1">IFERROR(__xludf.DUMMYFUNCTION("IF(Cost_in_dollars!E700=""USD"",Cost_in_dollars!B700,Cost_in_dollars!B700 * GOOGLEFINANCE(""CURRENCY:"" &amp; Cost_in_dollars!E700 &amp; ""USD""))
"),2169480)</f>
        <v>2169480</v>
      </c>
      <c r="P700" s="4">
        <f ca="1">IFERROR(__xludf.DUMMYFUNCTION("IF(Cost_in_dollars!E700=""USD"",Cost_in_dollars!C700,Cost_in_dollars!C700 * GOOGLEFINANCE(""CURRENCY:"" &amp; Cost_in_dollars!E700 &amp; ""USD""))
"),429114.46608)</f>
        <v>429114.46607999998</v>
      </c>
      <c r="Q700" s="4">
        <f t="shared" ca="1" si="12"/>
        <v>-1740365.5339200001</v>
      </c>
      <c r="R700" s="5" t="str">
        <f t="shared" si="13"/>
        <v>My Life Without Me</v>
      </c>
      <c r="S700" s="43" t="str">
        <f t="shared" si="16"/>
        <v>Drama</v>
      </c>
    </row>
    <row r="701" spans="1:19" ht="15.75" customHeight="1" x14ac:dyDescent="0.25">
      <c r="A701" s="6" t="s">
        <v>161</v>
      </c>
      <c r="B701" s="6">
        <v>124</v>
      </c>
      <c r="C701" s="6">
        <v>42044321</v>
      </c>
      <c r="D701" s="6" t="s">
        <v>162</v>
      </c>
      <c r="E701" s="6" t="s">
        <v>619</v>
      </c>
      <c r="F701" s="6" t="s">
        <v>2703</v>
      </c>
      <c r="G701" s="6">
        <v>65668</v>
      </c>
      <c r="H701" s="6" t="s">
        <v>2704</v>
      </c>
      <c r="I701" s="6">
        <v>342</v>
      </c>
      <c r="J701" s="6" t="s">
        <v>23</v>
      </c>
      <c r="K701" s="6" t="s">
        <v>24</v>
      </c>
      <c r="L701" s="6">
        <v>80000000</v>
      </c>
      <c r="M701" s="6">
        <v>2004</v>
      </c>
      <c r="N701" s="6">
        <v>6.5</v>
      </c>
      <c r="O701" s="4">
        <f ca="1">IFERROR(__xludf.DUMMYFUNCTION("IF(Cost_in_dollars!E701=""USD"",Cost_in_dollars!B701,Cost_in_dollars!B701 * GOOGLEFINANCE(""CURRENCY:"" &amp; Cost_in_dollars!E701 &amp; ""USD""))
"),80000000)</f>
        <v>80000000</v>
      </c>
      <c r="P701" s="4">
        <f ca="1">IFERROR(__xludf.DUMMYFUNCTION("IF(Cost_in_dollars!E701=""USD"",Cost_in_dollars!C701,Cost_in_dollars!C701 * GOOGLEFINANCE(""CURRENCY:"" &amp; Cost_in_dollars!E701 &amp; ""USD""))
"),42044321)</f>
        <v>42044321</v>
      </c>
      <c r="Q701" s="6">
        <f t="shared" ca="1" si="12"/>
        <v>-37955679</v>
      </c>
      <c r="R701" s="7" t="str">
        <f t="shared" si="13"/>
        <v>Spanglish</v>
      </c>
      <c r="S701" s="43" t="str">
        <f t="shared" si="16"/>
        <v>Comedy</v>
      </c>
    </row>
    <row r="702" spans="1:19" ht="15.75" customHeight="1" x14ac:dyDescent="0.25">
      <c r="A702" s="4" t="s">
        <v>280</v>
      </c>
      <c r="B702" s="4">
        <v>187</v>
      </c>
      <c r="C702" s="4">
        <v>144512310</v>
      </c>
      <c r="D702" s="4" t="s">
        <v>155</v>
      </c>
      <c r="E702" s="4" t="s">
        <v>805</v>
      </c>
      <c r="F702" s="4" t="s">
        <v>2705</v>
      </c>
      <c r="G702" s="4">
        <v>272223</v>
      </c>
      <c r="H702" s="4" t="s">
        <v>2706</v>
      </c>
      <c r="I702" s="4">
        <v>988</v>
      </c>
      <c r="J702" s="4" t="s">
        <v>23</v>
      </c>
      <c r="K702" s="4" t="s">
        <v>24</v>
      </c>
      <c r="L702" s="4">
        <v>38000000</v>
      </c>
      <c r="M702" s="4">
        <v>2001</v>
      </c>
      <c r="N702" s="4">
        <v>6.7</v>
      </c>
      <c r="O702" s="4">
        <f ca="1">IFERROR(__xludf.DUMMYFUNCTION("IF(Cost_in_dollars!E702=""USD"",Cost_in_dollars!B702,Cost_in_dollars!B702 * GOOGLEFINANCE(""CURRENCY:"" &amp; Cost_in_dollars!E702 &amp; ""USD""))
"),38000000)</f>
        <v>38000000</v>
      </c>
      <c r="P702" s="4">
        <f ca="1">IFERROR(__xludf.DUMMYFUNCTION("IF(Cost_in_dollars!E702=""USD"",Cost_in_dollars!C702,Cost_in_dollars!C702 * GOOGLEFINANCE(""CURRENCY:"" &amp; Cost_in_dollars!E702 &amp; ""USD""))
"),144512310)</f>
        <v>144512310</v>
      </c>
      <c r="Q702" s="4">
        <f t="shared" ca="1" si="12"/>
        <v>106512310</v>
      </c>
      <c r="R702" s="5" t="str">
        <f t="shared" si="13"/>
        <v>The Fast and the Furious</v>
      </c>
      <c r="S702" s="43" t="str">
        <f t="shared" si="16"/>
        <v>Action</v>
      </c>
    </row>
    <row r="703" spans="1:19" ht="15.75" customHeight="1" x14ac:dyDescent="0.25">
      <c r="A703" s="6" t="s">
        <v>2707</v>
      </c>
      <c r="B703" s="6">
        <v>224</v>
      </c>
      <c r="C703" s="6">
        <v>17609982</v>
      </c>
      <c r="D703" s="6" t="s">
        <v>827</v>
      </c>
      <c r="E703" s="6" t="s">
        <v>818</v>
      </c>
      <c r="F703" s="6" t="s">
        <v>2708</v>
      </c>
      <c r="G703" s="6">
        <v>90046</v>
      </c>
      <c r="H703" s="6" t="s">
        <v>2709</v>
      </c>
      <c r="I703" s="6">
        <v>141</v>
      </c>
      <c r="J703" s="6" t="s">
        <v>23</v>
      </c>
      <c r="K703" s="6" t="s">
        <v>24</v>
      </c>
      <c r="L703" s="6">
        <v>35000000</v>
      </c>
      <c r="M703" s="6">
        <v>2013</v>
      </c>
      <c r="N703" s="6">
        <v>6.2</v>
      </c>
      <c r="O703" s="4">
        <f ca="1">IFERROR(__xludf.DUMMYFUNCTION("IF(Cost_in_dollars!E703=""USD"",Cost_in_dollars!B703,Cost_in_dollars!B703 * GOOGLEFINANCE(""CURRENCY:"" &amp; Cost_in_dollars!E703 &amp; ""USD""))
"),35000000)</f>
        <v>35000000</v>
      </c>
      <c r="P703" s="4">
        <f ca="1">IFERROR(__xludf.DUMMYFUNCTION("IF(Cost_in_dollars!E703=""USD"",Cost_in_dollars!C703,Cost_in_dollars!C703 * GOOGLEFINANCE(""CURRENCY:"" &amp; Cost_in_dollars!E703 &amp; ""USD""))
"),17609982)</f>
        <v>17609982</v>
      </c>
      <c r="Q703" s="6">
        <f t="shared" ca="1" si="12"/>
        <v>-17390018</v>
      </c>
      <c r="R703" s="7" t="str">
        <f t="shared" si="13"/>
        <v>Parker</v>
      </c>
      <c r="S703" s="43" t="str">
        <f t="shared" si="16"/>
        <v>Action</v>
      </c>
    </row>
    <row r="704" spans="1:19" ht="15.75" customHeight="1" x14ac:dyDescent="0.25">
      <c r="A704" s="4" t="s">
        <v>215</v>
      </c>
      <c r="B704" s="4">
        <v>96</v>
      </c>
      <c r="C704" s="4">
        <v>32645546</v>
      </c>
      <c r="D704" s="4" t="s">
        <v>1499</v>
      </c>
      <c r="E704" s="4" t="s">
        <v>2710</v>
      </c>
      <c r="F704" s="4" t="s">
        <v>2711</v>
      </c>
      <c r="G704" s="4">
        <v>8427</v>
      </c>
      <c r="H704" s="4" t="s">
        <v>2712</v>
      </c>
      <c r="I704" s="4">
        <v>88</v>
      </c>
      <c r="J704" s="4" t="s">
        <v>23</v>
      </c>
      <c r="K704" s="4" t="s">
        <v>24</v>
      </c>
      <c r="L704" s="4">
        <v>14000000</v>
      </c>
      <c r="M704" s="4">
        <v>2005</v>
      </c>
      <c r="N704" s="4">
        <v>6.4</v>
      </c>
      <c r="O704" s="4">
        <f ca="1">IFERROR(__xludf.DUMMYFUNCTION("IF(Cost_in_dollars!E704=""USD"",Cost_in_dollars!B704,Cost_in_dollars!B704 * GOOGLEFINANCE(""CURRENCY:"" &amp; Cost_in_dollars!E704 &amp; ""USD""))
"),14000000)</f>
        <v>14000000</v>
      </c>
      <c r="P704" s="4">
        <f ca="1">IFERROR(__xludf.DUMMYFUNCTION("IF(Cost_in_dollars!E704=""USD"",Cost_in_dollars!C704,Cost_in_dollars!C704 * GOOGLEFINANCE(""CURRENCY:"" &amp; Cost_in_dollars!E704 &amp; ""USD""))
"),32645546)</f>
        <v>32645546</v>
      </c>
      <c r="Q704" s="4">
        <f t="shared" ca="1" si="12"/>
        <v>18645546</v>
      </c>
      <c r="R704" s="5" t="str">
        <f t="shared" si="13"/>
        <v>Because of Winn-Dixie</v>
      </c>
      <c r="S704" s="43" t="str">
        <f t="shared" si="16"/>
        <v>Comedy</v>
      </c>
    </row>
    <row r="705" spans="1:19" ht="15.75" customHeight="1" x14ac:dyDescent="0.25">
      <c r="A705" s="6" t="s">
        <v>192</v>
      </c>
      <c r="B705" s="6">
        <v>144</v>
      </c>
      <c r="C705" s="6">
        <v>81159365</v>
      </c>
      <c r="D705" s="6" t="s">
        <v>116</v>
      </c>
      <c r="E705" s="6" t="s">
        <v>486</v>
      </c>
      <c r="F705" s="6" t="s">
        <v>2713</v>
      </c>
      <c r="G705" s="6">
        <v>191470</v>
      </c>
      <c r="H705" s="6" t="s">
        <v>2714</v>
      </c>
      <c r="I705" s="6">
        <v>278</v>
      </c>
      <c r="J705" s="6" t="s">
        <v>23</v>
      </c>
      <c r="K705" s="6" t="s">
        <v>24</v>
      </c>
      <c r="L705" s="6">
        <v>35000000</v>
      </c>
      <c r="M705" s="6">
        <v>2008</v>
      </c>
      <c r="N705" s="6">
        <v>6.8</v>
      </c>
      <c r="O705" s="4">
        <f ca="1">IFERROR(__xludf.DUMMYFUNCTION("IF(Cost_in_dollars!E705=""USD"",Cost_in_dollars!B705,Cost_in_dollars!B705 * GOOGLEFINANCE(""CURRENCY:"" &amp; Cost_in_dollars!E705 &amp; ""USD""))
"),35000000)</f>
        <v>35000000</v>
      </c>
      <c r="P705" s="4">
        <f ca="1">IFERROR(__xludf.DUMMYFUNCTION("IF(Cost_in_dollars!E705=""USD"",Cost_in_dollars!C705,Cost_in_dollars!C705 * GOOGLEFINANCE(""CURRENCY:"" &amp; Cost_in_dollars!E705 &amp; ""USD""))
"),81159365)</f>
        <v>81159365</v>
      </c>
      <c r="Q705" s="6">
        <f t="shared" ca="1" si="12"/>
        <v>46159365</v>
      </c>
      <c r="R705" s="7" t="str">
        <f t="shared" si="13"/>
        <v>21</v>
      </c>
      <c r="S705" s="43" t="str">
        <f t="shared" si="16"/>
        <v>Crime</v>
      </c>
    </row>
    <row r="706" spans="1:19" ht="15.75" customHeight="1" x14ac:dyDescent="0.25">
      <c r="A706" s="4" t="s">
        <v>1542</v>
      </c>
      <c r="B706" s="4">
        <v>313</v>
      </c>
      <c r="C706" s="4">
        <v>423032628</v>
      </c>
      <c r="D706" s="4" t="s">
        <v>281</v>
      </c>
      <c r="E706" s="4" t="s">
        <v>84</v>
      </c>
      <c r="F706" s="4" t="s">
        <v>2715</v>
      </c>
      <c r="G706" s="4">
        <v>522040</v>
      </c>
      <c r="H706" s="4" t="s">
        <v>2716</v>
      </c>
      <c r="I706" s="4">
        <v>1832</v>
      </c>
      <c r="J706" s="4" t="s">
        <v>23</v>
      </c>
      <c r="K706" s="4" t="s">
        <v>24</v>
      </c>
      <c r="L706" s="4">
        <v>225000000</v>
      </c>
      <c r="M706" s="4">
        <v>2006</v>
      </c>
      <c r="N706" s="4">
        <v>7.3</v>
      </c>
      <c r="O706" s="4">
        <f ca="1">IFERROR(__xludf.DUMMYFUNCTION("IF(Cost_in_dollars!E706=""USD"",Cost_in_dollars!B706,Cost_in_dollars!B706 * GOOGLEFINANCE(""CURRENCY:"" &amp; Cost_in_dollars!E706 &amp; ""USD""))
"),225000000)</f>
        <v>225000000</v>
      </c>
      <c r="P706" s="4">
        <f ca="1">IFERROR(__xludf.DUMMYFUNCTION("IF(Cost_in_dollars!E706=""USD"",Cost_in_dollars!C706,Cost_in_dollars!C706 * GOOGLEFINANCE(""CURRENCY:"" &amp; Cost_in_dollars!E706 &amp; ""USD""))
"),423032628)</f>
        <v>423032628</v>
      </c>
      <c r="Q706" s="4">
        <f t="shared" ca="1" si="12"/>
        <v>198032628</v>
      </c>
      <c r="R706" s="5" t="str">
        <f t="shared" si="13"/>
        <v>Pirates of the Caribbean: Dead Man's Chest</v>
      </c>
      <c r="S706" s="43" t="str">
        <f t="shared" ref="S706:S769" si="17">IF(ISNUMBER(FIND("|", D706)), LEFT(D706, FIND("|", D706) - 1), D706)</f>
        <v>Action</v>
      </c>
    </row>
    <row r="707" spans="1:19" ht="15.75" customHeight="1" x14ac:dyDescent="0.25">
      <c r="A707" s="6" t="s">
        <v>962</v>
      </c>
      <c r="B707" s="6">
        <v>120</v>
      </c>
      <c r="C707" s="6">
        <v>137963328</v>
      </c>
      <c r="D707" s="6" t="s">
        <v>682</v>
      </c>
      <c r="E707" s="6" t="s">
        <v>84</v>
      </c>
      <c r="F707" s="6" t="s">
        <v>2717</v>
      </c>
      <c r="G707" s="6">
        <v>291603</v>
      </c>
      <c r="H707" s="6" t="s">
        <v>2718</v>
      </c>
      <c r="I707" s="6">
        <v>505</v>
      </c>
      <c r="J707" s="6" t="s">
        <v>23</v>
      </c>
      <c r="K707" s="6" t="s">
        <v>133</v>
      </c>
      <c r="L707" s="6">
        <v>6000000</v>
      </c>
      <c r="M707" s="6">
        <v>1986</v>
      </c>
      <c r="N707" s="6">
        <v>8.1</v>
      </c>
      <c r="O707" s="4">
        <f ca="1">IFERROR(__xludf.DUMMYFUNCTION("IF(Cost_in_dollars!E707=""USD"",Cost_in_dollars!B707,Cost_in_dollars!B707 * GOOGLEFINANCE(""CURRENCY:"" &amp; Cost_in_dollars!E707 &amp; ""USD""))
"),7712399.99999999)</f>
        <v>7712399.9999999898</v>
      </c>
      <c r="P707" s="4">
        <f ca="1">IFERROR(__xludf.DUMMYFUNCTION("IF(Cost_in_dollars!E707=""USD"",Cost_in_dollars!C707,Cost_in_dollars!C707 * GOOGLEFINANCE(""CURRENCY:"" &amp; Cost_in_dollars!E707 &amp; ""USD""))
"),177338061.8112)</f>
        <v>177338061.81119999</v>
      </c>
      <c r="Q707" s="6">
        <f t="shared" ca="1" si="12"/>
        <v>169625661.81119999</v>
      </c>
      <c r="R707" s="7" t="str">
        <f t="shared" si="13"/>
        <v>Platoon</v>
      </c>
      <c r="S707" s="43" t="str">
        <f t="shared" si="17"/>
        <v>Drama</v>
      </c>
    </row>
    <row r="708" spans="1:19" ht="15.75" customHeight="1" x14ac:dyDescent="0.25">
      <c r="A708" s="4" t="s">
        <v>2719</v>
      </c>
      <c r="B708" s="4">
        <v>419</v>
      </c>
      <c r="C708" s="4">
        <v>75605492</v>
      </c>
      <c r="D708" s="4" t="s">
        <v>1127</v>
      </c>
      <c r="E708" s="4" t="s">
        <v>1347</v>
      </c>
      <c r="F708" s="4" t="s">
        <v>2720</v>
      </c>
      <c r="G708" s="4">
        <v>283563</v>
      </c>
      <c r="H708" s="4" t="s">
        <v>2721</v>
      </c>
      <c r="I708" s="4">
        <v>312</v>
      </c>
      <c r="J708" s="4" t="s">
        <v>23</v>
      </c>
      <c r="K708" s="4" t="s">
        <v>24</v>
      </c>
      <c r="L708" s="4">
        <v>50000000</v>
      </c>
      <c r="M708" s="4">
        <v>2011</v>
      </c>
      <c r="N708" s="4">
        <v>7.6</v>
      </c>
      <c r="O708" s="4">
        <f ca="1">IFERROR(__xludf.DUMMYFUNCTION("IF(Cost_in_dollars!E708=""USD"",Cost_in_dollars!B708,Cost_in_dollars!B708 * GOOGLEFINANCE(""CURRENCY:"" &amp; Cost_in_dollars!E708 &amp; ""USD""))
"),50000000)</f>
        <v>50000000</v>
      </c>
      <c r="P708" s="4">
        <f ca="1">IFERROR(__xludf.DUMMYFUNCTION("IF(Cost_in_dollars!E708=""USD"",Cost_in_dollars!C708,Cost_in_dollars!C708 * GOOGLEFINANCE(""CURRENCY:"" &amp; Cost_in_dollars!E708 &amp; ""USD""))
"),75605492)</f>
        <v>75605492</v>
      </c>
      <c r="Q708" s="4">
        <f t="shared" ca="1" si="12"/>
        <v>25605492</v>
      </c>
      <c r="R708" s="5" t="str">
        <f t="shared" si="13"/>
        <v>Moneyball</v>
      </c>
      <c r="S708" s="43" t="str">
        <f t="shared" si="17"/>
        <v>Biography</v>
      </c>
    </row>
    <row r="709" spans="1:19" ht="15.75" customHeight="1" x14ac:dyDescent="0.25">
      <c r="A709" s="6" t="s">
        <v>975</v>
      </c>
      <c r="B709" s="6">
        <v>69</v>
      </c>
      <c r="C709" s="6">
        <v>47811275</v>
      </c>
      <c r="D709" s="6" t="s">
        <v>2722</v>
      </c>
      <c r="E709" s="6" t="s">
        <v>2723</v>
      </c>
      <c r="F709" s="6" t="s">
        <v>2724</v>
      </c>
      <c r="G709" s="6">
        <v>29008</v>
      </c>
      <c r="H709" s="6" t="s">
        <v>2725</v>
      </c>
      <c r="I709" s="6">
        <v>99</v>
      </c>
      <c r="J709" s="6" t="s">
        <v>23</v>
      </c>
      <c r="K709" s="6" t="s">
        <v>24</v>
      </c>
      <c r="L709" s="6">
        <v>15000000</v>
      </c>
      <c r="M709" s="6">
        <v>2002</v>
      </c>
      <c r="N709" s="6">
        <v>5.4</v>
      </c>
      <c r="O709" s="4">
        <f ca="1">IFERROR(__xludf.DUMMYFUNCTION("IF(Cost_in_dollars!E709=""USD"",Cost_in_dollars!B709,Cost_in_dollars!B709 * GOOGLEFINANCE(""CURRENCY:"" &amp; Cost_in_dollars!E709 &amp; ""USD""))
"),15000000)</f>
        <v>15000000</v>
      </c>
      <c r="P709" s="4">
        <f ca="1">IFERROR(__xludf.DUMMYFUNCTION("IF(Cost_in_dollars!E709=""USD"",Cost_in_dollars!C709,Cost_in_dollars!C709 * GOOGLEFINANCE(""CURRENCY:"" &amp; Cost_in_dollars!E709 &amp; ""USD""))
"),47811275)</f>
        <v>47811275</v>
      </c>
      <c r="Q709" s="6">
        <f t="shared" ca="1" si="12"/>
        <v>32811275</v>
      </c>
      <c r="R709" s="7" t="str">
        <f t="shared" si="13"/>
        <v>Big Fat Liar</v>
      </c>
      <c r="S709" s="43" t="str">
        <f t="shared" si="17"/>
        <v>Adventure</v>
      </c>
    </row>
    <row r="710" spans="1:19" ht="15.75" customHeight="1" x14ac:dyDescent="0.25">
      <c r="A710" s="4" t="s">
        <v>2726</v>
      </c>
      <c r="B710" s="4">
        <v>111</v>
      </c>
      <c r="C710" s="4">
        <v>26345</v>
      </c>
      <c r="D710" s="4" t="s">
        <v>981</v>
      </c>
      <c r="E710" s="4" t="s">
        <v>2727</v>
      </c>
      <c r="F710" s="4" t="s">
        <v>2728</v>
      </c>
      <c r="G710" s="4">
        <v>16445</v>
      </c>
      <c r="H710" s="4" t="s">
        <v>2729</v>
      </c>
      <c r="I710" s="4">
        <v>99</v>
      </c>
      <c r="J710" s="4" t="s">
        <v>23</v>
      </c>
      <c r="K710" s="4" t="s">
        <v>133</v>
      </c>
      <c r="L710" s="4">
        <v>3000000</v>
      </c>
      <c r="M710" s="4">
        <v>2012</v>
      </c>
      <c r="N710" s="4">
        <v>6.1</v>
      </c>
      <c r="O710" s="4">
        <f ca="1">IFERROR(__xludf.DUMMYFUNCTION("IF(Cost_in_dollars!E710=""USD"",Cost_in_dollars!B710,Cost_in_dollars!B710 * GOOGLEFINANCE(""CURRENCY:"" &amp; Cost_in_dollars!E710 &amp; ""USD""))
"),3856199.99999999)</f>
        <v>3856199.9999999902</v>
      </c>
      <c r="P710" s="4">
        <f ca="1">IFERROR(__xludf.DUMMYFUNCTION("IF(Cost_in_dollars!E710=""USD"",Cost_in_dollars!C710,Cost_in_dollars!C710 * GOOGLEFINANCE(""CURRENCY:"" &amp; Cost_in_dollars!E710 &amp; ""USD""))
"),33863.863)</f>
        <v>33863.862999999998</v>
      </c>
      <c r="Q710" s="4">
        <f t="shared" ca="1" si="12"/>
        <v>-3822336.1369999903</v>
      </c>
      <c r="R710" s="5" t="str">
        <f t="shared" si="13"/>
        <v>The Sweeney</v>
      </c>
      <c r="S710" s="43" t="str">
        <f t="shared" si="17"/>
        <v>Action</v>
      </c>
    </row>
    <row r="711" spans="1:19" ht="15.75" customHeight="1" x14ac:dyDescent="0.25">
      <c r="A711" s="6" t="s">
        <v>2730</v>
      </c>
      <c r="B711" s="6">
        <v>451</v>
      </c>
      <c r="C711" s="6">
        <v>179020854</v>
      </c>
      <c r="D711" s="6" t="s">
        <v>2731</v>
      </c>
      <c r="E711" s="6" t="s">
        <v>2732</v>
      </c>
      <c r="F711" s="6" t="s">
        <v>2733</v>
      </c>
      <c r="G711" s="6">
        <v>268154</v>
      </c>
      <c r="H711" s="6" t="s">
        <v>2734</v>
      </c>
      <c r="I711" s="6">
        <v>341</v>
      </c>
      <c r="J711" s="6" t="s">
        <v>23</v>
      </c>
      <c r="K711" s="6" t="s">
        <v>24</v>
      </c>
      <c r="L711" s="6">
        <v>225000000</v>
      </c>
      <c r="M711" s="6">
        <v>2012</v>
      </c>
      <c r="N711" s="6">
        <v>6.8</v>
      </c>
      <c r="O711" s="4">
        <f ca="1">IFERROR(__xludf.DUMMYFUNCTION("IF(Cost_in_dollars!E711=""USD"",Cost_in_dollars!B711,Cost_in_dollars!B711 * GOOGLEFINANCE(""CURRENCY:"" &amp; Cost_in_dollars!E711 &amp; ""USD""))
"),225000000)</f>
        <v>225000000</v>
      </c>
      <c r="P711" s="4">
        <f ca="1">IFERROR(__xludf.DUMMYFUNCTION("IF(Cost_in_dollars!E711=""USD"",Cost_in_dollars!C711,Cost_in_dollars!C711 * GOOGLEFINANCE(""CURRENCY:"" &amp; Cost_in_dollars!E711 &amp; ""USD""))
"),179020854)</f>
        <v>179020854</v>
      </c>
      <c r="Q711" s="6">
        <f t="shared" ca="1" si="12"/>
        <v>-45979146</v>
      </c>
      <c r="R711" s="7" t="str">
        <f t="shared" si="13"/>
        <v>Men in Black 3</v>
      </c>
      <c r="S711" s="43" t="str">
        <f t="shared" si="17"/>
        <v>Action</v>
      </c>
    </row>
    <row r="712" spans="1:19" ht="15.75" customHeight="1" x14ac:dyDescent="0.25">
      <c r="A712" s="4" t="s">
        <v>2735</v>
      </c>
      <c r="B712" s="4">
        <v>377</v>
      </c>
      <c r="C712" s="4">
        <v>189412677</v>
      </c>
      <c r="D712" s="4" t="s">
        <v>19</v>
      </c>
      <c r="E712" s="4" t="s">
        <v>1072</v>
      </c>
      <c r="F712" s="4" t="s">
        <v>2736</v>
      </c>
      <c r="G712" s="4">
        <v>272534</v>
      </c>
      <c r="H712" s="4" t="s">
        <v>2737</v>
      </c>
      <c r="I712" s="4">
        <v>345</v>
      </c>
      <c r="J712" s="4" t="s">
        <v>23</v>
      </c>
      <c r="K712" s="4" t="s">
        <v>24</v>
      </c>
      <c r="L712" s="4">
        <v>165000000</v>
      </c>
      <c r="M712" s="4">
        <v>2012</v>
      </c>
      <c r="N712" s="4">
        <v>7.8</v>
      </c>
      <c r="O712" s="4">
        <f ca="1">IFERROR(__xludf.DUMMYFUNCTION("IF(Cost_in_dollars!E712=""USD"",Cost_in_dollars!B712,Cost_in_dollars!B712 * GOOGLEFINANCE(""CURRENCY:"" &amp; Cost_in_dollars!E712 &amp; ""USD""))
"),165000000)</f>
        <v>165000000</v>
      </c>
      <c r="P712" s="4">
        <f ca="1">IFERROR(__xludf.DUMMYFUNCTION("IF(Cost_in_dollars!E712=""USD"",Cost_in_dollars!C712,Cost_in_dollars!C712 * GOOGLEFINANCE(""CURRENCY:"" &amp; Cost_in_dollars!E712 &amp; ""USD""))
"),189412677)</f>
        <v>189412677</v>
      </c>
      <c r="Q712" s="4">
        <f t="shared" ca="1" si="12"/>
        <v>24412677</v>
      </c>
      <c r="R712" s="5" t="str">
        <f t="shared" si="13"/>
        <v>Wreck-It Ralph</v>
      </c>
      <c r="S712" s="43" t="str">
        <f t="shared" si="17"/>
        <v>Adventure</v>
      </c>
    </row>
    <row r="713" spans="1:19" ht="15.75" customHeight="1" x14ac:dyDescent="0.25">
      <c r="A713" s="6" t="s">
        <v>2738</v>
      </c>
      <c r="B713" s="6">
        <v>16</v>
      </c>
      <c r="C713" s="6">
        <v>15369573</v>
      </c>
      <c r="D713" s="6" t="s">
        <v>649</v>
      </c>
      <c r="E713" s="6" t="s">
        <v>2739</v>
      </c>
      <c r="F713" s="6" t="s">
        <v>2740</v>
      </c>
      <c r="G713" s="6">
        <v>2580</v>
      </c>
      <c r="H713" s="6" t="s">
        <v>2741</v>
      </c>
      <c r="I713" s="6">
        <v>54</v>
      </c>
      <c r="J713" s="6" t="s">
        <v>23</v>
      </c>
      <c r="K713" s="6" t="s">
        <v>24</v>
      </c>
      <c r="L713" s="6">
        <v>3000000</v>
      </c>
      <c r="M713" s="6">
        <v>1990</v>
      </c>
      <c r="N713" s="6">
        <v>5.3</v>
      </c>
      <c r="O713" s="4">
        <f ca="1">IFERROR(__xludf.DUMMYFUNCTION("IF(Cost_in_dollars!E713=""USD"",Cost_in_dollars!B713,Cost_in_dollars!B713 * GOOGLEFINANCE(""CURRENCY:"" &amp; Cost_in_dollars!E713 &amp; ""USD""))
"),3000000)</f>
        <v>3000000</v>
      </c>
      <c r="P713" s="4">
        <f ca="1">IFERROR(__xludf.DUMMYFUNCTION("IF(Cost_in_dollars!E713=""USD"",Cost_in_dollars!C713,Cost_in_dollars!C713 * GOOGLEFINANCE(""CURRENCY:"" &amp; Cost_in_dollars!E713 &amp; ""USD""))
"),15369573)</f>
        <v>15369573</v>
      </c>
      <c r="Q713" s="6">
        <f t="shared" ca="1" si="12"/>
        <v>12369573</v>
      </c>
      <c r="R713" s="7" t="str">
        <f t="shared" si="13"/>
        <v>Spaced Invaders</v>
      </c>
      <c r="S713" s="43" t="str">
        <f t="shared" si="17"/>
        <v>Adventure</v>
      </c>
    </row>
    <row r="714" spans="1:19" ht="15.75" customHeight="1" x14ac:dyDescent="0.25">
      <c r="A714" s="4" t="s">
        <v>2742</v>
      </c>
      <c r="B714" s="4">
        <v>180</v>
      </c>
      <c r="C714" s="4">
        <v>8828771</v>
      </c>
      <c r="D714" s="4" t="s">
        <v>140</v>
      </c>
      <c r="E714" s="4" t="s">
        <v>977</v>
      </c>
      <c r="F714" s="4" t="s">
        <v>2743</v>
      </c>
      <c r="G714" s="4">
        <v>79146</v>
      </c>
      <c r="H714" s="4" t="s">
        <v>2744</v>
      </c>
      <c r="I714" s="4">
        <v>352</v>
      </c>
      <c r="J714" s="4" t="s">
        <v>23</v>
      </c>
      <c r="K714" s="4" t="s">
        <v>24</v>
      </c>
      <c r="L714" s="4">
        <v>6000000</v>
      </c>
      <c r="M714" s="4">
        <v>2013</v>
      </c>
      <c r="N714" s="4">
        <v>4.3</v>
      </c>
      <c r="O714" s="4">
        <f ca="1">IFERROR(__xludf.DUMMYFUNCTION("IF(Cost_in_dollars!E714=""USD"",Cost_in_dollars!B714,Cost_in_dollars!B714 * GOOGLEFINANCE(""CURRENCY:"" &amp; Cost_in_dollars!E714 &amp; ""USD""))
"),6000000)</f>
        <v>6000000</v>
      </c>
      <c r="P714" s="4">
        <f ca="1">IFERROR(__xludf.DUMMYFUNCTION("IF(Cost_in_dollars!E714=""USD"",Cost_in_dollars!C714,Cost_in_dollars!C714 * GOOGLEFINANCE(""CURRENCY:"" &amp; Cost_in_dollars!E714 &amp; ""USD""))
"),8828771)</f>
        <v>8828771</v>
      </c>
      <c r="Q714" s="4">
        <f t="shared" ca="1" si="12"/>
        <v>2828771</v>
      </c>
      <c r="R714" s="5" t="str">
        <f t="shared" si="13"/>
        <v>Movie 43</v>
      </c>
      <c r="S714" s="43" t="str">
        <f t="shared" si="17"/>
        <v>Comedy</v>
      </c>
    </row>
    <row r="715" spans="1:19" ht="15.75" customHeight="1" x14ac:dyDescent="0.25">
      <c r="A715" s="6" t="s">
        <v>2745</v>
      </c>
      <c r="B715" s="6">
        <v>447</v>
      </c>
      <c r="C715" s="6">
        <v>48043505</v>
      </c>
      <c r="D715" s="6" t="s">
        <v>971</v>
      </c>
      <c r="E715" s="6" t="s">
        <v>2746</v>
      </c>
      <c r="F715" s="6" t="s">
        <v>2747</v>
      </c>
      <c r="G715" s="6">
        <v>435864</v>
      </c>
      <c r="H715" s="6" t="s">
        <v>2748</v>
      </c>
      <c r="I715" s="6">
        <v>801</v>
      </c>
      <c r="J715" s="6" t="s">
        <v>23</v>
      </c>
      <c r="K715" s="6" t="s">
        <v>133</v>
      </c>
      <c r="L715" s="6">
        <v>30000000</v>
      </c>
      <c r="M715" s="6">
        <v>2010</v>
      </c>
      <c r="N715" s="6">
        <v>7.7</v>
      </c>
      <c r="O715" s="4">
        <f ca="1">IFERROR(__xludf.DUMMYFUNCTION("IF(Cost_in_dollars!E715=""USD"",Cost_in_dollars!B715,Cost_in_dollars!B715 * GOOGLEFINANCE(""CURRENCY:"" &amp; Cost_in_dollars!E715 &amp; ""USD""))
"),38562000)</f>
        <v>38562000</v>
      </c>
      <c r="P715" s="4">
        <f ca="1">IFERROR(__xludf.DUMMYFUNCTION("IF(Cost_in_dollars!E715=""USD"",Cost_in_dollars!C715,Cost_in_dollars!C715 * GOOGLEFINANCE(""CURRENCY:"" &amp; Cost_in_dollars!E715 &amp; ""USD""))
"),61755121.3269999)</f>
        <v>61755121.326999903</v>
      </c>
      <c r="Q715" s="6">
        <f t="shared" ca="1" si="12"/>
        <v>23193121.326999903</v>
      </c>
      <c r="R715" s="7" t="str">
        <f t="shared" si="13"/>
        <v>Kick-Ass</v>
      </c>
      <c r="S715" s="43" t="str">
        <f t="shared" si="17"/>
        <v>Action</v>
      </c>
    </row>
    <row r="716" spans="1:19" ht="15.75" customHeight="1" x14ac:dyDescent="0.25">
      <c r="A716" s="4" t="s">
        <v>2749</v>
      </c>
      <c r="B716" s="4">
        <v>217</v>
      </c>
      <c r="C716" s="4">
        <v>65010106</v>
      </c>
      <c r="D716" s="4" t="s">
        <v>457</v>
      </c>
      <c r="E716" s="4" t="s">
        <v>2750</v>
      </c>
      <c r="F716" s="4" t="s">
        <v>2751</v>
      </c>
      <c r="G716" s="4">
        <v>107557</v>
      </c>
      <c r="H716" s="4" t="s">
        <v>2752</v>
      </c>
      <c r="I716" s="4">
        <v>612</v>
      </c>
      <c r="J716" s="4" t="s">
        <v>23</v>
      </c>
      <c r="K716" s="4" t="s">
        <v>24</v>
      </c>
      <c r="L716" s="4">
        <v>30000000</v>
      </c>
      <c r="M716" s="4">
        <v>2002</v>
      </c>
      <c r="N716" s="4">
        <v>7.2</v>
      </c>
      <c r="O716" s="4">
        <f ca="1">IFERROR(__xludf.DUMMYFUNCTION("IF(Cost_in_dollars!E716=""USD"",Cost_in_dollars!B716,Cost_in_dollars!B716 * GOOGLEFINANCE(""CURRENCY:"" &amp; Cost_in_dollars!E716 &amp; ""USD""))
"),30000000)</f>
        <v>30000000</v>
      </c>
      <c r="P716" s="4">
        <f ca="1">IFERROR(__xludf.DUMMYFUNCTION("IF(Cost_in_dollars!E716=""USD"",Cost_in_dollars!C716,Cost_in_dollars!C716 * GOOGLEFINANCE(""CURRENCY:"" &amp; Cost_in_dollars!E716 &amp; ""USD""))
"),65010106)</f>
        <v>65010106</v>
      </c>
      <c r="Q716" s="4">
        <f t="shared" ca="1" si="12"/>
        <v>35010106</v>
      </c>
      <c r="R716" s="5" t="str">
        <f t="shared" si="13"/>
        <v>About Schmidt</v>
      </c>
      <c r="S716" s="43" t="str">
        <f t="shared" si="17"/>
        <v>Comedy</v>
      </c>
    </row>
    <row r="717" spans="1:19" ht="15.75" customHeight="1" x14ac:dyDescent="0.25">
      <c r="A717" s="6" t="s">
        <v>2753</v>
      </c>
      <c r="B717" s="6">
        <v>48</v>
      </c>
      <c r="C717" s="6">
        <v>32101000</v>
      </c>
      <c r="D717" s="6" t="s">
        <v>1328</v>
      </c>
      <c r="E717" s="6" t="s">
        <v>2754</v>
      </c>
      <c r="F717" s="6" t="s">
        <v>2755</v>
      </c>
      <c r="G717" s="6">
        <v>27800</v>
      </c>
      <c r="H717" s="6" t="s">
        <v>2756</v>
      </c>
      <c r="I717" s="6">
        <v>96</v>
      </c>
      <c r="J717" s="6" t="s">
        <v>23</v>
      </c>
      <c r="K717" s="6" t="s">
        <v>133</v>
      </c>
      <c r="L717" s="6">
        <v>10000000</v>
      </c>
      <c r="M717" s="6">
        <v>1992</v>
      </c>
      <c r="N717" s="6">
        <v>5.4</v>
      </c>
      <c r="O717" s="4">
        <f ca="1">IFERROR(__xludf.DUMMYFUNCTION("IF(Cost_in_dollars!E717=""USD"",Cost_in_dollars!B717,Cost_in_dollars!B717 * GOOGLEFINANCE(""CURRENCY:"" &amp; Cost_in_dollars!E717 &amp; ""USD""))
"),12853999.9999999)</f>
        <v>12853999.999999899</v>
      </c>
      <c r="P717" s="4">
        <f ca="1">IFERROR(__xludf.DUMMYFUNCTION("IF(Cost_in_dollars!E717=""USD"",Cost_in_dollars!C717,Cost_in_dollars!C717 * GOOGLEFINANCE(""CURRENCY:"" &amp; Cost_in_dollars!E717 &amp; ""USD""))
"),41262625.4)</f>
        <v>41262625.399999999</v>
      </c>
      <c r="Q717" s="6">
        <f t="shared" ca="1" si="12"/>
        <v>28408625.400000099</v>
      </c>
      <c r="R717" s="7" t="str">
        <f t="shared" si="13"/>
        <v>The Lawnmower Man</v>
      </c>
      <c r="S717" s="43" t="str">
        <f t="shared" si="17"/>
        <v>Horror</v>
      </c>
    </row>
    <row r="718" spans="1:19" ht="15.75" customHeight="1" x14ac:dyDescent="0.25">
      <c r="A718" s="4" t="s">
        <v>2757</v>
      </c>
      <c r="B718" s="4">
        <v>122</v>
      </c>
      <c r="C718" s="4">
        <v>33000377</v>
      </c>
      <c r="D718" s="4" t="s">
        <v>1036</v>
      </c>
      <c r="E718" s="4" t="s">
        <v>833</v>
      </c>
      <c r="F718" s="4" t="s">
        <v>2758</v>
      </c>
      <c r="G718" s="4">
        <v>27378</v>
      </c>
      <c r="H718" s="4" t="s">
        <v>2759</v>
      </c>
      <c r="I718" s="4">
        <v>365</v>
      </c>
      <c r="J718" s="4" t="s">
        <v>23</v>
      </c>
      <c r="K718" s="4" t="s">
        <v>24</v>
      </c>
      <c r="L718" s="4">
        <v>28000000</v>
      </c>
      <c r="M718" s="4">
        <v>2000</v>
      </c>
      <c r="N718" s="4">
        <v>4.9000000000000004</v>
      </c>
      <c r="O718" s="4">
        <f ca="1">IFERROR(__xludf.DUMMYFUNCTION("IF(Cost_in_dollars!E718=""USD"",Cost_in_dollars!B718,Cost_in_dollars!B718 * GOOGLEFINANCE(""CURRENCY:"" &amp; Cost_in_dollars!E718 &amp; ""USD""))
"),28000000)</f>
        <v>28000000</v>
      </c>
      <c r="P718" s="4">
        <f ca="1">IFERROR(__xludf.DUMMYFUNCTION("IF(Cost_in_dollars!E718=""USD"",Cost_in_dollars!C718,Cost_in_dollars!C718 * GOOGLEFINANCE(""CURRENCY:"" &amp; Cost_in_dollars!E718 &amp; ""USD""))
"),33000377)</f>
        <v>33000377</v>
      </c>
      <c r="Q718" s="4">
        <f t="shared" ca="1" si="12"/>
        <v>5000377</v>
      </c>
      <c r="R718" s="5" t="str">
        <f t="shared" si="13"/>
        <v>Dracula 2000</v>
      </c>
      <c r="S718" s="43" t="str">
        <f t="shared" si="17"/>
        <v>Action</v>
      </c>
    </row>
    <row r="719" spans="1:19" ht="15.75" customHeight="1" x14ac:dyDescent="0.25">
      <c r="A719" s="6" t="s">
        <v>726</v>
      </c>
      <c r="B719" s="6">
        <v>250</v>
      </c>
      <c r="C719" s="6">
        <v>25031037</v>
      </c>
      <c r="D719" s="6" t="s">
        <v>2760</v>
      </c>
      <c r="E719" s="6" t="s">
        <v>52</v>
      </c>
      <c r="F719" s="6" t="s">
        <v>2761</v>
      </c>
      <c r="G719" s="6">
        <v>155496</v>
      </c>
      <c r="H719" s="6" t="s">
        <v>2762</v>
      </c>
      <c r="I719" s="6">
        <v>532</v>
      </c>
      <c r="J719" s="6" t="s">
        <v>23</v>
      </c>
      <c r="K719" s="6" t="s">
        <v>24</v>
      </c>
      <c r="L719" s="6">
        <v>53000000</v>
      </c>
      <c r="M719" s="6">
        <v>2007</v>
      </c>
      <c r="N719" s="6">
        <v>7.6</v>
      </c>
      <c r="O719" s="4">
        <f ca="1">IFERROR(__xludf.DUMMYFUNCTION("IF(Cost_in_dollars!E719=""USD"",Cost_in_dollars!B719,Cost_in_dollars!B719 * GOOGLEFINANCE(""CURRENCY:"" &amp; Cost_in_dollars!E719 &amp; ""USD""))
"),53000000)</f>
        <v>53000000</v>
      </c>
      <c r="P719" s="4">
        <f ca="1">IFERROR(__xludf.DUMMYFUNCTION("IF(Cost_in_dollars!E719=""USD"",Cost_in_dollars!C719,Cost_in_dollars!C719 * GOOGLEFINANCE(""CURRENCY:"" &amp; Cost_in_dollars!E719 &amp; ""USD""))
"),25031037)</f>
        <v>25031037</v>
      </c>
      <c r="Q719" s="6">
        <f t="shared" ca="1" si="12"/>
        <v>-27968963</v>
      </c>
      <c r="R719" s="7" t="str">
        <f t="shared" si="13"/>
        <v>Grindhouse</v>
      </c>
      <c r="S719" s="43" t="str">
        <f t="shared" si="17"/>
        <v>Action</v>
      </c>
    </row>
    <row r="720" spans="1:19" ht="15.75" customHeight="1" x14ac:dyDescent="0.25">
      <c r="A720" s="4" t="s">
        <v>2763</v>
      </c>
      <c r="B720" s="4">
        <v>41</v>
      </c>
      <c r="C720" s="4">
        <v>511920</v>
      </c>
      <c r="D720" s="4" t="s">
        <v>2764</v>
      </c>
      <c r="E720" s="4" t="s">
        <v>2254</v>
      </c>
      <c r="F720" s="4" t="s">
        <v>2765</v>
      </c>
      <c r="G720" s="4">
        <v>2458</v>
      </c>
      <c r="H720" s="4" t="s">
        <v>2766</v>
      </c>
      <c r="I720" s="4">
        <v>26</v>
      </c>
      <c r="J720" s="4" t="s">
        <v>23</v>
      </c>
      <c r="K720" s="4" t="s">
        <v>24</v>
      </c>
      <c r="L720" s="4">
        <v>40000000</v>
      </c>
      <c r="M720" s="4">
        <v>2008</v>
      </c>
      <c r="N720" s="4">
        <v>4.4000000000000004</v>
      </c>
      <c r="O720" s="4">
        <f ca="1">IFERROR(__xludf.DUMMYFUNCTION("IF(Cost_in_dollars!E720=""USD"",Cost_in_dollars!B720,Cost_in_dollars!B720 * GOOGLEFINANCE(""CURRENCY:"" &amp; Cost_in_dollars!E720 &amp; ""USD""))
"),40000000)</f>
        <v>40000000</v>
      </c>
      <c r="P720" s="4">
        <f ca="1">IFERROR(__xludf.DUMMYFUNCTION("IF(Cost_in_dollars!E720=""USD"",Cost_in_dollars!C720,Cost_in_dollars!C720 * GOOGLEFINANCE(""CURRENCY:"" &amp; Cost_in_dollars!E720 &amp; ""USD""))
"),511920)</f>
        <v>511920</v>
      </c>
      <c r="Q720" s="4">
        <f t="shared" ca="1" si="12"/>
        <v>-39488080</v>
      </c>
      <c r="R720" s="5" t="str">
        <f t="shared" si="13"/>
        <v>Delgo</v>
      </c>
      <c r="S720" s="43" t="str">
        <f t="shared" si="17"/>
        <v>Adventure</v>
      </c>
    </row>
    <row r="721" spans="1:19" ht="15.75" customHeight="1" x14ac:dyDescent="0.25">
      <c r="A721" s="6" t="s">
        <v>1997</v>
      </c>
      <c r="B721" s="6">
        <v>78</v>
      </c>
      <c r="C721" s="6">
        <v>9652000</v>
      </c>
      <c r="D721" s="6" t="s">
        <v>140</v>
      </c>
      <c r="E721" s="6" t="s">
        <v>2767</v>
      </c>
      <c r="F721" s="6" t="s">
        <v>2768</v>
      </c>
      <c r="G721" s="6">
        <v>46205</v>
      </c>
      <c r="H721" s="6" t="s">
        <v>2769</v>
      </c>
      <c r="I721" s="6">
        <v>147</v>
      </c>
      <c r="J721" s="6" t="s">
        <v>23</v>
      </c>
      <c r="K721" s="6" t="s">
        <v>24</v>
      </c>
      <c r="L721" s="6">
        <v>40000000</v>
      </c>
      <c r="M721" s="6">
        <v>2003</v>
      </c>
      <c r="N721" s="6">
        <v>5.8</v>
      </c>
      <c r="O721" s="4">
        <f ca="1">IFERROR(__xludf.DUMMYFUNCTION("IF(Cost_in_dollars!E721=""USD"",Cost_in_dollars!B721,Cost_in_dollars!B721 * GOOGLEFINANCE(""CURRENCY:"" &amp; Cost_in_dollars!E721 &amp; ""USD""))
"),40000000)</f>
        <v>40000000</v>
      </c>
      <c r="P721" s="4">
        <f ca="1">IFERROR(__xludf.DUMMYFUNCTION("IF(Cost_in_dollars!E721=""USD"",Cost_in_dollars!C721,Cost_in_dollars!C721 * GOOGLEFINANCE(""CURRENCY:"" &amp; Cost_in_dollars!E721 &amp; ""USD""))
"),9652000)</f>
        <v>9652000</v>
      </c>
      <c r="Q721" s="6">
        <f t="shared" ca="1" si="12"/>
        <v>-30348000</v>
      </c>
      <c r="R721" s="7" t="str">
        <f t="shared" si="13"/>
        <v>Duplex</v>
      </c>
      <c r="S721" s="43" t="str">
        <f t="shared" si="17"/>
        <v>Comedy</v>
      </c>
    </row>
    <row r="722" spans="1:19" ht="15.75" customHeight="1" x14ac:dyDescent="0.25">
      <c r="A722" s="4" t="s">
        <v>2770</v>
      </c>
      <c r="B722" s="4">
        <v>256</v>
      </c>
      <c r="C722" s="4">
        <v>148313048</v>
      </c>
      <c r="D722" s="4" t="s">
        <v>2771</v>
      </c>
      <c r="E722" s="4" t="s">
        <v>456</v>
      </c>
      <c r="F722" s="4" t="s">
        <v>2772</v>
      </c>
      <c r="G722" s="4">
        <v>164148</v>
      </c>
      <c r="H722" s="4" t="s">
        <v>2773</v>
      </c>
      <c r="I722" s="4">
        <v>168</v>
      </c>
      <c r="J722" s="4" t="s">
        <v>23</v>
      </c>
      <c r="K722" s="4" t="s">
        <v>24</v>
      </c>
      <c r="L722" s="4">
        <v>85000000</v>
      </c>
      <c r="M722" s="4">
        <v>2012</v>
      </c>
      <c r="N722" s="4">
        <v>7.1</v>
      </c>
      <c r="O722" s="4">
        <f ca="1">IFERROR(__xludf.DUMMYFUNCTION("IF(Cost_in_dollars!E722=""USD"",Cost_in_dollars!B722,Cost_in_dollars!B722 * GOOGLEFINANCE(""CURRENCY:"" &amp; Cost_in_dollars!E722 &amp; ""USD""))
"),85000000)</f>
        <v>85000000</v>
      </c>
      <c r="P722" s="4">
        <f ca="1">IFERROR(__xludf.DUMMYFUNCTION("IF(Cost_in_dollars!E722=""USD"",Cost_in_dollars!C722,Cost_in_dollars!C722 * GOOGLEFINANCE(""CURRENCY:"" &amp; Cost_in_dollars!E722 &amp; ""USD""))
"),148313048)</f>
        <v>148313048</v>
      </c>
      <c r="Q722" s="4">
        <f t="shared" ca="1" si="12"/>
        <v>63313048</v>
      </c>
      <c r="R722" s="5" t="str">
        <f t="shared" si="13"/>
        <v>Hotel Transylvania</v>
      </c>
      <c r="S722" s="43" t="str">
        <f t="shared" si="17"/>
        <v>Animation</v>
      </c>
    </row>
    <row r="723" spans="1:19" ht="15.75" customHeight="1" x14ac:dyDescent="0.25">
      <c r="A723" s="6" t="s">
        <v>2774</v>
      </c>
      <c r="B723" s="6">
        <v>180</v>
      </c>
      <c r="C723" s="6">
        <v>17474107</v>
      </c>
      <c r="D723" s="6" t="s">
        <v>172</v>
      </c>
      <c r="E723" s="6" t="s">
        <v>2775</v>
      </c>
      <c r="F723" s="6" t="s">
        <v>2776</v>
      </c>
      <c r="G723" s="6">
        <v>56605</v>
      </c>
      <c r="H723" s="6" t="s">
        <v>2777</v>
      </c>
      <c r="I723" s="6">
        <v>89</v>
      </c>
      <c r="J723" s="6" t="s">
        <v>23</v>
      </c>
      <c r="K723" s="6" t="s">
        <v>24</v>
      </c>
      <c r="L723" s="6">
        <v>7000000</v>
      </c>
      <c r="M723" s="6">
        <v>2015</v>
      </c>
      <c r="N723" s="6">
        <v>7.3</v>
      </c>
      <c r="O723" s="4">
        <f ca="1">IFERROR(__xludf.DUMMYFUNCTION("IF(Cost_in_dollars!E723=""USD"",Cost_in_dollars!B723,Cost_in_dollars!B723 * GOOGLEFINANCE(""CURRENCY:"" &amp; Cost_in_dollars!E723 &amp; ""USD""))
"),7000000)</f>
        <v>7000000</v>
      </c>
      <c r="P723" s="4">
        <f ca="1">IFERROR(__xludf.DUMMYFUNCTION("IF(Cost_in_dollars!E723=""USD"",Cost_in_dollars!C723,Cost_in_dollars!C723 * GOOGLEFINANCE(""CURRENCY:"" &amp; Cost_in_dollars!E723 &amp; ""USD""))
"),17474107)</f>
        <v>17474107</v>
      </c>
      <c r="Q723" s="6">
        <f t="shared" ca="1" si="12"/>
        <v>10474107</v>
      </c>
      <c r="R723" s="7" t="str">
        <f t="shared" si="13"/>
        <v>Dope</v>
      </c>
      <c r="S723" s="43" t="str">
        <f t="shared" si="17"/>
        <v>Comedy</v>
      </c>
    </row>
    <row r="724" spans="1:19" ht="15.75" customHeight="1" x14ac:dyDescent="0.25">
      <c r="A724" s="4" t="s">
        <v>2778</v>
      </c>
      <c r="B724" s="4">
        <v>35</v>
      </c>
      <c r="C724" s="4">
        <v>1687311</v>
      </c>
      <c r="D724" s="4" t="s">
        <v>2779</v>
      </c>
      <c r="E724" s="4" t="s">
        <v>2780</v>
      </c>
      <c r="F724" s="4" t="s">
        <v>2781</v>
      </c>
      <c r="G724" s="4">
        <v>2412</v>
      </c>
      <c r="H724" s="4" t="s">
        <v>2782</v>
      </c>
      <c r="I724" s="4">
        <v>40</v>
      </c>
      <c r="J724" s="4" t="s">
        <v>1569</v>
      </c>
      <c r="K724" s="4" t="s">
        <v>1111</v>
      </c>
      <c r="L724" s="4">
        <v>700000000</v>
      </c>
      <c r="M724" s="4">
        <v>1998</v>
      </c>
      <c r="N724" s="4">
        <v>7.2</v>
      </c>
      <c r="O724" s="4">
        <f ca="1">IFERROR(__xludf.DUMMYFUNCTION("IF(Cost_in_dollars!E724=""USD"",Cost_in_dollars!B724,Cost_in_dollars!B724 * GOOGLEFINANCE(""CURRENCY:"" &amp; Cost_in_dollars!E724 &amp; ""USD""))
"),759318000)</f>
        <v>759318000</v>
      </c>
      <c r="P724" s="4">
        <f ca="1">IFERROR(__xludf.DUMMYFUNCTION("IF(Cost_in_dollars!E724=""USD"",Cost_in_dollars!C724,Cost_in_dollars!C724 * GOOGLEFINANCE(""CURRENCY:"" &amp; Cost_in_dollars!E724 &amp; ""USD""))
"),1830293.73414)</f>
        <v>1830293.7341400001</v>
      </c>
      <c r="Q724" s="4">
        <f t="shared" ca="1" si="12"/>
        <v>-757487706.26585996</v>
      </c>
      <c r="R724" s="5" t="str">
        <f t="shared" si="13"/>
        <v>Tango</v>
      </c>
      <c r="S724" s="43" t="str">
        <f t="shared" si="17"/>
        <v>Drama</v>
      </c>
    </row>
    <row r="725" spans="1:19" ht="15.75" customHeight="1" x14ac:dyDescent="0.25">
      <c r="A725" s="6" t="s">
        <v>2783</v>
      </c>
      <c r="B725" s="6">
        <v>47</v>
      </c>
      <c r="C725" s="6">
        <v>4741987</v>
      </c>
      <c r="D725" s="6" t="s">
        <v>102</v>
      </c>
      <c r="E725" s="6" t="s">
        <v>487</v>
      </c>
      <c r="F725" s="6" t="s">
        <v>2784</v>
      </c>
      <c r="G725" s="6">
        <v>6782</v>
      </c>
      <c r="H725" s="6" t="s">
        <v>2785</v>
      </c>
      <c r="I725" s="6">
        <v>114</v>
      </c>
      <c r="J725" s="6" t="s">
        <v>23</v>
      </c>
      <c r="K725" s="6" t="s">
        <v>24</v>
      </c>
      <c r="L725" s="6">
        <v>14000000</v>
      </c>
      <c r="M725" s="6">
        <v>1999</v>
      </c>
      <c r="N725" s="6">
        <v>6.6</v>
      </c>
      <c r="O725" s="4">
        <f ca="1">IFERROR(__xludf.DUMMYFUNCTION("IF(Cost_in_dollars!E725=""USD"",Cost_in_dollars!B725,Cost_in_dollars!B725 * GOOGLEFINANCE(""CURRENCY:"" &amp; Cost_in_dollars!E725 &amp; ""USD""))
"),14000000)</f>
        <v>14000000</v>
      </c>
      <c r="P725" s="4">
        <f ca="1">IFERROR(__xludf.DUMMYFUNCTION("IF(Cost_in_dollars!E725=""USD"",Cost_in_dollars!C725,Cost_in_dollars!C725 * GOOGLEFINANCE(""CURRENCY:"" &amp; Cost_in_dollars!E725 &amp; ""USD""))
"),4741987)</f>
        <v>4741987</v>
      </c>
      <c r="Q725" s="6">
        <f t="shared" ca="1" si="12"/>
        <v>-9258013</v>
      </c>
      <c r="R725" s="7" t="str">
        <f t="shared" si="13"/>
        <v>A Walk on the Moon</v>
      </c>
      <c r="S725" s="43" t="str">
        <f t="shared" si="17"/>
        <v>Drama</v>
      </c>
    </row>
    <row r="726" spans="1:19" ht="15.75" customHeight="1" x14ac:dyDescent="0.25">
      <c r="A726" s="4" t="s">
        <v>2786</v>
      </c>
      <c r="B726" s="4">
        <v>67</v>
      </c>
      <c r="C726" s="4">
        <v>6239558</v>
      </c>
      <c r="D726" s="4" t="s">
        <v>457</v>
      </c>
      <c r="E726" s="4" t="s">
        <v>2787</v>
      </c>
      <c r="F726" s="4" t="s">
        <v>2788</v>
      </c>
      <c r="G726" s="4">
        <v>5548</v>
      </c>
      <c r="H726" s="4" t="s">
        <v>2789</v>
      </c>
      <c r="I726" s="4">
        <v>67</v>
      </c>
      <c r="J726" s="4" t="s">
        <v>23</v>
      </c>
      <c r="K726" s="4" t="s">
        <v>627</v>
      </c>
      <c r="L726" s="4">
        <v>5000000</v>
      </c>
      <c r="M726" s="4">
        <v>2003</v>
      </c>
      <c r="N726" s="4">
        <v>6.7</v>
      </c>
      <c r="O726" s="4">
        <f ca="1">IFERROR(__xludf.DUMMYFUNCTION("IF(Cost_in_dollars!E726=""USD"",Cost_in_dollars!B726,Cost_in_dollars!B726 * GOOGLEFINANCE(""CURRENCY:"" &amp; Cost_in_dollars!E726 &amp; ""USD""))
"),3617025)</f>
        <v>3617025</v>
      </c>
      <c r="P726" s="4">
        <f ca="1">IFERROR(__xludf.DUMMYFUNCTION("IF(Cost_in_dollars!E726=""USD"",Cost_in_dollars!C726,Cost_in_dollars!C726 * GOOGLEFINANCE(""CURRENCY:"" &amp; Cost_in_dollars!E726 &amp; ""USD""))
"),4513727.45498999)</f>
        <v>4513727.4549899902</v>
      </c>
      <c r="Q726" s="4">
        <f t="shared" ca="1" si="12"/>
        <v>896702.45498999022</v>
      </c>
      <c r="R726" s="5" t="str">
        <f t="shared" si="13"/>
        <v>Mambo Italiano</v>
      </c>
      <c r="S726" s="43" t="str">
        <f t="shared" si="17"/>
        <v>Comedy</v>
      </c>
    </row>
    <row r="727" spans="1:19" ht="15.75" customHeight="1" x14ac:dyDescent="0.25">
      <c r="A727" s="6" t="s">
        <v>2790</v>
      </c>
      <c r="B727" s="6">
        <v>68</v>
      </c>
      <c r="C727" s="6">
        <v>4956401</v>
      </c>
      <c r="D727" s="6" t="s">
        <v>682</v>
      </c>
      <c r="E727" s="6" t="s">
        <v>676</v>
      </c>
      <c r="F727" s="6" t="s">
        <v>2791</v>
      </c>
      <c r="G727" s="6">
        <v>12601</v>
      </c>
      <c r="H727" s="6" t="s">
        <v>2792</v>
      </c>
      <c r="I727" s="6">
        <v>89</v>
      </c>
      <c r="J727" s="6" t="s">
        <v>23</v>
      </c>
      <c r="K727" s="6" t="s">
        <v>611</v>
      </c>
      <c r="L727" s="6">
        <v>15000000</v>
      </c>
      <c r="M727" s="6">
        <v>1999</v>
      </c>
      <c r="N727" s="6">
        <v>6.5</v>
      </c>
      <c r="O727" s="4">
        <f ca="1">IFERROR(__xludf.DUMMYFUNCTION("IF(Cost_in_dollars!E727=""USD"",Cost_in_dollars!B727,Cost_in_dollars!B727 * GOOGLEFINANCE(""CURRENCY:"" &amp; Cost_in_dollars!E727 &amp; ""USD""))
"),16271100)</f>
        <v>16271100</v>
      </c>
      <c r="P727" s="4">
        <f ca="1">IFERROR(__xludf.DUMMYFUNCTION("IF(Cost_in_dollars!E727=""USD"",Cost_in_dollars!C727,Cost_in_dollars!C727 * GOOGLEFINANCE(""CURRENCY:"" &amp; Cost_in_dollars!E727 &amp; ""USD""))
"),5376406.42074)</f>
        <v>5376406.42074</v>
      </c>
      <c r="Q727" s="6">
        <f t="shared" ca="1" si="12"/>
        <v>-10894693.579259999</v>
      </c>
      <c r="R727" s="7" t="str">
        <f t="shared" si="13"/>
        <v>Jakob the Liar</v>
      </c>
      <c r="S727" s="43" t="str">
        <f t="shared" si="17"/>
        <v>Drama</v>
      </c>
    </row>
    <row r="728" spans="1:19" ht="15.75" customHeight="1" x14ac:dyDescent="0.25">
      <c r="A728" s="4" t="s">
        <v>2793</v>
      </c>
      <c r="B728" s="4">
        <v>270</v>
      </c>
      <c r="C728" s="4">
        <v>66489425</v>
      </c>
      <c r="D728" s="4" t="s">
        <v>504</v>
      </c>
      <c r="E728" s="4" t="s">
        <v>881</v>
      </c>
      <c r="F728" s="4" t="s">
        <v>2794</v>
      </c>
      <c r="G728" s="4">
        <v>101977</v>
      </c>
      <c r="H728" s="4" t="s">
        <v>2795</v>
      </c>
      <c r="I728" s="4">
        <v>161</v>
      </c>
      <c r="J728" s="4" t="s">
        <v>23</v>
      </c>
      <c r="K728" s="4" t="s">
        <v>24</v>
      </c>
      <c r="L728" s="4">
        <v>25000000</v>
      </c>
      <c r="M728" s="4">
        <v>2012</v>
      </c>
      <c r="N728" s="4">
        <v>6.5</v>
      </c>
      <c r="O728" s="4">
        <f ca="1">IFERROR(__xludf.DUMMYFUNCTION("IF(Cost_in_dollars!E728=""USD"",Cost_in_dollars!B728,Cost_in_dollars!B728 * GOOGLEFINANCE(""CURRENCY:"" &amp; Cost_in_dollars!E728 &amp; ""USD""))
"),25000000)</f>
        <v>25000000</v>
      </c>
      <c r="P728" s="4">
        <f ca="1">IFERROR(__xludf.DUMMYFUNCTION("IF(Cost_in_dollars!E728=""USD"",Cost_in_dollars!C728,Cost_in_dollars!C728 * GOOGLEFINANCE(""CURRENCY:"" &amp; Cost_in_dollars!E728 &amp; ""USD""))
"),66489425)</f>
        <v>66489425</v>
      </c>
      <c r="Q728" s="4">
        <f t="shared" ca="1" si="12"/>
        <v>41489425</v>
      </c>
      <c r="R728" s="5" t="str">
        <f t="shared" si="13"/>
        <v>Contraband</v>
      </c>
      <c r="S728" s="43" t="str">
        <f t="shared" si="17"/>
        <v>Action</v>
      </c>
    </row>
    <row r="729" spans="1:19" ht="15.75" customHeight="1" x14ac:dyDescent="0.25">
      <c r="A729" s="6" t="s">
        <v>2796</v>
      </c>
      <c r="B729" s="6">
        <v>31</v>
      </c>
      <c r="C729" s="6">
        <v>99147</v>
      </c>
      <c r="D729" s="6" t="s">
        <v>102</v>
      </c>
      <c r="E729" s="6" t="s">
        <v>2797</v>
      </c>
      <c r="F729" s="6" t="s">
        <v>2798</v>
      </c>
      <c r="G729" s="6">
        <v>1884</v>
      </c>
      <c r="H729" s="6" t="s">
        <v>2799</v>
      </c>
      <c r="I729" s="6">
        <v>28</v>
      </c>
      <c r="J729" s="6" t="s">
        <v>23</v>
      </c>
      <c r="K729" s="6" t="s">
        <v>24</v>
      </c>
      <c r="L729" s="6">
        <v>2000000</v>
      </c>
      <c r="M729" s="6">
        <v>1998</v>
      </c>
      <c r="N729" s="6">
        <v>6.2</v>
      </c>
      <c r="O729" s="4">
        <f ca="1">IFERROR(__xludf.DUMMYFUNCTION("IF(Cost_in_dollars!E729=""USD"",Cost_in_dollars!B729,Cost_in_dollars!B729 * GOOGLEFINANCE(""CURRENCY:"" &amp; Cost_in_dollars!E729 &amp; ""USD""))
"),2000000)</f>
        <v>2000000</v>
      </c>
      <c r="P729" s="4">
        <f ca="1">IFERROR(__xludf.DUMMYFUNCTION("IF(Cost_in_dollars!E729=""USD"",Cost_in_dollars!C729,Cost_in_dollars!C729 * GOOGLEFINANCE(""CURRENCY:"" &amp; Cost_in_dollars!E729 &amp; ""USD""))
"),99147)</f>
        <v>99147</v>
      </c>
      <c r="Q729" s="6">
        <f t="shared" ca="1" si="12"/>
        <v>-1900853</v>
      </c>
      <c r="R729" s="7" t="str">
        <f t="shared" si="13"/>
        <v>Desert Blue</v>
      </c>
      <c r="S729" s="43" t="str">
        <f t="shared" si="17"/>
        <v>Drama</v>
      </c>
    </row>
    <row r="730" spans="1:19" ht="15.75" customHeight="1" x14ac:dyDescent="0.25">
      <c r="A730" s="4" t="s">
        <v>2245</v>
      </c>
      <c r="B730" s="4">
        <v>92</v>
      </c>
      <c r="C730" s="4">
        <v>263365</v>
      </c>
      <c r="D730" s="4" t="s">
        <v>58</v>
      </c>
      <c r="E730" s="4" t="s">
        <v>2800</v>
      </c>
      <c r="F730" s="4" t="s">
        <v>2801</v>
      </c>
      <c r="G730" s="4">
        <v>6147</v>
      </c>
      <c r="H730" s="4" t="s">
        <v>2802</v>
      </c>
      <c r="I730" s="4">
        <v>36</v>
      </c>
      <c r="J730" s="4" t="s">
        <v>23</v>
      </c>
      <c r="K730" s="4" t="s">
        <v>24</v>
      </c>
      <c r="L730" s="4">
        <v>20000000</v>
      </c>
      <c r="M730" s="4">
        <v>2010</v>
      </c>
      <c r="N730" s="4">
        <v>5.4</v>
      </c>
      <c r="O730" s="4">
        <f ca="1">IFERROR(__xludf.DUMMYFUNCTION("IF(Cost_in_dollars!E730=""USD"",Cost_in_dollars!B730,Cost_in_dollars!B730 * GOOGLEFINANCE(""CURRENCY:"" &amp; Cost_in_dollars!E730 &amp; ""USD""))
"),20000000)</f>
        <v>20000000</v>
      </c>
      <c r="P730" s="4">
        <f ca="1">IFERROR(__xludf.DUMMYFUNCTION("IF(Cost_in_dollars!E730=""USD"",Cost_in_dollars!C730,Cost_in_dollars!C730 * GOOGLEFINANCE(""CURRENCY:"" &amp; Cost_in_dollars!E730 &amp; ""USD""))
"),263365)</f>
        <v>263365</v>
      </c>
      <c r="Q730" s="4">
        <f t="shared" ca="1" si="12"/>
        <v>-19736635</v>
      </c>
      <c r="R730" s="5" t="str">
        <f t="shared" si="13"/>
        <v>The Tempest</v>
      </c>
      <c r="S730" s="43" t="str">
        <f t="shared" si="17"/>
        <v>Comedy</v>
      </c>
    </row>
    <row r="731" spans="1:19" ht="15.75" customHeight="1" x14ac:dyDescent="0.25">
      <c r="A731" s="6" t="s">
        <v>2803</v>
      </c>
      <c r="B731" s="6">
        <v>376</v>
      </c>
      <c r="C731" s="6">
        <v>268488329</v>
      </c>
      <c r="D731" s="6" t="s">
        <v>304</v>
      </c>
      <c r="E731" s="6" t="s">
        <v>456</v>
      </c>
      <c r="F731" s="6" t="s">
        <v>2804</v>
      </c>
      <c r="G731" s="6">
        <v>235025</v>
      </c>
      <c r="H731" s="6" t="s">
        <v>2805</v>
      </c>
      <c r="I731" s="6">
        <v>265</v>
      </c>
      <c r="J731" s="6" t="s">
        <v>23</v>
      </c>
      <c r="K731" s="6" t="s">
        <v>24</v>
      </c>
      <c r="L731" s="6">
        <v>200000000</v>
      </c>
      <c r="M731" s="6">
        <v>2013</v>
      </c>
      <c r="N731" s="6">
        <v>7.3</v>
      </c>
      <c r="O731" s="4">
        <f ca="1">IFERROR(__xludf.DUMMYFUNCTION("IF(Cost_in_dollars!E731=""USD"",Cost_in_dollars!B731,Cost_in_dollars!B731 * GOOGLEFINANCE(""CURRENCY:"" &amp; Cost_in_dollars!E731 &amp; ""USD""))
"),200000000)</f>
        <v>200000000</v>
      </c>
      <c r="P731" s="4">
        <f ca="1">IFERROR(__xludf.DUMMYFUNCTION("IF(Cost_in_dollars!E731=""USD"",Cost_in_dollars!C731,Cost_in_dollars!C731 * GOOGLEFINANCE(""CURRENCY:"" &amp; Cost_in_dollars!E731 &amp; ""USD""))
"),268488329)</f>
        <v>268488329</v>
      </c>
      <c r="Q731" s="6">
        <f t="shared" ca="1" si="12"/>
        <v>68488329</v>
      </c>
      <c r="R731" s="7" t="str">
        <f t="shared" si="13"/>
        <v>Monsters University</v>
      </c>
      <c r="S731" s="43" t="str">
        <f t="shared" si="17"/>
        <v>Adventure</v>
      </c>
    </row>
    <row r="732" spans="1:19" ht="15.75" customHeight="1" x14ac:dyDescent="0.25">
      <c r="A732" s="4" t="s">
        <v>1353</v>
      </c>
      <c r="B732" s="4">
        <v>525</v>
      </c>
      <c r="C732" s="4">
        <v>234903076</v>
      </c>
      <c r="D732" s="4" t="s">
        <v>1259</v>
      </c>
      <c r="E732" s="4" t="s">
        <v>2806</v>
      </c>
      <c r="F732" s="4" t="s">
        <v>2807</v>
      </c>
      <c r="G732" s="4">
        <v>175409</v>
      </c>
      <c r="H732" s="4" t="s">
        <v>2808</v>
      </c>
      <c r="I732" s="4">
        <v>511</v>
      </c>
      <c r="J732" s="4" t="s">
        <v>23</v>
      </c>
      <c r="K732" s="4" t="s">
        <v>24</v>
      </c>
      <c r="L732" s="4">
        <v>215000000</v>
      </c>
      <c r="M732" s="4">
        <v>2013</v>
      </c>
      <c r="N732" s="4">
        <v>6.4</v>
      </c>
      <c r="O732" s="4">
        <f ca="1">IFERROR(__xludf.DUMMYFUNCTION("IF(Cost_in_dollars!E732=""USD"",Cost_in_dollars!B732,Cost_in_dollars!B732 * GOOGLEFINANCE(""CURRENCY:"" &amp; Cost_in_dollars!E732 &amp; ""USD""))
"),215000000)</f>
        <v>215000000</v>
      </c>
      <c r="P732" s="4">
        <f ca="1">IFERROR(__xludf.DUMMYFUNCTION("IF(Cost_in_dollars!E732=""USD"",Cost_in_dollars!C732,Cost_in_dollars!C732 * GOOGLEFINANCE(""CURRENCY:"" &amp; Cost_in_dollars!E732 &amp; ""USD""))
"),234903076)</f>
        <v>234903076</v>
      </c>
      <c r="Q732" s="4">
        <f t="shared" ca="1" si="12"/>
        <v>19903076</v>
      </c>
      <c r="R732" s="5" t="str">
        <f t="shared" si="13"/>
        <v>Oz the Great and Powerful</v>
      </c>
      <c r="S732" s="43" t="str">
        <f t="shared" si="17"/>
        <v>Adventure</v>
      </c>
    </row>
    <row r="733" spans="1:19" ht="15.75" customHeight="1" x14ac:dyDescent="0.25">
      <c r="A733" s="6" t="s">
        <v>1667</v>
      </c>
      <c r="B733" s="6">
        <v>114</v>
      </c>
      <c r="C733" s="6">
        <v>20241395</v>
      </c>
      <c r="D733" s="6" t="s">
        <v>2760</v>
      </c>
      <c r="E733" s="6" t="s">
        <v>2809</v>
      </c>
      <c r="F733" s="6" t="s">
        <v>2810</v>
      </c>
      <c r="G733" s="6">
        <v>42664</v>
      </c>
      <c r="H733" s="6" t="s">
        <v>2811</v>
      </c>
      <c r="I733" s="6">
        <v>403</v>
      </c>
      <c r="J733" s="6" t="s">
        <v>23</v>
      </c>
      <c r="K733" s="6" t="s">
        <v>24</v>
      </c>
      <c r="L733" s="6">
        <v>20000000</v>
      </c>
      <c r="M733" s="6">
        <v>1998</v>
      </c>
      <c r="N733" s="6">
        <v>6.1</v>
      </c>
      <c r="O733" s="4">
        <f ca="1">IFERROR(__xludf.DUMMYFUNCTION("IF(Cost_in_dollars!E733=""USD"",Cost_in_dollars!B733,Cost_in_dollars!B733 * GOOGLEFINANCE(""CURRENCY:"" &amp; Cost_in_dollars!E733 &amp; ""USD""))
"),20000000)</f>
        <v>20000000</v>
      </c>
      <c r="P733" s="4">
        <f ca="1">IFERROR(__xludf.DUMMYFUNCTION("IF(Cost_in_dollars!E733=""USD"",Cost_in_dollars!C733,Cost_in_dollars!C733 * GOOGLEFINANCE(""CURRENCY:"" &amp; Cost_in_dollars!E733 &amp; ""USD""))
"),20241395)</f>
        <v>20241395</v>
      </c>
      <c r="Q733" s="6">
        <f t="shared" ca="1" si="12"/>
        <v>241395</v>
      </c>
      <c r="R733" s="7" t="str">
        <f t="shared" si="13"/>
        <v>Vampires</v>
      </c>
      <c r="S733" s="43" t="str">
        <f t="shared" si="17"/>
        <v>Action</v>
      </c>
    </row>
    <row r="734" spans="1:19" ht="15.75" customHeight="1" x14ac:dyDescent="0.25">
      <c r="A734" s="4" t="s">
        <v>2812</v>
      </c>
      <c r="B734" s="4">
        <v>1</v>
      </c>
      <c r="C734" s="4">
        <v>3830</v>
      </c>
      <c r="D734" s="4" t="s">
        <v>457</v>
      </c>
      <c r="E734" s="4" t="s">
        <v>2813</v>
      </c>
      <c r="F734" s="4" t="s">
        <v>2814</v>
      </c>
      <c r="G734" s="4">
        <v>27</v>
      </c>
      <c r="H734" s="4" t="s">
        <v>109</v>
      </c>
      <c r="I734" s="4">
        <v>1</v>
      </c>
      <c r="J734" s="4" t="s">
        <v>1569</v>
      </c>
      <c r="K734" s="4" t="s">
        <v>24</v>
      </c>
      <c r="L734" s="4">
        <v>1200000</v>
      </c>
      <c r="M734" s="4">
        <v>2013</v>
      </c>
      <c r="N734" s="4">
        <v>7.2</v>
      </c>
      <c r="O734" s="4">
        <f ca="1">IFERROR(__xludf.DUMMYFUNCTION("IF(Cost_in_dollars!E734=""USD"",Cost_in_dollars!B734,Cost_in_dollars!B734 * GOOGLEFINANCE(""CURRENCY:"" &amp; Cost_in_dollars!E734 &amp; ""USD""))
"),1200000)</f>
        <v>1200000</v>
      </c>
      <c r="P734" s="4">
        <f ca="1">IFERROR(__xludf.DUMMYFUNCTION("IF(Cost_in_dollars!E734=""USD"",Cost_in_dollars!C734,Cost_in_dollars!C734 * GOOGLEFINANCE(""CURRENCY:"" &amp; Cost_in_dollars!E734 &amp; ""USD""))
"),3830)</f>
        <v>3830</v>
      </c>
      <c r="Q734" s="4">
        <f t="shared" ca="1" si="12"/>
        <v>-1196170</v>
      </c>
      <c r="R734" s="5" t="str">
        <f t="shared" si="13"/>
        <v>The Knife of Don Juan</v>
      </c>
      <c r="S734" s="43" t="str">
        <f t="shared" si="17"/>
        <v>Comedy</v>
      </c>
    </row>
    <row r="735" spans="1:19" ht="15.75" customHeight="1" x14ac:dyDescent="0.25">
      <c r="A735" s="6" t="s">
        <v>2815</v>
      </c>
      <c r="B735" s="6">
        <v>291</v>
      </c>
      <c r="C735" s="6">
        <v>17237244</v>
      </c>
      <c r="D735" s="6" t="s">
        <v>116</v>
      </c>
      <c r="E735" s="6" t="s">
        <v>1347</v>
      </c>
      <c r="F735" s="6" t="s">
        <v>2816</v>
      </c>
      <c r="G735" s="6">
        <v>57210</v>
      </c>
      <c r="H735" s="6" t="s">
        <v>2817</v>
      </c>
      <c r="I735" s="6">
        <v>158</v>
      </c>
      <c r="J735" s="6" t="s">
        <v>23</v>
      </c>
      <c r="K735" s="6" t="s">
        <v>133</v>
      </c>
      <c r="L735" s="6">
        <v>15000000</v>
      </c>
      <c r="M735" s="6">
        <v>2014</v>
      </c>
      <c r="N735" s="6">
        <v>6.8</v>
      </c>
      <c r="O735" s="4">
        <f ca="1">IFERROR(__xludf.DUMMYFUNCTION("IF(Cost_in_dollars!E735=""USD"",Cost_in_dollars!B735,Cost_in_dollars!B735 * GOOGLEFINANCE(""CURRENCY:"" &amp; Cost_in_dollars!E735 &amp; ""USD""))
"),19281000)</f>
        <v>19281000</v>
      </c>
      <c r="P735" s="4">
        <f ca="1">IFERROR(__xludf.DUMMYFUNCTION("IF(Cost_in_dollars!E735=""USD"",Cost_in_dollars!C735,Cost_in_dollars!C735 * GOOGLEFINANCE(""CURRENCY:"" &amp; Cost_in_dollars!E735 &amp; ""USD""))
"),22156753.4375999)</f>
        <v>22156753.437599901</v>
      </c>
      <c r="Q735" s="6">
        <f t="shared" ca="1" si="12"/>
        <v>2875753.4375999011</v>
      </c>
      <c r="R735" s="7" t="str">
        <f t="shared" si="13"/>
        <v>A Most Wanted Man</v>
      </c>
      <c r="S735" s="43" t="str">
        <f t="shared" si="17"/>
        <v>Crime</v>
      </c>
    </row>
    <row r="736" spans="1:19" ht="15.75" customHeight="1" x14ac:dyDescent="0.25">
      <c r="A736" s="4" t="s">
        <v>2818</v>
      </c>
      <c r="B736" s="4">
        <v>53</v>
      </c>
      <c r="C736" s="4">
        <v>13300000</v>
      </c>
      <c r="D736" s="4" t="s">
        <v>2819</v>
      </c>
      <c r="E736" s="4" t="s">
        <v>2820</v>
      </c>
      <c r="F736" s="4" t="s">
        <v>2821</v>
      </c>
      <c r="G736" s="4">
        <v>12631</v>
      </c>
      <c r="H736" s="4" t="s">
        <v>2822</v>
      </c>
      <c r="I736" s="4">
        <v>63</v>
      </c>
      <c r="J736" s="4" t="s">
        <v>23</v>
      </c>
      <c r="K736" s="4" t="s">
        <v>24</v>
      </c>
      <c r="L736" s="4">
        <v>600000</v>
      </c>
      <c r="M736" s="4">
        <v>1970</v>
      </c>
      <c r="N736" s="4">
        <v>8.1</v>
      </c>
      <c r="O736" s="4">
        <f ca="1">IFERROR(__xludf.DUMMYFUNCTION("IF(Cost_in_dollars!E736=""USD"",Cost_in_dollars!B736,Cost_in_dollars!B736 * GOOGLEFINANCE(""CURRENCY:"" &amp; Cost_in_dollars!E736 &amp; ""USD""))
"),600000)</f>
        <v>600000</v>
      </c>
      <c r="P736" s="4">
        <f ca="1">IFERROR(__xludf.DUMMYFUNCTION("IF(Cost_in_dollars!E736=""USD"",Cost_in_dollars!C736,Cost_in_dollars!C736 * GOOGLEFINANCE(""CURRENCY:"" &amp; Cost_in_dollars!E736 &amp; ""USD""))
"),13300000)</f>
        <v>13300000</v>
      </c>
      <c r="Q736" s="4">
        <f t="shared" ca="1" si="12"/>
        <v>12700000</v>
      </c>
      <c r="R736" s="5" t="str">
        <f t="shared" si="13"/>
        <v>Woodstock</v>
      </c>
      <c r="S736" s="43" t="str">
        <f t="shared" si="17"/>
        <v>Documentary</v>
      </c>
    </row>
    <row r="737" spans="1:19" ht="15.75" customHeight="1" x14ac:dyDescent="0.25">
      <c r="A737" s="6" t="s">
        <v>638</v>
      </c>
      <c r="B737" s="6">
        <v>70</v>
      </c>
      <c r="C737" s="6">
        <v>94175854</v>
      </c>
      <c r="D737" s="6" t="s">
        <v>102</v>
      </c>
      <c r="E737" s="6" t="s">
        <v>2823</v>
      </c>
      <c r="F737" s="6" t="s">
        <v>2824</v>
      </c>
      <c r="G737" s="6">
        <v>60988</v>
      </c>
      <c r="H737" s="6" t="s">
        <v>2825</v>
      </c>
      <c r="I737" s="6">
        <v>199</v>
      </c>
      <c r="J737" s="6" t="s">
        <v>23</v>
      </c>
      <c r="K737" s="6" t="s">
        <v>24</v>
      </c>
      <c r="L737" s="6">
        <v>15000000</v>
      </c>
      <c r="M737" s="6">
        <v>1985</v>
      </c>
      <c r="N737" s="6">
        <v>7.8</v>
      </c>
      <c r="O737" s="4">
        <f ca="1">IFERROR(__xludf.DUMMYFUNCTION("IF(Cost_in_dollars!E737=""USD"",Cost_in_dollars!B737,Cost_in_dollars!B737 * GOOGLEFINANCE(""CURRENCY:"" &amp; Cost_in_dollars!E737 &amp; ""USD""))
"),15000000)</f>
        <v>15000000</v>
      </c>
      <c r="P737" s="4">
        <f ca="1">IFERROR(__xludf.DUMMYFUNCTION("IF(Cost_in_dollars!E737=""USD"",Cost_in_dollars!C737,Cost_in_dollars!C737 * GOOGLEFINANCE(""CURRENCY:"" &amp; Cost_in_dollars!E737 &amp; ""USD""))
"),94175854)</f>
        <v>94175854</v>
      </c>
      <c r="Q737" s="6">
        <f t="shared" ca="1" si="12"/>
        <v>79175854</v>
      </c>
      <c r="R737" s="7" t="str">
        <f t="shared" si="13"/>
        <v>The Color Purple</v>
      </c>
      <c r="S737" s="43" t="str">
        <f t="shared" si="17"/>
        <v>Drama</v>
      </c>
    </row>
    <row r="738" spans="1:19" ht="15.75" customHeight="1" x14ac:dyDescent="0.25">
      <c r="A738" s="4" t="s">
        <v>2826</v>
      </c>
      <c r="B738" s="4">
        <v>180</v>
      </c>
      <c r="C738" s="4">
        <v>73209340</v>
      </c>
      <c r="D738" s="4" t="s">
        <v>63</v>
      </c>
      <c r="E738" s="4" t="s">
        <v>2827</v>
      </c>
      <c r="F738" s="4" t="s">
        <v>2828</v>
      </c>
      <c r="G738" s="4">
        <v>101834</v>
      </c>
      <c r="H738" s="4" t="s">
        <v>2829</v>
      </c>
      <c r="I738" s="4">
        <v>628</v>
      </c>
      <c r="J738" s="4" t="s">
        <v>23</v>
      </c>
      <c r="K738" s="4" t="s">
        <v>24</v>
      </c>
      <c r="L738" s="4">
        <v>95000000</v>
      </c>
      <c r="M738" s="4">
        <v>2000</v>
      </c>
      <c r="N738" s="4">
        <v>5.7</v>
      </c>
      <c r="O738" s="4">
        <f ca="1">IFERROR(__xludf.DUMMYFUNCTION("IF(Cost_in_dollars!E738=""USD"",Cost_in_dollars!B738,Cost_in_dollars!B738 * GOOGLEFINANCE(""CURRENCY:"" &amp; Cost_in_dollars!E738 &amp; ""USD""))
"),95000000)</f>
        <v>95000000</v>
      </c>
      <c r="P738" s="4">
        <f ca="1">IFERROR(__xludf.DUMMYFUNCTION("IF(Cost_in_dollars!E738=""USD"",Cost_in_dollars!C738,Cost_in_dollars!C738 * GOOGLEFINANCE(""CURRENCY:"" &amp; Cost_in_dollars!E738 &amp; ""USD""))
"),73209340)</f>
        <v>73209340</v>
      </c>
      <c r="Q738" s="4">
        <f t="shared" ca="1" si="12"/>
        <v>-21790660</v>
      </c>
      <c r="R738" s="5" t="str">
        <f t="shared" si="13"/>
        <v>Hollow Man</v>
      </c>
      <c r="S738" s="43" t="str">
        <f t="shared" si="17"/>
        <v>Action</v>
      </c>
    </row>
    <row r="739" spans="1:19" ht="15.75" customHeight="1" x14ac:dyDescent="0.25">
      <c r="A739" s="6" t="s">
        <v>2087</v>
      </c>
      <c r="B739" s="6">
        <v>218</v>
      </c>
      <c r="C739" s="6">
        <v>76846624</v>
      </c>
      <c r="D739" s="6" t="s">
        <v>1259</v>
      </c>
      <c r="E739" s="6" t="s">
        <v>84</v>
      </c>
      <c r="F739" s="6" t="s">
        <v>2830</v>
      </c>
      <c r="G739" s="6">
        <v>21352</v>
      </c>
      <c r="H739" s="6" t="s">
        <v>2831</v>
      </c>
      <c r="I739" s="6">
        <v>131</v>
      </c>
      <c r="J739" s="6" t="s">
        <v>23</v>
      </c>
      <c r="K739" s="6" t="s">
        <v>24</v>
      </c>
      <c r="L739" s="6">
        <v>170000000</v>
      </c>
      <c r="M739" s="6">
        <v>2016</v>
      </c>
      <c r="N739" s="6">
        <v>6.4</v>
      </c>
      <c r="O739" s="4">
        <f ca="1">IFERROR(__xludf.DUMMYFUNCTION("IF(Cost_in_dollars!E739=""USD"",Cost_in_dollars!B739,Cost_in_dollars!B739 * GOOGLEFINANCE(""CURRENCY:"" &amp; Cost_in_dollars!E739 &amp; ""USD""))
"),170000000)</f>
        <v>170000000</v>
      </c>
      <c r="P739" s="4">
        <f ca="1">IFERROR(__xludf.DUMMYFUNCTION("IF(Cost_in_dollars!E739=""USD"",Cost_in_dollars!C739,Cost_in_dollars!C739 * GOOGLEFINANCE(""CURRENCY:"" &amp; Cost_in_dollars!E739 &amp; ""USD""))
"),76846624)</f>
        <v>76846624</v>
      </c>
      <c r="Q739" s="6">
        <f t="shared" ca="1" si="12"/>
        <v>-93153376</v>
      </c>
      <c r="R739" s="7" t="str">
        <f t="shared" si="13"/>
        <v>Alice Through the Looking Glass</v>
      </c>
      <c r="S739" s="43" t="str">
        <f t="shared" si="17"/>
        <v>Adventure</v>
      </c>
    </row>
    <row r="740" spans="1:19" ht="15.75" customHeight="1" x14ac:dyDescent="0.25">
      <c r="A740" s="4" t="s">
        <v>1589</v>
      </c>
      <c r="B740" s="4">
        <v>535</v>
      </c>
      <c r="C740" s="4">
        <v>13214255</v>
      </c>
      <c r="D740" s="4" t="s">
        <v>421</v>
      </c>
      <c r="E740" s="4" t="s">
        <v>305</v>
      </c>
      <c r="F740" s="4" t="s">
        <v>2832</v>
      </c>
      <c r="G740" s="4">
        <v>96233</v>
      </c>
      <c r="H740" s="4" t="s">
        <v>2833</v>
      </c>
      <c r="I740" s="4">
        <v>313</v>
      </c>
      <c r="J740" s="4" t="s">
        <v>23</v>
      </c>
      <c r="K740" s="4" t="s">
        <v>24</v>
      </c>
      <c r="L740" s="4">
        <v>11000000</v>
      </c>
      <c r="M740" s="4">
        <v>2013</v>
      </c>
      <c r="N740" s="4">
        <v>7.4</v>
      </c>
      <c r="O740" s="4">
        <f ca="1">IFERROR(__xludf.DUMMYFUNCTION("IF(Cost_in_dollars!E740=""USD"",Cost_in_dollars!B740,Cost_in_dollars!B740 * GOOGLEFINANCE(""CURRENCY:"" &amp; Cost_in_dollars!E740 &amp; ""USD""))
"),11000000)</f>
        <v>11000000</v>
      </c>
      <c r="P740" s="4">
        <f ca="1">IFERROR(__xludf.DUMMYFUNCTION("IF(Cost_in_dollars!E740=""USD"",Cost_in_dollars!C740,Cost_in_dollars!C740 * GOOGLEFINANCE(""CURRENCY:"" &amp; Cost_in_dollars!E740 &amp; ""USD""))
"),13214255)</f>
        <v>13214255</v>
      </c>
      <c r="Q740" s="4">
        <f t="shared" ca="1" si="12"/>
        <v>2214255</v>
      </c>
      <c r="R740" s="5" t="str">
        <f t="shared" si="13"/>
        <v>Inside Llewyn Davis</v>
      </c>
      <c r="S740" s="43" t="str">
        <f t="shared" si="17"/>
        <v>Drama</v>
      </c>
    </row>
    <row r="741" spans="1:19" ht="15.75" customHeight="1" x14ac:dyDescent="0.25">
      <c r="A741" s="6" t="s">
        <v>358</v>
      </c>
      <c r="B741" s="6">
        <v>197</v>
      </c>
      <c r="C741" s="6">
        <v>27154426</v>
      </c>
      <c r="D741" s="6" t="s">
        <v>116</v>
      </c>
      <c r="E741" s="6" t="s">
        <v>593</v>
      </c>
      <c r="F741" s="6" t="s">
        <v>2834</v>
      </c>
      <c r="G741" s="6">
        <v>52852</v>
      </c>
      <c r="H741" s="6" t="s">
        <v>2835</v>
      </c>
      <c r="I741" s="6">
        <v>138</v>
      </c>
      <c r="J741" s="6" t="s">
        <v>23</v>
      </c>
      <c r="K741" s="6" t="s">
        <v>24</v>
      </c>
      <c r="L741" s="6">
        <v>17000000</v>
      </c>
      <c r="M741" s="6">
        <v>2009</v>
      </c>
      <c r="N741" s="6">
        <v>6.7</v>
      </c>
      <c r="O741" s="4">
        <f ca="1">IFERROR(__xludf.DUMMYFUNCTION("IF(Cost_in_dollars!E741=""USD"",Cost_in_dollars!B741,Cost_in_dollars!B741 * GOOGLEFINANCE(""CURRENCY:"" &amp; Cost_in_dollars!E741 &amp; ""USD""))
"),17000000)</f>
        <v>17000000</v>
      </c>
      <c r="P741" s="4">
        <f ca="1">IFERROR(__xludf.DUMMYFUNCTION("IF(Cost_in_dollars!E741=""USD"",Cost_in_dollars!C741,Cost_in_dollars!C741 * GOOGLEFINANCE(""CURRENCY:"" &amp; Cost_in_dollars!E741 &amp; ""USD""))
"),27154426)</f>
        <v>27154426</v>
      </c>
      <c r="Q741" s="6">
        <f t="shared" ca="1" si="12"/>
        <v>10154426</v>
      </c>
      <c r="R741" s="7" t="str">
        <f t="shared" si="13"/>
        <v>Brooklyn's Finest</v>
      </c>
      <c r="S741" s="43" t="str">
        <f t="shared" si="17"/>
        <v>Crime</v>
      </c>
    </row>
    <row r="742" spans="1:19" ht="15.75" customHeight="1" x14ac:dyDescent="0.25">
      <c r="A742" s="4" t="s">
        <v>2836</v>
      </c>
      <c r="B742" s="4">
        <v>15</v>
      </c>
      <c r="C742" s="4">
        <v>4350774</v>
      </c>
      <c r="D742" s="4" t="s">
        <v>140</v>
      </c>
      <c r="E742" s="4" t="s">
        <v>508</v>
      </c>
      <c r="F742" s="4" t="s">
        <v>2837</v>
      </c>
      <c r="G742" s="4">
        <v>10476</v>
      </c>
      <c r="H742" s="4" t="s">
        <v>2838</v>
      </c>
      <c r="I742" s="4">
        <v>52</v>
      </c>
      <c r="J742" s="4" t="s">
        <v>23</v>
      </c>
      <c r="K742" s="4" t="s">
        <v>24</v>
      </c>
      <c r="L742" s="4">
        <v>8000000</v>
      </c>
      <c r="M742" s="4">
        <v>1994</v>
      </c>
      <c r="N742" s="4">
        <v>6.5</v>
      </c>
      <c r="O742" s="4">
        <f ca="1">IFERROR(__xludf.DUMMYFUNCTION("IF(Cost_in_dollars!E742=""USD"",Cost_in_dollars!B742,Cost_in_dollars!B742 * GOOGLEFINANCE(""CURRENCY:"" &amp; Cost_in_dollars!E742 &amp; ""USD""))
"),8000000)</f>
        <v>8000000</v>
      </c>
      <c r="P742" s="4">
        <f ca="1">IFERROR(__xludf.DUMMYFUNCTION("IF(Cost_in_dollars!E742=""USD"",Cost_in_dollars!C742,Cost_in_dollars!C742 * GOOGLEFINANCE(""CURRENCY:"" &amp; Cost_in_dollars!E742 &amp; ""USD""))
"),4350774)</f>
        <v>4350774</v>
      </c>
      <c r="Q742" s="4">
        <f t="shared" ca="1" si="12"/>
        <v>-3649226</v>
      </c>
      <c r="R742" s="5" t="str">
        <f t="shared" si="13"/>
        <v>PCU</v>
      </c>
      <c r="S742" s="43" t="str">
        <f t="shared" si="17"/>
        <v>Comedy</v>
      </c>
    </row>
    <row r="743" spans="1:19" ht="15.75" customHeight="1" x14ac:dyDescent="0.25">
      <c r="A743" s="6" t="s">
        <v>37</v>
      </c>
      <c r="B743" s="6">
        <v>249</v>
      </c>
      <c r="C743" s="6">
        <v>47034272</v>
      </c>
      <c r="D743" s="6" t="s">
        <v>2448</v>
      </c>
      <c r="E743" s="6" t="s">
        <v>2839</v>
      </c>
      <c r="F743" s="6" t="s">
        <v>2840</v>
      </c>
      <c r="G743" s="6">
        <v>25465</v>
      </c>
      <c r="H743" s="6" t="s">
        <v>2841</v>
      </c>
      <c r="I743" s="6">
        <v>190</v>
      </c>
      <c r="J743" s="6" t="s">
        <v>23</v>
      </c>
      <c r="K743" s="6" t="s">
        <v>24</v>
      </c>
      <c r="L743" s="6">
        <v>40000000</v>
      </c>
      <c r="M743" s="6">
        <v>2014</v>
      </c>
      <c r="N743" s="6">
        <v>6.9</v>
      </c>
      <c r="O743" s="4">
        <f ca="1">IFERROR(__xludf.DUMMYFUNCTION("IF(Cost_in_dollars!E743=""USD"",Cost_in_dollars!B743,Cost_in_dollars!B743 * GOOGLEFINANCE(""CURRENCY:"" &amp; Cost_in_dollars!E743 &amp; ""USD""))
"),40000000)</f>
        <v>40000000</v>
      </c>
      <c r="P743" s="4">
        <f ca="1">IFERROR(__xludf.DUMMYFUNCTION("IF(Cost_in_dollars!E743=""USD"",Cost_in_dollars!C743,Cost_in_dollars!C743 * GOOGLEFINANCE(""CURRENCY:"" &amp; Cost_in_dollars!E743 &amp; ""USD""))
"),47034272)</f>
        <v>47034272</v>
      </c>
      <c r="Q743" s="6">
        <f t="shared" ca="1" si="12"/>
        <v>7034272</v>
      </c>
      <c r="R743" s="7" t="str">
        <f t="shared" si="13"/>
        <v>Jersey Boys</v>
      </c>
      <c r="S743" s="43" t="str">
        <f t="shared" si="17"/>
        <v>Biography</v>
      </c>
    </row>
    <row r="744" spans="1:19" ht="15.75" customHeight="1" x14ac:dyDescent="0.25">
      <c r="A744" s="4" t="s">
        <v>2842</v>
      </c>
      <c r="B744" s="4">
        <v>21</v>
      </c>
      <c r="C744" s="4">
        <v>8119205</v>
      </c>
      <c r="D744" s="4" t="s">
        <v>517</v>
      </c>
      <c r="E744" s="4" t="s">
        <v>2843</v>
      </c>
      <c r="F744" s="4" t="s">
        <v>2844</v>
      </c>
      <c r="G744" s="4">
        <v>4288</v>
      </c>
      <c r="H744" s="4" t="s">
        <v>2845</v>
      </c>
      <c r="I744" s="4">
        <v>21</v>
      </c>
      <c r="J744" s="4" t="s">
        <v>23</v>
      </c>
      <c r="K744" s="4" t="s">
        <v>24</v>
      </c>
      <c r="L744" s="4">
        <v>28000000</v>
      </c>
      <c r="M744" s="4">
        <v>1997</v>
      </c>
      <c r="N744" s="4">
        <v>5.4</v>
      </c>
      <c r="O744" s="4">
        <f ca="1">IFERROR(__xludf.DUMMYFUNCTION("IF(Cost_in_dollars!E744=""USD"",Cost_in_dollars!B744,Cost_in_dollars!B744 * GOOGLEFINANCE(""CURRENCY:"" &amp; Cost_in_dollars!E744 &amp; ""USD""))
"),28000000)</f>
        <v>28000000</v>
      </c>
      <c r="P744" s="4">
        <f ca="1">IFERROR(__xludf.DUMMYFUNCTION("IF(Cost_in_dollars!E744=""USD"",Cost_in_dollars!C744,Cost_in_dollars!C744 * GOOGLEFINANCE(""CURRENCY:"" &amp; Cost_in_dollars!E744 &amp; ""USD""))
"),8119205)</f>
        <v>8119205</v>
      </c>
      <c r="Q744" s="4">
        <f t="shared" ca="1" si="12"/>
        <v>-19880795</v>
      </c>
      <c r="R744" s="5" t="str">
        <f t="shared" si="13"/>
        <v>A Simple Wish</v>
      </c>
      <c r="S744" s="43" t="str">
        <f t="shared" si="17"/>
        <v>Comedy</v>
      </c>
    </row>
    <row r="745" spans="1:19" ht="15.75" customHeight="1" x14ac:dyDescent="0.25">
      <c r="A745" s="6" t="s">
        <v>841</v>
      </c>
      <c r="B745" s="6">
        <v>108</v>
      </c>
      <c r="C745" s="6">
        <v>50300000</v>
      </c>
      <c r="D745" s="6" t="s">
        <v>477</v>
      </c>
      <c r="E745" s="6" t="s">
        <v>2846</v>
      </c>
      <c r="F745" s="6" t="s">
        <v>2847</v>
      </c>
      <c r="G745" s="6">
        <v>68565</v>
      </c>
      <c r="H745" s="6" t="s">
        <v>2848</v>
      </c>
      <c r="I745" s="6">
        <v>300</v>
      </c>
      <c r="J745" s="6" t="s">
        <v>23</v>
      </c>
      <c r="K745" s="6" t="s">
        <v>133</v>
      </c>
      <c r="L745" s="6">
        <v>30000000</v>
      </c>
      <c r="M745" s="6">
        <v>1985</v>
      </c>
      <c r="N745" s="6">
        <v>6.3</v>
      </c>
      <c r="O745" s="4">
        <f ca="1">IFERROR(__xludf.DUMMYFUNCTION("IF(Cost_in_dollars!E745=""USD"",Cost_in_dollars!B745,Cost_in_dollars!B745 * GOOGLEFINANCE(""CURRENCY:"" &amp; Cost_in_dollars!E745 &amp; ""USD""))
"),38562000)</f>
        <v>38562000</v>
      </c>
      <c r="P745" s="4">
        <f ca="1">IFERROR(__xludf.DUMMYFUNCTION("IF(Cost_in_dollars!E745=""USD"",Cost_in_dollars!C745,Cost_in_dollars!C745 * GOOGLEFINANCE(""CURRENCY:"" &amp; Cost_in_dollars!E745 &amp; ""USD""))
"),64655619.9999999)</f>
        <v>64655619.999999903</v>
      </c>
      <c r="Q745" s="6">
        <f t="shared" ca="1" si="12"/>
        <v>26093619.999999903</v>
      </c>
      <c r="R745" s="7" t="str">
        <f t="shared" si="13"/>
        <v>A View to a Kill</v>
      </c>
      <c r="S745" s="43" t="str">
        <f t="shared" si="17"/>
        <v>Action</v>
      </c>
    </row>
    <row r="746" spans="1:19" ht="15.75" customHeight="1" x14ac:dyDescent="0.25">
      <c r="A746" s="4" t="s">
        <v>2849</v>
      </c>
      <c r="B746" s="4">
        <v>290</v>
      </c>
      <c r="C746" s="4">
        <v>32000000</v>
      </c>
      <c r="D746" s="4" t="s">
        <v>93</v>
      </c>
      <c r="E746" s="4" t="s">
        <v>2850</v>
      </c>
      <c r="F746" s="4" t="s">
        <v>2851</v>
      </c>
      <c r="G746" s="4">
        <v>422432</v>
      </c>
      <c r="H746" s="4" t="s">
        <v>2852</v>
      </c>
      <c r="I746" s="4">
        <v>1040</v>
      </c>
      <c r="J746" s="4" t="s">
        <v>23</v>
      </c>
      <c r="K746" s="4" t="s">
        <v>24</v>
      </c>
      <c r="L746" s="4">
        <v>806947</v>
      </c>
      <c r="M746" s="4">
        <v>1960</v>
      </c>
      <c r="N746" s="4">
        <v>8.5</v>
      </c>
      <c r="O746" s="4">
        <f ca="1">IFERROR(__xludf.DUMMYFUNCTION("IF(Cost_in_dollars!E746=""USD"",Cost_in_dollars!B746,Cost_in_dollars!B746 * GOOGLEFINANCE(""CURRENCY:"" &amp; Cost_in_dollars!E746 &amp; ""USD""))
"),806947)</f>
        <v>806947</v>
      </c>
      <c r="P746" s="4">
        <f ca="1">IFERROR(__xludf.DUMMYFUNCTION("IF(Cost_in_dollars!E746=""USD"",Cost_in_dollars!C746,Cost_in_dollars!C746 * GOOGLEFINANCE(""CURRENCY:"" &amp; Cost_in_dollars!E746 &amp; ""USD""))
"),32000000)</f>
        <v>32000000</v>
      </c>
      <c r="Q746" s="4">
        <f t="shared" ca="1" si="12"/>
        <v>31193053</v>
      </c>
      <c r="R746" s="5" t="str">
        <f t="shared" si="13"/>
        <v>Psycho</v>
      </c>
      <c r="S746" s="43" t="str">
        <f t="shared" si="17"/>
        <v>Horror</v>
      </c>
    </row>
    <row r="747" spans="1:19" ht="15.75" customHeight="1" x14ac:dyDescent="0.25">
      <c r="A747" s="6" t="s">
        <v>1118</v>
      </c>
      <c r="B747" s="6">
        <v>117</v>
      </c>
      <c r="C747" s="6">
        <v>6047856</v>
      </c>
      <c r="D747" s="6" t="s">
        <v>504</v>
      </c>
      <c r="E747" s="6" t="s">
        <v>2853</v>
      </c>
      <c r="F747" s="6" t="s">
        <v>2854</v>
      </c>
      <c r="G747" s="6">
        <v>27536</v>
      </c>
      <c r="H747" s="6" t="s">
        <v>2855</v>
      </c>
      <c r="I747" s="6">
        <v>327</v>
      </c>
      <c r="J747" s="6" t="s">
        <v>23</v>
      </c>
      <c r="K747" s="6" t="s">
        <v>24</v>
      </c>
      <c r="L747" s="6">
        <v>8500000</v>
      </c>
      <c r="M747" s="6">
        <v>2000</v>
      </c>
      <c r="N747" s="6">
        <v>6.7</v>
      </c>
      <c r="O747" s="4">
        <f ca="1">IFERROR(__xludf.DUMMYFUNCTION("IF(Cost_in_dollars!E747=""USD"",Cost_in_dollars!B747,Cost_in_dollars!B747 * GOOGLEFINANCE(""CURRENCY:"" &amp; Cost_in_dollars!E747 &amp; ""USD""))
"),8500000)</f>
        <v>8500000</v>
      </c>
      <c r="P747" s="4">
        <f ca="1">IFERROR(__xludf.DUMMYFUNCTION("IF(Cost_in_dollars!E747=""USD"",Cost_in_dollars!C747,Cost_in_dollars!C747 * GOOGLEFINANCE(""CURRENCY:"" &amp; Cost_in_dollars!E747 &amp; ""USD""))
"),6047856)</f>
        <v>6047856</v>
      </c>
      <c r="Q747" s="6">
        <f t="shared" ca="1" si="12"/>
        <v>-2452144</v>
      </c>
      <c r="R747" s="7" t="str">
        <f t="shared" si="13"/>
        <v>The Way of the Gun</v>
      </c>
      <c r="S747" s="43" t="str">
        <f t="shared" si="17"/>
        <v>Action</v>
      </c>
    </row>
    <row r="748" spans="1:19" ht="15.75" customHeight="1" x14ac:dyDescent="0.25">
      <c r="A748" s="4" t="s">
        <v>2856</v>
      </c>
      <c r="B748" s="4">
        <v>175</v>
      </c>
      <c r="C748" s="4">
        <v>33685268</v>
      </c>
      <c r="D748" s="4" t="s">
        <v>2336</v>
      </c>
      <c r="E748" s="4" t="s">
        <v>173</v>
      </c>
      <c r="F748" s="4" t="s">
        <v>2857</v>
      </c>
      <c r="G748" s="4">
        <v>75573</v>
      </c>
      <c r="H748" s="4" t="s">
        <v>2858</v>
      </c>
      <c r="I748" s="4">
        <v>662</v>
      </c>
      <c r="J748" s="4" t="s">
        <v>23</v>
      </c>
      <c r="K748" s="4" t="s">
        <v>24</v>
      </c>
      <c r="L748" s="4">
        <v>68000000</v>
      </c>
      <c r="M748" s="4">
        <v>2003</v>
      </c>
      <c r="N748" s="4">
        <v>5.5</v>
      </c>
      <c r="O748" s="4">
        <f ca="1">IFERROR(__xludf.DUMMYFUNCTION("IF(Cost_in_dollars!E748=""USD"",Cost_in_dollars!B748,Cost_in_dollars!B748 * GOOGLEFINANCE(""CURRENCY:"" &amp; Cost_in_dollars!E748 &amp; ""USD""))
"),68000000)</f>
        <v>68000000</v>
      </c>
      <c r="P748" s="4">
        <f ca="1">IFERROR(__xludf.DUMMYFUNCTION("IF(Cost_in_dollars!E748=""USD"",Cost_in_dollars!C748,Cost_in_dollars!C748 * GOOGLEFINANCE(""CURRENCY:"" &amp; Cost_in_dollars!E748 &amp; ""USD""))
"),33685268)</f>
        <v>33685268</v>
      </c>
      <c r="Q748" s="4">
        <f t="shared" ca="1" si="12"/>
        <v>-34314732</v>
      </c>
      <c r="R748" s="5" t="str">
        <f t="shared" si="13"/>
        <v>Dreamcatcher</v>
      </c>
      <c r="S748" s="43" t="str">
        <f t="shared" si="17"/>
        <v>Drama</v>
      </c>
    </row>
    <row r="749" spans="1:19" ht="15.75" customHeight="1" x14ac:dyDescent="0.25">
      <c r="A749" s="6" t="s">
        <v>338</v>
      </c>
      <c r="B749" s="6">
        <v>351</v>
      </c>
      <c r="C749" s="6">
        <v>31501218</v>
      </c>
      <c r="D749" s="6" t="s">
        <v>623</v>
      </c>
      <c r="E749" s="6" t="s">
        <v>330</v>
      </c>
      <c r="F749" s="6" t="s">
        <v>2859</v>
      </c>
      <c r="G749" s="6">
        <v>84070</v>
      </c>
      <c r="H749" s="6" t="s">
        <v>2860</v>
      </c>
      <c r="I749" s="6">
        <v>526</v>
      </c>
      <c r="J749" s="6" t="s">
        <v>23</v>
      </c>
      <c r="K749" s="6" t="s">
        <v>24</v>
      </c>
      <c r="L749" s="6">
        <v>7500000</v>
      </c>
      <c r="M749" s="6">
        <v>2005</v>
      </c>
      <c r="N749" s="6">
        <v>7.5</v>
      </c>
      <c r="O749" s="4">
        <f ca="1">IFERROR(__xludf.DUMMYFUNCTION("IF(Cost_in_dollars!E749=""USD"",Cost_in_dollars!B749,Cost_in_dollars!B749 * GOOGLEFINANCE(""CURRENCY:"" &amp; Cost_in_dollars!E749 &amp; ""USD""))
"),7500000)</f>
        <v>7500000</v>
      </c>
      <c r="P749" s="4">
        <f ca="1">IFERROR(__xludf.DUMMYFUNCTION("IF(Cost_in_dollars!E749=""USD"",Cost_in_dollars!C749,Cost_in_dollars!C749 * GOOGLEFINANCE(""CURRENCY:"" &amp; Cost_in_dollars!E749 &amp; ""USD""))
"),31501218)</f>
        <v>31501218</v>
      </c>
      <c r="Q749" s="6">
        <f t="shared" ca="1" si="12"/>
        <v>24001218</v>
      </c>
      <c r="R749" s="7" t="str">
        <f t="shared" si="13"/>
        <v>Good Night, and Good Luck.</v>
      </c>
      <c r="S749" s="43" t="str">
        <f t="shared" si="17"/>
        <v>Biography</v>
      </c>
    </row>
    <row r="750" spans="1:19" ht="15.75" customHeight="1" x14ac:dyDescent="0.25">
      <c r="A750" s="4" t="s">
        <v>2861</v>
      </c>
      <c r="B750" s="4">
        <v>68</v>
      </c>
      <c r="C750" s="4">
        <v>25240988</v>
      </c>
      <c r="D750" s="4" t="s">
        <v>718</v>
      </c>
      <c r="E750" s="4" t="s">
        <v>2862</v>
      </c>
      <c r="F750" s="4" t="s">
        <v>2863</v>
      </c>
      <c r="G750" s="4">
        <v>12383</v>
      </c>
      <c r="H750" s="4" t="s">
        <v>2864</v>
      </c>
      <c r="I750" s="4">
        <v>50</v>
      </c>
      <c r="J750" s="4" t="s">
        <v>23</v>
      </c>
      <c r="K750" s="4" t="s">
        <v>24</v>
      </c>
      <c r="L750" s="4">
        <v>12000000</v>
      </c>
      <c r="M750" s="4">
        <v>2012</v>
      </c>
      <c r="N750" s="4">
        <v>5.9</v>
      </c>
      <c r="O750" s="4">
        <f ca="1">IFERROR(__xludf.DUMMYFUNCTION("IF(Cost_in_dollars!E750=""USD"",Cost_in_dollars!B750,Cost_in_dollars!B750 * GOOGLEFINANCE(""CURRENCY:"" &amp; Cost_in_dollars!E750 &amp; ""USD""))
"),12000000)</f>
        <v>12000000</v>
      </c>
      <c r="P750" s="4">
        <f ca="1">IFERROR(__xludf.DUMMYFUNCTION("IF(Cost_in_dollars!E750=""USD"",Cost_in_dollars!C750,Cost_in_dollars!C750 * GOOGLEFINANCE(""CURRENCY:"" &amp; Cost_in_dollars!E750 &amp; ""USD""))
"),25240988)</f>
        <v>25240988</v>
      </c>
      <c r="Q750" s="4">
        <f t="shared" ca="1" si="12"/>
        <v>13240988</v>
      </c>
      <c r="R750" s="5" t="str">
        <f t="shared" si="13"/>
        <v>Katy Perry: Part of Me</v>
      </c>
      <c r="S750" s="43" t="str">
        <f t="shared" si="17"/>
        <v>Documentary</v>
      </c>
    </row>
    <row r="751" spans="1:19" ht="15.75" customHeight="1" x14ac:dyDescent="0.25">
      <c r="A751" s="6" t="s">
        <v>2865</v>
      </c>
      <c r="B751" s="6">
        <v>74</v>
      </c>
      <c r="C751" s="6">
        <v>49526</v>
      </c>
      <c r="D751" s="6" t="s">
        <v>457</v>
      </c>
      <c r="E751" s="6" t="s">
        <v>2866</v>
      </c>
      <c r="F751" s="6" t="s">
        <v>2867</v>
      </c>
      <c r="G751" s="6">
        <v>16299</v>
      </c>
      <c r="H751" s="6" t="s">
        <v>2868</v>
      </c>
      <c r="I751" s="6">
        <v>129</v>
      </c>
      <c r="J751" s="6" t="s">
        <v>23</v>
      </c>
      <c r="K751" s="6" t="s">
        <v>24</v>
      </c>
      <c r="L751" s="6">
        <v>6800000</v>
      </c>
      <c r="M751" s="6">
        <v>2005</v>
      </c>
      <c r="N751" s="6">
        <v>7</v>
      </c>
      <c r="O751" s="4">
        <f ca="1">IFERROR(__xludf.DUMMYFUNCTION("IF(Cost_in_dollars!E751=""USD"",Cost_in_dollars!B751,Cost_in_dollars!B751 * GOOGLEFINANCE(""CURRENCY:"" &amp; Cost_in_dollars!E751 &amp; ""USD""))
"),6800000)</f>
        <v>6800000</v>
      </c>
      <c r="P751" s="4">
        <f ca="1">IFERROR(__xludf.DUMMYFUNCTION("IF(Cost_in_dollars!E751=""USD"",Cost_in_dollars!C751,Cost_in_dollars!C751 * GOOGLEFINANCE(""CURRENCY:"" &amp; Cost_in_dollars!E751 &amp; ""USD""))
"),49526)</f>
        <v>49526</v>
      </c>
      <c r="Q751" s="6">
        <f t="shared" ca="1" si="12"/>
        <v>-6750474</v>
      </c>
      <c r="R751" s="7" t="str">
        <f t="shared" si="13"/>
        <v>The Chumscrubber</v>
      </c>
      <c r="S751" s="43" t="str">
        <f t="shared" si="17"/>
        <v>Comedy</v>
      </c>
    </row>
    <row r="752" spans="1:19" ht="15.75" customHeight="1" x14ac:dyDescent="0.25">
      <c r="A752" s="4" t="s">
        <v>2869</v>
      </c>
      <c r="B752" s="4">
        <v>166</v>
      </c>
      <c r="C752" s="4">
        <v>32131830</v>
      </c>
      <c r="D752" s="4" t="s">
        <v>2870</v>
      </c>
      <c r="E752" s="4" t="s">
        <v>456</v>
      </c>
      <c r="F752" s="4" t="s">
        <v>2871</v>
      </c>
      <c r="G752" s="4">
        <v>72259</v>
      </c>
      <c r="H752" s="4" t="s">
        <v>2872</v>
      </c>
      <c r="I752" s="4">
        <v>788</v>
      </c>
      <c r="J752" s="4" t="s">
        <v>23</v>
      </c>
      <c r="K752" s="4" t="s">
        <v>24</v>
      </c>
      <c r="L752" s="4">
        <v>137000000</v>
      </c>
      <c r="M752" s="4">
        <v>2001</v>
      </c>
      <c r="N752" s="4">
        <v>6.4</v>
      </c>
      <c r="O752" s="4">
        <f ca="1">IFERROR(__xludf.DUMMYFUNCTION("IF(Cost_in_dollars!E752=""USD"",Cost_in_dollars!B752,Cost_in_dollars!B752 * GOOGLEFINANCE(""CURRENCY:"" &amp; Cost_in_dollars!E752 &amp; ""USD""))
"),137000000)</f>
        <v>137000000</v>
      </c>
      <c r="P752" s="4">
        <f ca="1">IFERROR(__xludf.DUMMYFUNCTION("IF(Cost_in_dollars!E752=""USD"",Cost_in_dollars!C752,Cost_in_dollars!C752 * GOOGLEFINANCE(""CURRENCY:"" &amp; Cost_in_dollars!E752 &amp; ""USD""))
"),32131830)</f>
        <v>32131830</v>
      </c>
      <c r="Q752" s="4">
        <f t="shared" ca="1" si="12"/>
        <v>-104868170</v>
      </c>
      <c r="R752" s="5" t="str">
        <f t="shared" si="13"/>
        <v>Final Fantasy: The Spirits Within</v>
      </c>
      <c r="S752" s="43" t="str">
        <f t="shared" si="17"/>
        <v>Action</v>
      </c>
    </row>
    <row r="753" spans="1:19" ht="15.75" customHeight="1" x14ac:dyDescent="0.25">
      <c r="A753" s="6" t="s">
        <v>2873</v>
      </c>
      <c r="B753" s="6">
        <v>432</v>
      </c>
      <c r="C753" s="6">
        <v>13401683</v>
      </c>
      <c r="D753" s="6" t="s">
        <v>851</v>
      </c>
      <c r="E753" s="6" t="s">
        <v>2874</v>
      </c>
      <c r="F753" s="6" t="s">
        <v>2875</v>
      </c>
      <c r="G753" s="6">
        <v>203458</v>
      </c>
      <c r="H753" s="6" t="s">
        <v>2876</v>
      </c>
      <c r="I753" s="6">
        <v>588</v>
      </c>
      <c r="J753" s="6" t="s">
        <v>23</v>
      </c>
      <c r="K753" s="6" t="s">
        <v>133</v>
      </c>
      <c r="L753" s="6">
        <v>35000000</v>
      </c>
      <c r="M753" s="6">
        <v>2012</v>
      </c>
      <c r="N753" s="6">
        <v>7.1</v>
      </c>
      <c r="O753" s="4">
        <f ca="1">IFERROR(__xludf.DUMMYFUNCTION("IF(Cost_in_dollars!E753=""USD"",Cost_in_dollars!B753,Cost_in_dollars!B753 * GOOGLEFINANCE(""CURRENCY:"" &amp; Cost_in_dollars!E753 &amp; ""USD""))
"),44988999.9999999)</f>
        <v>44988999.999999903</v>
      </c>
      <c r="P753" s="4">
        <f ca="1">IFERROR(__xludf.DUMMYFUNCTION("IF(Cost_in_dollars!E753=""USD"",Cost_in_dollars!C753,Cost_in_dollars!C753 * GOOGLEFINANCE(""CURRENCY:"" &amp; Cost_in_dollars!E753 &amp; ""USD""))
"),17226523.3281999)</f>
        <v>17226523.328199901</v>
      </c>
      <c r="Q753" s="6">
        <f t="shared" ca="1" si="12"/>
        <v>-27762476.671800002</v>
      </c>
      <c r="R753" s="7" t="str">
        <f t="shared" si="13"/>
        <v>Dredd</v>
      </c>
      <c r="S753" s="43" t="str">
        <f t="shared" si="17"/>
        <v>Action</v>
      </c>
    </row>
    <row r="754" spans="1:19" ht="15.75" customHeight="1" x14ac:dyDescent="0.25">
      <c r="A754" s="4" t="s">
        <v>2877</v>
      </c>
      <c r="B754" s="4">
        <v>344</v>
      </c>
      <c r="C754" s="4">
        <v>163192114</v>
      </c>
      <c r="D754" s="4" t="s">
        <v>281</v>
      </c>
      <c r="E754" s="4" t="s">
        <v>608</v>
      </c>
      <c r="F754" s="4" t="s">
        <v>2878</v>
      </c>
      <c r="G754" s="4">
        <v>229679</v>
      </c>
      <c r="H754" s="4" t="s">
        <v>2879</v>
      </c>
      <c r="I754" s="4">
        <v>637</v>
      </c>
      <c r="J754" s="4" t="s">
        <v>23</v>
      </c>
      <c r="K754" s="4" t="s">
        <v>24</v>
      </c>
      <c r="L754" s="4">
        <v>125000000</v>
      </c>
      <c r="M754" s="4">
        <v>2010</v>
      </c>
      <c r="N754" s="4">
        <v>5.8</v>
      </c>
      <c r="O754" s="4">
        <f ca="1">IFERROR(__xludf.DUMMYFUNCTION("IF(Cost_in_dollars!E754=""USD"",Cost_in_dollars!B754,Cost_in_dollars!B754 * GOOGLEFINANCE(""CURRENCY:"" &amp; Cost_in_dollars!E754 &amp; ""USD""))
"),125000000)</f>
        <v>125000000</v>
      </c>
      <c r="P754" s="4">
        <f ca="1">IFERROR(__xludf.DUMMYFUNCTION("IF(Cost_in_dollars!E754=""USD"",Cost_in_dollars!C754,Cost_in_dollars!C754 * GOOGLEFINANCE(""CURRENCY:"" &amp; Cost_in_dollars!E754 &amp; ""USD""))
"),163192114)</f>
        <v>163192114</v>
      </c>
      <c r="Q754" s="4">
        <f t="shared" ca="1" si="12"/>
        <v>38192114</v>
      </c>
      <c r="R754" s="5" t="str">
        <f t="shared" si="13"/>
        <v>Clash of the Titans</v>
      </c>
      <c r="S754" s="43" t="str">
        <f t="shared" si="17"/>
        <v>Action</v>
      </c>
    </row>
    <row r="755" spans="1:19" ht="15.75" customHeight="1" x14ac:dyDescent="0.25">
      <c r="A755" s="6" t="s">
        <v>2880</v>
      </c>
      <c r="B755" s="6">
        <v>342</v>
      </c>
      <c r="C755" s="6">
        <v>37371385</v>
      </c>
      <c r="D755" s="6" t="s">
        <v>649</v>
      </c>
      <c r="E755" s="6" t="s">
        <v>2881</v>
      </c>
      <c r="F755" s="6" t="s">
        <v>2882</v>
      </c>
      <c r="G755" s="6">
        <v>192462</v>
      </c>
      <c r="H755" s="6" t="s">
        <v>2883</v>
      </c>
      <c r="I755" s="6">
        <v>334</v>
      </c>
      <c r="J755" s="6" t="s">
        <v>23</v>
      </c>
      <c r="K755" s="6" t="s">
        <v>24</v>
      </c>
      <c r="L755" s="6">
        <v>40000000</v>
      </c>
      <c r="M755" s="6">
        <v>2011</v>
      </c>
      <c r="N755" s="6">
        <v>7</v>
      </c>
      <c r="O755" s="4">
        <f ca="1">IFERROR(__xludf.DUMMYFUNCTION("IF(Cost_in_dollars!E755=""USD"",Cost_in_dollars!B755,Cost_in_dollars!B755 * GOOGLEFINANCE(""CURRENCY:"" &amp; Cost_in_dollars!E755 &amp; ""USD""))
"),40000000)</f>
        <v>40000000</v>
      </c>
      <c r="P755" s="4">
        <f ca="1">IFERROR(__xludf.DUMMYFUNCTION("IF(Cost_in_dollars!E755=""USD"",Cost_in_dollars!C755,Cost_in_dollars!C755 * GOOGLEFINANCE(""CURRENCY:"" &amp; Cost_in_dollars!E755 &amp; ""USD""))
"),37371385)</f>
        <v>37371385</v>
      </c>
      <c r="Q755" s="6">
        <f t="shared" ca="1" si="12"/>
        <v>-2628615</v>
      </c>
      <c r="R755" s="7" t="str">
        <f t="shared" si="13"/>
        <v>Paul</v>
      </c>
      <c r="S755" s="43" t="str">
        <f t="shared" si="17"/>
        <v>Adventure</v>
      </c>
    </row>
    <row r="756" spans="1:19" ht="15.75" customHeight="1" x14ac:dyDescent="0.25">
      <c r="A756" s="4" t="s">
        <v>1050</v>
      </c>
      <c r="B756" s="4">
        <v>24</v>
      </c>
      <c r="C756" s="4">
        <v>52528330</v>
      </c>
      <c r="D756" s="4" t="s">
        <v>457</v>
      </c>
      <c r="E756" s="4" t="s">
        <v>1814</v>
      </c>
      <c r="F756" s="4" t="s">
        <v>2884</v>
      </c>
      <c r="G756" s="4">
        <v>4265</v>
      </c>
      <c r="H756" s="4" t="s">
        <v>2885</v>
      </c>
      <c r="I756" s="4">
        <v>27</v>
      </c>
      <c r="J756" s="4" t="s">
        <v>23</v>
      </c>
      <c r="K756" s="4" t="s">
        <v>24</v>
      </c>
      <c r="L756" s="4">
        <v>25000000</v>
      </c>
      <c r="M756" s="4">
        <v>2013</v>
      </c>
      <c r="N756" s="4">
        <v>4.7</v>
      </c>
      <c r="O756" s="4">
        <f ca="1">IFERROR(__xludf.DUMMYFUNCTION("IF(Cost_in_dollars!E756=""USD"",Cost_in_dollars!B756,Cost_in_dollars!B756 * GOOGLEFINANCE(""CURRENCY:"" &amp; Cost_in_dollars!E756 &amp; ""USD""))
"),25000000)</f>
        <v>25000000</v>
      </c>
      <c r="P756" s="4">
        <f ca="1">IFERROR(__xludf.DUMMYFUNCTION("IF(Cost_in_dollars!E756=""USD"",Cost_in_dollars!C756,Cost_in_dollars!C756 * GOOGLEFINANCE(""CURRENCY:"" &amp; Cost_in_dollars!E756 &amp; ""USD""))
"),52528330)</f>
        <v>52528330</v>
      </c>
      <c r="Q756" s="4">
        <f t="shared" ca="1" si="12"/>
        <v>27528330</v>
      </c>
      <c r="R756" s="5" t="str">
        <f t="shared" si="13"/>
        <v>A Madea Christmas</v>
      </c>
      <c r="S756" s="43" t="str">
        <f t="shared" si="17"/>
        <v>Comedy</v>
      </c>
    </row>
    <row r="757" spans="1:19" ht="15.75" customHeight="1" x14ac:dyDescent="0.25">
      <c r="A757" s="6" t="s">
        <v>2886</v>
      </c>
      <c r="B757" s="6">
        <v>88</v>
      </c>
      <c r="C757" s="6">
        <v>3895664</v>
      </c>
      <c r="D757" s="6" t="s">
        <v>457</v>
      </c>
      <c r="E757" s="6" t="s">
        <v>1461</v>
      </c>
      <c r="F757" s="6" t="s">
        <v>2887</v>
      </c>
      <c r="G757" s="6">
        <v>34383</v>
      </c>
      <c r="H757" s="6" t="s">
        <v>2888</v>
      </c>
      <c r="I757" s="6">
        <v>149</v>
      </c>
      <c r="J757" s="6" t="s">
        <v>661</v>
      </c>
      <c r="K757" s="6" t="s">
        <v>611</v>
      </c>
      <c r="L757" s="6">
        <v>5300000</v>
      </c>
      <c r="M757" s="6">
        <v>2002</v>
      </c>
      <c r="N757" s="6">
        <v>7.3</v>
      </c>
      <c r="O757" s="4">
        <f ca="1">IFERROR(__xludf.DUMMYFUNCTION("IF(Cost_in_dollars!E757=""USD"",Cost_in_dollars!B757,Cost_in_dollars!B757 * GOOGLEFINANCE(""CURRENCY:"" &amp; Cost_in_dollars!E757 &amp; ""USD""))
"),5749122)</f>
        <v>5749122</v>
      </c>
      <c r="P757" s="4">
        <f ca="1">IFERROR(__xludf.DUMMYFUNCTION("IF(Cost_in_dollars!E757=""USD"",Cost_in_dollars!C757,Cost_in_dollars!C757 * GOOGLEFINANCE(""CURRENCY:"" &amp; Cost_in_dollars!E757 &amp; ""USD""))
"),4225782.56736)</f>
        <v>4225782.5673599998</v>
      </c>
      <c r="Q757" s="6">
        <f t="shared" ca="1" si="12"/>
        <v>-1523339.4326400002</v>
      </c>
      <c r="R757" s="7" t="str">
        <f t="shared" si="13"/>
        <v>L'auberge espagnole</v>
      </c>
      <c r="S757" s="43" t="str">
        <f t="shared" si="17"/>
        <v>Comedy</v>
      </c>
    </row>
    <row r="758" spans="1:19" ht="15.75" customHeight="1" x14ac:dyDescent="0.25">
      <c r="A758" s="4" t="s">
        <v>272</v>
      </c>
      <c r="B758" s="4">
        <v>77</v>
      </c>
      <c r="C758" s="4">
        <v>26082914</v>
      </c>
      <c r="D758" s="4" t="s">
        <v>714</v>
      </c>
      <c r="E758" s="4" t="s">
        <v>2889</v>
      </c>
      <c r="F758" s="4" t="s">
        <v>2890</v>
      </c>
      <c r="G758" s="4">
        <v>51349</v>
      </c>
      <c r="H758" s="4" t="s">
        <v>2891</v>
      </c>
      <c r="I758" s="4">
        <v>213</v>
      </c>
      <c r="J758" s="4" t="s">
        <v>23</v>
      </c>
      <c r="K758" s="4" t="s">
        <v>24</v>
      </c>
      <c r="L758" s="4">
        <v>87000000</v>
      </c>
      <c r="M758" s="4">
        <v>2005</v>
      </c>
      <c r="N758" s="4">
        <v>4.3</v>
      </c>
      <c r="O758" s="4">
        <f ca="1">IFERROR(__xludf.DUMMYFUNCTION("IF(Cost_in_dollars!E758=""USD"",Cost_in_dollars!B758,Cost_in_dollars!B758 * GOOGLEFINANCE(""CURRENCY:"" &amp; Cost_in_dollars!E758 &amp; ""USD""))
"),87000000)</f>
        <v>87000000</v>
      </c>
      <c r="P758" s="4">
        <f ca="1">IFERROR(__xludf.DUMMYFUNCTION("IF(Cost_in_dollars!E758=""USD"",Cost_in_dollars!C758,Cost_in_dollars!C758 * GOOGLEFINANCE(""CURRENCY:"" &amp; Cost_in_dollars!E758 &amp; ""USD""))
"),26082914)</f>
        <v>26082914</v>
      </c>
      <c r="Q758" s="4">
        <f t="shared" ca="1" si="12"/>
        <v>-60917086</v>
      </c>
      <c r="R758" s="5" t="str">
        <f t="shared" si="13"/>
        <v>xXx: State of the Union</v>
      </c>
      <c r="S758" s="43" t="str">
        <f t="shared" si="17"/>
        <v>Action</v>
      </c>
    </row>
    <row r="759" spans="1:19" ht="15.75" customHeight="1" x14ac:dyDescent="0.25">
      <c r="A759" s="6" t="s">
        <v>2892</v>
      </c>
      <c r="B759" s="6">
        <v>363</v>
      </c>
      <c r="C759" s="6">
        <v>1028658</v>
      </c>
      <c r="D759" s="6" t="s">
        <v>314</v>
      </c>
      <c r="E759" s="6" t="s">
        <v>2466</v>
      </c>
      <c r="F759" s="6" t="s">
        <v>2893</v>
      </c>
      <c r="G759" s="6">
        <v>118684</v>
      </c>
      <c r="H759" s="6" t="s">
        <v>2894</v>
      </c>
      <c r="I759" s="6">
        <v>447</v>
      </c>
      <c r="J759" s="6" t="s">
        <v>23</v>
      </c>
      <c r="K759" s="6" t="s">
        <v>1111</v>
      </c>
      <c r="L759" s="6">
        <v>3000000</v>
      </c>
      <c r="M759" s="6">
        <v>2010</v>
      </c>
      <c r="N759" s="6">
        <v>7</v>
      </c>
      <c r="O759" s="4">
        <f ca="1">IFERROR(__xludf.DUMMYFUNCTION("IF(Cost_in_dollars!E759=""USD"",Cost_in_dollars!B759,Cost_in_dollars!B759 * GOOGLEFINANCE(""CURRENCY:"" &amp; Cost_in_dollars!E759 &amp; ""USD""))
"),3254220)</f>
        <v>3254220</v>
      </c>
      <c r="P759" s="4">
        <f ca="1">IFERROR(__xludf.DUMMYFUNCTION("IF(Cost_in_dollars!E759=""USD"",Cost_in_dollars!C759,Cost_in_dollars!C759 * GOOGLEFINANCE(""CURRENCY:"" &amp; Cost_in_dollars!E759 &amp; ""USD""))
"),1115826.47892)</f>
        <v>1115826.4789199999</v>
      </c>
      <c r="Q759" s="6">
        <f t="shared" ca="1" si="12"/>
        <v>-2138393.5210800003</v>
      </c>
      <c r="R759" s="7" t="str">
        <f t="shared" si="13"/>
        <v>Buried</v>
      </c>
      <c r="S759" s="43" t="str">
        <f t="shared" si="17"/>
        <v>Drama</v>
      </c>
    </row>
    <row r="760" spans="1:19" ht="15.75" customHeight="1" x14ac:dyDescent="0.25">
      <c r="A760" s="4" t="s">
        <v>2586</v>
      </c>
      <c r="B760" s="4">
        <v>276</v>
      </c>
      <c r="C760" s="4">
        <v>47105085</v>
      </c>
      <c r="D760" s="4" t="s">
        <v>53</v>
      </c>
      <c r="E760" s="4" t="s">
        <v>330</v>
      </c>
      <c r="F760" s="4" t="s">
        <v>2895</v>
      </c>
      <c r="G760" s="4">
        <v>136973</v>
      </c>
      <c r="H760" s="4" t="s">
        <v>2896</v>
      </c>
      <c r="I760" s="4">
        <v>275</v>
      </c>
      <c r="J760" s="4" t="s">
        <v>23</v>
      </c>
      <c r="K760" s="4" t="s">
        <v>24</v>
      </c>
      <c r="L760" s="4">
        <v>50000000</v>
      </c>
      <c r="M760" s="4">
        <v>2014</v>
      </c>
      <c r="N760" s="4">
        <v>7.4</v>
      </c>
      <c r="O760" s="4">
        <f ca="1">IFERROR(__xludf.DUMMYFUNCTION("IF(Cost_in_dollars!E760=""USD"",Cost_in_dollars!B760,Cost_in_dollars!B760 * GOOGLEFINANCE(""CURRENCY:"" &amp; Cost_in_dollars!E760 &amp; ""USD""))
"),50000000)</f>
        <v>50000000</v>
      </c>
      <c r="P760" s="4">
        <f ca="1">IFERROR(__xludf.DUMMYFUNCTION("IF(Cost_in_dollars!E760=""USD"",Cost_in_dollars!C760,Cost_in_dollars!C760 * GOOGLEFINANCE(""CURRENCY:"" &amp; Cost_in_dollars!E760 &amp; ""USD""))
"),47105085)</f>
        <v>47105085</v>
      </c>
      <c r="Q760" s="4">
        <f t="shared" ca="1" si="12"/>
        <v>-2894915</v>
      </c>
      <c r="R760" s="5" t="str">
        <f t="shared" si="13"/>
        <v>The Judge</v>
      </c>
      <c r="S760" s="43" t="str">
        <f t="shared" si="17"/>
        <v>Crime</v>
      </c>
    </row>
    <row r="761" spans="1:19" ht="15.75" customHeight="1" x14ac:dyDescent="0.25">
      <c r="A761" s="6" t="s">
        <v>2897</v>
      </c>
      <c r="B761" s="6">
        <v>133</v>
      </c>
      <c r="C761" s="6">
        <v>38176108</v>
      </c>
      <c r="D761" s="6" t="s">
        <v>162</v>
      </c>
      <c r="E761" s="6" t="s">
        <v>767</v>
      </c>
      <c r="F761" s="6" t="s">
        <v>2898</v>
      </c>
      <c r="G761" s="6">
        <v>222099</v>
      </c>
      <c r="H761" s="6" t="s">
        <v>2899</v>
      </c>
      <c r="I761" s="6">
        <v>549</v>
      </c>
      <c r="J761" s="6" t="s">
        <v>23</v>
      </c>
      <c r="K761" s="6" t="s">
        <v>24</v>
      </c>
      <c r="L761" s="6">
        <v>16000000</v>
      </c>
      <c r="M761" s="6">
        <v>1999</v>
      </c>
      <c r="N761" s="6">
        <v>7.2</v>
      </c>
      <c r="O761" s="4">
        <f ca="1">IFERROR(__xludf.DUMMYFUNCTION("IF(Cost_in_dollars!E761=""USD"",Cost_in_dollars!B761,Cost_in_dollars!B761 * GOOGLEFINANCE(""CURRENCY:"" &amp; Cost_in_dollars!E761 &amp; ""USD""))
"),16000000)</f>
        <v>16000000</v>
      </c>
      <c r="P761" s="4">
        <f ca="1">IFERROR(__xludf.DUMMYFUNCTION("IF(Cost_in_dollars!E761=""USD"",Cost_in_dollars!C761,Cost_in_dollars!C761 * GOOGLEFINANCE(""CURRENCY:"" &amp; Cost_in_dollars!E761 &amp; ""USD""))
"),38176108)</f>
        <v>38176108</v>
      </c>
      <c r="Q761" s="6">
        <f t="shared" ca="1" si="12"/>
        <v>22176108</v>
      </c>
      <c r="R761" s="7" t="str">
        <f t="shared" si="13"/>
        <v>10 Things I Hate About You</v>
      </c>
      <c r="S761" s="43" t="str">
        <f t="shared" si="17"/>
        <v>Comedy</v>
      </c>
    </row>
    <row r="762" spans="1:19" ht="15.75" customHeight="1" x14ac:dyDescent="0.25">
      <c r="A762" s="4" t="s">
        <v>2900</v>
      </c>
      <c r="B762" s="4">
        <v>18</v>
      </c>
      <c r="C762" s="4">
        <v>20186</v>
      </c>
      <c r="D762" s="4" t="s">
        <v>140</v>
      </c>
      <c r="E762" s="4" t="s">
        <v>2901</v>
      </c>
      <c r="F762" s="4" t="s">
        <v>2902</v>
      </c>
      <c r="G762" s="4">
        <v>6025</v>
      </c>
      <c r="H762" s="4" t="s">
        <v>2903</v>
      </c>
      <c r="I762" s="4">
        <v>15</v>
      </c>
      <c r="J762" s="4" t="s">
        <v>23</v>
      </c>
      <c r="K762" s="4" t="s">
        <v>24</v>
      </c>
      <c r="L762" s="4">
        <v>930000</v>
      </c>
      <c r="M762" s="4">
        <v>2011</v>
      </c>
      <c r="N762" s="4">
        <v>5.7</v>
      </c>
      <c r="O762" s="4">
        <f ca="1">IFERROR(__xludf.DUMMYFUNCTION("IF(Cost_in_dollars!E762=""USD"",Cost_in_dollars!B762,Cost_in_dollars!B762 * GOOGLEFINANCE(""CURRENCY:"" &amp; Cost_in_dollars!E762 &amp; ""USD""))
"),930000)</f>
        <v>930000</v>
      </c>
      <c r="P762" s="4">
        <f ca="1">IFERROR(__xludf.DUMMYFUNCTION("IF(Cost_in_dollars!E762=""USD"",Cost_in_dollars!C762,Cost_in_dollars!C762 * GOOGLEFINANCE(""CURRENCY:"" &amp; Cost_in_dollars!E762 &amp; ""USD""))
"),20186)</f>
        <v>20186</v>
      </c>
      <c r="Q762" s="4">
        <f t="shared" ca="1" si="12"/>
        <v>-909814</v>
      </c>
      <c r="R762" s="5" t="str">
        <f t="shared" si="13"/>
        <v>L!fe Happens</v>
      </c>
      <c r="S762" s="43" t="str">
        <f t="shared" si="17"/>
        <v>Comedy</v>
      </c>
    </row>
    <row r="763" spans="1:19" ht="15.75" customHeight="1" x14ac:dyDescent="0.25">
      <c r="A763" s="6" t="s">
        <v>2904</v>
      </c>
      <c r="B763" s="6">
        <v>65</v>
      </c>
      <c r="C763" s="6">
        <v>30084</v>
      </c>
      <c r="D763" s="6" t="s">
        <v>457</v>
      </c>
      <c r="E763" s="6" t="s">
        <v>2905</v>
      </c>
      <c r="F763" s="6" t="s">
        <v>2906</v>
      </c>
      <c r="G763" s="6">
        <v>5507</v>
      </c>
      <c r="H763" s="6" t="s">
        <v>2907</v>
      </c>
      <c r="I763" s="6">
        <v>23</v>
      </c>
      <c r="J763" s="6" t="s">
        <v>23</v>
      </c>
      <c r="K763" s="6" t="s">
        <v>24</v>
      </c>
      <c r="L763" s="6">
        <v>70000</v>
      </c>
      <c r="M763" s="6">
        <v>2014</v>
      </c>
      <c r="N763" s="6">
        <v>5.6</v>
      </c>
      <c r="O763" s="4">
        <f ca="1">IFERROR(__xludf.DUMMYFUNCTION("IF(Cost_in_dollars!E763=""USD"",Cost_in_dollars!B763,Cost_in_dollars!B763 * GOOGLEFINANCE(""CURRENCY:"" &amp; Cost_in_dollars!E763 &amp; ""USD""))
"),70000)</f>
        <v>70000</v>
      </c>
      <c r="P763" s="4">
        <f ca="1">IFERROR(__xludf.DUMMYFUNCTION("IF(Cost_in_dollars!E763=""USD"",Cost_in_dollars!C763,Cost_in_dollars!C763 * GOOGLEFINANCE(""CURRENCY:"" &amp; Cost_in_dollars!E763 &amp; ""USD""))
"),30084)</f>
        <v>30084</v>
      </c>
      <c r="Q763" s="6">
        <f t="shared" ca="1" si="12"/>
        <v>-39916</v>
      </c>
      <c r="R763" s="7" t="str">
        <f t="shared" si="13"/>
        <v>Happy Christmas</v>
      </c>
      <c r="S763" s="43" t="str">
        <f t="shared" si="17"/>
        <v>Comedy</v>
      </c>
    </row>
    <row r="764" spans="1:19" ht="15.75" customHeight="1" x14ac:dyDescent="0.25">
      <c r="A764" s="4" t="s">
        <v>2908</v>
      </c>
      <c r="B764" s="4">
        <v>220</v>
      </c>
      <c r="C764" s="4">
        <v>32453345</v>
      </c>
      <c r="D764" s="4" t="s">
        <v>958</v>
      </c>
      <c r="E764" s="4" t="s">
        <v>2909</v>
      </c>
      <c r="F764" s="4" t="s">
        <v>2910</v>
      </c>
      <c r="G764" s="4">
        <v>31791</v>
      </c>
      <c r="H764" s="4" t="s">
        <v>2911</v>
      </c>
      <c r="I764" s="4">
        <v>155</v>
      </c>
      <c r="J764" s="4" t="s">
        <v>23</v>
      </c>
      <c r="K764" s="4" t="s">
        <v>24</v>
      </c>
      <c r="L764" s="4">
        <v>5000000</v>
      </c>
      <c r="M764" s="4">
        <v>2014</v>
      </c>
      <c r="N764" s="4">
        <v>5</v>
      </c>
      <c r="O764" s="4">
        <f ca="1">IFERROR(__xludf.DUMMYFUNCTION("IF(Cost_in_dollars!E764=""USD"",Cost_in_dollars!B764,Cost_in_dollars!B764 * GOOGLEFINANCE(""CURRENCY:"" &amp; Cost_in_dollars!E764 &amp; ""USD""))
"),5000000)</f>
        <v>5000000</v>
      </c>
      <c r="P764" s="4">
        <f ca="1">IFERROR(__xludf.DUMMYFUNCTION("IF(Cost_in_dollars!E764=""USD"",Cost_in_dollars!C764,Cost_in_dollars!C764 * GOOGLEFINANCE(""CURRENCY:"" &amp; Cost_in_dollars!E764 &amp; ""USD""))
"),32453345)</f>
        <v>32453345</v>
      </c>
      <c r="Q764" s="4">
        <f t="shared" ca="1" si="12"/>
        <v>27453345</v>
      </c>
      <c r="R764" s="5" t="str">
        <f t="shared" si="13"/>
        <v>Paranormal Activity: The Marked Ones</v>
      </c>
      <c r="S764" s="43" t="str">
        <f t="shared" si="17"/>
        <v>Fantasy</v>
      </c>
    </row>
    <row r="765" spans="1:19" ht="15.75" customHeight="1" x14ac:dyDescent="0.25">
      <c r="A765" s="6" t="s">
        <v>2912</v>
      </c>
      <c r="B765" s="6">
        <v>28</v>
      </c>
      <c r="C765" s="6">
        <v>1064277</v>
      </c>
      <c r="D765" s="6" t="s">
        <v>2913</v>
      </c>
      <c r="E765" s="6" t="s">
        <v>1889</v>
      </c>
      <c r="F765" s="6" t="s">
        <v>2914</v>
      </c>
      <c r="G765" s="6">
        <v>14015</v>
      </c>
      <c r="H765" s="6" t="s">
        <v>2915</v>
      </c>
      <c r="I765" s="6">
        <v>83</v>
      </c>
      <c r="J765" s="6" t="s">
        <v>23</v>
      </c>
      <c r="K765" s="6" t="s">
        <v>24</v>
      </c>
      <c r="L765" s="6">
        <v>20000000</v>
      </c>
      <c r="M765" s="6">
        <v>2012</v>
      </c>
      <c r="N765" s="6">
        <v>6.7</v>
      </c>
      <c r="O765" s="4">
        <f ca="1">IFERROR(__xludf.DUMMYFUNCTION("IF(Cost_in_dollars!E765=""USD"",Cost_in_dollars!B765,Cost_in_dollars!B765 * GOOGLEFINANCE(""CURRENCY:"" &amp; Cost_in_dollars!E765 &amp; ""USD""))
"),20000000)</f>
        <v>20000000</v>
      </c>
      <c r="P765" s="4">
        <f ca="1">IFERROR(__xludf.DUMMYFUNCTION("IF(Cost_in_dollars!E765=""USD"",Cost_in_dollars!C765,Cost_in_dollars!C765 * GOOGLEFINANCE(""CURRENCY:"" &amp; Cost_in_dollars!E765 &amp; ""USD""))
"),1064277)</f>
        <v>1064277</v>
      </c>
      <c r="Q765" s="6">
        <f t="shared" ca="1" si="12"/>
        <v>-18935723</v>
      </c>
      <c r="R765" s="7" t="str">
        <f t="shared" si="13"/>
        <v>The Oogieloves in the Big Balloon Adventure</v>
      </c>
      <c r="S765" s="43" t="str">
        <f t="shared" si="17"/>
        <v>Adventure</v>
      </c>
    </row>
    <row r="766" spans="1:19" ht="15.75" customHeight="1" x14ac:dyDescent="0.25">
      <c r="A766" s="4" t="s">
        <v>2916</v>
      </c>
      <c r="B766" s="4">
        <v>176</v>
      </c>
      <c r="C766" s="4">
        <v>85911262</v>
      </c>
      <c r="D766" s="4" t="s">
        <v>2917</v>
      </c>
      <c r="E766" s="4" t="s">
        <v>2918</v>
      </c>
      <c r="F766" s="4" t="s">
        <v>2919</v>
      </c>
      <c r="G766" s="4">
        <v>24735</v>
      </c>
      <c r="H766" s="4" t="s">
        <v>2920</v>
      </c>
      <c r="I766" s="4">
        <v>213</v>
      </c>
      <c r="J766" s="4" t="s">
        <v>23</v>
      </c>
      <c r="K766" s="4" t="s">
        <v>24</v>
      </c>
      <c r="L766" s="4">
        <v>65000000</v>
      </c>
      <c r="M766" s="4">
        <v>2014</v>
      </c>
      <c r="N766" s="4">
        <v>5.2</v>
      </c>
      <c r="O766" s="4">
        <f ca="1">IFERROR(__xludf.DUMMYFUNCTION("IF(Cost_in_dollars!E766=""USD"",Cost_in_dollars!B766,Cost_in_dollars!B766 * GOOGLEFINANCE(""CURRENCY:"" &amp; Cost_in_dollars!E766 &amp; ""USD""))
"),65000000)</f>
        <v>65000000</v>
      </c>
      <c r="P766" s="4">
        <f ca="1">IFERROR(__xludf.DUMMYFUNCTION("IF(Cost_in_dollars!E766=""USD"",Cost_in_dollars!C766,Cost_in_dollars!C766 * GOOGLEFINANCE(""CURRENCY:"" &amp; Cost_in_dollars!E766 &amp; ""USD""))
"),85911262)</f>
        <v>85911262</v>
      </c>
      <c r="Q766" s="4">
        <f t="shared" ca="1" si="12"/>
        <v>20911262</v>
      </c>
      <c r="R766" s="5" t="str">
        <f t="shared" si="13"/>
        <v>Annie</v>
      </c>
      <c r="S766" s="43" t="str">
        <f t="shared" si="17"/>
        <v>Comedy</v>
      </c>
    </row>
    <row r="767" spans="1:19" ht="15.75" customHeight="1" x14ac:dyDescent="0.25">
      <c r="A767" s="6" t="s">
        <v>975</v>
      </c>
      <c r="B767" s="6">
        <v>104</v>
      </c>
      <c r="C767" s="6">
        <v>138614544</v>
      </c>
      <c r="D767" s="6" t="s">
        <v>860</v>
      </c>
      <c r="E767" s="6" t="s">
        <v>2921</v>
      </c>
      <c r="F767" s="6" t="s">
        <v>2922</v>
      </c>
      <c r="G767" s="6">
        <v>75152</v>
      </c>
      <c r="H767" s="6" t="s">
        <v>2923</v>
      </c>
      <c r="I767" s="6">
        <v>288</v>
      </c>
      <c r="J767" s="6" t="s">
        <v>23</v>
      </c>
      <c r="K767" s="6" t="s">
        <v>24</v>
      </c>
      <c r="L767" s="6">
        <v>40000000</v>
      </c>
      <c r="M767" s="6">
        <v>2003</v>
      </c>
      <c r="N767" s="6">
        <v>5.8</v>
      </c>
      <c r="O767" s="4">
        <f ca="1">IFERROR(__xludf.DUMMYFUNCTION("IF(Cost_in_dollars!E767=""USD"",Cost_in_dollars!B767,Cost_in_dollars!B767 * GOOGLEFINANCE(""CURRENCY:"" &amp; Cost_in_dollars!E767 &amp; ""USD""))
"),40000000)</f>
        <v>40000000</v>
      </c>
      <c r="P767" s="4">
        <f ca="1">IFERROR(__xludf.DUMMYFUNCTION("IF(Cost_in_dollars!E767=""USD"",Cost_in_dollars!C767,Cost_in_dollars!C767 * GOOGLEFINANCE(""CURRENCY:"" &amp; Cost_in_dollars!E767 &amp; ""USD""))
"),138614544)</f>
        <v>138614544</v>
      </c>
      <c r="Q767" s="6">
        <f t="shared" ref="Q767:Q1021" ca="1" si="18">P767-O767</f>
        <v>98614544</v>
      </c>
      <c r="R767" s="7" t="str">
        <f t="shared" ref="R767:R1021" si="19">LEFT(F767,LEN(F767)-2)</f>
        <v>Cheaper by the Dozen</v>
      </c>
      <c r="S767" s="43" t="str">
        <f t="shared" si="17"/>
        <v>Comedy</v>
      </c>
    </row>
    <row r="768" spans="1:19" ht="15.75" customHeight="1" x14ac:dyDescent="0.25">
      <c r="A768" s="4" t="s">
        <v>239</v>
      </c>
      <c r="B768" s="4">
        <v>64</v>
      </c>
      <c r="C768" s="4">
        <v>1666262</v>
      </c>
      <c r="D768" s="4" t="s">
        <v>2924</v>
      </c>
      <c r="E768" s="4" t="s">
        <v>2925</v>
      </c>
      <c r="F768" s="4" t="s">
        <v>2926</v>
      </c>
      <c r="G768" s="4">
        <v>5321</v>
      </c>
      <c r="H768" s="4" t="s">
        <v>2927</v>
      </c>
      <c r="I768" s="4">
        <v>78</v>
      </c>
      <c r="J768" s="4" t="s">
        <v>23</v>
      </c>
      <c r="K768" s="4" t="s">
        <v>133</v>
      </c>
      <c r="L768" s="4">
        <v>16000000</v>
      </c>
      <c r="M768" s="4">
        <v>2005</v>
      </c>
      <c r="N768" s="4">
        <v>6.7</v>
      </c>
      <c r="O768" s="4">
        <f ca="1">IFERROR(__xludf.DUMMYFUNCTION("IF(Cost_in_dollars!E768=""USD"",Cost_in_dollars!B768,Cost_in_dollars!B768 * GOOGLEFINANCE(""CURRENCY:"" &amp; Cost_in_dollars!E768 &amp; ""USD""))
"),20566399.9999999)</f>
        <v>20566399.999999899</v>
      </c>
      <c r="P768" s="4">
        <f ca="1">IFERROR(__xludf.DUMMYFUNCTION("IF(Cost_in_dollars!E768=""USD"",Cost_in_dollars!C768,Cost_in_dollars!C768 * GOOGLEFINANCE(""CURRENCY:"" &amp; Cost_in_dollars!E768 &amp; ""USD""))
"),2141813.17479999)</f>
        <v>2141813.1747999899</v>
      </c>
      <c r="Q768" s="4">
        <f t="shared" ca="1" si="18"/>
        <v>-18424586.82519991</v>
      </c>
      <c r="R768" s="5" t="str">
        <f t="shared" si="19"/>
        <v>The White Countess</v>
      </c>
      <c r="S768" s="43" t="str">
        <f t="shared" si="17"/>
        <v>Drama</v>
      </c>
    </row>
    <row r="769" spans="1:19" ht="15.75" customHeight="1" x14ac:dyDescent="0.25">
      <c r="A769" s="6" t="s">
        <v>2928</v>
      </c>
      <c r="B769" s="6">
        <v>474</v>
      </c>
      <c r="C769" s="6">
        <v>89732035</v>
      </c>
      <c r="D769" s="6" t="s">
        <v>188</v>
      </c>
      <c r="E769" s="6" t="s">
        <v>881</v>
      </c>
      <c r="F769" s="6" t="s">
        <v>2929</v>
      </c>
      <c r="G769" s="6">
        <v>188457</v>
      </c>
      <c r="H769" s="6" t="s">
        <v>2930</v>
      </c>
      <c r="I769" s="6">
        <v>867</v>
      </c>
      <c r="J769" s="6" t="s">
        <v>23</v>
      </c>
      <c r="K769" s="6" t="s">
        <v>24</v>
      </c>
      <c r="L769" s="6">
        <v>155000000</v>
      </c>
      <c r="M769" s="6">
        <v>2015</v>
      </c>
      <c r="N769" s="6">
        <v>6.6</v>
      </c>
      <c r="O769" s="4">
        <f ca="1">IFERROR(__xludf.DUMMYFUNCTION("IF(Cost_in_dollars!E769=""USD"",Cost_in_dollars!B769,Cost_in_dollars!B769 * GOOGLEFINANCE(""CURRENCY:"" &amp; Cost_in_dollars!E769 &amp; ""USD""))
"),155000000)</f>
        <v>155000000</v>
      </c>
      <c r="P769" s="4">
        <f ca="1">IFERROR(__xludf.DUMMYFUNCTION("IF(Cost_in_dollars!E769=""USD"",Cost_in_dollars!C769,Cost_in_dollars!C769 * GOOGLEFINANCE(""CURRENCY:"" &amp; Cost_in_dollars!E769 &amp; ""USD""))
"),89732035)</f>
        <v>89732035</v>
      </c>
      <c r="Q769" s="6">
        <f t="shared" ca="1" si="18"/>
        <v>-65267965</v>
      </c>
      <c r="R769" s="7" t="str">
        <f t="shared" si="19"/>
        <v>Terminator Genisys</v>
      </c>
      <c r="S769" s="43" t="str">
        <f t="shared" si="17"/>
        <v>Action</v>
      </c>
    </row>
    <row r="770" spans="1:19" ht="15.75" customHeight="1" x14ac:dyDescent="0.25">
      <c r="A770" s="4" t="s">
        <v>192</v>
      </c>
      <c r="B770" s="4">
        <v>84</v>
      </c>
      <c r="C770" s="4">
        <v>16964743</v>
      </c>
      <c r="D770" s="4" t="s">
        <v>88</v>
      </c>
      <c r="E770" s="4" t="s">
        <v>2557</v>
      </c>
      <c r="F770" s="4" t="s">
        <v>2931</v>
      </c>
      <c r="G770" s="4">
        <v>22844</v>
      </c>
      <c r="H770" s="4" t="s">
        <v>2932</v>
      </c>
      <c r="I770" s="4">
        <v>140</v>
      </c>
      <c r="J770" s="4" t="s">
        <v>23</v>
      </c>
      <c r="K770" s="4" t="s">
        <v>24</v>
      </c>
      <c r="L770" s="4">
        <v>24000000</v>
      </c>
      <c r="M770" s="4">
        <v>2004</v>
      </c>
      <c r="N770" s="4">
        <v>5.6</v>
      </c>
      <c r="O770" s="4">
        <f ca="1">IFERROR(__xludf.DUMMYFUNCTION("IF(Cost_in_dollars!E770=""USD"",Cost_in_dollars!B770,Cost_in_dollars!B770 * GOOGLEFINANCE(""CURRENCY:"" &amp; Cost_in_dollars!E770 &amp; ""USD""))
"),24000000)</f>
        <v>24000000</v>
      </c>
      <c r="P770" s="4">
        <f ca="1">IFERROR(__xludf.DUMMYFUNCTION("IF(Cost_in_dollars!E770=""USD"",Cost_in_dollars!C770,Cost_in_dollars!C770 * GOOGLEFINANCE(""CURRENCY:"" &amp; Cost_in_dollars!E770 &amp; ""USD""))
"),16964743)</f>
        <v>16964743</v>
      </c>
      <c r="Q770" s="4">
        <f t="shared" ca="1" si="18"/>
        <v>-7035257</v>
      </c>
      <c r="R770" s="5" t="str">
        <f t="shared" si="19"/>
        <v>Win a Date with Tad Hamilton!</v>
      </c>
      <c r="S770" s="43" t="str">
        <f t="shared" ref="S770:S833" si="20">IF(ISNUMBER(FIND("|", D770)), LEFT(D770, FIND("|", D770) - 1), D770)</f>
        <v>Comedy</v>
      </c>
    </row>
    <row r="771" spans="1:19" ht="15.75" customHeight="1" x14ac:dyDescent="0.25">
      <c r="A771" s="6" t="s">
        <v>182</v>
      </c>
      <c r="B771" s="6">
        <v>451</v>
      </c>
      <c r="C771" s="6">
        <v>334185206</v>
      </c>
      <c r="D771" s="6" t="s">
        <v>1259</v>
      </c>
      <c r="E771" s="6" t="s">
        <v>84</v>
      </c>
      <c r="F771" s="6" t="s">
        <v>2933</v>
      </c>
      <c r="G771" s="6">
        <v>306320</v>
      </c>
      <c r="H771" s="6" t="s">
        <v>2934</v>
      </c>
      <c r="I771" s="6">
        <v>736</v>
      </c>
      <c r="J771" s="6" t="s">
        <v>23</v>
      </c>
      <c r="K771" s="6" t="s">
        <v>24</v>
      </c>
      <c r="L771" s="6">
        <v>200000000</v>
      </c>
      <c r="M771" s="6">
        <v>2010</v>
      </c>
      <c r="N771" s="6">
        <v>6.5</v>
      </c>
      <c r="O771" s="4">
        <f ca="1">IFERROR(__xludf.DUMMYFUNCTION("IF(Cost_in_dollars!E771=""USD"",Cost_in_dollars!B771,Cost_in_dollars!B771 * GOOGLEFINANCE(""CURRENCY:"" &amp; Cost_in_dollars!E771 &amp; ""USD""))
"),200000000)</f>
        <v>200000000</v>
      </c>
      <c r="P771" s="4">
        <f ca="1">IFERROR(__xludf.DUMMYFUNCTION("IF(Cost_in_dollars!E771=""USD"",Cost_in_dollars!C771,Cost_in_dollars!C771 * GOOGLEFINANCE(""CURRENCY:"" &amp; Cost_in_dollars!E771 &amp; ""USD""))
"),334185206)</f>
        <v>334185206</v>
      </c>
      <c r="Q771" s="6">
        <f t="shared" ca="1" si="18"/>
        <v>134185206</v>
      </c>
      <c r="R771" s="7" t="str">
        <f t="shared" si="19"/>
        <v>Alice in Wonderland</v>
      </c>
      <c r="S771" s="43" t="str">
        <f t="shared" si="20"/>
        <v>Adventure</v>
      </c>
    </row>
    <row r="772" spans="1:19" ht="15.75" customHeight="1" x14ac:dyDescent="0.25">
      <c r="A772" s="4" t="s">
        <v>2935</v>
      </c>
      <c r="B772" s="4">
        <v>111</v>
      </c>
      <c r="C772" s="4">
        <v>375723</v>
      </c>
      <c r="D772" s="4" t="s">
        <v>457</v>
      </c>
      <c r="E772" s="4" t="s">
        <v>2936</v>
      </c>
      <c r="F772" s="4" t="s">
        <v>2937</v>
      </c>
      <c r="G772" s="4">
        <v>7025</v>
      </c>
      <c r="H772" s="4" t="s">
        <v>2938</v>
      </c>
      <c r="I772" s="4">
        <v>26</v>
      </c>
      <c r="J772" s="4" t="s">
        <v>2939</v>
      </c>
      <c r="K772" s="4" t="s">
        <v>2940</v>
      </c>
      <c r="L772" s="4">
        <v>4000000</v>
      </c>
      <c r="M772" s="4">
        <v>2015</v>
      </c>
      <c r="N772" s="4">
        <v>7.9</v>
      </c>
      <c r="O772" s="4">
        <f ca="1">IFERROR(__xludf.DUMMYFUNCTION("IF(Cost_in_dollars!E772=""USD"",Cost_in_dollars!B772,Cost_in_dollars!B772 * GOOGLEFINANCE(""CURRENCY:"" &amp; Cost_in_dollars!E772 &amp; ""USD""))
"),708642)</f>
        <v>708642</v>
      </c>
      <c r="P772" s="4">
        <f ca="1">IFERROR(__xludf.DUMMYFUNCTION("IF(Cost_in_dollars!E772=""USD"",Cost_in_dollars!C772,Cost_in_dollars!C772 * GOOGLEFINANCE(""CURRENCY:"" &amp; Cost_in_dollars!E772 &amp; ""USD""))
"),66563.2745415)</f>
        <v>66563.274541499995</v>
      </c>
      <c r="Q772" s="4">
        <f t="shared" ca="1" si="18"/>
        <v>-642078.72545849998</v>
      </c>
      <c r="R772" s="5" t="str">
        <f t="shared" si="19"/>
        <v>The Second Mother</v>
      </c>
      <c r="S772" s="43" t="str">
        <f t="shared" si="20"/>
        <v>Comedy</v>
      </c>
    </row>
    <row r="773" spans="1:19" ht="15.75" customHeight="1" x14ac:dyDescent="0.25">
      <c r="A773" s="6" t="s">
        <v>192</v>
      </c>
      <c r="B773" s="6">
        <v>132</v>
      </c>
      <c r="C773" s="6">
        <v>82931301</v>
      </c>
      <c r="D773" s="6" t="s">
        <v>88</v>
      </c>
      <c r="E773" s="6" t="s">
        <v>2682</v>
      </c>
      <c r="F773" s="6" t="s">
        <v>2941</v>
      </c>
      <c r="G773" s="6">
        <v>43358</v>
      </c>
      <c r="H773" s="6" t="s">
        <v>2942</v>
      </c>
      <c r="I773" s="6">
        <v>228</v>
      </c>
      <c r="J773" s="6" t="s">
        <v>23</v>
      </c>
      <c r="K773" s="6" t="s">
        <v>176</v>
      </c>
      <c r="L773" s="6">
        <v>60000000</v>
      </c>
      <c r="M773" s="6">
        <v>2005</v>
      </c>
      <c r="N773" s="6">
        <v>5.5</v>
      </c>
      <c r="O773" s="4">
        <f ca="1">IFERROR(__xludf.DUMMYFUNCTION("IF(Cost_in_dollars!E773=""USD"",Cost_in_dollars!B773,Cost_in_dollars!B773 * GOOGLEFINANCE(""CURRENCY:"" &amp; Cost_in_dollars!E773 &amp; ""USD""))
"),65084400)</f>
        <v>65084400</v>
      </c>
      <c r="P773" s="4">
        <f ca="1">IFERROR(__xludf.DUMMYFUNCTION("IF(Cost_in_dollars!E773=""USD"",Cost_in_dollars!C773,Cost_in_dollars!C773 * GOOGLEFINANCE(""CURRENCY:"" &amp; Cost_in_dollars!E773 &amp; ""USD""))
"),89958899.44674)</f>
        <v>89958899.446740001</v>
      </c>
      <c r="Q773" s="6">
        <f t="shared" ca="1" si="18"/>
        <v>24874499.446740001</v>
      </c>
      <c r="R773" s="7" t="str">
        <f t="shared" si="19"/>
        <v>Monster-in-Law</v>
      </c>
      <c r="S773" s="43" t="str">
        <f t="shared" si="20"/>
        <v>Comedy</v>
      </c>
    </row>
    <row r="774" spans="1:19" ht="15.75" customHeight="1" x14ac:dyDescent="0.25">
      <c r="A774" s="4" t="s">
        <v>2943</v>
      </c>
      <c r="B774" s="4">
        <v>82</v>
      </c>
      <c r="C774" s="4">
        <v>24397469</v>
      </c>
      <c r="D774" s="4" t="s">
        <v>421</v>
      </c>
      <c r="E774" s="4" t="s">
        <v>2456</v>
      </c>
      <c r="F774" s="4" t="s">
        <v>2944</v>
      </c>
      <c r="G774" s="4">
        <v>5161</v>
      </c>
      <c r="H774" s="4" t="s">
        <v>2945</v>
      </c>
      <c r="I774" s="4">
        <v>48</v>
      </c>
      <c r="J774" s="4" t="s">
        <v>23</v>
      </c>
      <c r="K774" s="4" t="s">
        <v>24</v>
      </c>
      <c r="L774" s="4">
        <v>17000000</v>
      </c>
      <c r="M774" s="4">
        <v>2012</v>
      </c>
      <c r="N774" s="4">
        <v>5.7</v>
      </c>
      <c r="O774" s="4">
        <f ca="1">IFERROR(__xludf.DUMMYFUNCTION("IF(Cost_in_dollars!E774=""USD"",Cost_in_dollars!B774,Cost_in_dollars!B774 * GOOGLEFINANCE(""CURRENCY:"" &amp; Cost_in_dollars!E774 &amp; ""USD""))
"),17000000)</f>
        <v>17000000</v>
      </c>
      <c r="P774" s="4">
        <f ca="1">IFERROR(__xludf.DUMMYFUNCTION("IF(Cost_in_dollars!E774=""USD"",Cost_in_dollars!C774,Cost_in_dollars!C774 * GOOGLEFINANCE(""CURRENCY:"" &amp; Cost_in_dollars!E774 &amp; ""USD""))
"),24397469)</f>
        <v>24397469</v>
      </c>
      <c r="Q774" s="4">
        <f t="shared" ca="1" si="18"/>
        <v>7397469</v>
      </c>
      <c r="R774" s="5" t="str">
        <f t="shared" si="19"/>
        <v>Sparkle</v>
      </c>
      <c r="S774" s="43" t="str">
        <f t="shared" si="20"/>
        <v>Drama</v>
      </c>
    </row>
    <row r="775" spans="1:19" ht="15.75" customHeight="1" x14ac:dyDescent="0.25">
      <c r="A775" s="6" t="s">
        <v>1667</v>
      </c>
      <c r="B775" s="6">
        <v>172</v>
      </c>
      <c r="C775" s="6">
        <v>13008928</v>
      </c>
      <c r="D775" s="6" t="s">
        <v>1020</v>
      </c>
      <c r="E775" s="6" t="s">
        <v>2946</v>
      </c>
      <c r="F775" s="6" t="s">
        <v>2947</v>
      </c>
      <c r="G775" s="6">
        <v>73501</v>
      </c>
      <c r="H775" s="6" t="s">
        <v>2948</v>
      </c>
      <c r="I775" s="6">
        <v>333</v>
      </c>
      <c r="J775" s="6" t="s">
        <v>23</v>
      </c>
      <c r="K775" s="6" t="s">
        <v>24</v>
      </c>
      <c r="L775" s="6">
        <v>4000000</v>
      </c>
      <c r="M775" s="6">
        <v>1988</v>
      </c>
      <c r="N775" s="6">
        <v>7.3</v>
      </c>
      <c r="O775" s="4">
        <f ca="1">IFERROR(__xludf.DUMMYFUNCTION("IF(Cost_in_dollars!E775=""USD"",Cost_in_dollars!B775,Cost_in_dollars!B775 * GOOGLEFINANCE(""CURRENCY:"" &amp; Cost_in_dollars!E775 &amp; ""USD""))
"),4000000)</f>
        <v>4000000</v>
      </c>
      <c r="P775" s="4">
        <f ca="1">IFERROR(__xludf.DUMMYFUNCTION("IF(Cost_in_dollars!E775=""USD"",Cost_in_dollars!C775,Cost_in_dollars!C775 * GOOGLEFINANCE(""CURRENCY:"" &amp; Cost_in_dollars!E775 &amp; ""USD""))
"),13008928)</f>
        <v>13008928</v>
      </c>
      <c r="Q775" s="6">
        <f t="shared" ca="1" si="18"/>
        <v>9008928</v>
      </c>
      <c r="R775" s="7" t="str">
        <f t="shared" si="19"/>
        <v>They Live</v>
      </c>
      <c r="S775" s="43" t="str">
        <f t="shared" si="20"/>
        <v>Horror</v>
      </c>
    </row>
    <row r="776" spans="1:19" ht="15.75" customHeight="1" x14ac:dyDescent="0.25">
      <c r="A776" s="4" t="s">
        <v>2185</v>
      </c>
      <c r="B776" s="4">
        <v>173</v>
      </c>
      <c r="C776" s="4">
        <v>273420</v>
      </c>
      <c r="D776" s="4" t="s">
        <v>2949</v>
      </c>
      <c r="E776" s="4" t="s">
        <v>2587</v>
      </c>
      <c r="F776" s="4" t="s">
        <v>2950</v>
      </c>
      <c r="G776" s="4">
        <v>32671</v>
      </c>
      <c r="H776" s="4" t="s">
        <v>2951</v>
      </c>
      <c r="I776" s="4">
        <v>238</v>
      </c>
      <c r="J776" s="4" t="s">
        <v>23</v>
      </c>
      <c r="K776" s="4" t="s">
        <v>611</v>
      </c>
      <c r="L776" s="4">
        <v>17000000</v>
      </c>
      <c r="M776" s="4">
        <v>2006</v>
      </c>
      <c r="N776" s="4">
        <v>5.5</v>
      </c>
      <c r="O776" s="4">
        <f ca="1">IFERROR(__xludf.DUMMYFUNCTION("IF(Cost_in_dollars!E776=""USD"",Cost_in_dollars!B776,Cost_in_dollars!B776 * GOOGLEFINANCE(""CURRENCY:"" &amp; Cost_in_dollars!E776 &amp; ""USD""))
"),18440580)</f>
        <v>18440580</v>
      </c>
      <c r="P776" s="4">
        <f ca="1">IFERROR(__xludf.DUMMYFUNCTION("IF(Cost_in_dollars!E776=""USD"",Cost_in_dollars!C776,Cost_in_dollars!C776 * GOOGLEFINANCE(""CURRENCY:"" &amp; Cost_in_dollars!E776 &amp; ""USD""))
"),296589.6108)</f>
        <v>296589.61080000002</v>
      </c>
      <c r="Q776" s="4">
        <f t="shared" ca="1" si="18"/>
        <v>-18143990.389199998</v>
      </c>
      <c r="R776" s="5" t="str">
        <f t="shared" si="19"/>
        <v>Southland Tales</v>
      </c>
      <c r="S776" s="43" t="str">
        <f t="shared" si="20"/>
        <v>Comedy</v>
      </c>
    </row>
    <row r="777" spans="1:19" ht="15.75" customHeight="1" x14ac:dyDescent="0.25">
      <c r="A777" s="6" t="s">
        <v>2952</v>
      </c>
      <c r="B777" s="6">
        <v>104</v>
      </c>
      <c r="C777" s="6">
        <v>24475416</v>
      </c>
      <c r="D777" s="6" t="s">
        <v>102</v>
      </c>
      <c r="E777" s="6" t="s">
        <v>413</v>
      </c>
      <c r="F777" s="6" t="s">
        <v>2953</v>
      </c>
      <c r="G777" s="6">
        <v>72443</v>
      </c>
      <c r="H777" s="6" t="s">
        <v>2954</v>
      </c>
      <c r="I777" s="6">
        <v>309</v>
      </c>
      <c r="J777" s="6" t="s">
        <v>23</v>
      </c>
      <c r="K777" s="6" t="s">
        <v>24</v>
      </c>
      <c r="L777" s="6">
        <v>890000</v>
      </c>
      <c r="M777" s="6">
        <v>1996</v>
      </c>
      <c r="N777" s="6">
        <v>8</v>
      </c>
      <c r="O777" s="4">
        <f ca="1">IFERROR(__xludf.DUMMYFUNCTION("IF(Cost_in_dollars!E777=""USD"",Cost_in_dollars!B777,Cost_in_dollars!B777 * GOOGLEFINANCE(""CURRENCY:"" &amp; Cost_in_dollars!E777 &amp; ""USD""))
"),890000)</f>
        <v>890000</v>
      </c>
      <c r="P777" s="4">
        <f ca="1">IFERROR(__xludf.DUMMYFUNCTION("IF(Cost_in_dollars!E777=""USD"",Cost_in_dollars!C777,Cost_in_dollars!C777 * GOOGLEFINANCE(""CURRENCY:"" &amp; Cost_in_dollars!E777 &amp; ""USD""))
"),24475416)</f>
        <v>24475416</v>
      </c>
      <c r="Q777" s="6">
        <f t="shared" ca="1" si="18"/>
        <v>23585416</v>
      </c>
      <c r="R777" s="7" t="str">
        <f t="shared" si="19"/>
        <v>Sling Blade</v>
      </c>
      <c r="S777" s="43" t="str">
        <f t="shared" si="20"/>
        <v>Drama</v>
      </c>
    </row>
    <row r="778" spans="1:19" ht="15.75" customHeight="1" x14ac:dyDescent="0.25">
      <c r="A778" s="4" t="s">
        <v>82</v>
      </c>
      <c r="B778" s="4">
        <v>215</v>
      </c>
      <c r="C778" s="4">
        <v>11284657</v>
      </c>
      <c r="D778" s="4" t="s">
        <v>372</v>
      </c>
      <c r="E778" s="4" t="s">
        <v>743</v>
      </c>
      <c r="F778" s="4" t="s">
        <v>2955</v>
      </c>
      <c r="G778" s="4">
        <v>259379</v>
      </c>
      <c r="H778" s="4" t="s">
        <v>2956</v>
      </c>
      <c r="I778" s="4">
        <v>407</v>
      </c>
      <c r="J778" s="4" t="s">
        <v>1045</v>
      </c>
      <c r="K778" s="4" t="s">
        <v>176</v>
      </c>
      <c r="L778" s="4">
        <v>2000000</v>
      </c>
      <c r="M778" s="4">
        <v>2006</v>
      </c>
      <c r="N778" s="4">
        <v>8.5</v>
      </c>
      <c r="O778" s="4">
        <f ca="1">IFERROR(__xludf.DUMMYFUNCTION("IF(Cost_in_dollars!E778=""USD"",Cost_in_dollars!B778,Cost_in_dollars!B778 * GOOGLEFINANCE(""CURRENCY:"" &amp; Cost_in_dollars!E778 &amp; ""USD""))
"),2169480)</f>
        <v>2169480</v>
      </c>
      <c r="P778" s="4">
        <f ca="1">IFERROR(__xludf.DUMMYFUNCTION("IF(Cost_in_dollars!E778=""USD"",Cost_in_dollars!C778,Cost_in_dollars!C778 * GOOGLEFINANCE(""CURRENCY:"" &amp; Cost_in_dollars!E778 &amp; ""USD""))
"),12240918.83418)</f>
        <v>12240918.834179999</v>
      </c>
      <c r="Q778" s="4">
        <f t="shared" ca="1" si="18"/>
        <v>10071438.834179999</v>
      </c>
      <c r="R778" s="5" t="str">
        <f t="shared" si="19"/>
        <v>The Lives of Others</v>
      </c>
      <c r="S778" s="43" t="str">
        <f t="shared" si="20"/>
        <v>Drama</v>
      </c>
    </row>
    <row r="779" spans="1:19" ht="15.75" customHeight="1" x14ac:dyDescent="0.25">
      <c r="A779" s="6" t="s">
        <v>2957</v>
      </c>
      <c r="B779" s="6">
        <v>34</v>
      </c>
      <c r="C779" s="6">
        <v>12667</v>
      </c>
      <c r="D779" s="6" t="s">
        <v>235</v>
      </c>
      <c r="E779" s="6" t="s">
        <v>818</v>
      </c>
      <c r="F779" s="6" t="s">
        <v>2958</v>
      </c>
      <c r="G779" s="6">
        <v>19336</v>
      </c>
      <c r="H779" s="6" t="s">
        <v>2959</v>
      </c>
      <c r="I779" s="6">
        <v>90</v>
      </c>
      <c r="J779" s="6" t="s">
        <v>23</v>
      </c>
      <c r="K779" s="6" t="s">
        <v>133</v>
      </c>
      <c r="L779" s="6">
        <v>14000</v>
      </c>
      <c r="M779" s="6">
        <v>2005</v>
      </c>
      <c r="N779" s="6">
        <v>6.6</v>
      </c>
      <c r="O779" s="4">
        <f ca="1">IFERROR(__xludf.DUMMYFUNCTION("IF(Cost_in_dollars!E779=""USD"",Cost_in_dollars!B779,Cost_in_dollars!B779 * GOOGLEFINANCE(""CURRENCY:"" &amp; Cost_in_dollars!E779 &amp; ""USD""))
"),17995.6)</f>
        <v>17995.599999999999</v>
      </c>
      <c r="P779" s="4">
        <f ca="1">IFERROR(__xludf.DUMMYFUNCTION("IF(Cost_in_dollars!E779=""USD"",Cost_in_dollars!C779,Cost_in_dollars!C779 * GOOGLEFINANCE(""CURRENCY:"" &amp; Cost_in_dollars!E779 &amp; ""USD""))
"),16282.1617999999)</f>
        <v>16282.1617999999</v>
      </c>
      <c r="Q779" s="6">
        <f t="shared" ca="1" si="18"/>
        <v>-1713.4382000000987</v>
      </c>
      <c r="R779" s="7" t="str">
        <f t="shared" si="19"/>
        <v>London</v>
      </c>
      <c r="S779" s="43" t="str">
        <f t="shared" si="20"/>
        <v>Drama</v>
      </c>
    </row>
    <row r="780" spans="1:19" ht="15.75" customHeight="1" x14ac:dyDescent="0.25">
      <c r="A780" s="4" t="s">
        <v>2960</v>
      </c>
      <c r="B780" s="4">
        <v>673</v>
      </c>
      <c r="C780" s="4">
        <v>407999255</v>
      </c>
      <c r="D780" s="4" t="s">
        <v>631</v>
      </c>
      <c r="E780" s="4" t="s">
        <v>1507</v>
      </c>
      <c r="F780" s="4" t="s">
        <v>2961</v>
      </c>
      <c r="G780" s="4">
        <v>701607</v>
      </c>
      <c r="H780" s="4" t="s">
        <v>2962</v>
      </c>
      <c r="I780" s="4">
        <v>1959</v>
      </c>
      <c r="J780" s="4" t="s">
        <v>23</v>
      </c>
      <c r="K780" s="4" t="s">
        <v>24</v>
      </c>
      <c r="L780" s="4">
        <v>78000000</v>
      </c>
      <c r="M780" s="4">
        <v>2012</v>
      </c>
      <c r="N780" s="4">
        <v>7.3</v>
      </c>
      <c r="O780" s="4">
        <f ca="1">IFERROR(__xludf.DUMMYFUNCTION("IF(Cost_in_dollars!E780=""USD"",Cost_in_dollars!B780,Cost_in_dollars!B780 * GOOGLEFINANCE(""CURRENCY:"" &amp; Cost_in_dollars!E780 &amp; ""USD""))
"),78000000)</f>
        <v>78000000</v>
      </c>
      <c r="P780" s="4">
        <f ca="1">IFERROR(__xludf.DUMMYFUNCTION("IF(Cost_in_dollars!E780=""USD"",Cost_in_dollars!C780,Cost_in_dollars!C780 * GOOGLEFINANCE(""CURRENCY:"" &amp; Cost_in_dollars!E780 &amp; ""USD""))
"),407999255)</f>
        <v>407999255</v>
      </c>
      <c r="Q780" s="4">
        <f t="shared" ca="1" si="18"/>
        <v>329999255</v>
      </c>
      <c r="R780" s="5" t="str">
        <f t="shared" si="19"/>
        <v>The Hunger Games</v>
      </c>
      <c r="S780" s="43" t="str">
        <f t="shared" si="20"/>
        <v>Adventure</v>
      </c>
    </row>
    <row r="781" spans="1:19" ht="15.75" customHeight="1" x14ac:dyDescent="0.25">
      <c r="A781" s="6" t="s">
        <v>2324</v>
      </c>
      <c r="B781" s="6">
        <v>12</v>
      </c>
      <c r="C781" s="6">
        <v>27515786</v>
      </c>
      <c r="D781" s="6" t="s">
        <v>235</v>
      </c>
      <c r="E781" s="6" t="s">
        <v>2963</v>
      </c>
      <c r="F781" s="6" t="s">
        <v>2964</v>
      </c>
      <c r="G781" s="6">
        <v>8904</v>
      </c>
      <c r="H781" s="6" t="s">
        <v>2965</v>
      </c>
      <c r="I781" s="6">
        <v>31</v>
      </c>
      <c r="J781" s="6" t="s">
        <v>23</v>
      </c>
      <c r="K781" s="6" t="s">
        <v>24</v>
      </c>
      <c r="L781" s="6">
        <v>14000000</v>
      </c>
      <c r="M781" s="6">
        <v>1993</v>
      </c>
      <c r="N781" s="6">
        <v>5.9</v>
      </c>
      <c r="O781" s="4">
        <f ca="1">IFERROR(__xludf.DUMMYFUNCTION("IF(Cost_in_dollars!E781=""USD"",Cost_in_dollars!B781,Cost_in_dollars!B781 * GOOGLEFINANCE(""CURRENCY:"" &amp; Cost_in_dollars!E781 &amp; ""USD""))
"),14000000)</f>
        <v>14000000</v>
      </c>
      <c r="P781" s="4">
        <f ca="1">IFERROR(__xludf.DUMMYFUNCTION("IF(Cost_in_dollars!E781=""USD"",Cost_in_dollars!C781,Cost_in_dollars!C781 * GOOGLEFINANCE(""CURRENCY:"" &amp; Cost_in_dollars!E781 &amp; ""USD""))
"),27515786)</f>
        <v>27515786</v>
      </c>
      <c r="Q781" s="6">
        <f t="shared" ca="1" si="18"/>
        <v>13515786</v>
      </c>
      <c r="R781" s="7" t="str">
        <f t="shared" si="19"/>
        <v>Poetic Justice</v>
      </c>
      <c r="S781" s="43" t="str">
        <f t="shared" si="20"/>
        <v>Drama</v>
      </c>
    </row>
    <row r="782" spans="1:19" ht="15.75" customHeight="1" x14ac:dyDescent="0.25">
      <c r="A782" s="4" t="s">
        <v>2966</v>
      </c>
      <c r="B782" s="4">
        <v>230</v>
      </c>
      <c r="C782" s="4">
        <v>51814190</v>
      </c>
      <c r="D782" s="4" t="s">
        <v>457</v>
      </c>
      <c r="E782" s="4" t="s">
        <v>619</v>
      </c>
      <c r="F782" s="4" t="s">
        <v>2967</v>
      </c>
      <c r="G782" s="4">
        <v>100837</v>
      </c>
      <c r="H782" s="4" t="s">
        <v>2968</v>
      </c>
      <c r="I782" s="4">
        <v>301</v>
      </c>
      <c r="J782" s="4" t="s">
        <v>23</v>
      </c>
      <c r="K782" s="4" t="s">
        <v>24</v>
      </c>
      <c r="L782" s="4">
        <v>75000000</v>
      </c>
      <c r="M782" s="4">
        <v>2009</v>
      </c>
      <c r="N782" s="4">
        <v>6.4</v>
      </c>
      <c r="O782" s="4">
        <f ca="1">IFERROR(__xludf.DUMMYFUNCTION("IF(Cost_in_dollars!E782=""USD"",Cost_in_dollars!B782,Cost_in_dollars!B782 * GOOGLEFINANCE(""CURRENCY:"" &amp; Cost_in_dollars!E782 &amp; ""USD""))
"),75000000)</f>
        <v>75000000</v>
      </c>
      <c r="P782" s="4">
        <f ca="1">IFERROR(__xludf.DUMMYFUNCTION("IF(Cost_in_dollars!E782=""USD"",Cost_in_dollars!C782,Cost_in_dollars!C782 * GOOGLEFINANCE(""CURRENCY:"" &amp; Cost_in_dollars!E782 &amp; ""USD""))
"),51814190)</f>
        <v>51814190</v>
      </c>
      <c r="Q782" s="4">
        <f t="shared" ca="1" si="18"/>
        <v>-23185810</v>
      </c>
      <c r="R782" s="5" t="str">
        <f t="shared" si="19"/>
        <v>Funny People</v>
      </c>
      <c r="S782" s="43" t="str">
        <f t="shared" si="20"/>
        <v>Comedy</v>
      </c>
    </row>
    <row r="783" spans="1:19" ht="15.75" customHeight="1" x14ac:dyDescent="0.25">
      <c r="A783" s="6" t="s">
        <v>2969</v>
      </c>
      <c r="B783" s="6">
        <v>60</v>
      </c>
      <c r="C783" s="6">
        <v>4064333</v>
      </c>
      <c r="D783" s="6" t="s">
        <v>1719</v>
      </c>
      <c r="E783" s="6" t="s">
        <v>877</v>
      </c>
      <c r="F783" s="6" t="s">
        <v>2970</v>
      </c>
      <c r="G783" s="6">
        <v>24790</v>
      </c>
      <c r="H783" s="6" t="s">
        <v>2971</v>
      </c>
      <c r="I783" s="6">
        <v>173</v>
      </c>
      <c r="J783" s="6" t="s">
        <v>23</v>
      </c>
      <c r="K783" s="6" t="s">
        <v>24</v>
      </c>
      <c r="L783" s="6">
        <v>25000000</v>
      </c>
      <c r="M783" s="6">
        <v>1995</v>
      </c>
      <c r="N783" s="6">
        <v>5.2</v>
      </c>
      <c r="O783" s="4">
        <f ca="1">IFERROR(__xludf.DUMMYFUNCTION("IF(Cost_in_dollars!E783=""USD"",Cost_in_dollars!B783,Cost_in_dollars!B783 * GOOGLEFINANCE(""CURRENCY:"" &amp; Cost_in_dollars!E783 &amp; ""USD""))
"),25000000)</f>
        <v>25000000</v>
      </c>
      <c r="P783" s="4">
        <f ca="1">IFERROR(__xludf.DUMMYFUNCTION("IF(Cost_in_dollars!E783=""USD"",Cost_in_dollars!C783,Cost_in_dollars!C783 * GOOGLEFINANCE(""CURRENCY:"" &amp; Cost_in_dollars!E783 &amp; ""USD""))
"),4064333)</f>
        <v>4064333</v>
      </c>
      <c r="Q783" s="6">
        <f t="shared" ca="1" si="18"/>
        <v>-20935667</v>
      </c>
      <c r="R783" s="7" t="str">
        <f t="shared" si="19"/>
        <v>Tank Girl</v>
      </c>
      <c r="S783" s="43" t="str">
        <f t="shared" si="20"/>
        <v>Action</v>
      </c>
    </row>
    <row r="784" spans="1:19" ht="15.75" customHeight="1" x14ac:dyDescent="0.25">
      <c r="A784" s="4" t="s">
        <v>2972</v>
      </c>
      <c r="B784" s="4">
        <v>54</v>
      </c>
      <c r="C784" s="4">
        <v>16702864</v>
      </c>
      <c r="D784" s="4" t="s">
        <v>443</v>
      </c>
      <c r="E784" s="4" t="s">
        <v>1982</v>
      </c>
      <c r="F784" s="4" t="s">
        <v>2973</v>
      </c>
      <c r="G784" s="4">
        <v>8023</v>
      </c>
      <c r="H784" s="4" t="s">
        <v>2974</v>
      </c>
      <c r="I784" s="4">
        <v>49</v>
      </c>
      <c r="J784" s="4" t="s">
        <v>23</v>
      </c>
      <c r="K784" s="4" t="s">
        <v>24</v>
      </c>
      <c r="L784" s="4">
        <v>18000000</v>
      </c>
      <c r="M784" s="4">
        <v>2004</v>
      </c>
      <c r="N784" s="4">
        <v>5.2</v>
      </c>
      <c r="O784" s="4">
        <f ca="1">IFERROR(__xludf.DUMMYFUNCTION("IF(Cost_in_dollars!E784=""USD"",Cost_in_dollars!B784,Cost_in_dollars!B784 * GOOGLEFINANCE(""CURRENCY:"" &amp; Cost_in_dollars!E784 &amp; ""USD""))
"),18000000)</f>
        <v>18000000</v>
      </c>
      <c r="P784" s="4">
        <f ca="1">IFERROR(__xludf.DUMMYFUNCTION("IF(Cost_in_dollars!E784=""USD"",Cost_in_dollars!C784,Cost_in_dollars!C784 * GOOGLEFINANCE(""CURRENCY:"" &amp; Cost_in_dollars!E784 &amp; ""USD""))
"),16702864)</f>
        <v>16702864</v>
      </c>
      <c r="Q784" s="4">
        <f t="shared" ca="1" si="18"/>
        <v>-1297136</v>
      </c>
      <c r="R784" s="5" t="str">
        <f t="shared" si="19"/>
        <v>Catch That Kid</v>
      </c>
      <c r="S784" s="43" t="str">
        <f t="shared" si="20"/>
        <v>Comedy</v>
      </c>
    </row>
    <row r="785" spans="1:19" ht="15.75" customHeight="1" x14ac:dyDescent="0.25">
      <c r="A785" s="6" t="s">
        <v>2975</v>
      </c>
      <c r="B785" s="6">
        <v>41</v>
      </c>
      <c r="C785" s="6">
        <v>1089445</v>
      </c>
      <c r="D785" s="6" t="s">
        <v>2478</v>
      </c>
      <c r="E785" s="6" t="s">
        <v>809</v>
      </c>
      <c r="F785" s="6" t="s">
        <v>2976</v>
      </c>
      <c r="G785" s="6">
        <v>2676</v>
      </c>
      <c r="H785" s="6" t="s">
        <v>2977</v>
      </c>
      <c r="I785" s="6">
        <v>33</v>
      </c>
      <c r="J785" s="6" t="s">
        <v>23</v>
      </c>
      <c r="K785" s="6" t="s">
        <v>627</v>
      </c>
      <c r="L785" s="6">
        <v>12500000</v>
      </c>
      <c r="M785" s="6">
        <v>2009</v>
      </c>
      <c r="N785" s="6">
        <v>7</v>
      </c>
      <c r="O785" s="4">
        <f ca="1">IFERROR(__xludf.DUMMYFUNCTION("IF(Cost_in_dollars!E785=""USD"",Cost_in_dollars!B785,Cost_in_dollars!B785 * GOOGLEFINANCE(""CURRENCY:"" &amp; Cost_in_dollars!E785 &amp; ""USD""))
"),9042562.5)</f>
        <v>9042562.5</v>
      </c>
      <c r="P785" s="4">
        <f ca="1">IFERROR(__xludf.DUMMYFUNCTION("IF(Cost_in_dollars!E785=""USD"",Cost_in_dollars!C785,Cost_in_dollars!C785 * GOOGLEFINANCE(""CURRENCY:"" &amp; Cost_in_dollars!E785 &amp; ""USD""))
"),788109.960224999)</f>
        <v>788109.960224999</v>
      </c>
      <c r="Q785" s="6">
        <f t="shared" ca="1" si="18"/>
        <v>-8254452.5397750009</v>
      </c>
      <c r="R785" s="7" t="str">
        <f t="shared" si="19"/>
        <v>The Perfect Game</v>
      </c>
      <c r="S785" s="43" t="str">
        <f t="shared" si="20"/>
        <v>Comedy</v>
      </c>
    </row>
    <row r="786" spans="1:19" ht="15.75" customHeight="1" x14ac:dyDescent="0.25">
      <c r="A786" s="4" t="s">
        <v>2978</v>
      </c>
      <c r="B786" s="4">
        <v>86</v>
      </c>
      <c r="C786" s="4">
        <v>21176322</v>
      </c>
      <c r="D786" s="4" t="s">
        <v>268</v>
      </c>
      <c r="E786" s="4" t="s">
        <v>2979</v>
      </c>
      <c r="F786" s="4" t="s">
        <v>2980</v>
      </c>
      <c r="G786" s="4">
        <v>23747</v>
      </c>
      <c r="H786" s="4" t="s">
        <v>2981</v>
      </c>
      <c r="I786" s="4">
        <v>207</v>
      </c>
      <c r="J786" s="4" t="s">
        <v>23</v>
      </c>
      <c r="K786" s="4" t="s">
        <v>24</v>
      </c>
      <c r="L786" s="4">
        <v>40000000</v>
      </c>
      <c r="M786" s="4">
        <v>2004</v>
      </c>
      <c r="N786" s="4">
        <v>4</v>
      </c>
      <c r="O786" s="4">
        <f ca="1">IFERROR(__xludf.DUMMYFUNCTION("IF(Cost_in_dollars!E786=""USD"",Cost_in_dollars!B786,Cost_in_dollars!B786 * GOOGLEFINANCE(""CURRENCY:"" &amp; Cost_in_dollars!E786 &amp; ""USD""))
"),40000000)</f>
        <v>40000000</v>
      </c>
      <c r="P786" s="4">
        <f ca="1">IFERROR(__xludf.DUMMYFUNCTION("IF(Cost_in_dollars!E786=""USD"",Cost_in_dollars!C786,Cost_in_dollars!C786 * GOOGLEFINANCE(""CURRENCY:"" &amp; Cost_in_dollars!E786 &amp; ""USD""))
"),21176322)</f>
        <v>21176322</v>
      </c>
      <c r="Q786" s="4">
        <f t="shared" ca="1" si="18"/>
        <v>-18823678</v>
      </c>
      <c r="R786" s="5" t="str">
        <f t="shared" si="19"/>
        <v>Torque</v>
      </c>
      <c r="S786" s="43" t="str">
        <f t="shared" si="20"/>
        <v>Action</v>
      </c>
    </row>
    <row r="787" spans="1:19" ht="15.75" customHeight="1" x14ac:dyDescent="0.25">
      <c r="A787" s="6" t="s">
        <v>1114</v>
      </c>
      <c r="B787" s="6">
        <v>114</v>
      </c>
      <c r="C787" s="6">
        <v>121248145</v>
      </c>
      <c r="D787" s="6" t="s">
        <v>714</v>
      </c>
      <c r="E787" s="6" t="s">
        <v>1173</v>
      </c>
      <c r="F787" s="6" t="s">
        <v>2982</v>
      </c>
      <c r="G787" s="6">
        <v>260981</v>
      </c>
      <c r="H787" s="6" t="s">
        <v>2983</v>
      </c>
      <c r="I787" s="6">
        <v>373</v>
      </c>
      <c r="J787" s="6" t="s">
        <v>23</v>
      </c>
      <c r="K787" s="6" t="s">
        <v>24</v>
      </c>
      <c r="L787" s="6">
        <v>25000000</v>
      </c>
      <c r="M787" s="6">
        <v>1994</v>
      </c>
      <c r="N787" s="6">
        <v>7.2</v>
      </c>
      <c r="O787" s="4">
        <f ca="1">IFERROR(__xludf.DUMMYFUNCTION("IF(Cost_in_dollars!E787=""USD"",Cost_in_dollars!B787,Cost_in_dollars!B787 * GOOGLEFINANCE(""CURRENCY:"" &amp; Cost_in_dollars!E787 &amp; ""USD""))
"),25000000)</f>
        <v>25000000</v>
      </c>
      <c r="P787" s="4">
        <f ca="1">IFERROR(__xludf.DUMMYFUNCTION("IF(Cost_in_dollars!E787=""USD"",Cost_in_dollars!C787,Cost_in_dollars!C787 * GOOGLEFINANCE(""CURRENCY:"" &amp; Cost_in_dollars!E787 &amp; ""USD""))
"),121248145)</f>
        <v>121248145</v>
      </c>
      <c r="Q787" s="6">
        <f t="shared" ca="1" si="18"/>
        <v>96248145</v>
      </c>
      <c r="R787" s="7" t="str">
        <f t="shared" si="19"/>
        <v>Speed</v>
      </c>
      <c r="S787" s="43" t="str">
        <f t="shared" si="20"/>
        <v>Action</v>
      </c>
    </row>
    <row r="788" spans="1:19" ht="15.75" customHeight="1" x14ac:dyDescent="0.25">
      <c r="A788" s="4" t="s">
        <v>2984</v>
      </c>
      <c r="B788" s="4">
        <v>73</v>
      </c>
      <c r="C788" s="4">
        <v>20422207</v>
      </c>
      <c r="D788" s="4" t="s">
        <v>162</v>
      </c>
      <c r="E788" s="4" t="s">
        <v>2985</v>
      </c>
      <c r="F788" s="4" t="s">
        <v>2986</v>
      </c>
      <c r="G788" s="4">
        <v>15052</v>
      </c>
      <c r="H788" s="4" t="s">
        <v>2987</v>
      </c>
      <c r="I788" s="4">
        <v>116</v>
      </c>
      <c r="J788" s="4" t="s">
        <v>23</v>
      </c>
      <c r="K788" s="4" t="s">
        <v>24</v>
      </c>
      <c r="L788" s="4">
        <v>35000000</v>
      </c>
      <c r="M788" s="4">
        <v>2004</v>
      </c>
      <c r="N788" s="4">
        <v>5.2</v>
      </c>
      <c r="O788" s="4">
        <f ca="1">IFERROR(__xludf.DUMMYFUNCTION("IF(Cost_in_dollars!E788=""USD"",Cost_in_dollars!B788,Cost_in_dollars!B788 * GOOGLEFINANCE(""CURRENCY:"" &amp; Cost_in_dollars!E788 &amp; ""USD""))
"),35000000)</f>
        <v>35000000</v>
      </c>
      <c r="P788" s="4">
        <f ca="1">IFERROR(__xludf.DUMMYFUNCTION("IF(Cost_in_dollars!E788=""USD"",Cost_in_dollars!C788,Cost_in_dollars!C788 * GOOGLEFINANCE(""CURRENCY:"" &amp; Cost_in_dollars!E788 &amp; ""USD""))
"),20422207)</f>
        <v>20422207</v>
      </c>
      <c r="Q788" s="4">
        <f t="shared" ca="1" si="18"/>
        <v>-14577793</v>
      </c>
      <c r="R788" s="5" t="str">
        <f t="shared" si="19"/>
        <v>Little Black Book</v>
      </c>
      <c r="S788" s="43" t="str">
        <f t="shared" si="20"/>
        <v>Comedy</v>
      </c>
    </row>
    <row r="789" spans="1:19" ht="15.75" customHeight="1" x14ac:dyDescent="0.25">
      <c r="A789" s="6" t="s">
        <v>2988</v>
      </c>
      <c r="B789" s="6">
        <v>65</v>
      </c>
      <c r="C789" s="6">
        <v>8888355</v>
      </c>
      <c r="D789" s="6" t="s">
        <v>421</v>
      </c>
      <c r="E789" s="6" t="s">
        <v>924</v>
      </c>
      <c r="F789" s="6" t="s">
        <v>2989</v>
      </c>
      <c r="G789" s="6">
        <v>7894</v>
      </c>
      <c r="H789" s="6" t="s">
        <v>2990</v>
      </c>
      <c r="I789" s="6">
        <v>25</v>
      </c>
      <c r="J789" s="6" t="s">
        <v>23</v>
      </c>
      <c r="K789" s="6" t="s">
        <v>24</v>
      </c>
      <c r="L789" s="6">
        <v>20000000</v>
      </c>
      <c r="M789" s="6">
        <v>2013</v>
      </c>
      <c r="N789" s="6">
        <v>5</v>
      </c>
      <c r="O789" s="4">
        <f ca="1">IFERROR(__xludf.DUMMYFUNCTION("IF(Cost_in_dollars!E789=""USD"",Cost_in_dollars!B789,Cost_in_dollars!B789 * GOOGLEFINANCE(""CURRENCY:"" &amp; Cost_in_dollars!E789 &amp; ""USD""))
"),20000000)</f>
        <v>20000000</v>
      </c>
      <c r="P789" s="4">
        <f ca="1">IFERROR(__xludf.DUMMYFUNCTION("IF(Cost_in_dollars!E789=""USD"",Cost_in_dollars!C789,Cost_in_dollars!C789 * GOOGLEFINANCE(""CURRENCY:"" &amp; Cost_in_dollars!E789 &amp; ""USD""))
"),8888355)</f>
        <v>8888355</v>
      </c>
      <c r="Q789" s="6">
        <f t="shared" ca="1" si="18"/>
        <v>-11111645</v>
      </c>
      <c r="R789" s="7" t="str">
        <f t="shared" si="19"/>
        <v>Battle of the Year</v>
      </c>
      <c r="S789" s="43" t="str">
        <f t="shared" si="20"/>
        <v>Drama</v>
      </c>
    </row>
    <row r="790" spans="1:19" ht="15.75" customHeight="1" x14ac:dyDescent="0.25">
      <c r="A790" s="4" t="s">
        <v>2991</v>
      </c>
      <c r="B790" s="4">
        <v>219</v>
      </c>
      <c r="C790" s="4">
        <v>34531832</v>
      </c>
      <c r="D790" s="4" t="s">
        <v>1127</v>
      </c>
      <c r="E790" s="4" t="s">
        <v>2732</v>
      </c>
      <c r="F790" s="4" t="s">
        <v>2992</v>
      </c>
      <c r="G790" s="4">
        <v>44788</v>
      </c>
      <c r="H790" s="4" t="s">
        <v>2993</v>
      </c>
      <c r="I790" s="4">
        <v>138</v>
      </c>
      <c r="J790" s="4" t="s">
        <v>23</v>
      </c>
      <c r="K790" s="4" t="s">
        <v>133</v>
      </c>
      <c r="L790" s="4">
        <v>35000000</v>
      </c>
      <c r="M790" s="4">
        <v>2015</v>
      </c>
      <c r="N790" s="4">
        <v>7.1</v>
      </c>
      <c r="O790" s="4">
        <f ca="1">IFERROR(__xludf.DUMMYFUNCTION("IF(Cost_in_dollars!E790=""USD"",Cost_in_dollars!B790,Cost_in_dollars!B790 * GOOGLEFINANCE(""CURRENCY:"" &amp; Cost_in_dollars!E790 &amp; ""USD""))
"),44988999.9999999)</f>
        <v>44988999.999999903</v>
      </c>
      <c r="P790" s="4">
        <f ca="1">IFERROR(__xludf.DUMMYFUNCTION("IF(Cost_in_dollars!E790=""USD"",Cost_in_dollars!C790,Cost_in_dollars!C790 * GOOGLEFINANCE(""CURRENCY:"" &amp; Cost_in_dollars!E790 &amp; ""USD""))
"),44387216.8528)</f>
        <v>44387216.852799997</v>
      </c>
      <c r="Q790" s="4">
        <f t="shared" ca="1" si="18"/>
        <v>-601783.14719990641</v>
      </c>
      <c r="R790" s="5" t="str">
        <f t="shared" si="19"/>
        <v>Concussion</v>
      </c>
      <c r="S790" s="43" t="str">
        <f t="shared" si="20"/>
        <v>Biography</v>
      </c>
    </row>
    <row r="791" spans="1:19" ht="15.75" customHeight="1" x14ac:dyDescent="0.25">
      <c r="A791" s="6" t="s">
        <v>2994</v>
      </c>
      <c r="B791" s="6">
        <v>140</v>
      </c>
      <c r="C791" s="6">
        <v>50173190</v>
      </c>
      <c r="D791" s="6" t="s">
        <v>2995</v>
      </c>
      <c r="E791" s="6" t="s">
        <v>486</v>
      </c>
      <c r="F791" s="6" t="s">
        <v>2996</v>
      </c>
      <c r="G791" s="6">
        <v>148490</v>
      </c>
      <c r="H791" s="6" t="s">
        <v>2997</v>
      </c>
      <c r="I791" s="6">
        <v>537</v>
      </c>
      <c r="J791" s="6" t="s">
        <v>23</v>
      </c>
      <c r="K791" s="6" t="s">
        <v>24</v>
      </c>
      <c r="L791" s="6">
        <v>48000000</v>
      </c>
      <c r="M791" s="6">
        <v>2001</v>
      </c>
      <c r="N791" s="6">
        <v>7.4</v>
      </c>
      <c r="O791" s="4">
        <f ca="1">IFERROR(__xludf.DUMMYFUNCTION("IF(Cost_in_dollars!E791=""USD"",Cost_in_dollars!B791,Cost_in_dollars!B791 * GOOGLEFINANCE(""CURRENCY:"" &amp; Cost_in_dollars!E791 &amp; ""USD""))
"),48000000)</f>
        <v>48000000</v>
      </c>
      <c r="P791" s="4">
        <f ca="1">IFERROR(__xludf.DUMMYFUNCTION("IF(Cost_in_dollars!E791=""USD"",Cost_in_dollars!C791,Cost_in_dollars!C791 * GOOGLEFINANCE(""CURRENCY:"" &amp; Cost_in_dollars!E791 &amp; ""USD""))
"),50173190)</f>
        <v>50173190</v>
      </c>
      <c r="Q791" s="6">
        <f t="shared" ca="1" si="18"/>
        <v>2173190</v>
      </c>
      <c r="R791" s="7" t="str">
        <f t="shared" si="19"/>
        <v>K-PAX</v>
      </c>
      <c r="S791" s="43" t="str">
        <f t="shared" si="20"/>
        <v>Drama</v>
      </c>
    </row>
    <row r="792" spans="1:19" ht="15.75" customHeight="1" x14ac:dyDescent="0.25">
      <c r="A792" s="4" t="s">
        <v>2998</v>
      </c>
      <c r="B792" s="4">
        <v>140</v>
      </c>
      <c r="C792" s="4">
        <v>14888028</v>
      </c>
      <c r="D792" s="4" t="s">
        <v>2049</v>
      </c>
      <c r="E792" s="4" t="s">
        <v>125</v>
      </c>
      <c r="F792" s="4" t="s">
        <v>2999</v>
      </c>
      <c r="G792" s="4">
        <v>28606</v>
      </c>
      <c r="H792" s="4" t="s">
        <v>3000</v>
      </c>
      <c r="I792" s="4">
        <v>262</v>
      </c>
      <c r="J792" s="4" t="s">
        <v>23</v>
      </c>
      <c r="K792" s="4" t="s">
        <v>24</v>
      </c>
      <c r="L792" s="4">
        <v>30000000</v>
      </c>
      <c r="M792" s="4">
        <v>2005</v>
      </c>
      <c r="N792" s="4">
        <v>5.0999999999999996</v>
      </c>
      <c r="O792" s="4">
        <f ca="1">IFERROR(__xludf.DUMMYFUNCTION("IF(Cost_in_dollars!E792=""USD"",Cost_in_dollars!B792,Cost_in_dollars!B792 * GOOGLEFINANCE(""CURRENCY:"" &amp; Cost_in_dollars!E792 &amp; ""USD""))
"),30000000)</f>
        <v>30000000</v>
      </c>
      <c r="P792" s="4">
        <f ca="1">IFERROR(__xludf.DUMMYFUNCTION("IF(Cost_in_dollars!E792=""USD"",Cost_in_dollars!C792,Cost_in_dollars!C792 * GOOGLEFINANCE(""CURRENCY:"" &amp; Cost_in_dollars!E792 &amp; ""USD""))
"),14888028)</f>
        <v>14888028</v>
      </c>
      <c r="Q792" s="4">
        <f t="shared" ca="1" si="18"/>
        <v>-15111972</v>
      </c>
      <c r="R792" s="5" t="str">
        <f t="shared" si="19"/>
        <v>The Cave</v>
      </c>
      <c r="S792" s="43" t="str">
        <f t="shared" si="20"/>
        <v>Adventure</v>
      </c>
    </row>
    <row r="793" spans="1:19" ht="15.75" customHeight="1" x14ac:dyDescent="0.25">
      <c r="A793" s="6" t="s">
        <v>3001</v>
      </c>
      <c r="B793" s="6">
        <v>158</v>
      </c>
      <c r="C793" s="6">
        <v>2344847</v>
      </c>
      <c r="D793" s="6" t="s">
        <v>135</v>
      </c>
      <c r="E793" s="6" t="s">
        <v>3002</v>
      </c>
      <c r="F793" s="6" t="s">
        <v>3003</v>
      </c>
      <c r="G793" s="6">
        <v>18561</v>
      </c>
      <c r="H793" s="6" t="s">
        <v>3004</v>
      </c>
      <c r="I793" s="6">
        <v>119</v>
      </c>
      <c r="J793" s="6" t="s">
        <v>23</v>
      </c>
      <c r="K793" s="6" t="s">
        <v>24</v>
      </c>
      <c r="L793" s="6">
        <v>7000000</v>
      </c>
      <c r="M793" s="6">
        <v>2008</v>
      </c>
      <c r="N793" s="6">
        <v>6.8</v>
      </c>
      <c r="O793" s="4">
        <f ca="1">IFERROR(__xludf.DUMMYFUNCTION("IF(Cost_in_dollars!E793=""USD"",Cost_in_dollars!B793,Cost_in_dollars!B793 * GOOGLEFINANCE(""CURRENCY:"" &amp; Cost_in_dollars!E793 &amp; ""USD""))
"),7000000)</f>
        <v>7000000</v>
      </c>
      <c r="P793" s="4">
        <f ca="1">IFERROR(__xludf.DUMMYFUNCTION("IF(Cost_in_dollars!E793=""USD"",Cost_in_dollars!C793,Cost_in_dollars!C793 * GOOGLEFINANCE(""CURRENCY:"" &amp; Cost_in_dollars!E793 &amp; ""USD""))
"),2344847)</f>
        <v>2344847</v>
      </c>
      <c r="Q793" s="6">
        <f t="shared" ca="1" si="18"/>
        <v>-4655153</v>
      </c>
      <c r="R793" s="7" t="str">
        <f t="shared" si="19"/>
        <v>Redbelt</v>
      </c>
      <c r="S793" s="43" t="str">
        <f t="shared" si="20"/>
        <v>Drama</v>
      </c>
    </row>
    <row r="794" spans="1:19" ht="15.75" customHeight="1" x14ac:dyDescent="0.25">
      <c r="A794" s="4" t="s">
        <v>962</v>
      </c>
      <c r="B794" s="4">
        <v>248</v>
      </c>
      <c r="C794" s="4">
        <v>34293771</v>
      </c>
      <c r="D794" s="4" t="s">
        <v>3005</v>
      </c>
      <c r="E794" s="4" t="s">
        <v>240</v>
      </c>
      <c r="F794" s="4" t="s">
        <v>3006</v>
      </c>
      <c r="G794" s="4">
        <v>138863</v>
      </c>
      <c r="H794" s="4" t="s">
        <v>3007</v>
      </c>
      <c r="I794" s="4">
        <v>1390</v>
      </c>
      <c r="J794" s="4" t="s">
        <v>23</v>
      </c>
      <c r="K794" s="4" t="s">
        <v>176</v>
      </c>
      <c r="L794" s="4">
        <v>155000000</v>
      </c>
      <c r="M794" s="4">
        <v>2004</v>
      </c>
      <c r="N794" s="4">
        <v>5.5</v>
      </c>
      <c r="O794" s="4">
        <f ca="1">IFERROR(__xludf.DUMMYFUNCTION("IF(Cost_in_dollars!E794=""USD"",Cost_in_dollars!B794,Cost_in_dollars!B794 * GOOGLEFINANCE(""CURRENCY:"" &amp; Cost_in_dollars!E794 &amp; ""USD""))
"),168134700)</f>
        <v>168134700</v>
      </c>
      <c r="P794" s="4">
        <f ca="1">IFERROR(__xludf.DUMMYFUNCTION("IF(Cost_in_dollars!E794=""USD"",Cost_in_dollars!C794,Cost_in_dollars!C794 * GOOGLEFINANCE(""CURRENCY:"" &amp; Cost_in_dollars!E794 &amp; ""USD""))
"),37199825.15454)</f>
        <v>37199825.154540002</v>
      </c>
      <c r="Q794" s="4">
        <f t="shared" ca="1" si="18"/>
        <v>-130934874.84546</v>
      </c>
      <c r="R794" s="5" t="str">
        <f t="shared" si="19"/>
        <v>Alexander</v>
      </c>
      <c r="S794" s="43" t="str">
        <f t="shared" si="20"/>
        <v>Action</v>
      </c>
    </row>
    <row r="795" spans="1:19" ht="15.75" customHeight="1" x14ac:dyDescent="0.25">
      <c r="A795" s="6" t="s">
        <v>1405</v>
      </c>
      <c r="B795" s="6">
        <v>233</v>
      </c>
      <c r="C795" s="6">
        <v>32774834</v>
      </c>
      <c r="D795" s="6" t="s">
        <v>971</v>
      </c>
      <c r="E795" s="6" t="s">
        <v>3008</v>
      </c>
      <c r="F795" s="6" t="s">
        <v>3009</v>
      </c>
      <c r="G795" s="6">
        <v>136048</v>
      </c>
      <c r="H795" s="6" t="s">
        <v>3010</v>
      </c>
      <c r="I795" s="6">
        <v>700</v>
      </c>
      <c r="J795" s="6" t="s">
        <v>23</v>
      </c>
      <c r="K795" s="6" t="s">
        <v>24</v>
      </c>
      <c r="L795" s="6">
        <v>30000000</v>
      </c>
      <c r="M795" s="6">
        <v>2004</v>
      </c>
      <c r="N795" s="6">
        <v>7.2</v>
      </c>
      <c r="O795" s="4">
        <f ca="1">IFERROR(__xludf.DUMMYFUNCTION("IF(Cost_in_dollars!E795=""USD"",Cost_in_dollars!B795,Cost_in_dollars!B795 * GOOGLEFINANCE(""CURRENCY:"" &amp; Cost_in_dollars!E795 &amp; ""USD""))
"),30000000)</f>
        <v>30000000</v>
      </c>
      <c r="P795" s="4">
        <f ca="1">IFERROR(__xludf.DUMMYFUNCTION("IF(Cost_in_dollars!E795=""USD"",Cost_in_dollars!C795,Cost_in_dollars!C795 * GOOGLEFINANCE(""CURRENCY:"" &amp; Cost_in_dollars!E795 &amp; ""USD""))
"),32774834)</f>
        <v>32774834</v>
      </c>
      <c r="Q795" s="6">
        <f t="shared" ca="1" si="18"/>
        <v>2774834</v>
      </c>
      <c r="R795" s="7" t="str">
        <f t="shared" si="19"/>
        <v>Team America: World Police</v>
      </c>
      <c r="S795" s="43" t="str">
        <f t="shared" si="20"/>
        <v>Action</v>
      </c>
    </row>
    <row r="796" spans="1:19" ht="15.75" customHeight="1" x14ac:dyDescent="0.25">
      <c r="A796" s="4" t="s">
        <v>3011</v>
      </c>
      <c r="B796" s="4">
        <v>104</v>
      </c>
      <c r="C796" s="4">
        <v>67962333</v>
      </c>
      <c r="D796" s="4" t="s">
        <v>88</v>
      </c>
      <c r="E796" s="4" t="s">
        <v>198</v>
      </c>
      <c r="F796" s="4" t="s">
        <v>3012</v>
      </c>
      <c r="G796" s="4">
        <v>33887</v>
      </c>
      <c r="H796" s="4" t="s">
        <v>3013</v>
      </c>
      <c r="I796" s="4">
        <v>160</v>
      </c>
      <c r="J796" s="4" t="s">
        <v>23</v>
      </c>
      <c r="K796" s="4" t="s">
        <v>24</v>
      </c>
      <c r="L796" s="4">
        <v>35000000</v>
      </c>
      <c r="M796" s="4">
        <v>2005</v>
      </c>
      <c r="N796" s="4">
        <v>5.9</v>
      </c>
      <c r="O796" s="4">
        <f ca="1">IFERROR(__xludf.DUMMYFUNCTION("IF(Cost_in_dollars!E796=""USD"",Cost_in_dollars!B796,Cost_in_dollars!B796 * GOOGLEFINANCE(""CURRENCY:"" &amp; Cost_in_dollars!E796 &amp; ""USD""))
"),35000000)</f>
        <v>35000000</v>
      </c>
      <c r="P796" s="4">
        <f ca="1">IFERROR(__xludf.DUMMYFUNCTION("IF(Cost_in_dollars!E796=""USD"",Cost_in_dollars!C796,Cost_in_dollars!C796 * GOOGLEFINANCE(""CURRENCY:"" &amp; Cost_in_dollars!E796 &amp; ""USD""))
"),67962333)</f>
        <v>67962333</v>
      </c>
      <c r="Q796" s="4">
        <f t="shared" ca="1" si="18"/>
        <v>32962333</v>
      </c>
      <c r="R796" s="5" t="str">
        <f t="shared" si="19"/>
        <v>Guess Who</v>
      </c>
      <c r="S796" s="43" t="str">
        <f t="shared" si="20"/>
        <v>Comedy</v>
      </c>
    </row>
    <row r="797" spans="1:19" ht="15.75" customHeight="1" x14ac:dyDescent="0.25">
      <c r="A797" s="6" t="s">
        <v>3014</v>
      </c>
      <c r="B797" s="6">
        <v>102</v>
      </c>
      <c r="C797" s="6">
        <v>285761243</v>
      </c>
      <c r="D797" s="6" t="s">
        <v>860</v>
      </c>
      <c r="E797" s="6" t="s">
        <v>2093</v>
      </c>
      <c r="F797" s="6" t="s">
        <v>3015</v>
      </c>
      <c r="G797" s="6">
        <v>311075</v>
      </c>
      <c r="H797" s="6" t="s">
        <v>3016</v>
      </c>
      <c r="I797" s="6">
        <v>305</v>
      </c>
      <c r="J797" s="6" t="s">
        <v>23</v>
      </c>
      <c r="K797" s="6" t="s">
        <v>24</v>
      </c>
      <c r="L797" s="6">
        <v>18000000</v>
      </c>
      <c r="M797" s="6">
        <v>1990</v>
      </c>
      <c r="N797" s="6">
        <v>7.5</v>
      </c>
      <c r="O797" s="4">
        <f ca="1">IFERROR(__xludf.DUMMYFUNCTION("IF(Cost_in_dollars!E797=""USD"",Cost_in_dollars!B797,Cost_in_dollars!B797 * GOOGLEFINANCE(""CURRENCY:"" &amp; Cost_in_dollars!E797 &amp; ""USD""))
"),18000000)</f>
        <v>18000000</v>
      </c>
      <c r="P797" s="4">
        <f ca="1">IFERROR(__xludf.DUMMYFUNCTION("IF(Cost_in_dollars!E797=""USD"",Cost_in_dollars!C797,Cost_in_dollars!C797 * GOOGLEFINANCE(""CURRENCY:"" &amp; Cost_in_dollars!E797 &amp; ""USD""))
"),285761243)</f>
        <v>285761243</v>
      </c>
      <c r="Q797" s="6">
        <f t="shared" ca="1" si="18"/>
        <v>267761243</v>
      </c>
      <c r="R797" s="7" t="str">
        <f t="shared" si="19"/>
        <v>Home Alone</v>
      </c>
      <c r="S797" s="43" t="str">
        <f t="shared" si="20"/>
        <v>Comedy</v>
      </c>
    </row>
    <row r="798" spans="1:19" ht="15.75" customHeight="1" x14ac:dyDescent="0.25">
      <c r="A798" s="4" t="s">
        <v>3017</v>
      </c>
      <c r="B798" s="4">
        <v>98</v>
      </c>
      <c r="C798" s="4">
        <v>57469179</v>
      </c>
      <c r="D798" s="4" t="s">
        <v>1242</v>
      </c>
      <c r="E798" s="4" t="s">
        <v>3018</v>
      </c>
      <c r="F798" s="4" t="s">
        <v>3019</v>
      </c>
      <c r="G798" s="4">
        <v>63855</v>
      </c>
      <c r="H798" s="4" t="s">
        <v>3020</v>
      </c>
      <c r="I798" s="4">
        <v>248</v>
      </c>
      <c r="J798" s="4" t="s">
        <v>23</v>
      </c>
      <c r="K798" s="4" t="s">
        <v>24</v>
      </c>
      <c r="L798" s="4">
        <v>11500000</v>
      </c>
      <c r="M798" s="4">
        <v>1989</v>
      </c>
      <c r="N798" s="4">
        <v>6.6</v>
      </c>
      <c r="O798" s="4">
        <f ca="1">IFERROR(__xludf.DUMMYFUNCTION("IF(Cost_in_dollars!E798=""USD"",Cost_in_dollars!B798,Cost_in_dollars!B798 * GOOGLEFINANCE(""CURRENCY:"" &amp; Cost_in_dollars!E798 &amp; ""USD""))
"),11500000)</f>
        <v>11500000</v>
      </c>
      <c r="P798" s="4">
        <f ca="1">IFERROR(__xludf.DUMMYFUNCTION("IF(Cost_in_dollars!E798=""USD"",Cost_in_dollars!C798,Cost_in_dollars!C798 * GOOGLEFINANCE(""CURRENCY:"" &amp; Cost_in_dollars!E798 &amp; ""USD""))
"),57469179)</f>
        <v>57469179</v>
      </c>
      <c r="Q798" s="4">
        <f t="shared" ca="1" si="18"/>
        <v>45969179</v>
      </c>
      <c r="R798" s="5" t="str">
        <f t="shared" si="19"/>
        <v>Pet Sematary</v>
      </c>
      <c r="S798" s="43" t="str">
        <f t="shared" si="20"/>
        <v>Fantasy</v>
      </c>
    </row>
    <row r="799" spans="1:19" ht="15.75" customHeight="1" x14ac:dyDescent="0.25">
      <c r="A799" s="6" t="s">
        <v>476</v>
      </c>
      <c r="B799" s="6">
        <v>80</v>
      </c>
      <c r="C799" s="6">
        <v>50016394</v>
      </c>
      <c r="D799" s="6" t="s">
        <v>145</v>
      </c>
      <c r="E799" s="6" t="s">
        <v>1246</v>
      </c>
      <c r="F799" s="6" t="s">
        <v>3021</v>
      </c>
      <c r="G799" s="6">
        <v>106528</v>
      </c>
      <c r="H799" s="6" t="s">
        <v>3022</v>
      </c>
      <c r="I799" s="6">
        <v>257</v>
      </c>
      <c r="J799" s="6" t="s">
        <v>23</v>
      </c>
      <c r="K799" s="6" t="s">
        <v>24</v>
      </c>
      <c r="L799" s="6">
        <v>70000000</v>
      </c>
      <c r="M799" s="6">
        <v>1993</v>
      </c>
      <c r="N799" s="6">
        <v>6.2</v>
      </c>
      <c r="O799" s="4">
        <f ca="1">IFERROR(__xludf.DUMMYFUNCTION("IF(Cost_in_dollars!E799=""USD"",Cost_in_dollars!B799,Cost_in_dollars!B799 * GOOGLEFINANCE(""CURRENCY:"" &amp; Cost_in_dollars!E799 &amp; ""USD""))
"),70000000)</f>
        <v>70000000</v>
      </c>
      <c r="P799" s="4">
        <f ca="1">IFERROR(__xludf.DUMMYFUNCTION("IF(Cost_in_dollars!E799=""USD"",Cost_in_dollars!C799,Cost_in_dollars!C799 * GOOGLEFINANCE(""CURRENCY:"" &amp; Cost_in_dollars!E799 &amp; ""USD""))
"),50016394)</f>
        <v>50016394</v>
      </c>
      <c r="Q799" s="6">
        <f t="shared" ca="1" si="18"/>
        <v>-19983606</v>
      </c>
      <c r="R799" s="7" t="str">
        <f t="shared" si="19"/>
        <v>Last Action Hero</v>
      </c>
      <c r="S799" s="43" t="str">
        <f t="shared" si="20"/>
        <v>Action</v>
      </c>
    </row>
    <row r="800" spans="1:19" ht="15.75" customHeight="1" x14ac:dyDescent="0.25">
      <c r="A800" s="4" t="s">
        <v>3023</v>
      </c>
      <c r="B800" s="4">
        <v>45</v>
      </c>
      <c r="C800" s="4">
        <v>39399750</v>
      </c>
      <c r="D800" s="4" t="s">
        <v>3024</v>
      </c>
      <c r="E800" s="4" t="s">
        <v>3025</v>
      </c>
      <c r="F800" s="4" t="s">
        <v>3026</v>
      </c>
      <c r="G800" s="4">
        <v>5674</v>
      </c>
      <c r="H800" s="4" t="s">
        <v>3027</v>
      </c>
      <c r="I800" s="4">
        <v>35</v>
      </c>
      <c r="J800" s="4" t="s">
        <v>23</v>
      </c>
      <c r="K800" s="4" t="s">
        <v>24</v>
      </c>
      <c r="L800" s="4">
        <v>25000000</v>
      </c>
      <c r="M800" s="4">
        <v>2003</v>
      </c>
      <c r="N800" s="4">
        <v>5.6</v>
      </c>
      <c r="O800" s="4">
        <f ca="1">IFERROR(__xludf.DUMMYFUNCTION("IF(Cost_in_dollars!E800=""USD"",Cost_in_dollars!B800,Cost_in_dollars!B800 * GOOGLEFINANCE(""CURRENCY:"" &amp; Cost_in_dollars!E800 &amp; ""USD""))
"),25000000)</f>
        <v>25000000</v>
      </c>
      <c r="P800" s="4">
        <f ca="1">IFERROR(__xludf.DUMMYFUNCTION("IF(Cost_in_dollars!E800=""USD"",Cost_in_dollars!C800,Cost_in_dollars!C800 * GOOGLEFINANCE(""CURRENCY:"" &amp; Cost_in_dollars!E800 &amp; ""USD""))
"),39399750)</f>
        <v>39399750</v>
      </c>
      <c r="Q800" s="4">
        <f t="shared" ca="1" si="18"/>
        <v>14399750</v>
      </c>
      <c r="R800" s="5" t="str">
        <f t="shared" si="19"/>
        <v>Rugrats Go Wild</v>
      </c>
      <c r="S800" s="43" t="str">
        <f t="shared" si="20"/>
        <v>Adventure</v>
      </c>
    </row>
    <row r="801" spans="1:19" ht="15.75" customHeight="1" x14ac:dyDescent="0.25">
      <c r="A801" s="6" t="s">
        <v>1353</v>
      </c>
      <c r="B801" s="6">
        <v>252</v>
      </c>
      <c r="C801" s="6">
        <v>5923044</v>
      </c>
      <c r="D801" s="6" t="s">
        <v>2340</v>
      </c>
      <c r="E801" s="6" t="s">
        <v>1533</v>
      </c>
      <c r="F801" s="6" t="s">
        <v>3028</v>
      </c>
      <c r="G801" s="6">
        <v>113451</v>
      </c>
      <c r="H801" s="6" t="s">
        <v>3029</v>
      </c>
      <c r="I801" s="6">
        <v>537</v>
      </c>
      <c r="J801" s="6" t="s">
        <v>23</v>
      </c>
      <c r="K801" s="6" t="s">
        <v>24</v>
      </c>
      <c r="L801" s="6">
        <v>3600000</v>
      </c>
      <c r="M801" s="6">
        <v>1987</v>
      </c>
      <c r="N801" s="6">
        <v>7.8</v>
      </c>
      <c r="O801" s="4">
        <f ca="1">IFERROR(__xludf.DUMMYFUNCTION("IF(Cost_in_dollars!E801=""USD"",Cost_in_dollars!B801,Cost_in_dollars!B801 * GOOGLEFINANCE(""CURRENCY:"" &amp; Cost_in_dollars!E801 &amp; ""USD""))
"),3600000)</f>
        <v>3600000</v>
      </c>
      <c r="P801" s="4">
        <f ca="1">IFERROR(__xludf.DUMMYFUNCTION("IF(Cost_in_dollars!E801=""USD"",Cost_in_dollars!C801,Cost_in_dollars!C801 * GOOGLEFINANCE(""CURRENCY:"" &amp; Cost_in_dollars!E801 &amp; ""USD""))
"),5923044)</f>
        <v>5923044</v>
      </c>
      <c r="Q801" s="6">
        <f t="shared" ca="1" si="18"/>
        <v>2323044</v>
      </c>
      <c r="R801" s="7" t="str">
        <f t="shared" si="19"/>
        <v>Evil Dead II</v>
      </c>
      <c r="S801" s="43" t="str">
        <f t="shared" si="20"/>
        <v>Comedy</v>
      </c>
    </row>
    <row r="802" spans="1:19" ht="15.75" customHeight="1" x14ac:dyDescent="0.25">
      <c r="A802" s="4" t="s">
        <v>3030</v>
      </c>
      <c r="B802" s="4">
        <v>471</v>
      </c>
      <c r="C802" s="4">
        <v>27296514</v>
      </c>
      <c r="D802" s="4" t="s">
        <v>362</v>
      </c>
      <c r="E802" s="4" t="s">
        <v>79</v>
      </c>
      <c r="F802" s="4" t="s">
        <v>3031</v>
      </c>
      <c r="G802" s="4">
        <v>326494</v>
      </c>
      <c r="H802" s="4" t="s">
        <v>3032</v>
      </c>
      <c r="I802" s="4">
        <v>340</v>
      </c>
      <c r="J802" s="4" t="s">
        <v>23</v>
      </c>
      <c r="K802" s="4" t="s">
        <v>24</v>
      </c>
      <c r="L802" s="4">
        <v>5000000</v>
      </c>
      <c r="M802" s="4">
        <v>2013</v>
      </c>
      <c r="N802" s="4">
        <v>8</v>
      </c>
      <c r="O802" s="4">
        <f ca="1">IFERROR(__xludf.DUMMYFUNCTION("IF(Cost_in_dollars!E802=""USD"",Cost_in_dollars!B802,Cost_in_dollars!B802 * GOOGLEFINANCE(""CURRENCY:"" &amp; Cost_in_dollars!E802 &amp; ""USD""))
"),5000000)</f>
        <v>5000000</v>
      </c>
      <c r="P802" s="4">
        <f ca="1">IFERROR(__xludf.DUMMYFUNCTION("IF(Cost_in_dollars!E802=""USD"",Cost_in_dollars!C802,Cost_in_dollars!C802 * GOOGLEFINANCE(""CURRENCY:"" &amp; Cost_in_dollars!E802 &amp; ""USD""))
"),27296514)</f>
        <v>27296514</v>
      </c>
      <c r="Q802" s="4">
        <f t="shared" ca="1" si="18"/>
        <v>22296514</v>
      </c>
      <c r="R802" s="5" t="str">
        <f t="shared" si="19"/>
        <v>Dallas Buyers Club</v>
      </c>
      <c r="S802" s="43" t="str">
        <f t="shared" si="20"/>
        <v>Biography</v>
      </c>
    </row>
    <row r="803" spans="1:19" ht="15.75" customHeight="1" x14ac:dyDescent="0.25">
      <c r="A803" s="6" t="s">
        <v>3033</v>
      </c>
      <c r="B803" s="6">
        <v>180</v>
      </c>
      <c r="C803" s="6">
        <v>145771527</v>
      </c>
      <c r="D803" s="6" t="s">
        <v>3034</v>
      </c>
      <c r="E803" s="6" t="s">
        <v>3035</v>
      </c>
      <c r="F803" s="6" t="s">
        <v>3036</v>
      </c>
      <c r="G803" s="6">
        <v>117212</v>
      </c>
      <c r="H803" s="6" t="s">
        <v>3037</v>
      </c>
      <c r="I803" s="6">
        <v>367</v>
      </c>
      <c r="J803" s="6" t="s">
        <v>23</v>
      </c>
      <c r="K803" s="6" t="s">
        <v>24</v>
      </c>
      <c r="L803" s="6">
        <v>80000000</v>
      </c>
      <c r="M803" s="6">
        <v>2002</v>
      </c>
      <c r="N803" s="6">
        <v>7.2</v>
      </c>
      <c r="O803" s="4">
        <f ca="1">IFERROR(__xludf.DUMMYFUNCTION("IF(Cost_in_dollars!E803=""USD"",Cost_in_dollars!B803,Cost_in_dollars!B803 * GOOGLEFINANCE(""CURRENCY:"" &amp; Cost_in_dollars!E803 &amp; ""USD""))
"),80000000)</f>
        <v>80000000</v>
      </c>
      <c r="P803" s="4">
        <f ca="1">IFERROR(__xludf.DUMMYFUNCTION("IF(Cost_in_dollars!E803=""USD"",Cost_in_dollars!C803,Cost_in_dollars!C803 * GOOGLEFINANCE(""CURRENCY:"" &amp; Cost_in_dollars!E803 &amp; ""USD""))
"),145771527)</f>
        <v>145771527</v>
      </c>
      <c r="Q803" s="6">
        <f t="shared" ca="1" si="18"/>
        <v>65771527</v>
      </c>
      <c r="R803" s="7" t="str">
        <f t="shared" si="19"/>
        <v>Lilo &amp; Stitch</v>
      </c>
      <c r="S803" s="43" t="str">
        <f t="shared" si="20"/>
        <v>Adventure</v>
      </c>
    </row>
    <row r="804" spans="1:19" ht="15.75" customHeight="1" x14ac:dyDescent="0.25">
      <c r="A804" s="4" t="s">
        <v>875</v>
      </c>
      <c r="B804" s="4">
        <v>447</v>
      </c>
      <c r="C804" s="4">
        <v>225377</v>
      </c>
      <c r="D804" s="4" t="s">
        <v>235</v>
      </c>
      <c r="E804" s="4" t="s">
        <v>3038</v>
      </c>
      <c r="F804" s="4" t="s">
        <v>3039</v>
      </c>
      <c r="G804" s="4">
        <v>70382</v>
      </c>
      <c r="H804" s="4" t="s">
        <v>3040</v>
      </c>
      <c r="I804" s="4">
        <v>190</v>
      </c>
      <c r="J804" s="4" t="s">
        <v>661</v>
      </c>
      <c r="K804" s="4" t="s">
        <v>611</v>
      </c>
      <c r="L804" s="4">
        <v>8900000</v>
      </c>
      <c r="M804" s="4">
        <v>2012</v>
      </c>
      <c r="N804" s="4">
        <v>7.9</v>
      </c>
      <c r="O804" s="4">
        <f ca="1">IFERROR(__xludf.DUMMYFUNCTION("IF(Cost_in_dollars!E804=""USD"",Cost_in_dollars!B804,Cost_in_dollars!B804 * GOOGLEFINANCE(""CURRENCY:"" &amp; Cost_in_dollars!E804 &amp; ""USD""))
"),9654186)</f>
        <v>9654186</v>
      </c>
      <c r="P804" s="4">
        <f ca="1">IFERROR(__xludf.DUMMYFUNCTION("IF(Cost_in_dollars!E804=""USD"",Cost_in_dollars!C804,Cost_in_dollars!C804 * GOOGLEFINANCE(""CURRENCY:"" &amp; Cost_in_dollars!E804 &amp; ""USD""))
"),244475.44698)</f>
        <v>244475.44698000001</v>
      </c>
      <c r="Q804" s="4">
        <f t="shared" ca="1" si="18"/>
        <v>-9409710.5530200005</v>
      </c>
      <c r="R804" s="5" t="str">
        <f t="shared" si="19"/>
        <v>Amour</v>
      </c>
      <c r="S804" s="43" t="str">
        <f t="shared" si="20"/>
        <v>Drama</v>
      </c>
    </row>
    <row r="805" spans="1:19" ht="15.75" customHeight="1" x14ac:dyDescent="0.25">
      <c r="A805" s="6" t="s">
        <v>3041</v>
      </c>
      <c r="B805" s="6">
        <v>18</v>
      </c>
      <c r="C805" s="6">
        <v>54215416</v>
      </c>
      <c r="D805" s="6" t="s">
        <v>2238</v>
      </c>
      <c r="E805" s="6" t="s">
        <v>3042</v>
      </c>
      <c r="F805" s="6" t="s">
        <v>3043</v>
      </c>
      <c r="G805" s="6">
        <v>21409</v>
      </c>
      <c r="H805" s="6" t="s">
        <v>3044</v>
      </c>
      <c r="I805" s="6">
        <v>63</v>
      </c>
      <c r="J805" s="6" t="s">
        <v>23</v>
      </c>
      <c r="K805" s="6" t="s">
        <v>24</v>
      </c>
      <c r="L805" s="6">
        <v>6500000</v>
      </c>
      <c r="M805" s="6">
        <v>1987</v>
      </c>
      <c r="N805" s="6">
        <v>6.8</v>
      </c>
      <c r="O805" s="4">
        <f ca="1">IFERROR(__xludf.DUMMYFUNCTION("IF(Cost_in_dollars!E805=""USD"",Cost_in_dollars!B805,Cost_in_dollars!B805 * GOOGLEFINANCE(""CURRENCY:"" &amp; Cost_in_dollars!E805 &amp; ""USD""))
"),6500000)</f>
        <v>6500000</v>
      </c>
      <c r="P805" s="4">
        <f ca="1">IFERROR(__xludf.DUMMYFUNCTION("IF(Cost_in_dollars!E805=""USD"",Cost_in_dollars!C805,Cost_in_dollars!C805 * GOOGLEFINANCE(""CURRENCY:"" &amp; Cost_in_dollars!E805 &amp; ""USD""))
"),54215416)</f>
        <v>54215416</v>
      </c>
      <c r="Q805" s="6">
        <f t="shared" ca="1" si="18"/>
        <v>47715416</v>
      </c>
      <c r="R805" s="7" t="str">
        <f t="shared" si="19"/>
        <v>La Bamba</v>
      </c>
      <c r="S805" s="43" t="str">
        <f t="shared" si="20"/>
        <v>Biography</v>
      </c>
    </row>
    <row r="806" spans="1:19" ht="15.75" customHeight="1" x14ac:dyDescent="0.25">
      <c r="A806" s="4" t="s">
        <v>1781</v>
      </c>
      <c r="B806" s="4">
        <v>34</v>
      </c>
      <c r="C806" s="4">
        <v>75078</v>
      </c>
      <c r="D806" s="4" t="s">
        <v>140</v>
      </c>
      <c r="E806" s="4" t="s">
        <v>3045</v>
      </c>
      <c r="F806" s="4" t="s">
        <v>3046</v>
      </c>
      <c r="G806" s="4">
        <v>1398</v>
      </c>
      <c r="H806" s="4" t="s">
        <v>3047</v>
      </c>
      <c r="I806" s="4">
        <v>26</v>
      </c>
      <c r="J806" s="4" t="s">
        <v>23</v>
      </c>
      <c r="K806" s="4" t="s">
        <v>24</v>
      </c>
      <c r="L806" s="4">
        <v>14000000</v>
      </c>
      <c r="M806" s="4">
        <v>2000</v>
      </c>
      <c r="N806" s="4">
        <v>6.3</v>
      </c>
      <c r="O806" s="4">
        <f ca="1">IFERROR(__xludf.DUMMYFUNCTION("IF(Cost_in_dollars!E806=""USD"",Cost_in_dollars!B806,Cost_in_dollars!B806 * GOOGLEFINANCE(""CURRENCY:"" &amp; Cost_in_dollars!E806 &amp; ""USD""))
"),14000000)</f>
        <v>14000000</v>
      </c>
      <c r="P806" s="4">
        <f ca="1">IFERROR(__xludf.DUMMYFUNCTION("IF(Cost_in_dollars!E806=""USD"",Cost_in_dollars!C806,Cost_in_dollars!C806 * GOOGLEFINANCE(""CURRENCY:"" &amp; Cost_in_dollars!E806 &amp; ""USD""))
"),75078)</f>
        <v>75078</v>
      </c>
      <c r="Q806" s="4">
        <f t="shared" ca="1" si="18"/>
        <v>-13924922</v>
      </c>
      <c r="R806" s="5" t="str">
        <f t="shared" si="19"/>
        <v>An Everlasting Piece</v>
      </c>
      <c r="S806" s="43" t="str">
        <f t="shared" si="20"/>
        <v>Comedy</v>
      </c>
    </row>
    <row r="807" spans="1:19" ht="15.75" customHeight="1" x14ac:dyDescent="0.25">
      <c r="A807" s="6" t="s">
        <v>2952</v>
      </c>
      <c r="B807" s="6">
        <v>85</v>
      </c>
      <c r="C807" s="6">
        <v>15527125</v>
      </c>
      <c r="D807" s="6" t="s">
        <v>448</v>
      </c>
      <c r="E807" s="6" t="s">
        <v>588</v>
      </c>
      <c r="F807" s="6" t="s">
        <v>3048</v>
      </c>
      <c r="G807" s="6">
        <v>11388</v>
      </c>
      <c r="H807" s="6" t="s">
        <v>3049</v>
      </c>
      <c r="I807" s="6">
        <v>183</v>
      </c>
      <c r="J807" s="6" t="s">
        <v>23</v>
      </c>
      <c r="K807" s="6" t="s">
        <v>24</v>
      </c>
      <c r="L807" s="6">
        <v>57000000</v>
      </c>
      <c r="M807" s="6">
        <v>2000</v>
      </c>
      <c r="N807" s="6">
        <v>5.8</v>
      </c>
      <c r="O807" s="4">
        <f ca="1">IFERROR(__xludf.DUMMYFUNCTION("IF(Cost_in_dollars!E807=""USD"",Cost_in_dollars!B807,Cost_in_dollars!B807 * GOOGLEFINANCE(""CURRENCY:"" &amp; Cost_in_dollars!E807 &amp; ""USD""))
"),57000000)</f>
        <v>57000000</v>
      </c>
      <c r="P807" s="4">
        <f ca="1">IFERROR(__xludf.DUMMYFUNCTION("IF(Cost_in_dollars!E807=""USD"",Cost_in_dollars!C807,Cost_in_dollars!C807 * GOOGLEFINANCE(""CURRENCY:"" &amp; Cost_in_dollars!E807 &amp; ""USD""))
"),15527125)</f>
        <v>15527125</v>
      </c>
      <c r="Q807" s="6">
        <f t="shared" ca="1" si="18"/>
        <v>-41472875</v>
      </c>
      <c r="R807" s="7" t="str">
        <f t="shared" si="19"/>
        <v>All the Pretty Horses</v>
      </c>
      <c r="S807" s="43" t="str">
        <f t="shared" si="20"/>
        <v>Drama</v>
      </c>
    </row>
    <row r="808" spans="1:19" ht="15.75" customHeight="1" x14ac:dyDescent="0.25">
      <c r="A808" s="4" t="s">
        <v>2730</v>
      </c>
      <c r="B808" s="4">
        <v>87</v>
      </c>
      <c r="C808" s="4">
        <v>7262288</v>
      </c>
      <c r="D808" s="4" t="s">
        <v>592</v>
      </c>
      <c r="E808" s="4" t="s">
        <v>3050</v>
      </c>
      <c r="F808" s="4" t="s">
        <v>3051</v>
      </c>
      <c r="G808" s="4">
        <v>17307</v>
      </c>
      <c r="H808" s="4" t="s">
        <v>3052</v>
      </c>
      <c r="I808" s="4">
        <v>186</v>
      </c>
      <c r="J808" s="4" t="s">
        <v>23</v>
      </c>
      <c r="K808" s="4" t="s">
        <v>24</v>
      </c>
      <c r="L808" s="4">
        <v>40000000</v>
      </c>
      <c r="M808" s="4">
        <v>2002</v>
      </c>
      <c r="N808" s="4">
        <v>6.5</v>
      </c>
      <c r="O808" s="4">
        <f ca="1">IFERROR(__xludf.DUMMYFUNCTION("IF(Cost_in_dollars!E808=""USD"",Cost_in_dollars!B808,Cost_in_dollars!B808 * GOOGLEFINANCE(""CURRENCY:"" &amp; Cost_in_dollars!E808 &amp; ""USD""))
"),40000000)</f>
        <v>40000000</v>
      </c>
      <c r="P808" s="4">
        <f ca="1">IFERROR(__xludf.DUMMYFUNCTION("IF(Cost_in_dollars!E808=""USD"",Cost_in_dollars!C808,Cost_in_dollars!C808 * GOOGLEFINANCE(""CURRENCY:"" &amp; Cost_in_dollars!E808 &amp; ""USD""))
"),7262288)</f>
        <v>7262288</v>
      </c>
      <c r="Q808" s="4">
        <f t="shared" ca="1" si="18"/>
        <v>-32737712</v>
      </c>
      <c r="R808" s="5" t="str">
        <f t="shared" si="19"/>
        <v>Big Trouble</v>
      </c>
      <c r="S808" s="43" t="str">
        <f t="shared" si="20"/>
        <v>Comedy</v>
      </c>
    </row>
    <row r="809" spans="1:19" ht="15.75" customHeight="1" x14ac:dyDescent="0.25">
      <c r="A809" s="6" t="s">
        <v>3053</v>
      </c>
      <c r="B809" s="6">
        <v>59</v>
      </c>
      <c r="C809" s="6">
        <v>17843379</v>
      </c>
      <c r="D809" s="6" t="s">
        <v>162</v>
      </c>
      <c r="E809" s="6" t="s">
        <v>3054</v>
      </c>
      <c r="F809" s="6" t="s">
        <v>3055</v>
      </c>
      <c r="G809" s="6">
        <v>14904</v>
      </c>
      <c r="H809" s="6" t="s">
        <v>3056</v>
      </c>
      <c r="I809" s="6">
        <v>147</v>
      </c>
      <c r="J809" s="6" t="s">
        <v>23</v>
      </c>
      <c r="K809" s="6" t="s">
        <v>24</v>
      </c>
      <c r="L809" s="6">
        <v>8000000</v>
      </c>
      <c r="M809" s="6">
        <v>1999</v>
      </c>
      <c r="N809" s="6">
        <v>5.7</v>
      </c>
      <c r="O809" s="4">
        <f ca="1">IFERROR(__xludf.DUMMYFUNCTION("IF(Cost_in_dollars!E809=""USD"",Cost_in_dollars!B809,Cost_in_dollars!B809 * GOOGLEFINANCE(""CURRENCY:"" &amp; Cost_in_dollars!E809 &amp; ""USD""))
"),8000000)</f>
        <v>8000000</v>
      </c>
      <c r="P809" s="4">
        <f ca="1">IFERROR(__xludf.DUMMYFUNCTION("IF(Cost_in_dollars!E809=""USD"",Cost_in_dollars!C809,Cost_in_dollars!C809 * GOOGLEFINANCE(""CURRENCY:"" &amp; Cost_in_dollars!E809 &amp; ""USD""))
"),17843379)</f>
        <v>17843379</v>
      </c>
      <c r="Q809" s="6">
        <f t="shared" ca="1" si="18"/>
        <v>9843379</v>
      </c>
      <c r="R809" s="7" t="str">
        <f t="shared" si="19"/>
        <v>Drive Me Crazy</v>
      </c>
      <c r="S809" s="43" t="str">
        <f t="shared" si="20"/>
        <v>Comedy</v>
      </c>
    </row>
    <row r="810" spans="1:19" ht="15.75" customHeight="1" x14ac:dyDescent="0.25">
      <c r="A810" s="4" t="s">
        <v>472</v>
      </c>
      <c r="B810" s="4">
        <v>83</v>
      </c>
      <c r="C810" s="4">
        <v>1040879</v>
      </c>
      <c r="D810" s="4" t="s">
        <v>172</v>
      </c>
      <c r="E810" s="4" t="s">
        <v>2053</v>
      </c>
      <c r="F810" s="4" t="s">
        <v>3057</v>
      </c>
      <c r="G810" s="4">
        <v>54478</v>
      </c>
      <c r="H810" s="4" t="s">
        <v>3058</v>
      </c>
      <c r="I810" s="4">
        <v>184</v>
      </c>
      <c r="J810" s="4" t="s">
        <v>23</v>
      </c>
      <c r="K810" s="4" t="s">
        <v>24</v>
      </c>
      <c r="L810" s="4">
        <v>7000000</v>
      </c>
      <c r="M810" s="4">
        <v>1996</v>
      </c>
      <c r="N810" s="4">
        <v>7.1</v>
      </c>
      <c r="O810" s="4">
        <f ca="1">IFERROR(__xludf.DUMMYFUNCTION("IF(Cost_in_dollars!E810=""USD"",Cost_in_dollars!B810,Cost_in_dollars!B810 * GOOGLEFINANCE(""CURRENCY:"" &amp; Cost_in_dollars!E810 &amp; ""USD""))
"),7000000)</f>
        <v>7000000</v>
      </c>
      <c r="P810" s="4">
        <f ca="1">IFERROR(__xludf.DUMMYFUNCTION("IF(Cost_in_dollars!E810=""USD"",Cost_in_dollars!C810,Cost_in_dollars!C810 * GOOGLEFINANCE(""CURRENCY:"" &amp; Cost_in_dollars!E810 &amp; ""USD""))
"),1040879)</f>
        <v>1040879</v>
      </c>
      <c r="Q810" s="4">
        <f t="shared" ca="1" si="18"/>
        <v>-5959121</v>
      </c>
      <c r="R810" s="5" t="str">
        <f t="shared" si="19"/>
        <v>Bottle Rocket</v>
      </c>
      <c r="S810" s="43" t="str">
        <f t="shared" si="20"/>
        <v>Comedy</v>
      </c>
    </row>
    <row r="811" spans="1:19" ht="15.75" customHeight="1" x14ac:dyDescent="0.25">
      <c r="A811" s="6" t="s">
        <v>3059</v>
      </c>
      <c r="B811" s="6">
        <v>125</v>
      </c>
      <c r="C811" s="6">
        <v>7825820</v>
      </c>
      <c r="D811" s="6" t="s">
        <v>578</v>
      </c>
      <c r="E811" s="6" t="s">
        <v>676</v>
      </c>
      <c r="F811" s="6" t="s">
        <v>3060</v>
      </c>
      <c r="G811" s="6">
        <v>13086</v>
      </c>
      <c r="H811" s="6" t="s">
        <v>3061</v>
      </c>
      <c r="I811" s="6">
        <v>156</v>
      </c>
      <c r="J811" s="6" t="s">
        <v>23</v>
      </c>
      <c r="K811" s="6" t="s">
        <v>24</v>
      </c>
      <c r="L811" s="6">
        <v>4000000</v>
      </c>
      <c r="M811" s="6">
        <v>2006</v>
      </c>
      <c r="N811" s="6">
        <v>5.9</v>
      </c>
      <c r="O811" s="4">
        <f ca="1">IFERROR(__xludf.DUMMYFUNCTION("IF(Cost_in_dollars!E811=""USD"",Cost_in_dollars!B811,Cost_in_dollars!B811 * GOOGLEFINANCE(""CURRENCY:"" &amp; Cost_in_dollars!E811 &amp; ""USD""))
"),4000000)</f>
        <v>4000000</v>
      </c>
      <c r="P811" s="4">
        <f ca="1">IFERROR(__xludf.DUMMYFUNCTION("IF(Cost_in_dollars!E811=""USD"",Cost_in_dollars!C811,Cost_in_dollars!C811 * GOOGLEFINANCE(""CURRENCY:"" &amp; Cost_in_dollars!E811 &amp; ""USD""))
"),7825820)</f>
        <v>7825820</v>
      </c>
      <c r="Q811" s="6">
        <f t="shared" ca="1" si="18"/>
        <v>3825820</v>
      </c>
      <c r="R811" s="7" t="str">
        <f t="shared" si="19"/>
        <v>The Night Listener</v>
      </c>
      <c r="S811" s="43" t="str">
        <f t="shared" si="20"/>
        <v>Crime</v>
      </c>
    </row>
    <row r="812" spans="1:19" ht="15.75" customHeight="1" x14ac:dyDescent="0.25">
      <c r="A812" s="4" t="s">
        <v>3062</v>
      </c>
      <c r="B812" s="4">
        <v>225</v>
      </c>
      <c r="C812" s="4">
        <v>114053579</v>
      </c>
      <c r="D812" s="4" t="s">
        <v>3063</v>
      </c>
      <c r="E812" s="4" t="s">
        <v>2272</v>
      </c>
      <c r="F812" s="4" t="s">
        <v>3064</v>
      </c>
      <c r="G812" s="4">
        <v>146766</v>
      </c>
      <c r="H812" s="4" t="s">
        <v>3065</v>
      </c>
      <c r="I812" s="4">
        <v>178</v>
      </c>
      <c r="J812" s="4" t="s">
        <v>23</v>
      </c>
      <c r="K812" s="4" t="s">
        <v>24</v>
      </c>
      <c r="L812" s="4">
        <v>150000000</v>
      </c>
      <c r="M812" s="4">
        <v>2008</v>
      </c>
      <c r="N812" s="4">
        <v>6.9</v>
      </c>
      <c r="O812" s="4">
        <f ca="1">IFERROR(__xludf.DUMMYFUNCTION("IF(Cost_in_dollars!E812=""USD"",Cost_in_dollars!B812,Cost_in_dollars!B812 * GOOGLEFINANCE(""CURRENCY:"" &amp; Cost_in_dollars!E812 &amp; ""USD""))
"),150000000)</f>
        <v>150000000</v>
      </c>
      <c r="P812" s="4">
        <f ca="1">IFERROR(__xludf.DUMMYFUNCTION("IF(Cost_in_dollars!E812=""USD"",Cost_in_dollars!C812,Cost_in_dollars!C812 * GOOGLEFINANCE(""CURRENCY:"" &amp; Cost_in_dollars!E812 &amp; ""USD""))
"),114053579)</f>
        <v>114053579</v>
      </c>
      <c r="Q812" s="4">
        <f t="shared" ca="1" si="18"/>
        <v>-35946421</v>
      </c>
      <c r="R812" s="5" t="str">
        <f t="shared" si="19"/>
        <v>Bolt</v>
      </c>
      <c r="S812" s="43" t="str">
        <f t="shared" si="20"/>
        <v>Adventure</v>
      </c>
    </row>
    <row r="813" spans="1:19" ht="15.75" customHeight="1" x14ac:dyDescent="0.25">
      <c r="A813" s="6" t="s">
        <v>3066</v>
      </c>
      <c r="B813" s="6">
        <v>109</v>
      </c>
      <c r="C813" s="6">
        <v>4040588</v>
      </c>
      <c r="D813" s="6" t="s">
        <v>457</v>
      </c>
      <c r="E813" s="6" t="s">
        <v>650</v>
      </c>
      <c r="F813" s="6" t="s">
        <v>3067</v>
      </c>
      <c r="G813" s="6">
        <v>12233</v>
      </c>
      <c r="H813" s="6" t="s">
        <v>3068</v>
      </c>
      <c r="I813" s="6">
        <v>89</v>
      </c>
      <c r="J813" s="6" t="s">
        <v>23</v>
      </c>
      <c r="K813" s="6" t="s">
        <v>24</v>
      </c>
      <c r="L813" s="6">
        <v>5000000</v>
      </c>
      <c r="M813" s="6">
        <v>2008</v>
      </c>
      <c r="N813" s="6">
        <v>6.8</v>
      </c>
      <c r="O813" s="4">
        <f ca="1">IFERROR(__xludf.DUMMYFUNCTION("IF(Cost_in_dollars!E813=""USD"",Cost_in_dollars!B813,Cost_in_dollars!B813 * GOOGLEFINANCE(""CURRENCY:"" &amp; Cost_in_dollars!E813 &amp; ""USD""))
"),5000000)</f>
        <v>5000000</v>
      </c>
      <c r="P813" s="4">
        <f ca="1">IFERROR(__xludf.DUMMYFUNCTION("IF(Cost_in_dollars!E813=""USD"",Cost_in_dollars!C813,Cost_in_dollars!C813 * GOOGLEFINANCE(""CURRENCY:"" &amp; Cost_in_dollars!E813 &amp; ""USD""))
"),4040588)</f>
        <v>4040588</v>
      </c>
      <c r="Q813" s="6">
        <f t="shared" ca="1" si="18"/>
        <v>-959412</v>
      </c>
      <c r="R813" s="7" t="str">
        <f t="shared" si="19"/>
        <v>Bottle Shock</v>
      </c>
      <c r="S813" s="43" t="str">
        <f t="shared" si="20"/>
        <v>Comedy</v>
      </c>
    </row>
    <row r="814" spans="1:19" ht="15.75" customHeight="1" x14ac:dyDescent="0.25">
      <c r="A814" s="4" t="s">
        <v>516</v>
      </c>
      <c r="B814" s="4">
        <v>61</v>
      </c>
      <c r="C814" s="4">
        <v>10397365</v>
      </c>
      <c r="D814" s="4" t="s">
        <v>3069</v>
      </c>
      <c r="E814" s="4" t="s">
        <v>3070</v>
      </c>
      <c r="F814" s="4" t="s">
        <v>3071</v>
      </c>
      <c r="G814" s="4">
        <v>11693</v>
      </c>
      <c r="H814" s="4" t="s">
        <v>3072</v>
      </c>
      <c r="I814" s="4">
        <v>104</v>
      </c>
      <c r="J814" s="4" t="s">
        <v>23</v>
      </c>
      <c r="K814" s="4" t="s">
        <v>24</v>
      </c>
      <c r="L814" s="4">
        <v>14000000</v>
      </c>
      <c r="M814" s="4">
        <v>2001</v>
      </c>
      <c r="N814" s="4">
        <v>5.4</v>
      </c>
      <c r="O814" s="4">
        <f ca="1">IFERROR(__xludf.DUMMYFUNCTION("IF(Cost_in_dollars!E814=""USD"",Cost_in_dollars!B814,Cost_in_dollars!B814 * GOOGLEFINANCE(""CURRENCY:"" &amp; Cost_in_dollars!E814 &amp; ""USD""))
"),14000000)</f>
        <v>14000000</v>
      </c>
      <c r="P814" s="4">
        <f ca="1">IFERROR(__xludf.DUMMYFUNCTION("IF(Cost_in_dollars!E814=""USD"",Cost_in_dollars!C814,Cost_in_dollars!C814 * GOOGLEFINANCE(""CURRENCY:"" &amp; Cost_in_dollars!E814 &amp; ""USD""))
"),10397365)</f>
        <v>10397365</v>
      </c>
      <c r="Q814" s="4">
        <f t="shared" ca="1" si="18"/>
        <v>-3602635</v>
      </c>
      <c r="R814" s="5" t="str">
        <f t="shared" si="19"/>
        <v>Head Over Heels</v>
      </c>
      <c r="S814" s="43" t="str">
        <f t="shared" si="20"/>
        <v>Comedy</v>
      </c>
    </row>
    <row r="815" spans="1:19" ht="15.75" customHeight="1" x14ac:dyDescent="0.25">
      <c r="A815" s="6" t="s">
        <v>1098</v>
      </c>
      <c r="B815" s="6">
        <v>120</v>
      </c>
      <c r="C815" s="6">
        <v>23292105</v>
      </c>
      <c r="D815" s="6" t="s">
        <v>1036</v>
      </c>
      <c r="E815" s="6" t="s">
        <v>255</v>
      </c>
      <c r="F815" s="6" t="s">
        <v>3073</v>
      </c>
      <c r="G815" s="6">
        <v>39541</v>
      </c>
      <c r="H815" s="6" t="s">
        <v>3074</v>
      </c>
      <c r="I815" s="6">
        <v>334</v>
      </c>
      <c r="J815" s="6" t="s">
        <v>23</v>
      </c>
      <c r="K815" s="6" t="s">
        <v>24</v>
      </c>
      <c r="L815" s="6">
        <v>20000000</v>
      </c>
      <c r="M815" s="6">
        <v>2006</v>
      </c>
      <c r="N815" s="6">
        <v>5.3</v>
      </c>
      <c r="O815" s="4">
        <f ca="1">IFERROR(__xludf.DUMMYFUNCTION("IF(Cost_in_dollars!E815=""USD"",Cost_in_dollars!B815,Cost_in_dollars!B815 * GOOGLEFINANCE(""CURRENCY:"" &amp; Cost_in_dollars!E815 &amp; ""USD""))
"),20000000)</f>
        <v>20000000</v>
      </c>
      <c r="P815" s="4">
        <f ca="1">IFERROR(__xludf.DUMMYFUNCTION("IF(Cost_in_dollars!E815=""USD"",Cost_in_dollars!C815,Cost_in_dollars!C815 * GOOGLEFINANCE(""CURRENCY:"" &amp; Cost_in_dollars!E815 &amp; ""USD""))
"),23292105)</f>
        <v>23292105</v>
      </c>
      <c r="Q815" s="6">
        <f t="shared" ca="1" si="18"/>
        <v>3292105</v>
      </c>
      <c r="R815" s="7" t="str">
        <f t="shared" si="19"/>
        <v>The Covenant</v>
      </c>
      <c r="S815" s="43" t="str">
        <f t="shared" si="20"/>
        <v>Action</v>
      </c>
    </row>
    <row r="816" spans="1:19" ht="15.75" customHeight="1" x14ac:dyDescent="0.25">
      <c r="A816" s="4" t="s">
        <v>2614</v>
      </c>
      <c r="B816" s="4">
        <v>211</v>
      </c>
      <c r="C816" s="4">
        <v>5792822</v>
      </c>
      <c r="D816" s="4" t="s">
        <v>235</v>
      </c>
      <c r="E816" s="4" t="s">
        <v>3075</v>
      </c>
      <c r="F816" s="4" t="s">
        <v>3076</v>
      </c>
      <c r="G816" s="4">
        <v>168398</v>
      </c>
      <c r="H816" s="4" t="s">
        <v>3077</v>
      </c>
      <c r="I816" s="4">
        <v>492</v>
      </c>
      <c r="J816" s="4" t="s">
        <v>23</v>
      </c>
      <c r="K816" s="4" t="s">
        <v>24</v>
      </c>
      <c r="L816" s="4">
        <v>2700000</v>
      </c>
      <c r="M816" s="4">
        <v>2004</v>
      </c>
      <c r="N816" s="4">
        <v>8</v>
      </c>
      <c r="O816" s="4">
        <f ca="1">IFERROR(__xludf.DUMMYFUNCTION("IF(Cost_in_dollars!E816=""USD"",Cost_in_dollars!B816,Cost_in_dollars!B816 * GOOGLEFINANCE(""CURRENCY:"" &amp; Cost_in_dollars!E816 &amp; ""USD""))
"),2700000)</f>
        <v>2700000</v>
      </c>
      <c r="P816" s="4">
        <f ca="1">IFERROR(__xludf.DUMMYFUNCTION("IF(Cost_in_dollars!E816=""USD"",Cost_in_dollars!C816,Cost_in_dollars!C816 * GOOGLEFINANCE(""CURRENCY:"" &amp; Cost_in_dollars!E816 &amp; ""USD""))
"),5792822)</f>
        <v>5792822</v>
      </c>
      <c r="Q816" s="4">
        <f t="shared" ca="1" si="18"/>
        <v>3092822</v>
      </c>
      <c r="R816" s="5" t="str">
        <f t="shared" si="19"/>
        <v>Before Sunset</v>
      </c>
      <c r="S816" s="43" t="str">
        <f t="shared" si="20"/>
        <v>Drama</v>
      </c>
    </row>
    <row r="817" spans="1:19" ht="15.75" customHeight="1" x14ac:dyDescent="0.25">
      <c r="A817" s="6" t="s">
        <v>1255</v>
      </c>
      <c r="B817" s="6">
        <v>180</v>
      </c>
      <c r="C817" s="6">
        <v>148383780</v>
      </c>
      <c r="D817" s="6" t="s">
        <v>88</v>
      </c>
      <c r="E817" s="6" t="s">
        <v>886</v>
      </c>
      <c r="F817" s="6" t="s">
        <v>3078</v>
      </c>
      <c r="G817" s="6">
        <v>85531</v>
      </c>
      <c r="H817" s="6" t="s">
        <v>3079</v>
      </c>
      <c r="I817" s="6">
        <v>152</v>
      </c>
      <c r="J817" s="6" t="s">
        <v>23</v>
      </c>
      <c r="K817" s="6" t="s">
        <v>24</v>
      </c>
      <c r="L817" s="6">
        <v>100000000</v>
      </c>
      <c r="M817" s="6">
        <v>2010</v>
      </c>
      <c r="N817" s="6">
        <v>5.5</v>
      </c>
      <c r="O817" s="4">
        <f ca="1">IFERROR(__xludf.DUMMYFUNCTION("IF(Cost_in_dollars!E817=""USD"",Cost_in_dollars!B817,Cost_in_dollars!B817 * GOOGLEFINANCE(""CURRENCY:"" &amp; Cost_in_dollars!E817 &amp; ""USD""))
"),100000000)</f>
        <v>100000000</v>
      </c>
      <c r="P817" s="4">
        <f ca="1">IFERROR(__xludf.DUMMYFUNCTION("IF(Cost_in_dollars!E817=""USD"",Cost_in_dollars!C817,Cost_in_dollars!C817 * GOOGLEFINANCE(""CURRENCY:"" &amp; Cost_in_dollars!E817 &amp; ""USD""))
"),148383780)</f>
        <v>148383780</v>
      </c>
      <c r="Q817" s="6">
        <f t="shared" ca="1" si="18"/>
        <v>48383780</v>
      </c>
      <c r="R817" s="7" t="str">
        <f t="shared" si="19"/>
        <v>Little Fockers</v>
      </c>
      <c r="S817" s="43" t="str">
        <f t="shared" si="20"/>
        <v>Comedy</v>
      </c>
    </row>
    <row r="818" spans="1:19" ht="15.75" customHeight="1" x14ac:dyDescent="0.25">
      <c r="A818" s="4" t="s">
        <v>3080</v>
      </c>
      <c r="B818" s="4">
        <v>74</v>
      </c>
      <c r="C818" s="4">
        <v>13350177</v>
      </c>
      <c r="D818" s="4" t="s">
        <v>1854</v>
      </c>
      <c r="E818" s="4" t="s">
        <v>3081</v>
      </c>
      <c r="F818" s="4" t="s">
        <v>3082</v>
      </c>
      <c r="G818" s="4">
        <v>7904</v>
      </c>
      <c r="H818" s="4" t="s">
        <v>3083</v>
      </c>
      <c r="I818" s="4">
        <v>113</v>
      </c>
      <c r="J818" s="4" t="s">
        <v>23</v>
      </c>
      <c r="K818" s="4" t="s">
        <v>24</v>
      </c>
      <c r="L818" s="4">
        <v>5000000</v>
      </c>
      <c r="M818" s="4">
        <v>2008</v>
      </c>
      <c r="N818" s="4">
        <v>3.8</v>
      </c>
      <c r="O818" s="4">
        <f ca="1">IFERROR(__xludf.DUMMYFUNCTION("IF(Cost_in_dollars!E818=""USD"",Cost_in_dollars!B818,Cost_in_dollars!B818 * GOOGLEFINANCE(""CURRENCY:"" &amp; Cost_in_dollars!E818 &amp; ""USD""))
"),5000000)</f>
        <v>5000000</v>
      </c>
      <c r="P818" s="4">
        <f ca="1">IFERROR(__xludf.DUMMYFUNCTION("IF(Cost_in_dollars!E818=""USD"",Cost_in_dollars!C818,Cost_in_dollars!C818 * GOOGLEFINANCE(""CURRENCY:"" &amp; Cost_in_dollars!E818 &amp; ""USD""))
"),13350177)</f>
        <v>13350177</v>
      </c>
      <c r="Q818" s="4">
        <f t="shared" ca="1" si="18"/>
        <v>8350177</v>
      </c>
      <c r="R818" s="5" t="str">
        <f t="shared" si="19"/>
        <v>The Haunting of Molly Hartley</v>
      </c>
      <c r="S818" s="43" t="str">
        <f t="shared" si="20"/>
        <v>Drama</v>
      </c>
    </row>
    <row r="819" spans="1:19" ht="15.75" customHeight="1" x14ac:dyDescent="0.25">
      <c r="A819" s="6" t="s">
        <v>3084</v>
      </c>
      <c r="B819" s="6">
        <v>110</v>
      </c>
      <c r="C819" s="6">
        <v>17803796</v>
      </c>
      <c r="D819" s="6" t="s">
        <v>140</v>
      </c>
      <c r="E819" s="6" t="s">
        <v>3085</v>
      </c>
      <c r="F819" s="6" t="s">
        <v>3086</v>
      </c>
      <c r="G819" s="6">
        <v>26100</v>
      </c>
      <c r="H819" s="6" t="s">
        <v>3087</v>
      </c>
      <c r="I819" s="6">
        <v>97</v>
      </c>
      <c r="J819" s="6" t="s">
        <v>23</v>
      </c>
      <c r="K819" s="6" t="s">
        <v>24</v>
      </c>
      <c r="L819" s="6">
        <v>20000000</v>
      </c>
      <c r="M819" s="6">
        <v>2006</v>
      </c>
      <c r="N819" s="6">
        <v>5.9</v>
      </c>
      <c r="O819" s="4">
        <f ca="1">IFERROR(__xludf.DUMMYFUNCTION("IF(Cost_in_dollars!E819=""USD"",Cost_in_dollars!B819,Cost_in_dollars!B819 * GOOGLEFINANCE(""CURRENCY:"" &amp; Cost_in_dollars!E819 &amp; ""USD""))
"),20000000)</f>
        <v>20000000</v>
      </c>
      <c r="P819" s="4">
        <f ca="1">IFERROR(__xludf.DUMMYFUNCTION("IF(Cost_in_dollars!E819=""USD"",Cost_in_dollars!C819,Cost_in_dollars!C819 * GOOGLEFINANCE(""CURRENCY:"" &amp; Cost_in_dollars!E819 &amp; ""USD""))
"),17803796)</f>
        <v>17803796</v>
      </c>
      <c r="Q819" s="6">
        <f t="shared" ca="1" si="18"/>
        <v>-2196204</v>
      </c>
      <c r="R819" s="7" t="str">
        <f t="shared" si="19"/>
        <v>School for Scoundrels</v>
      </c>
      <c r="S819" s="43" t="str">
        <f t="shared" si="20"/>
        <v>Comedy</v>
      </c>
    </row>
    <row r="820" spans="1:19" ht="15.75" customHeight="1" x14ac:dyDescent="0.25">
      <c r="A820" s="4" t="s">
        <v>3088</v>
      </c>
      <c r="B820" s="4">
        <v>94</v>
      </c>
      <c r="C820" s="4">
        <v>25178165</v>
      </c>
      <c r="D820" s="4" t="s">
        <v>235</v>
      </c>
      <c r="E820" s="4" t="s">
        <v>1173</v>
      </c>
      <c r="F820" s="4" t="s">
        <v>3089</v>
      </c>
      <c r="G820" s="4">
        <v>70292</v>
      </c>
      <c r="H820" s="4" t="s">
        <v>3090</v>
      </c>
      <c r="I820" s="4">
        <v>274</v>
      </c>
      <c r="J820" s="4" t="s">
        <v>23</v>
      </c>
      <c r="K820" s="4" t="s">
        <v>24</v>
      </c>
      <c r="L820" s="4">
        <v>40000000</v>
      </c>
      <c r="M820" s="4">
        <v>2001</v>
      </c>
      <c r="N820" s="4">
        <v>6.7</v>
      </c>
      <c r="O820" s="4">
        <f ca="1">IFERROR(__xludf.DUMMYFUNCTION("IF(Cost_in_dollars!E820=""USD"",Cost_in_dollars!B820,Cost_in_dollars!B820 * GOOGLEFINANCE(""CURRENCY:"" &amp; Cost_in_dollars!E820 &amp; ""USD""))
"),40000000)</f>
        <v>40000000</v>
      </c>
      <c r="P820" s="4">
        <f ca="1">IFERROR(__xludf.DUMMYFUNCTION("IF(Cost_in_dollars!E820=""USD"",Cost_in_dollars!C820,Cost_in_dollars!C820 * GOOGLEFINANCE(""CURRENCY:"" &amp; Cost_in_dollars!E820 &amp; ""USD""))
"),25178165)</f>
        <v>25178165</v>
      </c>
      <c r="Q820" s="4">
        <f t="shared" ca="1" si="18"/>
        <v>-14821835</v>
      </c>
      <c r="R820" s="5" t="str">
        <f t="shared" si="19"/>
        <v>Sweet November</v>
      </c>
      <c r="S820" s="43" t="str">
        <f t="shared" si="20"/>
        <v>Drama</v>
      </c>
    </row>
    <row r="821" spans="1:19" ht="15.75" customHeight="1" x14ac:dyDescent="0.25">
      <c r="A821" s="6" t="s">
        <v>67</v>
      </c>
      <c r="B821" s="6">
        <v>28</v>
      </c>
      <c r="C821" s="6">
        <v>5731103</v>
      </c>
      <c r="D821" s="6" t="s">
        <v>216</v>
      </c>
      <c r="E821" s="6" t="s">
        <v>198</v>
      </c>
      <c r="F821" s="6" t="s">
        <v>3091</v>
      </c>
      <c r="G821" s="6">
        <v>4100</v>
      </c>
      <c r="H821" s="6" t="s">
        <v>3092</v>
      </c>
      <c r="I821" s="6">
        <v>35</v>
      </c>
      <c r="J821" s="6" t="s">
        <v>23</v>
      </c>
      <c r="K821" s="6" t="s">
        <v>24</v>
      </c>
      <c r="L821" s="6">
        <v>2400000</v>
      </c>
      <c r="M821" s="6">
        <v>1996</v>
      </c>
      <c r="N821" s="6">
        <v>6.8</v>
      </c>
      <c r="O821" s="4">
        <f ca="1">IFERROR(__xludf.DUMMYFUNCTION("IF(Cost_in_dollars!E821=""USD"",Cost_in_dollars!B821,Cost_in_dollars!B821 * GOOGLEFINANCE(""CURRENCY:"" &amp; Cost_in_dollars!E821 &amp; ""USD""))
"),2400000)</f>
        <v>2400000</v>
      </c>
      <c r="P821" s="4">
        <f ca="1">IFERROR(__xludf.DUMMYFUNCTION("IF(Cost_in_dollars!E821=""USD"",Cost_in_dollars!C821,Cost_in_dollars!C821 * GOOGLEFINANCE(""CURRENCY:"" &amp; Cost_in_dollars!E821 &amp; ""USD""))
"),5731103)</f>
        <v>5731103</v>
      </c>
      <c r="Q821" s="6">
        <f t="shared" ca="1" si="18"/>
        <v>3331103</v>
      </c>
      <c r="R821" s="7" t="str">
        <f t="shared" si="19"/>
        <v>Get on the Bus</v>
      </c>
      <c r="S821" s="43" t="str">
        <f t="shared" si="20"/>
        <v>Drama</v>
      </c>
    </row>
    <row r="822" spans="1:19" ht="15.75" customHeight="1" x14ac:dyDescent="0.25">
      <c r="A822" s="4" t="s">
        <v>3093</v>
      </c>
      <c r="B822" s="4">
        <v>257</v>
      </c>
      <c r="C822" s="4">
        <v>187165546</v>
      </c>
      <c r="D822" s="4" t="s">
        <v>304</v>
      </c>
      <c r="E822" s="4" t="s">
        <v>2466</v>
      </c>
      <c r="F822" s="4" t="s">
        <v>3094</v>
      </c>
      <c r="G822" s="4">
        <v>150618</v>
      </c>
      <c r="H822" s="4" t="s">
        <v>3095</v>
      </c>
      <c r="I822" s="4">
        <v>195</v>
      </c>
      <c r="J822" s="4" t="s">
        <v>23</v>
      </c>
      <c r="K822" s="4" t="s">
        <v>24</v>
      </c>
      <c r="L822" s="4">
        <v>135000000</v>
      </c>
      <c r="M822" s="4">
        <v>2013</v>
      </c>
      <c r="N822" s="4">
        <v>7.3</v>
      </c>
      <c r="O822" s="4">
        <f ca="1">IFERROR(__xludf.DUMMYFUNCTION("IF(Cost_in_dollars!E822=""USD"",Cost_in_dollars!B822,Cost_in_dollars!B822 * GOOGLEFINANCE(""CURRENCY:"" &amp; Cost_in_dollars!E822 &amp; ""USD""))
"),135000000)</f>
        <v>135000000</v>
      </c>
      <c r="P822" s="4">
        <f ca="1">IFERROR(__xludf.DUMMYFUNCTION("IF(Cost_in_dollars!E822=""USD"",Cost_in_dollars!C822,Cost_in_dollars!C822 * GOOGLEFINANCE(""CURRENCY:"" &amp; Cost_in_dollars!E822 &amp; ""USD""))
"),187165546)</f>
        <v>187165546</v>
      </c>
      <c r="Q822" s="4">
        <f t="shared" ca="1" si="18"/>
        <v>52165546</v>
      </c>
      <c r="R822" s="5" t="str">
        <f t="shared" si="19"/>
        <v>The Croods</v>
      </c>
      <c r="S822" s="43" t="str">
        <f t="shared" si="20"/>
        <v>Adventure</v>
      </c>
    </row>
    <row r="823" spans="1:19" ht="15.75" customHeight="1" x14ac:dyDescent="0.25">
      <c r="A823" s="6" t="s">
        <v>2185</v>
      </c>
      <c r="B823" s="6">
        <v>283</v>
      </c>
      <c r="C823" s="6">
        <v>727883</v>
      </c>
      <c r="D823" s="6" t="s">
        <v>1238</v>
      </c>
      <c r="E823" s="6" t="s">
        <v>2524</v>
      </c>
      <c r="F823" s="6" t="s">
        <v>3096</v>
      </c>
      <c r="G823" s="6">
        <v>580999</v>
      </c>
      <c r="H823" s="6" t="s">
        <v>3097</v>
      </c>
      <c r="I823" s="6">
        <v>2110</v>
      </c>
      <c r="J823" s="6" t="s">
        <v>23</v>
      </c>
      <c r="K823" s="6" t="s">
        <v>24</v>
      </c>
      <c r="L823" s="6">
        <v>4500000</v>
      </c>
      <c r="M823" s="6">
        <v>2001</v>
      </c>
      <c r="N823" s="6">
        <v>8.1</v>
      </c>
      <c r="O823" s="4">
        <f ca="1">IFERROR(__xludf.DUMMYFUNCTION("IF(Cost_in_dollars!E823=""USD"",Cost_in_dollars!B823,Cost_in_dollars!B823 * GOOGLEFINANCE(""CURRENCY:"" &amp; Cost_in_dollars!E823 &amp; ""USD""))
"),4500000)</f>
        <v>4500000</v>
      </c>
      <c r="P823" s="4">
        <f ca="1">IFERROR(__xludf.DUMMYFUNCTION("IF(Cost_in_dollars!E823=""USD"",Cost_in_dollars!C823,Cost_in_dollars!C823 * GOOGLEFINANCE(""CURRENCY:"" &amp; Cost_in_dollars!E823 &amp; ""USD""))
"),727883)</f>
        <v>727883</v>
      </c>
      <c r="Q823" s="6">
        <f t="shared" ca="1" si="18"/>
        <v>-3772117</v>
      </c>
      <c r="R823" s="7" t="str">
        <f t="shared" si="19"/>
        <v>Donnie Darko</v>
      </c>
      <c r="S823" s="43" t="str">
        <f t="shared" si="20"/>
        <v>Drama</v>
      </c>
    </row>
    <row r="824" spans="1:19" ht="15.75" customHeight="1" x14ac:dyDescent="0.25">
      <c r="A824" s="4" t="s">
        <v>628</v>
      </c>
      <c r="B824" s="4">
        <v>166</v>
      </c>
      <c r="C824" s="4">
        <v>57366262</v>
      </c>
      <c r="D824" s="4" t="s">
        <v>3098</v>
      </c>
      <c r="E824" s="4" t="s">
        <v>1358</v>
      </c>
      <c r="F824" s="4" t="s">
        <v>3099</v>
      </c>
      <c r="G824" s="4">
        <v>400292</v>
      </c>
      <c r="H824" s="4" t="s">
        <v>3100</v>
      </c>
      <c r="I824" s="4">
        <v>657</v>
      </c>
      <c r="J824" s="4" t="s">
        <v>23</v>
      </c>
      <c r="K824" s="4" t="s">
        <v>176</v>
      </c>
      <c r="L824" s="4">
        <v>100000000</v>
      </c>
      <c r="M824" s="4">
        <v>2006</v>
      </c>
      <c r="N824" s="4">
        <v>8</v>
      </c>
      <c r="O824" s="4">
        <f ca="1">IFERROR(__xludf.DUMMYFUNCTION("IF(Cost_in_dollars!E824=""USD"",Cost_in_dollars!B824,Cost_in_dollars!B824 * GOOGLEFINANCE(""CURRENCY:"" &amp; Cost_in_dollars!E824 &amp; ""USD""))
"),108474000)</f>
        <v>108474000</v>
      </c>
      <c r="P824" s="4">
        <f ca="1">IFERROR(__xludf.DUMMYFUNCTION("IF(Cost_in_dollars!E824=""USD"",Cost_in_dollars!C824,Cost_in_dollars!C824 * GOOGLEFINANCE(""CURRENCY:"" &amp; Cost_in_dollars!E824 &amp; ""USD""))
"),62227479.04188)</f>
        <v>62227479.041879997</v>
      </c>
      <c r="Q824" s="4">
        <f t="shared" ca="1" si="18"/>
        <v>-46246520.958120003</v>
      </c>
      <c r="R824" s="5" t="str">
        <f t="shared" si="19"/>
        <v>Blood Diamond</v>
      </c>
      <c r="S824" s="43" t="str">
        <f t="shared" si="20"/>
        <v>Adventure</v>
      </c>
    </row>
    <row r="825" spans="1:19" ht="15.75" customHeight="1" x14ac:dyDescent="0.25">
      <c r="A825" s="6" t="s">
        <v>2368</v>
      </c>
      <c r="B825" s="6">
        <v>231</v>
      </c>
      <c r="C825" s="6">
        <v>89706988</v>
      </c>
      <c r="D825" s="6" t="s">
        <v>314</v>
      </c>
      <c r="E825" s="6" t="s">
        <v>3101</v>
      </c>
      <c r="F825" s="6" t="s">
        <v>3102</v>
      </c>
      <c r="G825" s="6">
        <v>126746</v>
      </c>
      <c r="H825" s="6" t="s">
        <v>3103</v>
      </c>
      <c r="I825" s="6">
        <v>600</v>
      </c>
      <c r="J825" s="6" t="s">
        <v>23</v>
      </c>
      <c r="K825" s="6" t="s">
        <v>24</v>
      </c>
      <c r="L825" s="6">
        <v>55000000</v>
      </c>
      <c r="M825" s="6">
        <v>2005</v>
      </c>
      <c r="N825" s="6">
        <v>6.2</v>
      </c>
      <c r="O825" s="4">
        <f ca="1">IFERROR(__xludf.DUMMYFUNCTION("IF(Cost_in_dollars!E825=""USD"",Cost_in_dollars!B825,Cost_in_dollars!B825 * GOOGLEFINANCE(""CURRENCY:"" &amp; Cost_in_dollars!E825 &amp; ""USD""))
"),55000000)</f>
        <v>55000000</v>
      </c>
      <c r="P825" s="4">
        <f ca="1">IFERROR(__xludf.DUMMYFUNCTION("IF(Cost_in_dollars!E825=""USD"",Cost_in_dollars!C825,Cost_in_dollars!C825 * GOOGLEFINANCE(""CURRENCY:"" &amp; Cost_in_dollars!E825 &amp; ""USD""))
"),89706988)</f>
        <v>89706988</v>
      </c>
      <c r="Q825" s="6">
        <f t="shared" ca="1" si="18"/>
        <v>34706988</v>
      </c>
      <c r="R825" s="7" t="str">
        <f t="shared" si="19"/>
        <v>Flightplan</v>
      </c>
      <c r="S825" s="43" t="str">
        <f t="shared" si="20"/>
        <v>Drama</v>
      </c>
    </row>
    <row r="826" spans="1:19" ht="15.75" customHeight="1" x14ac:dyDescent="0.25">
      <c r="A826" s="4" t="s">
        <v>3084</v>
      </c>
      <c r="B826" s="4">
        <v>123</v>
      </c>
      <c r="C826" s="4">
        <v>74608545</v>
      </c>
      <c r="D826" s="4" t="s">
        <v>140</v>
      </c>
      <c r="E826" s="4" t="s">
        <v>444</v>
      </c>
      <c r="F826" s="4" t="s">
        <v>3104</v>
      </c>
      <c r="G826" s="4">
        <v>185258</v>
      </c>
      <c r="H826" s="4" t="s">
        <v>3105</v>
      </c>
      <c r="I826" s="4">
        <v>404</v>
      </c>
      <c r="J826" s="4" t="s">
        <v>23</v>
      </c>
      <c r="K826" s="4" t="s">
        <v>24</v>
      </c>
      <c r="L826" s="4">
        <v>24000000</v>
      </c>
      <c r="M826" s="4">
        <v>2003</v>
      </c>
      <c r="N826" s="4">
        <v>7.2</v>
      </c>
      <c r="O826" s="4">
        <f ca="1">IFERROR(__xludf.DUMMYFUNCTION("IF(Cost_in_dollars!E826=""USD"",Cost_in_dollars!B826,Cost_in_dollars!B826 * GOOGLEFINANCE(""CURRENCY:"" &amp; Cost_in_dollars!E826 &amp; ""USD""))
"),24000000)</f>
        <v>24000000</v>
      </c>
      <c r="P826" s="4">
        <f ca="1">IFERROR(__xludf.DUMMYFUNCTION("IF(Cost_in_dollars!E826=""USD"",Cost_in_dollars!C826,Cost_in_dollars!C826 * GOOGLEFINANCE(""CURRENCY:"" &amp; Cost_in_dollars!E826 &amp; ""USD""))
"),74608545)</f>
        <v>74608545</v>
      </c>
      <c r="Q826" s="4">
        <f t="shared" ca="1" si="18"/>
        <v>50608545</v>
      </c>
      <c r="R826" s="5" t="str">
        <f t="shared" si="19"/>
        <v>Old School</v>
      </c>
      <c r="S826" s="43" t="str">
        <f t="shared" si="20"/>
        <v>Comedy</v>
      </c>
    </row>
    <row r="827" spans="1:19" ht="15.75" customHeight="1" x14ac:dyDescent="0.25">
      <c r="A827" s="6" t="s">
        <v>3106</v>
      </c>
      <c r="B827" s="6">
        <v>59</v>
      </c>
      <c r="C827" s="6">
        <v>35927406</v>
      </c>
      <c r="D827" s="6" t="s">
        <v>452</v>
      </c>
      <c r="E827" s="6" t="s">
        <v>3107</v>
      </c>
      <c r="F827" s="6" t="s">
        <v>3108</v>
      </c>
      <c r="G827" s="6">
        <v>36363</v>
      </c>
      <c r="H827" s="6" t="s">
        <v>3109</v>
      </c>
      <c r="I827" s="6">
        <v>256</v>
      </c>
      <c r="J827" s="6" t="s">
        <v>23</v>
      </c>
      <c r="K827" s="6" t="s">
        <v>24</v>
      </c>
      <c r="L827" s="6">
        <v>30000000</v>
      </c>
      <c r="M827" s="6">
        <v>1997</v>
      </c>
      <c r="N827" s="6">
        <v>3.7</v>
      </c>
      <c r="O827" s="4">
        <f ca="1">IFERROR(__xludf.DUMMYFUNCTION("IF(Cost_in_dollars!E827=""USD"",Cost_in_dollars!B827,Cost_in_dollars!B827 * GOOGLEFINANCE(""CURRENCY:"" &amp; Cost_in_dollars!E827 &amp; ""USD""))
"),30000000)</f>
        <v>30000000</v>
      </c>
      <c r="P827" s="4">
        <f ca="1">IFERROR(__xludf.DUMMYFUNCTION("IF(Cost_in_dollars!E827=""USD"",Cost_in_dollars!C827,Cost_in_dollars!C827 * GOOGLEFINANCE(""CURRENCY:"" &amp; Cost_in_dollars!E827 &amp; ""USD""))
"),35927406)</f>
        <v>35927406</v>
      </c>
      <c r="Q827" s="6">
        <f t="shared" ca="1" si="18"/>
        <v>5927406</v>
      </c>
      <c r="R827" s="7" t="str">
        <f t="shared" si="19"/>
        <v>Mortal Kombat: Annihilation</v>
      </c>
      <c r="S827" s="43" t="str">
        <f t="shared" si="20"/>
        <v>Action</v>
      </c>
    </row>
    <row r="828" spans="1:19" ht="15.75" customHeight="1" x14ac:dyDescent="0.25">
      <c r="A828" s="4" t="s">
        <v>3110</v>
      </c>
      <c r="B828" s="4">
        <v>85</v>
      </c>
      <c r="C828" s="4">
        <v>47887943</v>
      </c>
      <c r="D828" s="4" t="s">
        <v>3111</v>
      </c>
      <c r="E828" s="4" t="s">
        <v>1232</v>
      </c>
      <c r="F828" s="4" t="s">
        <v>3112</v>
      </c>
      <c r="G828" s="4">
        <v>11634</v>
      </c>
      <c r="H828" s="4" t="s">
        <v>3113</v>
      </c>
      <c r="I828" s="4">
        <v>58</v>
      </c>
      <c r="J828" s="4" t="s">
        <v>23</v>
      </c>
      <c r="K828" s="4" t="s">
        <v>24</v>
      </c>
      <c r="L828" s="4">
        <v>20000000</v>
      </c>
      <c r="M828" s="4">
        <v>2003</v>
      </c>
      <c r="N828" s="4">
        <v>5.4</v>
      </c>
      <c r="O828" s="4">
        <f ca="1">IFERROR(__xludf.DUMMYFUNCTION("IF(Cost_in_dollars!E828=""USD"",Cost_in_dollars!B828,Cost_in_dollars!B828 * GOOGLEFINANCE(""CURRENCY:"" &amp; Cost_in_dollars!E828 &amp; ""USD""))
"),20000000)</f>
        <v>20000000</v>
      </c>
      <c r="P828" s="4">
        <f ca="1">IFERROR(__xludf.DUMMYFUNCTION("IF(Cost_in_dollars!E828=""USD"",Cost_in_dollars!C828,Cost_in_dollars!C828 * GOOGLEFINANCE(""CURRENCY:"" &amp; Cost_in_dollars!E828 &amp; ""USD""))
"),47887943)</f>
        <v>47887943</v>
      </c>
      <c r="Q828" s="4">
        <f t="shared" ca="1" si="18"/>
        <v>27887943</v>
      </c>
      <c r="R828" s="5" t="str">
        <f t="shared" si="19"/>
        <v>The Jungle Book 2</v>
      </c>
      <c r="S828" s="43" t="str">
        <f t="shared" si="20"/>
        <v>Adventure</v>
      </c>
    </row>
    <row r="829" spans="1:19" ht="15.75" customHeight="1" x14ac:dyDescent="0.25">
      <c r="A829" s="6" t="s">
        <v>638</v>
      </c>
      <c r="B829" s="6">
        <v>385</v>
      </c>
      <c r="C829" s="6">
        <v>260000000</v>
      </c>
      <c r="D829" s="6" t="s">
        <v>3098</v>
      </c>
      <c r="E829" s="6" t="s">
        <v>3114</v>
      </c>
      <c r="F829" s="6" t="s">
        <v>3115</v>
      </c>
      <c r="G829" s="6">
        <v>412454</v>
      </c>
      <c r="H829" s="6" t="s">
        <v>3116</v>
      </c>
      <c r="I829" s="6">
        <v>962</v>
      </c>
      <c r="J829" s="6" t="s">
        <v>23</v>
      </c>
      <c r="K829" s="6" t="s">
        <v>24</v>
      </c>
      <c r="L829" s="6">
        <v>8000000</v>
      </c>
      <c r="M829" s="6">
        <v>1975</v>
      </c>
      <c r="N829" s="6">
        <v>8</v>
      </c>
      <c r="O829" s="4">
        <f ca="1">IFERROR(__xludf.DUMMYFUNCTION("IF(Cost_in_dollars!E829=""USD"",Cost_in_dollars!B829,Cost_in_dollars!B829 * GOOGLEFINANCE(""CURRENCY:"" &amp; Cost_in_dollars!E829 &amp; ""USD""))
"),8000000)</f>
        <v>8000000</v>
      </c>
      <c r="P829" s="4">
        <f ca="1">IFERROR(__xludf.DUMMYFUNCTION("IF(Cost_in_dollars!E829=""USD"",Cost_in_dollars!C829,Cost_in_dollars!C829 * GOOGLEFINANCE(""CURRENCY:"" &amp; Cost_in_dollars!E829 &amp; ""USD""))
"),260000000)</f>
        <v>260000000</v>
      </c>
      <c r="Q829" s="6">
        <f t="shared" ca="1" si="18"/>
        <v>252000000</v>
      </c>
      <c r="R829" s="7" t="str">
        <f t="shared" si="19"/>
        <v>Jaws</v>
      </c>
      <c r="S829" s="43" t="str">
        <f t="shared" si="20"/>
        <v>Adventure</v>
      </c>
    </row>
    <row r="830" spans="1:19" ht="15.75" customHeight="1" x14ac:dyDescent="0.25">
      <c r="A830" s="4" t="s">
        <v>3117</v>
      </c>
      <c r="B830" s="4">
        <v>166</v>
      </c>
      <c r="C830" s="4">
        <v>37567440</v>
      </c>
      <c r="D830" s="4" t="s">
        <v>3118</v>
      </c>
      <c r="E830" s="4" t="s">
        <v>3119</v>
      </c>
      <c r="F830" s="4" t="s">
        <v>3120</v>
      </c>
      <c r="G830" s="4">
        <v>113068</v>
      </c>
      <c r="H830" s="4" t="s">
        <v>3121</v>
      </c>
      <c r="I830" s="4">
        <v>337</v>
      </c>
      <c r="J830" s="4" t="s">
        <v>23</v>
      </c>
      <c r="K830" s="4" t="s">
        <v>24</v>
      </c>
      <c r="L830" s="4">
        <v>20000000</v>
      </c>
      <c r="M830" s="4">
        <v>1982</v>
      </c>
      <c r="N830" s="4">
        <v>6.9</v>
      </c>
      <c r="O830" s="4">
        <f ca="1">IFERROR(__xludf.DUMMYFUNCTION("IF(Cost_in_dollars!E830=""USD"",Cost_in_dollars!B830,Cost_in_dollars!B830 * GOOGLEFINANCE(""CURRENCY:"" &amp; Cost_in_dollars!E830 &amp; ""USD""))
"),20000000)</f>
        <v>20000000</v>
      </c>
      <c r="P830" s="4">
        <f ca="1">IFERROR(__xludf.DUMMYFUNCTION("IF(Cost_in_dollars!E830=""USD"",Cost_in_dollars!C830,Cost_in_dollars!C830 * GOOGLEFINANCE(""CURRENCY:"" &amp; Cost_in_dollars!E830 &amp; ""USD""))
"),37567440)</f>
        <v>37567440</v>
      </c>
      <c r="Q830" s="4">
        <f t="shared" ca="1" si="18"/>
        <v>17567440</v>
      </c>
      <c r="R830" s="5" t="str">
        <f t="shared" si="19"/>
        <v>Conan the Barbarian</v>
      </c>
      <c r="S830" s="43" t="str">
        <f t="shared" si="20"/>
        <v>Adventure</v>
      </c>
    </row>
    <row r="831" spans="1:19" ht="15.75" customHeight="1" x14ac:dyDescent="0.25">
      <c r="A831" s="6" t="s">
        <v>935</v>
      </c>
      <c r="B831" s="6">
        <v>152</v>
      </c>
      <c r="C831" s="6">
        <v>4859475</v>
      </c>
      <c r="D831" s="6" t="s">
        <v>235</v>
      </c>
      <c r="E831" s="6" t="s">
        <v>954</v>
      </c>
      <c r="F831" s="6" t="s">
        <v>3122</v>
      </c>
      <c r="G831" s="6">
        <v>116910</v>
      </c>
      <c r="H831" s="6" t="s">
        <v>3123</v>
      </c>
      <c r="I831" s="6">
        <v>520</v>
      </c>
      <c r="J831" s="6" t="s">
        <v>23</v>
      </c>
      <c r="K831" s="6" t="s">
        <v>24</v>
      </c>
      <c r="L831" s="6">
        <v>6000000</v>
      </c>
      <c r="M831" s="6">
        <v>1999</v>
      </c>
      <c r="N831" s="6">
        <v>7.2</v>
      </c>
      <c r="O831" s="4">
        <f ca="1">IFERROR(__xludf.DUMMYFUNCTION("IF(Cost_in_dollars!E831=""USD"",Cost_in_dollars!B831,Cost_in_dollars!B831 * GOOGLEFINANCE(""CURRENCY:"" &amp; Cost_in_dollars!E831 &amp; ""USD""))
"),6000000)</f>
        <v>6000000</v>
      </c>
      <c r="P831" s="4">
        <f ca="1">IFERROR(__xludf.DUMMYFUNCTION("IF(Cost_in_dollars!E831=""USD"",Cost_in_dollars!C831,Cost_in_dollars!C831 * GOOGLEFINANCE(""CURRENCY:"" &amp; Cost_in_dollars!E831 &amp; ""USD""))
"),4859475)</f>
        <v>4859475</v>
      </c>
      <c r="Q831" s="6">
        <f t="shared" ca="1" si="18"/>
        <v>-1140525</v>
      </c>
      <c r="R831" s="7" t="str">
        <f t="shared" si="19"/>
        <v>The Virgin Suicides</v>
      </c>
      <c r="S831" s="43" t="str">
        <f t="shared" si="20"/>
        <v>Drama</v>
      </c>
    </row>
    <row r="832" spans="1:19" ht="15.75" customHeight="1" x14ac:dyDescent="0.25">
      <c r="A832" s="4" t="s">
        <v>899</v>
      </c>
      <c r="B832" s="4">
        <v>206</v>
      </c>
      <c r="C832" s="4">
        <v>30651422</v>
      </c>
      <c r="D832" s="4" t="s">
        <v>3124</v>
      </c>
      <c r="E832" s="4" t="s">
        <v>588</v>
      </c>
      <c r="F832" s="4" t="s">
        <v>3125</v>
      </c>
      <c r="G832" s="4">
        <v>181737</v>
      </c>
      <c r="H832" s="4" t="s">
        <v>3126</v>
      </c>
      <c r="I832" s="4">
        <v>1015</v>
      </c>
      <c r="J832" s="4" t="s">
        <v>23</v>
      </c>
      <c r="K832" s="4" t="s">
        <v>24</v>
      </c>
      <c r="L832" s="4">
        <v>10000000</v>
      </c>
      <c r="M832" s="4">
        <v>1999</v>
      </c>
      <c r="N832" s="4">
        <v>7.4</v>
      </c>
      <c r="O832" s="4">
        <f ca="1">IFERROR(__xludf.DUMMYFUNCTION("IF(Cost_in_dollars!E832=""USD"",Cost_in_dollars!B832,Cost_in_dollars!B832 * GOOGLEFINANCE(""CURRENCY:"" &amp; Cost_in_dollars!E832 &amp; ""USD""))
"),10000000)</f>
        <v>10000000</v>
      </c>
      <c r="P832" s="4">
        <f ca="1">IFERROR(__xludf.DUMMYFUNCTION("IF(Cost_in_dollars!E832=""USD"",Cost_in_dollars!C832,Cost_in_dollars!C832 * GOOGLEFINANCE(""CURRENCY:"" &amp; Cost_in_dollars!E832 &amp; ""USD""))
"),30651422)</f>
        <v>30651422</v>
      </c>
      <c r="Q832" s="4">
        <f t="shared" ca="1" si="18"/>
        <v>20651422</v>
      </c>
      <c r="R832" s="5" t="str">
        <f t="shared" si="19"/>
        <v>Dogma</v>
      </c>
      <c r="S832" s="43" t="str">
        <f t="shared" si="20"/>
        <v>Adventure</v>
      </c>
    </row>
    <row r="833" spans="1:19" ht="15.75" customHeight="1" x14ac:dyDescent="0.25">
      <c r="A833" s="6" t="s">
        <v>3127</v>
      </c>
      <c r="B833" s="6">
        <v>167</v>
      </c>
      <c r="C833" s="6">
        <v>35143332</v>
      </c>
      <c r="D833" s="6" t="s">
        <v>151</v>
      </c>
      <c r="E833" s="6" t="s">
        <v>3128</v>
      </c>
      <c r="F833" s="6" t="s">
        <v>3129</v>
      </c>
      <c r="G833" s="6">
        <v>45102</v>
      </c>
      <c r="H833" s="6" t="s">
        <v>3130</v>
      </c>
      <c r="I833" s="6">
        <v>316</v>
      </c>
      <c r="J833" s="6" t="s">
        <v>23</v>
      </c>
      <c r="K833" s="6" t="s">
        <v>24</v>
      </c>
      <c r="L833" s="6">
        <v>17000000</v>
      </c>
      <c r="M833" s="6">
        <v>2003</v>
      </c>
      <c r="N833" s="6">
        <v>5.6</v>
      </c>
      <c r="O833" s="4">
        <f ca="1">IFERROR(__xludf.DUMMYFUNCTION("IF(Cost_in_dollars!E833=""USD"",Cost_in_dollars!B833,Cost_in_dollars!B833 * GOOGLEFINANCE(""CURRENCY:"" &amp; Cost_in_dollars!E833 &amp; ""USD""))
"),17000000)</f>
        <v>17000000</v>
      </c>
      <c r="P833" s="4">
        <f ca="1">IFERROR(__xludf.DUMMYFUNCTION("IF(Cost_in_dollars!E833=""USD"",Cost_in_dollars!C833,Cost_in_dollars!C833 * GOOGLEFINANCE(""CURRENCY:"" &amp; Cost_in_dollars!E833 &amp; ""USD""))
"),35143332)</f>
        <v>35143332</v>
      </c>
      <c r="Q833" s="6">
        <f t="shared" ca="1" si="18"/>
        <v>18143332</v>
      </c>
      <c r="R833" s="7" t="str">
        <f t="shared" si="19"/>
        <v>Jeepers Creepers II</v>
      </c>
      <c r="S833" s="43" t="str">
        <f t="shared" si="20"/>
        <v>Horror</v>
      </c>
    </row>
    <row r="834" spans="1:19" ht="15.75" customHeight="1" x14ac:dyDescent="0.25">
      <c r="A834" s="4" t="s">
        <v>3131</v>
      </c>
      <c r="B834" s="4">
        <v>414</v>
      </c>
      <c r="C834" s="4">
        <v>14938570</v>
      </c>
      <c r="D834" s="4" t="s">
        <v>319</v>
      </c>
      <c r="E834" s="4" t="s">
        <v>1436</v>
      </c>
      <c r="F834" s="4" t="s">
        <v>3132</v>
      </c>
      <c r="G834" s="4">
        <v>111625</v>
      </c>
      <c r="H834" s="4" t="s">
        <v>3133</v>
      </c>
      <c r="I834" s="4">
        <v>369</v>
      </c>
      <c r="J834" s="4" t="s">
        <v>23</v>
      </c>
      <c r="K834" s="4" t="s">
        <v>24</v>
      </c>
      <c r="L834" s="4">
        <v>15000000</v>
      </c>
      <c r="M834" s="4">
        <v>2012</v>
      </c>
      <c r="N834" s="4">
        <v>6.2</v>
      </c>
      <c r="O834" s="4">
        <f ca="1">IFERROR(__xludf.DUMMYFUNCTION("IF(Cost_in_dollars!E834=""USD"",Cost_in_dollars!B834,Cost_in_dollars!B834 * GOOGLEFINANCE(""CURRENCY:"" &amp; Cost_in_dollars!E834 &amp; ""USD""))
"),15000000)</f>
        <v>15000000</v>
      </c>
      <c r="P834" s="4">
        <f ca="1">IFERROR(__xludf.DUMMYFUNCTION("IF(Cost_in_dollars!E834=""USD"",Cost_in_dollars!C834,Cost_in_dollars!C834 * GOOGLEFINANCE(""CURRENCY:"" &amp; Cost_in_dollars!E834 &amp; ""USD""))
"),14938570)</f>
        <v>14938570</v>
      </c>
      <c r="Q834" s="4">
        <f t="shared" ca="1" si="18"/>
        <v>-61430</v>
      </c>
      <c r="R834" s="5" t="str">
        <f t="shared" si="19"/>
        <v>Killing Them Softly</v>
      </c>
      <c r="S834" s="43" t="str">
        <f t="shared" ref="S834:S897" si="21">IF(ISNUMBER(FIND("|", D834)), LEFT(D834, FIND("|", D834) - 1), D834)</f>
        <v>Crime</v>
      </c>
    </row>
    <row r="835" spans="1:19" ht="15.75" customHeight="1" x14ac:dyDescent="0.25">
      <c r="A835" s="6" t="s">
        <v>2022</v>
      </c>
      <c r="B835" s="6">
        <v>175</v>
      </c>
      <c r="C835" s="6">
        <v>76806312</v>
      </c>
      <c r="D835" s="6" t="s">
        <v>88</v>
      </c>
      <c r="E835" s="6" t="s">
        <v>645</v>
      </c>
      <c r="F835" s="6" t="s">
        <v>3134</v>
      </c>
      <c r="G835" s="6">
        <v>124501</v>
      </c>
      <c r="H835" s="6" t="s">
        <v>3135</v>
      </c>
      <c r="I835" s="6">
        <v>154</v>
      </c>
      <c r="J835" s="6" t="s">
        <v>23</v>
      </c>
      <c r="K835" s="6" t="s">
        <v>24</v>
      </c>
      <c r="L835" s="6">
        <v>30000000</v>
      </c>
      <c r="M835" s="6">
        <v>2008</v>
      </c>
      <c r="N835" s="6">
        <v>6.1</v>
      </c>
      <c r="O835" s="4">
        <f ca="1">IFERROR(__xludf.DUMMYFUNCTION("IF(Cost_in_dollars!E835=""USD"",Cost_in_dollars!B835,Cost_in_dollars!B835 * GOOGLEFINANCE(""CURRENCY:"" &amp; Cost_in_dollars!E835 &amp; ""USD""))
"),30000000)</f>
        <v>30000000</v>
      </c>
      <c r="P835" s="4">
        <f ca="1">IFERROR(__xludf.DUMMYFUNCTION("IF(Cost_in_dollars!E835=""USD"",Cost_in_dollars!C835,Cost_in_dollars!C835 * GOOGLEFINANCE(""CURRENCY:"" &amp; Cost_in_dollars!E835 &amp; ""USD""))
"),76806312)</f>
        <v>76806312</v>
      </c>
      <c r="Q835" s="6">
        <f t="shared" ca="1" si="18"/>
        <v>46806312</v>
      </c>
      <c r="R835" s="7" t="str">
        <f t="shared" si="19"/>
        <v>27 Dresses</v>
      </c>
      <c r="S835" s="43" t="str">
        <f t="shared" si="21"/>
        <v>Comedy</v>
      </c>
    </row>
    <row r="836" spans="1:19" ht="15.75" customHeight="1" x14ac:dyDescent="0.25">
      <c r="A836" s="4" t="s">
        <v>3136</v>
      </c>
      <c r="B836" s="4">
        <v>16</v>
      </c>
      <c r="C836" s="4">
        <v>700000</v>
      </c>
      <c r="D836" s="4" t="s">
        <v>3137</v>
      </c>
      <c r="E836" s="4" t="s">
        <v>3138</v>
      </c>
      <c r="F836" s="4" t="s">
        <v>3139</v>
      </c>
      <c r="G836" s="4">
        <v>24438</v>
      </c>
      <c r="H836" s="4" t="s">
        <v>3140</v>
      </c>
      <c r="I836" s="4">
        <v>78</v>
      </c>
      <c r="J836" s="4" t="s">
        <v>661</v>
      </c>
      <c r="K836" s="4" t="s">
        <v>611</v>
      </c>
      <c r="L836" s="4">
        <v>50000000</v>
      </c>
      <c r="M836" s="4">
        <v>1993</v>
      </c>
      <c r="N836" s="4">
        <v>7</v>
      </c>
      <c r="O836" s="4">
        <f ca="1">IFERROR(__xludf.DUMMYFUNCTION("IF(Cost_in_dollars!E836=""USD"",Cost_in_dollars!B836,Cost_in_dollars!B836 * GOOGLEFINANCE(""CURRENCY:"" &amp; Cost_in_dollars!E836 &amp; ""USD""))
"),54237000)</f>
        <v>54237000</v>
      </c>
      <c r="P836" s="4">
        <f ca="1">IFERROR(__xludf.DUMMYFUNCTION("IF(Cost_in_dollars!E836=""USD"",Cost_in_dollars!C836,Cost_in_dollars!C836 * GOOGLEFINANCE(""CURRENCY:"" &amp; Cost_in_dollars!E836 &amp; ""USD""))
"),759318)</f>
        <v>759318</v>
      </c>
      <c r="Q836" s="4">
        <f t="shared" ca="1" si="18"/>
        <v>-53477682</v>
      </c>
      <c r="R836" s="5" t="str">
        <f t="shared" si="19"/>
        <v>Les visiteurs</v>
      </c>
      <c r="S836" s="43" t="str">
        <f t="shared" si="21"/>
        <v>Comedy</v>
      </c>
    </row>
    <row r="837" spans="1:19" ht="15.75" customHeight="1" x14ac:dyDescent="0.25">
      <c r="A837" s="6" t="s">
        <v>3141</v>
      </c>
      <c r="B837" s="6">
        <v>45</v>
      </c>
      <c r="C837" s="6">
        <v>6420319</v>
      </c>
      <c r="D837" s="6" t="s">
        <v>682</v>
      </c>
      <c r="E837" s="6" t="s">
        <v>1503</v>
      </c>
      <c r="F837" s="6" t="s">
        <v>3142</v>
      </c>
      <c r="G837" s="6">
        <v>15978</v>
      </c>
      <c r="H837" s="6" t="s">
        <v>109</v>
      </c>
      <c r="I837" s="6">
        <v>122</v>
      </c>
      <c r="J837" s="6" t="s">
        <v>23</v>
      </c>
      <c r="K837" s="6" t="s">
        <v>1220</v>
      </c>
      <c r="L837" s="6">
        <v>20000000</v>
      </c>
      <c r="M837" s="6">
        <v>2015</v>
      </c>
      <c r="N837" s="6">
        <v>7.4</v>
      </c>
      <c r="O837" s="4">
        <f ca="1">IFERROR(__xludf.DUMMYFUNCTION("IF(Cost_in_dollars!E837=""USD"",Cost_in_dollars!B837,Cost_in_dollars!B837 * GOOGLEFINANCE(""CURRENCY:"" &amp; Cost_in_dollars!E837 &amp; ""USD""))
"),1084093.8)</f>
        <v>1084093.8</v>
      </c>
      <c r="P837" s="4">
        <f ca="1">IFERROR(__xludf.DUMMYFUNCTION("IF(Cost_in_dollars!E837=""USD"",Cost_in_dollars!C837,Cost_in_dollars!C837 * GOOGLEFINANCE(""CURRENCY:"" &amp; Cost_in_dollars!E837 &amp; ""USD""))
"),348011.40109611)</f>
        <v>348011.40109611</v>
      </c>
      <c r="Q837" s="6">
        <f t="shared" ca="1" si="18"/>
        <v>-736082.39890389005</v>
      </c>
      <c r="R837" s="7" t="str">
        <f t="shared" si="19"/>
        <v>Little Boy</v>
      </c>
      <c r="S837" s="43" t="str">
        <f t="shared" si="21"/>
        <v>Drama</v>
      </c>
    </row>
    <row r="838" spans="1:19" ht="15.75" customHeight="1" x14ac:dyDescent="0.25">
      <c r="A838" s="4" t="s">
        <v>755</v>
      </c>
      <c r="B838" s="4">
        <v>269</v>
      </c>
      <c r="C838" s="4">
        <v>66636385</v>
      </c>
      <c r="D838" s="4" t="s">
        <v>3143</v>
      </c>
      <c r="E838" s="4" t="s">
        <v>1347</v>
      </c>
      <c r="F838" s="4" t="s">
        <v>3144</v>
      </c>
      <c r="G838" s="4">
        <v>88451</v>
      </c>
      <c r="H838" s="4" t="s">
        <v>3145</v>
      </c>
      <c r="I838" s="4">
        <v>289</v>
      </c>
      <c r="J838" s="4" t="s">
        <v>23</v>
      </c>
      <c r="K838" s="4" t="s">
        <v>24</v>
      </c>
      <c r="L838" s="4">
        <v>75000000</v>
      </c>
      <c r="M838" s="4">
        <v>2007</v>
      </c>
      <c r="N838" s="4">
        <v>7.1</v>
      </c>
      <c r="O838" s="4">
        <f ca="1">IFERROR(__xludf.DUMMYFUNCTION("IF(Cost_in_dollars!E838=""USD"",Cost_in_dollars!B838,Cost_in_dollars!B838 * GOOGLEFINANCE(""CURRENCY:"" &amp; Cost_in_dollars!E838 &amp; ""USD""))
"),75000000)</f>
        <v>75000000</v>
      </c>
      <c r="P838" s="4">
        <f ca="1">IFERROR(__xludf.DUMMYFUNCTION("IF(Cost_in_dollars!E838=""USD"",Cost_in_dollars!C838,Cost_in_dollars!C838 * GOOGLEFINANCE(""CURRENCY:"" &amp; Cost_in_dollars!E838 &amp; ""USD""))
"),66636385)</f>
        <v>66636385</v>
      </c>
      <c r="Q838" s="4">
        <f t="shared" ca="1" si="18"/>
        <v>-8363615</v>
      </c>
      <c r="R838" s="5" t="str">
        <f t="shared" si="19"/>
        <v>Charlie Wilson's War</v>
      </c>
      <c r="S838" s="43" t="str">
        <f t="shared" si="21"/>
        <v>Biography</v>
      </c>
    </row>
    <row r="839" spans="1:19" ht="15.75" customHeight="1" x14ac:dyDescent="0.25">
      <c r="A839" s="6" t="s">
        <v>2022</v>
      </c>
      <c r="B839" s="6">
        <v>224</v>
      </c>
      <c r="C839" s="6">
        <v>163947053</v>
      </c>
      <c r="D839" s="6" t="s">
        <v>162</v>
      </c>
      <c r="E839" s="6" t="s">
        <v>2466</v>
      </c>
      <c r="F839" s="6" t="s">
        <v>3146</v>
      </c>
      <c r="G839" s="6">
        <v>227824</v>
      </c>
      <c r="H839" s="6" t="s">
        <v>3147</v>
      </c>
      <c r="I839" s="6">
        <v>273</v>
      </c>
      <c r="J839" s="6" t="s">
        <v>23</v>
      </c>
      <c r="K839" s="6" t="s">
        <v>24</v>
      </c>
      <c r="L839" s="6">
        <v>40000000</v>
      </c>
      <c r="M839" s="6">
        <v>2009</v>
      </c>
      <c r="N839" s="6">
        <v>6.7</v>
      </c>
      <c r="O839" s="4">
        <f ca="1">IFERROR(__xludf.DUMMYFUNCTION("IF(Cost_in_dollars!E839=""USD"",Cost_in_dollars!B839,Cost_in_dollars!B839 * GOOGLEFINANCE(""CURRENCY:"" &amp; Cost_in_dollars!E839 &amp; ""USD""))
"),40000000)</f>
        <v>40000000</v>
      </c>
      <c r="P839" s="4">
        <f ca="1">IFERROR(__xludf.DUMMYFUNCTION("IF(Cost_in_dollars!E839=""USD"",Cost_in_dollars!C839,Cost_in_dollars!C839 * GOOGLEFINANCE(""CURRENCY:"" &amp; Cost_in_dollars!E839 &amp; ""USD""))
"),163947053)</f>
        <v>163947053</v>
      </c>
      <c r="Q839" s="6">
        <f t="shared" ca="1" si="18"/>
        <v>123947053</v>
      </c>
      <c r="R839" s="7" t="str">
        <f t="shared" si="19"/>
        <v>The Proposal</v>
      </c>
      <c r="S839" s="43" t="str">
        <f t="shared" si="21"/>
        <v>Comedy</v>
      </c>
    </row>
    <row r="840" spans="1:19" ht="15.75" customHeight="1" x14ac:dyDescent="0.25">
      <c r="A840" s="4" t="s">
        <v>161</v>
      </c>
      <c r="B840" s="4">
        <v>156</v>
      </c>
      <c r="C840" s="4">
        <v>147637474</v>
      </c>
      <c r="D840" s="4" t="s">
        <v>162</v>
      </c>
      <c r="E840" s="4" t="s">
        <v>3148</v>
      </c>
      <c r="F840" s="4" t="s">
        <v>3149</v>
      </c>
      <c r="G840" s="4">
        <v>224671</v>
      </c>
      <c r="H840" s="4" t="s">
        <v>3150</v>
      </c>
      <c r="I840" s="4">
        <v>470</v>
      </c>
      <c r="J840" s="4" t="s">
        <v>23</v>
      </c>
      <c r="K840" s="4" t="s">
        <v>24</v>
      </c>
      <c r="L840" s="4">
        <v>50000000</v>
      </c>
      <c r="M840" s="4">
        <v>1997</v>
      </c>
      <c r="N840" s="4">
        <v>7.7</v>
      </c>
      <c r="O840" s="4">
        <f ca="1">IFERROR(__xludf.DUMMYFUNCTION("IF(Cost_in_dollars!E840=""USD"",Cost_in_dollars!B840,Cost_in_dollars!B840 * GOOGLEFINANCE(""CURRENCY:"" &amp; Cost_in_dollars!E840 &amp; ""USD""))
"),50000000)</f>
        <v>50000000</v>
      </c>
      <c r="P840" s="4">
        <f ca="1">IFERROR(__xludf.DUMMYFUNCTION("IF(Cost_in_dollars!E840=""USD"",Cost_in_dollars!C840,Cost_in_dollars!C840 * GOOGLEFINANCE(""CURRENCY:"" &amp; Cost_in_dollars!E840 &amp; ""USD""))
"),147637474)</f>
        <v>147637474</v>
      </c>
      <c r="Q840" s="4">
        <f t="shared" ca="1" si="18"/>
        <v>97637474</v>
      </c>
      <c r="R840" s="5" t="str">
        <f t="shared" si="19"/>
        <v>As Good as It Gets</v>
      </c>
      <c r="S840" s="43" t="str">
        <f t="shared" si="21"/>
        <v>Comedy</v>
      </c>
    </row>
    <row r="841" spans="1:19" ht="15.75" customHeight="1" x14ac:dyDescent="0.25">
      <c r="A841" s="6" t="s">
        <v>3151</v>
      </c>
      <c r="B841" s="6">
        <v>261</v>
      </c>
      <c r="C841" s="6">
        <v>16901126</v>
      </c>
      <c r="D841" s="6" t="s">
        <v>3152</v>
      </c>
      <c r="E841" s="6" t="s">
        <v>3153</v>
      </c>
      <c r="F841" s="6" t="s">
        <v>3154</v>
      </c>
      <c r="G841" s="6">
        <v>76267</v>
      </c>
      <c r="H841" s="6" t="s">
        <v>3155</v>
      </c>
      <c r="I841" s="6">
        <v>687</v>
      </c>
      <c r="J841" s="6" t="s">
        <v>23</v>
      </c>
      <c r="K841" s="6" t="s">
        <v>24</v>
      </c>
      <c r="L841" s="6">
        <v>7000000</v>
      </c>
      <c r="M841" s="6">
        <v>2005</v>
      </c>
      <c r="N841" s="6">
        <v>6.9</v>
      </c>
      <c r="O841" s="4">
        <f ca="1">IFERROR(__xludf.DUMMYFUNCTION("IF(Cost_in_dollars!E841=""USD"",Cost_in_dollars!B841,Cost_in_dollars!B841 * GOOGLEFINANCE(""CURRENCY:"" &amp; Cost_in_dollars!E841 &amp; ""USD""))
"),7000000)</f>
        <v>7000000</v>
      </c>
      <c r="P841" s="4">
        <f ca="1">IFERROR(__xludf.DUMMYFUNCTION("IF(Cost_in_dollars!E841=""USD"",Cost_in_dollars!C841,Cost_in_dollars!C841 * GOOGLEFINANCE(""CURRENCY:"" &amp; Cost_in_dollars!E841 &amp; ""USD""))
"),16901126)</f>
        <v>16901126</v>
      </c>
      <c r="Q841" s="6">
        <f t="shared" ca="1" si="18"/>
        <v>9901126</v>
      </c>
      <c r="R841" s="7" t="str">
        <f t="shared" si="19"/>
        <v>The Devil's Rejects</v>
      </c>
      <c r="S841" s="43" t="str">
        <f t="shared" si="21"/>
        <v>Crime</v>
      </c>
    </row>
    <row r="842" spans="1:19" ht="15.75" customHeight="1" x14ac:dyDescent="0.25">
      <c r="A842" s="4" t="s">
        <v>2719</v>
      </c>
      <c r="B842" s="4">
        <v>271</v>
      </c>
      <c r="C842" s="4">
        <v>28747570</v>
      </c>
      <c r="D842" s="4" t="s">
        <v>1788</v>
      </c>
      <c r="E842" s="4" t="s">
        <v>1347</v>
      </c>
      <c r="F842" s="4" t="s">
        <v>3156</v>
      </c>
      <c r="G842" s="4">
        <v>100571</v>
      </c>
      <c r="H842" s="4" t="s">
        <v>3157</v>
      </c>
      <c r="I842" s="4">
        <v>416</v>
      </c>
      <c r="J842" s="4" t="s">
        <v>23</v>
      </c>
      <c r="K842" s="4" t="s">
        <v>627</v>
      </c>
      <c r="L842" s="4">
        <v>7000000</v>
      </c>
      <c r="M842" s="4">
        <v>2005</v>
      </c>
      <c r="N842" s="4">
        <v>7.4</v>
      </c>
      <c r="O842" s="4">
        <f ca="1">IFERROR(__xludf.DUMMYFUNCTION("IF(Cost_in_dollars!E842=""USD"",Cost_in_dollars!B842,Cost_in_dollars!B842 * GOOGLEFINANCE(""CURRENCY:"" &amp; Cost_in_dollars!E842 &amp; ""USD""))
"),5063835)</f>
        <v>5063835</v>
      </c>
      <c r="P842" s="4">
        <f ca="1">IFERROR(__xludf.DUMMYFUNCTION("IF(Cost_in_dollars!E842=""USD"",Cost_in_dollars!C842,Cost_in_dollars!C842 * GOOGLEFINANCE(""CURRENCY:"" &amp; Cost_in_dollars!E842 &amp; ""USD""))
"),20796135.87585)</f>
        <v>20796135.875849999</v>
      </c>
      <c r="Q842" s="4">
        <f t="shared" ca="1" si="18"/>
        <v>15732300.875849999</v>
      </c>
      <c r="R842" s="5" t="str">
        <f t="shared" si="19"/>
        <v>Capote</v>
      </c>
      <c r="S842" s="43" t="str">
        <f t="shared" si="21"/>
        <v>Biography</v>
      </c>
    </row>
    <row r="843" spans="1:19" ht="15.75" customHeight="1" x14ac:dyDescent="0.25">
      <c r="A843" s="6" t="s">
        <v>966</v>
      </c>
      <c r="B843" s="6">
        <v>242</v>
      </c>
      <c r="C843" s="6">
        <v>2035566</v>
      </c>
      <c r="D843" s="6" t="s">
        <v>3158</v>
      </c>
      <c r="E843" s="6" t="s">
        <v>3159</v>
      </c>
      <c r="F843" s="6" t="s">
        <v>3160</v>
      </c>
      <c r="G843" s="6">
        <v>77305</v>
      </c>
      <c r="H843" s="6" t="s">
        <v>3161</v>
      </c>
      <c r="I843" s="6">
        <v>162</v>
      </c>
      <c r="J843" s="6" t="s">
        <v>23</v>
      </c>
      <c r="K843" s="6" t="s">
        <v>611</v>
      </c>
      <c r="L843" s="6">
        <v>13000000</v>
      </c>
      <c r="M843" s="6">
        <v>2009</v>
      </c>
      <c r="N843" s="6">
        <v>6.6</v>
      </c>
      <c r="O843" s="4">
        <f ca="1">IFERROR(__xludf.DUMMYFUNCTION("IF(Cost_in_dollars!E843=""USD"",Cost_in_dollars!B843,Cost_in_dollars!B843 * GOOGLEFINANCE(""CURRENCY:"" &amp; Cost_in_dollars!E843 &amp; ""USD""))
"),14101620)</f>
        <v>14101620</v>
      </c>
      <c r="P843" s="4">
        <f ca="1">IFERROR(__xludf.DUMMYFUNCTION("IF(Cost_in_dollars!E843=""USD"",Cost_in_dollars!C843,Cost_in_dollars!C843 * GOOGLEFINANCE(""CURRENCY:"" &amp; Cost_in_dollars!E843 &amp; ""USD""))
"),2208059.86284)</f>
        <v>2208059.8628400001</v>
      </c>
      <c r="Q843" s="6">
        <f t="shared" ca="1" si="18"/>
        <v>-11893560.137159999</v>
      </c>
      <c r="R843" s="7" t="str">
        <f t="shared" si="19"/>
        <v>I Love You Phillip Morris</v>
      </c>
      <c r="S843" s="43" t="str">
        <f t="shared" si="21"/>
        <v>Biography</v>
      </c>
    </row>
    <row r="844" spans="1:19" ht="15.75" customHeight="1" x14ac:dyDescent="0.25">
      <c r="A844" s="4" t="s">
        <v>3162</v>
      </c>
      <c r="B844" s="4">
        <v>102</v>
      </c>
      <c r="C844" s="4">
        <v>1500000</v>
      </c>
      <c r="D844" s="4" t="s">
        <v>2068</v>
      </c>
      <c r="E844" s="4" t="s">
        <v>1410</v>
      </c>
      <c r="F844" s="4" t="s">
        <v>3163</v>
      </c>
      <c r="G844" s="4">
        <v>9830</v>
      </c>
      <c r="H844" s="4" t="s">
        <v>3164</v>
      </c>
      <c r="I844" s="4">
        <v>189</v>
      </c>
      <c r="J844" s="4" t="s">
        <v>23</v>
      </c>
      <c r="K844" s="4" t="s">
        <v>24</v>
      </c>
      <c r="L844" s="4">
        <v>44000000</v>
      </c>
      <c r="M844" s="4">
        <v>1980</v>
      </c>
      <c r="N844" s="4">
        <v>6.8</v>
      </c>
      <c r="O844" s="4">
        <f ca="1">IFERROR(__xludf.DUMMYFUNCTION("IF(Cost_in_dollars!E844=""USD"",Cost_in_dollars!B844,Cost_in_dollars!B844 * GOOGLEFINANCE(""CURRENCY:"" &amp; Cost_in_dollars!E844 &amp; ""USD""))
"),44000000)</f>
        <v>44000000</v>
      </c>
      <c r="P844" s="4">
        <f ca="1">IFERROR(__xludf.DUMMYFUNCTION("IF(Cost_in_dollars!E844=""USD"",Cost_in_dollars!C844,Cost_in_dollars!C844 * GOOGLEFINANCE(""CURRENCY:"" &amp; Cost_in_dollars!E844 &amp; ""USD""))
"),1500000)</f>
        <v>1500000</v>
      </c>
      <c r="Q844" s="4">
        <f t="shared" ca="1" si="18"/>
        <v>-42500000</v>
      </c>
      <c r="R844" s="5" t="str">
        <f t="shared" si="19"/>
        <v>Heaven's Gate</v>
      </c>
      <c r="S844" s="43" t="str">
        <f t="shared" si="21"/>
        <v>Adventure</v>
      </c>
    </row>
    <row r="845" spans="1:19" ht="15.75" customHeight="1" x14ac:dyDescent="0.25">
      <c r="A845" s="6" t="s">
        <v>993</v>
      </c>
      <c r="B845" s="6">
        <v>76</v>
      </c>
      <c r="C845" s="6">
        <v>42168445</v>
      </c>
      <c r="D845" s="6" t="s">
        <v>162</v>
      </c>
      <c r="E845" s="6" t="s">
        <v>2292</v>
      </c>
      <c r="F845" s="6" t="s">
        <v>3165</v>
      </c>
      <c r="G845" s="6">
        <v>10791</v>
      </c>
      <c r="H845" s="6" t="s">
        <v>3166</v>
      </c>
      <c r="I845" s="6">
        <v>39</v>
      </c>
      <c r="J845" s="6" t="s">
        <v>23</v>
      </c>
      <c r="K845" s="6" t="s">
        <v>24</v>
      </c>
      <c r="L845" s="6">
        <v>35000000</v>
      </c>
      <c r="M845" s="6">
        <v>2008</v>
      </c>
      <c r="N845" s="6">
        <v>5.3</v>
      </c>
      <c r="O845" s="4">
        <f ca="1">IFERROR(__xludf.DUMMYFUNCTION("IF(Cost_in_dollars!E845=""USD"",Cost_in_dollars!B845,Cost_in_dollars!B845 * GOOGLEFINANCE(""CURRENCY:"" &amp; Cost_in_dollars!E845 &amp; ""USD""))
"),35000000)</f>
        <v>35000000</v>
      </c>
      <c r="P845" s="4">
        <f ca="1">IFERROR(__xludf.DUMMYFUNCTION("IF(Cost_in_dollars!E845=""USD"",Cost_in_dollars!C845,Cost_in_dollars!C845 * GOOGLEFINANCE(""CURRENCY:"" &amp; Cost_in_dollars!E845 &amp; ""USD""))
"),42168445)</f>
        <v>42168445</v>
      </c>
      <c r="Q845" s="6">
        <f t="shared" ca="1" si="18"/>
        <v>7168445</v>
      </c>
      <c r="R845" s="7" t="str">
        <f t="shared" si="19"/>
        <v>Welcome Home, Roscoe Jenkins</v>
      </c>
      <c r="S845" s="43" t="str">
        <f t="shared" si="21"/>
        <v>Comedy</v>
      </c>
    </row>
    <row r="846" spans="1:19" ht="15.75" customHeight="1" x14ac:dyDescent="0.25">
      <c r="A846" s="4" t="s">
        <v>3167</v>
      </c>
      <c r="B846" s="4">
        <v>99</v>
      </c>
      <c r="C846" s="4">
        <v>24430272</v>
      </c>
      <c r="D846" s="4" t="s">
        <v>88</v>
      </c>
      <c r="E846" s="4" t="s">
        <v>3168</v>
      </c>
      <c r="F846" s="4" t="s">
        <v>3169</v>
      </c>
      <c r="G846" s="4">
        <v>46158</v>
      </c>
      <c r="H846" s="4" t="s">
        <v>3170</v>
      </c>
      <c r="I846" s="4">
        <v>403</v>
      </c>
      <c r="J846" s="4" t="s">
        <v>23</v>
      </c>
      <c r="K846" s="4" t="s">
        <v>24</v>
      </c>
      <c r="L846" s="4">
        <v>43000000</v>
      </c>
      <c r="M846" s="4">
        <v>2002</v>
      </c>
      <c r="N846" s="4">
        <v>5.0999999999999996</v>
      </c>
      <c r="O846" s="4">
        <f ca="1">IFERROR(__xludf.DUMMYFUNCTION("IF(Cost_in_dollars!E846=""USD"",Cost_in_dollars!B846,Cost_in_dollars!B846 * GOOGLEFINANCE(""CURRENCY:"" &amp; Cost_in_dollars!E846 &amp; ""USD""))
"),43000000)</f>
        <v>43000000</v>
      </c>
      <c r="P846" s="4">
        <f ca="1">IFERROR(__xludf.DUMMYFUNCTION("IF(Cost_in_dollars!E846=""USD"",Cost_in_dollars!C846,Cost_in_dollars!C846 * GOOGLEFINANCE(""CURRENCY:"" &amp; Cost_in_dollars!E846 &amp; ""USD""))
"),24430272)</f>
        <v>24430272</v>
      </c>
      <c r="Q846" s="4">
        <f t="shared" ca="1" si="18"/>
        <v>-18569728</v>
      </c>
      <c r="R846" s="5" t="str">
        <f t="shared" si="19"/>
        <v>The Sweetest Thing</v>
      </c>
      <c r="S846" s="43" t="str">
        <f t="shared" si="21"/>
        <v>Comedy</v>
      </c>
    </row>
    <row r="847" spans="1:19" ht="15.75" customHeight="1" x14ac:dyDescent="0.25">
      <c r="A847" s="6" t="s">
        <v>384</v>
      </c>
      <c r="B847" s="6">
        <v>181</v>
      </c>
      <c r="C847" s="6">
        <v>60874615</v>
      </c>
      <c r="D847" s="6" t="s">
        <v>1324</v>
      </c>
      <c r="E847" s="6" t="s">
        <v>593</v>
      </c>
      <c r="F847" s="6" t="s">
        <v>3171</v>
      </c>
      <c r="G847" s="6">
        <v>60467</v>
      </c>
      <c r="H847" s="6" t="s">
        <v>3172</v>
      </c>
      <c r="I847" s="6">
        <v>949</v>
      </c>
      <c r="J847" s="6" t="s">
        <v>23</v>
      </c>
      <c r="K847" s="6" t="s">
        <v>24</v>
      </c>
      <c r="L847" s="6">
        <v>90000000</v>
      </c>
      <c r="M847" s="6">
        <v>2000</v>
      </c>
      <c r="N847" s="6">
        <v>5.6</v>
      </c>
      <c r="O847" s="4">
        <f ca="1">IFERROR(__xludf.DUMMYFUNCTION("IF(Cost_in_dollars!E847=""USD"",Cost_in_dollars!B847,Cost_in_dollars!B847 * GOOGLEFINANCE(""CURRENCY:"" &amp; Cost_in_dollars!E847 &amp; ""USD""))
"),90000000)</f>
        <v>90000000</v>
      </c>
      <c r="P847" s="4">
        <f ca="1">IFERROR(__xludf.DUMMYFUNCTION("IF(Cost_in_dollars!E847=""USD"",Cost_in_dollars!C847,Cost_in_dollars!C847 * GOOGLEFINANCE(""CURRENCY:"" &amp; Cost_in_dollars!E847 &amp; ""USD""))
"),60874615)</f>
        <v>60874615</v>
      </c>
      <c r="Q847" s="6">
        <f t="shared" ca="1" si="18"/>
        <v>-29125385</v>
      </c>
      <c r="R847" s="7" t="str">
        <f t="shared" si="19"/>
        <v>Mission to Mars</v>
      </c>
      <c r="S847" s="43" t="str">
        <f t="shared" si="21"/>
        <v>Adventure</v>
      </c>
    </row>
    <row r="848" spans="1:19" ht="15.75" customHeight="1" x14ac:dyDescent="0.25">
      <c r="A848" s="4" t="s">
        <v>3173</v>
      </c>
      <c r="B848" s="4">
        <v>55</v>
      </c>
      <c r="C848" s="4">
        <v>57176582</v>
      </c>
      <c r="D848" s="4" t="s">
        <v>140</v>
      </c>
      <c r="E848" s="4" t="s">
        <v>3174</v>
      </c>
      <c r="F848" s="4" t="s">
        <v>3175</v>
      </c>
      <c r="G848" s="4">
        <v>27492</v>
      </c>
      <c r="H848" s="4" t="s">
        <v>3176</v>
      </c>
      <c r="I848" s="4">
        <v>84</v>
      </c>
      <c r="J848" s="4" t="s">
        <v>23</v>
      </c>
      <c r="K848" s="4" t="s">
        <v>24</v>
      </c>
      <c r="L848" s="4">
        <v>9500000</v>
      </c>
      <c r="M848" s="4">
        <v>2000</v>
      </c>
      <c r="N848" s="4">
        <v>6.1</v>
      </c>
      <c r="O848" s="4">
        <f ca="1">IFERROR(__xludf.DUMMYFUNCTION("IF(Cost_in_dollars!E848=""USD"",Cost_in_dollars!B848,Cost_in_dollars!B848 * GOOGLEFINANCE(""CURRENCY:"" &amp; Cost_in_dollars!E848 &amp; ""USD""))
"),9500000)</f>
        <v>9500000</v>
      </c>
      <c r="P848" s="4">
        <f ca="1">IFERROR(__xludf.DUMMYFUNCTION("IF(Cost_in_dollars!E848=""USD"",Cost_in_dollars!C848,Cost_in_dollars!C848 * GOOGLEFINANCE(""CURRENCY:"" &amp; Cost_in_dollars!E848 &amp; ""USD""))
"),57176582)</f>
        <v>57176582</v>
      </c>
      <c r="Q848" s="4">
        <f t="shared" ca="1" si="18"/>
        <v>47676582</v>
      </c>
      <c r="R848" s="5" t="str">
        <f t="shared" si="19"/>
        <v>Next Friday</v>
      </c>
      <c r="S848" s="43" t="str">
        <f t="shared" si="21"/>
        <v>Comedy</v>
      </c>
    </row>
    <row r="849" spans="1:19" ht="15.75" customHeight="1" x14ac:dyDescent="0.25">
      <c r="A849" s="6" t="s">
        <v>3177</v>
      </c>
      <c r="B849" s="6">
        <v>279</v>
      </c>
      <c r="C849" s="6">
        <v>58700247</v>
      </c>
      <c r="D849" s="6" t="s">
        <v>235</v>
      </c>
      <c r="E849" s="6" t="s">
        <v>264</v>
      </c>
      <c r="F849" s="6" t="s">
        <v>3178</v>
      </c>
      <c r="G849" s="6">
        <v>95367</v>
      </c>
      <c r="H849" s="6" t="s">
        <v>3179</v>
      </c>
      <c r="I849" s="6">
        <v>260</v>
      </c>
      <c r="J849" s="6" t="s">
        <v>23</v>
      </c>
      <c r="K849" s="6" t="s">
        <v>24</v>
      </c>
      <c r="L849" s="6">
        <v>38000000</v>
      </c>
      <c r="M849" s="6">
        <v>2011</v>
      </c>
      <c r="N849" s="6">
        <v>6.9</v>
      </c>
      <c r="O849" s="4">
        <f ca="1">IFERROR(__xludf.DUMMYFUNCTION("IF(Cost_in_dollars!E849=""USD"",Cost_in_dollars!B849,Cost_in_dollars!B849 * GOOGLEFINANCE(""CURRENCY:"" &amp; Cost_in_dollars!E849 &amp; ""USD""))
"),38000000)</f>
        <v>38000000</v>
      </c>
      <c r="P849" s="4">
        <f ca="1">IFERROR(__xludf.DUMMYFUNCTION("IF(Cost_in_dollars!E849=""USD"",Cost_in_dollars!C849,Cost_in_dollars!C849 * GOOGLEFINANCE(""CURRENCY:"" &amp; Cost_in_dollars!E849 &amp; ""USD""))
"),58700247)</f>
        <v>58700247</v>
      </c>
      <c r="Q849" s="6">
        <f t="shared" ca="1" si="18"/>
        <v>20700247</v>
      </c>
      <c r="R849" s="7" t="str">
        <f t="shared" si="19"/>
        <v>Water for Elephants</v>
      </c>
      <c r="S849" s="43" t="str">
        <f t="shared" si="21"/>
        <v>Drama</v>
      </c>
    </row>
    <row r="850" spans="1:19" ht="15.75" customHeight="1" x14ac:dyDescent="0.25">
      <c r="A850" s="4" t="s">
        <v>2664</v>
      </c>
      <c r="B850" s="4">
        <v>72</v>
      </c>
      <c r="C850" s="4">
        <v>8326035</v>
      </c>
      <c r="D850" s="4" t="s">
        <v>268</v>
      </c>
      <c r="E850" s="4" t="s">
        <v>3180</v>
      </c>
      <c r="F850" s="4" t="s">
        <v>3181</v>
      </c>
      <c r="G850" s="4">
        <v>21933</v>
      </c>
      <c r="H850" s="4" t="s">
        <v>3182</v>
      </c>
      <c r="I850" s="4">
        <v>76</v>
      </c>
      <c r="J850" s="4" t="s">
        <v>23</v>
      </c>
      <c r="K850" s="4" t="s">
        <v>176</v>
      </c>
      <c r="L850" s="4">
        <v>33000000</v>
      </c>
      <c r="M850" s="4">
        <v>2005</v>
      </c>
      <c r="N850" s="4">
        <v>5.5</v>
      </c>
      <c r="O850" s="4">
        <f ca="1">IFERROR(__xludf.DUMMYFUNCTION("IF(Cost_in_dollars!E850=""USD"",Cost_in_dollars!B850,Cost_in_dollars!B850 * GOOGLEFINANCE(""CURRENCY:"" &amp; Cost_in_dollars!E850 &amp; ""USD""))
"),35796420)</f>
        <v>35796420</v>
      </c>
      <c r="P850" s="4">
        <f ca="1">IFERROR(__xludf.DUMMYFUNCTION("IF(Cost_in_dollars!E850=""USD"",Cost_in_dollars!C850,Cost_in_dollars!C850 * GOOGLEFINANCE(""CURRENCY:"" &amp; Cost_in_dollars!E850 &amp; ""USD""))
"),9031583.2059)</f>
        <v>9031583.2059000004</v>
      </c>
      <c r="Q850" s="4">
        <f t="shared" ca="1" si="18"/>
        <v>-26764836.794100001</v>
      </c>
      <c r="R850" s="5" t="str">
        <f t="shared" si="19"/>
        <v>The Man</v>
      </c>
      <c r="S850" s="43" t="str">
        <f t="shared" si="21"/>
        <v>Action</v>
      </c>
    </row>
    <row r="851" spans="1:19" ht="15.75" customHeight="1" x14ac:dyDescent="0.25">
      <c r="A851" s="6" t="s">
        <v>617</v>
      </c>
      <c r="B851" s="6">
        <v>117</v>
      </c>
      <c r="C851" s="6">
        <v>126203320</v>
      </c>
      <c r="D851" s="6" t="s">
        <v>88</v>
      </c>
      <c r="E851" s="6" t="s">
        <v>456</v>
      </c>
      <c r="F851" s="6" t="s">
        <v>3183</v>
      </c>
      <c r="G851" s="6">
        <v>110432</v>
      </c>
      <c r="H851" s="6" t="s">
        <v>3184</v>
      </c>
      <c r="I851" s="6">
        <v>309</v>
      </c>
      <c r="J851" s="6" t="s">
        <v>23</v>
      </c>
      <c r="K851" s="6" t="s">
        <v>24</v>
      </c>
      <c r="L851" s="6">
        <v>50000000</v>
      </c>
      <c r="M851" s="6">
        <v>2002</v>
      </c>
      <c r="N851" s="6">
        <v>5.8</v>
      </c>
      <c r="O851" s="4">
        <f ca="1">IFERROR(__xludf.DUMMYFUNCTION("IF(Cost_in_dollars!E851=""USD"",Cost_in_dollars!B851,Cost_in_dollars!B851 * GOOGLEFINANCE(""CURRENCY:"" &amp; Cost_in_dollars!E851 &amp; ""USD""))
"),50000000)</f>
        <v>50000000</v>
      </c>
      <c r="P851" s="4">
        <f ca="1">IFERROR(__xludf.DUMMYFUNCTION("IF(Cost_in_dollars!E851=""USD"",Cost_in_dollars!C851,Cost_in_dollars!C851 * GOOGLEFINANCE(""CURRENCY:"" &amp; Cost_in_dollars!E851 &amp; ""USD""))
"),126203320)</f>
        <v>126203320</v>
      </c>
      <c r="Q851" s="6">
        <f t="shared" ca="1" si="18"/>
        <v>76203320</v>
      </c>
      <c r="R851" s="7" t="str">
        <f t="shared" si="19"/>
        <v>Mr. Deeds</v>
      </c>
      <c r="S851" s="43" t="str">
        <f t="shared" si="21"/>
        <v>Comedy</v>
      </c>
    </row>
    <row r="852" spans="1:19" ht="15.75" customHeight="1" x14ac:dyDescent="0.25">
      <c r="A852" s="4" t="s">
        <v>3185</v>
      </c>
      <c r="B852" s="4">
        <v>120</v>
      </c>
      <c r="C852" s="4">
        <v>43650000</v>
      </c>
      <c r="D852" s="4" t="s">
        <v>3186</v>
      </c>
      <c r="E852" s="4" t="s">
        <v>3187</v>
      </c>
      <c r="F852" s="4" t="s">
        <v>3188</v>
      </c>
      <c r="G852" s="4">
        <v>71919</v>
      </c>
      <c r="H852" s="4" t="s">
        <v>3189</v>
      </c>
      <c r="I852" s="4">
        <v>316</v>
      </c>
      <c r="J852" s="4" t="s">
        <v>23</v>
      </c>
      <c r="K852" s="4" t="s">
        <v>24</v>
      </c>
      <c r="L852" s="4">
        <v>6000000</v>
      </c>
      <c r="M852" s="4">
        <v>1961</v>
      </c>
      <c r="N852" s="4">
        <v>7.6</v>
      </c>
      <c r="O852" s="4">
        <f ca="1">IFERROR(__xludf.DUMMYFUNCTION("IF(Cost_in_dollars!E852=""USD"",Cost_in_dollars!B852,Cost_in_dollars!B852 * GOOGLEFINANCE(""CURRENCY:"" &amp; Cost_in_dollars!E852 &amp; ""USD""))
"),6000000)</f>
        <v>6000000</v>
      </c>
      <c r="P852" s="4">
        <f ca="1">IFERROR(__xludf.DUMMYFUNCTION("IF(Cost_in_dollars!E852=""USD"",Cost_in_dollars!C852,Cost_in_dollars!C852 * GOOGLEFINANCE(""CURRENCY:"" &amp; Cost_in_dollars!E852 &amp; ""USD""))
"),43650000)</f>
        <v>43650000</v>
      </c>
      <c r="Q852" s="4">
        <f t="shared" ca="1" si="18"/>
        <v>37650000</v>
      </c>
      <c r="R852" s="5" t="str">
        <f t="shared" si="19"/>
        <v>West Side Story</v>
      </c>
      <c r="S852" s="43" t="str">
        <f t="shared" si="21"/>
        <v>Crime</v>
      </c>
    </row>
    <row r="853" spans="1:19" ht="15.75" customHeight="1" x14ac:dyDescent="0.25">
      <c r="A853" s="6" t="s">
        <v>3190</v>
      </c>
      <c r="B853" s="6">
        <v>228</v>
      </c>
      <c r="C853" s="6">
        <v>47553512</v>
      </c>
      <c r="D853" s="6" t="s">
        <v>1099</v>
      </c>
      <c r="E853" s="6" t="s">
        <v>3191</v>
      </c>
      <c r="F853" s="6" t="s">
        <v>3192</v>
      </c>
      <c r="G853" s="6">
        <v>54101</v>
      </c>
      <c r="H853" s="6" t="s">
        <v>3193</v>
      </c>
      <c r="I853" s="6">
        <v>210</v>
      </c>
      <c r="J853" s="6" t="s">
        <v>23</v>
      </c>
      <c r="K853" s="6" t="s">
        <v>24</v>
      </c>
      <c r="L853" s="6">
        <v>50000000</v>
      </c>
      <c r="M853" s="6">
        <v>2014</v>
      </c>
      <c r="N853" s="6">
        <v>5.8</v>
      </c>
      <c r="O853" s="4">
        <f ca="1">IFERROR(__xludf.DUMMYFUNCTION("IF(Cost_in_dollars!E853=""USD"",Cost_in_dollars!B853,Cost_in_dollars!B853 * GOOGLEFINANCE(""CURRENCY:"" &amp; Cost_in_dollars!E853 &amp; ""USD""))
"),50000000)</f>
        <v>50000000</v>
      </c>
      <c r="P853" s="4">
        <f ca="1">IFERROR(__xludf.DUMMYFUNCTION("IF(Cost_in_dollars!E853=""USD"",Cost_in_dollars!C853,Cost_in_dollars!C853 * GOOGLEFINANCE(""CURRENCY:"" &amp; Cost_in_dollars!E853 &amp; ""USD""))
"),47553512)</f>
        <v>47553512</v>
      </c>
      <c r="Q853" s="6">
        <f t="shared" ca="1" si="18"/>
        <v>-2446488</v>
      </c>
      <c r="R853" s="7" t="str">
        <f t="shared" si="19"/>
        <v>Into the Storm</v>
      </c>
      <c r="S853" s="43" t="str">
        <f t="shared" si="21"/>
        <v>Action</v>
      </c>
    </row>
    <row r="854" spans="1:19" ht="15.75" customHeight="1" x14ac:dyDescent="0.25">
      <c r="A854" s="4" t="s">
        <v>3194</v>
      </c>
      <c r="B854" s="4">
        <v>119</v>
      </c>
      <c r="C854" s="4">
        <v>116724075</v>
      </c>
      <c r="D854" s="4" t="s">
        <v>421</v>
      </c>
      <c r="E854" s="4" t="s">
        <v>3195</v>
      </c>
      <c r="F854" s="4" t="s">
        <v>3196</v>
      </c>
      <c r="G854" s="4">
        <v>187181</v>
      </c>
      <c r="H854" s="4" t="s">
        <v>3197</v>
      </c>
      <c r="I854" s="4">
        <v>564</v>
      </c>
      <c r="J854" s="4" t="s">
        <v>23</v>
      </c>
      <c r="K854" s="4" t="s">
        <v>24</v>
      </c>
      <c r="L854" s="4">
        <v>41000000</v>
      </c>
      <c r="M854" s="4">
        <v>2002</v>
      </c>
      <c r="N854" s="4">
        <v>7</v>
      </c>
      <c r="O854" s="4">
        <f ca="1">IFERROR(__xludf.DUMMYFUNCTION("IF(Cost_in_dollars!E854=""USD"",Cost_in_dollars!B854,Cost_in_dollars!B854 * GOOGLEFINANCE(""CURRENCY:"" &amp; Cost_in_dollars!E854 &amp; ""USD""))
"),41000000)</f>
        <v>41000000</v>
      </c>
      <c r="P854" s="4">
        <f ca="1">IFERROR(__xludf.DUMMYFUNCTION("IF(Cost_in_dollars!E854=""USD"",Cost_in_dollars!C854,Cost_in_dollars!C854 * GOOGLEFINANCE(""CURRENCY:"" &amp; Cost_in_dollars!E854 &amp; ""USD""))
"),116724075)</f>
        <v>116724075</v>
      </c>
      <c r="Q854" s="4">
        <f t="shared" ca="1" si="18"/>
        <v>75724075</v>
      </c>
      <c r="R854" s="5" t="str">
        <f t="shared" si="19"/>
        <v>8 Mile</v>
      </c>
      <c r="S854" s="43" t="str">
        <f t="shared" si="21"/>
        <v>Drama</v>
      </c>
    </row>
    <row r="855" spans="1:19" ht="15.75" customHeight="1" x14ac:dyDescent="0.25">
      <c r="A855" s="6" t="s">
        <v>1435</v>
      </c>
      <c r="B855" s="6">
        <v>517</v>
      </c>
      <c r="C855" s="6">
        <v>102515793</v>
      </c>
      <c r="D855" s="6" t="s">
        <v>438</v>
      </c>
      <c r="E855" s="6" t="s">
        <v>236</v>
      </c>
      <c r="F855" s="6" t="s">
        <v>3198</v>
      </c>
      <c r="G855" s="6">
        <v>330152</v>
      </c>
      <c r="H855" s="6" t="s">
        <v>3199</v>
      </c>
      <c r="I855" s="6">
        <v>632</v>
      </c>
      <c r="J855" s="6" t="s">
        <v>23</v>
      </c>
      <c r="K855" s="6" t="s">
        <v>24</v>
      </c>
      <c r="L855" s="6">
        <v>90000000</v>
      </c>
      <c r="M855" s="6">
        <v>2011</v>
      </c>
      <c r="N855" s="6">
        <v>7.8</v>
      </c>
      <c r="O855" s="4">
        <f ca="1">IFERROR(__xludf.DUMMYFUNCTION("IF(Cost_in_dollars!E855=""USD"",Cost_in_dollars!B855,Cost_in_dollars!B855 * GOOGLEFINANCE(""CURRENCY:"" &amp; Cost_in_dollars!E855 &amp; ""USD""))
"),90000000)</f>
        <v>90000000</v>
      </c>
      <c r="P855" s="4">
        <f ca="1">IFERROR(__xludf.DUMMYFUNCTION("IF(Cost_in_dollars!E855=""USD"",Cost_in_dollars!C855,Cost_in_dollars!C855 * GOOGLEFINANCE(""CURRENCY:"" &amp; Cost_in_dollars!E855 &amp; ""USD""))
"),102515793)</f>
        <v>102515793</v>
      </c>
      <c r="Q855" s="6">
        <f t="shared" ca="1" si="18"/>
        <v>12515793</v>
      </c>
      <c r="R855" s="7" t="str">
        <f t="shared" si="19"/>
        <v>The Girl with the Dragon Tattoo</v>
      </c>
      <c r="S855" s="43" t="str">
        <f t="shared" si="21"/>
        <v>Crime</v>
      </c>
    </row>
    <row r="856" spans="1:19" ht="15.75" customHeight="1" x14ac:dyDescent="0.25">
      <c r="A856" s="4" t="s">
        <v>3200</v>
      </c>
      <c r="B856" s="4">
        <v>415</v>
      </c>
      <c r="C856" s="4">
        <v>209019489</v>
      </c>
      <c r="D856" s="4" t="s">
        <v>3201</v>
      </c>
      <c r="E856" s="4" t="s">
        <v>330</v>
      </c>
      <c r="F856" s="4" t="s">
        <v>3202</v>
      </c>
      <c r="G856" s="4">
        <v>477300</v>
      </c>
      <c r="H856" s="4" t="s">
        <v>3203</v>
      </c>
      <c r="I856" s="4">
        <v>621</v>
      </c>
      <c r="J856" s="4" t="s">
        <v>23</v>
      </c>
      <c r="K856" s="4" t="s">
        <v>24</v>
      </c>
      <c r="L856" s="4">
        <v>90000000</v>
      </c>
      <c r="M856" s="4">
        <v>2009</v>
      </c>
      <c r="N856" s="4">
        <v>7.6</v>
      </c>
      <c r="O856" s="4">
        <f ca="1">IFERROR(__xludf.DUMMYFUNCTION("IF(Cost_in_dollars!E856=""USD"",Cost_in_dollars!B856,Cost_in_dollars!B856 * GOOGLEFINANCE(""CURRENCY:"" &amp; Cost_in_dollars!E856 &amp; ""USD""))
"),90000000)</f>
        <v>90000000</v>
      </c>
      <c r="P856" s="4">
        <f ca="1">IFERROR(__xludf.DUMMYFUNCTION("IF(Cost_in_dollars!E856=""USD"",Cost_in_dollars!C856,Cost_in_dollars!C856 * GOOGLEFINANCE(""CURRENCY:"" &amp; Cost_in_dollars!E856 &amp; ""USD""))
"),209019489)</f>
        <v>209019489</v>
      </c>
      <c r="Q856" s="4">
        <f t="shared" ca="1" si="18"/>
        <v>119019489</v>
      </c>
      <c r="R856" s="5" t="str">
        <f t="shared" si="19"/>
        <v>Sherlock Holmes</v>
      </c>
      <c r="S856" s="43" t="str">
        <f t="shared" si="21"/>
        <v>Action</v>
      </c>
    </row>
    <row r="857" spans="1:19" ht="15.75" customHeight="1" x14ac:dyDescent="0.25">
      <c r="A857" s="6" t="s">
        <v>3204</v>
      </c>
      <c r="B857" s="6">
        <v>325</v>
      </c>
      <c r="C857" s="6">
        <v>16300302</v>
      </c>
      <c r="D857" s="6" t="s">
        <v>457</v>
      </c>
      <c r="E857" s="6" t="s">
        <v>3205</v>
      </c>
      <c r="F857" s="6" t="s">
        <v>3206</v>
      </c>
      <c r="G857" s="6">
        <v>64682</v>
      </c>
      <c r="H857" s="6" t="s">
        <v>3207</v>
      </c>
      <c r="I857" s="6">
        <v>203</v>
      </c>
      <c r="J857" s="6" t="s">
        <v>23</v>
      </c>
      <c r="K857" s="6" t="s">
        <v>24</v>
      </c>
      <c r="L857" s="6">
        <v>12000000</v>
      </c>
      <c r="M857" s="6">
        <v>2011</v>
      </c>
      <c r="N857" s="6">
        <v>6.3</v>
      </c>
      <c r="O857" s="4">
        <f ca="1">IFERROR(__xludf.DUMMYFUNCTION("IF(Cost_in_dollars!E857=""USD"",Cost_in_dollars!B857,Cost_in_dollars!B857 * GOOGLEFINANCE(""CURRENCY:"" &amp; Cost_in_dollars!E857 &amp; ""USD""))
"),12000000)</f>
        <v>12000000</v>
      </c>
      <c r="P857" s="4">
        <f ca="1">IFERROR(__xludf.DUMMYFUNCTION("IF(Cost_in_dollars!E857=""USD"",Cost_in_dollars!C857,Cost_in_dollars!C857 * GOOGLEFINANCE(""CURRENCY:"" &amp; Cost_in_dollars!E857 &amp; ""USD""))
"),16300302)</f>
        <v>16300302</v>
      </c>
      <c r="Q857" s="6">
        <f t="shared" ca="1" si="18"/>
        <v>4300302</v>
      </c>
      <c r="R857" s="7" t="str">
        <f t="shared" si="19"/>
        <v>Young Adult</v>
      </c>
      <c r="S857" s="43" t="str">
        <f t="shared" si="21"/>
        <v>Comedy</v>
      </c>
    </row>
    <row r="858" spans="1:19" ht="15.75" customHeight="1" x14ac:dyDescent="0.25">
      <c r="A858" s="4" t="s">
        <v>67</v>
      </c>
      <c r="B858" s="4">
        <v>23</v>
      </c>
      <c r="C858" s="4">
        <v>16153600</v>
      </c>
      <c r="D858" s="4" t="s">
        <v>737</v>
      </c>
      <c r="E858" s="4" t="s">
        <v>69</v>
      </c>
      <c r="F858" s="4" t="s">
        <v>3208</v>
      </c>
      <c r="G858" s="4">
        <v>8295</v>
      </c>
      <c r="H858" s="4" t="s">
        <v>3209</v>
      </c>
      <c r="I858" s="4">
        <v>30</v>
      </c>
      <c r="J858" s="4" t="s">
        <v>23</v>
      </c>
      <c r="K858" s="4" t="s">
        <v>24</v>
      </c>
      <c r="L858" s="4">
        <v>10000000</v>
      </c>
      <c r="M858" s="4">
        <v>1990</v>
      </c>
      <c r="N858" s="4">
        <v>6.5</v>
      </c>
      <c r="O858" s="4">
        <f ca="1">IFERROR(__xludf.DUMMYFUNCTION("IF(Cost_in_dollars!E858=""USD"",Cost_in_dollars!B858,Cost_in_dollars!B858 * GOOGLEFINANCE(""CURRENCY:"" &amp; Cost_in_dollars!E858 &amp; ""USD""))
"),10000000)</f>
        <v>10000000</v>
      </c>
      <c r="P858" s="4">
        <f ca="1">IFERROR(__xludf.DUMMYFUNCTION("IF(Cost_in_dollars!E858=""USD"",Cost_in_dollars!C858,Cost_in_dollars!C858 * GOOGLEFINANCE(""CURRENCY:"" &amp; Cost_in_dollars!E858 &amp; ""USD""))
"),16153600)</f>
        <v>16153600</v>
      </c>
      <c r="Q858" s="4">
        <f t="shared" ca="1" si="18"/>
        <v>6153600</v>
      </c>
      <c r="R858" s="5" t="str">
        <f t="shared" si="19"/>
        <v>Mo' Better Blues</v>
      </c>
      <c r="S858" s="43" t="str">
        <f t="shared" si="21"/>
        <v>Drama</v>
      </c>
    </row>
    <row r="859" spans="1:19" ht="15.75" customHeight="1" x14ac:dyDescent="0.25">
      <c r="A859" s="6" t="s">
        <v>975</v>
      </c>
      <c r="B859" s="6">
        <v>147</v>
      </c>
      <c r="C859" s="6">
        <v>82226474</v>
      </c>
      <c r="D859" s="6" t="s">
        <v>3210</v>
      </c>
      <c r="E859" s="6" t="s">
        <v>3211</v>
      </c>
      <c r="F859" s="6" t="s">
        <v>3212</v>
      </c>
      <c r="G859" s="6">
        <v>65499</v>
      </c>
      <c r="H859" s="6" t="s">
        <v>3213</v>
      </c>
      <c r="I859" s="6">
        <v>424</v>
      </c>
      <c r="J859" s="6" t="s">
        <v>23</v>
      </c>
      <c r="K859" s="6" t="s">
        <v>24</v>
      </c>
      <c r="L859" s="6">
        <v>65000000</v>
      </c>
      <c r="M859" s="6">
        <v>2006</v>
      </c>
      <c r="N859" s="6">
        <v>5.6</v>
      </c>
      <c r="O859" s="4">
        <f ca="1">IFERROR(__xludf.DUMMYFUNCTION("IF(Cost_in_dollars!E859=""USD"",Cost_in_dollars!B859,Cost_in_dollars!B859 * GOOGLEFINANCE(""CURRENCY:"" &amp; Cost_in_dollars!E859 &amp; ""USD""))
"),65000000)</f>
        <v>65000000</v>
      </c>
      <c r="P859" s="4">
        <f ca="1">IFERROR(__xludf.DUMMYFUNCTION("IF(Cost_in_dollars!E859=""USD"",Cost_in_dollars!C859,Cost_in_dollars!C859 * GOOGLEFINANCE(""CURRENCY:"" &amp; Cost_in_dollars!E859 &amp; ""USD""))
"),82226474)</f>
        <v>82226474</v>
      </c>
      <c r="Q859" s="6">
        <f t="shared" ca="1" si="18"/>
        <v>17226474</v>
      </c>
      <c r="R859" s="7" t="str">
        <f t="shared" si="19"/>
        <v>The Pink Panther</v>
      </c>
      <c r="S859" s="43" t="str">
        <f t="shared" si="21"/>
        <v>Adventure</v>
      </c>
    </row>
    <row r="860" spans="1:19" ht="15.75" customHeight="1" x14ac:dyDescent="0.25">
      <c r="A860" s="4" t="s">
        <v>3214</v>
      </c>
      <c r="B860" s="4">
        <v>361</v>
      </c>
      <c r="C860" s="4">
        <v>64423650</v>
      </c>
      <c r="D860" s="4" t="s">
        <v>1020</v>
      </c>
      <c r="E860" s="4" t="s">
        <v>3215</v>
      </c>
      <c r="F860" s="4" t="s">
        <v>3216</v>
      </c>
      <c r="G860" s="4">
        <v>139329</v>
      </c>
      <c r="H860" s="4" t="s">
        <v>3217</v>
      </c>
      <c r="I860" s="4">
        <v>578</v>
      </c>
      <c r="J860" s="4" t="s">
        <v>23</v>
      </c>
      <c r="K860" s="4" t="s">
        <v>24</v>
      </c>
      <c r="L860" s="4">
        <v>3000000</v>
      </c>
      <c r="M860" s="4">
        <v>2013</v>
      </c>
      <c r="N860" s="4">
        <v>5.7</v>
      </c>
      <c r="O860" s="4">
        <f ca="1">IFERROR(__xludf.DUMMYFUNCTION("IF(Cost_in_dollars!E860=""USD"",Cost_in_dollars!B860,Cost_in_dollars!B860 * GOOGLEFINANCE(""CURRENCY:"" &amp; Cost_in_dollars!E860 &amp; ""USD""))
"),3000000)</f>
        <v>3000000</v>
      </c>
      <c r="P860" s="4">
        <f ca="1">IFERROR(__xludf.DUMMYFUNCTION("IF(Cost_in_dollars!E860=""USD"",Cost_in_dollars!C860,Cost_in_dollars!C860 * GOOGLEFINANCE(""CURRENCY:"" &amp; Cost_in_dollars!E860 &amp; ""USD""))
"),64423650)</f>
        <v>64423650</v>
      </c>
      <c r="Q860" s="4">
        <f t="shared" ca="1" si="18"/>
        <v>61423650</v>
      </c>
      <c r="R860" s="5" t="str">
        <f t="shared" si="19"/>
        <v>The Purge</v>
      </c>
      <c r="S860" s="43" t="str">
        <f t="shared" si="21"/>
        <v>Horror</v>
      </c>
    </row>
    <row r="861" spans="1:19" ht="15.75" customHeight="1" x14ac:dyDescent="0.25">
      <c r="A861" s="6" t="s">
        <v>3218</v>
      </c>
      <c r="B861" s="6">
        <v>41</v>
      </c>
      <c r="C861" s="6">
        <v>22551000</v>
      </c>
      <c r="D861" s="6" t="s">
        <v>162</v>
      </c>
      <c r="E861" s="6" t="s">
        <v>1173</v>
      </c>
      <c r="F861" s="6" t="s">
        <v>3219</v>
      </c>
      <c r="G861" s="6">
        <v>37269</v>
      </c>
      <c r="H861" s="6" t="s">
        <v>3220</v>
      </c>
      <c r="I861" s="6">
        <v>165</v>
      </c>
      <c r="J861" s="6" t="s">
        <v>23</v>
      </c>
      <c r="K861" s="6" t="s">
        <v>133</v>
      </c>
      <c r="L861" s="6">
        <v>8000000</v>
      </c>
      <c r="M861" s="6">
        <v>1993</v>
      </c>
      <c r="N861" s="6">
        <v>7.4</v>
      </c>
      <c r="O861" s="4">
        <f ca="1">IFERROR(__xludf.DUMMYFUNCTION("IF(Cost_in_dollars!E861=""USD"",Cost_in_dollars!B861,Cost_in_dollars!B861 * GOOGLEFINANCE(""CURRENCY:"" &amp; Cost_in_dollars!E861 &amp; ""USD""))
"),10283199.9999999)</f>
        <v>10283199.999999899</v>
      </c>
      <c r="P861" s="4">
        <f ca="1">IFERROR(__xludf.DUMMYFUNCTION("IF(Cost_in_dollars!E861=""USD"",Cost_in_dollars!C861,Cost_in_dollars!C861 * GOOGLEFINANCE(""CURRENCY:"" &amp; Cost_in_dollars!E861 &amp; ""USD""))
"),28987055.4)</f>
        <v>28987055.399999999</v>
      </c>
      <c r="Q861" s="6">
        <f t="shared" ca="1" si="18"/>
        <v>18703855.400000099</v>
      </c>
      <c r="R861" s="7" t="str">
        <f t="shared" si="19"/>
        <v>Much Ado About Nothing</v>
      </c>
      <c r="S861" s="43" t="str">
        <f t="shared" si="21"/>
        <v>Comedy</v>
      </c>
    </row>
    <row r="862" spans="1:19" ht="15.75" customHeight="1" x14ac:dyDescent="0.25">
      <c r="A862" s="4" t="s">
        <v>3221</v>
      </c>
      <c r="B862" s="4">
        <v>66</v>
      </c>
      <c r="C862" s="4">
        <v>14114488</v>
      </c>
      <c r="D862" s="4" t="s">
        <v>309</v>
      </c>
      <c r="E862" s="4" t="s">
        <v>3222</v>
      </c>
      <c r="F862" s="4" t="s">
        <v>3223</v>
      </c>
      <c r="G862" s="4">
        <v>13190</v>
      </c>
      <c r="H862" s="4" t="s">
        <v>3224</v>
      </c>
      <c r="I862" s="4">
        <v>114</v>
      </c>
      <c r="J862" s="4" t="s">
        <v>23</v>
      </c>
      <c r="K862" s="4" t="s">
        <v>24</v>
      </c>
      <c r="L862" s="4">
        <v>10500000</v>
      </c>
      <c r="M862" s="4">
        <v>1988</v>
      </c>
      <c r="N862" s="4">
        <v>4.5</v>
      </c>
      <c r="O862" s="4">
        <f ca="1">IFERROR(__xludf.DUMMYFUNCTION("IF(Cost_in_dollars!E862=""USD"",Cost_in_dollars!B862,Cost_in_dollars!B862 * GOOGLEFINANCE(""CURRENCY:"" &amp; Cost_in_dollars!E862 &amp; ""USD""))
"),10500000)</f>
        <v>10500000</v>
      </c>
      <c r="P862" s="4">
        <f ca="1">IFERROR(__xludf.DUMMYFUNCTION("IF(Cost_in_dollars!E862=""USD"",Cost_in_dollars!C862,Cost_in_dollars!C862 * GOOGLEFINANCE(""CURRENCY:"" &amp; Cost_in_dollars!E862 &amp; ""USD""))
"),14114488)</f>
        <v>14114488</v>
      </c>
      <c r="Q862" s="4">
        <f t="shared" ca="1" si="18"/>
        <v>3614488</v>
      </c>
      <c r="R862" s="5" t="str">
        <f t="shared" si="19"/>
        <v>Poltergeist III</v>
      </c>
      <c r="S862" s="43" t="str">
        <f t="shared" si="21"/>
        <v>Horror</v>
      </c>
    </row>
    <row r="863" spans="1:19" ht="15.75" customHeight="1" x14ac:dyDescent="0.25">
      <c r="A863" s="6" t="s">
        <v>3225</v>
      </c>
      <c r="B863" s="6">
        <v>18</v>
      </c>
      <c r="C863" s="6">
        <v>379643</v>
      </c>
      <c r="D863" s="6" t="s">
        <v>102</v>
      </c>
      <c r="E863" s="6" t="s">
        <v>3226</v>
      </c>
      <c r="F863" s="6" t="s">
        <v>3227</v>
      </c>
      <c r="G863" s="6">
        <v>1573</v>
      </c>
      <c r="H863" s="6" t="s">
        <v>3228</v>
      </c>
      <c r="I863" s="6">
        <v>29</v>
      </c>
      <c r="J863" s="6" t="s">
        <v>23</v>
      </c>
      <c r="K863" s="6" t="s">
        <v>24</v>
      </c>
      <c r="L863" s="6">
        <v>2200000</v>
      </c>
      <c r="M863" s="6">
        <v>2007</v>
      </c>
      <c r="N863" s="6">
        <v>5.9</v>
      </c>
      <c r="O863" s="4">
        <f ca="1">IFERROR(__xludf.DUMMYFUNCTION("IF(Cost_in_dollars!E863=""USD"",Cost_in_dollars!B863,Cost_in_dollars!B863 * GOOGLEFINANCE(""CURRENCY:"" &amp; Cost_in_dollars!E863 &amp; ""USD""))
"),2200000)</f>
        <v>2200000</v>
      </c>
      <c r="P863" s="4">
        <f ca="1">IFERROR(__xludf.DUMMYFUNCTION("IF(Cost_in_dollars!E863=""USD"",Cost_in_dollars!C863,Cost_in_dollars!C863 * GOOGLEFINANCE(""CURRENCY:"" &amp; Cost_in_dollars!E863 &amp; ""USD""))
"),379643)</f>
        <v>379643</v>
      </c>
      <c r="Q863" s="6">
        <f t="shared" ca="1" si="18"/>
        <v>-1820357</v>
      </c>
      <c r="R863" s="7" t="str">
        <f t="shared" si="19"/>
        <v>The Last Sin Eater</v>
      </c>
      <c r="S863" s="43" t="str">
        <f t="shared" si="21"/>
        <v>Drama</v>
      </c>
    </row>
    <row r="864" spans="1:19" ht="15.75" customHeight="1" x14ac:dyDescent="0.25">
      <c r="A864" s="4" t="s">
        <v>3229</v>
      </c>
      <c r="B864" s="4">
        <v>37</v>
      </c>
      <c r="C864" s="4">
        <v>49121934</v>
      </c>
      <c r="D864" s="4" t="s">
        <v>162</v>
      </c>
      <c r="E864" s="4" t="s">
        <v>3195</v>
      </c>
      <c r="F864" s="4" t="s">
        <v>3230</v>
      </c>
      <c r="G864" s="4">
        <v>6528</v>
      </c>
      <c r="H864" s="4" t="s">
        <v>3231</v>
      </c>
      <c r="I864" s="4">
        <v>32</v>
      </c>
      <c r="J864" s="4" t="s">
        <v>23</v>
      </c>
      <c r="K864" s="4" t="s">
        <v>24</v>
      </c>
      <c r="L864" s="4">
        <v>13000000</v>
      </c>
      <c r="M864" s="4">
        <v>2007</v>
      </c>
      <c r="N864" s="4">
        <v>6.1</v>
      </c>
      <c r="O864" s="4">
        <f ca="1">IFERROR(__xludf.DUMMYFUNCTION("IF(Cost_in_dollars!E864=""USD"",Cost_in_dollars!B864,Cost_in_dollars!B864 * GOOGLEFINANCE(""CURRENCY:"" &amp; Cost_in_dollars!E864 &amp; ""USD""))
"),13000000)</f>
        <v>13000000</v>
      </c>
      <c r="P864" s="4">
        <f ca="1">IFERROR(__xludf.DUMMYFUNCTION("IF(Cost_in_dollars!E864=""USD"",Cost_in_dollars!C864,Cost_in_dollars!C864 * GOOGLEFINANCE(""CURRENCY:"" &amp; Cost_in_dollars!E864 &amp; ""USD""))
"),49121934)</f>
        <v>49121934</v>
      </c>
      <c r="Q864" s="4">
        <f t="shared" ca="1" si="18"/>
        <v>36121934</v>
      </c>
      <c r="R864" s="5" t="str">
        <f t="shared" si="19"/>
        <v>This Christmas</v>
      </c>
      <c r="S864" s="43" t="str">
        <f t="shared" si="21"/>
        <v>Comedy</v>
      </c>
    </row>
    <row r="865" spans="1:19" ht="15.75" customHeight="1" x14ac:dyDescent="0.25">
      <c r="A865" s="6" t="s">
        <v>115</v>
      </c>
      <c r="B865" s="6">
        <v>191</v>
      </c>
      <c r="C865" s="6">
        <v>83906114</v>
      </c>
      <c r="D865" s="6" t="s">
        <v>88</v>
      </c>
      <c r="E865" s="6" t="s">
        <v>2372</v>
      </c>
      <c r="F865" s="6" t="s">
        <v>3232</v>
      </c>
      <c r="G865" s="6">
        <v>104481</v>
      </c>
      <c r="H865" s="6" t="s">
        <v>3233</v>
      </c>
      <c r="I865" s="6">
        <v>189</v>
      </c>
      <c r="J865" s="6" t="s">
        <v>23</v>
      </c>
      <c r="K865" s="6" t="s">
        <v>24</v>
      </c>
      <c r="L865" s="6">
        <v>40000000</v>
      </c>
      <c r="M865" s="6">
        <v>2014</v>
      </c>
      <c r="N865" s="6">
        <v>6</v>
      </c>
      <c r="O865" s="4">
        <f ca="1">IFERROR(__xludf.DUMMYFUNCTION("IF(Cost_in_dollars!E865=""USD"",Cost_in_dollars!B865,Cost_in_dollars!B865 * GOOGLEFINANCE(""CURRENCY:"" &amp; Cost_in_dollars!E865 &amp; ""USD""))
"),40000000)</f>
        <v>40000000</v>
      </c>
      <c r="P865" s="4">
        <f ca="1">IFERROR(__xludf.DUMMYFUNCTION("IF(Cost_in_dollars!E865=""USD"",Cost_in_dollars!C865,Cost_in_dollars!C865 * GOOGLEFINANCE(""CURRENCY:"" &amp; Cost_in_dollars!E865 &amp; ""USD""))
"),83906114)</f>
        <v>83906114</v>
      </c>
      <c r="Q865" s="6">
        <f t="shared" ca="1" si="18"/>
        <v>43906114</v>
      </c>
      <c r="R865" s="7" t="str">
        <f t="shared" si="19"/>
        <v>The Other Woman</v>
      </c>
      <c r="S865" s="43" t="str">
        <f t="shared" si="21"/>
        <v>Comedy</v>
      </c>
    </row>
    <row r="866" spans="1:19" ht="15.75" customHeight="1" x14ac:dyDescent="0.25">
      <c r="A866" s="4" t="s">
        <v>1997</v>
      </c>
      <c r="B866" s="4">
        <v>105</v>
      </c>
      <c r="C866" s="4">
        <v>8355815</v>
      </c>
      <c r="D866" s="4" t="s">
        <v>3234</v>
      </c>
      <c r="E866" s="4" t="s">
        <v>676</v>
      </c>
      <c r="F866" s="4" t="s">
        <v>3235</v>
      </c>
      <c r="G866" s="4">
        <v>34730</v>
      </c>
      <c r="H866" s="4" t="s">
        <v>3236</v>
      </c>
      <c r="I866" s="4">
        <v>341</v>
      </c>
      <c r="J866" s="4" t="s">
        <v>23</v>
      </c>
      <c r="K866" s="4" t="s">
        <v>133</v>
      </c>
      <c r="L866" s="4">
        <v>55000000</v>
      </c>
      <c r="M866" s="4">
        <v>2002</v>
      </c>
      <c r="N866" s="4">
        <v>6.4</v>
      </c>
      <c r="O866" s="4">
        <f ca="1">IFERROR(__xludf.DUMMYFUNCTION("IF(Cost_in_dollars!E866=""USD"",Cost_in_dollars!B866,Cost_in_dollars!B866 * GOOGLEFINANCE(""CURRENCY:"" &amp; Cost_in_dollars!E866 &amp; ""USD""))
"),70697000)</f>
        <v>70697000</v>
      </c>
      <c r="P866" s="4">
        <f ca="1">IFERROR(__xludf.DUMMYFUNCTION("IF(Cost_in_dollars!E866=""USD"",Cost_in_dollars!C866,Cost_in_dollars!C866 * GOOGLEFINANCE(""CURRENCY:"" &amp; Cost_in_dollars!E866 &amp; ""USD""))
"),10740564.601)</f>
        <v>10740564.601</v>
      </c>
      <c r="Q866" s="4">
        <f t="shared" ca="1" si="18"/>
        <v>-59956435.399000004</v>
      </c>
      <c r="R866" s="5" t="str">
        <f t="shared" si="19"/>
        <v>Death to Smoochy</v>
      </c>
      <c r="S866" s="43" t="str">
        <f t="shared" si="21"/>
        <v>Comedy</v>
      </c>
    </row>
    <row r="867" spans="1:19" ht="15.75" customHeight="1" x14ac:dyDescent="0.25">
      <c r="A867" s="6" t="s">
        <v>3237</v>
      </c>
      <c r="B867" s="6">
        <v>70</v>
      </c>
      <c r="C867" s="6">
        <v>27663982</v>
      </c>
      <c r="D867" s="6" t="s">
        <v>1020</v>
      </c>
      <c r="E867" s="6" t="s">
        <v>1943</v>
      </c>
      <c r="F867" s="6" t="s">
        <v>3238</v>
      </c>
      <c r="G867" s="6">
        <v>26051</v>
      </c>
      <c r="H867" s="6" t="s">
        <v>3239</v>
      </c>
      <c r="I867" s="6">
        <v>164</v>
      </c>
      <c r="J867" s="6" t="s">
        <v>23</v>
      </c>
      <c r="K867" s="6" t="s">
        <v>24</v>
      </c>
      <c r="L867" s="6">
        <v>40000000</v>
      </c>
      <c r="M867" s="6">
        <v>1996</v>
      </c>
      <c r="N867" s="6">
        <v>4.4000000000000004</v>
      </c>
      <c r="O867" s="4">
        <f ca="1">IFERROR(__xludf.DUMMYFUNCTION("IF(Cost_in_dollars!E867=""USD"",Cost_in_dollars!B867,Cost_in_dollars!B867 * GOOGLEFINANCE(""CURRENCY:"" &amp; Cost_in_dollars!E867 &amp; ""USD""))
"),40000000)</f>
        <v>40000000</v>
      </c>
      <c r="P867" s="4">
        <f ca="1">IFERROR(__xludf.DUMMYFUNCTION("IF(Cost_in_dollars!E867=""USD"",Cost_in_dollars!C867,Cost_in_dollars!C867 * GOOGLEFINANCE(""CURRENCY:"" &amp; Cost_in_dollars!E867 &amp; ""USD""))
"),27663982)</f>
        <v>27663982</v>
      </c>
      <c r="Q867" s="6">
        <f t="shared" ca="1" si="18"/>
        <v>-12336018</v>
      </c>
      <c r="R867" s="7" t="str">
        <f t="shared" si="19"/>
        <v>The Island of Dr. Moreau</v>
      </c>
      <c r="S867" s="43" t="str">
        <f t="shared" si="21"/>
        <v>Horror</v>
      </c>
    </row>
    <row r="868" spans="1:19" ht="15.75" customHeight="1" x14ac:dyDescent="0.25">
      <c r="A868" s="4" t="s">
        <v>2707</v>
      </c>
      <c r="B868" s="4">
        <v>134</v>
      </c>
      <c r="C868" s="4">
        <v>32598931</v>
      </c>
      <c r="D868" s="4" t="s">
        <v>178</v>
      </c>
      <c r="E868" s="4" t="s">
        <v>3240</v>
      </c>
      <c r="F868" s="4" t="s">
        <v>3241</v>
      </c>
      <c r="G868" s="4">
        <v>49300</v>
      </c>
      <c r="H868" s="4" t="s">
        <v>3242</v>
      </c>
      <c r="I868" s="4">
        <v>265</v>
      </c>
      <c r="J868" s="4" t="s">
        <v>23</v>
      </c>
      <c r="K868" s="4" t="s">
        <v>24</v>
      </c>
      <c r="L868" s="4">
        <v>65000000</v>
      </c>
      <c r="M868" s="4">
        <v>2000</v>
      </c>
      <c r="N868" s="4">
        <v>6.2</v>
      </c>
      <c r="O868" s="4">
        <f ca="1">IFERROR(__xludf.DUMMYFUNCTION("IF(Cost_in_dollars!E868=""USD"",Cost_in_dollars!B868,Cost_in_dollars!B868 * GOOGLEFINANCE(""CURRENCY:"" &amp; Cost_in_dollars!E868 &amp; ""USD""))
"),65000000)</f>
        <v>65000000</v>
      </c>
      <c r="P868" s="4">
        <f ca="1">IFERROR(__xludf.DUMMYFUNCTION("IF(Cost_in_dollars!E868=""USD"",Cost_in_dollars!C868,Cost_in_dollars!C868 * GOOGLEFINANCE(""CURRENCY:"" &amp; Cost_in_dollars!E868 &amp; ""USD""))
"),32598931)</f>
        <v>32598931</v>
      </c>
      <c r="Q868" s="4">
        <f t="shared" ca="1" si="18"/>
        <v>-32401069</v>
      </c>
      <c r="R868" s="5" t="str">
        <f t="shared" si="19"/>
        <v>Proof of Life</v>
      </c>
      <c r="S868" s="43" t="str">
        <f t="shared" si="21"/>
        <v>Action</v>
      </c>
    </row>
    <row r="869" spans="1:19" ht="15.75" customHeight="1" x14ac:dyDescent="0.25">
      <c r="A869" s="6" t="s">
        <v>3243</v>
      </c>
      <c r="B869" s="6">
        <v>44</v>
      </c>
      <c r="C869" s="6">
        <v>36696761</v>
      </c>
      <c r="D869" s="6" t="s">
        <v>3244</v>
      </c>
      <c r="E869" s="6" t="s">
        <v>3245</v>
      </c>
      <c r="F869" s="6" t="s">
        <v>3246</v>
      </c>
      <c r="G869" s="6">
        <v>6808</v>
      </c>
      <c r="H869" s="6" t="s">
        <v>3247</v>
      </c>
      <c r="I869" s="6">
        <v>38</v>
      </c>
      <c r="J869" s="6" t="s">
        <v>23</v>
      </c>
      <c r="K869" s="6" t="s">
        <v>24</v>
      </c>
      <c r="L869" s="6">
        <v>23000000</v>
      </c>
      <c r="M869" s="6">
        <v>2001</v>
      </c>
      <c r="N869" s="6">
        <v>6.5</v>
      </c>
      <c r="O869" s="4">
        <f ca="1">IFERROR(__xludf.DUMMYFUNCTION("IF(Cost_in_dollars!E869=""USD"",Cost_in_dollars!B869,Cost_in_dollars!B869 * GOOGLEFINANCE(""CURRENCY:"" &amp; Cost_in_dollars!E869 &amp; ""USD""))
"),23000000)</f>
        <v>23000000</v>
      </c>
      <c r="P869" s="4">
        <f ca="1">IFERROR(__xludf.DUMMYFUNCTION("IF(Cost_in_dollars!E869=""USD"",Cost_in_dollars!C869,Cost_in_dollars!C869 * GOOGLEFINANCE(""CURRENCY:"" &amp; Cost_in_dollars!E869 &amp; ""USD""))
"),36696761)</f>
        <v>36696761</v>
      </c>
      <c r="Q869" s="6">
        <f t="shared" ca="1" si="18"/>
        <v>13696761</v>
      </c>
      <c r="R869" s="7" t="str">
        <f t="shared" si="19"/>
        <v>Recess: School's Out</v>
      </c>
      <c r="S869" s="43" t="str">
        <f t="shared" si="21"/>
        <v>Animation</v>
      </c>
    </row>
    <row r="870" spans="1:19" ht="15.75" customHeight="1" x14ac:dyDescent="0.25">
      <c r="A870" s="4" t="s">
        <v>3248</v>
      </c>
      <c r="B870" s="4">
        <v>61</v>
      </c>
      <c r="C870" s="4">
        <v>19959</v>
      </c>
      <c r="D870" s="4" t="s">
        <v>102</v>
      </c>
      <c r="E870" s="4" t="s">
        <v>3249</v>
      </c>
      <c r="F870" s="4" t="s">
        <v>3250</v>
      </c>
      <c r="G870" s="4">
        <v>3579</v>
      </c>
      <c r="H870" s="4" t="s">
        <v>3251</v>
      </c>
      <c r="I870" s="4">
        <v>14</v>
      </c>
      <c r="J870" s="4" t="s">
        <v>23</v>
      </c>
      <c r="K870" s="4" t="s">
        <v>3252</v>
      </c>
      <c r="L870" s="4">
        <v>3800000</v>
      </c>
      <c r="M870" s="4">
        <v>2009</v>
      </c>
      <c r="N870" s="4">
        <v>6.9</v>
      </c>
      <c r="O870" s="4">
        <f ca="1">IFERROR(__xludf.DUMMYFUNCTION("IF(Cost_in_dollars!E870=""USD"",Cost_in_dollars!B870,Cost_in_dollars!B870 * GOOGLEFINANCE(""CURRENCY:"" &amp; Cost_in_dollars!E870 &amp; ""USD""))
"),27572.19542)</f>
        <v>27572.19542</v>
      </c>
      <c r="P870" s="4">
        <f ca="1">IFERROR(__xludf.DUMMYFUNCTION("IF(Cost_in_dollars!E870=""USD"",Cost_in_dollars!C870,Cost_in_dollars!C870 * GOOGLEFINANCE(""CURRENCY:"" &amp; Cost_in_dollars!E870 &amp; ""USD""))
"),144.8193285231)</f>
        <v>144.81932852310001</v>
      </c>
      <c r="Q870" s="4">
        <f t="shared" ca="1" si="18"/>
        <v>-27427.376091476901</v>
      </c>
      <c r="R870" s="5" t="str">
        <f t="shared" si="19"/>
        <v>The Good Heart</v>
      </c>
      <c r="S870" s="43" t="str">
        <f t="shared" si="21"/>
        <v>Drama</v>
      </c>
    </row>
    <row r="871" spans="1:19" ht="15.75" customHeight="1" x14ac:dyDescent="0.25">
      <c r="A871" s="6" t="s">
        <v>539</v>
      </c>
      <c r="B871" s="6">
        <v>335</v>
      </c>
      <c r="C871" s="6">
        <v>10137502</v>
      </c>
      <c r="D871" s="6" t="s">
        <v>3253</v>
      </c>
      <c r="E871" s="6" t="s">
        <v>767</v>
      </c>
      <c r="F871" s="6" t="s">
        <v>3254</v>
      </c>
      <c r="G871" s="6">
        <v>77394</v>
      </c>
      <c r="H871" s="6" t="s">
        <v>3255</v>
      </c>
      <c r="I871" s="6">
        <v>195</v>
      </c>
      <c r="J871" s="6" t="s">
        <v>23</v>
      </c>
      <c r="K871" s="6" t="s">
        <v>24</v>
      </c>
      <c r="L871" s="6">
        <v>35000000</v>
      </c>
      <c r="M871" s="6">
        <v>2015</v>
      </c>
      <c r="N871" s="6">
        <v>7.4</v>
      </c>
      <c r="O871" s="4">
        <f ca="1">IFERROR(__xludf.DUMMYFUNCTION("IF(Cost_in_dollars!E871=""USD"",Cost_in_dollars!B871,Cost_in_dollars!B871 * GOOGLEFINANCE(""CURRENCY:"" &amp; Cost_in_dollars!E871 &amp; ""USD""))
"),35000000)</f>
        <v>35000000</v>
      </c>
      <c r="P871" s="4">
        <f ca="1">IFERROR(__xludf.DUMMYFUNCTION("IF(Cost_in_dollars!E871=""USD"",Cost_in_dollars!C871,Cost_in_dollars!C871 * GOOGLEFINANCE(""CURRENCY:"" &amp; Cost_in_dollars!E871 &amp; ""USD""))
"),10137502)</f>
        <v>10137502</v>
      </c>
      <c r="Q871" s="6">
        <f t="shared" ca="1" si="18"/>
        <v>-24862498</v>
      </c>
      <c r="R871" s="7" t="str">
        <f t="shared" si="19"/>
        <v>The Walk</v>
      </c>
      <c r="S871" s="43" t="str">
        <f t="shared" si="21"/>
        <v>Adventure</v>
      </c>
    </row>
    <row r="872" spans="1:19" ht="15.75" customHeight="1" x14ac:dyDescent="0.25">
      <c r="A872" s="4" t="s">
        <v>3256</v>
      </c>
      <c r="B872" s="4">
        <v>167</v>
      </c>
      <c r="C872" s="4">
        <v>24800000</v>
      </c>
      <c r="D872" s="4" t="s">
        <v>477</v>
      </c>
      <c r="E872" s="4" t="s">
        <v>3257</v>
      </c>
      <c r="F872" s="4" t="s">
        <v>3258</v>
      </c>
      <c r="G872" s="4">
        <v>89403</v>
      </c>
      <c r="H872" s="4" t="s">
        <v>3259</v>
      </c>
      <c r="I872" s="4">
        <v>358</v>
      </c>
      <c r="J872" s="4" t="s">
        <v>23</v>
      </c>
      <c r="K872" s="4" t="s">
        <v>133</v>
      </c>
      <c r="L872" s="4">
        <v>2000000</v>
      </c>
      <c r="M872" s="4">
        <v>1963</v>
      </c>
      <c r="N872" s="4">
        <v>7.5</v>
      </c>
      <c r="O872" s="4">
        <f ca="1">IFERROR(__xludf.DUMMYFUNCTION("IF(Cost_in_dollars!E872=""USD"",Cost_in_dollars!B872,Cost_in_dollars!B872 * GOOGLEFINANCE(""CURRENCY:"" &amp; Cost_in_dollars!E872 &amp; ""USD""))
"),2570799.99999999)</f>
        <v>2570799.9999999902</v>
      </c>
      <c r="P872" s="4">
        <f ca="1">IFERROR(__xludf.DUMMYFUNCTION("IF(Cost_in_dollars!E872=""USD"",Cost_in_dollars!C872,Cost_in_dollars!C872 * GOOGLEFINANCE(""CURRENCY:"" &amp; Cost_in_dollars!E872 &amp; ""USD""))
"),31877919.9999999)</f>
        <v>31877919.999999899</v>
      </c>
      <c r="Q872" s="4">
        <f t="shared" ca="1" si="18"/>
        <v>29307119.999999911</v>
      </c>
      <c r="R872" s="5" t="str">
        <f t="shared" si="19"/>
        <v>From Russia with Love</v>
      </c>
      <c r="S872" s="43" t="str">
        <f t="shared" si="21"/>
        <v>Action</v>
      </c>
    </row>
    <row r="873" spans="1:19" ht="15.75" customHeight="1" x14ac:dyDescent="0.25">
      <c r="A873" s="6" t="s">
        <v>3260</v>
      </c>
      <c r="B873" s="6">
        <v>72</v>
      </c>
      <c r="C873" s="6">
        <v>5018450</v>
      </c>
      <c r="D873" s="6" t="s">
        <v>1756</v>
      </c>
      <c r="E873" s="6" t="s">
        <v>3261</v>
      </c>
      <c r="F873" s="6" t="s">
        <v>3262</v>
      </c>
      <c r="G873" s="6">
        <v>8546</v>
      </c>
      <c r="H873" s="6" t="s">
        <v>3263</v>
      </c>
      <c r="I873" s="6">
        <v>86</v>
      </c>
      <c r="J873" s="6" t="s">
        <v>23</v>
      </c>
      <c r="K873" s="6" t="s">
        <v>24</v>
      </c>
      <c r="L873" s="6">
        <v>8000000</v>
      </c>
      <c r="M873" s="6">
        <v>2000</v>
      </c>
      <c r="N873" s="6">
        <v>5.3</v>
      </c>
      <c r="O873" s="4">
        <f ca="1">IFERROR(__xludf.DUMMYFUNCTION("IF(Cost_in_dollars!E873=""USD"",Cost_in_dollars!B873,Cost_in_dollars!B873 * GOOGLEFINANCE(""CURRENCY:"" &amp; Cost_in_dollars!E873 &amp; ""USD""))
"),8000000)</f>
        <v>8000000</v>
      </c>
      <c r="P873" s="4">
        <f ca="1">IFERROR(__xludf.DUMMYFUNCTION("IF(Cost_in_dollars!E873=""USD"",Cost_in_dollars!C873,Cost_in_dollars!C873 * GOOGLEFINANCE(""CURRENCY:"" &amp; Cost_in_dollars!E873 &amp; ""USD""))
"),5018450)</f>
        <v>5018450</v>
      </c>
      <c r="Q873" s="6">
        <f t="shared" ca="1" si="18"/>
        <v>-2981550</v>
      </c>
      <c r="R873" s="7" t="str">
        <f t="shared" si="19"/>
        <v>Woman on Top</v>
      </c>
      <c r="S873" s="43" t="str">
        <f t="shared" si="21"/>
        <v>Comedy</v>
      </c>
    </row>
    <row r="874" spans="1:19" ht="15.75" customHeight="1" x14ac:dyDescent="0.25">
      <c r="A874" s="4" t="s">
        <v>535</v>
      </c>
      <c r="B874" s="4">
        <v>140</v>
      </c>
      <c r="C874" s="4">
        <v>106807667</v>
      </c>
      <c r="D874" s="4" t="s">
        <v>3264</v>
      </c>
      <c r="E874" s="4" t="s">
        <v>3265</v>
      </c>
      <c r="F874" s="4" t="s">
        <v>3266</v>
      </c>
      <c r="G874" s="4">
        <v>137377</v>
      </c>
      <c r="H874" s="4" t="s">
        <v>3267</v>
      </c>
      <c r="I874" s="4">
        <v>370</v>
      </c>
      <c r="J874" s="4" t="s">
        <v>23</v>
      </c>
      <c r="K874" s="4" t="s">
        <v>24</v>
      </c>
      <c r="L874" s="4">
        <v>45000000</v>
      </c>
      <c r="M874" s="4">
        <v>2000</v>
      </c>
      <c r="N874" s="4">
        <v>6.2</v>
      </c>
      <c r="O874" s="4">
        <f ca="1">IFERROR(__xludf.DUMMYFUNCTION("IF(Cost_in_dollars!E874=""USD"",Cost_in_dollars!B874,Cost_in_dollars!B874 * GOOGLEFINANCE(""CURRENCY:"" &amp; Cost_in_dollars!E874 &amp; ""USD""))
"),45000000)</f>
        <v>45000000</v>
      </c>
      <c r="P874" s="4">
        <f ca="1">IFERROR(__xludf.DUMMYFUNCTION("IF(Cost_in_dollars!E874=""USD"",Cost_in_dollars!C874,Cost_in_dollars!C874 * GOOGLEFINANCE(""CURRENCY:"" &amp; Cost_in_dollars!E874 &amp; ""USD""))
"),106807667)</f>
        <v>106807667</v>
      </c>
      <c r="Q874" s="4">
        <f t="shared" ca="1" si="18"/>
        <v>61807667</v>
      </c>
      <c r="R874" s="5" t="str">
        <f t="shared" si="19"/>
        <v>Miss Congeniality</v>
      </c>
      <c r="S874" s="43" t="str">
        <f t="shared" si="21"/>
        <v>Action</v>
      </c>
    </row>
    <row r="875" spans="1:19" ht="15.75" customHeight="1" x14ac:dyDescent="0.25">
      <c r="A875" s="6" t="s">
        <v>3268</v>
      </c>
      <c r="B875" s="6">
        <v>144</v>
      </c>
      <c r="C875" s="6">
        <v>49875589</v>
      </c>
      <c r="D875" s="6" t="s">
        <v>1492</v>
      </c>
      <c r="E875" s="6" t="s">
        <v>3269</v>
      </c>
      <c r="F875" s="6" t="s">
        <v>3270</v>
      </c>
      <c r="G875" s="6">
        <v>28807</v>
      </c>
      <c r="H875" s="6" t="s">
        <v>3271</v>
      </c>
      <c r="I875" s="6">
        <v>273</v>
      </c>
      <c r="J875" s="6" t="s">
        <v>23</v>
      </c>
      <c r="K875" s="6" t="s">
        <v>24</v>
      </c>
      <c r="L875" s="6">
        <v>58000000</v>
      </c>
      <c r="M875" s="6">
        <v>2012</v>
      </c>
      <c r="N875" s="6">
        <v>5.9</v>
      </c>
      <c r="O875" s="4">
        <f ca="1">IFERROR(__xludf.DUMMYFUNCTION("IF(Cost_in_dollars!E875=""USD"",Cost_in_dollars!B875,Cost_in_dollars!B875 * GOOGLEFINANCE(""CURRENCY:"" &amp; Cost_in_dollars!E875 &amp; ""USD""))
"),58000000)</f>
        <v>58000000</v>
      </c>
      <c r="P875" s="4">
        <f ca="1">IFERROR(__xludf.DUMMYFUNCTION("IF(Cost_in_dollars!E875=""USD"",Cost_in_dollars!C875,Cost_in_dollars!C875 * GOOGLEFINANCE(""CURRENCY:"" &amp; Cost_in_dollars!E875 &amp; ""USD""))
"),49875589)</f>
        <v>49875589</v>
      </c>
      <c r="Q875" s="6">
        <f t="shared" ca="1" si="18"/>
        <v>-8124411</v>
      </c>
      <c r="R875" s="7" t="str">
        <f t="shared" si="19"/>
        <v>Red Tails</v>
      </c>
      <c r="S875" s="43" t="str">
        <f t="shared" si="21"/>
        <v>Action</v>
      </c>
    </row>
    <row r="876" spans="1:19" ht="15.75" customHeight="1" x14ac:dyDescent="0.25">
      <c r="A876" s="4" t="s">
        <v>1123</v>
      </c>
      <c r="B876" s="4">
        <v>110</v>
      </c>
      <c r="C876" s="4">
        <v>78745923</v>
      </c>
      <c r="D876" s="4" t="s">
        <v>3272</v>
      </c>
      <c r="E876" s="4" t="s">
        <v>461</v>
      </c>
      <c r="F876" s="4" t="s">
        <v>3273</v>
      </c>
      <c r="G876" s="4">
        <v>94407</v>
      </c>
      <c r="H876" s="4" t="s">
        <v>3274</v>
      </c>
      <c r="I876" s="4">
        <v>322</v>
      </c>
      <c r="J876" s="4" t="s">
        <v>23</v>
      </c>
      <c r="K876" s="4" t="s">
        <v>176</v>
      </c>
      <c r="L876" s="4">
        <v>55000000</v>
      </c>
      <c r="M876" s="4">
        <v>1998</v>
      </c>
      <c r="N876" s="4">
        <v>6.7</v>
      </c>
      <c r="O876" s="4">
        <f ca="1">IFERROR(__xludf.DUMMYFUNCTION("IF(Cost_in_dollars!E876=""USD"",Cost_in_dollars!B876,Cost_in_dollars!B876 * GOOGLEFINANCE(""CURRENCY:"" &amp; Cost_in_dollars!E876 &amp; ""USD""))
"),59660700)</f>
        <v>59660700</v>
      </c>
      <c r="P876" s="4">
        <f ca="1">IFERROR(__xludf.DUMMYFUNCTION("IF(Cost_in_dollars!E876=""USD"",Cost_in_dollars!C876,Cost_in_dollars!C876 * GOOGLEFINANCE(""CURRENCY:"" &amp; Cost_in_dollars!E876 &amp; ""USD""))
"),85418852.51502)</f>
        <v>85418852.515019998</v>
      </c>
      <c r="Q876" s="4">
        <f t="shared" ca="1" si="18"/>
        <v>25758152.515019998</v>
      </c>
      <c r="R876" s="5" t="str">
        <f t="shared" si="19"/>
        <v>City of Angels</v>
      </c>
      <c r="S876" s="43" t="str">
        <f t="shared" si="21"/>
        <v>Drama</v>
      </c>
    </row>
    <row r="877" spans="1:19" ht="15.75" customHeight="1" x14ac:dyDescent="0.25">
      <c r="A877" s="6" t="s">
        <v>1190</v>
      </c>
      <c r="B877" s="6">
        <v>287</v>
      </c>
      <c r="C877" s="6">
        <v>128067808</v>
      </c>
      <c r="D877" s="6" t="s">
        <v>3275</v>
      </c>
      <c r="E877" s="6" t="s">
        <v>3276</v>
      </c>
      <c r="F877" s="6" t="s">
        <v>3277</v>
      </c>
      <c r="G877" s="6">
        <v>217740</v>
      </c>
      <c r="H877" s="6" t="s">
        <v>3278</v>
      </c>
      <c r="I877" s="6">
        <v>1641</v>
      </c>
      <c r="J877" s="6" t="s">
        <v>3279</v>
      </c>
      <c r="K877" s="6" t="s">
        <v>3280</v>
      </c>
      <c r="L877" s="6">
        <v>15000000</v>
      </c>
      <c r="M877" s="6">
        <v>2000</v>
      </c>
      <c r="N877" s="6">
        <v>7.9</v>
      </c>
      <c r="O877" s="4">
        <f ca="1">IFERROR(__xludf.DUMMYFUNCTION("IF(Cost_in_dollars!E877=""USD"",Cost_in_dollars!B877,Cost_in_dollars!B877 * GOOGLEFINANCE(""CURRENCY:"" &amp; Cost_in_dollars!E877 &amp; ""USD""))
"),458184.6)</f>
        <v>458184.6</v>
      </c>
      <c r="P877" s="4">
        <f ca="1">IFERROR(__xludf.DUMMYFUNCTION("IF(Cost_in_dollars!E877=""USD"",Cost_in_dollars!C877,Cost_in_dollars!C877 * GOOGLEFINANCE(""CURRENCY:"" &amp; Cost_in_dollars!E877 &amp; ""USD""))
"),3911913.15875712)</f>
        <v>3911913.1587571199</v>
      </c>
      <c r="Q877" s="6">
        <f t="shared" ca="1" si="18"/>
        <v>3453728.5587571198</v>
      </c>
      <c r="R877" s="7" t="str">
        <f t="shared" si="19"/>
        <v>Crouching Tiger, Hidden Dragon</v>
      </c>
      <c r="S877" s="43" t="str">
        <f t="shared" si="21"/>
        <v>Action</v>
      </c>
    </row>
    <row r="878" spans="1:19" ht="15.75" customHeight="1" x14ac:dyDescent="0.25">
      <c r="A878" s="4" t="s">
        <v>2966</v>
      </c>
      <c r="B878" s="4">
        <v>217</v>
      </c>
      <c r="C878" s="4">
        <v>109243478</v>
      </c>
      <c r="D878" s="4" t="s">
        <v>88</v>
      </c>
      <c r="E878" s="4" t="s">
        <v>1083</v>
      </c>
      <c r="F878" s="4" t="s">
        <v>3281</v>
      </c>
      <c r="G878" s="4">
        <v>313797</v>
      </c>
      <c r="H878" s="4" t="s">
        <v>3282</v>
      </c>
      <c r="I878" s="4">
        <v>546</v>
      </c>
      <c r="J878" s="4" t="s">
        <v>23</v>
      </c>
      <c r="K878" s="4" t="s">
        <v>24</v>
      </c>
      <c r="L878" s="4">
        <v>26000000</v>
      </c>
      <c r="M878" s="4">
        <v>2005</v>
      </c>
      <c r="N878" s="4">
        <v>7.1</v>
      </c>
      <c r="O878" s="4">
        <f ca="1">IFERROR(__xludf.DUMMYFUNCTION("IF(Cost_in_dollars!E878=""USD"",Cost_in_dollars!B878,Cost_in_dollars!B878 * GOOGLEFINANCE(""CURRENCY:"" &amp; Cost_in_dollars!E878 &amp; ""USD""))
"),26000000)</f>
        <v>26000000</v>
      </c>
      <c r="P878" s="4">
        <f ca="1">IFERROR(__xludf.DUMMYFUNCTION("IF(Cost_in_dollars!E878=""USD"",Cost_in_dollars!C878,Cost_in_dollars!C878 * GOOGLEFINANCE(""CURRENCY:"" &amp; Cost_in_dollars!E878 &amp; ""USD""))
"),109243478)</f>
        <v>109243478</v>
      </c>
      <c r="Q878" s="4">
        <f t="shared" ca="1" si="18"/>
        <v>83243478</v>
      </c>
      <c r="R878" s="5" t="str">
        <f t="shared" si="19"/>
        <v>The 40-Year-Old Virgin</v>
      </c>
      <c r="S878" s="43" t="str">
        <f t="shared" si="21"/>
        <v>Comedy</v>
      </c>
    </row>
    <row r="879" spans="1:19" ht="15.75" customHeight="1" x14ac:dyDescent="0.25">
      <c r="A879" s="6" t="s">
        <v>3283</v>
      </c>
      <c r="B879" s="6">
        <v>26</v>
      </c>
      <c r="C879" s="6">
        <v>133778</v>
      </c>
      <c r="D879" s="6" t="s">
        <v>1736</v>
      </c>
      <c r="E879" s="6" t="s">
        <v>3284</v>
      </c>
      <c r="F879" s="6" t="s">
        <v>3285</v>
      </c>
      <c r="G879" s="6">
        <v>3086</v>
      </c>
      <c r="H879" s="6" t="s">
        <v>3286</v>
      </c>
      <c r="I879" s="6">
        <v>9</v>
      </c>
      <c r="J879" s="6" t="s">
        <v>23</v>
      </c>
      <c r="K879" s="6" t="s">
        <v>24</v>
      </c>
      <c r="L879" s="6">
        <v>500000</v>
      </c>
      <c r="M879" s="6">
        <v>2012</v>
      </c>
      <c r="N879" s="6">
        <v>8.4</v>
      </c>
      <c r="O879" s="4">
        <f ca="1">IFERROR(__xludf.DUMMYFUNCTION("IF(Cost_in_dollars!E879=""USD"",Cost_in_dollars!B879,Cost_in_dollars!B879 * GOOGLEFINANCE(""CURRENCY:"" &amp; Cost_in_dollars!E879 &amp; ""USD""))
"),500000)</f>
        <v>500000</v>
      </c>
      <c r="P879" s="4">
        <f ca="1">IFERROR(__xludf.DUMMYFUNCTION("IF(Cost_in_dollars!E879=""USD"",Cost_in_dollars!C879,Cost_in_dollars!C879 * GOOGLEFINANCE(""CURRENCY:"" &amp; Cost_in_dollars!E879 &amp; ""USD""))
"),133778)</f>
        <v>133778</v>
      </c>
      <c r="Q879" s="6">
        <f t="shared" ca="1" si="18"/>
        <v>-366222</v>
      </c>
      <c r="R879" s="7" t="str">
        <f t="shared" si="19"/>
        <v>The Other Dream Team</v>
      </c>
      <c r="S879" s="43" t="str">
        <f t="shared" si="21"/>
        <v>Documentary</v>
      </c>
    </row>
    <row r="880" spans="1:19" ht="15.75" customHeight="1" x14ac:dyDescent="0.25">
      <c r="A880" s="4" t="s">
        <v>2084</v>
      </c>
      <c r="B880" s="4">
        <v>152</v>
      </c>
      <c r="C880" s="4">
        <v>8129455</v>
      </c>
      <c r="D880" s="4" t="s">
        <v>1343</v>
      </c>
      <c r="E880" s="4" t="s">
        <v>3287</v>
      </c>
      <c r="F880" s="4" t="s">
        <v>3288</v>
      </c>
      <c r="G880" s="4">
        <v>89568</v>
      </c>
      <c r="H880" s="4" t="s">
        <v>3289</v>
      </c>
      <c r="I880" s="4">
        <v>142</v>
      </c>
      <c r="J880" s="4" t="s">
        <v>23</v>
      </c>
      <c r="K880" s="4" t="s">
        <v>24</v>
      </c>
      <c r="L880" s="4">
        <v>45000000</v>
      </c>
      <c r="M880" s="4">
        <v>2011</v>
      </c>
      <c r="N880" s="4">
        <v>6.3</v>
      </c>
      <c r="O880" s="4">
        <f ca="1">IFERROR(__xludf.DUMMYFUNCTION("IF(Cost_in_dollars!E880=""USD"",Cost_in_dollars!B880,Cost_in_dollars!B880 * GOOGLEFINANCE(""CURRENCY:"" &amp; Cost_in_dollars!E880 &amp; ""USD""))
"),45000000)</f>
        <v>45000000</v>
      </c>
      <c r="P880" s="4">
        <f ca="1">IFERROR(__xludf.DUMMYFUNCTION("IF(Cost_in_dollars!E880=""USD"",Cost_in_dollars!C880,Cost_in_dollars!C880 * GOOGLEFINANCE(""CURRENCY:"" &amp; Cost_in_dollars!E880 &amp; ""USD""))
"),8129455)</f>
        <v>8129455</v>
      </c>
      <c r="Q880" s="4">
        <f t="shared" ca="1" si="18"/>
        <v>-36870545</v>
      </c>
      <c r="R880" s="5" t="str">
        <f t="shared" si="19"/>
        <v>Johnny English Reborn</v>
      </c>
      <c r="S880" s="43" t="str">
        <f t="shared" si="21"/>
        <v>Action</v>
      </c>
    </row>
    <row r="881" spans="1:19" ht="15.75" customHeight="1" x14ac:dyDescent="0.25">
      <c r="A881" s="6" t="s">
        <v>1090</v>
      </c>
      <c r="B881" s="6">
        <v>217</v>
      </c>
      <c r="C881" s="6">
        <v>28501651</v>
      </c>
      <c r="D881" s="6" t="s">
        <v>372</v>
      </c>
      <c r="E881" s="6" t="s">
        <v>1091</v>
      </c>
      <c r="F881" s="6" t="s">
        <v>1092</v>
      </c>
      <c r="G881" s="6">
        <v>88037</v>
      </c>
      <c r="H881" s="6" t="s">
        <v>1093</v>
      </c>
      <c r="I881" s="6">
        <v>201</v>
      </c>
      <c r="J881" s="6" t="s">
        <v>23</v>
      </c>
      <c r="K881" s="6" t="s">
        <v>24</v>
      </c>
      <c r="L881" s="6">
        <v>26000000</v>
      </c>
      <c r="M881" s="6">
        <v>2009</v>
      </c>
      <c r="N881" s="6">
        <v>7.1</v>
      </c>
      <c r="O881" s="4">
        <f ca="1">IFERROR(__xludf.DUMMYFUNCTION("IF(Cost_in_dollars!E881=""USD"",Cost_in_dollars!B881,Cost_in_dollars!B881 * GOOGLEFINANCE(""CURRENCY:"" &amp; Cost_in_dollars!E881 &amp; ""USD""))
"),26000000)</f>
        <v>26000000</v>
      </c>
      <c r="P881" s="4">
        <f ca="1">IFERROR(__xludf.DUMMYFUNCTION("IF(Cost_in_dollars!E881=""USD"",Cost_in_dollars!C881,Cost_in_dollars!C881 * GOOGLEFINANCE(""CURRENCY:"" &amp; Cost_in_dollars!E881 &amp; ""USD""))
"),28501651)</f>
        <v>28501651</v>
      </c>
      <c r="Q881" s="6">
        <f t="shared" ca="1" si="18"/>
        <v>2501651</v>
      </c>
      <c r="R881" s="7" t="str">
        <f t="shared" si="19"/>
        <v>Brothers</v>
      </c>
      <c r="S881" s="43" t="str">
        <f t="shared" si="21"/>
        <v>Drama</v>
      </c>
    </row>
    <row r="882" spans="1:19" ht="15.75" customHeight="1" x14ac:dyDescent="0.25">
      <c r="A882" s="4" t="s">
        <v>476</v>
      </c>
      <c r="B882" s="4">
        <v>85</v>
      </c>
      <c r="C882" s="4">
        <v>32694788</v>
      </c>
      <c r="D882" s="4" t="s">
        <v>3290</v>
      </c>
      <c r="E882" s="4" t="s">
        <v>3291</v>
      </c>
      <c r="F882" s="4" t="s">
        <v>3292</v>
      </c>
      <c r="G882" s="4">
        <v>101411</v>
      </c>
      <c r="H882" s="4" t="s">
        <v>3293</v>
      </c>
      <c r="I882" s="4">
        <v>546</v>
      </c>
      <c r="J882" s="4" t="s">
        <v>23</v>
      </c>
      <c r="K882" s="4" t="s">
        <v>24</v>
      </c>
      <c r="L882" s="4">
        <v>85000000</v>
      </c>
      <c r="M882" s="4">
        <v>1999</v>
      </c>
      <c r="N882" s="4">
        <v>6.6</v>
      </c>
      <c r="O882" s="4">
        <f ca="1">IFERROR(__xludf.DUMMYFUNCTION("IF(Cost_in_dollars!E882=""USD"",Cost_in_dollars!B882,Cost_in_dollars!B882 * GOOGLEFINANCE(""CURRENCY:"" &amp; Cost_in_dollars!E882 &amp; ""USD""))
"),85000000)</f>
        <v>85000000</v>
      </c>
      <c r="P882" s="4">
        <f ca="1">IFERROR(__xludf.DUMMYFUNCTION("IF(Cost_in_dollars!E882=""USD"",Cost_in_dollars!C882,Cost_in_dollars!C882 * GOOGLEFINANCE(""CURRENCY:"" &amp; Cost_in_dollars!E882 &amp; ""USD""))
"),32694788)</f>
        <v>32694788</v>
      </c>
      <c r="Q882" s="4">
        <f t="shared" ca="1" si="18"/>
        <v>-52305212</v>
      </c>
      <c r="R882" s="5" t="str">
        <f t="shared" si="19"/>
        <v>The 13th Warrior</v>
      </c>
      <c r="S882" s="43" t="str">
        <f t="shared" si="21"/>
        <v>Action</v>
      </c>
    </row>
    <row r="883" spans="1:19" ht="15.75" customHeight="1" x14ac:dyDescent="0.25">
      <c r="A883" s="6" t="s">
        <v>3294</v>
      </c>
      <c r="B883" s="6">
        <v>275</v>
      </c>
      <c r="C883" s="6">
        <v>44134898</v>
      </c>
      <c r="D883" s="6" t="s">
        <v>457</v>
      </c>
      <c r="E883" s="6" t="s">
        <v>473</v>
      </c>
      <c r="F883" s="6" t="s">
        <v>3295</v>
      </c>
      <c r="G883" s="6">
        <v>72803</v>
      </c>
      <c r="H883" s="6" t="s">
        <v>3296</v>
      </c>
      <c r="I883" s="6">
        <v>171</v>
      </c>
      <c r="J883" s="6" t="s">
        <v>23</v>
      </c>
      <c r="K883" s="6" t="s">
        <v>24</v>
      </c>
      <c r="L883" s="6">
        <v>13000000</v>
      </c>
      <c r="M883" s="6">
        <v>2014</v>
      </c>
      <c r="N883" s="6">
        <v>7.3</v>
      </c>
      <c r="O883" s="4">
        <f ca="1">IFERROR(__xludf.DUMMYFUNCTION("IF(Cost_in_dollars!E883=""USD"",Cost_in_dollars!B883,Cost_in_dollars!B883 * GOOGLEFINANCE(""CURRENCY:"" &amp; Cost_in_dollars!E883 &amp; ""USD""))
"),13000000)</f>
        <v>13000000</v>
      </c>
      <c r="P883" s="4">
        <f ca="1">IFERROR(__xludf.DUMMYFUNCTION("IF(Cost_in_dollars!E883=""USD"",Cost_in_dollars!C883,Cost_in_dollars!C883 * GOOGLEFINANCE(""CURRENCY:"" &amp; Cost_in_dollars!E883 &amp; ""USD""))
"),44134898)</f>
        <v>44134898</v>
      </c>
      <c r="Q883" s="6">
        <f t="shared" ca="1" si="18"/>
        <v>31134898</v>
      </c>
      <c r="R883" s="7" t="str">
        <f t="shared" si="19"/>
        <v>St. Vincent</v>
      </c>
      <c r="S883" s="43" t="str">
        <f t="shared" si="21"/>
        <v>Comedy</v>
      </c>
    </row>
    <row r="884" spans="1:19" ht="15.75" customHeight="1" x14ac:dyDescent="0.25">
      <c r="A884" s="4" t="s">
        <v>110</v>
      </c>
      <c r="B884" s="4">
        <v>31</v>
      </c>
      <c r="C884" s="4">
        <v>623374</v>
      </c>
      <c r="D884" s="4" t="s">
        <v>3297</v>
      </c>
      <c r="E884" s="4" t="s">
        <v>3222</v>
      </c>
      <c r="F884" s="4" t="s">
        <v>3298</v>
      </c>
      <c r="G884" s="4">
        <v>4757</v>
      </c>
      <c r="H884" s="4" t="s">
        <v>3299</v>
      </c>
      <c r="I884" s="4">
        <v>67</v>
      </c>
      <c r="J884" s="4" t="s">
        <v>23</v>
      </c>
      <c r="K884" s="4" t="s">
        <v>24</v>
      </c>
      <c r="L884" s="4">
        <v>38000000</v>
      </c>
      <c r="M884" s="4">
        <v>2001</v>
      </c>
      <c r="N884" s="4">
        <v>5.2</v>
      </c>
      <c r="O884" s="4">
        <f ca="1">IFERROR(__xludf.DUMMYFUNCTION("IF(Cost_in_dollars!E884=""USD"",Cost_in_dollars!B884,Cost_in_dollars!B884 * GOOGLEFINANCE(""CURRENCY:"" &amp; Cost_in_dollars!E884 &amp; ""USD""))
"),38000000)</f>
        <v>38000000</v>
      </c>
      <c r="P884" s="4">
        <f ca="1">IFERROR(__xludf.DUMMYFUNCTION("IF(Cost_in_dollars!E884=""USD"",Cost_in_dollars!C884,Cost_in_dollars!C884 * GOOGLEFINANCE(""CURRENCY:"" &amp; Cost_in_dollars!E884 &amp; ""USD""))
"),623374)</f>
        <v>623374</v>
      </c>
      <c r="Q884" s="4">
        <f t="shared" ca="1" si="18"/>
        <v>-37376626</v>
      </c>
      <c r="R884" s="5" t="str">
        <f t="shared" si="19"/>
        <v>Texas Rangers</v>
      </c>
      <c r="S884" s="43" t="str">
        <f t="shared" si="21"/>
        <v>Action</v>
      </c>
    </row>
    <row r="885" spans="1:19" ht="15.75" customHeight="1" x14ac:dyDescent="0.25">
      <c r="A885" s="6" t="s">
        <v>150</v>
      </c>
      <c r="B885" s="6">
        <v>242</v>
      </c>
      <c r="C885" s="6">
        <v>103001286</v>
      </c>
      <c r="D885" s="6" t="s">
        <v>568</v>
      </c>
      <c r="E885" s="6" t="s">
        <v>2099</v>
      </c>
      <c r="F885" s="6" t="s">
        <v>3300</v>
      </c>
      <c r="G885" s="6">
        <v>222018</v>
      </c>
      <c r="H885" s="6" t="s">
        <v>3301</v>
      </c>
      <c r="I885" s="6">
        <v>869</v>
      </c>
      <c r="J885" s="6" t="s">
        <v>23</v>
      </c>
      <c r="K885" s="6" t="s">
        <v>24</v>
      </c>
      <c r="L885" s="6">
        <v>15000000</v>
      </c>
      <c r="M885" s="6">
        <v>1996</v>
      </c>
      <c r="N885" s="6">
        <v>7.2</v>
      </c>
      <c r="O885" s="4">
        <f ca="1">IFERROR(__xludf.DUMMYFUNCTION("IF(Cost_in_dollars!E885=""USD"",Cost_in_dollars!B885,Cost_in_dollars!B885 * GOOGLEFINANCE(""CURRENCY:"" &amp; Cost_in_dollars!E885 &amp; ""USD""))
"),15000000)</f>
        <v>15000000</v>
      </c>
      <c r="P885" s="4">
        <f ca="1">IFERROR(__xludf.DUMMYFUNCTION("IF(Cost_in_dollars!E885=""USD"",Cost_in_dollars!C885,Cost_in_dollars!C885 * GOOGLEFINANCE(""CURRENCY:"" &amp; Cost_in_dollars!E885 &amp; ""USD""))
"),103001286)</f>
        <v>103001286</v>
      </c>
      <c r="Q885" s="6">
        <f t="shared" ca="1" si="18"/>
        <v>88001286</v>
      </c>
      <c r="R885" s="7" t="str">
        <f t="shared" si="19"/>
        <v>Scream</v>
      </c>
      <c r="S885" s="43" t="str">
        <f t="shared" si="21"/>
        <v>Horror</v>
      </c>
    </row>
    <row r="886" spans="1:19" ht="15.75" customHeight="1" x14ac:dyDescent="0.25">
      <c r="A886" s="4" t="s">
        <v>3302</v>
      </c>
      <c r="B886" s="4">
        <v>187</v>
      </c>
      <c r="C886" s="4">
        <v>106793915</v>
      </c>
      <c r="D886" s="4" t="s">
        <v>3063</v>
      </c>
      <c r="E886" s="4" t="s">
        <v>3303</v>
      </c>
      <c r="F886" s="4" t="s">
        <v>3304</v>
      </c>
      <c r="G886" s="4">
        <v>140499</v>
      </c>
      <c r="H886" s="4" t="s">
        <v>3305</v>
      </c>
      <c r="I886" s="4">
        <v>358</v>
      </c>
      <c r="J886" s="4" t="s">
        <v>23</v>
      </c>
      <c r="K886" s="4" t="s">
        <v>133</v>
      </c>
      <c r="L886" s="4">
        <v>45000000</v>
      </c>
      <c r="M886" s="4">
        <v>2000</v>
      </c>
      <c r="N886" s="4">
        <v>7</v>
      </c>
      <c r="O886" s="4">
        <f ca="1">IFERROR(__xludf.DUMMYFUNCTION("IF(Cost_in_dollars!E886=""USD"",Cost_in_dollars!B886,Cost_in_dollars!B886 * GOOGLEFINANCE(""CURRENCY:"" &amp; Cost_in_dollars!E886 &amp; ""USD""))
"),57842999.9999999)</f>
        <v>57842999.999999903</v>
      </c>
      <c r="P886" s="4">
        <f ca="1">IFERROR(__xludf.DUMMYFUNCTION("IF(Cost_in_dollars!E886=""USD"",Cost_in_dollars!C886,Cost_in_dollars!C886 * GOOGLEFINANCE(""CURRENCY:"" &amp; Cost_in_dollars!E886 &amp; ""USD""))
"),137272898.341)</f>
        <v>137272898.34099999</v>
      </c>
      <c r="Q886" s="4">
        <f t="shared" ca="1" si="18"/>
        <v>79429898.34100008</v>
      </c>
      <c r="R886" s="5" t="str">
        <f t="shared" si="19"/>
        <v>Chicken Run</v>
      </c>
      <c r="S886" s="43" t="str">
        <f t="shared" si="21"/>
        <v>Adventure</v>
      </c>
    </row>
    <row r="887" spans="1:19" ht="15.75" customHeight="1" x14ac:dyDescent="0.25">
      <c r="A887" s="6" t="s">
        <v>3306</v>
      </c>
      <c r="B887" s="6">
        <v>218</v>
      </c>
      <c r="C887" s="6">
        <v>80021740</v>
      </c>
      <c r="D887" s="6" t="s">
        <v>3307</v>
      </c>
      <c r="E887" s="6" t="s">
        <v>3308</v>
      </c>
      <c r="F887" s="6" t="s">
        <v>3309</v>
      </c>
      <c r="G887" s="6">
        <v>47988</v>
      </c>
      <c r="H887" s="6" t="s">
        <v>3310</v>
      </c>
      <c r="I887" s="6">
        <v>154</v>
      </c>
      <c r="J887" s="6" t="s">
        <v>23</v>
      </c>
      <c r="K887" s="6" t="s">
        <v>24</v>
      </c>
      <c r="L887" s="6">
        <v>58000000</v>
      </c>
      <c r="M887" s="6">
        <v>2015</v>
      </c>
      <c r="N887" s="6">
        <v>6.4</v>
      </c>
      <c r="O887" s="4">
        <f ca="1">IFERROR(__xludf.DUMMYFUNCTION("IF(Cost_in_dollars!E887=""USD"",Cost_in_dollars!B887,Cost_in_dollars!B887 * GOOGLEFINANCE(""CURRENCY:"" &amp; Cost_in_dollars!E887 &amp; ""USD""))
"),58000000)</f>
        <v>58000000</v>
      </c>
      <c r="P887" s="4">
        <f ca="1">IFERROR(__xludf.DUMMYFUNCTION("IF(Cost_in_dollars!E887=""USD"",Cost_in_dollars!C887,Cost_in_dollars!C887 * GOOGLEFINANCE(""CURRENCY:"" &amp; Cost_in_dollars!E887 &amp; ""USD""))
"),80021740)</f>
        <v>80021740</v>
      </c>
      <c r="Q887" s="6">
        <f t="shared" ca="1" si="18"/>
        <v>22021740</v>
      </c>
      <c r="R887" s="7" t="str">
        <f t="shared" si="19"/>
        <v>Goosebumps</v>
      </c>
      <c r="S887" s="43" t="str">
        <f t="shared" si="21"/>
        <v>Adventure</v>
      </c>
    </row>
    <row r="888" spans="1:19" ht="15.75" customHeight="1" x14ac:dyDescent="0.25">
      <c r="A888" s="4" t="s">
        <v>3311</v>
      </c>
      <c r="B888" s="4">
        <v>165</v>
      </c>
      <c r="C888" s="4">
        <v>30513940</v>
      </c>
      <c r="D888" s="4" t="s">
        <v>2238</v>
      </c>
      <c r="E888" s="4" t="s">
        <v>3312</v>
      </c>
      <c r="F888" s="4" t="s">
        <v>3313</v>
      </c>
      <c r="G888" s="4">
        <v>15843</v>
      </c>
      <c r="H888" s="4" t="s">
        <v>3314</v>
      </c>
      <c r="I888" s="4">
        <v>104</v>
      </c>
      <c r="J888" s="4" t="s">
        <v>23</v>
      </c>
      <c r="K888" s="4" t="s">
        <v>24</v>
      </c>
      <c r="L888" s="4">
        <v>30000000</v>
      </c>
      <c r="M888" s="4">
        <v>2014</v>
      </c>
      <c r="N888" s="4">
        <v>6.9</v>
      </c>
      <c r="O888" s="4">
        <f ca="1">IFERROR(__xludf.DUMMYFUNCTION("IF(Cost_in_dollars!E888=""USD"",Cost_in_dollars!B888,Cost_in_dollars!B888 * GOOGLEFINANCE(""CURRENCY:"" &amp; Cost_in_dollars!E888 &amp; ""USD""))
"),30000000)</f>
        <v>30000000</v>
      </c>
      <c r="P888" s="4">
        <f ca="1">IFERROR(__xludf.DUMMYFUNCTION("IF(Cost_in_dollars!E888=""USD"",Cost_in_dollars!C888,Cost_in_dollars!C888 * GOOGLEFINANCE(""CURRENCY:"" &amp; Cost_in_dollars!E888 &amp; ""USD""))
"),30513940)</f>
        <v>30513940</v>
      </c>
      <c r="Q888" s="4">
        <f t="shared" ca="1" si="18"/>
        <v>513940</v>
      </c>
      <c r="R888" s="5" t="str">
        <f t="shared" si="19"/>
        <v>Get on Up</v>
      </c>
      <c r="S888" s="43" t="str">
        <f t="shared" si="21"/>
        <v>Biography</v>
      </c>
    </row>
    <row r="889" spans="1:19" ht="15.75" customHeight="1" x14ac:dyDescent="0.25">
      <c r="A889" s="6" t="s">
        <v>3315</v>
      </c>
      <c r="B889" s="6">
        <v>1</v>
      </c>
      <c r="C889" s="6">
        <v>610991</v>
      </c>
      <c r="D889" s="6" t="s">
        <v>235</v>
      </c>
      <c r="E889" s="6" t="s">
        <v>3316</v>
      </c>
      <c r="F889" s="6" t="s">
        <v>3317</v>
      </c>
      <c r="G889" s="6">
        <v>2715</v>
      </c>
      <c r="H889" s="6" t="s">
        <v>3318</v>
      </c>
      <c r="I889" s="6">
        <v>19</v>
      </c>
      <c r="J889" s="6" t="s">
        <v>673</v>
      </c>
      <c r="K889" s="6" t="s">
        <v>674</v>
      </c>
      <c r="L889" s="6">
        <v>1000000</v>
      </c>
      <c r="M889" s="6">
        <v>2000</v>
      </c>
      <c r="N889" s="6">
        <v>6.2</v>
      </c>
      <c r="O889" s="4">
        <f ca="1">IFERROR(__xludf.DUMMYFUNCTION("IF(Cost_in_dollars!E889=""USD"",Cost_in_dollars!B889,Cost_in_dollars!B889 * GOOGLEFINANCE(""CURRENCY:"" &amp; Cost_in_dollars!E889 &amp; ""USD""))
"),11941.46)</f>
        <v>11941.46</v>
      </c>
      <c r="P889" s="4">
        <f ca="1">IFERROR(__xludf.DUMMYFUNCTION("IF(Cost_in_dollars!E889=""USD"",Cost_in_dollars!C889,Cost_in_dollars!C889 * GOOGLEFINANCE(""CURRENCY:"" &amp; Cost_in_dollars!E889 &amp; ""USD""))
"),7296.12458686)</f>
        <v>7296.1245868599999</v>
      </c>
      <c r="Q889" s="6">
        <f t="shared" ca="1" si="18"/>
        <v>-4645.3354131399992</v>
      </c>
      <c r="R889" s="7" t="str">
        <f t="shared" si="19"/>
        <v>Fiza</v>
      </c>
      <c r="S889" s="43" t="str">
        <f t="shared" si="21"/>
        <v>Drama</v>
      </c>
    </row>
    <row r="890" spans="1:19" ht="15.75" customHeight="1" x14ac:dyDescent="0.25">
      <c r="A890" s="4" t="s">
        <v>3319</v>
      </c>
      <c r="B890" s="4">
        <v>251</v>
      </c>
      <c r="C890" s="4">
        <v>104007828</v>
      </c>
      <c r="D890" s="4" t="s">
        <v>151</v>
      </c>
      <c r="E890" s="4" t="s">
        <v>3320</v>
      </c>
      <c r="F890" s="4" t="s">
        <v>3321</v>
      </c>
      <c r="G890" s="4">
        <v>76828</v>
      </c>
      <c r="H890" s="4" t="s">
        <v>3322</v>
      </c>
      <c r="I890" s="4">
        <v>314</v>
      </c>
      <c r="J890" s="4" t="s">
        <v>23</v>
      </c>
      <c r="K890" s="4" t="s">
        <v>24</v>
      </c>
      <c r="L890" s="4">
        <v>5000000</v>
      </c>
      <c r="M890" s="4">
        <v>2011</v>
      </c>
      <c r="N890" s="4">
        <v>5.8</v>
      </c>
      <c r="O890" s="4">
        <f ca="1">IFERROR(__xludf.DUMMYFUNCTION("IF(Cost_in_dollars!E890=""USD"",Cost_in_dollars!B890,Cost_in_dollars!B890 * GOOGLEFINANCE(""CURRENCY:"" &amp; Cost_in_dollars!E890 &amp; ""USD""))
"),5000000)</f>
        <v>5000000</v>
      </c>
      <c r="P890" s="4">
        <f ca="1">IFERROR(__xludf.DUMMYFUNCTION("IF(Cost_in_dollars!E890=""USD"",Cost_in_dollars!C890,Cost_in_dollars!C890 * GOOGLEFINANCE(""CURRENCY:"" &amp; Cost_in_dollars!E890 &amp; ""USD""))
"),104007828)</f>
        <v>104007828</v>
      </c>
      <c r="Q890" s="4">
        <f t="shared" ca="1" si="18"/>
        <v>99007828</v>
      </c>
      <c r="R890" s="5" t="str">
        <f t="shared" si="19"/>
        <v>Paranormal Activity 3</v>
      </c>
      <c r="S890" s="43" t="str">
        <f t="shared" si="21"/>
        <v>Horror</v>
      </c>
    </row>
    <row r="891" spans="1:19" ht="15.75" customHeight="1" x14ac:dyDescent="0.25">
      <c r="A891" s="6" t="s">
        <v>3323</v>
      </c>
      <c r="B891" s="6">
        <v>70</v>
      </c>
      <c r="C891" s="6">
        <v>97360069</v>
      </c>
      <c r="D891" s="6" t="s">
        <v>3324</v>
      </c>
      <c r="E891" s="6" t="s">
        <v>2205</v>
      </c>
      <c r="F891" s="6" t="s">
        <v>3325</v>
      </c>
      <c r="G891" s="6">
        <v>36491</v>
      </c>
      <c r="H891" s="6" t="s">
        <v>3326</v>
      </c>
      <c r="I891" s="6">
        <v>231</v>
      </c>
      <c r="J891" s="6" t="s">
        <v>23</v>
      </c>
      <c r="K891" s="6" t="s">
        <v>24</v>
      </c>
      <c r="L891" s="6">
        <v>75000000</v>
      </c>
      <c r="M891" s="6">
        <v>1999</v>
      </c>
      <c r="N891" s="6">
        <v>4.0999999999999996</v>
      </c>
      <c r="O891" s="4">
        <f ca="1">IFERROR(__xludf.DUMMYFUNCTION("IF(Cost_in_dollars!E891=""USD"",Cost_in_dollars!B891,Cost_in_dollars!B891 * GOOGLEFINANCE(""CURRENCY:"" &amp; Cost_in_dollars!E891 &amp; ""USD""))
"),75000000)</f>
        <v>75000000</v>
      </c>
      <c r="P891" s="4">
        <f ca="1">IFERROR(__xludf.DUMMYFUNCTION("IF(Cost_in_dollars!E891=""USD"",Cost_in_dollars!C891,Cost_in_dollars!C891 * GOOGLEFINANCE(""CURRENCY:"" &amp; Cost_in_dollars!E891 &amp; ""USD""))
"),97360069)</f>
        <v>97360069</v>
      </c>
      <c r="Q891" s="6">
        <f t="shared" ca="1" si="18"/>
        <v>22360069</v>
      </c>
      <c r="R891" s="7" t="str">
        <f t="shared" si="19"/>
        <v>Inspector Gadget</v>
      </c>
      <c r="S891" s="43" t="str">
        <f t="shared" si="21"/>
        <v>Action</v>
      </c>
    </row>
    <row r="892" spans="1:19" ht="15.75" customHeight="1" x14ac:dyDescent="0.25">
      <c r="A892" s="4" t="s">
        <v>3327</v>
      </c>
      <c r="B892" s="4">
        <v>40</v>
      </c>
      <c r="C892" s="4">
        <v>17278980</v>
      </c>
      <c r="D892" s="4" t="s">
        <v>443</v>
      </c>
      <c r="E892" s="4" t="s">
        <v>994</v>
      </c>
      <c r="F892" s="4" t="s">
        <v>3328</v>
      </c>
      <c r="G892" s="4">
        <v>48225</v>
      </c>
      <c r="H892" s="4" t="s">
        <v>3329</v>
      </c>
      <c r="I892" s="4">
        <v>164</v>
      </c>
      <c r="J892" s="4" t="s">
        <v>23</v>
      </c>
      <c r="K892" s="4" t="s">
        <v>24</v>
      </c>
      <c r="L892" s="4">
        <v>8000000</v>
      </c>
      <c r="M892" s="4">
        <v>1998</v>
      </c>
      <c r="N892" s="4">
        <v>6.7</v>
      </c>
      <c r="O892" s="4">
        <f ca="1">IFERROR(__xludf.DUMMYFUNCTION("IF(Cost_in_dollars!E892=""USD"",Cost_in_dollars!B892,Cost_in_dollars!B892 * GOOGLEFINANCE(""CURRENCY:"" &amp; Cost_in_dollars!E892 &amp; ""USD""))
"),8000000)</f>
        <v>8000000</v>
      </c>
      <c r="P892" s="4">
        <f ca="1">IFERROR(__xludf.DUMMYFUNCTION("IF(Cost_in_dollars!E892=""USD"",Cost_in_dollars!C892,Cost_in_dollars!C892 * GOOGLEFINANCE(""CURRENCY:"" &amp; Cost_in_dollars!E892 &amp; ""USD""))
"),17278980)</f>
        <v>17278980</v>
      </c>
      <c r="Q892" s="4">
        <f t="shared" ca="1" si="18"/>
        <v>9278980</v>
      </c>
      <c r="R892" s="5" t="str">
        <f t="shared" si="19"/>
        <v>Half Baked</v>
      </c>
      <c r="S892" s="43" t="str">
        <f t="shared" si="21"/>
        <v>Comedy</v>
      </c>
    </row>
    <row r="893" spans="1:19" ht="15.75" customHeight="1" x14ac:dyDescent="0.25">
      <c r="A893" s="6" t="s">
        <v>3330</v>
      </c>
      <c r="B893" s="6">
        <v>118</v>
      </c>
      <c r="C893" s="6">
        <v>55747724</v>
      </c>
      <c r="D893" s="6" t="s">
        <v>1827</v>
      </c>
      <c r="E893" s="6" t="s">
        <v>2668</v>
      </c>
      <c r="F893" s="6" t="s">
        <v>3331</v>
      </c>
      <c r="G893" s="6">
        <v>18042</v>
      </c>
      <c r="H893" s="6" t="s">
        <v>3332</v>
      </c>
      <c r="I893" s="6">
        <v>73</v>
      </c>
      <c r="J893" s="6" t="s">
        <v>23</v>
      </c>
      <c r="K893" s="6" t="s">
        <v>24</v>
      </c>
      <c r="L893" s="6">
        <v>55000000</v>
      </c>
      <c r="M893" s="6">
        <v>2013</v>
      </c>
      <c r="N893" s="6">
        <v>5.9</v>
      </c>
      <c r="O893" s="4">
        <f ca="1">IFERROR(__xludf.DUMMYFUNCTION("IF(Cost_in_dollars!E893=""USD"",Cost_in_dollars!B893,Cost_in_dollars!B893 * GOOGLEFINANCE(""CURRENCY:"" &amp; Cost_in_dollars!E893 &amp; ""USD""))
"),55000000)</f>
        <v>55000000</v>
      </c>
      <c r="P893" s="4">
        <f ca="1">IFERROR(__xludf.DUMMYFUNCTION("IF(Cost_in_dollars!E893=""USD"",Cost_in_dollars!C893,Cost_in_dollars!C893 * GOOGLEFINANCE(""CURRENCY:"" &amp; Cost_in_dollars!E893 &amp; ""USD""))
"),55747724)</f>
        <v>55747724</v>
      </c>
      <c r="Q893" s="6">
        <f t="shared" ca="1" si="18"/>
        <v>747724</v>
      </c>
      <c r="R893" s="7" t="str">
        <f t="shared" si="19"/>
        <v>Free Birds</v>
      </c>
      <c r="S893" s="43" t="str">
        <f t="shared" si="21"/>
        <v>Adventure</v>
      </c>
    </row>
    <row r="894" spans="1:19" ht="15.75" customHeight="1" x14ac:dyDescent="0.25">
      <c r="A894" s="4" t="s">
        <v>3333</v>
      </c>
      <c r="B894" s="4">
        <v>151</v>
      </c>
      <c r="C894" s="4">
        <v>3885134</v>
      </c>
      <c r="D894" s="4" t="s">
        <v>457</v>
      </c>
      <c r="E894" s="4" t="s">
        <v>3334</v>
      </c>
      <c r="F894" s="4" t="s">
        <v>3335</v>
      </c>
      <c r="G894" s="4">
        <v>31130</v>
      </c>
      <c r="H894" s="4" t="s">
        <v>3336</v>
      </c>
      <c r="I894" s="4">
        <v>243</v>
      </c>
      <c r="J894" s="4" t="s">
        <v>23</v>
      </c>
      <c r="K894" s="4" t="s">
        <v>24</v>
      </c>
      <c r="L894" s="4">
        <v>2000000</v>
      </c>
      <c r="M894" s="4">
        <v>2005</v>
      </c>
      <c r="N894" s="4">
        <v>7.4</v>
      </c>
      <c r="O894" s="4">
        <f ca="1">IFERROR(__xludf.DUMMYFUNCTION("IF(Cost_in_dollars!E894=""USD"",Cost_in_dollars!B894,Cost_in_dollars!B894 * GOOGLEFINANCE(""CURRENCY:"" &amp; Cost_in_dollars!E894 &amp; ""USD""))
"),2000000)</f>
        <v>2000000</v>
      </c>
      <c r="P894" s="4">
        <f ca="1">IFERROR(__xludf.DUMMYFUNCTION("IF(Cost_in_dollars!E894=""USD"",Cost_in_dollars!C894,Cost_in_dollars!C894 * GOOGLEFINANCE(""CURRENCY:"" &amp; Cost_in_dollars!E894 &amp; ""USD""))
"),3885134)</f>
        <v>3885134</v>
      </c>
      <c r="Q894" s="4">
        <f t="shared" ca="1" si="18"/>
        <v>1885134</v>
      </c>
      <c r="R894" s="5" t="str">
        <f t="shared" si="19"/>
        <v>Me and You and Everyone We Know</v>
      </c>
      <c r="S894" s="43" t="str">
        <f t="shared" si="21"/>
        <v>Comedy</v>
      </c>
    </row>
    <row r="895" spans="1:19" ht="15.75" customHeight="1" x14ac:dyDescent="0.25">
      <c r="A895" s="6" t="s">
        <v>2102</v>
      </c>
      <c r="B895" s="6">
        <v>125</v>
      </c>
      <c r="C895" s="6">
        <v>20113965</v>
      </c>
      <c r="D895" s="6" t="s">
        <v>890</v>
      </c>
      <c r="E895" s="6" t="s">
        <v>3337</v>
      </c>
      <c r="F895" s="6" t="s">
        <v>3338</v>
      </c>
      <c r="G895" s="6">
        <v>15231</v>
      </c>
      <c r="H895" s="6" t="s">
        <v>3339</v>
      </c>
      <c r="I895" s="6">
        <v>66</v>
      </c>
      <c r="J895" s="6" t="s">
        <v>23</v>
      </c>
      <c r="K895" s="6" t="s">
        <v>24</v>
      </c>
      <c r="L895" s="6">
        <v>40000000</v>
      </c>
      <c r="M895" s="6">
        <v>2012</v>
      </c>
      <c r="N895" s="6">
        <v>6.5</v>
      </c>
      <c r="O895" s="4">
        <f ca="1">IFERROR(__xludf.DUMMYFUNCTION("IF(Cost_in_dollars!E895=""USD"",Cost_in_dollars!B895,Cost_in_dollars!B895 * GOOGLEFINANCE(""CURRENCY:"" &amp; Cost_in_dollars!E895 &amp; ""USD""))
"),40000000)</f>
        <v>40000000</v>
      </c>
      <c r="P895" s="4">
        <f ca="1">IFERROR(__xludf.DUMMYFUNCTION("IF(Cost_in_dollars!E895=""USD"",Cost_in_dollars!C895,Cost_in_dollars!C895 * GOOGLEFINANCE(""CURRENCY:"" &amp; Cost_in_dollars!E895 &amp; ""USD""))
"),20113965)</f>
        <v>20113965</v>
      </c>
      <c r="Q895" s="6">
        <f t="shared" ca="1" si="18"/>
        <v>-19886035</v>
      </c>
      <c r="R895" s="7" t="str">
        <f t="shared" si="19"/>
        <v>Big Miracle</v>
      </c>
      <c r="S895" s="43" t="str">
        <f t="shared" si="21"/>
        <v>Biography</v>
      </c>
    </row>
    <row r="896" spans="1:19" ht="15.75" customHeight="1" x14ac:dyDescent="0.25">
      <c r="A896" s="4" t="s">
        <v>3340</v>
      </c>
      <c r="B896" s="4">
        <v>55</v>
      </c>
      <c r="C896" s="4">
        <v>33000000</v>
      </c>
      <c r="D896" s="4" t="s">
        <v>3341</v>
      </c>
      <c r="E896" s="4" t="s">
        <v>3342</v>
      </c>
      <c r="F896" s="4" t="s">
        <v>3343</v>
      </c>
      <c r="G896" s="4">
        <v>9424</v>
      </c>
      <c r="H896" s="4" t="s">
        <v>3344</v>
      </c>
      <c r="I896" s="4">
        <v>109</v>
      </c>
      <c r="J896" s="4" t="s">
        <v>23</v>
      </c>
      <c r="K896" s="4" t="s">
        <v>24</v>
      </c>
      <c r="L896" s="4">
        <v>10000000</v>
      </c>
      <c r="M896" s="4">
        <v>1985</v>
      </c>
      <c r="N896" s="4">
        <v>6.9</v>
      </c>
      <c r="O896" s="4">
        <f ca="1">IFERROR(__xludf.DUMMYFUNCTION("IF(Cost_in_dollars!E896=""USD"",Cost_in_dollars!B896,Cost_in_dollars!B896 * GOOGLEFINANCE(""CURRENCY:"" &amp; Cost_in_dollars!E896 &amp; ""USD""))
"),10000000)</f>
        <v>10000000</v>
      </c>
      <c r="P896" s="4">
        <f ca="1">IFERROR(__xludf.DUMMYFUNCTION("IF(Cost_in_dollars!E896=""USD"",Cost_in_dollars!C896,Cost_in_dollars!C896 * GOOGLEFINANCE(""CURRENCY:"" &amp; Cost_in_dollars!E896 &amp; ""USD""))
"),33000000)</f>
        <v>33000000</v>
      </c>
      <c r="Q896" s="4">
        <f t="shared" ca="1" si="18"/>
        <v>23000000</v>
      </c>
      <c r="R896" s="5" t="str">
        <f t="shared" si="19"/>
        <v>The Last Dragon</v>
      </c>
      <c r="S896" s="43" t="str">
        <f t="shared" si="21"/>
        <v>Action</v>
      </c>
    </row>
    <row r="897" spans="1:19" ht="15.75" customHeight="1" x14ac:dyDescent="0.25">
      <c r="A897" s="6" t="s">
        <v>2856</v>
      </c>
      <c r="B897" s="6">
        <v>40</v>
      </c>
      <c r="C897" s="6">
        <v>25052000</v>
      </c>
      <c r="D897" s="6" t="s">
        <v>3345</v>
      </c>
      <c r="E897" s="6" t="s">
        <v>44</v>
      </c>
      <c r="F897" s="6" t="s">
        <v>3346</v>
      </c>
      <c r="G897" s="6">
        <v>35314</v>
      </c>
      <c r="H897" s="6" t="s">
        <v>3347</v>
      </c>
      <c r="I897" s="6">
        <v>145</v>
      </c>
      <c r="J897" s="6" t="s">
        <v>23</v>
      </c>
      <c r="K897" s="6" t="s">
        <v>24</v>
      </c>
      <c r="L897" s="6">
        <v>63000000</v>
      </c>
      <c r="M897" s="6">
        <v>1994</v>
      </c>
      <c r="N897" s="6">
        <v>6.6</v>
      </c>
      <c r="O897" s="4">
        <f ca="1">IFERROR(__xludf.DUMMYFUNCTION("IF(Cost_in_dollars!E897=""USD"",Cost_in_dollars!B897,Cost_in_dollars!B897 * GOOGLEFINANCE(""CURRENCY:"" &amp; Cost_in_dollars!E897 &amp; ""USD""))
"),63000000)</f>
        <v>63000000</v>
      </c>
      <c r="P897" s="4">
        <f ca="1">IFERROR(__xludf.DUMMYFUNCTION("IF(Cost_in_dollars!E897=""USD"",Cost_in_dollars!C897,Cost_in_dollars!C897 * GOOGLEFINANCE(""CURRENCY:"" &amp; Cost_in_dollars!E897 &amp; ""USD""))
"),25052000)</f>
        <v>25052000</v>
      </c>
      <c r="Q897" s="6">
        <f t="shared" ca="1" si="18"/>
        <v>-37948000</v>
      </c>
      <c r="R897" s="7" t="str">
        <f t="shared" si="19"/>
        <v>Wyatt Earp</v>
      </c>
      <c r="S897" s="43" t="str">
        <f t="shared" si="21"/>
        <v>Adventure</v>
      </c>
    </row>
    <row r="898" spans="1:19" ht="15.75" customHeight="1" x14ac:dyDescent="0.25">
      <c r="A898" s="4" t="s">
        <v>899</v>
      </c>
      <c r="B898" s="4">
        <v>174</v>
      </c>
      <c r="C898" s="4">
        <v>24138847</v>
      </c>
      <c r="D898" s="4" t="s">
        <v>140</v>
      </c>
      <c r="E898" s="4" t="s">
        <v>2797</v>
      </c>
      <c r="F898" s="4" t="s">
        <v>3348</v>
      </c>
      <c r="G898" s="4">
        <v>114797</v>
      </c>
      <c r="H898" s="4" t="s">
        <v>3349</v>
      </c>
      <c r="I898" s="4">
        <v>472</v>
      </c>
      <c r="J898" s="4" t="s">
        <v>23</v>
      </c>
      <c r="K898" s="4" t="s">
        <v>24</v>
      </c>
      <c r="L898" s="4">
        <v>5000000</v>
      </c>
      <c r="M898" s="4">
        <v>2006</v>
      </c>
      <c r="N898" s="4">
        <v>7.4</v>
      </c>
      <c r="O898" s="4">
        <f ca="1">IFERROR(__xludf.DUMMYFUNCTION("IF(Cost_in_dollars!E898=""USD"",Cost_in_dollars!B898,Cost_in_dollars!B898 * GOOGLEFINANCE(""CURRENCY:"" &amp; Cost_in_dollars!E898 &amp; ""USD""))
"),5000000)</f>
        <v>5000000</v>
      </c>
      <c r="P898" s="4">
        <f ca="1">IFERROR(__xludf.DUMMYFUNCTION("IF(Cost_in_dollars!E898=""USD"",Cost_in_dollars!C898,Cost_in_dollars!C898 * GOOGLEFINANCE(""CURRENCY:"" &amp; Cost_in_dollars!E898 &amp; ""USD""))
"),24138847)</f>
        <v>24138847</v>
      </c>
      <c r="Q898" s="4">
        <f t="shared" ca="1" si="18"/>
        <v>19138847</v>
      </c>
      <c r="R898" s="5" t="str">
        <f t="shared" si="19"/>
        <v>Clerks II</v>
      </c>
      <c r="S898" s="43" t="str">
        <f t="shared" ref="S898:S961" si="22">IF(ISNUMBER(FIND("|", D898)), LEFT(D898, FIND("|", D898) - 1), D898)</f>
        <v>Comedy</v>
      </c>
    </row>
    <row r="899" spans="1:19" ht="15.75" customHeight="1" x14ac:dyDescent="0.25">
      <c r="A899" s="6" t="s">
        <v>3350</v>
      </c>
      <c r="B899" s="6">
        <v>21</v>
      </c>
      <c r="C899" s="6">
        <v>277233</v>
      </c>
      <c r="D899" s="6" t="s">
        <v>88</v>
      </c>
      <c r="E899" s="6" t="s">
        <v>3351</v>
      </c>
      <c r="F899" s="6" t="s">
        <v>3352</v>
      </c>
      <c r="G899" s="6">
        <v>2631</v>
      </c>
      <c r="H899" s="6" t="s">
        <v>3353</v>
      </c>
      <c r="I899" s="6">
        <v>26</v>
      </c>
      <c r="J899" s="6" t="s">
        <v>23</v>
      </c>
      <c r="K899" s="6" t="s">
        <v>24</v>
      </c>
      <c r="L899" s="6">
        <v>40000</v>
      </c>
      <c r="M899" s="6">
        <v>1999</v>
      </c>
      <c r="N899" s="6">
        <v>7.6</v>
      </c>
      <c r="O899" s="4">
        <f ca="1">IFERROR(__xludf.DUMMYFUNCTION("IF(Cost_in_dollars!E899=""USD"",Cost_in_dollars!B899,Cost_in_dollars!B899 * GOOGLEFINANCE(""CURRENCY:"" &amp; Cost_in_dollars!E899 &amp; ""USD""))
"),40000)</f>
        <v>40000</v>
      </c>
      <c r="P899" s="4">
        <f ca="1">IFERROR(__xludf.DUMMYFUNCTION("IF(Cost_in_dollars!E899=""USD"",Cost_in_dollars!C899,Cost_in_dollars!C899 * GOOGLEFINANCE(""CURRENCY:"" &amp; Cost_in_dollars!E899 &amp; ""USD""))
"),277233)</f>
        <v>277233</v>
      </c>
      <c r="Q899" s="6">
        <f t="shared" ca="1" si="18"/>
        <v>237233</v>
      </c>
      <c r="R899" s="7" t="str">
        <f t="shared" si="19"/>
        <v>Smiling Fish &amp; Goat on Fire</v>
      </c>
      <c r="S899" s="43" t="str">
        <f t="shared" si="22"/>
        <v>Comedy</v>
      </c>
    </row>
    <row r="900" spans="1:19" ht="15.75" customHeight="1" x14ac:dyDescent="0.25">
      <c r="A900" s="4" t="s">
        <v>778</v>
      </c>
      <c r="B900" s="4">
        <v>31</v>
      </c>
      <c r="C900" s="4">
        <v>47329</v>
      </c>
      <c r="D900" s="4" t="s">
        <v>102</v>
      </c>
      <c r="E900" s="4" t="s">
        <v>3354</v>
      </c>
      <c r="F900" s="4" t="s">
        <v>3355</v>
      </c>
      <c r="G900" s="4">
        <v>1661</v>
      </c>
      <c r="H900" s="4" t="s">
        <v>3356</v>
      </c>
      <c r="I900" s="4">
        <v>31</v>
      </c>
      <c r="J900" s="4" t="s">
        <v>23</v>
      </c>
      <c r="K900" s="4" t="s">
        <v>24</v>
      </c>
      <c r="L900" s="4">
        <v>750000</v>
      </c>
      <c r="M900" s="4">
        <v>2002</v>
      </c>
      <c r="N900" s="4">
        <v>6.6</v>
      </c>
      <c r="O900" s="4">
        <f ca="1">IFERROR(__xludf.DUMMYFUNCTION("IF(Cost_in_dollars!E900=""USD"",Cost_in_dollars!B900,Cost_in_dollars!B900 * GOOGLEFINANCE(""CURRENCY:"" &amp; Cost_in_dollars!E900 &amp; ""USD""))
"),750000)</f>
        <v>750000</v>
      </c>
      <c r="P900" s="4">
        <f ca="1">IFERROR(__xludf.DUMMYFUNCTION("IF(Cost_in_dollars!E900=""USD"",Cost_in_dollars!C900,Cost_in_dollars!C900 * GOOGLEFINANCE(""CURRENCY:"" &amp; Cost_in_dollars!E900 &amp; ""USD""))
"),47329)</f>
        <v>47329</v>
      </c>
      <c r="Q900" s="4">
        <f t="shared" ca="1" si="18"/>
        <v>-702671</v>
      </c>
      <c r="R900" s="5" t="str">
        <f t="shared" si="19"/>
        <v>Interview with the Assassin</v>
      </c>
      <c r="S900" s="43" t="str">
        <f t="shared" si="22"/>
        <v>Drama</v>
      </c>
    </row>
    <row r="901" spans="1:19" ht="15.75" customHeight="1" x14ac:dyDescent="0.25">
      <c r="A901" s="6" t="s">
        <v>52</v>
      </c>
      <c r="B901" s="6">
        <v>596</v>
      </c>
      <c r="C901" s="6">
        <v>54116191</v>
      </c>
      <c r="D901" s="6" t="s">
        <v>3357</v>
      </c>
      <c r="E901" s="6" t="s">
        <v>3358</v>
      </c>
      <c r="F901" s="6" t="s">
        <v>3359</v>
      </c>
      <c r="G901" s="6">
        <v>272839</v>
      </c>
      <c r="H901" s="6" t="s">
        <v>3360</v>
      </c>
      <c r="I901" s="6">
        <v>1018</v>
      </c>
      <c r="J901" s="6" t="s">
        <v>23</v>
      </c>
      <c r="K901" s="6" t="s">
        <v>24</v>
      </c>
      <c r="L901" s="6">
        <v>44000000</v>
      </c>
      <c r="M901" s="6">
        <v>2015</v>
      </c>
      <c r="N901" s="6">
        <v>7.9</v>
      </c>
      <c r="O901" s="4">
        <f ca="1">IFERROR(__xludf.DUMMYFUNCTION("IF(Cost_in_dollars!E901=""USD"",Cost_in_dollars!B901,Cost_in_dollars!B901 * GOOGLEFINANCE(""CURRENCY:"" &amp; Cost_in_dollars!E901 &amp; ""USD""))
"),44000000)</f>
        <v>44000000</v>
      </c>
      <c r="P901" s="4">
        <f ca="1">IFERROR(__xludf.DUMMYFUNCTION("IF(Cost_in_dollars!E901=""USD"",Cost_in_dollars!C901,Cost_in_dollars!C901 * GOOGLEFINANCE(""CURRENCY:"" &amp; Cost_in_dollars!E901 &amp; ""USD""))
"),54116191)</f>
        <v>54116191</v>
      </c>
      <c r="Q901" s="6">
        <f t="shared" ca="1" si="18"/>
        <v>10116191</v>
      </c>
      <c r="R901" s="7" t="str">
        <f t="shared" si="19"/>
        <v>The Hateful Eight</v>
      </c>
      <c r="S901" s="43" t="str">
        <f t="shared" si="22"/>
        <v>Crime</v>
      </c>
    </row>
    <row r="902" spans="1:19" ht="15.75" customHeight="1" x14ac:dyDescent="0.25">
      <c r="A902" s="4" t="s">
        <v>1830</v>
      </c>
      <c r="B902" s="4">
        <v>199</v>
      </c>
      <c r="C902" s="4">
        <v>11538204</v>
      </c>
      <c r="D902" s="4" t="s">
        <v>3361</v>
      </c>
      <c r="E902" s="4" t="s">
        <v>236</v>
      </c>
      <c r="F902" s="4" t="s">
        <v>3362</v>
      </c>
      <c r="G902" s="4">
        <v>23696</v>
      </c>
      <c r="H902" s="4" t="s">
        <v>3363</v>
      </c>
      <c r="I902" s="4">
        <v>135</v>
      </c>
      <c r="J902" s="4" t="s">
        <v>23</v>
      </c>
      <c r="K902" s="4" t="s">
        <v>24</v>
      </c>
      <c r="L902" s="4">
        <v>25000000</v>
      </c>
      <c r="M902" s="4">
        <v>2010</v>
      </c>
      <c r="N902" s="4">
        <v>7</v>
      </c>
      <c r="O902" s="4">
        <f ca="1">IFERROR(__xludf.DUMMYFUNCTION("IF(Cost_in_dollars!E902=""USD"",Cost_in_dollars!B902,Cost_in_dollars!B902 * GOOGLEFINANCE(""CURRENCY:"" &amp; Cost_in_dollars!E902 &amp; ""USD""))
"),25000000)</f>
        <v>25000000</v>
      </c>
      <c r="P902" s="4">
        <f ca="1">IFERROR(__xludf.DUMMYFUNCTION("IF(Cost_in_dollars!E902=""USD"",Cost_in_dollars!C902,Cost_in_dollars!C902 * GOOGLEFINANCE(""CURRENCY:"" &amp; Cost_in_dollars!E902 &amp; ""USD""))
"),11538204)</f>
        <v>11538204</v>
      </c>
      <c r="Q902" s="4">
        <f t="shared" ca="1" si="18"/>
        <v>-13461796</v>
      </c>
      <c r="R902" s="5" t="str">
        <f t="shared" si="19"/>
        <v>The Conspirator</v>
      </c>
      <c r="S902" s="43" t="str">
        <f t="shared" si="22"/>
        <v>Crime</v>
      </c>
    </row>
    <row r="903" spans="1:19" ht="15.75" customHeight="1" x14ac:dyDescent="0.25">
      <c r="A903" s="6" t="s">
        <v>927</v>
      </c>
      <c r="B903" s="6">
        <v>64</v>
      </c>
      <c r="C903" s="6">
        <v>67823573</v>
      </c>
      <c r="D903" s="6" t="s">
        <v>178</v>
      </c>
      <c r="E903" s="6" t="s">
        <v>486</v>
      </c>
      <c r="F903" s="6" t="s">
        <v>3364</v>
      </c>
      <c r="G903" s="6">
        <v>91176</v>
      </c>
      <c r="H903" s="6" t="s">
        <v>3365</v>
      </c>
      <c r="I903" s="6">
        <v>130</v>
      </c>
      <c r="J903" s="6" t="s">
        <v>23</v>
      </c>
      <c r="K903" s="6" t="s">
        <v>24</v>
      </c>
      <c r="L903" s="6">
        <v>50000000</v>
      </c>
      <c r="M903" s="6">
        <v>1995</v>
      </c>
      <c r="N903" s="6">
        <v>6.6</v>
      </c>
      <c r="O903" s="4">
        <f ca="1">IFERROR(__xludf.DUMMYFUNCTION("IF(Cost_in_dollars!E903=""USD"",Cost_in_dollars!B903,Cost_in_dollars!B903 * GOOGLEFINANCE(""CURRENCY:"" &amp; Cost_in_dollars!E903 &amp; ""USD""))
"),50000000)</f>
        <v>50000000</v>
      </c>
      <c r="P903" s="4">
        <f ca="1">IFERROR(__xludf.DUMMYFUNCTION("IF(Cost_in_dollars!E903=""USD"",Cost_in_dollars!C903,Cost_in_dollars!C903 * GOOGLEFINANCE(""CURRENCY:"" &amp; Cost_in_dollars!E903 &amp; ""USD""))
"),67823573)</f>
        <v>67823573</v>
      </c>
      <c r="Q903" s="6">
        <f t="shared" ca="1" si="18"/>
        <v>17823573</v>
      </c>
      <c r="R903" s="7" t="str">
        <f t="shared" si="19"/>
        <v>Outbreak</v>
      </c>
      <c r="S903" s="43" t="str">
        <f t="shared" si="22"/>
        <v>Action</v>
      </c>
    </row>
    <row r="904" spans="1:19" ht="15.75" customHeight="1" x14ac:dyDescent="0.25">
      <c r="A904" s="4" t="s">
        <v>1265</v>
      </c>
      <c r="B904" s="4">
        <v>27</v>
      </c>
      <c r="C904" s="4">
        <v>9286314</v>
      </c>
      <c r="D904" s="4" t="s">
        <v>504</v>
      </c>
      <c r="E904" s="4" t="s">
        <v>3366</v>
      </c>
      <c r="F904" s="4" t="s">
        <v>3367</v>
      </c>
      <c r="G904" s="4">
        <v>4972</v>
      </c>
      <c r="H904" s="4" t="s">
        <v>3368</v>
      </c>
      <c r="I904" s="4">
        <v>62</v>
      </c>
      <c r="J904" s="4" t="s">
        <v>23</v>
      </c>
      <c r="K904" s="4" t="s">
        <v>24</v>
      </c>
      <c r="L904" s="4">
        <v>17000000</v>
      </c>
      <c r="M904" s="4">
        <v>1991</v>
      </c>
      <c r="N904" s="4">
        <v>5.9</v>
      </c>
      <c r="O904" s="4">
        <f ca="1">IFERROR(__xludf.DUMMYFUNCTION("IF(Cost_in_dollars!E904=""USD"",Cost_in_dollars!B904,Cost_in_dollars!B904 * GOOGLEFINANCE(""CURRENCY:"" &amp; Cost_in_dollars!E904 &amp; ""USD""))
"),17000000)</f>
        <v>17000000</v>
      </c>
      <c r="P904" s="4">
        <f ca="1">IFERROR(__xludf.DUMMYFUNCTION("IF(Cost_in_dollars!E904=""USD"",Cost_in_dollars!C904,Cost_in_dollars!C904 * GOOGLEFINANCE(""CURRENCY:"" &amp; Cost_in_dollars!E904 &amp; ""USD""))
"),9286314)</f>
        <v>9286314</v>
      </c>
      <c r="Q904" s="4">
        <f t="shared" ca="1" si="18"/>
        <v>-7713686</v>
      </c>
      <c r="R904" s="5" t="str">
        <f t="shared" si="19"/>
        <v>Stone Cold</v>
      </c>
      <c r="S904" s="43" t="str">
        <f t="shared" si="22"/>
        <v>Action</v>
      </c>
    </row>
    <row r="905" spans="1:19" ht="15.75" customHeight="1" x14ac:dyDescent="0.25">
      <c r="A905" s="6" t="s">
        <v>1468</v>
      </c>
      <c r="B905" s="6">
        <v>81</v>
      </c>
      <c r="C905" s="6">
        <v>13596911</v>
      </c>
      <c r="D905" s="6" t="s">
        <v>3369</v>
      </c>
      <c r="E905" s="6" t="s">
        <v>1126</v>
      </c>
      <c r="F905" s="6" t="s">
        <v>3370</v>
      </c>
      <c r="G905" s="6">
        <v>25572</v>
      </c>
      <c r="H905" s="6" t="s">
        <v>3371</v>
      </c>
      <c r="I905" s="6">
        <v>123</v>
      </c>
      <c r="J905" s="6" t="s">
        <v>23</v>
      </c>
      <c r="K905" s="6" t="s">
        <v>24</v>
      </c>
      <c r="L905" s="6">
        <v>70000000</v>
      </c>
      <c r="M905" s="6">
        <v>2001</v>
      </c>
      <c r="N905" s="6">
        <v>6.2</v>
      </c>
      <c r="O905" s="4">
        <f ca="1">IFERROR(__xludf.DUMMYFUNCTION("IF(Cost_in_dollars!E905=""USD"",Cost_in_dollars!B905,Cost_in_dollars!B905 * GOOGLEFINANCE(""CURRENCY:"" &amp; Cost_in_dollars!E905 &amp; ""USD""))
"),70000000)</f>
        <v>70000000</v>
      </c>
      <c r="P905" s="4">
        <f ca="1">IFERROR(__xludf.DUMMYFUNCTION("IF(Cost_in_dollars!E905=""USD"",Cost_in_dollars!C905,Cost_in_dollars!C905 * GOOGLEFINANCE(""CURRENCY:"" &amp; Cost_in_dollars!E905 &amp; ""USD""))
"),13596911)</f>
        <v>13596911</v>
      </c>
      <c r="Q905" s="6">
        <f t="shared" ca="1" si="18"/>
        <v>-56403089</v>
      </c>
      <c r="R905" s="7" t="str">
        <f t="shared" si="19"/>
        <v>Osmosis Jones</v>
      </c>
      <c r="S905" s="43" t="str">
        <f t="shared" si="22"/>
        <v>Action</v>
      </c>
    </row>
    <row r="906" spans="1:19" ht="15.75" customHeight="1" x14ac:dyDescent="0.25">
      <c r="A906" s="4" t="s">
        <v>3372</v>
      </c>
      <c r="B906" s="4">
        <v>169</v>
      </c>
      <c r="C906" s="4">
        <v>13998282</v>
      </c>
      <c r="D906" s="4" t="s">
        <v>3373</v>
      </c>
      <c r="E906" s="4" t="s">
        <v>461</v>
      </c>
      <c r="F906" s="4" t="s">
        <v>3374</v>
      </c>
      <c r="G906" s="4">
        <v>24854</v>
      </c>
      <c r="H906" s="4" t="s">
        <v>3375</v>
      </c>
      <c r="I906" s="4">
        <v>374</v>
      </c>
      <c r="J906" s="4" t="s">
        <v>23</v>
      </c>
      <c r="K906" s="4" t="s">
        <v>24</v>
      </c>
      <c r="L906" s="4">
        <v>16000000</v>
      </c>
      <c r="M906" s="4">
        <v>2014</v>
      </c>
      <c r="N906" s="4">
        <v>3.1</v>
      </c>
      <c r="O906" s="4">
        <f ca="1">IFERROR(__xludf.DUMMYFUNCTION("IF(Cost_in_dollars!E906=""USD"",Cost_in_dollars!B906,Cost_in_dollars!B906 * GOOGLEFINANCE(""CURRENCY:"" &amp; Cost_in_dollars!E906 &amp; ""USD""))
"),16000000)</f>
        <v>16000000</v>
      </c>
      <c r="P906" s="4">
        <f ca="1">IFERROR(__xludf.DUMMYFUNCTION("IF(Cost_in_dollars!E906=""USD"",Cost_in_dollars!C906,Cost_in_dollars!C906 * GOOGLEFINANCE(""CURRENCY:"" &amp; Cost_in_dollars!E906 &amp; ""USD""))
"),13998282)</f>
        <v>13998282</v>
      </c>
      <c r="Q906" s="4">
        <f t="shared" ca="1" si="18"/>
        <v>-2001718</v>
      </c>
      <c r="R906" s="5" t="str">
        <f t="shared" si="19"/>
        <v>Left Behind</v>
      </c>
      <c r="S906" s="43" t="str">
        <f t="shared" si="22"/>
        <v>Action</v>
      </c>
    </row>
    <row r="907" spans="1:19" ht="15.75" customHeight="1" x14ac:dyDescent="0.25">
      <c r="A907" s="6" t="s">
        <v>2261</v>
      </c>
      <c r="B907" s="6">
        <v>161</v>
      </c>
      <c r="C907" s="6">
        <v>67061228</v>
      </c>
      <c r="D907" s="6" t="s">
        <v>222</v>
      </c>
      <c r="E907" s="6" t="s">
        <v>833</v>
      </c>
      <c r="F907" s="6" t="s">
        <v>3376</v>
      </c>
      <c r="G907" s="6">
        <v>96565</v>
      </c>
      <c r="H907" s="6" t="s">
        <v>3377</v>
      </c>
      <c r="I907" s="6">
        <v>135</v>
      </c>
      <c r="J907" s="6" t="s">
        <v>23</v>
      </c>
      <c r="K907" s="6" t="s">
        <v>24</v>
      </c>
      <c r="L907" s="6">
        <v>40000000</v>
      </c>
      <c r="M907" s="6">
        <v>2010</v>
      </c>
      <c r="N907" s="6">
        <v>5.5</v>
      </c>
      <c r="O907" s="4">
        <f ca="1">IFERROR(__xludf.DUMMYFUNCTION("IF(Cost_in_dollars!E907=""USD"",Cost_in_dollars!B907,Cost_in_dollars!B907 * GOOGLEFINANCE(""CURRENCY:"" &amp; Cost_in_dollars!E907 &amp; ""USD""))
"),40000000)</f>
        <v>40000000</v>
      </c>
      <c r="P907" s="4">
        <f ca="1">IFERROR(__xludf.DUMMYFUNCTION("IF(Cost_in_dollars!E907=""USD"",Cost_in_dollars!C907,Cost_in_dollars!C907 * GOOGLEFINANCE(""CURRENCY:"" &amp; Cost_in_dollars!E907 &amp; ""USD""))
"),67061228)</f>
        <v>67061228</v>
      </c>
      <c r="Q907" s="6">
        <f t="shared" ca="1" si="18"/>
        <v>27061228</v>
      </c>
      <c r="R907" s="7" t="str">
        <f t="shared" si="19"/>
        <v>The Bounty Hunter</v>
      </c>
      <c r="S907" s="43" t="str">
        <f t="shared" si="22"/>
        <v>Action</v>
      </c>
    </row>
    <row r="908" spans="1:19" ht="15.75" customHeight="1" x14ac:dyDescent="0.25">
      <c r="A908" s="4" t="s">
        <v>1484</v>
      </c>
      <c r="B908" s="4">
        <v>345</v>
      </c>
      <c r="C908" s="4">
        <v>75754670</v>
      </c>
      <c r="D908" s="4" t="s">
        <v>3378</v>
      </c>
      <c r="E908" s="4" t="s">
        <v>3379</v>
      </c>
      <c r="F908" s="4" t="s">
        <v>3380</v>
      </c>
      <c r="G908" s="4">
        <v>208422</v>
      </c>
      <c r="H908" s="4" t="s">
        <v>3381</v>
      </c>
      <c r="I908" s="4">
        <v>342</v>
      </c>
      <c r="J908" s="4" t="s">
        <v>23</v>
      </c>
      <c r="K908" s="4" t="s">
        <v>24</v>
      </c>
      <c r="L908" s="4">
        <v>85000000</v>
      </c>
      <c r="M908" s="4">
        <v>2008</v>
      </c>
      <c r="N908" s="4">
        <v>7</v>
      </c>
      <c r="O908" s="4">
        <f ca="1">IFERROR(__xludf.DUMMYFUNCTION("IF(Cost_in_dollars!E908=""USD"",Cost_in_dollars!B908,Cost_in_dollars!B908 * GOOGLEFINANCE(""CURRENCY:"" &amp; Cost_in_dollars!E908 &amp; ""USD""))
"),85000000)</f>
        <v>85000000</v>
      </c>
      <c r="P908" s="4">
        <f ca="1">IFERROR(__xludf.DUMMYFUNCTION("IF(Cost_in_dollars!E908=""USD"",Cost_in_dollars!C908,Cost_in_dollars!C908 * GOOGLEFINANCE(""CURRENCY:"" &amp; Cost_in_dollars!E908 &amp; ""USD""))
"),75754670)</f>
        <v>75754670</v>
      </c>
      <c r="Q908" s="4">
        <f t="shared" ca="1" si="18"/>
        <v>-9245330</v>
      </c>
      <c r="R908" s="5" t="str">
        <f t="shared" si="19"/>
        <v>Hellboy II: The Golden Army</v>
      </c>
      <c r="S908" s="43" t="str">
        <f t="shared" si="22"/>
        <v>Action</v>
      </c>
    </row>
    <row r="909" spans="1:19" ht="15.75" customHeight="1" x14ac:dyDescent="0.25">
      <c r="A909" s="6" t="s">
        <v>67</v>
      </c>
      <c r="B909" s="6">
        <v>25</v>
      </c>
      <c r="C909" s="6">
        <v>13640000</v>
      </c>
      <c r="D909" s="6" t="s">
        <v>457</v>
      </c>
      <c r="E909" s="6" t="s">
        <v>3382</v>
      </c>
      <c r="F909" s="6" t="s">
        <v>3383</v>
      </c>
      <c r="G909" s="6">
        <v>6011</v>
      </c>
      <c r="H909" s="6" t="s">
        <v>3384</v>
      </c>
      <c r="I909" s="6">
        <v>39</v>
      </c>
      <c r="J909" s="6" t="s">
        <v>23</v>
      </c>
      <c r="K909" s="6" t="s">
        <v>24</v>
      </c>
      <c r="L909" s="6">
        <v>14000000</v>
      </c>
      <c r="M909" s="6">
        <v>1994</v>
      </c>
      <c r="N909" s="6">
        <v>6.9</v>
      </c>
      <c r="O909" s="4">
        <f ca="1">IFERROR(__xludf.DUMMYFUNCTION("IF(Cost_in_dollars!E909=""USD"",Cost_in_dollars!B909,Cost_in_dollars!B909 * GOOGLEFINANCE(""CURRENCY:"" &amp; Cost_in_dollars!E909 &amp; ""USD""))
"),14000000)</f>
        <v>14000000</v>
      </c>
      <c r="P909" s="4">
        <f ca="1">IFERROR(__xludf.DUMMYFUNCTION("IF(Cost_in_dollars!E909=""USD"",Cost_in_dollars!C909,Cost_in_dollars!C909 * GOOGLEFINANCE(""CURRENCY:"" &amp; Cost_in_dollars!E909 &amp; ""USD""))
"),13640000)</f>
        <v>13640000</v>
      </c>
      <c r="Q909" s="6">
        <f t="shared" ca="1" si="18"/>
        <v>-360000</v>
      </c>
      <c r="R909" s="7" t="str">
        <f t="shared" si="19"/>
        <v>Crooklyn</v>
      </c>
      <c r="S909" s="43" t="str">
        <f t="shared" si="22"/>
        <v>Comedy</v>
      </c>
    </row>
    <row r="910" spans="1:19" ht="15.75" customHeight="1" x14ac:dyDescent="0.25">
      <c r="A910" s="4" t="s">
        <v>3385</v>
      </c>
      <c r="B910" s="4">
        <v>145</v>
      </c>
      <c r="C910" s="4">
        <v>60269340</v>
      </c>
      <c r="D910" s="4" t="s">
        <v>88</v>
      </c>
      <c r="E910" s="4" t="s">
        <v>3386</v>
      </c>
      <c r="F910" s="4" t="s">
        <v>3387</v>
      </c>
      <c r="G910" s="4">
        <v>34079</v>
      </c>
      <c r="H910" s="4" t="s">
        <v>3388</v>
      </c>
      <c r="I910" s="4">
        <v>97</v>
      </c>
      <c r="J910" s="4" t="s">
        <v>23</v>
      </c>
      <c r="K910" s="4" t="s">
        <v>24</v>
      </c>
      <c r="L910" s="4">
        <v>30000000</v>
      </c>
      <c r="M910" s="4">
        <v>2008</v>
      </c>
      <c r="N910" s="4">
        <v>6</v>
      </c>
      <c r="O910" s="4">
        <f ca="1">IFERROR(__xludf.DUMMYFUNCTION("IF(Cost_in_dollars!E910=""USD"",Cost_in_dollars!B910,Cost_in_dollars!B910 * GOOGLEFINANCE(""CURRENCY:"" &amp; Cost_in_dollars!E910 &amp; ""USD""))
"),30000000)</f>
        <v>30000000</v>
      </c>
      <c r="P910" s="4">
        <f ca="1">IFERROR(__xludf.DUMMYFUNCTION("IF(Cost_in_dollars!E910=""USD"",Cost_in_dollars!C910,Cost_in_dollars!C910 * GOOGLEFINANCE(""CURRENCY:"" &amp; Cost_in_dollars!E910 &amp; ""USD""))
"),60269340)</f>
        <v>60269340</v>
      </c>
      <c r="Q910" s="4">
        <f t="shared" ca="1" si="18"/>
        <v>30269340</v>
      </c>
      <c r="R910" s="5" t="str">
        <f t="shared" si="19"/>
        <v>Baby Mama</v>
      </c>
      <c r="S910" s="43" t="str">
        <f t="shared" si="22"/>
        <v>Comedy</v>
      </c>
    </row>
    <row r="911" spans="1:19" ht="15.75" customHeight="1" x14ac:dyDescent="0.25">
      <c r="A911" s="6" t="s">
        <v>1231</v>
      </c>
      <c r="B911" s="6">
        <v>65</v>
      </c>
      <c r="C911" s="6">
        <v>50668906</v>
      </c>
      <c r="D911" s="6" t="s">
        <v>1127</v>
      </c>
      <c r="E911" s="6" t="s">
        <v>69</v>
      </c>
      <c r="F911" s="6" t="s">
        <v>3389</v>
      </c>
      <c r="G911" s="6">
        <v>76016</v>
      </c>
      <c r="H911" s="6" t="s">
        <v>3390</v>
      </c>
      <c r="I911" s="6">
        <v>265</v>
      </c>
      <c r="J911" s="6" t="s">
        <v>23</v>
      </c>
      <c r="K911" s="6" t="s">
        <v>24</v>
      </c>
      <c r="L911" s="6">
        <v>38000000</v>
      </c>
      <c r="M911" s="6">
        <v>1999</v>
      </c>
      <c r="N911" s="6">
        <v>7.6</v>
      </c>
      <c r="O911" s="4">
        <f ca="1">IFERROR(__xludf.DUMMYFUNCTION("IF(Cost_in_dollars!E911=""USD"",Cost_in_dollars!B911,Cost_in_dollars!B911 * GOOGLEFINANCE(""CURRENCY:"" &amp; Cost_in_dollars!E911 &amp; ""USD""))
"),38000000)</f>
        <v>38000000</v>
      </c>
      <c r="P911" s="4">
        <f ca="1">IFERROR(__xludf.DUMMYFUNCTION("IF(Cost_in_dollars!E911=""USD"",Cost_in_dollars!C911,Cost_in_dollars!C911 * GOOGLEFINANCE(""CURRENCY:"" &amp; Cost_in_dollars!E911 &amp; ""USD""))
"),50668906)</f>
        <v>50668906</v>
      </c>
      <c r="Q911" s="6">
        <f t="shared" ca="1" si="18"/>
        <v>12668906</v>
      </c>
      <c r="R911" s="7" t="str">
        <f t="shared" si="19"/>
        <v>The Hurricane</v>
      </c>
      <c r="S911" s="43" t="str">
        <f t="shared" si="22"/>
        <v>Biography</v>
      </c>
    </row>
    <row r="912" spans="1:19" ht="15.75" customHeight="1" x14ac:dyDescent="0.25">
      <c r="A912" s="4" t="s">
        <v>3391</v>
      </c>
      <c r="B912" s="4">
        <v>21</v>
      </c>
      <c r="C912" s="4">
        <v>2315683</v>
      </c>
      <c r="D912" s="4" t="s">
        <v>3392</v>
      </c>
      <c r="E912" s="4" t="s">
        <v>3393</v>
      </c>
      <c r="F912" s="4" t="s">
        <v>3394</v>
      </c>
      <c r="G912" s="4">
        <v>4081</v>
      </c>
      <c r="H912" s="4" t="s">
        <v>3395</v>
      </c>
      <c r="I912" s="4">
        <v>28</v>
      </c>
      <c r="J912" s="4" t="s">
        <v>23</v>
      </c>
      <c r="K912" s="4" t="s">
        <v>133</v>
      </c>
      <c r="L912" s="4">
        <v>17000000</v>
      </c>
      <c r="M912" s="4">
        <v>1986</v>
      </c>
      <c r="N912" s="4">
        <v>3</v>
      </c>
      <c r="O912" s="4">
        <f ca="1">IFERROR(__xludf.DUMMYFUNCTION("IF(Cost_in_dollars!E912=""USD"",Cost_in_dollars!B912,Cost_in_dollars!B912 * GOOGLEFINANCE(""CURRENCY:"" &amp; Cost_in_dollars!E912 &amp; ""USD""))
"),21851799.9999999)</f>
        <v>21851799.999999899</v>
      </c>
      <c r="P912" s="4">
        <f ca="1">IFERROR(__xludf.DUMMYFUNCTION("IF(Cost_in_dollars!E912=""USD"",Cost_in_dollars!C912,Cost_in_dollars!C912 * GOOGLEFINANCE(""CURRENCY:"" &amp; Cost_in_dollars!E912 &amp; ""USD""))
"),2976578.92819999)</f>
        <v>2976578.9281999902</v>
      </c>
      <c r="Q912" s="4">
        <f t="shared" ca="1" si="18"/>
        <v>-18875221.071799908</v>
      </c>
      <c r="R912" s="5" t="str">
        <f t="shared" si="19"/>
        <v>Shanghai Surprise</v>
      </c>
      <c r="S912" s="43" t="str">
        <f t="shared" si="22"/>
        <v>Adventure</v>
      </c>
    </row>
    <row r="913" spans="1:19" ht="15.75" customHeight="1" x14ac:dyDescent="0.25">
      <c r="A913" s="6" t="s">
        <v>177</v>
      </c>
      <c r="B913" s="6">
        <v>185</v>
      </c>
      <c r="C913" s="6">
        <v>306124059</v>
      </c>
      <c r="D913" s="6" t="s">
        <v>188</v>
      </c>
      <c r="E913" s="6" t="s">
        <v>2732</v>
      </c>
      <c r="F913" s="6" t="s">
        <v>3396</v>
      </c>
      <c r="G913" s="6">
        <v>430055</v>
      </c>
      <c r="H913" s="6" t="s">
        <v>3397</v>
      </c>
      <c r="I913" s="6">
        <v>856</v>
      </c>
      <c r="J913" s="6" t="s">
        <v>23</v>
      </c>
      <c r="K913" s="6" t="s">
        <v>24</v>
      </c>
      <c r="L913" s="6">
        <v>75000000</v>
      </c>
      <c r="M913" s="6">
        <v>1996</v>
      </c>
      <c r="N913" s="6">
        <v>6.9</v>
      </c>
      <c r="O913" s="4">
        <f ca="1">IFERROR(__xludf.DUMMYFUNCTION("IF(Cost_in_dollars!E913=""USD"",Cost_in_dollars!B913,Cost_in_dollars!B913 * GOOGLEFINANCE(""CURRENCY:"" &amp; Cost_in_dollars!E913 &amp; ""USD""))
"),75000000)</f>
        <v>75000000</v>
      </c>
      <c r="P913" s="4">
        <f ca="1">IFERROR(__xludf.DUMMYFUNCTION("IF(Cost_in_dollars!E913=""USD"",Cost_in_dollars!C913,Cost_in_dollars!C913 * GOOGLEFINANCE(""CURRENCY:"" &amp; Cost_in_dollars!E913 &amp; ""USD""))
"),306124059)</f>
        <v>306124059</v>
      </c>
      <c r="Q913" s="6">
        <f t="shared" ca="1" si="18"/>
        <v>231124059</v>
      </c>
      <c r="R913" s="7" t="str">
        <f t="shared" si="19"/>
        <v>Independence Day</v>
      </c>
      <c r="S913" s="43" t="str">
        <f t="shared" si="22"/>
        <v>Action</v>
      </c>
    </row>
    <row r="914" spans="1:19" ht="15.75" customHeight="1" x14ac:dyDescent="0.25">
      <c r="A914" s="4" t="s">
        <v>3398</v>
      </c>
      <c r="B914" s="4">
        <v>46</v>
      </c>
      <c r="C914" s="4">
        <v>20998709</v>
      </c>
      <c r="D914" s="4" t="s">
        <v>1691</v>
      </c>
      <c r="E914" s="4" t="s">
        <v>1305</v>
      </c>
      <c r="F914" s="4" t="s">
        <v>3399</v>
      </c>
      <c r="G914" s="4">
        <v>6095</v>
      </c>
      <c r="H914" s="4" t="s">
        <v>3400</v>
      </c>
      <c r="I914" s="4">
        <v>76</v>
      </c>
      <c r="J914" s="4" t="s">
        <v>23</v>
      </c>
      <c r="K914" s="4" t="s">
        <v>24</v>
      </c>
      <c r="L914" s="4">
        <v>15000000</v>
      </c>
      <c r="M914" s="4">
        <v>2006</v>
      </c>
      <c r="N914" s="4">
        <v>6.2</v>
      </c>
      <c r="O914" s="4">
        <f ca="1">IFERROR(__xludf.DUMMYFUNCTION("IF(Cost_in_dollars!E914=""USD"",Cost_in_dollars!B914,Cost_in_dollars!B914 * GOOGLEFINANCE(""CURRENCY:"" &amp; Cost_in_dollars!E914 &amp; ""USD""))
"),15000000)</f>
        <v>15000000</v>
      </c>
      <c r="P914" s="4">
        <f ca="1">IFERROR(__xludf.DUMMYFUNCTION("IF(Cost_in_dollars!E914=""USD"",Cost_in_dollars!C914,Cost_in_dollars!C914 * GOOGLEFINANCE(""CURRENCY:"" &amp; Cost_in_dollars!E914 &amp; ""USD""))
"),20998709)</f>
        <v>20998709</v>
      </c>
      <c r="Q914" s="4">
        <f t="shared" ca="1" si="18"/>
        <v>5998709</v>
      </c>
      <c r="R914" s="5" t="str">
        <f t="shared" si="19"/>
        <v>Flicka</v>
      </c>
      <c r="S914" s="43" t="str">
        <f t="shared" si="22"/>
        <v>Adventure</v>
      </c>
    </row>
    <row r="915" spans="1:19" ht="15.75" customHeight="1" x14ac:dyDescent="0.25">
      <c r="A915" s="6" t="s">
        <v>3401</v>
      </c>
      <c r="B915" s="6">
        <v>45</v>
      </c>
      <c r="C915" s="6">
        <v>18081626</v>
      </c>
      <c r="D915" s="6" t="s">
        <v>3402</v>
      </c>
      <c r="E915" s="6" t="s">
        <v>1654</v>
      </c>
      <c r="F915" s="6" t="s">
        <v>3403</v>
      </c>
      <c r="G915" s="6">
        <v>4180</v>
      </c>
      <c r="H915" s="6" t="s">
        <v>3404</v>
      </c>
      <c r="I915" s="6">
        <v>32</v>
      </c>
      <c r="J915" s="6" t="s">
        <v>23</v>
      </c>
      <c r="K915" s="6" t="s">
        <v>24</v>
      </c>
      <c r="L915" s="6">
        <v>20000000</v>
      </c>
      <c r="M915" s="6">
        <v>2005</v>
      </c>
      <c r="N915" s="6">
        <v>6.4</v>
      </c>
      <c r="O915" s="4">
        <f ca="1">IFERROR(__xludf.DUMMYFUNCTION("IF(Cost_in_dollars!E915=""USD"",Cost_in_dollars!B915,Cost_in_dollars!B915 * GOOGLEFINANCE(""CURRENCY:"" &amp; Cost_in_dollars!E915 &amp; ""USD""))
"),20000000)</f>
        <v>20000000</v>
      </c>
      <c r="P915" s="4">
        <f ca="1">IFERROR(__xludf.DUMMYFUNCTION("IF(Cost_in_dollars!E915=""USD"",Cost_in_dollars!C915,Cost_in_dollars!C915 * GOOGLEFINANCE(""CURRENCY:"" &amp; Cost_in_dollars!E915 &amp; ""USD""))
"),18081626)</f>
        <v>18081626</v>
      </c>
      <c r="Q915" s="6">
        <f t="shared" ca="1" si="18"/>
        <v>-1918374</v>
      </c>
      <c r="R915" s="7" t="str">
        <f t="shared" si="19"/>
        <v>Pooh's Heffalump Movie</v>
      </c>
      <c r="S915" s="43" t="str">
        <f t="shared" si="22"/>
        <v>Animation</v>
      </c>
    </row>
    <row r="916" spans="1:19" ht="15.75" customHeight="1" x14ac:dyDescent="0.25">
      <c r="A916" s="4" t="s">
        <v>3405</v>
      </c>
      <c r="B916" s="4">
        <v>168</v>
      </c>
      <c r="C916" s="4">
        <v>24127895</v>
      </c>
      <c r="D916" s="4" t="s">
        <v>116</v>
      </c>
      <c r="E916" s="4" t="s">
        <v>461</v>
      </c>
      <c r="F916" s="4" t="s">
        <v>3406</v>
      </c>
      <c r="G916" s="4">
        <v>248123</v>
      </c>
      <c r="H916" s="4" t="s">
        <v>3407</v>
      </c>
      <c r="I916" s="4">
        <v>437</v>
      </c>
      <c r="J916" s="4" t="s">
        <v>23</v>
      </c>
      <c r="K916" s="4" t="s">
        <v>24</v>
      </c>
      <c r="L916" s="4">
        <v>50000000</v>
      </c>
      <c r="M916" s="4">
        <v>2005</v>
      </c>
      <c r="N916" s="4">
        <v>7.6</v>
      </c>
      <c r="O916" s="4">
        <f ca="1">IFERROR(__xludf.DUMMYFUNCTION("IF(Cost_in_dollars!E916=""USD"",Cost_in_dollars!B916,Cost_in_dollars!B916 * GOOGLEFINANCE(""CURRENCY:"" &amp; Cost_in_dollars!E916 &amp; ""USD""))
"),50000000)</f>
        <v>50000000</v>
      </c>
      <c r="P916" s="4">
        <f ca="1">IFERROR(__xludf.DUMMYFUNCTION("IF(Cost_in_dollars!E916=""USD"",Cost_in_dollars!C916,Cost_in_dollars!C916 * GOOGLEFINANCE(""CURRENCY:"" &amp; Cost_in_dollars!E916 &amp; ""USD""))
"),24127895)</f>
        <v>24127895</v>
      </c>
      <c r="Q916" s="4">
        <f t="shared" ca="1" si="18"/>
        <v>-25872105</v>
      </c>
      <c r="R916" s="5" t="str">
        <f t="shared" si="19"/>
        <v>Lord of War</v>
      </c>
      <c r="S916" s="43" t="str">
        <f t="shared" si="22"/>
        <v>Crime</v>
      </c>
    </row>
    <row r="917" spans="1:19" ht="15.75" customHeight="1" x14ac:dyDescent="0.25">
      <c r="A917" s="6" t="s">
        <v>3408</v>
      </c>
      <c r="B917" s="6">
        <v>38</v>
      </c>
      <c r="C917" s="6">
        <v>25571351</v>
      </c>
      <c r="D917" s="6" t="s">
        <v>3409</v>
      </c>
      <c r="E917" s="6" t="s">
        <v>3410</v>
      </c>
      <c r="F917" s="6" t="s">
        <v>3411</v>
      </c>
      <c r="G917" s="6">
        <v>3135</v>
      </c>
      <c r="H917" s="6" t="s">
        <v>3412</v>
      </c>
      <c r="I917" s="6">
        <v>78</v>
      </c>
      <c r="J917" s="6" t="s">
        <v>23</v>
      </c>
      <c r="K917" s="6" t="s">
        <v>24</v>
      </c>
      <c r="L917" s="6">
        <v>14000000</v>
      </c>
      <c r="M917" s="6">
        <v>2002</v>
      </c>
      <c r="N917" s="6">
        <v>6.6</v>
      </c>
      <c r="O917" s="4">
        <f ca="1">IFERROR(__xludf.DUMMYFUNCTION("IF(Cost_in_dollars!E917=""USD"",Cost_in_dollars!B917,Cost_in_dollars!B917 * GOOGLEFINANCE(""CURRENCY:"" &amp; Cost_in_dollars!E917 &amp; ""USD""))
"),14000000)</f>
        <v>14000000</v>
      </c>
      <c r="P917" s="4">
        <f ca="1">IFERROR(__xludf.DUMMYFUNCTION("IF(Cost_in_dollars!E917=""USD"",Cost_in_dollars!C917,Cost_in_dollars!C917 * GOOGLEFINANCE(""CURRENCY:"" &amp; Cost_in_dollars!E917 &amp; ""USD""))
"),25571351)</f>
        <v>25571351</v>
      </c>
      <c r="Q917" s="6">
        <f t="shared" ca="1" si="18"/>
        <v>11571351</v>
      </c>
      <c r="R917" s="7" t="str">
        <f t="shared" si="19"/>
        <v>Jonah: A VeggieTales Movie</v>
      </c>
      <c r="S917" s="43" t="str">
        <f t="shared" si="22"/>
        <v>Adventure</v>
      </c>
    </row>
    <row r="918" spans="1:19" ht="15.75" customHeight="1" x14ac:dyDescent="0.25">
      <c r="A918" s="4" t="s">
        <v>2520</v>
      </c>
      <c r="B918" s="4">
        <v>173</v>
      </c>
      <c r="C918" s="4">
        <v>176781728</v>
      </c>
      <c r="D918" s="4" t="s">
        <v>3275</v>
      </c>
      <c r="E918" s="4" t="s">
        <v>223</v>
      </c>
      <c r="F918" s="4" t="s">
        <v>3413</v>
      </c>
      <c r="G918" s="4">
        <v>219171</v>
      </c>
      <c r="H918" s="4" t="s">
        <v>3414</v>
      </c>
      <c r="I918" s="4">
        <v>388</v>
      </c>
      <c r="J918" s="4" t="s">
        <v>23</v>
      </c>
      <c r="K918" s="4" t="s">
        <v>24</v>
      </c>
      <c r="L918" s="4">
        <v>15000000</v>
      </c>
      <c r="M918" s="4">
        <v>1986</v>
      </c>
      <c r="N918" s="4">
        <v>6.9</v>
      </c>
      <c r="O918" s="4">
        <f ca="1">IFERROR(__xludf.DUMMYFUNCTION("IF(Cost_in_dollars!E918=""USD"",Cost_in_dollars!B918,Cost_in_dollars!B918 * GOOGLEFINANCE(""CURRENCY:"" &amp; Cost_in_dollars!E918 &amp; ""USD""))
"),15000000)</f>
        <v>15000000</v>
      </c>
      <c r="P918" s="4">
        <f ca="1">IFERROR(__xludf.DUMMYFUNCTION("IF(Cost_in_dollars!E918=""USD"",Cost_in_dollars!C918,Cost_in_dollars!C918 * GOOGLEFINANCE(""CURRENCY:"" &amp; Cost_in_dollars!E918 &amp; ""USD""))
"),176781728)</f>
        <v>176781728</v>
      </c>
      <c r="Q918" s="4">
        <f t="shared" ca="1" si="18"/>
        <v>161781728</v>
      </c>
      <c r="R918" s="5" t="str">
        <f t="shared" si="19"/>
        <v>Top Gun</v>
      </c>
      <c r="S918" s="43" t="str">
        <f t="shared" si="22"/>
        <v>Action</v>
      </c>
    </row>
    <row r="919" spans="1:19" ht="15.75" customHeight="1" x14ac:dyDescent="0.25">
      <c r="A919" s="6" t="s">
        <v>941</v>
      </c>
      <c r="B919" s="6">
        <v>349</v>
      </c>
      <c r="C919" s="6">
        <v>61094903</v>
      </c>
      <c r="D919" s="6" t="s">
        <v>1158</v>
      </c>
      <c r="E919" s="6" t="s">
        <v>608</v>
      </c>
      <c r="F919" s="6" t="s">
        <v>3415</v>
      </c>
      <c r="G919" s="6">
        <v>210542</v>
      </c>
      <c r="H919" s="6" t="s">
        <v>3416</v>
      </c>
      <c r="I919" s="6">
        <v>332</v>
      </c>
      <c r="J919" s="6" t="s">
        <v>23</v>
      </c>
      <c r="K919" s="6" t="s">
        <v>133</v>
      </c>
      <c r="L919" s="6">
        <v>30000000</v>
      </c>
      <c r="M919" s="6">
        <v>2011</v>
      </c>
      <c r="N919" s="6">
        <v>6.9</v>
      </c>
      <c r="O919" s="4">
        <f ca="1">IFERROR(__xludf.DUMMYFUNCTION("IF(Cost_in_dollars!E919=""USD"",Cost_in_dollars!B919,Cost_in_dollars!B919 * GOOGLEFINANCE(""CURRENCY:"" &amp; Cost_in_dollars!E919 &amp; ""USD""))
"),38562000)</f>
        <v>38562000</v>
      </c>
      <c r="P919" s="4">
        <f ca="1">IFERROR(__xludf.DUMMYFUNCTION("IF(Cost_in_dollars!E919=""USD"",Cost_in_dollars!C919,Cost_in_dollars!C919 * GOOGLEFINANCE(""CURRENCY:"" &amp; Cost_in_dollars!E919 &amp; ""USD""))
"),78531388.3161999)</f>
        <v>78531388.316199899</v>
      </c>
      <c r="Q919" s="6">
        <f t="shared" ca="1" si="18"/>
        <v>39969388.316199899</v>
      </c>
      <c r="R919" s="7" t="str">
        <f t="shared" si="19"/>
        <v>Unknown</v>
      </c>
      <c r="S919" s="43" t="str">
        <f t="shared" si="22"/>
        <v>Action</v>
      </c>
    </row>
    <row r="920" spans="1:19" ht="15.75" customHeight="1" x14ac:dyDescent="0.25">
      <c r="A920" s="4" t="s">
        <v>2110</v>
      </c>
      <c r="B920" s="4">
        <v>77</v>
      </c>
      <c r="C920" s="4">
        <v>38624000</v>
      </c>
      <c r="D920" s="4" t="s">
        <v>3417</v>
      </c>
      <c r="E920" s="4" t="s">
        <v>619</v>
      </c>
      <c r="F920" s="4" t="s">
        <v>3418</v>
      </c>
      <c r="G920" s="4">
        <v>156143</v>
      </c>
      <c r="H920" s="4" t="s">
        <v>3419</v>
      </c>
      <c r="I920" s="4">
        <v>289</v>
      </c>
      <c r="J920" s="4" t="s">
        <v>23</v>
      </c>
      <c r="K920" s="4" t="s">
        <v>24</v>
      </c>
      <c r="L920" s="4">
        <v>12000000</v>
      </c>
      <c r="M920" s="4">
        <v>1996</v>
      </c>
      <c r="N920" s="4">
        <v>7</v>
      </c>
      <c r="O920" s="4">
        <f ca="1">IFERROR(__xludf.DUMMYFUNCTION("IF(Cost_in_dollars!E920=""USD"",Cost_in_dollars!B920,Cost_in_dollars!B920 * GOOGLEFINANCE(""CURRENCY:"" &amp; Cost_in_dollars!E920 &amp; ""USD""))
"),12000000)</f>
        <v>12000000</v>
      </c>
      <c r="P920" s="4">
        <f ca="1">IFERROR(__xludf.DUMMYFUNCTION("IF(Cost_in_dollars!E920=""USD"",Cost_in_dollars!C920,Cost_in_dollars!C920 * GOOGLEFINANCE(""CURRENCY:"" &amp; Cost_in_dollars!E920 &amp; ""USD""))
"),38624000)</f>
        <v>38624000</v>
      </c>
      <c r="Q920" s="4">
        <f t="shared" ca="1" si="18"/>
        <v>26624000</v>
      </c>
      <c r="R920" s="5" t="str">
        <f t="shared" si="19"/>
        <v>Happy Gilmore</v>
      </c>
      <c r="S920" s="43" t="str">
        <f t="shared" si="22"/>
        <v>Comedy</v>
      </c>
    </row>
    <row r="921" spans="1:19" ht="15.75" customHeight="1" x14ac:dyDescent="0.25">
      <c r="A921" s="6" t="s">
        <v>1098</v>
      </c>
      <c r="B921" s="6">
        <v>127</v>
      </c>
      <c r="C921" s="6">
        <v>4476235</v>
      </c>
      <c r="D921" s="6" t="s">
        <v>3420</v>
      </c>
      <c r="E921" s="6" t="s">
        <v>1336</v>
      </c>
      <c r="F921" s="6" t="s">
        <v>3421</v>
      </c>
      <c r="G921" s="6">
        <v>49405</v>
      </c>
      <c r="H921" s="6" t="s">
        <v>3422</v>
      </c>
      <c r="I921" s="6">
        <v>226</v>
      </c>
      <c r="J921" s="6" t="s">
        <v>23</v>
      </c>
      <c r="K921" s="6" t="s">
        <v>24</v>
      </c>
      <c r="L921" s="6">
        <v>27000000</v>
      </c>
      <c r="M921" s="6">
        <v>2004</v>
      </c>
      <c r="N921" s="6">
        <v>6.4</v>
      </c>
      <c r="O921" s="4">
        <f ca="1">IFERROR(__xludf.DUMMYFUNCTION("IF(Cost_in_dollars!E921=""USD"",Cost_in_dollars!B921,Cost_in_dollars!B921 * GOOGLEFINANCE(""CURRENCY:"" &amp; Cost_in_dollars!E921 &amp; ""USD""))
"),27000000)</f>
        <v>27000000</v>
      </c>
      <c r="P921" s="4">
        <f ca="1">IFERROR(__xludf.DUMMYFUNCTION("IF(Cost_in_dollars!E921=""USD"",Cost_in_dollars!C921,Cost_in_dollars!C921 * GOOGLEFINANCE(""CURRENCY:"" &amp; Cost_in_dollars!E921 &amp; ""USD""))
"),4476235)</f>
        <v>4476235</v>
      </c>
      <c r="Q921" s="6">
        <f t="shared" ca="1" si="18"/>
        <v>-22523765</v>
      </c>
      <c r="R921" s="7" t="str">
        <f t="shared" si="19"/>
        <v>Mindhunters</v>
      </c>
      <c r="S921" s="43" t="str">
        <f t="shared" si="22"/>
        <v>Crime</v>
      </c>
    </row>
    <row r="922" spans="1:19" ht="15.75" customHeight="1" x14ac:dyDescent="0.25">
      <c r="A922" s="4" t="s">
        <v>3423</v>
      </c>
      <c r="B922" s="4">
        <v>44</v>
      </c>
      <c r="C922" s="4">
        <v>11030963</v>
      </c>
      <c r="D922" s="4" t="s">
        <v>560</v>
      </c>
      <c r="E922" s="4" t="s">
        <v>650</v>
      </c>
      <c r="F922" s="4" t="s">
        <v>3424</v>
      </c>
      <c r="G922" s="4">
        <v>24145</v>
      </c>
      <c r="H922" s="4" t="s">
        <v>3425</v>
      </c>
      <c r="I922" s="4">
        <v>93</v>
      </c>
      <c r="J922" s="4" t="s">
        <v>23</v>
      </c>
      <c r="K922" s="4" t="s">
        <v>133</v>
      </c>
      <c r="L922" s="4">
        <v>28000000</v>
      </c>
      <c r="M922" s="4">
        <v>1996</v>
      </c>
      <c r="N922" s="4">
        <v>7.1</v>
      </c>
      <c r="O922" s="4">
        <f ca="1">IFERROR(__xludf.DUMMYFUNCTION("IF(Cost_in_dollars!E922=""USD"",Cost_in_dollars!B922,Cost_in_dollars!B922 * GOOGLEFINANCE(""CURRENCY:"" &amp; Cost_in_dollars!E922 &amp; ""USD""))
"),35991200)</f>
        <v>35991200</v>
      </c>
      <c r="P922" s="4">
        <f ca="1">IFERROR(__xludf.DUMMYFUNCTION("IF(Cost_in_dollars!E922=""USD"",Cost_in_dollars!C922,Cost_in_dollars!C922 * GOOGLEFINANCE(""CURRENCY:"" &amp; Cost_in_dollars!E922 &amp; ""USD""))
"),14179199.8402)</f>
        <v>14179199.8402</v>
      </c>
      <c r="Q922" s="4">
        <f t="shared" ca="1" si="18"/>
        <v>-21812000.1598</v>
      </c>
      <c r="R922" s="5" t="str">
        <f t="shared" si="19"/>
        <v>Michael Collins</v>
      </c>
      <c r="S922" s="43" t="str">
        <f t="shared" si="22"/>
        <v>Biography</v>
      </c>
    </row>
    <row r="923" spans="1:19" ht="15.75" customHeight="1" x14ac:dyDescent="0.25">
      <c r="A923" s="6" t="s">
        <v>3426</v>
      </c>
      <c r="B923" s="6">
        <v>85</v>
      </c>
      <c r="C923" s="6">
        <v>671240</v>
      </c>
      <c r="D923" s="6" t="s">
        <v>162</v>
      </c>
      <c r="E923" s="6" t="s">
        <v>3427</v>
      </c>
      <c r="F923" s="6" t="s">
        <v>3428</v>
      </c>
      <c r="G923" s="6">
        <v>23023</v>
      </c>
      <c r="H923" s="6" t="s">
        <v>3429</v>
      </c>
      <c r="I923" s="6">
        <v>149</v>
      </c>
      <c r="J923" s="6" t="s">
        <v>23</v>
      </c>
      <c r="K923" s="6" t="s">
        <v>133</v>
      </c>
      <c r="L923" s="6">
        <v>7900000</v>
      </c>
      <c r="M923" s="6">
        <v>2005</v>
      </c>
      <c r="N923" s="6">
        <v>6.9</v>
      </c>
      <c r="O923" s="4">
        <f ca="1">IFERROR(__xludf.DUMMYFUNCTION("IF(Cost_in_dollars!E923=""USD"",Cost_in_dollars!B923,Cost_in_dollars!B923 * GOOGLEFINANCE(""CURRENCY:"" &amp; Cost_in_dollars!E923 &amp; ""USD""))
"),10154659.9999999)</f>
        <v>10154659.999999899</v>
      </c>
      <c r="P923" s="4">
        <f ca="1">IFERROR(__xludf.DUMMYFUNCTION("IF(Cost_in_dollars!E923=""USD"",Cost_in_dollars!C923,Cost_in_dollars!C923 * GOOGLEFINANCE(""CURRENCY:"" &amp; Cost_in_dollars!E923 &amp; ""USD""))
"),862811.896)</f>
        <v>862811.89599999995</v>
      </c>
      <c r="Q923" s="6">
        <f t="shared" ca="1" si="18"/>
        <v>-9291848.1039998997</v>
      </c>
      <c r="R923" s="7" t="str">
        <f t="shared" si="19"/>
        <v>Imagine Me &amp; You</v>
      </c>
      <c r="S923" s="43" t="str">
        <f t="shared" si="22"/>
        <v>Comedy</v>
      </c>
    </row>
    <row r="924" spans="1:19" ht="15.75" customHeight="1" x14ac:dyDescent="0.25">
      <c r="A924" s="4" t="s">
        <v>3430</v>
      </c>
      <c r="B924" s="4">
        <v>84</v>
      </c>
      <c r="C924" s="4">
        <v>66941559</v>
      </c>
      <c r="D924" s="4" t="s">
        <v>2722</v>
      </c>
      <c r="E924" s="4" t="s">
        <v>74</v>
      </c>
      <c r="F924" s="4" t="s">
        <v>3431</v>
      </c>
      <c r="G924" s="4">
        <v>26413</v>
      </c>
      <c r="H924" s="4" t="s">
        <v>3432</v>
      </c>
      <c r="I924" s="4">
        <v>77</v>
      </c>
      <c r="J924" s="4" t="s">
        <v>23</v>
      </c>
      <c r="K924" s="4" t="s">
        <v>24</v>
      </c>
      <c r="L924" s="4">
        <v>85000000</v>
      </c>
      <c r="M924" s="4">
        <v>2000</v>
      </c>
      <c r="N924" s="4">
        <v>4.8</v>
      </c>
      <c r="O924" s="4">
        <f ca="1">IFERROR(__xludf.DUMMYFUNCTION("IF(Cost_in_dollars!E924=""USD"",Cost_in_dollars!B924,Cost_in_dollars!B924 * GOOGLEFINANCE(""CURRENCY:"" &amp; Cost_in_dollars!E924 &amp; ""USD""))
"),85000000)</f>
        <v>85000000</v>
      </c>
      <c r="P924" s="4">
        <f ca="1">IFERROR(__xludf.DUMMYFUNCTION("IF(Cost_in_dollars!E924=""USD"",Cost_in_dollars!C924,Cost_in_dollars!C924 * GOOGLEFINANCE(""CURRENCY:"" &amp; Cost_in_dollars!E924 &amp; ""USD""))
"),66941559)</f>
        <v>66941559</v>
      </c>
      <c r="Q924" s="4">
        <f t="shared" ca="1" si="18"/>
        <v>-18058441</v>
      </c>
      <c r="R924" s="5" t="str">
        <f t="shared" si="19"/>
        <v>102 Dalmatians</v>
      </c>
      <c r="S924" s="43" t="str">
        <f t="shared" si="22"/>
        <v>Adventure</v>
      </c>
    </row>
    <row r="925" spans="1:19" ht="15.75" customHeight="1" x14ac:dyDescent="0.25">
      <c r="A925" s="6" t="s">
        <v>3433</v>
      </c>
      <c r="B925" s="6">
        <v>644</v>
      </c>
      <c r="C925" s="6">
        <v>652177271</v>
      </c>
      <c r="D925" s="6" t="s">
        <v>797</v>
      </c>
      <c r="E925" s="6" t="s">
        <v>1029</v>
      </c>
      <c r="F925" s="6" t="s">
        <v>3434</v>
      </c>
      <c r="G925" s="6">
        <v>418214</v>
      </c>
      <c r="H925" s="6" t="s">
        <v>3435</v>
      </c>
      <c r="I925" s="6">
        <v>1290</v>
      </c>
      <c r="J925" s="6" t="s">
        <v>23</v>
      </c>
      <c r="K925" s="6" t="s">
        <v>24</v>
      </c>
      <c r="L925" s="6">
        <v>150000000</v>
      </c>
      <c r="M925" s="6">
        <v>2015</v>
      </c>
      <c r="N925" s="6">
        <v>7</v>
      </c>
      <c r="O925" s="4">
        <f ca="1">IFERROR(__xludf.DUMMYFUNCTION("IF(Cost_in_dollars!E925=""USD"",Cost_in_dollars!B925,Cost_in_dollars!B925 * GOOGLEFINANCE(""CURRENCY:"" &amp; Cost_in_dollars!E925 &amp; ""USD""))
"),150000000)</f>
        <v>150000000</v>
      </c>
      <c r="P925" s="4">
        <f ca="1">IFERROR(__xludf.DUMMYFUNCTION("IF(Cost_in_dollars!E925=""USD"",Cost_in_dollars!C925,Cost_in_dollars!C925 * GOOGLEFINANCE(""CURRENCY:"" &amp; Cost_in_dollars!E925 &amp; ""USD""))
"),652177271)</f>
        <v>652177271</v>
      </c>
      <c r="Q925" s="6">
        <f t="shared" ca="1" si="18"/>
        <v>502177271</v>
      </c>
      <c r="R925" s="7" t="str">
        <f t="shared" si="19"/>
        <v>Jurassic World</v>
      </c>
      <c r="S925" s="43" t="str">
        <f t="shared" si="22"/>
        <v>Action</v>
      </c>
    </row>
    <row r="926" spans="1:19" ht="15.75" customHeight="1" x14ac:dyDescent="0.25">
      <c r="A926" s="4" t="s">
        <v>2383</v>
      </c>
      <c r="B926" s="4">
        <v>96</v>
      </c>
      <c r="C926" s="4">
        <v>31054924</v>
      </c>
      <c r="D926" s="4" t="s">
        <v>3436</v>
      </c>
      <c r="E926" s="4" t="s">
        <v>640</v>
      </c>
      <c r="F926" s="4" t="s">
        <v>3437</v>
      </c>
      <c r="G926" s="4">
        <v>17025</v>
      </c>
      <c r="H926" s="4" t="s">
        <v>3438</v>
      </c>
      <c r="I926" s="4">
        <v>290</v>
      </c>
      <c r="J926" s="4" t="s">
        <v>23</v>
      </c>
      <c r="K926" s="4" t="s">
        <v>24</v>
      </c>
      <c r="L926" s="4">
        <v>64000000</v>
      </c>
      <c r="M926" s="4">
        <v>1999</v>
      </c>
      <c r="N926" s="4">
        <v>5.0999999999999996</v>
      </c>
      <c r="O926" s="4">
        <f ca="1">IFERROR(__xludf.DUMMYFUNCTION("IF(Cost_in_dollars!E926=""USD"",Cost_in_dollars!B926,Cost_in_dollars!B926 * GOOGLEFINANCE(""CURRENCY:"" &amp; Cost_in_dollars!E926 &amp; ""USD""))
"),64000000)</f>
        <v>64000000</v>
      </c>
      <c r="P926" s="4">
        <f ca="1">IFERROR(__xludf.DUMMYFUNCTION("IF(Cost_in_dollars!E926=""USD"",Cost_in_dollars!C926,Cost_in_dollars!C926 * GOOGLEFINANCE(""CURRENCY:"" &amp; Cost_in_dollars!E926 &amp; ""USD""))
"),31054924)</f>
        <v>31054924</v>
      </c>
      <c r="Q926" s="4">
        <f t="shared" ca="1" si="18"/>
        <v>-32945076</v>
      </c>
      <c r="R926" s="5" t="str">
        <f t="shared" si="19"/>
        <v>Random Hearts</v>
      </c>
      <c r="S926" s="43" t="str">
        <f t="shared" si="22"/>
        <v>Drama</v>
      </c>
    </row>
    <row r="927" spans="1:19" ht="15.75" customHeight="1" x14ac:dyDescent="0.25">
      <c r="A927" s="6" t="s">
        <v>3439</v>
      </c>
      <c r="B927" s="6">
        <v>64</v>
      </c>
      <c r="C927" s="6">
        <v>23209440</v>
      </c>
      <c r="D927" s="6" t="s">
        <v>102</v>
      </c>
      <c r="E927" s="6" t="s">
        <v>1954</v>
      </c>
      <c r="F927" s="6" t="s">
        <v>3440</v>
      </c>
      <c r="G927" s="6">
        <v>9283</v>
      </c>
      <c r="H927" s="6" t="s">
        <v>3441</v>
      </c>
      <c r="I927" s="6">
        <v>112</v>
      </c>
      <c r="J927" s="6" t="s">
        <v>23</v>
      </c>
      <c r="K927" s="6" t="s">
        <v>24</v>
      </c>
      <c r="L927" s="6">
        <v>30000000</v>
      </c>
      <c r="M927" s="6">
        <v>1998</v>
      </c>
      <c r="N927" s="6">
        <v>7</v>
      </c>
      <c r="O927" s="4">
        <f ca="1">IFERROR(__xludf.DUMMYFUNCTION("IF(Cost_in_dollars!E927=""USD"",Cost_in_dollars!B927,Cost_in_dollars!B927 * GOOGLEFINANCE(""CURRENCY:"" &amp; Cost_in_dollars!E927 &amp; ""USD""))
"),30000000)</f>
        <v>30000000</v>
      </c>
      <c r="P927" s="4">
        <f ca="1">IFERROR(__xludf.DUMMYFUNCTION("IF(Cost_in_dollars!E927=""USD"",Cost_in_dollars!C927,Cost_in_dollars!C927 * GOOGLEFINANCE(""CURRENCY:"" &amp; Cost_in_dollars!E927 &amp; ""USD""))
"),23209440)</f>
        <v>23209440</v>
      </c>
      <c r="Q927" s="6">
        <f t="shared" ca="1" si="18"/>
        <v>-6790560</v>
      </c>
      <c r="R927" s="7" t="str">
        <f t="shared" si="19"/>
        <v>One True Thing</v>
      </c>
      <c r="S927" s="43" t="str">
        <f t="shared" si="22"/>
        <v>Drama</v>
      </c>
    </row>
    <row r="928" spans="1:19" ht="15.75" customHeight="1" x14ac:dyDescent="0.25">
      <c r="A928" s="4" t="s">
        <v>1050</v>
      </c>
      <c r="B928" s="4">
        <v>46</v>
      </c>
      <c r="C928" s="4">
        <v>63231524</v>
      </c>
      <c r="D928" s="4" t="s">
        <v>162</v>
      </c>
      <c r="E928" s="4" t="s">
        <v>3442</v>
      </c>
      <c r="F928" s="4" t="s">
        <v>3443</v>
      </c>
      <c r="G928" s="4">
        <v>8962</v>
      </c>
      <c r="H928" s="4" t="s">
        <v>3444</v>
      </c>
      <c r="I928" s="4">
        <v>137</v>
      </c>
      <c r="J928" s="4" t="s">
        <v>23</v>
      </c>
      <c r="K928" s="4" t="s">
        <v>24</v>
      </c>
      <c r="L928" s="4">
        <v>6000000</v>
      </c>
      <c r="M928" s="4">
        <v>2006</v>
      </c>
      <c r="N928" s="4">
        <v>5</v>
      </c>
      <c r="O928" s="4">
        <f ca="1">IFERROR(__xludf.DUMMYFUNCTION("IF(Cost_in_dollars!E928=""USD"",Cost_in_dollars!B928,Cost_in_dollars!B928 * GOOGLEFINANCE(""CURRENCY:"" &amp; Cost_in_dollars!E928 &amp; ""USD""))
"),6000000)</f>
        <v>6000000</v>
      </c>
      <c r="P928" s="4">
        <f ca="1">IFERROR(__xludf.DUMMYFUNCTION("IF(Cost_in_dollars!E928=""USD"",Cost_in_dollars!C928,Cost_in_dollars!C928 * GOOGLEFINANCE(""CURRENCY:"" &amp; Cost_in_dollars!E928 &amp; ""USD""))
"),63231524)</f>
        <v>63231524</v>
      </c>
      <c r="Q928" s="4">
        <f t="shared" ca="1" si="18"/>
        <v>57231524</v>
      </c>
      <c r="R928" s="5" t="str">
        <f t="shared" si="19"/>
        <v>Madea's Family Reunion</v>
      </c>
      <c r="S928" s="43" t="str">
        <f t="shared" si="22"/>
        <v>Comedy</v>
      </c>
    </row>
    <row r="929" spans="1:19" ht="15.75" customHeight="1" x14ac:dyDescent="0.25">
      <c r="A929" s="6" t="s">
        <v>3445</v>
      </c>
      <c r="B929" s="6">
        <v>97</v>
      </c>
      <c r="C929" s="6">
        <v>23650000</v>
      </c>
      <c r="D929" s="6" t="s">
        <v>3446</v>
      </c>
      <c r="E929" s="6" t="s">
        <v>3447</v>
      </c>
      <c r="F929" s="6" t="s">
        <v>3448</v>
      </c>
      <c r="G929" s="6">
        <v>40359</v>
      </c>
      <c r="H929" s="6" t="s">
        <v>3449</v>
      </c>
      <c r="I929" s="6">
        <v>235</v>
      </c>
      <c r="J929" s="6" t="s">
        <v>23</v>
      </c>
      <c r="K929" s="6" t="s">
        <v>24</v>
      </c>
      <c r="L929" s="6">
        <v>2100000</v>
      </c>
      <c r="M929" s="6">
        <v>1946</v>
      </c>
      <c r="N929" s="6">
        <v>8.1</v>
      </c>
      <c r="O929" s="4">
        <f ca="1">IFERROR(__xludf.DUMMYFUNCTION("IF(Cost_in_dollars!E929=""USD"",Cost_in_dollars!B929,Cost_in_dollars!B929 * GOOGLEFINANCE(""CURRENCY:"" &amp; Cost_in_dollars!E929 &amp; ""USD""))
"),2100000)</f>
        <v>2100000</v>
      </c>
      <c r="P929" s="4">
        <f ca="1">IFERROR(__xludf.DUMMYFUNCTION("IF(Cost_in_dollars!E929=""USD"",Cost_in_dollars!C929,Cost_in_dollars!C929 * GOOGLEFINANCE(""CURRENCY:"" &amp; Cost_in_dollars!E929 &amp; ""USD""))
"),23650000)</f>
        <v>23650000</v>
      </c>
      <c r="Q929" s="6">
        <f t="shared" ca="1" si="18"/>
        <v>21550000</v>
      </c>
      <c r="R929" s="7" t="str">
        <f t="shared" si="19"/>
        <v>The Best Years of Our Lives</v>
      </c>
      <c r="S929" s="43" t="str">
        <f t="shared" si="22"/>
        <v>Drama</v>
      </c>
    </row>
    <row r="930" spans="1:19" ht="15.75" customHeight="1" x14ac:dyDescent="0.25">
      <c r="A930" s="4" t="s">
        <v>166</v>
      </c>
      <c r="B930" s="4">
        <v>216</v>
      </c>
      <c r="C930" s="4">
        <v>73343413</v>
      </c>
      <c r="D930" s="4" t="s">
        <v>116</v>
      </c>
      <c r="E930" s="4" t="s">
        <v>833</v>
      </c>
      <c r="F930" s="4" t="s">
        <v>3450</v>
      </c>
      <c r="G930" s="4">
        <v>217480</v>
      </c>
      <c r="H930" s="4" t="s">
        <v>3451</v>
      </c>
      <c r="I930" s="4">
        <v>429</v>
      </c>
      <c r="J930" s="4" t="s">
        <v>23</v>
      </c>
      <c r="K930" s="4" t="s">
        <v>24</v>
      </c>
      <c r="L930" s="4">
        <v>50000000</v>
      </c>
      <c r="M930" s="4">
        <v>2009</v>
      </c>
      <c r="N930" s="4">
        <v>7.4</v>
      </c>
      <c r="O930" s="4">
        <f ca="1">IFERROR(__xludf.DUMMYFUNCTION("IF(Cost_in_dollars!E930=""USD"",Cost_in_dollars!B930,Cost_in_dollars!B930 * GOOGLEFINANCE(""CURRENCY:"" &amp; Cost_in_dollars!E930 &amp; ""USD""))
"),50000000)</f>
        <v>50000000</v>
      </c>
      <c r="P930" s="4">
        <f ca="1">IFERROR(__xludf.DUMMYFUNCTION("IF(Cost_in_dollars!E930=""USD"",Cost_in_dollars!C930,Cost_in_dollars!C930 * GOOGLEFINANCE(""CURRENCY:"" &amp; Cost_in_dollars!E930 &amp; ""USD""))
"),73343413)</f>
        <v>73343413</v>
      </c>
      <c r="Q930" s="4">
        <f t="shared" ca="1" si="18"/>
        <v>23343413</v>
      </c>
      <c r="R930" s="5" t="str">
        <f t="shared" si="19"/>
        <v>Law Abiding Citizen</v>
      </c>
      <c r="S930" s="43" t="str">
        <f t="shared" si="22"/>
        <v>Crime</v>
      </c>
    </row>
    <row r="931" spans="1:19" ht="15.75" customHeight="1" x14ac:dyDescent="0.25">
      <c r="A931" s="6" t="s">
        <v>3452</v>
      </c>
      <c r="B931" s="6">
        <v>98</v>
      </c>
      <c r="C931" s="6">
        <v>22264487</v>
      </c>
      <c r="D931" s="6" t="s">
        <v>140</v>
      </c>
      <c r="E931" s="6" t="s">
        <v>3453</v>
      </c>
      <c r="F931" s="6" t="s">
        <v>3454</v>
      </c>
      <c r="G931" s="6">
        <v>41239</v>
      </c>
      <c r="H931" s="6" t="s">
        <v>3455</v>
      </c>
      <c r="I931" s="6">
        <v>166</v>
      </c>
      <c r="J931" s="6" t="s">
        <v>23</v>
      </c>
      <c r="K931" s="6" t="s">
        <v>24</v>
      </c>
      <c r="L931" s="6">
        <v>22000000</v>
      </c>
      <c r="M931" s="6">
        <v>2005</v>
      </c>
      <c r="N931" s="6">
        <v>4.5999999999999996</v>
      </c>
      <c r="O931" s="4">
        <f ca="1">IFERROR(__xludf.DUMMYFUNCTION("IF(Cost_in_dollars!E931=""USD"",Cost_in_dollars!B931,Cost_in_dollars!B931 * GOOGLEFINANCE(""CURRENCY:"" &amp; Cost_in_dollars!E931 &amp; ""USD""))
"),22000000)</f>
        <v>22000000</v>
      </c>
      <c r="P931" s="4">
        <f ca="1">IFERROR(__xludf.DUMMYFUNCTION("IF(Cost_in_dollars!E931=""USD"",Cost_in_dollars!C931,Cost_in_dollars!C931 * GOOGLEFINANCE(""CURRENCY:"" &amp; Cost_in_dollars!E931 &amp; ""USD""))
"),22264487)</f>
        <v>22264487</v>
      </c>
      <c r="Q931" s="6">
        <f t="shared" ca="1" si="18"/>
        <v>264487</v>
      </c>
      <c r="R931" s="7" t="str">
        <f t="shared" si="19"/>
        <v>Deuce Bigalow: European Gigolo</v>
      </c>
      <c r="S931" s="43" t="str">
        <f t="shared" si="22"/>
        <v>Comedy</v>
      </c>
    </row>
    <row r="932" spans="1:19" ht="15.75" customHeight="1" x14ac:dyDescent="0.25">
      <c r="A932" s="4" t="s">
        <v>3456</v>
      </c>
      <c r="B932" s="4">
        <v>142</v>
      </c>
      <c r="C932" s="4">
        <v>93607673</v>
      </c>
      <c r="D932" s="4" t="s">
        <v>88</v>
      </c>
      <c r="E932" s="4" t="s">
        <v>536</v>
      </c>
      <c r="F932" s="4" t="s">
        <v>3457</v>
      </c>
      <c r="G932" s="4">
        <v>47573</v>
      </c>
      <c r="H932" s="4" t="s">
        <v>3458</v>
      </c>
      <c r="I932" s="4">
        <v>343</v>
      </c>
      <c r="J932" s="4" t="s">
        <v>23</v>
      </c>
      <c r="K932" s="4" t="s">
        <v>24</v>
      </c>
      <c r="L932" s="4">
        <v>48000000</v>
      </c>
      <c r="M932" s="4">
        <v>2001</v>
      </c>
      <c r="N932" s="4">
        <v>5.7</v>
      </c>
      <c r="O932" s="4">
        <f ca="1">IFERROR(__xludf.DUMMYFUNCTION("IF(Cost_in_dollars!E932=""USD"",Cost_in_dollars!B932,Cost_in_dollars!B932 * GOOGLEFINANCE(""CURRENCY:"" &amp; Cost_in_dollars!E932 &amp; ""USD""))
"),48000000)</f>
        <v>48000000</v>
      </c>
      <c r="P932" s="4">
        <f ca="1">IFERROR(__xludf.DUMMYFUNCTION("IF(Cost_in_dollars!E932=""USD"",Cost_in_dollars!C932,Cost_in_dollars!C932 * GOOGLEFINANCE(""CURRENCY:"" &amp; Cost_in_dollars!E932 &amp; ""USD""))
"),93607673)</f>
        <v>93607673</v>
      </c>
      <c r="Q932" s="4">
        <f t="shared" ca="1" si="18"/>
        <v>45607673</v>
      </c>
      <c r="R932" s="5" t="str">
        <f t="shared" si="19"/>
        <v>America's Sweethearts</v>
      </c>
      <c r="S932" s="43" t="str">
        <f t="shared" si="22"/>
        <v>Comedy</v>
      </c>
    </row>
    <row r="933" spans="1:19" ht="15.75" customHeight="1" x14ac:dyDescent="0.25">
      <c r="A933" s="6" t="s">
        <v>3459</v>
      </c>
      <c r="B933" s="6">
        <v>113</v>
      </c>
      <c r="C933" s="6">
        <v>19406406</v>
      </c>
      <c r="D933" s="6" t="s">
        <v>3460</v>
      </c>
      <c r="E933" s="6" t="s">
        <v>3461</v>
      </c>
      <c r="F933" s="6" t="s">
        <v>3462</v>
      </c>
      <c r="G933" s="6">
        <v>7630</v>
      </c>
      <c r="H933" s="6" t="s">
        <v>3463</v>
      </c>
      <c r="I933" s="6">
        <v>42</v>
      </c>
      <c r="J933" s="6" t="s">
        <v>661</v>
      </c>
      <c r="K933" s="6" t="s">
        <v>611</v>
      </c>
      <c r="L933" s="6">
        <v>40000000</v>
      </c>
      <c r="M933" s="6">
        <v>2009</v>
      </c>
      <c r="N933" s="6">
        <v>7.8</v>
      </c>
      <c r="O933" s="4">
        <f ca="1">IFERROR(__xludf.DUMMYFUNCTION("IF(Cost_in_dollars!E933=""USD"",Cost_in_dollars!B933,Cost_in_dollars!B933 * GOOGLEFINANCE(""CURRENCY:"" &amp; Cost_in_dollars!E933 &amp; ""USD""))
"),43389600)</f>
        <v>43389600</v>
      </c>
      <c r="P933" s="4">
        <f ca="1">IFERROR(__xludf.DUMMYFUNCTION("IF(Cost_in_dollars!E933=""USD"",Cost_in_dollars!C933,Cost_in_dollars!C933 * GOOGLEFINANCE(""CURRENCY:"" &amp; Cost_in_dollars!E933 &amp; ""USD""))
"),21050904.84444)</f>
        <v>21050904.844439998</v>
      </c>
      <c r="Q933" s="6">
        <f t="shared" ca="1" si="18"/>
        <v>-22338695.155560002</v>
      </c>
      <c r="R933" s="7" t="str">
        <f t="shared" si="19"/>
        <v>Oceans</v>
      </c>
      <c r="S933" s="43" t="str">
        <f t="shared" si="22"/>
        <v>Documentary</v>
      </c>
    </row>
    <row r="934" spans="1:19" ht="15.75" customHeight="1" x14ac:dyDescent="0.25">
      <c r="A934" s="4" t="s">
        <v>3464</v>
      </c>
      <c r="B934" s="4">
        <v>151</v>
      </c>
      <c r="C934" s="4">
        <v>24375436</v>
      </c>
      <c r="D934" s="4" t="s">
        <v>504</v>
      </c>
      <c r="E934" s="4" t="s">
        <v>886</v>
      </c>
      <c r="F934" s="4" t="s">
        <v>3465</v>
      </c>
      <c r="G934" s="4">
        <v>42547</v>
      </c>
      <c r="H934" s="4" t="s">
        <v>3466</v>
      </c>
      <c r="I934" s="4">
        <v>265</v>
      </c>
      <c r="J934" s="4" t="s">
        <v>23</v>
      </c>
      <c r="K934" s="4" t="s">
        <v>24</v>
      </c>
      <c r="L934" s="4">
        <v>42000000</v>
      </c>
      <c r="M934" s="4">
        <v>2001</v>
      </c>
      <c r="N934" s="4">
        <v>6.1</v>
      </c>
      <c r="O934" s="4">
        <f ca="1">IFERROR(__xludf.DUMMYFUNCTION("IF(Cost_in_dollars!E934=""USD"",Cost_in_dollars!B934,Cost_in_dollars!B934 * GOOGLEFINANCE(""CURRENCY:"" &amp; Cost_in_dollars!E934 &amp; ""USD""))
"),42000000)</f>
        <v>42000000</v>
      </c>
      <c r="P934" s="4">
        <f ca="1">IFERROR(__xludf.DUMMYFUNCTION("IF(Cost_in_dollars!E934=""USD"",Cost_in_dollars!C934,Cost_in_dollars!C934 * GOOGLEFINANCE(""CURRENCY:"" &amp; Cost_in_dollars!E934 &amp; ""USD""))
"),24375436)</f>
        <v>24375436</v>
      </c>
      <c r="Q934" s="4">
        <f t="shared" ca="1" si="18"/>
        <v>-17624564</v>
      </c>
      <c r="R934" s="5" t="str">
        <f t="shared" si="19"/>
        <v>15 Minutes</v>
      </c>
      <c r="S934" s="43" t="str">
        <f t="shared" si="22"/>
        <v>Action</v>
      </c>
    </row>
    <row r="935" spans="1:19" ht="15.75" customHeight="1" x14ac:dyDescent="0.25">
      <c r="A935" s="6" t="s">
        <v>1171</v>
      </c>
      <c r="B935" s="6">
        <v>63</v>
      </c>
      <c r="C935" s="6">
        <v>11631245</v>
      </c>
      <c r="D935" s="6" t="s">
        <v>3467</v>
      </c>
      <c r="E935" s="6" t="s">
        <v>3468</v>
      </c>
      <c r="F935" s="6" t="s">
        <v>3469</v>
      </c>
      <c r="G935" s="6">
        <v>15015</v>
      </c>
      <c r="H935" s="6" t="s">
        <v>3470</v>
      </c>
      <c r="I935" s="6">
        <v>113</v>
      </c>
      <c r="J935" s="6" t="s">
        <v>23</v>
      </c>
      <c r="K935" s="6" t="s">
        <v>24</v>
      </c>
      <c r="L935" s="6">
        <v>35000000</v>
      </c>
      <c r="M935" s="6">
        <v>2006</v>
      </c>
      <c r="N935" s="6">
        <v>4.2</v>
      </c>
      <c r="O935" s="4">
        <f ca="1">IFERROR(__xludf.DUMMYFUNCTION("IF(Cost_in_dollars!E935=""USD"",Cost_in_dollars!B935,Cost_in_dollars!B935 * GOOGLEFINANCE(""CURRENCY:"" &amp; Cost_in_dollars!E935 &amp; ""USD""))
"),35000000)</f>
        <v>35000000</v>
      </c>
      <c r="P935" s="4">
        <f ca="1">IFERROR(__xludf.DUMMYFUNCTION("IF(Cost_in_dollars!E935=""USD"",Cost_in_dollars!C935,Cost_in_dollars!C935 * GOOGLEFINANCE(""CURRENCY:"" &amp; Cost_in_dollars!E935 &amp; ""USD""))
"),11631245)</f>
        <v>11631245</v>
      </c>
      <c r="Q935" s="6">
        <f t="shared" ca="1" si="18"/>
        <v>-23368755</v>
      </c>
      <c r="R935" s="7" t="str">
        <f t="shared" si="19"/>
        <v>Zoom</v>
      </c>
      <c r="S935" s="43" t="str">
        <f t="shared" si="22"/>
        <v>Action</v>
      </c>
    </row>
    <row r="936" spans="1:19" ht="15.75" customHeight="1" x14ac:dyDescent="0.25">
      <c r="A936" s="4" t="s">
        <v>3379</v>
      </c>
      <c r="B936" s="4">
        <v>280</v>
      </c>
      <c r="C936" s="4">
        <v>81257500</v>
      </c>
      <c r="D936" s="4" t="s">
        <v>140</v>
      </c>
      <c r="E936" s="4" t="s">
        <v>608</v>
      </c>
      <c r="F936" s="4" t="s">
        <v>3471</v>
      </c>
      <c r="G936" s="4">
        <v>117739</v>
      </c>
      <c r="H936" s="4" t="s">
        <v>3472</v>
      </c>
      <c r="I936" s="4">
        <v>229</v>
      </c>
      <c r="J936" s="4" t="s">
        <v>23</v>
      </c>
      <c r="K936" s="4" t="s">
        <v>24</v>
      </c>
      <c r="L936" s="4">
        <v>68000000</v>
      </c>
      <c r="M936" s="4">
        <v>2015</v>
      </c>
      <c r="N936" s="4">
        <v>6.4</v>
      </c>
      <c r="O936" s="4">
        <f ca="1">IFERROR(__xludf.DUMMYFUNCTION("IF(Cost_in_dollars!E936=""USD"",Cost_in_dollars!B936,Cost_in_dollars!B936 * GOOGLEFINANCE(""CURRENCY:"" &amp; Cost_in_dollars!E936 &amp; ""USD""))
"),68000000)</f>
        <v>68000000</v>
      </c>
      <c r="P936" s="4">
        <f ca="1">IFERROR(__xludf.DUMMYFUNCTION("IF(Cost_in_dollars!E936=""USD"",Cost_in_dollars!C936,Cost_in_dollars!C936 * GOOGLEFINANCE(""CURRENCY:"" &amp; Cost_in_dollars!E936 &amp; ""USD""))
"),81257500)</f>
        <v>81257500</v>
      </c>
      <c r="Q936" s="4">
        <f t="shared" ca="1" si="18"/>
        <v>13257500</v>
      </c>
      <c r="R936" s="5" t="str">
        <f t="shared" si="19"/>
        <v>Ted 2</v>
      </c>
      <c r="S936" s="43" t="str">
        <f t="shared" si="22"/>
        <v>Comedy</v>
      </c>
    </row>
    <row r="937" spans="1:19" ht="15.75" customHeight="1" x14ac:dyDescent="0.25">
      <c r="A937" s="6" t="s">
        <v>221</v>
      </c>
      <c r="B937" s="6">
        <v>295</v>
      </c>
      <c r="C937" s="6">
        <v>53574088</v>
      </c>
      <c r="D937" s="6" t="s">
        <v>3473</v>
      </c>
      <c r="E937" s="6" t="s">
        <v>1595</v>
      </c>
      <c r="F937" s="6" t="s">
        <v>3474</v>
      </c>
      <c r="G937" s="6">
        <v>237872</v>
      </c>
      <c r="H937" s="6" t="s">
        <v>3475</v>
      </c>
      <c r="I937" s="6">
        <v>560</v>
      </c>
      <c r="J937" s="6" t="s">
        <v>23</v>
      </c>
      <c r="K937" s="6" t="s">
        <v>24</v>
      </c>
      <c r="L937" s="6">
        <v>55000000</v>
      </c>
      <c r="M937" s="6">
        <v>2007</v>
      </c>
      <c r="N937" s="6">
        <v>7.8</v>
      </c>
      <c r="O937" s="4">
        <f ca="1">IFERROR(__xludf.DUMMYFUNCTION("IF(Cost_in_dollars!E937=""USD"",Cost_in_dollars!B937,Cost_in_dollars!B937 * GOOGLEFINANCE(""CURRENCY:"" &amp; Cost_in_dollars!E937 &amp; ""USD""))
"),55000000)</f>
        <v>55000000</v>
      </c>
      <c r="P937" s="4">
        <f ca="1">IFERROR(__xludf.DUMMYFUNCTION("IF(Cost_in_dollars!E937=""USD"",Cost_in_dollars!C937,Cost_in_dollars!C937 * GOOGLEFINANCE(""CURRENCY:"" &amp; Cost_in_dollars!E937 &amp; ""USD""))
"),53574088)</f>
        <v>53574088</v>
      </c>
      <c r="Q937" s="6">
        <f t="shared" ca="1" si="18"/>
        <v>-1425912</v>
      </c>
      <c r="R937" s="7" t="str">
        <f t="shared" si="19"/>
        <v>3:10 to Yuma</v>
      </c>
      <c r="S937" s="43" t="str">
        <f t="shared" si="22"/>
        <v>Adventure</v>
      </c>
    </row>
    <row r="938" spans="1:19" ht="15.75" customHeight="1" x14ac:dyDescent="0.25">
      <c r="A938" s="4" t="s">
        <v>3476</v>
      </c>
      <c r="B938" s="4">
        <v>150</v>
      </c>
      <c r="C938" s="4">
        <v>19719930</v>
      </c>
      <c r="D938" s="4" t="s">
        <v>438</v>
      </c>
      <c r="E938" s="4" t="s">
        <v>3477</v>
      </c>
      <c r="F938" s="4" t="s">
        <v>3478</v>
      </c>
      <c r="G938" s="4">
        <v>42621</v>
      </c>
      <c r="H938" s="4" t="s">
        <v>3479</v>
      </c>
      <c r="I938" s="4">
        <v>531</v>
      </c>
      <c r="J938" s="4" t="s">
        <v>23</v>
      </c>
      <c r="K938" s="4" t="s">
        <v>24</v>
      </c>
      <c r="L938" s="4">
        <v>45000000</v>
      </c>
      <c r="M938" s="4">
        <v>2001</v>
      </c>
      <c r="N938" s="4">
        <v>6.8</v>
      </c>
      <c r="O938" s="4">
        <f ca="1">IFERROR(__xludf.DUMMYFUNCTION("IF(Cost_in_dollars!E938=""USD"",Cost_in_dollars!B938,Cost_in_dollars!B938 * GOOGLEFINANCE(""CURRENCY:"" &amp; Cost_in_dollars!E938 &amp; ""USD""))
"),45000000)</f>
        <v>45000000</v>
      </c>
      <c r="P938" s="4">
        <f ca="1">IFERROR(__xludf.DUMMYFUNCTION("IF(Cost_in_dollars!E938=""USD"",Cost_in_dollars!C938,Cost_in_dollars!C938 * GOOGLEFINANCE(""CURRENCY:"" &amp; Cost_in_dollars!E938 &amp; ""USD""))
"),19719930)</f>
        <v>19719930</v>
      </c>
      <c r="Q938" s="4">
        <f t="shared" ca="1" si="18"/>
        <v>-25280070</v>
      </c>
      <c r="R938" s="5" t="str">
        <f t="shared" si="19"/>
        <v>The Pledge</v>
      </c>
      <c r="S938" s="43" t="str">
        <f t="shared" si="22"/>
        <v>Crime</v>
      </c>
    </row>
    <row r="939" spans="1:19" ht="15.75" customHeight="1" x14ac:dyDescent="0.25">
      <c r="A939" s="6" t="s">
        <v>3480</v>
      </c>
      <c r="B939" s="6">
        <v>184</v>
      </c>
      <c r="C939" s="6">
        <v>19316646</v>
      </c>
      <c r="D939" s="6" t="s">
        <v>319</v>
      </c>
      <c r="E939" s="6" t="s">
        <v>305</v>
      </c>
      <c r="F939" s="6" t="s">
        <v>3481</v>
      </c>
      <c r="G939" s="6">
        <v>52069</v>
      </c>
      <c r="H939" s="6" t="s">
        <v>3482</v>
      </c>
      <c r="I939" s="6">
        <v>95</v>
      </c>
      <c r="J939" s="6" t="s">
        <v>23</v>
      </c>
      <c r="K939" s="6" t="s">
        <v>24</v>
      </c>
      <c r="L939" s="6">
        <v>30000000</v>
      </c>
      <c r="M939" s="6">
        <v>2013</v>
      </c>
      <c r="N939" s="6">
        <v>5.6</v>
      </c>
      <c r="O939" s="4">
        <f ca="1">IFERROR(__xludf.DUMMYFUNCTION("IF(Cost_in_dollars!E939=""USD"",Cost_in_dollars!B939,Cost_in_dollars!B939 * GOOGLEFINANCE(""CURRENCY:"" &amp; Cost_in_dollars!E939 &amp; ""USD""))
"),30000000)</f>
        <v>30000000</v>
      </c>
      <c r="P939" s="4">
        <f ca="1">IFERROR(__xludf.DUMMYFUNCTION("IF(Cost_in_dollars!E939=""USD"",Cost_in_dollars!C939,Cost_in_dollars!C939 * GOOGLEFINANCE(""CURRENCY:"" &amp; Cost_in_dollars!E939 &amp; ""USD""))
"),19316646)</f>
        <v>19316646</v>
      </c>
      <c r="Q939" s="6">
        <f t="shared" ca="1" si="18"/>
        <v>-10683354</v>
      </c>
      <c r="R939" s="7" t="str">
        <f t="shared" si="19"/>
        <v>Runner Runner</v>
      </c>
      <c r="S939" s="43" t="str">
        <f t="shared" si="22"/>
        <v>Crime</v>
      </c>
    </row>
    <row r="940" spans="1:19" ht="15.75" customHeight="1" x14ac:dyDescent="0.25">
      <c r="A940" s="4" t="s">
        <v>3483</v>
      </c>
      <c r="B940" s="4">
        <v>131</v>
      </c>
      <c r="C940" s="4">
        <v>16284360</v>
      </c>
      <c r="D940" s="4" t="s">
        <v>457</v>
      </c>
      <c r="E940" s="4" t="s">
        <v>518</v>
      </c>
      <c r="F940" s="4" t="s">
        <v>3484</v>
      </c>
      <c r="G940" s="4">
        <v>15079</v>
      </c>
      <c r="H940" s="4" t="s">
        <v>3485</v>
      </c>
      <c r="I940" s="4">
        <v>79</v>
      </c>
      <c r="J940" s="4" t="s">
        <v>23</v>
      </c>
      <c r="K940" s="4" t="s">
        <v>24</v>
      </c>
      <c r="L940" s="4">
        <v>21000000</v>
      </c>
      <c r="M940" s="4">
        <v>2008</v>
      </c>
      <c r="N940" s="4">
        <v>6.1</v>
      </c>
      <c r="O940" s="4">
        <f ca="1">IFERROR(__xludf.DUMMYFUNCTION("IF(Cost_in_dollars!E940=""USD"",Cost_in_dollars!B940,Cost_in_dollars!B940 * GOOGLEFINANCE(""CURRENCY:"" &amp; Cost_in_dollars!E940 &amp; ""USD""))
"),21000000)</f>
        <v>21000000</v>
      </c>
      <c r="P940" s="4">
        <f ca="1">IFERROR(__xludf.DUMMYFUNCTION("IF(Cost_in_dollars!E940=""USD"",Cost_in_dollars!C940,Cost_in_dollars!C940 * GOOGLEFINANCE(""CURRENCY:"" &amp; Cost_in_dollars!E940 &amp; ""USD""))
"),16284360)</f>
        <v>16284360</v>
      </c>
      <c r="Q940" s="4">
        <f t="shared" ca="1" si="18"/>
        <v>-4715640</v>
      </c>
      <c r="R940" s="5" t="str">
        <f t="shared" si="19"/>
        <v>Swing Vote</v>
      </c>
      <c r="S940" s="43" t="str">
        <f t="shared" si="22"/>
        <v>Comedy</v>
      </c>
    </row>
    <row r="941" spans="1:19" ht="15.75" customHeight="1" x14ac:dyDescent="0.25">
      <c r="A941" s="6" t="s">
        <v>3486</v>
      </c>
      <c r="B941" s="6">
        <v>162</v>
      </c>
      <c r="C941" s="6">
        <v>80014842</v>
      </c>
      <c r="D941" s="6" t="s">
        <v>3446</v>
      </c>
      <c r="E941" s="6" t="s">
        <v>179</v>
      </c>
      <c r="F941" s="6" t="s">
        <v>3487</v>
      </c>
      <c r="G941" s="6">
        <v>104356</v>
      </c>
      <c r="H941" s="6" t="s">
        <v>3488</v>
      </c>
      <c r="I941" s="6">
        <v>186</v>
      </c>
      <c r="J941" s="6" t="s">
        <v>23</v>
      </c>
      <c r="K941" s="6" t="s">
        <v>24</v>
      </c>
      <c r="L941" s="6">
        <v>25000000</v>
      </c>
      <c r="M941" s="6">
        <v>2010</v>
      </c>
      <c r="N941" s="6">
        <v>6.3</v>
      </c>
      <c r="O941" s="4">
        <f ca="1">IFERROR(__xludf.DUMMYFUNCTION("IF(Cost_in_dollars!E941=""USD"",Cost_in_dollars!B941,Cost_in_dollars!B941 * GOOGLEFINANCE(""CURRENCY:"" &amp; Cost_in_dollars!E941 &amp; ""USD""))
"),25000000)</f>
        <v>25000000</v>
      </c>
      <c r="P941" s="4">
        <f ca="1">IFERROR(__xludf.DUMMYFUNCTION("IF(Cost_in_dollars!E941=""USD"",Cost_in_dollars!C941,Cost_in_dollars!C941 * GOOGLEFINANCE(""CURRENCY:"" &amp; Cost_in_dollars!E941 &amp; ""USD""))
"),80014842)</f>
        <v>80014842</v>
      </c>
      <c r="Q941" s="6">
        <f t="shared" ca="1" si="18"/>
        <v>55014842</v>
      </c>
      <c r="R941" s="7" t="str">
        <f t="shared" si="19"/>
        <v>Dear John</v>
      </c>
      <c r="S941" s="43" t="str">
        <f t="shared" si="22"/>
        <v>Drama</v>
      </c>
    </row>
    <row r="942" spans="1:19" ht="15.75" customHeight="1" x14ac:dyDescent="0.25">
      <c r="A942" s="4" t="s">
        <v>2856</v>
      </c>
      <c r="B942" s="4">
        <v>46</v>
      </c>
      <c r="C942" s="4">
        <v>33200000</v>
      </c>
      <c r="D942" s="4" t="s">
        <v>3489</v>
      </c>
      <c r="E942" s="4" t="s">
        <v>478</v>
      </c>
      <c r="F942" s="4" t="s">
        <v>3490</v>
      </c>
      <c r="G942" s="4">
        <v>28247</v>
      </c>
      <c r="H942" s="4" t="s">
        <v>3491</v>
      </c>
      <c r="I942" s="4">
        <v>149</v>
      </c>
      <c r="J942" s="4" t="s">
        <v>23</v>
      </c>
      <c r="K942" s="4" t="s">
        <v>24</v>
      </c>
      <c r="L942" s="4">
        <v>26000000</v>
      </c>
      <c r="M942" s="4">
        <v>1985</v>
      </c>
      <c r="N942" s="4">
        <v>7.2</v>
      </c>
      <c r="O942" s="4">
        <f ca="1">IFERROR(__xludf.DUMMYFUNCTION("IF(Cost_in_dollars!E942=""USD"",Cost_in_dollars!B942,Cost_in_dollars!B942 * GOOGLEFINANCE(""CURRENCY:"" &amp; Cost_in_dollars!E942 &amp; ""USD""))
"),26000000)</f>
        <v>26000000</v>
      </c>
      <c r="P942" s="4">
        <f ca="1">IFERROR(__xludf.DUMMYFUNCTION("IF(Cost_in_dollars!E942=""USD"",Cost_in_dollars!C942,Cost_in_dollars!C942 * GOOGLEFINANCE(""CURRENCY:"" &amp; Cost_in_dollars!E942 &amp; ""USD""))
"),33200000)</f>
        <v>33200000</v>
      </c>
      <c r="Q942" s="4">
        <f t="shared" ca="1" si="18"/>
        <v>7200000</v>
      </c>
      <c r="R942" s="5" t="str">
        <f t="shared" si="19"/>
        <v>Silverado</v>
      </c>
      <c r="S942" s="43" t="str">
        <f t="shared" si="22"/>
        <v>Action</v>
      </c>
    </row>
    <row r="943" spans="1:19" ht="15.75" customHeight="1" x14ac:dyDescent="0.25">
      <c r="A943" s="6" t="s">
        <v>1697</v>
      </c>
      <c r="B943" s="6">
        <v>72</v>
      </c>
      <c r="C943" s="6">
        <v>70360285</v>
      </c>
      <c r="D943" s="6" t="s">
        <v>452</v>
      </c>
      <c r="E943" s="6" t="s">
        <v>3492</v>
      </c>
      <c r="F943" s="6" t="s">
        <v>3493</v>
      </c>
      <c r="G943" s="6">
        <v>81783</v>
      </c>
      <c r="H943" s="6" t="s">
        <v>3494</v>
      </c>
      <c r="I943" s="6">
        <v>283</v>
      </c>
      <c r="J943" s="6" t="s">
        <v>23</v>
      </c>
      <c r="K943" s="6" t="s">
        <v>24</v>
      </c>
      <c r="L943" s="6">
        <v>18000000</v>
      </c>
      <c r="M943" s="6">
        <v>1995</v>
      </c>
      <c r="N943" s="6">
        <v>5.8</v>
      </c>
      <c r="O943" s="4">
        <f ca="1">IFERROR(__xludf.DUMMYFUNCTION("IF(Cost_in_dollars!E943=""USD"",Cost_in_dollars!B943,Cost_in_dollars!B943 * GOOGLEFINANCE(""CURRENCY:"" &amp; Cost_in_dollars!E943 &amp; ""USD""))
"),18000000)</f>
        <v>18000000</v>
      </c>
      <c r="P943" s="4">
        <f ca="1">IFERROR(__xludf.DUMMYFUNCTION("IF(Cost_in_dollars!E943=""USD"",Cost_in_dollars!C943,Cost_in_dollars!C943 * GOOGLEFINANCE(""CURRENCY:"" &amp; Cost_in_dollars!E943 &amp; ""USD""))
"),70360285)</f>
        <v>70360285</v>
      </c>
      <c r="Q943" s="6">
        <f t="shared" ca="1" si="18"/>
        <v>52360285</v>
      </c>
      <c r="R943" s="7" t="str">
        <f t="shared" si="19"/>
        <v>Mortal Kombat</v>
      </c>
      <c r="S943" s="43" t="str">
        <f t="shared" si="22"/>
        <v>Action</v>
      </c>
    </row>
    <row r="944" spans="1:19" ht="15.75" customHeight="1" x14ac:dyDescent="0.25">
      <c r="A944" s="4" t="s">
        <v>3495</v>
      </c>
      <c r="B944" s="4">
        <v>241</v>
      </c>
      <c r="C944" s="4">
        <v>32721635</v>
      </c>
      <c r="D944" s="4" t="s">
        <v>3496</v>
      </c>
      <c r="E944" s="4" t="s">
        <v>2783</v>
      </c>
      <c r="F944" s="4" t="s">
        <v>3497</v>
      </c>
      <c r="G944" s="4">
        <v>67824</v>
      </c>
      <c r="H944" s="4" t="s">
        <v>3498</v>
      </c>
      <c r="I944" s="4">
        <v>279</v>
      </c>
      <c r="J944" s="4" t="s">
        <v>23</v>
      </c>
      <c r="K944" s="4" t="s">
        <v>24</v>
      </c>
      <c r="L944" s="4">
        <v>15000000</v>
      </c>
      <c r="M944" s="4">
        <v>2009</v>
      </c>
      <c r="N944" s="4">
        <v>6.6</v>
      </c>
      <c r="O944" s="4">
        <f ca="1">IFERROR(__xludf.DUMMYFUNCTION("IF(Cost_in_dollars!E944=""USD"",Cost_in_dollars!B944,Cost_in_dollars!B944 * GOOGLEFINANCE(""CURRENCY:"" &amp; Cost_in_dollars!E944 &amp; ""USD""))
"),15000000)</f>
        <v>15000000</v>
      </c>
      <c r="P944" s="4">
        <f ca="1">IFERROR(__xludf.DUMMYFUNCTION("IF(Cost_in_dollars!E944=""USD"",Cost_in_dollars!C944,Cost_in_dollars!C944 * GOOGLEFINANCE(""CURRENCY:"" &amp; Cost_in_dollars!E944 &amp; ""USD""))
"),32721635)</f>
        <v>32721635</v>
      </c>
      <c r="Q944" s="4">
        <f t="shared" ca="1" si="18"/>
        <v>17721635</v>
      </c>
      <c r="R944" s="5" t="str">
        <f t="shared" si="19"/>
        <v>The Last House on the Left</v>
      </c>
      <c r="S944" s="43" t="str">
        <f t="shared" si="22"/>
        <v>Crime</v>
      </c>
    </row>
    <row r="945" spans="1:19" ht="15.75" customHeight="1" x14ac:dyDescent="0.25">
      <c r="A945" s="6" t="s">
        <v>3499</v>
      </c>
      <c r="B945" s="6">
        <v>167</v>
      </c>
      <c r="C945" s="6">
        <v>11956207</v>
      </c>
      <c r="D945" s="6" t="s">
        <v>568</v>
      </c>
      <c r="E945" s="6" t="s">
        <v>3500</v>
      </c>
      <c r="F945" s="6" t="s">
        <v>3501</v>
      </c>
      <c r="G945" s="6">
        <v>24012</v>
      </c>
      <c r="H945" s="6" t="s">
        <v>3502</v>
      </c>
      <c r="I945" s="6">
        <v>126</v>
      </c>
      <c r="J945" s="6" t="s">
        <v>23</v>
      </c>
      <c r="K945" s="6" t="s">
        <v>24</v>
      </c>
      <c r="L945" s="6">
        <v>16000000</v>
      </c>
      <c r="M945" s="6">
        <v>2009</v>
      </c>
      <c r="N945" s="6">
        <v>5.0999999999999996</v>
      </c>
      <c r="O945" s="4">
        <f ca="1">IFERROR(__xludf.DUMMYFUNCTION("IF(Cost_in_dollars!E945=""USD"",Cost_in_dollars!B945,Cost_in_dollars!B945 * GOOGLEFINANCE(""CURRENCY:"" &amp; Cost_in_dollars!E945 &amp; ""USD""))
"),16000000)</f>
        <v>16000000</v>
      </c>
      <c r="P945" s="4">
        <f ca="1">IFERROR(__xludf.DUMMYFUNCTION("IF(Cost_in_dollars!E945=""USD"",Cost_in_dollars!C945,Cost_in_dollars!C945 * GOOGLEFINANCE(""CURRENCY:"" &amp; Cost_in_dollars!E945 &amp; ""USD""))
"),11956207)</f>
        <v>11956207</v>
      </c>
      <c r="Q945" s="6">
        <f t="shared" ca="1" si="18"/>
        <v>-4043793</v>
      </c>
      <c r="R945" s="7" t="str">
        <f t="shared" si="19"/>
        <v>Sorority Row</v>
      </c>
      <c r="S945" s="43" t="str">
        <f t="shared" si="22"/>
        <v>Horror</v>
      </c>
    </row>
    <row r="946" spans="1:19" ht="15.75" customHeight="1" x14ac:dyDescent="0.25">
      <c r="A946" s="4" t="s">
        <v>3503</v>
      </c>
      <c r="B946" s="4">
        <v>104</v>
      </c>
      <c r="C946" s="4">
        <v>453079</v>
      </c>
      <c r="D946" s="4" t="s">
        <v>140</v>
      </c>
      <c r="E946" s="4" t="s">
        <v>3504</v>
      </c>
      <c r="F946" s="4" t="s">
        <v>3505</v>
      </c>
      <c r="G946" s="4">
        <v>4124</v>
      </c>
      <c r="H946" s="4" t="s">
        <v>3506</v>
      </c>
      <c r="I946" s="4">
        <v>29</v>
      </c>
      <c r="J946" s="4" t="s">
        <v>23</v>
      </c>
      <c r="K946" s="4" t="s">
        <v>24</v>
      </c>
      <c r="L946" s="4">
        <v>7000000</v>
      </c>
      <c r="M946" s="4">
        <v>2010</v>
      </c>
      <c r="N946" s="4">
        <v>5.9</v>
      </c>
      <c r="O946" s="4">
        <f ca="1">IFERROR(__xludf.DUMMYFUNCTION("IF(Cost_in_dollars!E946=""USD"",Cost_in_dollars!B946,Cost_in_dollars!B946 * GOOGLEFINANCE(""CURRENCY:"" &amp; Cost_in_dollars!E946 &amp; ""USD""))
"),7000000)</f>
        <v>7000000</v>
      </c>
      <c r="P946" s="4">
        <f ca="1">IFERROR(__xludf.DUMMYFUNCTION("IF(Cost_in_dollars!E946=""USD"",Cost_in_dollars!C946,Cost_in_dollars!C946 * GOOGLEFINANCE(""CURRENCY:"" &amp; Cost_in_dollars!E946 &amp; ""USD""))
"),453079)</f>
        <v>453079</v>
      </c>
      <c r="Q946" s="4">
        <f t="shared" ca="1" si="18"/>
        <v>-6546921</v>
      </c>
      <c r="R946" s="5" t="str">
        <f t="shared" si="19"/>
        <v>The Extra Man</v>
      </c>
      <c r="S946" s="43" t="str">
        <f t="shared" si="22"/>
        <v>Comedy</v>
      </c>
    </row>
    <row r="947" spans="1:19" ht="15.75" customHeight="1" x14ac:dyDescent="0.25">
      <c r="A947" s="6" t="s">
        <v>3507</v>
      </c>
      <c r="B947" s="6">
        <v>203</v>
      </c>
      <c r="C947" s="6">
        <v>110175871</v>
      </c>
      <c r="D947" s="6" t="s">
        <v>93</v>
      </c>
      <c r="E947" s="6" t="s">
        <v>3508</v>
      </c>
      <c r="F947" s="6" t="s">
        <v>3509</v>
      </c>
      <c r="G947" s="6">
        <v>115050</v>
      </c>
      <c r="H947" s="6" t="s">
        <v>3510</v>
      </c>
      <c r="I947" s="6">
        <v>911</v>
      </c>
      <c r="J947" s="6" t="s">
        <v>23</v>
      </c>
      <c r="K947" s="6" t="s">
        <v>24</v>
      </c>
      <c r="L947" s="6">
        <v>10000000</v>
      </c>
      <c r="M947" s="6">
        <v>2004</v>
      </c>
      <c r="N947" s="6">
        <v>5.9</v>
      </c>
      <c r="O947" s="4">
        <f ca="1">IFERROR(__xludf.DUMMYFUNCTION("IF(Cost_in_dollars!E947=""USD"",Cost_in_dollars!B947,Cost_in_dollars!B947 * GOOGLEFINANCE(""CURRENCY:"" &amp; Cost_in_dollars!E947 &amp; ""USD""))
"),10000000)</f>
        <v>10000000</v>
      </c>
      <c r="P947" s="4">
        <f ca="1">IFERROR(__xludf.DUMMYFUNCTION("IF(Cost_in_dollars!E947=""USD"",Cost_in_dollars!C947,Cost_in_dollars!C947 * GOOGLEFINANCE(""CURRENCY:"" &amp; Cost_in_dollars!E947 &amp; ""USD""))
"),110175871)</f>
        <v>110175871</v>
      </c>
      <c r="Q947" s="6">
        <f t="shared" ca="1" si="18"/>
        <v>100175871</v>
      </c>
      <c r="R947" s="7" t="str">
        <f t="shared" si="19"/>
        <v>The Grudge</v>
      </c>
      <c r="S947" s="43" t="str">
        <f t="shared" si="22"/>
        <v>Horror</v>
      </c>
    </row>
    <row r="948" spans="1:19" ht="15.75" customHeight="1" x14ac:dyDescent="0.25">
      <c r="A948" s="4" t="s">
        <v>3151</v>
      </c>
      <c r="B948" s="4">
        <v>220</v>
      </c>
      <c r="C948" s="4">
        <v>33386128</v>
      </c>
      <c r="D948" s="4" t="s">
        <v>151</v>
      </c>
      <c r="E948" s="4" t="s">
        <v>3511</v>
      </c>
      <c r="F948" s="4" t="s">
        <v>3512</v>
      </c>
      <c r="G948" s="4">
        <v>36372</v>
      </c>
      <c r="H948" s="4" t="s">
        <v>3513</v>
      </c>
      <c r="I948" s="4">
        <v>491</v>
      </c>
      <c r="J948" s="4" t="s">
        <v>23</v>
      </c>
      <c r="K948" s="4" t="s">
        <v>24</v>
      </c>
      <c r="L948" s="4">
        <v>15000000</v>
      </c>
      <c r="M948" s="4">
        <v>2009</v>
      </c>
      <c r="N948" s="4">
        <v>4.9000000000000004</v>
      </c>
      <c r="O948" s="4">
        <f ca="1">IFERROR(__xludf.DUMMYFUNCTION("IF(Cost_in_dollars!E948=""USD"",Cost_in_dollars!B948,Cost_in_dollars!B948 * GOOGLEFINANCE(""CURRENCY:"" &amp; Cost_in_dollars!E948 &amp; ""USD""))
"),15000000)</f>
        <v>15000000</v>
      </c>
      <c r="P948" s="4">
        <f ca="1">IFERROR(__xludf.DUMMYFUNCTION("IF(Cost_in_dollars!E948=""USD"",Cost_in_dollars!C948,Cost_in_dollars!C948 * GOOGLEFINANCE(""CURRENCY:"" &amp; Cost_in_dollars!E948 &amp; ""USD""))
"),33386128)</f>
        <v>33386128</v>
      </c>
      <c r="Q948" s="4">
        <f t="shared" ca="1" si="18"/>
        <v>18386128</v>
      </c>
      <c r="R948" s="5" t="str">
        <f t="shared" si="19"/>
        <v>Halloween II</v>
      </c>
      <c r="S948" s="43" t="str">
        <f t="shared" si="22"/>
        <v>Horror</v>
      </c>
    </row>
    <row r="949" spans="1:19" ht="15.75" customHeight="1" x14ac:dyDescent="0.25">
      <c r="A949" s="6" t="s">
        <v>3514</v>
      </c>
      <c r="B949" s="6">
        <v>158</v>
      </c>
      <c r="C949" s="6">
        <v>16930884</v>
      </c>
      <c r="D949" s="6" t="s">
        <v>438</v>
      </c>
      <c r="E949" s="6" t="s">
        <v>320</v>
      </c>
      <c r="F949" s="6" t="s">
        <v>3515</v>
      </c>
      <c r="G949" s="6">
        <v>65628</v>
      </c>
      <c r="H949" s="6" t="s">
        <v>3516</v>
      </c>
      <c r="I949" s="6">
        <v>262</v>
      </c>
      <c r="J949" s="6" t="s">
        <v>23</v>
      </c>
      <c r="K949" s="6" t="s">
        <v>24</v>
      </c>
      <c r="L949" s="6">
        <v>30000000</v>
      </c>
      <c r="M949" s="6">
        <v>2007</v>
      </c>
      <c r="N949" s="6">
        <v>5.9</v>
      </c>
      <c r="O949" s="4">
        <f ca="1">IFERROR(__xludf.DUMMYFUNCTION("IF(Cost_in_dollars!E949=""USD"",Cost_in_dollars!B949,Cost_in_dollars!B949 * GOOGLEFINANCE(""CURRENCY:"" &amp; Cost_in_dollars!E949 &amp; ""USD""))
"),30000000)</f>
        <v>30000000</v>
      </c>
      <c r="P949" s="4">
        <f ca="1">IFERROR(__xludf.DUMMYFUNCTION("IF(Cost_in_dollars!E949=""USD"",Cost_in_dollars!C949,Cost_in_dollars!C949 * GOOGLEFINANCE(""CURRENCY:"" &amp; Cost_in_dollars!E949 &amp; ""USD""))
"),16930884)</f>
        <v>16930884</v>
      </c>
      <c r="Q949" s="6">
        <f t="shared" ca="1" si="18"/>
        <v>-13069116</v>
      </c>
      <c r="R949" s="7" t="str">
        <f t="shared" si="19"/>
        <v>88 Minutes</v>
      </c>
      <c r="S949" s="43" t="str">
        <f t="shared" si="22"/>
        <v>Crime</v>
      </c>
    </row>
    <row r="950" spans="1:19" ht="15.75" customHeight="1" x14ac:dyDescent="0.25">
      <c r="A950" s="4" t="s">
        <v>3517</v>
      </c>
      <c r="B950" s="4">
        <v>81</v>
      </c>
      <c r="C950" s="4">
        <v>447750</v>
      </c>
      <c r="D950" s="4" t="s">
        <v>116</v>
      </c>
      <c r="E950" s="4" t="s">
        <v>3518</v>
      </c>
      <c r="F950" s="4" t="s">
        <v>3519</v>
      </c>
      <c r="G950" s="4">
        <v>18520</v>
      </c>
      <c r="H950" s="4" t="s">
        <v>3520</v>
      </c>
      <c r="I950" s="4">
        <v>133</v>
      </c>
      <c r="J950" s="4" t="s">
        <v>23</v>
      </c>
      <c r="K950" s="4" t="s">
        <v>24</v>
      </c>
      <c r="L950" s="4">
        <v>10000000</v>
      </c>
      <c r="M950" s="4">
        <v>2000</v>
      </c>
      <c r="N950" s="4">
        <v>7.2</v>
      </c>
      <c r="O950" s="4">
        <f ca="1">IFERROR(__xludf.DUMMYFUNCTION("IF(Cost_in_dollars!E950=""USD"",Cost_in_dollars!B950,Cost_in_dollars!B950 * GOOGLEFINANCE(""CURRENCY:"" &amp; Cost_in_dollars!E950 &amp; ""USD""))
"),10000000)</f>
        <v>10000000</v>
      </c>
      <c r="P950" s="4">
        <f ca="1">IFERROR(__xludf.DUMMYFUNCTION("IF(Cost_in_dollars!E950=""USD"",Cost_in_dollars!C950,Cost_in_dollars!C950 * GOOGLEFINANCE(""CURRENCY:"" &amp; Cost_in_dollars!E950 &amp; ""USD""))
"),447750)</f>
        <v>447750</v>
      </c>
      <c r="Q950" s="4">
        <f t="shared" ca="1" si="18"/>
        <v>-9552250</v>
      </c>
      <c r="R950" s="5" t="str">
        <f t="shared" si="19"/>
        <v>Brother</v>
      </c>
      <c r="S950" s="43" t="str">
        <f t="shared" si="22"/>
        <v>Crime</v>
      </c>
    </row>
    <row r="951" spans="1:19" ht="15.75" customHeight="1" x14ac:dyDescent="0.25">
      <c r="A951" s="6" t="s">
        <v>3521</v>
      </c>
      <c r="B951" s="6">
        <v>28</v>
      </c>
      <c r="C951" s="6">
        <v>19421271</v>
      </c>
      <c r="D951" s="6" t="s">
        <v>3522</v>
      </c>
      <c r="E951" s="6" t="s">
        <v>3523</v>
      </c>
      <c r="F951" s="6" t="s">
        <v>3524</v>
      </c>
      <c r="G951" s="6">
        <v>2448</v>
      </c>
      <c r="H951" s="6" t="s">
        <v>3525</v>
      </c>
      <c r="I951" s="6">
        <v>18</v>
      </c>
      <c r="J951" s="6" t="s">
        <v>23</v>
      </c>
      <c r="K951" s="6" t="s">
        <v>24</v>
      </c>
      <c r="L951" s="6">
        <v>5000000</v>
      </c>
      <c r="M951" s="6">
        <v>1999</v>
      </c>
      <c r="N951" s="6">
        <v>5</v>
      </c>
      <c r="O951" s="4">
        <f ca="1">IFERROR(__xludf.DUMMYFUNCTION("IF(Cost_in_dollars!E951=""USD"",Cost_in_dollars!B951,Cost_in_dollars!B951 * GOOGLEFINANCE(""CURRENCY:"" &amp; Cost_in_dollars!E951 &amp; ""USD""))
"),5000000)</f>
        <v>5000000</v>
      </c>
      <c r="P951" s="4">
        <f ca="1">IFERROR(__xludf.DUMMYFUNCTION("IF(Cost_in_dollars!E951=""USD"",Cost_in_dollars!C951,Cost_in_dollars!C951 * GOOGLEFINANCE(""CURRENCY:"" &amp; Cost_in_dollars!E951 &amp; ""USD""))
"),19421271)</f>
        <v>19421271</v>
      </c>
      <c r="Q951" s="6">
        <f t="shared" ca="1" si="18"/>
        <v>14421271</v>
      </c>
      <c r="R951" s="7" t="str">
        <f t="shared" si="19"/>
        <v>Doug's 1st Movie</v>
      </c>
      <c r="S951" s="43" t="str">
        <f t="shared" si="22"/>
        <v>Animation</v>
      </c>
    </row>
    <row r="952" spans="1:19" ht="15.75" customHeight="1" x14ac:dyDescent="0.25">
      <c r="A952" s="4" t="s">
        <v>1781</v>
      </c>
      <c r="B952" s="4">
        <v>76</v>
      </c>
      <c r="C952" s="4">
        <v>12181484</v>
      </c>
      <c r="D952" s="4" t="s">
        <v>140</v>
      </c>
      <c r="E952" s="4" t="s">
        <v>2668</v>
      </c>
      <c r="F952" s="4" t="s">
        <v>3526</v>
      </c>
      <c r="G952" s="4">
        <v>26390</v>
      </c>
      <c r="H952" s="4" t="s">
        <v>3527</v>
      </c>
      <c r="I952" s="4">
        <v>176</v>
      </c>
      <c r="J952" s="4" t="s">
        <v>23</v>
      </c>
      <c r="K952" s="4" t="s">
        <v>24</v>
      </c>
      <c r="L952" s="4">
        <v>40000000</v>
      </c>
      <c r="M952" s="4">
        <v>2004</v>
      </c>
      <c r="N952" s="4">
        <v>4.8</v>
      </c>
      <c r="O952" s="4">
        <f ca="1">IFERROR(__xludf.DUMMYFUNCTION("IF(Cost_in_dollars!E952=""USD"",Cost_in_dollars!B952,Cost_in_dollars!B952 * GOOGLEFINANCE(""CURRENCY:"" &amp; Cost_in_dollars!E952 &amp; ""USD""))
"),40000000)</f>
        <v>40000000</v>
      </c>
      <c r="P952" s="4">
        <f ca="1">IFERROR(__xludf.DUMMYFUNCTION("IF(Cost_in_dollars!E952=""USD"",Cost_in_dollars!C952,Cost_in_dollars!C952 * GOOGLEFINANCE(""CURRENCY:"" &amp; Cost_in_dollars!E952 &amp; ""USD""))
"),12181484)</f>
        <v>12181484</v>
      </c>
      <c r="Q952" s="4">
        <f t="shared" ca="1" si="18"/>
        <v>-27818516</v>
      </c>
      <c r="R952" s="5" t="str">
        <f t="shared" si="19"/>
        <v>Envy</v>
      </c>
      <c r="S952" s="43" t="str">
        <f t="shared" si="22"/>
        <v>Comedy</v>
      </c>
    </row>
    <row r="953" spans="1:19" ht="15.75" customHeight="1" x14ac:dyDescent="0.25">
      <c r="A953" s="6" t="s">
        <v>3528</v>
      </c>
      <c r="B953" s="6">
        <v>128</v>
      </c>
      <c r="C953" s="6">
        <v>3076425</v>
      </c>
      <c r="D953" s="6" t="s">
        <v>3529</v>
      </c>
      <c r="E953" s="6" t="s">
        <v>574</v>
      </c>
      <c r="F953" s="6" t="s">
        <v>3530</v>
      </c>
      <c r="G953" s="6">
        <v>23660</v>
      </c>
      <c r="H953" s="6" t="s">
        <v>3531</v>
      </c>
      <c r="I953" s="6">
        <v>162</v>
      </c>
      <c r="J953" s="6" t="s">
        <v>661</v>
      </c>
      <c r="K953" s="6" t="s">
        <v>611</v>
      </c>
      <c r="L953" s="6">
        <v>8000000</v>
      </c>
      <c r="M953" s="6">
        <v>2002</v>
      </c>
      <c r="N953" s="6">
        <v>7.1</v>
      </c>
      <c r="O953" s="4">
        <f ca="1">IFERROR(__xludf.DUMMYFUNCTION("IF(Cost_in_dollars!E953=""USD"",Cost_in_dollars!B953,Cost_in_dollars!B953 * GOOGLEFINANCE(""CURRENCY:"" &amp; Cost_in_dollars!E953 &amp; ""USD""))
"),8677920)</f>
        <v>8677920</v>
      </c>
      <c r="P953" s="4">
        <f ca="1">IFERROR(__xludf.DUMMYFUNCTION("IF(Cost_in_dollars!E953=""USD"",Cost_in_dollars!C953,Cost_in_dollars!C953 * GOOGLEFINANCE(""CURRENCY:"" &amp; Cost_in_dollars!E953 &amp; ""USD""))
"),3337121.2545)</f>
        <v>3337121.2544999998</v>
      </c>
      <c r="Q953" s="6">
        <f t="shared" ca="1" si="18"/>
        <v>-5340798.7455000002</v>
      </c>
      <c r="R953" s="7" t="str">
        <f t="shared" si="19"/>
        <v>8 Women</v>
      </c>
      <c r="S953" s="43" t="str">
        <f t="shared" si="22"/>
        <v>Comedy</v>
      </c>
    </row>
    <row r="954" spans="1:19" ht="15.75" customHeight="1" x14ac:dyDescent="0.25">
      <c r="A954" s="4" t="s">
        <v>3014</v>
      </c>
      <c r="B954" s="4">
        <v>217</v>
      </c>
      <c r="C954" s="4">
        <v>88761720</v>
      </c>
      <c r="D954" s="4" t="s">
        <v>1259</v>
      </c>
      <c r="E954" s="4" t="s">
        <v>2026</v>
      </c>
      <c r="F954" s="4" t="s">
        <v>3532</v>
      </c>
      <c r="G954" s="4">
        <v>141179</v>
      </c>
      <c r="H954" s="4" t="s">
        <v>3533</v>
      </c>
      <c r="I954" s="4">
        <v>419</v>
      </c>
      <c r="J954" s="4" t="s">
        <v>23</v>
      </c>
      <c r="K954" s="4" t="s">
        <v>133</v>
      </c>
      <c r="L954" s="4">
        <v>95000000</v>
      </c>
      <c r="M954" s="4">
        <v>2010</v>
      </c>
      <c r="N954" s="4">
        <v>5.9</v>
      </c>
      <c r="O954" s="4">
        <f ca="1">IFERROR(__xludf.DUMMYFUNCTION("IF(Cost_in_dollars!E954=""USD"",Cost_in_dollars!B954,Cost_in_dollars!B954 * GOOGLEFINANCE(""CURRENCY:"" &amp; Cost_in_dollars!E954 &amp; ""USD""))
"),122112999.999999)</f>
        <v>122112999.999999</v>
      </c>
      <c r="P954" s="4">
        <f ca="1">IFERROR(__xludf.DUMMYFUNCTION("IF(Cost_in_dollars!E954=""USD"",Cost_in_dollars!C954,Cost_in_dollars!C954 * GOOGLEFINANCE(""CURRENCY:"" &amp; Cost_in_dollars!E954 &amp; ""USD""))
"),114094314.887999)</f>
        <v>114094314.887999</v>
      </c>
      <c r="Q954" s="4">
        <f t="shared" ca="1" si="18"/>
        <v>-8018685.1120000035</v>
      </c>
      <c r="R954" s="5" t="str">
        <f t="shared" si="19"/>
        <v>Percy Jackson &amp; the Olympians: The Lightning Thief</v>
      </c>
      <c r="S954" s="43" t="str">
        <f t="shared" si="22"/>
        <v>Adventure</v>
      </c>
    </row>
    <row r="955" spans="1:19" ht="15.75" customHeight="1" x14ac:dyDescent="0.25">
      <c r="A955" s="6" t="s">
        <v>2343</v>
      </c>
      <c r="B955" s="6">
        <v>42</v>
      </c>
      <c r="C955" s="6">
        <v>60008303</v>
      </c>
      <c r="D955" s="6" t="s">
        <v>2722</v>
      </c>
      <c r="E955" s="6" t="s">
        <v>3534</v>
      </c>
      <c r="F955" s="6" t="s">
        <v>3535</v>
      </c>
      <c r="G955" s="6">
        <v>9285</v>
      </c>
      <c r="H955" s="6" t="s">
        <v>3536</v>
      </c>
      <c r="I955" s="6">
        <v>91</v>
      </c>
      <c r="J955" s="6" t="s">
        <v>23</v>
      </c>
      <c r="K955" s="6" t="s">
        <v>24</v>
      </c>
      <c r="L955" s="6">
        <v>13000000</v>
      </c>
      <c r="M955" s="6">
        <v>2000</v>
      </c>
      <c r="N955" s="6">
        <v>4.9000000000000004</v>
      </c>
      <c r="O955" s="4">
        <f ca="1">IFERROR(__xludf.DUMMYFUNCTION("IF(Cost_in_dollars!E955=""USD"",Cost_in_dollars!B955,Cost_in_dollars!B955 * GOOGLEFINANCE(""CURRENCY:"" &amp; Cost_in_dollars!E955 &amp; ""USD""))
"),13000000)</f>
        <v>13000000</v>
      </c>
      <c r="P955" s="4">
        <f ca="1">IFERROR(__xludf.DUMMYFUNCTION("IF(Cost_in_dollars!E955=""USD"",Cost_in_dollars!C955,Cost_in_dollars!C955 * GOOGLEFINANCE(""CURRENCY:"" &amp; Cost_in_dollars!E955 &amp; ""USD""))
"),60008303)</f>
        <v>60008303</v>
      </c>
      <c r="Q955" s="6">
        <f t="shared" ca="1" si="18"/>
        <v>47008303</v>
      </c>
      <c r="R955" s="7" t="str">
        <f t="shared" si="19"/>
        <v>Snow Day</v>
      </c>
      <c r="S955" s="43" t="str">
        <f t="shared" si="22"/>
        <v>Adventure</v>
      </c>
    </row>
    <row r="956" spans="1:19" ht="15.75" customHeight="1" x14ac:dyDescent="0.25">
      <c r="A956" s="4" t="s">
        <v>72</v>
      </c>
      <c r="B956" s="4">
        <v>265</v>
      </c>
      <c r="C956" s="4">
        <v>187670866</v>
      </c>
      <c r="D956" s="4" t="s">
        <v>3275</v>
      </c>
      <c r="E956" s="4" t="s">
        <v>2800</v>
      </c>
      <c r="F956" s="4" t="s">
        <v>3537</v>
      </c>
      <c r="G956" s="4">
        <v>982637</v>
      </c>
      <c r="H956" s="4" t="s">
        <v>3538</v>
      </c>
      <c r="I956" s="4">
        <v>2368</v>
      </c>
      <c r="J956" s="4" t="s">
        <v>23</v>
      </c>
      <c r="K956" s="4" t="s">
        <v>24</v>
      </c>
      <c r="L956" s="4">
        <v>103000000</v>
      </c>
      <c r="M956" s="4">
        <v>2000</v>
      </c>
      <c r="N956" s="4">
        <v>8.5</v>
      </c>
      <c r="O956" s="4">
        <f ca="1">IFERROR(__xludf.DUMMYFUNCTION("IF(Cost_in_dollars!E956=""USD"",Cost_in_dollars!B956,Cost_in_dollars!B956 * GOOGLEFINANCE(""CURRENCY:"" &amp; Cost_in_dollars!E956 &amp; ""USD""))
"),103000000)</f>
        <v>103000000</v>
      </c>
      <c r="P956" s="4">
        <f ca="1">IFERROR(__xludf.DUMMYFUNCTION("IF(Cost_in_dollars!E956=""USD"",Cost_in_dollars!C956,Cost_in_dollars!C956 * GOOGLEFINANCE(""CURRENCY:"" &amp; Cost_in_dollars!E956 &amp; ""USD""))
"),187670866)</f>
        <v>187670866</v>
      </c>
      <c r="Q956" s="4">
        <f t="shared" ca="1" si="18"/>
        <v>84670866</v>
      </c>
      <c r="R956" s="5" t="str">
        <f t="shared" si="19"/>
        <v>Gladiator</v>
      </c>
      <c r="S956" s="43" t="str">
        <f t="shared" si="22"/>
        <v>Action</v>
      </c>
    </row>
    <row r="957" spans="1:19" ht="15.75" customHeight="1" x14ac:dyDescent="0.25">
      <c r="A957" s="6" t="s">
        <v>690</v>
      </c>
      <c r="B957" s="6">
        <v>114</v>
      </c>
      <c r="C957" s="6">
        <v>21009180</v>
      </c>
      <c r="D957" s="6" t="s">
        <v>928</v>
      </c>
      <c r="E957" s="6" t="s">
        <v>44</v>
      </c>
      <c r="F957" s="6" t="s">
        <v>3539</v>
      </c>
      <c r="G957" s="6">
        <v>45815</v>
      </c>
      <c r="H957" s="6" t="s">
        <v>3540</v>
      </c>
      <c r="I957" s="6">
        <v>222</v>
      </c>
      <c r="J957" s="6" t="s">
        <v>23</v>
      </c>
      <c r="K957" s="6" t="s">
        <v>24</v>
      </c>
      <c r="L957" s="6">
        <v>45000000</v>
      </c>
      <c r="M957" s="6">
        <v>2004</v>
      </c>
      <c r="N957" s="6">
        <v>6.1</v>
      </c>
      <c r="O957" s="4">
        <f ca="1">IFERROR(__xludf.DUMMYFUNCTION("IF(Cost_in_dollars!E957=""USD"",Cost_in_dollars!B957,Cost_in_dollars!B957 * GOOGLEFINANCE(""CURRENCY:"" &amp; Cost_in_dollars!E957 &amp; ""USD""))
"),45000000)</f>
        <v>45000000</v>
      </c>
      <c r="P957" s="4">
        <f ca="1">IFERROR(__xludf.DUMMYFUNCTION("IF(Cost_in_dollars!E957=""USD"",Cost_in_dollars!C957,Cost_in_dollars!C957 * GOOGLEFINANCE(""CURRENCY:"" &amp; Cost_in_dollars!E957 &amp; ""USD""))
"),21009180)</f>
        <v>21009180</v>
      </c>
      <c r="Q957" s="6">
        <f t="shared" ca="1" si="18"/>
        <v>-23990820</v>
      </c>
      <c r="R957" s="7" t="str">
        <f t="shared" si="19"/>
        <v>Flight of the Phoenix</v>
      </c>
      <c r="S957" s="43" t="str">
        <f t="shared" si="22"/>
        <v>Action</v>
      </c>
    </row>
    <row r="958" spans="1:19" ht="15.75" customHeight="1" x14ac:dyDescent="0.25">
      <c r="A958" s="4" t="s">
        <v>3541</v>
      </c>
      <c r="B958" s="4">
        <v>113</v>
      </c>
      <c r="C958" s="4">
        <v>1891821</v>
      </c>
      <c r="D958" s="4" t="s">
        <v>3542</v>
      </c>
      <c r="E958" s="4" t="s">
        <v>3269</v>
      </c>
      <c r="F958" s="4" t="s">
        <v>3543</v>
      </c>
      <c r="G958" s="4">
        <v>16474</v>
      </c>
      <c r="H958" s="4" t="s">
        <v>3544</v>
      </c>
      <c r="I958" s="4">
        <v>301</v>
      </c>
      <c r="J958" s="4" t="s">
        <v>23</v>
      </c>
      <c r="K958" s="4" t="s">
        <v>133</v>
      </c>
      <c r="L958" s="4">
        <v>52000000</v>
      </c>
      <c r="M958" s="4">
        <v>2005</v>
      </c>
      <c r="N958" s="4">
        <v>4.2</v>
      </c>
      <c r="O958" s="4">
        <f ca="1">IFERROR(__xludf.DUMMYFUNCTION("IF(Cost_in_dollars!E958=""USD"",Cost_in_dollars!B958,Cost_in_dollars!B958 * GOOGLEFINANCE(""CURRENCY:"" &amp; Cost_in_dollars!E958 &amp; ""USD""))
"),66840799.9999999)</f>
        <v>66840799.999999903</v>
      </c>
      <c r="P958" s="4">
        <f ca="1">IFERROR(__xludf.DUMMYFUNCTION("IF(Cost_in_dollars!E958=""USD"",Cost_in_dollars!C958,Cost_in_dollars!C958 * GOOGLEFINANCE(""CURRENCY:"" &amp; Cost_in_dollars!E958 &amp; ""USD""))
"),2431746.7134)</f>
        <v>2431746.7133999998</v>
      </c>
      <c r="Q958" s="4">
        <f t="shared" ca="1" si="18"/>
        <v>-64409053.286599904</v>
      </c>
      <c r="R958" s="5" t="str">
        <f t="shared" si="19"/>
        <v>A Sound of Thunder</v>
      </c>
      <c r="S958" s="43" t="str">
        <f t="shared" si="22"/>
        <v>Action</v>
      </c>
    </row>
    <row r="959" spans="1:19" ht="15.75" customHeight="1" x14ac:dyDescent="0.25">
      <c r="A959" s="6" t="s">
        <v>1697</v>
      </c>
      <c r="B959" s="6">
        <v>172</v>
      </c>
      <c r="C959" s="6">
        <v>26616590</v>
      </c>
      <c r="D959" s="6" t="s">
        <v>1020</v>
      </c>
      <c r="E959" s="6" t="s">
        <v>3545</v>
      </c>
      <c r="F959" s="6" t="s">
        <v>3546</v>
      </c>
      <c r="G959" s="6">
        <v>120416</v>
      </c>
      <c r="H959" s="6" t="s">
        <v>3547</v>
      </c>
      <c r="I959" s="6">
        <v>857</v>
      </c>
      <c r="J959" s="6" t="s">
        <v>23</v>
      </c>
      <c r="K959" s="6" t="s">
        <v>133</v>
      </c>
      <c r="L959" s="6">
        <v>60000000</v>
      </c>
      <c r="M959" s="6">
        <v>1997</v>
      </c>
      <c r="N959" s="6">
        <v>6.7</v>
      </c>
      <c r="O959" s="4">
        <f ca="1">IFERROR(__xludf.DUMMYFUNCTION("IF(Cost_in_dollars!E959=""USD"",Cost_in_dollars!B959,Cost_in_dollars!B959 * GOOGLEFINANCE(""CURRENCY:"" &amp; Cost_in_dollars!E959 &amp; ""USD""))
"),77124000)</f>
        <v>77124000</v>
      </c>
      <c r="P959" s="4">
        <f ca="1">IFERROR(__xludf.DUMMYFUNCTION("IF(Cost_in_dollars!E959=""USD"",Cost_in_dollars!C959,Cost_in_dollars!C959 * GOOGLEFINANCE(""CURRENCY:"" &amp; Cost_in_dollars!E959 &amp; ""USD""))
"),34212964.786)</f>
        <v>34212964.785999998</v>
      </c>
      <c r="Q959" s="6">
        <f t="shared" ca="1" si="18"/>
        <v>-42911035.214000002</v>
      </c>
      <c r="R959" s="7" t="str">
        <f t="shared" si="19"/>
        <v>Event Horizon</v>
      </c>
      <c r="S959" s="43" t="str">
        <f t="shared" si="22"/>
        <v>Horror</v>
      </c>
    </row>
    <row r="960" spans="1:19" ht="15.75" customHeight="1" x14ac:dyDescent="0.25">
      <c r="A960" s="4" t="s">
        <v>3548</v>
      </c>
      <c r="B960" s="4">
        <v>65</v>
      </c>
      <c r="C960" s="4">
        <v>16247775</v>
      </c>
      <c r="D960" s="4" t="s">
        <v>292</v>
      </c>
      <c r="E960" s="4" t="s">
        <v>3549</v>
      </c>
      <c r="F960" s="4" t="s">
        <v>3550</v>
      </c>
      <c r="G960" s="4">
        <v>23527</v>
      </c>
      <c r="H960" s="4" t="s">
        <v>3551</v>
      </c>
      <c r="I960" s="4">
        <v>104</v>
      </c>
      <c r="J960" s="4" t="s">
        <v>23</v>
      </c>
      <c r="K960" s="4" t="s">
        <v>24</v>
      </c>
      <c r="L960" s="4">
        <v>25000000</v>
      </c>
      <c r="M960" s="4">
        <v>2005</v>
      </c>
      <c r="N960" s="4">
        <v>5.5</v>
      </c>
      <c r="O960" s="4">
        <f ca="1">IFERROR(__xludf.DUMMYFUNCTION("IF(Cost_in_dollars!E960=""USD"",Cost_in_dollars!B960,Cost_in_dollars!B960 * GOOGLEFINANCE(""CURRENCY:"" &amp; Cost_in_dollars!E960 &amp; ""USD""))
"),25000000)</f>
        <v>25000000</v>
      </c>
      <c r="P960" s="4">
        <f ca="1">IFERROR(__xludf.DUMMYFUNCTION("IF(Cost_in_dollars!E960=""USD"",Cost_in_dollars!C960,Cost_in_dollars!C960 * GOOGLEFINANCE(""CURRENCY:"" &amp; Cost_in_dollars!E960 &amp; ""USD""))
"),16247775)</f>
        <v>16247775</v>
      </c>
      <c r="Q960" s="4">
        <f t="shared" ca="1" si="18"/>
        <v>-8752225</v>
      </c>
      <c r="R960" s="5" t="str">
        <f t="shared" si="19"/>
        <v>The Perfect Man</v>
      </c>
      <c r="S960" s="43" t="str">
        <f t="shared" si="22"/>
        <v>Comedy</v>
      </c>
    </row>
    <row r="961" spans="1:19" ht="15.75" customHeight="1" x14ac:dyDescent="0.25">
      <c r="A961" s="6" t="s">
        <v>2520</v>
      </c>
      <c r="B961" s="6">
        <v>82</v>
      </c>
      <c r="C961" s="6">
        <v>91400000</v>
      </c>
      <c r="D961" s="6" t="s">
        <v>691</v>
      </c>
      <c r="E961" s="6" t="s">
        <v>69</v>
      </c>
      <c r="F961" s="6" t="s">
        <v>3552</v>
      </c>
      <c r="G961" s="6">
        <v>81026</v>
      </c>
      <c r="H961" s="6" t="s">
        <v>3553</v>
      </c>
      <c r="I961" s="6">
        <v>194</v>
      </c>
      <c r="J961" s="6" t="s">
        <v>23</v>
      </c>
      <c r="K961" s="6" t="s">
        <v>24</v>
      </c>
      <c r="L961" s="6">
        <v>53000000</v>
      </c>
      <c r="M961" s="6">
        <v>1995</v>
      </c>
      <c r="N961" s="6">
        <v>7.3</v>
      </c>
      <c r="O961" s="4">
        <f ca="1">IFERROR(__xludf.DUMMYFUNCTION("IF(Cost_in_dollars!E961=""USD"",Cost_in_dollars!B961,Cost_in_dollars!B961 * GOOGLEFINANCE(""CURRENCY:"" &amp; Cost_in_dollars!E961 &amp; ""USD""))
"),53000000)</f>
        <v>53000000</v>
      </c>
      <c r="P961" s="4">
        <f ca="1">IFERROR(__xludf.DUMMYFUNCTION("IF(Cost_in_dollars!E961=""USD"",Cost_in_dollars!C961,Cost_in_dollars!C961 * GOOGLEFINANCE(""CURRENCY:"" &amp; Cost_in_dollars!E961 &amp; ""USD""))
"),91400000)</f>
        <v>91400000</v>
      </c>
      <c r="Q961" s="6">
        <f t="shared" ca="1" si="18"/>
        <v>38400000</v>
      </c>
      <c r="R961" s="7" t="str">
        <f t="shared" si="19"/>
        <v>Crimson Tide</v>
      </c>
      <c r="S961" s="43" t="str">
        <f t="shared" si="22"/>
        <v>Action</v>
      </c>
    </row>
    <row r="962" spans="1:19" ht="15.75" customHeight="1" x14ac:dyDescent="0.25">
      <c r="A962" s="4" t="s">
        <v>3554</v>
      </c>
      <c r="B962" s="4">
        <v>175</v>
      </c>
      <c r="C962" s="4">
        <v>17176900</v>
      </c>
      <c r="D962" s="4" t="s">
        <v>281</v>
      </c>
      <c r="E962" s="4" t="s">
        <v>1410</v>
      </c>
      <c r="F962" s="4" t="s">
        <v>3555</v>
      </c>
      <c r="G962" s="4">
        <v>54501</v>
      </c>
      <c r="H962" s="4" t="s">
        <v>3556</v>
      </c>
      <c r="I962" s="4">
        <v>154</v>
      </c>
      <c r="J962" s="4" t="s">
        <v>23</v>
      </c>
      <c r="K962" s="4" t="s">
        <v>24</v>
      </c>
      <c r="L962" s="4">
        <v>95000000</v>
      </c>
      <c r="M962" s="4">
        <v>2014</v>
      </c>
      <c r="N962" s="4">
        <v>5.5</v>
      </c>
      <c r="O962" s="4">
        <f ca="1">IFERROR(__xludf.DUMMYFUNCTION("IF(Cost_in_dollars!E962=""USD"",Cost_in_dollars!B962,Cost_in_dollars!B962 * GOOGLEFINANCE(""CURRENCY:"" &amp; Cost_in_dollars!E962 &amp; ""USD""))
"),95000000)</f>
        <v>95000000</v>
      </c>
      <c r="P962" s="4">
        <f ca="1">IFERROR(__xludf.DUMMYFUNCTION("IF(Cost_in_dollars!E962=""USD"",Cost_in_dollars!C962,Cost_in_dollars!C962 * GOOGLEFINANCE(""CURRENCY:"" &amp; Cost_in_dollars!E962 &amp; ""USD""))
"),17176900)</f>
        <v>17176900</v>
      </c>
      <c r="Q962" s="4">
        <f t="shared" ca="1" si="18"/>
        <v>-77823100</v>
      </c>
      <c r="R962" s="5" t="str">
        <f t="shared" si="19"/>
        <v>Seventh Son</v>
      </c>
      <c r="S962" s="43" t="str">
        <f t="shared" ref="S962:S1025" si="23">IF(ISNUMBER(FIND("|", D962)), LEFT(D962, FIND("|", D962) - 1), D962)</f>
        <v>Action</v>
      </c>
    </row>
    <row r="963" spans="1:19" ht="15.75" customHeight="1" x14ac:dyDescent="0.25">
      <c r="A963" s="6" t="s">
        <v>3557</v>
      </c>
      <c r="B963" s="6">
        <v>90</v>
      </c>
      <c r="C963" s="6">
        <v>1071240</v>
      </c>
      <c r="D963" s="6" t="s">
        <v>362</v>
      </c>
      <c r="E963" s="6" t="s">
        <v>545</v>
      </c>
      <c r="F963" s="6" t="s">
        <v>3558</v>
      </c>
      <c r="G963" s="6">
        <v>3571</v>
      </c>
      <c r="H963" s="6" t="s">
        <v>3559</v>
      </c>
      <c r="I963" s="6">
        <v>34</v>
      </c>
      <c r="J963" s="6" t="s">
        <v>23</v>
      </c>
      <c r="K963" s="6" t="s">
        <v>133</v>
      </c>
      <c r="L963" s="6">
        <v>8000000</v>
      </c>
      <c r="M963" s="6">
        <v>2007</v>
      </c>
      <c r="N963" s="6">
        <v>6.9</v>
      </c>
      <c r="O963" s="4">
        <f ca="1">IFERROR(__xludf.DUMMYFUNCTION("IF(Cost_in_dollars!E963=""USD"",Cost_in_dollars!B963,Cost_in_dollars!B963 * GOOGLEFINANCE(""CURRENCY:"" &amp; Cost_in_dollars!E963 &amp; ""USD""))
"),10283199.9999999)</f>
        <v>10283199.999999899</v>
      </c>
      <c r="P963" s="4">
        <f ca="1">IFERROR(__xludf.DUMMYFUNCTION("IF(Cost_in_dollars!E963=""USD"",Cost_in_dollars!C963,Cost_in_dollars!C963 * GOOGLEFINANCE(""CURRENCY:"" &amp; Cost_in_dollars!E963 &amp; ""USD""))
"),1376971.896)</f>
        <v>1376971.8959999999</v>
      </c>
      <c r="Q963" s="6">
        <f t="shared" ca="1" si="18"/>
        <v>-8906228.1039998997</v>
      </c>
      <c r="R963" s="7" t="str">
        <f t="shared" si="19"/>
        <v>When Did You Last See Your Father?</v>
      </c>
      <c r="S963" s="43" t="str">
        <f t="shared" si="23"/>
        <v>Biography</v>
      </c>
    </row>
    <row r="964" spans="1:19" ht="15.75" customHeight="1" x14ac:dyDescent="0.25">
      <c r="A964" s="4" t="s">
        <v>3560</v>
      </c>
      <c r="B964" s="4">
        <v>107</v>
      </c>
      <c r="C964" s="4">
        <v>12282677</v>
      </c>
      <c r="D964" s="4" t="s">
        <v>3561</v>
      </c>
      <c r="E964" s="4" t="s">
        <v>2682</v>
      </c>
      <c r="F964" s="4" t="s">
        <v>3562</v>
      </c>
      <c r="G964" s="4">
        <v>28159</v>
      </c>
      <c r="H964" s="4" t="s">
        <v>3563</v>
      </c>
      <c r="I964" s="4">
        <v>96</v>
      </c>
      <c r="J964" s="4" t="s">
        <v>23</v>
      </c>
      <c r="K964" s="4" t="s">
        <v>24</v>
      </c>
      <c r="L964" s="4">
        <v>14000000</v>
      </c>
      <c r="M964" s="4">
        <v>2015</v>
      </c>
      <c r="N964" s="4">
        <v>5.0999999999999996</v>
      </c>
      <c r="O964" s="4">
        <f ca="1">IFERROR(__xludf.DUMMYFUNCTION("IF(Cost_in_dollars!E964=""USD"",Cost_in_dollars!B964,Cost_in_dollars!B964 * GOOGLEFINANCE(""CURRENCY:"" &amp; Cost_in_dollars!E964 &amp; ""USD""))
"),14000000)</f>
        <v>14000000</v>
      </c>
      <c r="P964" s="4">
        <f ca="1">IFERROR(__xludf.DUMMYFUNCTION("IF(Cost_in_dollars!E964=""USD"",Cost_in_dollars!C964,Cost_in_dollars!C964 * GOOGLEFINANCE(""CURRENCY:"" &amp; Cost_in_dollars!E964 &amp; ""USD""))
"),12282677)</f>
        <v>12282677</v>
      </c>
      <c r="Q964" s="4">
        <f t="shared" ca="1" si="18"/>
        <v>-1717323</v>
      </c>
      <c r="R964" s="5" t="str">
        <f t="shared" si="19"/>
        <v>Hot Tub Time Machine 2</v>
      </c>
      <c r="S964" s="43" t="str">
        <f t="shared" si="23"/>
        <v>Comedy</v>
      </c>
    </row>
    <row r="965" spans="1:19" ht="15.75" customHeight="1" x14ac:dyDescent="0.25">
      <c r="A965" s="6" t="s">
        <v>1353</v>
      </c>
      <c r="B965" s="6">
        <v>291</v>
      </c>
      <c r="C965" s="6">
        <v>403706375</v>
      </c>
      <c r="D965" s="6" t="s">
        <v>3564</v>
      </c>
      <c r="E965" s="6" t="s">
        <v>881</v>
      </c>
      <c r="F965" s="6" t="s">
        <v>3565</v>
      </c>
      <c r="G965" s="6">
        <v>544665</v>
      </c>
      <c r="H965" s="6" t="s">
        <v>3566</v>
      </c>
      <c r="I965" s="6">
        <v>2012</v>
      </c>
      <c r="J965" s="6" t="s">
        <v>23</v>
      </c>
      <c r="K965" s="6" t="s">
        <v>24</v>
      </c>
      <c r="L965" s="6">
        <v>139000000</v>
      </c>
      <c r="M965" s="6">
        <v>2002</v>
      </c>
      <c r="N965" s="6">
        <v>7.3</v>
      </c>
      <c r="O965" s="4">
        <f ca="1">IFERROR(__xludf.DUMMYFUNCTION("IF(Cost_in_dollars!E965=""USD"",Cost_in_dollars!B965,Cost_in_dollars!B965 * GOOGLEFINANCE(""CURRENCY:"" &amp; Cost_in_dollars!E965 &amp; ""USD""))
"),139000000)</f>
        <v>139000000</v>
      </c>
      <c r="P965" s="4">
        <f ca="1">IFERROR(__xludf.DUMMYFUNCTION("IF(Cost_in_dollars!E965=""USD"",Cost_in_dollars!C965,Cost_in_dollars!C965 * GOOGLEFINANCE(""CURRENCY:"" &amp; Cost_in_dollars!E965 &amp; ""USD""))
"),403706375)</f>
        <v>403706375</v>
      </c>
      <c r="Q965" s="6">
        <f t="shared" ca="1" si="18"/>
        <v>264706375</v>
      </c>
      <c r="R965" s="7" t="str">
        <f t="shared" si="19"/>
        <v>Spider-Man</v>
      </c>
      <c r="S965" s="43" t="str">
        <f t="shared" si="23"/>
        <v>Action</v>
      </c>
    </row>
    <row r="966" spans="1:19" ht="15.75" customHeight="1" x14ac:dyDescent="0.25">
      <c r="A966" s="4" t="s">
        <v>3567</v>
      </c>
      <c r="B966" s="4">
        <v>66</v>
      </c>
      <c r="C966" s="4">
        <v>4273372</v>
      </c>
      <c r="D966" s="4" t="s">
        <v>737</v>
      </c>
      <c r="E966" s="4" t="s">
        <v>3568</v>
      </c>
      <c r="F966" s="4" t="s">
        <v>3569</v>
      </c>
      <c r="G966" s="4">
        <v>19412</v>
      </c>
      <c r="H966" s="4" t="s">
        <v>3570</v>
      </c>
      <c r="I966" s="4">
        <v>308</v>
      </c>
      <c r="J966" s="4" t="s">
        <v>23</v>
      </c>
      <c r="K966" s="4" t="s">
        <v>24</v>
      </c>
      <c r="L966" s="4">
        <v>22000000</v>
      </c>
      <c r="M966" s="4">
        <v>2001</v>
      </c>
      <c r="N966" s="4">
        <v>2.1</v>
      </c>
      <c r="O966" s="4">
        <f ca="1">IFERROR(__xludf.DUMMYFUNCTION("IF(Cost_in_dollars!E966=""USD"",Cost_in_dollars!B966,Cost_in_dollars!B966 * GOOGLEFINANCE(""CURRENCY:"" &amp; Cost_in_dollars!E966 &amp; ""USD""))
"),22000000)</f>
        <v>22000000</v>
      </c>
      <c r="P966" s="4">
        <f ca="1">IFERROR(__xludf.DUMMYFUNCTION("IF(Cost_in_dollars!E966=""USD"",Cost_in_dollars!C966,Cost_in_dollars!C966 * GOOGLEFINANCE(""CURRENCY:"" &amp; Cost_in_dollars!E966 &amp; ""USD""))
"),4273372)</f>
        <v>4273372</v>
      </c>
      <c r="Q966" s="4">
        <f t="shared" ca="1" si="18"/>
        <v>-17726628</v>
      </c>
      <c r="R966" s="5" t="str">
        <f t="shared" si="19"/>
        <v>Glitter</v>
      </c>
      <c r="S966" s="43" t="str">
        <f t="shared" si="23"/>
        <v>Drama</v>
      </c>
    </row>
    <row r="967" spans="1:19" ht="15.75" customHeight="1" x14ac:dyDescent="0.25">
      <c r="A967" s="6" t="s">
        <v>494</v>
      </c>
      <c r="B967" s="6">
        <v>131</v>
      </c>
      <c r="C967" s="6">
        <v>44793200</v>
      </c>
      <c r="D967" s="6" t="s">
        <v>1036</v>
      </c>
      <c r="E967" s="6" t="s">
        <v>3571</v>
      </c>
      <c r="F967" s="6" t="s">
        <v>3572</v>
      </c>
      <c r="G967" s="6">
        <v>49820</v>
      </c>
      <c r="H967" s="6" t="s">
        <v>3573</v>
      </c>
      <c r="I967" s="6">
        <v>311</v>
      </c>
      <c r="J967" s="6" t="s">
        <v>23</v>
      </c>
      <c r="K967" s="6" t="s">
        <v>24</v>
      </c>
      <c r="L967" s="6">
        <v>4500000</v>
      </c>
      <c r="M967" s="6">
        <v>1987</v>
      </c>
      <c r="N967" s="6">
        <v>6.6</v>
      </c>
      <c r="O967" s="4">
        <f ca="1">IFERROR(__xludf.DUMMYFUNCTION("IF(Cost_in_dollars!E967=""USD"",Cost_in_dollars!B967,Cost_in_dollars!B967 * GOOGLEFINANCE(""CURRENCY:"" &amp; Cost_in_dollars!E967 &amp; ""USD""))
"),4500000)</f>
        <v>4500000</v>
      </c>
      <c r="P967" s="4">
        <f ca="1">IFERROR(__xludf.DUMMYFUNCTION("IF(Cost_in_dollars!E967=""USD"",Cost_in_dollars!C967,Cost_in_dollars!C967 * GOOGLEFINANCE(""CURRENCY:"" &amp; Cost_in_dollars!E967 &amp; ""USD""))
"),44793200)</f>
        <v>44793200</v>
      </c>
      <c r="Q967" s="6">
        <f t="shared" ca="1" si="18"/>
        <v>40293200</v>
      </c>
      <c r="R967" s="7" t="str">
        <f t="shared" si="19"/>
        <v>A Nightmare on Elm Street 3: Dream Warriors</v>
      </c>
      <c r="S967" s="43" t="str">
        <f t="shared" si="23"/>
        <v>Action</v>
      </c>
    </row>
    <row r="968" spans="1:19" ht="15.75" customHeight="1" x14ac:dyDescent="0.25">
      <c r="A968" s="4" t="s">
        <v>3200</v>
      </c>
      <c r="B968" s="4">
        <v>71</v>
      </c>
      <c r="C968" s="4">
        <v>598645</v>
      </c>
      <c r="D968" s="4" t="s">
        <v>88</v>
      </c>
      <c r="E968" s="4" t="s">
        <v>3574</v>
      </c>
      <c r="F968" s="4" t="s">
        <v>3575</v>
      </c>
      <c r="G968" s="4">
        <v>13145</v>
      </c>
      <c r="H968" s="4" t="s">
        <v>3576</v>
      </c>
      <c r="I968" s="4">
        <v>215</v>
      </c>
      <c r="J968" s="4" t="s">
        <v>23</v>
      </c>
      <c r="K968" s="4" t="s">
        <v>133</v>
      </c>
      <c r="L968" s="4">
        <v>10000000</v>
      </c>
      <c r="M968" s="4">
        <v>2002</v>
      </c>
      <c r="N968" s="4">
        <v>3.6</v>
      </c>
      <c r="O968" s="4">
        <f ca="1">IFERROR(__xludf.DUMMYFUNCTION("IF(Cost_in_dollars!E968=""USD"",Cost_in_dollars!B968,Cost_in_dollars!B968 * GOOGLEFINANCE(""CURRENCY:"" &amp; Cost_in_dollars!E968 &amp; ""USD""))
"),12853999.9999999)</f>
        <v>12853999.999999899</v>
      </c>
      <c r="P968" s="4">
        <f ca="1">IFERROR(__xludf.DUMMYFUNCTION("IF(Cost_in_dollars!E968=""USD"",Cost_in_dollars!C968,Cost_in_dollars!C968 * GOOGLEFINANCE(""CURRENCY:"" &amp; Cost_in_dollars!E968 &amp; ""USD""))
"),769498.282999999)</f>
        <v>769498.28299999901</v>
      </c>
      <c r="Q968" s="4">
        <f t="shared" ca="1" si="18"/>
        <v>-12084501.7169999</v>
      </c>
      <c r="R968" s="5" t="str">
        <f t="shared" si="19"/>
        <v>Swept Away</v>
      </c>
      <c r="S968" s="43" t="str">
        <f t="shared" si="23"/>
        <v>Comedy</v>
      </c>
    </row>
    <row r="969" spans="1:19" ht="15.75" customHeight="1" x14ac:dyDescent="0.25">
      <c r="A969" s="6" t="s">
        <v>1915</v>
      </c>
      <c r="B969" s="6">
        <v>98</v>
      </c>
      <c r="C969" s="6">
        <v>33643461</v>
      </c>
      <c r="D969" s="6" t="s">
        <v>860</v>
      </c>
      <c r="E969" s="6" t="s">
        <v>500</v>
      </c>
      <c r="F969" s="6" t="s">
        <v>3577</v>
      </c>
      <c r="G969" s="6">
        <v>11257</v>
      </c>
      <c r="H969" s="6" t="s">
        <v>3578</v>
      </c>
      <c r="I969" s="6">
        <v>65</v>
      </c>
      <c r="J969" s="6" t="s">
        <v>23</v>
      </c>
      <c r="K969" s="6" t="s">
        <v>24</v>
      </c>
      <c r="L969" s="6">
        <v>50000000</v>
      </c>
      <c r="M969" s="6">
        <v>2010</v>
      </c>
      <c r="N969" s="6">
        <v>4.2</v>
      </c>
      <c r="O969" s="4">
        <f ca="1">IFERROR(__xludf.DUMMYFUNCTION("IF(Cost_in_dollars!E969=""USD"",Cost_in_dollars!B969,Cost_in_dollars!B969 * GOOGLEFINANCE(""CURRENCY:"" &amp; Cost_in_dollars!E969 &amp; ""USD""))
"),50000000)</f>
        <v>50000000</v>
      </c>
      <c r="P969" s="4">
        <f ca="1">IFERROR(__xludf.DUMMYFUNCTION("IF(Cost_in_dollars!E969=""USD"",Cost_in_dollars!C969,Cost_in_dollars!C969 * GOOGLEFINANCE(""CURRENCY:"" &amp; Cost_in_dollars!E969 &amp; ""USD""))
"),33643461)</f>
        <v>33643461</v>
      </c>
      <c r="Q969" s="6">
        <f t="shared" ca="1" si="18"/>
        <v>-16356539</v>
      </c>
      <c r="R969" s="7" t="str">
        <f t="shared" si="19"/>
        <v>Marmaduke</v>
      </c>
      <c r="S969" s="43" t="str">
        <f t="shared" si="23"/>
        <v>Comedy</v>
      </c>
    </row>
    <row r="970" spans="1:19" ht="15.75" customHeight="1" x14ac:dyDescent="0.25">
      <c r="A970" s="4" t="s">
        <v>3579</v>
      </c>
      <c r="B970" s="4">
        <v>75</v>
      </c>
      <c r="C970" s="4">
        <v>22734486</v>
      </c>
      <c r="D970" s="4" t="s">
        <v>140</v>
      </c>
      <c r="E970" s="4" t="s">
        <v>3580</v>
      </c>
      <c r="F970" s="4" t="s">
        <v>3581</v>
      </c>
      <c r="G970" s="4">
        <v>11815</v>
      </c>
      <c r="H970" s="4" t="s">
        <v>3582</v>
      </c>
      <c r="I970" s="4">
        <v>117</v>
      </c>
      <c r="J970" s="4" t="s">
        <v>23</v>
      </c>
      <c r="K970" s="4" t="s">
        <v>24</v>
      </c>
      <c r="L970" s="4">
        <v>17000000</v>
      </c>
      <c r="M970" s="4">
        <v>2003</v>
      </c>
      <c r="N970" s="4">
        <v>5.6</v>
      </c>
      <c r="O970" s="4">
        <f ca="1">IFERROR(__xludf.DUMMYFUNCTION("IF(Cost_in_dollars!E970=""USD"",Cost_in_dollars!B970,Cost_in_dollars!B970 * GOOGLEFINANCE(""CURRENCY:"" &amp; Cost_in_dollars!E970 &amp; ""USD""))
"),17000000)</f>
        <v>17000000</v>
      </c>
      <c r="P970" s="4">
        <f ca="1">IFERROR(__xludf.DUMMYFUNCTION("IF(Cost_in_dollars!E970=""USD"",Cost_in_dollars!C970,Cost_in_dollars!C970 * GOOGLEFINANCE(""CURRENCY:"" &amp; Cost_in_dollars!E970 &amp; ""USD""))
"),22734486)</f>
        <v>22734486</v>
      </c>
      <c r="Q970" s="4">
        <f t="shared" ca="1" si="18"/>
        <v>5734486</v>
      </c>
      <c r="R970" s="5" t="str">
        <f t="shared" si="19"/>
        <v>Dickie Roberts: Former Child Star</v>
      </c>
      <c r="S970" s="43" t="str">
        <f t="shared" si="23"/>
        <v>Comedy</v>
      </c>
    </row>
    <row r="971" spans="1:19" ht="15.75" customHeight="1" x14ac:dyDescent="0.25">
      <c r="A971" s="6" t="s">
        <v>1145</v>
      </c>
      <c r="B971" s="6">
        <v>160</v>
      </c>
      <c r="C971" s="6">
        <v>15483540</v>
      </c>
      <c r="D971" s="6" t="s">
        <v>3583</v>
      </c>
      <c r="E971" s="6" t="s">
        <v>1449</v>
      </c>
      <c r="F971" s="6" t="s">
        <v>3584</v>
      </c>
      <c r="G971" s="6">
        <v>56338</v>
      </c>
      <c r="H971" s="6" t="s">
        <v>3585</v>
      </c>
      <c r="I971" s="6">
        <v>215</v>
      </c>
      <c r="J971" s="6" t="s">
        <v>23</v>
      </c>
      <c r="K971" s="6" t="s">
        <v>24</v>
      </c>
      <c r="L971" s="6">
        <v>14000000</v>
      </c>
      <c r="M971" s="6">
        <v>2009</v>
      </c>
      <c r="N971" s="6">
        <v>6.5</v>
      </c>
      <c r="O971" s="4">
        <f ca="1">IFERROR(__xludf.DUMMYFUNCTION("IF(Cost_in_dollars!E971=""USD"",Cost_in_dollars!B971,Cost_in_dollars!B971 * GOOGLEFINANCE(""CURRENCY:"" &amp; Cost_in_dollars!E971 &amp; ""USD""))
"),14000000)</f>
        <v>14000000</v>
      </c>
      <c r="P971" s="4">
        <f ca="1">IFERROR(__xludf.DUMMYFUNCTION("IF(Cost_in_dollars!E971=""USD"",Cost_in_dollars!C971,Cost_in_dollars!C971 * GOOGLEFINANCE(""CURRENCY:"" &amp; Cost_in_dollars!E971 &amp; ""USD""))
"),15483540)</f>
        <v>15483540</v>
      </c>
      <c r="Q971" s="6">
        <f t="shared" ca="1" si="18"/>
        <v>1483540</v>
      </c>
      <c r="R971" s="7" t="str">
        <f t="shared" si="19"/>
        <v>A Perfect Getaway</v>
      </c>
      <c r="S971" s="43" t="str">
        <f t="shared" si="23"/>
        <v>Adventure</v>
      </c>
    </row>
    <row r="972" spans="1:19" ht="15.75" customHeight="1" x14ac:dyDescent="0.25">
      <c r="A972" s="4" t="s">
        <v>3586</v>
      </c>
      <c r="B972" s="4">
        <v>114</v>
      </c>
      <c r="C972" s="4">
        <v>1325073</v>
      </c>
      <c r="D972" s="4" t="s">
        <v>457</v>
      </c>
      <c r="E972" s="4" t="s">
        <v>583</v>
      </c>
      <c r="F972" s="4" t="s">
        <v>3587</v>
      </c>
      <c r="G972" s="4">
        <v>18762</v>
      </c>
      <c r="H972" s="4" t="s">
        <v>3588</v>
      </c>
      <c r="I972" s="4">
        <v>91</v>
      </c>
      <c r="J972" s="4" t="s">
        <v>23</v>
      </c>
      <c r="K972" s="4" t="s">
        <v>24</v>
      </c>
      <c r="L972" s="4">
        <v>4000000</v>
      </c>
      <c r="M972" s="4">
        <v>2005</v>
      </c>
      <c r="N972" s="4">
        <v>6.6</v>
      </c>
      <c r="O972" s="4">
        <f ca="1">IFERROR(__xludf.DUMMYFUNCTION("IF(Cost_in_dollars!E972=""USD"",Cost_in_dollars!B972,Cost_in_dollars!B972 * GOOGLEFINANCE(""CURRENCY:"" &amp; Cost_in_dollars!E972 &amp; ""USD""))
"),4000000)</f>
        <v>4000000</v>
      </c>
      <c r="P972" s="4">
        <f ca="1">IFERROR(__xludf.DUMMYFUNCTION("IF(Cost_in_dollars!E972=""USD"",Cost_in_dollars!C972,Cost_in_dollars!C972 * GOOGLEFINANCE(""CURRENCY:"" &amp; Cost_in_dollars!E972 &amp; ""USD""))
"),1325073)</f>
        <v>1325073</v>
      </c>
      <c r="Q972" s="4">
        <f t="shared" ca="1" si="18"/>
        <v>-2674927</v>
      </c>
      <c r="R972" s="5" t="str">
        <f t="shared" si="19"/>
        <v>Thumbsucker</v>
      </c>
      <c r="S972" s="43" t="str">
        <f t="shared" si="23"/>
        <v>Comedy</v>
      </c>
    </row>
    <row r="973" spans="1:19" ht="15.75" customHeight="1" x14ac:dyDescent="0.25">
      <c r="A973" s="6" t="s">
        <v>3589</v>
      </c>
      <c r="B973" s="6">
        <v>71</v>
      </c>
      <c r="C973" s="6">
        <v>7417210</v>
      </c>
      <c r="D973" s="6" t="s">
        <v>102</v>
      </c>
      <c r="E973" s="6" t="s">
        <v>3590</v>
      </c>
      <c r="F973" s="6" t="s">
        <v>3591</v>
      </c>
      <c r="G973" s="6">
        <v>59041</v>
      </c>
      <c r="H973" s="6" t="s">
        <v>3592</v>
      </c>
      <c r="I973" s="6">
        <v>408</v>
      </c>
      <c r="J973" s="6" t="s">
        <v>23</v>
      </c>
      <c r="K973" s="6" t="s">
        <v>24</v>
      </c>
      <c r="L973" s="6">
        <v>1500000</v>
      </c>
      <c r="M973" s="6">
        <v>1995</v>
      </c>
      <c r="N973" s="6">
        <v>7</v>
      </c>
      <c r="O973" s="4">
        <f ca="1">IFERROR(__xludf.DUMMYFUNCTION("IF(Cost_in_dollars!E973=""USD"",Cost_in_dollars!B973,Cost_in_dollars!B973 * GOOGLEFINANCE(""CURRENCY:"" &amp; Cost_in_dollars!E973 &amp; ""USD""))
"),1500000)</f>
        <v>1500000</v>
      </c>
      <c r="P973" s="4">
        <f ca="1">IFERROR(__xludf.DUMMYFUNCTION("IF(Cost_in_dollars!E973=""USD"",Cost_in_dollars!C973,Cost_in_dollars!C973 * GOOGLEFINANCE(""CURRENCY:"" &amp; Cost_in_dollars!E973 &amp; ""USD""))
"),7417210)</f>
        <v>7417210</v>
      </c>
      <c r="Q973" s="6">
        <f t="shared" ca="1" si="18"/>
        <v>5917210</v>
      </c>
      <c r="R973" s="7" t="str">
        <f t="shared" si="19"/>
        <v>Kids</v>
      </c>
      <c r="S973" s="43" t="str">
        <f t="shared" si="23"/>
        <v>Drama</v>
      </c>
    </row>
    <row r="974" spans="1:19" ht="15.75" customHeight="1" x14ac:dyDescent="0.25">
      <c r="A974" s="4" t="s">
        <v>539</v>
      </c>
      <c r="B974" s="4">
        <v>111</v>
      </c>
      <c r="C974" s="4">
        <v>87666629</v>
      </c>
      <c r="D974" s="4" t="s">
        <v>3593</v>
      </c>
      <c r="E974" s="4" t="s">
        <v>3594</v>
      </c>
      <c r="F974" s="4" t="s">
        <v>3595</v>
      </c>
      <c r="G974" s="4">
        <v>283480</v>
      </c>
      <c r="H974" s="4" t="s">
        <v>3596</v>
      </c>
      <c r="I974" s="4">
        <v>263</v>
      </c>
      <c r="J974" s="4" t="s">
        <v>23</v>
      </c>
      <c r="K974" s="4" t="s">
        <v>24</v>
      </c>
      <c r="L974" s="4">
        <v>40000000</v>
      </c>
      <c r="M974" s="4">
        <v>1990</v>
      </c>
      <c r="N974" s="4">
        <v>7.4</v>
      </c>
      <c r="O974" s="4">
        <f ca="1">IFERROR(__xludf.DUMMYFUNCTION("IF(Cost_in_dollars!E974=""USD"",Cost_in_dollars!B974,Cost_in_dollars!B974 * GOOGLEFINANCE(""CURRENCY:"" &amp; Cost_in_dollars!E974 &amp; ""USD""))
"),40000000)</f>
        <v>40000000</v>
      </c>
      <c r="P974" s="4">
        <f ca="1">IFERROR(__xludf.DUMMYFUNCTION("IF(Cost_in_dollars!E974=""USD"",Cost_in_dollars!C974,Cost_in_dollars!C974 * GOOGLEFINANCE(""CURRENCY:"" &amp; Cost_in_dollars!E974 &amp; ""USD""))
"),87666629)</f>
        <v>87666629</v>
      </c>
      <c r="Q974" s="4">
        <f t="shared" ca="1" si="18"/>
        <v>47666629</v>
      </c>
      <c r="R974" s="5" t="str">
        <f t="shared" si="19"/>
        <v>Back to the Future Part III</v>
      </c>
      <c r="S974" s="43" t="str">
        <f t="shared" si="23"/>
        <v>Adventure</v>
      </c>
    </row>
    <row r="975" spans="1:19" ht="15.75" customHeight="1" x14ac:dyDescent="0.25">
      <c r="A975" s="6" t="s">
        <v>638</v>
      </c>
      <c r="B975" s="6">
        <v>470</v>
      </c>
      <c r="C975" s="6">
        <v>317011114</v>
      </c>
      <c r="D975" s="6" t="s">
        <v>281</v>
      </c>
      <c r="E975" s="6" t="s">
        <v>640</v>
      </c>
      <c r="F975" s="6" t="s">
        <v>3597</v>
      </c>
      <c r="G975" s="6">
        <v>333847</v>
      </c>
      <c r="H975" s="6" t="s">
        <v>3598</v>
      </c>
      <c r="I975" s="6">
        <v>2054</v>
      </c>
      <c r="J975" s="6" t="s">
        <v>23</v>
      </c>
      <c r="K975" s="6" t="s">
        <v>24</v>
      </c>
      <c r="L975" s="6">
        <v>185000000</v>
      </c>
      <c r="M975" s="6">
        <v>2008</v>
      </c>
      <c r="N975" s="6">
        <v>6.2</v>
      </c>
      <c r="O975" s="4">
        <f ca="1">IFERROR(__xludf.DUMMYFUNCTION("IF(Cost_in_dollars!E975=""USD"",Cost_in_dollars!B975,Cost_in_dollars!B975 * GOOGLEFINANCE(""CURRENCY:"" &amp; Cost_in_dollars!E975 &amp; ""USD""))
"),185000000)</f>
        <v>185000000</v>
      </c>
      <c r="P975" s="4">
        <f ca="1">IFERROR(__xludf.DUMMYFUNCTION("IF(Cost_in_dollars!E975=""USD"",Cost_in_dollars!C975,Cost_in_dollars!C975 * GOOGLEFINANCE(""CURRENCY:"" &amp; Cost_in_dollars!E975 &amp; ""USD""))
"),317011114)</f>
        <v>317011114</v>
      </c>
      <c r="Q975" s="6">
        <f t="shared" ca="1" si="18"/>
        <v>132011114</v>
      </c>
      <c r="R975" s="7" t="str">
        <f t="shared" si="19"/>
        <v>Indiana Jones and the Kingdom of the Crystal Skull</v>
      </c>
      <c r="S975" s="43" t="str">
        <f t="shared" si="23"/>
        <v>Action</v>
      </c>
    </row>
    <row r="976" spans="1:19" ht="15.75" customHeight="1" x14ac:dyDescent="0.25">
      <c r="A976" s="4" t="s">
        <v>2633</v>
      </c>
      <c r="B976" s="4">
        <v>209</v>
      </c>
      <c r="C976" s="4">
        <v>65948711</v>
      </c>
      <c r="D976" s="4" t="s">
        <v>1608</v>
      </c>
      <c r="E976" s="4" t="s">
        <v>69</v>
      </c>
      <c r="F976" s="4" t="s">
        <v>3599</v>
      </c>
      <c r="G976" s="4">
        <v>86422</v>
      </c>
      <c r="H976" s="4" t="s">
        <v>3600</v>
      </c>
      <c r="I976" s="4">
        <v>363</v>
      </c>
      <c r="J976" s="4" t="s">
        <v>23</v>
      </c>
      <c r="K976" s="4" t="s">
        <v>24</v>
      </c>
      <c r="L976" s="4">
        <v>80000000</v>
      </c>
      <c r="M976" s="4">
        <v>2004</v>
      </c>
      <c r="N976" s="4">
        <v>6.6</v>
      </c>
      <c r="O976" s="4">
        <f ca="1">IFERROR(__xludf.DUMMYFUNCTION("IF(Cost_in_dollars!E976=""USD"",Cost_in_dollars!B976,Cost_in_dollars!B976 * GOOGLEFINANCE(""CURRENCY:"" &amp; Cost_in_dollars!E976 &amp; ""USD""))
"),80000000)</f>
        <v>80000000</v>
      </c>
      <c r="P976" s="4">
        <f ca="1">IFERROR(__xludf.DUMMYFUNCTION("IF(Cost_in_dollars!E976=""USD"",Cost_in_dollars!C976,Cost_in_dollars!C976 * GOOGLEFINANCE(""CURRENCY:"" &amp; Cost_in_dollars!E976 &amp; ""USD""))
"),65948711)</f>
        <v>65948711</v>
      </c>
      <c r="Q976" s="4">
        <f t="shared" ca="1" si="18"/>
        <v>-14051289</v>
      </c>
      <c r="R976" s="5" t="str">
        <f t="shared" si="19"/>
        <v>The Manchurian Candidate</v>
      </c>
      <c r="S976" s="43" t="str">
        <f t="shared" si="23"/>
        <v>Drama</v>
      </c>
    </row>
    <row r="977" spans="1:19" ht="15.75" customHeight="1" x14ac:dyDescent="0.25">
      <c r="A977" s="6" t="s">
        <v>3601</v>
      </c>
      <c r="B977" s="6">
        <v>252</v>
      </c>
      <c r="C977" s="6">
        <v>3325638</v>
      </c>
      <c r="D977" s="6" t="s">
        <v>3602</v>
      </c>
      <c r="E977" s="6" t="s">
        <v>2187</v>
      </c>
      <c r="F977" s="6" t="s">
        <v>3603</v>
      </c>
      <c r="G977" s="6">
        <v>52509</v>
      </c>
      <c r="H977" s="6" t="s">
        <v>3604</v>
      </c>
      <c r="I977" s="6">
        <v>84</v>
      </c>
      <c r="J977" s="6" t="s">
        <v>23</v>
      </c>
      <c r="K977" s="6" t="s">
        <v>24</v>
      </c>
      <c r="L977" s="6">
        <v>2500000</v>
      </c>
      <c r="M977" s="6">
        <v>2012</v>
      </c>
      <c r="N977" s="6">
        <v>7.1</v>
      </c>
      <c r="O977" s="4">
        <f ca="1">IFERROR(__xludf.DUMMYFUNCTION("IF(Cost_in_dollars!E977=""USD"",Cost_in_dollars!B977,Cost_in_dollars!B977 * GOOGLEFINANCE(""CURRENCY:"" &amp; Cost_in_dollars!E977 &amp; ""USD""))
"),2500000)</f>
        <v>2500000</v>
      </c>
      <c r="P977" s="4">
        <f ca="1">IFERROR(__xludf.DUMMYFUNCTION("IF(Cost_in_dollars!E977=""USD"",Cost_in_dollars!C977,Cost_in_dollars!C977 * GOOGLEFINANCE(""CURRENCY:"" &amp; Cost_in_dollars!E977 &amp; ""USD""))
"),3325638)</f>
        <v>3325638</v>
      </c>
      <c r="Q977" s="6">
        <f t="shared" ca="1" si="18"/>
        <v>825638</v>
      </c>
      <c r="R977" s="7" t="str">
        <f t="shared" si="19"/>
        <v>Robot &amp; Frank</v>
      </c>
      <c r="S977" s="43" t="str">
        <f t="shared" si="23"/>
        <v>Comedy</v>
      </c>
    </row>
    <row r="978" spans="1:19" ht="15.75" customHeight="1" x14ac:dyDescent="0.25">
      <c r="A978" s="4" t="s">
        <v>3605</v>
      </c>
      <c r="B978" s="4">
        <v>79</v>
      </c>
      <c r="C978" s="4">
        <v>66600000</v>
      </c>
      <c r="D978" s="4" t="s">
        <v>1499</v>
      </c>
      <c r="E978" s="4" t="s">
        <v>3606</v>
      </c>
      <c r="F978" s="4" t="s">
        <v>3607</v>
      </c>
      <c r="G978" s="4">
        <v>94435</v>
      </c>
      <c r="H978" s="4" t="s">
        <v>3608</v>
      </c>
      <c r="I978" s="4">
        <v>182</v>
      </c>
      <c r="J978" s="4" t="s">
        <v>23</v>
      </c>
      <c r="K978" s="4" t="s">
        <v>149</v>
      </c>
      <c r="L978" s="4">
        <v>30000000</v>
      </c>
      <c r="M978" s="4">
        <v>1995</v>
      </c>
      <c r="N978" s="4">
        <v>6.8</v>
      </c>
      <c r="O978" s="4">
        <f ca="1">IFERROR(__xludf.DUMMYFUNCTION("IF(Cost_in_dollars!E978=""USD"",Cost_in_dollars!B978,Cost_in_dollars!B978 * GOOGLEFINANCE(""CURRENCY:"" &amp; Cost_in_dollars!E978 &amp; ""USD""))
"),19616400)</f>
        <v>19616400</v>
      </c>
      <c r="P978" s="4">
        <f ca="1">IFERROR(__xludf.DUMMYFUNCTION("IF(Cost_in_dollars!E978=""USD"",Cost_in_dollars!C978,Cost_in_dollars!C978 * GOOGLEFINANCE(""CURRENCY:"" &amp; Cost_in_dollars!E978 &amp; ""USD""))
"),43548408)</f>
        <v>43548408</v>
      </c>
      <c r="Q978" s="4">
        <f t="shared" ca="1" si="18"/>
        <v>23932008</v>
      </c>
      <c r="R978" s="5" t="str">
        <f t="shared" si="19"/>
        <v>Babe</v>
      </c>
      <c r="S978" s="43" t="str">
        <f t="shared" si="23"/>
        <v>Comedy</v>
      </c>
    </row>
    <row r="979" spans="1:19" ht="15.75" customHeight="1" x14ac:dyDescent="0.25">
      <c r="A979" s="6" t="s">
        <v>3609</v>
      </c>
      <c r="B979" s="6">
        <v>52</v>
      </c>
      <c r="C979" s="6">
        <v>27457409</v>
      </c>
      <c r="D979" s="6" t="s">
        <v>457</v>
      </c>
      <c r="E979" s="6" t="s">
        <v>3610</v>
      </c>
      <c r="F979" s="6" t="s">
        <v>3611</v>
      </c>
      <c r="G979" s="6">
        <v>3198</v>
      </c>
      <c r="H979" s="6" t="s">
        <v>3612</v>
      </c>
      <c r="I979" s="6">
        <v>43</v>
      </c>
      <c r="J979" s="6" t="s">
        <v>23</v>
      </c>
      <c r="K979" s="6" t="s">
        <v>24</v>
      </c>
      <c r="L979" s="6">
        <v>6000000</v>
      </c>
      <c r="M979" s="6">
        <v>2001</v>
      </c>
      <c r="N979" s="6">
        <v>6.3</v>
      </c>
      <c r="O979" s="4">
        <f ca="1">IFERROR(__xludf.DUMMYFUNCTION("IF(Cost_in_dollars!E979=""USD"",Cost_in_dollars!B979,Cost_in_dollars!B979 * GOOGLEFINANCE(""CURRENCY:"" &amp; Cost_in_dollars!E979 &amp; ""USD""))
"),6000000)</f>
        <v>6000000</v>
      </c>
      <c r="P979" s="4">
        <f ca="1">IFERROR(__xludf.DUMMYFUNCTION("IF(Cost_in_dollars!E979=""USD"",Cost_in_dollars!C979,Cost_in_dollars!C979 * GOOGLEFINANCE(""CURRENCY:"" &amp; Cost_in_dollars!E979 &amp; ""USD""))
"),27457409)</f>
        <v>27457409</v>
      </c>
      <c r="Q979" s="6">
        <f t="shared" ca="1" si="18"/>
        <v>21457409</v>
      </c>
      <c r="R979" s="7" t="str">
        <f t="shared" si="19"/>
        <v>The Brothers</v>
      </c>
      <c r="S979" s="43" t="str">
        <f t="shared" si="23"/>
        <v>Comedy</v>
      </c>
    </row>
    <row r="980" spans="1:19" ht="15.75" customHeight="1" x14ac:dyDescent="0.25">
      <c r="A980" s="4" t="s">
        <v>371</v>
      </c>
      <c r="B980" s="4">
        <v>222</v>
      </c>
      <c r="C980" s="4">
        <v>63910583</v>
      </c>
      <c r="D980" s="4" t="s">
        <v>88</v>
      </c>
      <c r="E980" s="4" t="s">
        <v>886</v>
      </c>
      <c r="F980" s="4" t="s">
        <v>3613</v>
      </c>
      <c r="G980" s="4">
        <v>106755</v>
      </c>
      <c r="H980" s="4" t="s">
        <v>3614</v>
      </c>
      <c r="I980" s="4">
        <v>173</v>
      </c>
      <c r="J980" s="4" t="s">
        <v>23</v>
      </c>
      <c r="K980" s="4" t="s">
        <v>24</v>
      </c>
      <c r="L980" s="4">
        <v>28000000</v>
      </c>
      <c r="M980" s="4">
        <v>2013</v>
      </c>
      <c r="N980" s="4">
        <v>6.6</v>
      </c>
      <c r="O980" s="4">
        <f ca="1">IFERROR(__xludf.DUMMYFUNCTION("IF(Cost_in_dollars!E980=""USD"",Cost_in_dollars!B980,Cost_in_dollars!B980 * GOOGLEFINANCE(""CURRENCY:"" &amp; Cost_in_dollars!E980 &amp; ""USD""))
"),28000000)</f>
        <v>28000000</v>
      </c>
      <c r="P980" s="4">
        <f ca="1">IFERROR(__xludf.DUMMYFUNCTION("IF(Cost_in_dollars!E980=""USD"",Cost_in_dollars!C980,Cost_in_dollars!C980 * GOOGLEFINANCE(""CURRENCY:"" &amp; Cost_in_dollars!E980 &amp; ""USD""))
"),63910583)</f>
        <v>63910583</v>
      </c>
      <c r="Q980" s="4">
        <f t="shared" ca="1" si="18"/>
        <v>35910583</v>
      </c>
      <c r="R980" s="5" t="str">
        <f t="shared" si="19"/>
        <v>Last Vegas</v>
      </c>
      <c r="S980" s="43" t="str">
        <f t="shared" si="23"/>
        <v>Comedy</v>
      </c>
    </row>
    <row r="981" spans="1:19" ht="15.75" customHeight="1" x14ac:dyDescent="0.25">
      <c r="A981" s="6" t="s">
        <v>3615</v>
      </c>
      <c r="B981" s="6">
        <v>97</v>
      </c>
      <c r="C981" s="6">
        <v>28995450</v>
      </c>
      <c r="D981" s="6" t="s">
        <v>517</v>
      </c>
      <c r="E981" s="6" t="s">
        <v>3616</v>
      </c>
      <c r="F981" s="6" t="s">
        <v>3617</v>
      </c>
      <c r="G981" s="6">
        <v>19230</v>
      </c>
      <c r="H981" s="6" t="s">
        <v>3618</v>
      </c>
      <c r="I981" s="6">
        <v>59</v>
      </c>
      <c r="J981" s="6" t="s">
        <v>23</v>
      </c>
      <c r="K981" s="6" t="s">
        <v>133</v>
      </c>
      <c r="L981" s="6">
        <v>35000000</v>
      </c>
      <c r="M981" s="6">
        <v>2010</v>
      </c>
      <c r="N981" s="6">
        <v>6.1</v>
      </c>
      <c r="O981" s="4">
        <f ca="1">IFERROR(__xludf.DUMMYFUNCTION("IF(Cost_in_dollars!E981=""USD"",Cost_in_dollars!B981,Cost_in_dollars!B981 * GOOGLEFINANCE(""CURRENCY:"" &amp; Cost_in_dollars!E981 &amp; ""USD""))
"),44988999.9999999)</f>
        <v>44988999.999999903</v>
      </c>
      <c r="P981" s="4">
        <f ca="1">IFERROR(__xludf.DUMMYFUNCTION("IF(Cost_in_dollars!E981=""USD"",Cost_in_dollars!C981,Cost_in_dollars!C981 * GOOGLEFINANCE(""CURRENCY:"" &amp; Cost_in_dollars!E981 &amp; ""USD""))
"),37270751.43)</f>
        <v>37270751.43</v>
      </c>
      <c r="Q981" s="6">
        <f t="shared" ca="1" si="18"/>
        <v>-7718248.5699999034</v>
      </c>
      <c r="R981" s="7" t="str">
        <f t="shared" si="19"/>
        <v>Nanny McPhee Returns</v>
      </c>
      <c r="S981" s="43" t="str">
        <f t="shared" si="23"/>
        <v>Comedy</v>
      </c>
    </row>
    <row r="982" spans="1:19" ht="15.75" customHeight="1" x14ac:dyDescent="0.25">
      <c r="A982" s="4" t="s">
        <v>3619</v>
      </c>
      <c r="B982" s="4">
        <v>60</v>
      </c>
      <c r="C982" s="4">
        <v>4091</v>
      </c>
      <c r="D982" s="4" t="s">
        <v>304</v>
      </c>
      <c r="E982" s="4" t="s">
        <v>3620</v>
      </c>
      <c r="F982" s="4" t="s">
        <v>3621</v>
      </c>
      <c r="G982" s="4">
        <v>4265</v>
      </c>
      <c r="H982" s="4" t="s">
        <v>109</v>
      </c>
      <c r="I982" s="4">
        <v>16</v>
      </c>
      <c r="J982" s="4" t="s">
        <v>23</v>
      </c>
      <c r="K982" s="4" t="s">
        <v>2083</v>
      </c>
      <c r="L982" s="4">
        <v>34000000</v>
      </c>
      <c r="M982" s="4">
        <v>2013</v>
      </c>
      <c r="N982" s="4">
        <v>6.3</v>
      </c>
      <c r="O982" s="4">
        <f ca="1">IFERROR(__xludf.DUMMYFUNCTION("IF(Cost_in_dollars!E982=""USD"",Cost_in_dollars!B982,Cost_in_dollars!B982 * GOOGLEFINANCE(""CURRENCY:"" &amp; Cost_in_dollars!E982 &amp; ""USD""))
"),36881160)</f>
        <v>36881160</v>
      </c>
      <c r="P982" s="4">
        <f ca="1">IFERROR(__xludf.DUMMYFUNCTION("IF(Cost_in_dollars!E982=""USD"",Cost_in_dollars!C982,Cost_in_dollars!C982 * GOOGLEFINANCE(""CURRENCY:"" &amp; Cost_in_dollars!E982 &amp; ""USD""))
"),4437.67134)</f>
        <v>4437.6713399999999</v>
      </c>
      <c r="Q982" s="4">
        <f t="shared" ca="1" si="18"/>
        <v>-36876722.328659996</v>
      </c>
      <c r="R982" s="5" t="str">
        <f t="shared" si="19"/>
        <v>Thunder and the House of Magic</v>
      </c>
      <c r="S982" s="43" t="str">
        <f t="shared" si="23"/>
        <v>Adventure</v>
      </c>
    </row>
    <row r="983" spans="1:19" ht="15.75" customHeight="1" x14ac:dyDescent="0.25">
      <c r="A983" s="6" t="s">
        <v>3622</v>
      </c>
      <c r="B983" s="6">
        <v>42</v>
      </c>
      <c r="C983" s="6">
        <v>175370</v>
      </c>
      <c r="D983" s="6" t="s">
        <v>140</v>
      </c>
      <c r="E983" s="6" t="s">
        <v>54</v>
      </c>
      <c r="F983" s="6" t="s">
        <v>3623</v>
      </c>
      <c r="G983" s="6">
        <v>6884</v>
      </c>
      <c r="H983" s="6" t="s">
        <v>3624</v>
      </c>
      <c r="I983" s="6">
        <v>133</v>
      </c>
      <c r="J983" s="6" t="s">
        <v>23</v>
      </c>
      <c r="K983" s="6" t="s">
        <v>24</v>
      </c>
      <c r="L983" s="6">
        <v>12000000</v>
      </c>
      <c r="M983" s="6">
        <v>1999</v>
      </c>
      <c r="N983" s="6">
        <v>4.5999999999999996</v>
      </c>
      <c r="O983" s="4">
        <f ca="1">IFERROR(__xludf.DUMMYFUNCTION("IF(Cost_in_dollars!E983=""USD"",Cost_in_dollars!B983,Cost_in_dollars!B983 * GOOGLEFINANCE(""CURRENCY:"" &amp; Cost_in_dollars!E983 &amp; ""USD""))
"),12000000)</f>
        <v>12000000</v>
      </c>
      <c r="P983" s="4">
        <f ca="1">IFERROR(__xludf.DUMMYFUNCTION("IF(Cost_in_dollars!E983=""USD"",Cost_in_dollars!C983,Cost_in_dollars!C983 * GOOGLEFINANCE(""CURRENCY:"" &amp; Cost_in_dollars!E983 &amp; ""USD""))
"),175370)</f>
        <v>175370</v>
      </c>
      <c r="Q983" s="6">
        <f t="shared" ca="1" si="18"/>
        <v>-11824630</v>
      </c>
      <c r="R983" s="7" t="str">
        <f t="shared" si="19"/>
        <v>Breakfast of Champions</v>
      </c>
      <c r="S983" s="43" t="str">
        <f t="shared" si="23"/>
        <v>Comedy</v>
      </c>
    </row>
    <row r="984" spans="1:19" ht="15.75" customHeight="1" x14ac:dyDescent="0.25">
      <c r="A984" s="4" t="s">
        <v>2641</v>
      </c>
      <c r="B984" s="4">
        <v>202</v>
      </c>
      <c r="C984" s="4">
        <v>16264475</v>
      </c>
      <c r="D984" s="4" t="s">
        <v>3625</v>
      </c>
      <c r="E984" s="4" t="s">
        <v>3626</v>
      </c>
      <c r="F984" s="4" t="s">
        <v>3627</v>
      </c>
      <c r="G984" s="4">
        <v>54787</v>
      </c>
      <c r="H984" s="4" t="s">
        <v>3628</v>
      </c>
      <c r="I984" s="4">
        <v>216</v>
      </c>
      <c r="J984" s="4" t="s">
        <v>23</v>
      </c>
      <c r="K984" s="4" t="s">
        <v>133</v>
      </c>
      <c r="L984" s="4">
        <v>55000000</v>
      </c>
      <c r="M984" s="4">
        <v>2007</v>
      </c>
      <c r="N984" s="4">
        <v>6.9</v>
      </c>
      <c r="O984" s="4">
        <f ca="1">IFERROR(__xludf.DUMMYFUNCTION("IF(Cost_in_dollars!E984=""USD"",Cost_in_dollars!B984,Cost_in_dollars!B984 * GOOGLEFINANCE(""CURRENCY:"" &amp; Cost_in_dollars!E984 &amp; ""USD""))
"),70697000)</f>
        <v>70697000</v>
      </c>
      <c r="P984" s="4">
        <f ca="1">IFERROR(__xludf.DUMMYFUNCTION("IF(Cost_in_dollars!E984=""USD"",Cost_in_dollars!C984,Cost_in_dollars!C984 * GOOGLEFINANCE(""CURRENCY:"" &amp; Cost_in_dollars!E984 &amp; ""USD""))
"),20906356.165)</f>
        <v>20906356.164999999</v>
      </c>
      <c r="Q984" s="4">
        <f t="shared" ca="1" si="18"/>
        <v>-49790643.835000001</v>
      </c>
      <c r="R984" s="5" t="str">
        <f t="shared" si="19"/>
        <v>Elizabeth: The Golden Age</v>
      </c>
      <c r="S984" s="43" t="str">
        <f t="shared" si="23"/>
        <v>Biography</v>
      </c>
    </row>
    <row r="985" spans="1:19" ht="15.75" customHeight="1" x14ac:dyDescent="0.25">
      <c r="A985" s="6" t="s">
        <v>3629</v>
      </c>
      <c r="B985" s="6">
        <v>73</v>
      </c>
      <c r="C985" s="6">
        <v>195888</v>
      </c>
      <c r="D985" s="6" t="s">
        <v>3446</v>
      </c>
      <c r="E985" s="6" t="s">
        <v>3630</v>
      </c>
      <c r="F985" s="6" t="s">
        <v>3631</v>
      </c>
      <c r="G985" s="6">
        <v>5603</v>
      </c>
      <c r="H985" s="6" t="s">
        <v>3632</v>
      </c>
      <c r="I985" s="6">
        <v>45</v>
      </c>
      <c r="J985" s="6" t="s">
        <v>3633</v>
      </c>
      <c r="K985" s="6" t="s">
        <v>3634</v>
      </c>
      <c r="L985" s="6">
        <v>2500000000</v>
      </c>
      <c r="M985" s="6">
        <v>2005</v>
      </c>
      <c r="N985" s="6">
        <v>7.1</v>
      </c>
      <c r="O985" s="4">
        <f ca="1">IFERROR(__xludf.DUMMYFUNCTION("IF(Cost_in_dollars!E985=""USD"",Cost_in_dollars!B985,Cost_in_dollars!B985 * GOOGLEFINANCE(""CURRENCY:"" &amp; Cost_in_dollars!E985 &amp; ""USD""))
"),6908935)</f>
        <v>6908935</v>
      </c>
      <c r="P985" s="4">
        <f ca="1">IFERROR(__xludf.DUMMYFUNCTION("IF(Cost_in_dollars!E985=""USD"",Cost_in_dollars!C985,Cost_in_dollars!C985 * GOOGLEFINANCE(""CURRENCY:"" &amp; Cost_in_dollars!E985 &amp; ""USD""))
"),541.350983712)</f>
        <v>541.35098371200002</v>
      </c>
      <c r="Q985" s="6">
        <f t="shared" ca="1" si="18"/>
        <v>-6908393.6490162881</v>
      </c>
      <c r="R985" s="7" t="str">
        <f t="shared" si="19"/>
        <v>Fateless</v>
      </c>
      <c r="S985" s="43" t="str">
        <f t="shared" si="23"/>
        <v>Drama</v>
      </c>
    </row>
    <row r="986" spans="1:19" ht="15.75" customHeight="1" x14ac:dyDescent="0.25">
      <c r="A986" s="4" t="s">
        <v>539</v>
      </c>
      <c r="B986" s="4">
        <v>221</v>
      </c>
      <c r="C986" s="4">
        <v>233630478</v>
      </c>
      <c r="D986" s="4" t="s">
        <v>2002</v>
      </c>
      <c r="E986" s="4" t="s">
        <v>464</v>
      </c>
      <c r="F986" s="4" t="s">
        <v>3635</v>
      </c>
      <c r="G986" s="4">
        <v>394317</v>
      </c>
      <c r="H986" s="4" t="s">
        <v>3636</v>
      </c>
      <c r="I986" s="4">
        <v>1051</v>
      </c>
      <c r="J986" s="4" t="s">
        <v>23</v>
      </c>
      <c r="K986" s="4" t="s">
        <v>24</v>
      </c>
      <c r="L986" s="4">
        <v>90000000</v>
      </c>
      <c r="M986" s="4">
        <v>2000</v>
      </c>
      <c r="N986" s="4">
        <v>7.7</v>
      </c>
      <c r="O986" s="4">
        <f ca="1">IFERROR(__xludf.DUMMYFUNCTION("IF(Cost_in_dollars!E986=""USD"",Cost_in_dollars!B986,Cost_in_dollars!B986 * GOOGLEFINANCE(""CURRENCY:"" &amp; Cost_in_dollars!E986 &amp; ""USD""))
"),90000000)</f>
        <v>90000000</v>
      </c>
      <c r="P986" s="4">
        <f ca="1">IFERROR(__xludf.DUMMYFUNCTION("IF(Cost_in_dollars!E986=""USD"",Cost_in_dollars!C986,Cost_in_dollars!C986 * GOOGLEFINANCE(""CURRENCY:"" &amp; Cost_in_dollars!E986 &amp; ""USD""))
"),233630478)</f>
        <v>233630478</v>
      </c>
      <c r="Q986" s="4">
        <f t="shared" ca="1" si="18"/>
        <v>143630478</v>
      </c>
      <c r="R986" s="5" t="str">
        <f t="shared" si="19"/>
        <v>Cast Away</v>
      </c>
      <c r="S986" s="43" t="str">
        <f t="shared" si="23"/>
        <v>Adventure</v>
      </c>
    </row>
    <row r="987" spans="1:19" ht="15.75" customHeight="1" x14ac:dyDescent="0.25">
      <c r="A987" s="6" t="s">
        <v>2873</v>
      </c>
      <c r="B987" s="6">
        <v>235</v>
      </c>
      <c r="C987" s="6">
        <v>72266306</v>
      </c>
      <c r="D987" s="6" t="s">
        <v>438</v>
      </c>
      <c r="E987" s="6" t="s">
        <v>44</v>
      </c>
      <c r="F987" s="6" t="s">
        <v>3637</v>
      </c>
      <c r="G987" s="6">
        <v>127528</v>
      </c>
      <c r="H987" s="6" t="s">
        <v>3638</v>
      </c>
      <c r="I987" s="6">
        <v>422</v>
      </c>
      <c r="J987" s="6" t="s">
        <v>23</v>
      </c>
      <c r="K987" s="6" t="s">
        <v>24</v>
      </c>
      <c r="L987" s="6">
        <v>40000000</v>
      </c>
      <c r="M987" s="6">
        <v>2008</v>
      </c>
      <c r="N987" s="6">
        <v>6.6</v>
      </c>
      <c r="O987" s="4">
        <f ca="1">IFERROR(__xludf.DUMMYFUNCTION("IF(Cost_in_dollars!E987=""USD"",Cost_in_dollars!B987,Cost_in_dollars!B987 * GOOGLEFINANCE(""CURRENCY:"" &amp; Cost_in_dollars!E987 &amp; ""USD""))
"),40000000)</f>
        <v>40000000</v>
      </c>
      <c r="P987" s="4">
        <f ca="1">IFERROR(__xludf.DUMMYFUNCTION("IF(Cost_in_dollars!E987=""USD"",Cost_in_dollars!C987,Cost_in_dollars!C987 * GOOGLEFINANCE(""CURRENCY:"" &amp; Cost_in_dollars!E987 &amp; ""USD""))
"),72266306)</f>
        <v>72266306</v>
      </c>
      <c r="Q987" s="6">
        <f t="shared" ca="1" si="18"/>
        <v>32266306</v>
      </c>
      <c r="R987" s="7" t="str">
        <f t="shared" si="19"/>
        <v>Vantage Point</v>
      </c>
      <c r="S987" s="43" t="str">
        <f t="shared" si="23"/>
        <v>Crime</v>
      </c>
    </row>
    <row r="988" spans="1:19" ht="15.75" customHeight="1" x14ac:dyDescent="0.25">
      <c r="A988" s="4" t="s">
        <v>182</v>
      </c>
      <c r="B988" s="4">
        <v>230</v>
      </c>
      <c r="C988" s="4">
        <v>180011740</v>
      </c>
      <c r="D988" s="4" t="s">
        <v>797</v>
      </c>
      <c r="E988" s="4" t="s">
        <v>146</v>
      </c>
      <c r="F988" s="4" t="s">
        <v>3639</v>
      </c>
      <c r="G988" s="4">
        <v>177729</v>
      </c>
      <c r="H988" s="4" t="s">
        <v>3640</v>
      </c>
      <c r="I988" s="4">
        <v>1368</v>
      </c>
      <c r="J988" s="4" t="s">
        <v>23</v>
      </c>
      <c r="K988" s="4" t="s">
        <v>24</v>
      </c>
      <c r="L988" s="4">
        <v>100000000</v>
      </c>
      <c r="M988" s="4">
        <v>2001</v>
      </c>
      <c r="N988" s="4">
        <v>5.7</v>
      </c>
      <c r="O988" s="4">
        <f ca="1">IFERROR(__xludf.DUMMYFUNCTION("IF(Cost_in_dollars!E988=""USD"",Cost_in_dollars!B988,Cost_in_dollars!B988 * GOOGLEFINANCE(""CURRENCY:"" &amp; Cost_in_dollars!E988 &amp; ""USD""))
"),100000000)</f>
        <v>100000000</v>
      </c>
      <c r="P988" s="4">
        <f ca="1">IFERROR(__xludf.DUMMYFUNCTION("IF(Cost_in_dollars!E988=""USD"",Cost_in_dollars!C988,Cost_in_dollars!C988 * GOOGLEFINANCE(""CURRENCY:"" &amp; Cost_in_dollars!E988 &amp; ""USD""))
"),180011740)</f>
        <v>180011740</v>
      </c>
      <c r="Q988" s="4">
        <f t="shared" ca="1" si="18"/>
        <v>80011740</v>
      </c>
      <c r="R988" s="5" t="str">
        <f t="shared" si="19"/>
        <v>Planet of the Apes</v>
      </c>
      <c r="S988" s="43" t="str">
        <f t="shared" si="23"/>
        <v>Action</v>
      </c>
    </row>
    <row r="989" spans="1:19" ht="15.75" customHeight="1" x14ac:dyDescent="0.25">
      <c r="A989" s="6" t="s">
        <v>3641</v>
      </c>
      <c r="B989" s="6">
        <v>76</v>
      </c>
      <c r="C989" s="6">
        <v>349618</v>
      </c>
      <c r="D989" s="6" t="s">
        <v>151</v>
      </c>
      <c r="E989" s="6" t="s">
        <v>1661</v>
      </c>
      <c r="F989" s="6" t="s">
        <v>3642</v>
      </c>
      <c r="G989" s="6">
        <v>4302</v>
      </c>
      <c r="H989" s="6" t="s">
        <v>3643</v>
      </c>
      <c r="I989" s="6">
        <v>45</v>
      </c>
      <c r="J989" s="6" t="s">
        <v>23</v>
      </c>
      <c r="K989" s="6" t="s">
        <v>41</v>
      </c>
      <c r="L989" s="6">
        <v>9000000</v>
      </c>
      <c r="M989" s="6">
        <v>1990</v>
      </c>
      <c r="N989" s="6">
        <v>6.1</v>
      </c>
      <c r="O989" s="4">
        <f ca="1">IFERROR(__xludf.DUMMYFUNCTION("IF(Cost_in_dollars!E989=""USD"",Cost_in_dollars!B989,Cost_in_dollars!B989 * GOOGLEFINANCE(""CURRENCY:"" &amp; Cost_in_dollars!E989 &amp; ""USD""))
"),9762660)</f>
        <v>9762660</v>
      </c>
      <c r="P989" s="4">
        <f ca="1">IFERROR(__xludf.DUMMYFUNCTION("IF(Cost_in_dollars!E989=""USD"",Cost_in_dollars!C989,Cost_in_dollars!C989 * GOOGLEFINANCE(""CURRENCY:"" &amp; Cost_in_dollars!E989 &amp; ""USD""))
"),379244.62932)</f>
        <v>379244.62932000001</v>
      </c>
      <c r="Q989" s="6">
        <f t="shared" ca="1" si="18"/>
        <v>-9383415.3706800006</v>
      </c>
      <c r="R989" s="7" t="str">
        <f t="shared" si="19"/>
        <v>Two Evil Eyes</v>
      </c>
      <c r="S989" s="43" t="str">
        <f t="shared" si="23"/>
        <v>Horror</v>
      </c>
    </row>
    <row r="990" spans="1:19" ht="15.75" customHeight="1" x14ac:dyDescent="0.25">
      <c r="A990" s="4" t="s">
        <v>516</v>
      </c>
      <c r="B990" s="4">
        <v>198</v>
      </c>
      <c r="C990" s="4">
        <v>71148699</v>
      </c>
      <c r="D990" s="4" t="s">
        <v>1259</v>
      </c>
      <c r="E990" s="4" t="s">
        <v>3644</v>
      </c>
      <c r="F990" s="4" t="s">
        <v>3645</v>
      </c>
      <c r="G990" s="4">
        <v>68935</v>
      </c>
      <c r="H990" s="4" t="s">
        <v>3646</v>
      </c>
      <c r="I990" s="4">
        <v>125</v>
      </c>
      <c r="J990" s="4" t="s">
        <v>23</v>
      </c>
      <c r="K990" s="4" t="s">
        <v>24</v>
      </c>
      <c r="L990" s="4">
        <v>90000000</v>
      </c>
      <c r="M990" s="4">
        <v>2008</v>
      </c>
      <c r="N990" s="4">
        <v>6.6</v>
      </c>
      <c r="O990" s="4">
        <f ca="1">IFERROR(__xludf.DUMMYFUNCTION("IF(Cost_in_dollars!E990=""USD"",Cost_in_dollars!B990,Cost_in_dollars!B990 * GOOGLEFINANCE(""CURRENCY:"" &amp; Cost_in_dollars!E990 &amp; ""USD""))
"),90000000)</f>
        <v>90000000</v>
      </c>
      <c r="P990" s="4">
        <f ca="1">IFERROR(__xludf.DUMMYFUNCTION("IF(Cost_in_dollars!E990=""USD"",Cost_in_dollars!C990,Cost_in_dollars!C990 * GOOGLEFINANCE(""CURRENCY:"" &amp; Cost_in_dollars!E990 &amp; ""USD""))
"),71148699)</f>
        <v>71148699</v>
      </c>
      <c r="Q990" s="4">
        <f t="shared" ca="1" si="18"/>
        <v>-18851301</v>
      </c>
      <c r="R990" s="5" t="str">
        <f t="shared" si="19"/>
        <v>The Spiderwick Chronicles</v>
      </c>
      <c r="S990" s="43" t="str">
        <f t="shared" si="23"/>
        <v>Adventure</v>
      </c>
    </row>
    <row r="991" spans="1:19" ht="15.75" customHeight="1" x14ac:dyDescent="0.25">
      <c r="A991" s="6" t="s">
        <v>3647</v>
      </c>
      <c r="B991" s="6">
        <v>128</v>
      </c>
      <c r="C991" s="6">
        <v>27796042</v>
      </c>
      <c r="D991" s="6" t="s">
        <v>235</v>
      </c>
      <c r="E991" s="6" t="s">
        <v>3648</v>
      </c>
      <c r="F991" s="6" t="s">
        <v>3649</v>
      </c>
      <c r="G991" s="6">
        <v>45031</v>
      </c>
      <c r="H991" s="6" t="s">
        <v>3650</v>
      </c>
      <c r="I991" s="6">
        <v>376</v>
      </c>
      <c r="J991" s="6" t="s">
        <v>23</v>
      </c>
      <c r="K991" s="6" t="s">
        <v>24</v>
      </c>
      <c r="L991" s="6">
        <v>72000000</v>
      </c>
      <c r="M991" s="6">
        <v>2001</v>
      </c>
      <c r="N991" s="6">
        <v>6.9</v>
      </c>
      <c r="O991" s="4">
        <f ca="1">IFERROR(__xludf.DUMMYFUNCTION("IF(Cost_in_dollars!E991=""USD"",Cost_in_dollars!B991,Cost_in_dollars!B991 * GOOGLEFINANCE(""CURRENCY:"" &amp; Cost_in_dollars!E991 &amp; ""USD""))
"),72000000)</f>
        <v>72000000</v>
      </c>
      <c r="P991" s="4">
        <f ca="1">IFERROR(__xludf.DUMMYFUNCTION("IF(Cost_in_dollars!E991=""USD"",Cost_in_dollars!C991,Cost_in_dollars!C991 * GOOGLEFINANCE(""CURRENCY:"" &amp; Cost_in_dollars!E991 &amp; ""USD""))
"),27796042)</f>
        <v>27796042</v>
      </c>
      <c r="Q991" s="6">
        <f t="shared" ca="1" si="18"/>
        <v>-44203958</v>
      </c>
      <c r="R991" s="7" t="str">
        <f t="shared" si="19"/>
        <v>The Majestic</v>
      </c>
      <c r="S991" s="43" t="str">
        <f t="shared" si="23"/>
        <v>Drama</v>
      </c>
    </row>
    <row r="992" spans="1:19" ht="15.75" customHeight="1" x14ac:dyDescent="0.25">
      <c r="A992" s="4" t="s">
        <v>3651</v>
      </c>
      <c r="B992" s="4">
        <v>187</v>
      </c>
      <c r="C992" s="4">
        <v>51396781</v>
      </c>
      <c r="D992" s="4" t="s">
        <v>73</v>
      </c>
      <c r="E992" s="4" t="s">
        <v>600</v>
      </c>
      <c r="F992" s="4" t="s">
        <v>3652</v>
      </c>
      <c r="G992" s="4">
        <v>188887</v>
      </c>
      <c r="H992" s="4" t="s">
        <v>3653</v>
      </c>
      <c r="I992" s="4">
        <v>662</v>
      </c>
      <c r="J992" s="4" t="s">
        <v>23</v>
      </c>
      <c r="K992" s="4" t="s">
        <v>24</v>
      </c>
      <c r="L992" s="4">
        <v>68000000</v>
      </c>
      <c r="M992" s="4">
        <v>2001</v>
      </c>
      <c r="N992" s="4">
        <v>7.6</v>
      </c>
      <c r="O992" s="4">
        <f ca="1">IFERROR(__xludf.DUMMYFUNCTION("IF(Cost_in_dollars!E992=""USD"",Cost_in_dollars!B992,Cost_in_dollars!B992 * GOOGLEFINANCE(""CURRENCY:"" &amp; Cost_in_dollars!E992 &amp; ""USD""))
"),68000000)</f>
        <v>68000000</v>
      </c>
      <c r="P992" s="4">
        <f ca="1">IFERROR(__xludf.DUMMYFUNCTION("IF(Cost_in_dollars!E992=""USD"",Cost_in_dollars!C992,Cost_in_dollars!C992 * GOOGLEFINANCE(""CURRENCY:"" &amp; Cost_in_dollars!E992 &amp; ""USD""))
"),51396781)</f>
        <v>51396781</v>
      </c>
      <c r="Q992" s="4">
        <f t="shared" ca="1" si="18"/>
        <v>-16603219</v>
      </c>
      <c r="R992" s="5" t="str">
        <f t="shared" si="19"/>
        <v>Enemy at the Gates</v>
      </c>
      <c r="S992" s="43" t="str">
        <f t="shared" si="23"/>
        <v>Drama</v>
      </c>
    </row>
    <row r="993" spans="1:19" ht="15.75" customHeight="1" x14ac:dyDescent="0.25">
      <c r="A993" s="6" t="s">
        <v>3654</v>
      </c>
      <c r="B993" s="6">
        <v>121</v>
      </c>
      <c r="C993" s="6">
        <v>16699684</v>
      </c>
      <c r="D993" s="6" t="s">
        <v>88</v>
      </c>
      <c r="E993" s="6" t="s">
        <v>881</v>
      </c>
      <c r="F993" s="6" t="s">
        <v>3655</v>
      </c>
      <c r="G993" s="6">
        <v>17461</v>
      </c>
      <c r="H993" s="6" t="s">
        <v>3656</v>
      </c>
      <c r="I993" s="6">
        <v>78</v>
      </c>
      <c r="J993" s="6" t="s">
        <v>23</v>
      </c>
      <c r="K993" s="6" t="s">
        <v>24</v>
      </c>
      <c r="L993" s="6">
        <v>8000000</v>
      </c>
      <c r="M993" s="6">
        <v>2009</v>
      </c>
      <c r="N993" s="6">
        <v>5.6</v>
      </c>
      <c r="O993" s="4">
        <f ca="1">IFERROR(__xludf.DUMMYFUNCTION("IF(Cost_in_dollars!E993=""USD"",Cost_in_dollars!B993,Cost_in_dollars!B993 * GOOGLEFINANCE(""CURRENCY:"" &amp; Cost_in_dollars!E993 &amp; ""USD""))
"),8000000)</f>
        <v>8000000</v>
      </c>
      <c r="P993" s="4">
        <f ca="1">IFERROR(__xludf.DUMMYFUNCTION("IF(Cost_in_dollars!E993=""USD"",Cost_in_dollars!C993,Cost_in_dollars!C993 * GOOGLEFINANCE(""CURRENCY:"" &amp; Cost_in_dollars!E993 &amp; ""USD""))
"),16699684)</f>
        <v>16699684</v>
      </c>
      <c r="Q993" s="6">
        <f t="shared" ca="1" si="18"/>
        <v>8699684</v>
      </c>
      <c r="R993" s="7" t="str">
        <f t="shared" si="19"/>
        <v>New in Town</v>
      </c>
      <c r="S993" s="43" t="str">
        <f t="shared" si="23"/>
        <v>Comedy</v>
      </c>
    </row>
    <row r="994" spans="1:19" ht="15.75" customHeight="1" x14ac:dyDescent="0.25">
      <c r="A994" s="4" t="s">
        <v>3657</v>
      </c>
      <c r="B994" s="4">
        <v>77</v>
      </c>
      <c r="C994" s="4">
        <v>10134754</v>
      </c>
      <c r="D994" s="4" t="s">
        <v>3522</v>
      </c>
      <c r="E994" s="4" t="s">
        <v>2668</v>
      </c>
      <c r="F994" s="4" t="s">
        <v>3658</v>
      </c>
      <c r="G994" s="4">
        <v>9682</v>
      </c>
      <c r="H994" s="4" t="s">
        <v>3659</v>
      </c>
      <c r="I994" s="4">
        <v>38</v>
      </c>
      <c r="J994" s="4" t="s">
        <v>23</v>
      </c>
      <c r="K994" s="4" t="s">
        <v>24</v>
      </c>
      <c r="L994" s="4">
        <v>30000000</v>
      </c>
      <c r="M994" s="4">
        <v>2011</v>
      </c>
      <c r="N994" s="4">
        <v>4.8</v>
      </c>
      <c r="O994" s="4">
        <f ca="1">IFERROR(__xludf.DUMMYFUNCTION("IF(Cost_in_dollars!E994=""USD"",Cost_in_dollars!B994,Cost_in_dollars!B994 * GOOGLEFINANCE(""CURRENCY:"" &amp; Cost_in_dollars!E994 &amp; ""USD""))
"),30000000)</f>
        <v>30000000</v>
      </c>
      <c r="P994" s="4">
        <f ca="1">IFERROR(__xludf.DUMMYFUNCTION("IF(Cost_in_dollars!E994=""USD"",Cost_in_dollars!C994,Cost_in_dollars!C994 * GOOGLEFINANCE(""CURRENCY:"" &amp; Cost_in_dollars!E994 &amp; ""USD""))
"),10134754)</f>
        <v>10134754</v>
      </c>
      <c r="Q994" s="4">
        <f t="shared" ca="1" si="18"/>
        <v>-19865246</v>
      </c>
      <c r="R994" s="5" t="str">
        <f t="shared" si="19"/>
        <v>Hoodwinked Too! Hood vs. Evil</v>
      </c>
      <c r="S994" s="43" t="str">
        <f t="shared" si="23"/>
        <v>Animation</v>
      </c>
    </row>
    <row r="995" spans="1:19" ht="15.75" customHeight="1" x14ac:dyDescent="0.25">
      <c r="A995" s="6" t="s">
        <v>72</v>
      </c>
      <c r="B995" s="6">
        <v>300</v>
      </c>
      <c r="C995" s="6">
        <v>130127620</v>
      </c>
      <c r="D995" s="6" t="s">
        <v>1788</v>
      </c>
      <c r="E995" s="6" t="s">
        <v>69</v>
      </c>
      <c r="F995" s="6" t="s">
        <v>3660</v>
      </c>
      <c r="G995" s="6">
        <v>324671</v>
      </c>
      <c r="H995" s="6" t="s">
        <v>3661</v>
      </c>
      <c r="I995" s="6">
        <v>458</v>
      </c>
      <c r="J995" s="6" t="s">
        <v>23</v>
      </c>
      <c r="K995" s="6" t="s">
        <v>24</v>
      </c>
      <c r="L995" s="6">
        <v>100000000</v>
      </c>
      <c r="M995" s="6">
        <v>2007</v>
      </c>
      <c r="N995" s="6">
        <v>7.8</v>
      </c>
      <c r="O995" s="4">
        <f ca="1">IFERROR(__xludf.DUMMYFUNCTION("IF(Cost_in_dollars!E995=""USD"",Cost_in_dollars!B995,Cost_in_dollars!B995 * GOOGLEFINANCE(""CURRENCY:"" &amp; Cost_in_dollars!E995 &amp; ""USD""))
"),100000000)</f>
        <v>100000000</v>
      </c>
      <c r="P995" s="4">
        <f ca="1">IFERROR(__xludf.DUMMYFUNCTION("IF(Cost_in_dollars!E995=""USD"",Cost_in_dollars!C995,Cost_in_dollars!C995 * GOOGLEFINANCE(""CURRENCY:"" &amp; Cost_in_dollars!E995 &amp; ""USD""))
"),130127620)</f>
        <v>130127620</v>
      </c>
      <c r="Q995" s="6">
        <f t="shared" ca="1" si="18"/>
        <v>30127620</v>
      </c>
      <c r="R995" s="7" t="str">
        <f t="shared" si="19"/>
        <v>American Gangster</v>
      </c>
      <c r="S995" s="43" t="str">
        <f t="shared" si="23"/>
        <v>Biography</v>
      </c>
    </row>
    <row r="996" spans="1:19" ht="15.75" customHeight="1" x14ac:dyDescent="0.25">
      <c r="A996" s="4" t="s">
        <v>3330</v>
      </c>
      <c r="B996" s="4">
        <v>178</v>
      </c>
      <c r="C996" s="4">
        <v>10539414</v>
      </c>
      <c r="D996" s="4" t="s">
        <v>3662</v>
      </c>
      <c r="E996" s="4" t="s">
        <v>435</v>
      </c>
      <c r="F996" s="4" t="s">
        <v>3663</v>
      </c>
      <c r="G996" s="4">
        <v>45729</v>
      </c>
      <c r="H996" s="4" t="s">
        <v>3664</v>
      </c>
      <c r="I996" s="4">
        <v>176</v>
      </c>
      <c r="J996" s="4" t="s">
        <v>23</v>
      </c>
      <c r="K996" s="4" t="s">
        <v>24</v>
      </c>
      <c r="L996" s="4">
        <v>47000000</v>
      </c>
      <c r="M996" s="4">
        <v>2010</v>
      </c>
      <c r="N996" s="4">
        <v>4.7</v>
      </c>
      <c r="O996" s="4">
        <f ca="1">IFERROR(__xludf.DUMMYFUNCTION("IF(Cost_in_dollars!E996=""USD"",Cost_in_dollars!B996,Cost_in_dollars!B996 * GOOGLEFINANCE(""CURRENCY:"" &amp; Cost_in_dollars!E996 &amp; ""USD""))
"),47000000)</f>
        <v>47000000</v>
      </c>
      <c r="P996" s="4">
        <f ca="1">IFERROR(__xludf.DUMMYFUNCTION("IF(Cost_in_dollars!E996=""USD"",Cost_in_dollars!C996,Cost_in_dollars!C996 * GOOGLEFINANCE(""CURRENCY:"" &amp; Cost_in_dollars!E996 &amp; ""USD""))
"),10539414)</f>
        <v>10539414</v>
      </c>
      <c r="Q996" s="4">
        <f t="shared" ca="1" si="18"/>
        <v>-36460586</v>
      </c>
      <c r="R996" s="5" t="str">
        <f t="shared" si="19"/>
        <v>Jonah Hex</v>
      </c>
      <c r="S996" s="43" t="str">
        <f t="shared" si="23"/>
        <v>Action</v>
      </c>
    </row>
    <row r="997" spans="1:19" ht="15.75" customHeight="1" x14ac:dyDescent="0.25">
      <c r="A997" s="6" t="s">
        <v>1327</v>
      </c>
      <c r="B997" s="6">
        <v>223</v>
      </c>
      <c r="C997" s="6">
        <v>76600000</v>
      </c>
      <c r="D997" s="6" t="s">
        <v>1242</v>
      </c>
      <c r="E997" s="6" t="s">
        <v>3665</v>
      </c>
      <c r="F997" s="6" t="s">
        <v>3666</v>
      </c>
      <c r="G997" s="6">
        <v>105446</v>
      </c>
      <c r="H997" s="6" t="s">
        <v>3667</v>
      </c>
      <c r="I997" s="6">
        <v>321</v>
      </c>
      <c r="J997" s="6" t="s">
        <v>23</v>
      </c>
      <c r="K997" s="6" t="s">
        <v>24</v>
      </c>
      <c r="L997" s="6">
        <v>10700000</v>
      </c>
      <c r="M997" s="6">
        <v>1982</v>
      </c>
      <c r="N997" s="6">
        <v>7.4</v>
      </c>
      <c r="O997" s="4">
        <f ca="1">IFERROR(__xludf.DUMMYFUNCTION("IF(Cost_in_dollars!E997=""USD"",Cost_in_dollars!B997,Cost_in_dollars!B997 * GOOGLEFINANCE(""CURRENCY:"" &amp; Cost_in_dollars!E997 &amp; ""USD""))
"),10700000)</f>
        <v>10700000</v>
      </c>
      <c r="P997" s="4">
        <f ca="1">IFERROR(__xludf.DUMMYFUNCTION("IF(Cost_in_dollars!E997=""USD"",Cost_in_dollars!C997,Cost_in_dollars!C997 * GOOGLEFINANCE(""CURRENCY:"" &amp; Cost_in_dollars!E997 &amp; ""USD""))
"),76600000)</f>
        <v>76600000</v>
      </c>
      <c r="Q997" s="6">
        <f t="shared" ca="1" si="18"/>
        <v>65900000</v>
      </c>
      <c r="R997" s="7" t="str">
        <f t="shared" si="19"/>
        <v>Poltergeist</v>
      </c>
      <c r="S997" s="43" t="str">
        <f t="shared" si="23"/>
        <v>Fantasy</v>
      </c>
    </row>
    <row r="998" spans="1:19" ht="15.75" customHeight="1" x14ac:dyDescent="0.25">
      <c r="A998" s="4" t="s">
        <v>1539</v>
      </c>
      <c r="B998" s="4">
        <v>287</v>
      </c>
      <c r="C998" s="4">
        <v>54557348</v>
      </c>
      <c r="D998" s="4" t="s">
        <v>116</v>
      </c>
      <c r="E998" s="4" t="s">
        <v>593</v>
      </c>
      <c r="F998" s="4" t="s">
        <v>3668</v>
      </c>
      <c r="G998" s="4">
        <v>361169</v>
      </c>
      <c r="H998" s="4" t="s">
        <v>3669</v>
      </c>
      <c r="I998" s="4">
        <v>1624</v>
      </c>
      <c r="J998" s="4" t="s">
        <v>23</v>
      </c>
      <c r="K998" s="4" t="s">
        <v>176</v>
      </c>
      <c r="L998" s="4">
        <v>6500000</v>
      </c>
      <c r="M998" s="4">
        <v>2004</v>
      </c>
      <c r="N998" s="4">
        <v>7.9</v>
      </c>
      <c r="O998" s="4">
        <f ca="1">IFERROR(__xludf.DUMMYFUNCTION("IF(Cost_in_dollars!E998=""USD"",Cost_in_dollars!B998,Cost_in_dollars!B998 * GOOGLEFINANCE(""CURRENCY:"" &amp; Cost_in_dollars!E998 &amp; ""USD""))
"),7050810)</f>
        <v>7050810</v>
      </c>
      <c r="P998" s="4">
        <f ca="1">IFERROR(__xludf.DUMMYFUNCTION("IF(Cost_in_dollars!E998=""USD"",Cost_in_dollars!C998,Cost_in_dollars!C998 * GOOGLEFINANCE(""CURRENCY:"" &amp; Cost_in_dollars!E998 &amp; ""USD""))
"),59180537.66952)</f>
        <v>59180537.669519998</v>
      </c>
      <c r="Q998" s="4">
        <f t="shared" ca="1" si="18"/>
        <v>52129727.669519998</v>
      </c>
      <c r="R998" s="5" t="str">
        <f t="shared" si="19"/>
        <v>Crash</v>
      </c>
      <c r="S998" s="43" t="str">
        <f t="shared" si="23"/>
        <v>Crime</v>
      </c>
    </row>
    <row r="999" spans="1:19" ht="15.75" customHeight="1" x14ac:dyDescent="0.25">
      <c r="A999" s="6" t="s">
        <v>899</v>
      </c>
      <c r="B999" s="6">
        <v>254</v>
      </c>
      <c r="C999" s="6">
        <v>1821983</v>
      </c>
      <c r="D999" s="6" t="s">
        <v>3670</v>
      </c>
      <c r="E999" s="6" t="s">
        <v>84</v>
      </c>
      <c r="F999" s="6" t="s">
        <v>3671</v>
      </c>
      <c r="G999" s="6">
        <v>31089</v>
      </c>
      <c r="H999" s="6" t="s">
        <v>3672</v>
      </c>
      <c r="I999" s="6">
        <v>261</v>
      </c>
      <c r="J999" s="6" t="s">
        <v>23</v>
      </c>
      <c r="K999" s="6" t="s">
        <v>24</v>
      </c>
      <c r="L999" s="6">
        <v>3000000</v>
      </c>
      <c r="M999" s="6">
        <v>2014</v>
      </c>
      <c r="N999" s="6">
        <v>5.4</v>
      </c>
      <c r="O999" s="4">
        <f ca="1">IFERROR(__xludf.DUMMYFUNCTION("IF(Cost_in_dollars!E999=""USD"",Cost_in_dollars!B999,Cost_in_dollars!B999 * GOOGLEFINANCE(""CURRENCY:"" &amp; Cost_in_dollars!E999 &amp; ""USD""))
"),3000000)</f>
        <v>3000000</v>
      </c>
      <c r="P999" s="4">
        <f ca="1">IFERROR(__xludf.DUMMYFUNCTION("IF(Cost_in_dollars!E999=""USD"",Cost_in_dollars!C999,Cost_in_dollars!C999 * GOOGLEFINANCE(""CURRENCY:"" &amp; Cost_in_dollars!E999 &amp; ""USD""))
"),1821983)</f>
        <v>1821983</v>
      </c>
      <c r="Q999" s="6">
        <f t="shared" ca="1" si="18"/>
        <v>-1178017</v>
      </c>
      <c r="R999" s="7" t="str">
        <f t="shared" si="19"/>
        <v>Tusk</v>
      </c>
      <c r="S999" s="43" t="str">
        <f t="shared" si="23"/>
        <v>Comedy</v>
      </c>
    </row>
    <row r="1000" spans="1:19" ht="15.75" customHeight="1" x14ac:dyDescent="0.25">
      <c r="A1000" s="4" t="s">
        <v>3673</v>
      </c>
      <c r="B1000" s="4">
        <v>140</v>
      </c>
      <c r="C1000" s="4">
        <v>4535117</v>
      </c>
      <c r="D1000" s="4" t="s">
        <v>3674</v>
      </c>
      <c r="E1000" s="4" t="s">
        <v>818</v>
      </c>
      <c r="F1000" s="4" t="s">
        <v>3675</v>
      </c>
      <c r="G1000" s="4">
        <v>38398</v>
      </c>
      <c r="H1000" s="4" t="s">
        <v>3676</v>
      </c>
      <c r="I1000" s="4">
        <v>368</v>
      </c>
      <c r="J1000" s="4" t="s">
        <v>23</v>
      </c>
      <c r="K1000" s="4" t="s">
        <v>176</v>
      </c>
      <c r="L1000" s="4">
        <v>60000000</v>
      </c>
      <c r="M1000" s="4">
        <v>2007</v>
      </c>
      <c r="N1000" s="4">
        <v>3.8</v>
      </c>
      <c r="O1000" s="4">
        <f ca="1">IFERROR(__xludf.DUMMYFUNCTION("IF(Cost_in_dollars!E1000=""USD"",Cost_in_dollars!B1000,Cost_in_dollars!B1000 * GOOGLEFINANCE(""CURRENCY:"" &amp; Cost_in_dollars!E1000 &amp; ""USD""))
"),65084400)</f>
        <v>65084400</v>
      </c>
      <c r="P1000" s="4">
        <f ca="1">IFERROR(__xludf.DUMMYFUNCTION("IF(Cost_in_dollars!E1000=""USD"",Cost_in_dollars!C1000,Cost_in_dollars!C1000 * GOOGLEFINANCE(""CURRENCY:"" &amp; Cost_in_dollars!E1000 &amp; ""USD""))
"),4919422.81458)</f>
        <v>4919422.81458</v>
      </c>
      <c r="Q1000" s="4">
        <f t="shared" ca="1" si="18"/>
        <v>-60164977.185419999</v>
      </c>
      <c r="R1000" s="5" t="str">
        <f t="shared" si="19"/>
        <v>In the Name of the King: A Dungeon Siege Tale</v>
      </c>
      <c r="S1000" s="43" t="str">
        <f t="shared" si="23"/>
        <v>Action</v>
      </c>
    </row>
    <row r="1001" spans="1:19" ht="15.75" customHeight="1" x14ac:dyDescent="0.25">
      <c r="A1001" s="6" t="s">
        <v>150</v>
      </c>
      <c r="B1001" s="6">
        <v>195</v>
      </c>
      <c r="C1001" s="6">
        <v>101334374</v>
      </c>
      <c r="D1001" s="6" t="s">
        <v>568</v>
      </c>
      <c r="E1001" s="6" t="s">
        <v>3518</v>
      </c>
      <c r="F1001" s="6" t="s">
        <v>3677</v>
      </c>
      <c r="G1001" s="6">
        <v>124941</v>
      </c>
      <c r="H1001" s="6" t="s">
        <v>3678</v>
      </c>
      <c r="I1001" s="6">
        <v>488</v>
      </c>
      <c r="J1001" s="6" t="s">
        <v>23</v>
      </c>
      <c r="K1001" s="6" t="s">
        <v>24</v>
      </c>
      <c r="L1001" s="6">
        <v>24000000</v>
      </c>
      <c r="M1001" s="6">
        <v>1997</v>
      </c>
      <c r="N1001" s="6">
        <v>6.1</v>
      </c>
      <c r="O1001" s="4">
        <f ca="1">IFERROR(__xludf.DUMMYFUNCTION("IF(Cost_in_dollars!E1001=""USD"",Cost_in_dollars!B1001,Cost_in_dollars!B1001 * GOOGLEFINANCE(""CURRENCY:"" &amp; Cost_in_dollars!E1001 &amp; ""USD""))
"),24000000)</f>
        <v>24000000</v>
      </c>
      <c r="P1001" s="4">
        <f ca="1">IFERROR(__xludf.DUMMYFUNCTION("IF(Cost_in_dollars!E1001=""USD"",Cost_in_dollars!C1001,Cost_in_dollars!C1001 * GOOGLEFINANCE(""CURRENCY:"" &amp; Cost_in_dollars!E1001 &amp; ""USD""))
"),101334374)</f>
        <v>101334374</v>
      </c>
      <c r="Q1001" s="6">
        <f t="shared" ca="1" si="18"/>
        <v>77334374</v>
      </c>
      <c r="R1001" s="7" t="str">
        <f t="shared" si="19"/>
        <v>Scream 2</v>
      </c>
      <c r="S1001" s="43" t="str">
        <f t="shared" si="23"/>
        <v>Horror</v>
      </c>
    </row>
    <row r="1002" spans="1:19" ht="15.75" customHeight="1" x14ac:dyDescent="0.25">
      <c r="A1002" s="4" t="s">
        <v>416</v>
      </c>
      <c r="B1002" s="4">
        <v>100</v>
      </c>
      <c r="C1002" s="4">
        <v>53955614</v>
      </c>
      <c r="D1002" s="4" t="s">
        <v>3324</v>
      </c>
      <c r="E1002" s="4" t="s">
        <v>954</v>
      </c>
      <c r="F1002" s="4" t="s">
        <v>3679</v>
      </c>
      <c r="G1002" s="4">
        <v>77415</v>
      </c>
      <c r="H1002" s="4" t="s">
        <v>3680</v>
      </c>
      <c r="I1002" s="4">
        <v>139</v>
      </c>
      <c r="J1002" s="4" t="s">
        <v>23</v>
      </c>
      <c r="K1002" s="4" t="s">
        <v>24</v>
      </c>
      <c r="L1002" s="4">
        <v>40000000</v>
      </c>
      <c r="M1002" s="4">
        <v>1998</v>
      </c>
      <c r="N1002" s="4">
        <v>6.1</v>
      </c>
      <c r="O1002" s="4">
        <f ca="1">IFERROR(__xludf.DUMMYFUNCTION("IF(Cost_in_dollars!E1002=""USD"",Cost_in_dollars!B1002,Cost_in_dollars!B1002 * GOOGLEFINANCE(""CURRENCY:"" &amp; Cost_in_dollars!E1002 &amp; ""USD""))
"),40000000)</f>
        <v>40000000</v>
      </c>
      <c r="P1002" s="4">
        <f ca="1">IFERROR(__xludf.DUMMYFUNCTION("IF(Cost_in_dollars!E1002=""USD"",Cost_in_dollars!C1002,Cost_in_dollars!C1002 * GOOGLEFINANCE(""CURRENCY:"" &amp; Cost_in_dollars!E1002 &amp; ""USD""))
"),53955614)</f>
        <v>53955614</v>
      </c>
      <c r="Q1002" s="4">
        <f t="shared" ca="1" si="18"/>
        <v>13955614</v>
      </c>
      <c r="R1002" s="5" t="str">
        <f t="shared" si="19"/>
        <v>Small Soldiers</v>
      </c>
      <c r="S1002" s="43" t="str">
        <f t="shared" si="23"/>
        <v>Action</v>
      </c>
    </row>
    <row r="1003" spans="1:19" ht="15.75" customHeight="1" x14ac:dyDescent="0.25">
      <c r="A1003" s="6" t="s">
        <v>338</v>
      </c>
      <c r="B1003" s="6">
        <v>371</v>
      </c>
      <c r="C1003" s="6">
        <v>78031620</v>
      </c>
      <c r="D1003" s="6" t="s">
        <v>682</v>
      </c>
      <c r="E1003" s="6" t="s">
        <v>473</v>
      </c>
      <c r="F1003" s="6" t="s">
        <v>3681</v>
      </c>
      <c r="G1003" s="6">
        <v>102248</v>
      </c>
      <c r="H1003" s="6" t="s">
        <v>3682</v>
      </c>
      <c r="I1003" s="6">
        <v>403</v>
      </c>
      <c r="J1003" s="6" t="s">
        <v>23</v>
      </c>
      <c r="K1003" s="6" t="s">
        <v>24</v>
      </c>
      <c r="L1003" s="6">
        <v>70000000</v>
      </c>
      <c r="M1003" s="6">
        <v>2014</v>
      </c>
      <c r="N1003" s="6">
        <v>6.1</v>
      </c>
      <c r="O1003" s="4">
        <f ca="1">IFERROR(__xludf.DUMMYFUNCTION("IF(Cost_in_dollars!E1003=""USD"",Cost_in_dollars!B1003,Cost_in_dollars!B1003 * GOOGLEFINANCE(""CURRENCY:"" &amp; Cost_in_dollars!E1003 &amp; ""USD""))
"),70000000)</f>
        <v>70000000</v>
      </c>
      <c r="P1003" s="4">
        <f ca="1">IFERROR(__xludf.DUMMYFUNCTION("IF(Cost_in_dollars!E1003=""USD"",Cost_in_dollars!C1003,Cost_in_dollars!C1003 * GOOGLEFINANCE(""CURRENCY:"" &amp; Cost_in_dollars!E1003 &amp; ""USD""))
"),78031620)</f>
        <v>78031620</v>
      </c>
      <c r="Q1003" s="6">
        <f t="shared" ca="1" si="18"/>
        <v>8031620</v>
      </c>
      <c r="R1003" s="7" t="str">
        <f t="shared" si="19"/>
        <v>The Monuments Men</v>
      </c>
      <c r="S1003" s="43" t="str">
        <f t="shared" si="23"/>
        <v>Drama</v>
      </c>
    </row>
    <row r="1004" spans="1:19" ht="15.75" customHeight="1" x14ac:dyDescent="0.25">
      <c r="A1004" s="4" t="s">
        <v>468</v>
      </c>
      <c r="B1004" s="4">
        <v>56</v>
      </c>
      <c r="C1004" s="4">
        <v>2600000</v>
      </c>
      <c r="D1004" s="4" t="s">
        <v>682</v>
      </c>
      <c r="E1004" s="4" t="s">
        <v>330</v>
      </c>
      <c r="F1004" s="4" t="s">
        <v>3683</v>
      </c>
      <c r="G1004" s="4">
        <v>11612</v>
      </c>
      <c r="H1004" s="4" t="s">
        <v>3684</v>
      </c>
      <c r="I1004" s="4">
        <v>88</v>
      </c>
      <c r="J1004" s="4" t="s">
        <v>23</v>
      </c>
      <c r="K1004" s="4" t="s">
        <v>133</v>
      </c>
      <c r="L1004" s="4">
        <v>6000000</v>
      </c>
      <c r="M1004" s="4">
        <v>1995</v>
      </c>
      <c r="N1004" s="4">
        <v>7.5</v>
      </c>
      <c r="O1004" s="4">
        <f ca="1">IFERROR(__xludf.DUMMYFUNCTION("IF(Cost_in_dollars!E1004=""USD"",Cost_in_dollars!B1004,Cost_in_dollars!B1004 * GOOGLEFINANCE(""CURRENCY:"" &amp; Cost_in_dollars!E1004 &amp; ""USD""))
"),7712399.99999999)</f>
        <v>7712399.9999999898</v>
      </c>
      <c r="P1004" s="4">
        <f ca="1">IFERROR(__xludf.DUMMYFUNCTION("IF(Cost_in_dollars!E1004=""USD"",Cost_in_dollars!C1004,Cost_in_dollars!C1004 * GOOGLEFINANCE(""CURRENCY:"" &amp; Cost_in_dollars!E1004 &amp; ""USD""))
"),3342039.99999999)</f>
        <v>3342039.9999999902</v>
      </c>
      <c r="Q1004" s="4">
        <f t="shared" ca="1" si="18"/>
        <v>-4370360</v>
      </c>
      <c r="R1004" s="5" t="str">
        <f t="shared" si="19"/>
        <v>Richard III</v>
      </c>
      <c r="S1004" s="43" t="str">
        <f t="shared" si="23"/>
        <v>Drama</v>
      </c>
    </row>
    <row r="1005" spans="1:19" ht="15.75" customHeight="1" x14ac:dyDescent="0.25">
      <c r="A1005" s="6" t="s">
        <v>3306</v>
      </c>
      <c r="B1005" s="6">
        <v>218</v>
      </c>
      <c r="C1005" s="6">
        <v>80021740</v>
      </c>
      <c r="D1005" s="6" t="s">
        <v>3307</v>
      </c>
      <c r="E1005" s="6" t="s">
        <v>3308</v>
      </c>
      <c r="F1005" s="6" t="s">
        <v>3309</v>
      </c>
      <c r="G1005" s="6">
        <v>47968</v>
      </c>
      <c r="H1005" s="6" t="s">
        <v>3310</v>
      </c>
      <c r="I1005" s="6">
        <v>154</v>
      </c>
      <c r="J1005" s="6" t="s">
        <v>23</v>
      </c>
      <c r="K1005" s="6" t="s">
        <v>24</v>
      </c>
      <c r="L1005" s="6">
        <v>58000000</v>
      </c>
      <c r="M1005" s="6">
        <v>2015</v>
      </c>
      <c r="N1005" s="6">
        <v>6.4</v>
      </c>
      <c r="O1005" s="4">
        <f ca="1">IFERROR(__xludf.DUMMYFUNCTION("IF(Cost_in_dollars!E1005=""USD"",Cost_in_dollars!B1005,Cost_in_dollars!B1005 * GOOGLEFINANCE(""CURRENCY:"" &amp; Cost_in_dollars!E1005 &amp; ""USD""))
"),58000000)</f>
        <v>58000000</v>
      </c>
      <c r="P1005" s="4">
        <f ca="1">IFERROR(__xludf.DUMMYFUNCTION("IF(Cost_in_dollars!E1005=""USD"",Cost_in_dollars!C1005,Cost_in_dollars!C1005 * GOOGLEFINANCE(""CURRENCY:"" &amp; Cost_in_dollars!E1005 &amp; ""USD""))
"),80021740)</f>
        <v>80021740</v>
      </c>
      <c r="Q1005" s="6">
        <f t="shared" ca="1" si="18"/>
        <v>22021740</v>
      </c>
      <c r="R1005" s="7" t="str">
        <f t="shared" si="19"/>
        <v>Goosebumps</v>
      </c>
      <c r="S1005" s="43" t="str">
        <f t="shared" si="23"/>
        <v>Adventure</v>
      </c>
    </row>
    <row r="1006" spans="1:19" ht="15.75" customHeight="1" x14ac:dyDescent="0.25">
      <c r="A1006" s="4" t="s">
        <v>3685</v>
      </c>
      <c r="B1006" s="4">
        <v>113</v>
      </c>
      <c r="C1006" s="4">
        <v>44469602</v>
      </c>
      <c r="D1006" s="4" t="s">
        <v>1127</v>
      </c>
      <c r="E1006" s="4" t="s">
        <v>3686</v>
      </c>
      <c r="F1006" s="4" t="s">
        <v>3687</v>
      </c>
      <c r="G1006" s="4">
        <v>23480</v>
      </c>
      <c r="H1006" s="4" t="s">
        <v>3688</v>
      </c>
      <c r="I1006" s="4">
        <v>83</v>
      </c>
      <c r="J1006" s="4" t="s">
        <v>23</v>
      </c>
      <c r="K1006" s="4" t="s">
        <v>24</v>
      </c>
      <c r="L1006" s="4">
        <v>17000000</v>
      </c>
      <c r="M1006" s="4">
        <v>2015</v>
      </c>
      <c r="N1006" s="4">
        <v>7.4</v>
      </c>
      <c r="O1006" s="4">
        <f ca="1">IFERROR(__xludf.DUMMYFUNCTION("IF(Cost_in_dollars!E1006=""USD"",Cost_in_dollars!B1006,Cost_in_dollars!B1006 * GOOGLEFINANCE(""CURRENCY:"" &amp; Cost_in_dollars!E1006 &amp; ""USD""))
"),17000000)</f>
        <v>17000000</v>
      </c>
      <c r="P1006" s="4">
        <f ca="1">IFERROR(__xludf.DUMMYFUNCTION("IF(Cost_in_dollars!E1006=""USD"",Cost_in_dollars!C1006,Cost_in_dollars!C1006 * GOOGLEFINANCE(""CURRENCY:"" &amp; Cost_in_dollars!E1006 &amp; ""USD""))
"),44469602)</f>
        <v>44469602</v>
      </c>
      <c r="Q1006" s="4">
        <f t="shared" ca="1" si="18"/>
        <v>27469602</v>
      </c>
      <c r="R1006" s="5" t="str">
        <f t="shared" si="19"/>
        <v>McFarland, USA</v>
      </c>
      <c r="S1006" s="43" t="str">
        <f t="shared" si="23"/>
        <v>Biography</v>
      </c>
    </row>
    <row r="1007" spans="1:19" ht="15.75" customHeight="1" x14ac:dyDescent="0.25">
      <c r="A1007" s="6" t="s">
        <v>3689</v>
      </c>
      <c r="B1007" s="6">
        <v>229</v>
      </c>
      <c r="C1007" s="6">
        <v>3073392</v>
      </c>
      <c r="D1007" s="6" t="s">
        <v>1608</v>
      </c>
      <c r="E1007" s="6" t="s">
        <v>3690</v>
      </c>
      <c r="F1007" s="6" t="s">
        <v>3691</v>
      </c>
      <c r="G1007" s="6">
        <v>59462</v>
      </c>
      <c r="H1007" s="6" t="s">
        <v>3692</v>
      </c>
      <c r="I1007" s="6">
        <v>300</v>
      </c>
      <c r="J1007" s="6" t="s">
        <v>23</v>
      </c>
      <c r="K1007" s="6" t="s">
        <v>627</v>
      </c>
      <c r="L1007" s="6">
        <v>25000000</v>
      </c>
      <c r="M1007" s="6">
        <v>2008</v>
      </c>
      <c r="N1007" s="6">
        <v>6.6</v>
      </c>
      <c r="O1007" s="4">
        <f ca="1">IFERROR(__xludf.DUMMYFUNCTION("IF(Cost_in_dollars!E1007=""USD"",Cost_in_dollars!B1007,Cost_in_dollars!B1007 * GOOGLEFINANCE(""CURRENCY:"" &amp; Cost_in_dollars!E1007 &amp; ""USD""))
"),18085125)</f>
        <v>18085125</v>
      </c>
      <c r="P1007" s="4">
        <f ca="1">IFERROR(__xludf.DUMMYFUNCTION("IF(Cost_in_dollars!E1007=""USD"",Cost_in_dollars!C1007,Cost_in_dollars!C1007 * GOOGLEFINANCE(""CURRENCY:"" &amp; Cost_in_dollars!E1007 &amp; ""USD""))
"),2223307.13975999)</f>
        <v>2223307.1397599899</v>
      </c>
      <c r="Q1007" s="6">
        <f t="shared" ca="1" si="18"/>
        <v>-15861817.860240011</v>
      </c>
      <c r="R1007" s="7" t="str">
        <f t="shared" si="19"/>
        <v>Blindness</v>
      </c>
      <c r="S1007" s="43" t="str">
        <f t="shared" si="23"/>
        <v>Drama</v>
      </c>
    </row>
    <row r="1008" spans="1:19" ht="15.75" customHeight="1" x14ac:dyDescent="0.25">
      <c r="A1008" s="4" t="s">
        <v>2036</v>
      </c>
      <c r="B1008" s="4">
        <v>52</v>
      </c>
      <c r="C1008" s="4">
        <v>7881335</v>
      </c>
      <c r="D1008" s="4" t="s">
        <v>592</v>
      </c>
      <c r="E1008" s="4" t="s">
        <v>3693</v>
      </c>
      <c r="F1008" s="4" t="s">
        <v>3694</v>
      </c>
      <c r="G1008" s="4">
        <v>21212</v>
      </c>
      <c r="H1008" s="4" t="s">
        <v>3695</v>
      </c>
      <c r="I1008" s="4">
        <v>107</v>
      </c>
      <c r="J1008" s="4" t="s">
        <v>23</v>
      </c>
      <c r="K1008" s="4" t="s">
        <v>24</v>
      </c>
      <c r="L1008" s="4">
        <v>13000000</v>
      </c>
      <c r="M1008" s="4">
        <v>1994</v>
      </c>
      <c r="N1008" s="4">
        <v>6.7</v>
      </c>
      <c r="O1008" s="4">
        <f ca="1">IFERROR(__xludf.DUMMYFUNCTION("IF(Cost_in_dollars!E1008=""USD"",Cost_in_dollars!B1008,Cost_in_dollars!B1008 * GOOGLEFINANCE(""CURRENCY:"" &amp; Cost_in_dollars!E1008 &amp; ""USD""))
"),13000000)</f>
        <v>13000000</v>
      </c>
      <c r="P1008" s="4">
        <f ca="1">IFERROR(__xludf.DUMMYFUNCTION("IF(Cost_in_dollars!E1008=""USD"",Cost_in_dollars!C1008,Cost_in_dollars!C1008 * GOOGLEFINANCE(""CURRENCY:"" &amp; Cost_in_dollars!E1008 &amp; ""USD""))
"),7881335)</f>
        <v>7881335</v>
      </c>
      <c r="Q1008" s="4">
        <f t="shared" ca="1" si="18"/>
        <v>-5118665</v>
      </c>
      <c r="R1008" s="5" t="str">
        <f t="shared" si="19"/>
        <v>Serial Mom</v>
      </c>
      <c r="S1008" s="43" t="str">
        <f t="shared" si="23"/>
        <v>Comedy</v>
      </c>
    </row>
    <row r="1009" spans="1:19" ht="15.75" customHeight="1" x14ac:dyDescent="0.25">
      <c r="A1009" s="6" t="s">
        <v>3696</v>
      </c>
      <c r="B1009" s="6">
        <v>129</v>
      </c>
      <c r="C1009" s="6">
        <v>40041683</v>
      </c>
      <c r="D1009" s="6" t="s">
        <v>618</v>
      </c>
      <c r="E1009" s="6" t="s">
        <v>3697</v>
      </c>
      <c r="F1009" s="6" t="s">
        <v>3698</v>
      </c>
      <c r="G1009" s="6">
        <v>34620</v>
      </c>
      <c r="H1009" s="6" t="s">
        <v>3699</v>
      </c>
      <c r="I1009" s="6">
        <v>107</v>
      </c>
      <c r="J1009" s="6" t="s">
        <v>23</v>
      </c>
      <c r="K1009" s="6" t="s">
        <v>24</v>
      </c>
      <c r="L1009" s="6">
        <v>2500000</v>
      </c>
      <c r="M1009" s="6">
        <v>2013</v>
      </c>
      <c r="N1009" s="6">
        <v>5.0999999999999996</v>
      </c>
      <c r="O1009" s="4">
        <f ca="1">IFERROR(__xludf.DUMMYFUNCTION("IF(Cost_in_dollars!E1009=""USD"",Cost_in_dollars!B1009,Cost_in_dollars!B1009 * GOOGLEFINANCE(""CURRENCY:"" &amp; Cost_in_dollars!E1009 &amp; ""USD""))
"),2500000)</f>
        <v>2500000</v>
      </c>
      <c r="P1009" s="4">
        <f ca="1">IFERROR(__xludf.DUMMYFUNCTION("IF(Cost_in_dollars!E1009=""USD"",Cost_in_dollars!C1009,Cost_in_dollars!C1009 * GOOGLEFINANCE(""CURRENCY:"" &amp; Cost_in_dollars!E1009 &amp; ""USD""))
"),40041683)</f>
        <v>40041683</v>
      </c>
      <c r="Q1009" s="6">
        <f t="shared" ca="1" si="18"/>
        <v>37541683</v>
      </c>
      <c r="R1009" s="7" t="str">
        <f t="shared" si="19"/>
        <v>A Haunted House</v>
      </c>
      <c r="S1009" s="43" t="str">
        <f t="shared" si="23"/>
        <v>Comedy</v>
      </c>
    </row>
    <row r="1010" spans="1:19" ht="15.75" customHeight="1" x14ac:dyDescent="0.25">
      <c r="A1010" s="4" t="s">
        <v>2482</v>
      </c>
      <c r="B1010" s="4">
        <v>121</v>
      </c>
      <c r="C1010" s="4">
        <v>108200000</v>
      </c>
      <c r="D1010" s="4" t="s">
        <v>3700</v>
      </c>
      <c r="E1010" s="4" t="s">
        <v>3701</v>
      </c>
      <c r="F1010" s="4" t="s">
        <v>3702</v>
      </c>
      <c r="G1010" s="4">
        <v>76331</v>
      </c>
      <c r="H1010" s="4" t="s">
        <v>3703</v>
      </c>
      <c r="I1010" s="4">
        <v>269</v>
      </c>
      <c r="J1010" s="4" t="s">
        <v>23</v>
      </c>
      <c r="K1010" s="4" t="s">
        <v>24</v>
      </c>
      <c r="L1010" s="4">
        <v>54000000</v>
      </c>
      <c r="M1010" s="4">
        <v>1980</v>
      </c>
      <c r="N1010" s="4">
        <v>6.8</v>
      </c>
      <c r="O1010" s="4">
        <f ca="1">IFERROR(__xludf.DUMMYFUNCTION("IF(Cost_in_dollars!E1010=""USD"",Cost_in_dollars!B1010,Cost_in_dollars!B1010 * GOOGLEFINANCE(""CURRENCY:"" &amp; Cost_in_dollars!E1010 &amp; ""USD""))
"),54000000)</f>
        <v>54000000</v>
      </c>
      <c r="P1010" s="4">
        <f ca="1">IFERROR(__xludf.DUMMYFUNCTION("IF(Cost_in_dollars!E1010=""USD"",Cost_in_dollars!C1010,Cost_in_dollars!C1010 * GOOGLEFINANCE(""CURRENCY:"" &amp; Cost_in_dollars!E1010 &amp; ""USD""))
"),108200000)</f>
        <v>108200000</v>
      </c>
      <c r="Q1010" s="4">
        <f t="shared" ca="1" si="18"/>
        <v>54200000</v>
      </c>
      <c r="R1010" s="5" t="str">
        <f t="shared" si="19"/>
        <v>Superman II</v>
      </c>
      <c r="S1010" s="43" t="str">
        <f t="shared" si="23"/>
        <v>Action</v>
      </c>
    </row>
    <row r="1011" spans="1:19" ht="15.75" customHeight="1" x14ac:dyDescent="0.25">
      <c r="A1011" s="6" t="s">
        <v>3704</v>
      </c>
      <c r="B1011" s="6">
        <v>66</v>
      </c>
      <c r="C1011" s="6">
        <v>11835</v>
      </c>
      <c r="D1011" s="6" t="s">
        <v>162</v>
      </c>
      <c r="E1011" s="6" t="s">
        <v>3705</v>
      </c>
      <c r="F1011" s="6" t="s">
        <v>3706</v>
      </c>
      <c r="G1011" s="6">
        <v>1920</v>
      </c>
      <c r="H1011" s="6" t="s">
        <v>3707</v>
      </c>
      <c r="I1011" s="6">
        <v>7</v>
      </c>
      <c r="J1011" s="6" t="s">
        <v>3708</v>
      </c>
      <c r="K1011" s="6" t="s">
        <v>3252</v>
      </c>
      <c r="L1011" s="6">
        <v>10000000</v>
      </c>
      <c r="M1011" s="6">
        <v>2013</v>
      </c>
      <c r="N1011" s="6">
        <v>6.9</v>
      </c>
      <c r="O1011" s="4">
        <f ca="1">IFERROR(__xludf.DUMMYFUNCTION("IF(Cost_in_dollars!E1011=""USD"",Cost_in_dollars!B1011,Cost_in_dollars!B1011 * GOOGLEFINANCE(""CURRENCY:"" &amp; Cost_in_dollars!E1011 &amp; ""USD""))
"),72558.409)</f>
        <v>72558.409</v>
      </c>
      <c r="P1011" s="4">
        <f ca="1">IFERROR(__xludf.DUMMYFUNCTION("IF(Cost_in_dollars!E1011=""USD"",Cost_in_dollars!C1011,Cost_in_dollars!C1011 * GOOGLEFINANCE(""CURRENCY:"" &amp; Cost_in_dollars!E1011 &amp; ""USD""))
"),85.8728770515)</f>
        <v>85.872877051499998</v>
      </c>
      <c r="Q1011" s="6">
        <f t="shared" ca="1" si="18"/>
        <v>-72472.536122948499</v>
      </c>
      <c r="R1011" s="7" t="str">
        <f t="shared" si="19"/>
        <v>Of Horses and Men</v>
      </c>
      <c r="S1011" s="43" t="str">
        <f t="shared" si="23"/>
        <v>Comedy</v>
      </c>
    </row>
    <row r="1012" spans="1:19" ht="15.75" customHeight="1" x14ac:dyDescent="0.25">
      <c r="A1012" s="4" t="s">
        <v>3709</v>
      </c>
      <c r="B1012" s="4">
        <v>148</v>
      </c>
      <c r="C1012" s="4">
        <v>84518155</v>
      </c>
      <c r="D1012" s="4" t="s">
        <v>140</v>
      </c>
      <c r="E1012" s="4" t="s">
        <v>3710</v>
      </c>
      <c r="F1012" s="4" t="s">
        <v>3711</v>
      </c>
      <c r="G1012" s="4">
        <v>35965</v>
      </c>
      <c r="H1012" s="4" t="s">
        <v>3712</v>
      </c>
      <c r="I1012" s="4">
        <v>144</v>
      </c>
      <c r="J1012" s="4" t="s">
        <v>23</v>
      </c>
      <c r="K1012" s="4" t="s">
        <v>24</v>
      </c>
      <c r="L1012" s="4">
        <v>20000000</v>
      </c>
      <c r="M1012" s="4">
        <v>2014</v>
      </c>
      <c r="N1012" s="4">
        <v>4.9000000000000004</v>
      </c>
      <c r="O1012" s="4">
        <f ca="1">IFERROR(__xludf.DUMMYFUNCTION("IF(Cost_in_dollars!E1012=""USD"",Cost_in_dollars!B1012,Cost_in_dollars!B1012 * GOOGLEFINANCE(""CURRENCY:"" &amp; Cost_in_dollars!E1012 &amp; ""USD""))
"),20000000)</f>
        <v>20000000</v>
      </c>
      <c r="P1012" s="4">
        <f ca="1">IFERROR(__xludf.DUMMYFUNCTION("IF(Cost_in_dollars!E1012=""USD"",Cost_in_dollars!C1012,Cost_in_dollars!C1012 * GOOGLEFINANCE(""CURRENCY:"" &amp; Cost_in_dollars!E1012 &amp; ""USD""))
"),84518155)</f>
        <v>84518155</v>
      </c>
      <c r="Q1012" s="4">
        <f t="shared" ca="1" si="18"/>
        <v>64518155</v>
      </c>
      <c r="R1012" s="5" t="str">
        <f t="shared" si="19"/>
        <v>Tammy</v>
      </c>
      <c r="S1012" s="43" t="str">
        <f t="shared" si="23"/>
        <v>Comedy</v>
      </c>
    </row>
    <row r="1013" spans="1:19" ht="15.75" customHeight="1" x14ac:dyDescent="0.25">
      <c r="A1013" s="6" t="s">
        <v>3713</v>
      </c>
      <c r="B1013" s="6">
        <v>141</v>
      </c>
      <c r="C1013" s="6">
        <v>89296573</v>
      </c>
      <c r="D1013" s="6" t="s">
        <v>304</v>
      </c>
      <c r="E1013" s="6" t="s">
        <v>3714</v>
      </c>
      <c r="F1013" s="6" t="s">
        <v>3715</v>
      </c>
      <c r="G1013" s="6">
        <v>128285</v>
      </c>
      <c r="H1013" s="6" t="s">
        <v>3716</v>
      </c>
      <c r="I1013" s="6">
        <v>297</v>
      </c>
      <c r="J1013" s="6" t="s">
        <v>23</v>
      </c>
      <c r="K1013" s="6" t="s">
        <v>24</v>
      </c>
      <c r="L1013" s="6">
        <v>100000000</v>
      </c>
      <c r="M1013" s="6">
        <v>2000</v>
      </c>
      <c r="N1013" s="6">
        <v>7.3</v>
      </c>
      <c r="O1013" s="4">
        <f ca="1">IFERROR(__xludf.DUMMYFUNCTION("IF(Cost_in_dollars!E1013=""USD"",Cost_in_dollars!B1013,Cost_in_dollars!B1013 * GOOGLEFINANCE(""CURRENCY:"" &amp; Cost_in_dollars!E1013 &amp; ""USD""))
"),100000000)</f>
        <v>100000000</v>
      </c>
      <c r="P1013" s="4">
        <f ca="1">IFERROR(__xludf.DUMMYFUNCTION("IF(Cost_in_dollars!E1013=""USD"",Cost_in_dollars!C1013,Cost_in_dollars!C1013 * GOOGLEFINANCE(""CURRENCY:"" &amp; Cost_in_dollars!E1013 &amp; ""USD""))
"),89296573)</f>
        <v>89296573</v>
      </c>
      <c r="Q1013" s="6">
        <f t="shared" ca="1" si="18"/>
        <v>-10703427</v>
      </c>
      <c r="R1013" s="7" t="str">
        <f t="shared" si="19"/>
        <v>The Emperor's New Groove</v>
      </c>
      <c r="S1013" s="43" t="str">
        <f t="shared" si="23"/>
        <v>Adventure</v>
      </c>
    </row>
    <row r="1014" spans="1:19" ht="15.75" customHeight="1" x14ac:dyDescent="0.25">
      <c r="A1014" s="4" t="s">
        <v>2638</v>
      </c>
      <c r="B1014" s="4">
        <v>279</v>
      </c>
      <c r="C1014" s="4">
        <v>79948113</v>
      </c>
      <c r="D1014" s="4" t="s">
        <v>1608</v>
      </c>
      <c r="E1014" s="4" t="s">
        <v>461</v>
      </c>
      <c r="F1014" s="4" t="s">
        <v>3717</v>
      </c>
      <c r="G1014" s="4">
        <v>186879</v>
      </c>
      <c r="H1014" s="4" t="s">
        <v>3718</v>
      </c>
      <c r="I1014" s="4">
        <v>791</v>
      </c>
      <c r="J1014" s="4" t="s">
        <v>23</v>
      </c>
      <c r="K1014" s="4" t="s">
        <v>24</v>
      </c>
      <c r="L1014" s="4">
        <v>50000000</v>
      </c>
      <c r="M1014" s="4">
        <v>2009</v>
      </c>
      <c r="N1014" s="4">
        <v>6.2</v>
      </c>
      <c r="O1014" s="4">
        <f ca="1">IFERROR(__xludf.DUMMYFUNCTION("IF(Cost_in_dollars!E1014=""USD"",Cost_in_dollars!B1014,Cost_in_dollars!B1014 * GOOGLEFINANCE(""CURRENCY:"" &amp; Cost_in_dollars!E1014 &amp; ""USD""))
"),50000000)</f>
        <v>50000000</v>
      </c>
      <c r="P1014" s="4">
        <f ca="1">IFERROR(__xludf.DUMMYFUNCTION("IF(Cost_in_dollars!E1014=""USD"",Cost_in_dollars!C1014,Cost_in_dollars!C1014 * GOOGLEFINANCE(""CURRENCY:"" &amp; Cost_in_dollars!E1014 &amp; ""USD""))
"),79948113)</f>
        <v>79948113</v>
      </c>
      <c r="Q1014" s="4">
        <f t="shared" ca="1" si="18"/>
        <v>29948113</v>
      </c>
      <c r="R1014" s="5" t="str">
        <f t="shared" si="19"/>
        <v>Knowing</v>
      </c>
      <c r="S1014" s="43" t="str">
        <f t="shared" si="23"/>
        <v>Drama</v>
      </c>
    </row>
    <row r="1015" spans="1:19" ht="15.75" customHeight="1" x14ac:dyDescent="0.25">
      <c r="A1015" s="6" t="s">
        <v>555</v>
      </c>
      <c r="B1015" s="6">
        <v>109</v>
      </c>
      <c r="C1015" s="6">
        <v>153620822</v>
      </c>
      <c r="D1015" s="6" t="s">
        <v>1041</v>
      </c>
      <c r="E1015" s="6" t="s">
        <v>223</v>
      </c>
      <c r="F1015" s="6" t="s">
        <v>3719</v>
      </c>
      <c r="G1015" s="6">
        <v>189923</v>
      </c>
      <c r="H1015" s="6" t="s">
        <v>3720</v>
      </c>
      <c r="I1015" s="6">
        <v>318</v>
      </c>
      <c r="J1015" s="6" t="s">
        <v>23</v>
      </c>
      <c r="K1015" s="6" t="s">
        <v>24</v>
      </c>
      <c r="L1015" s="6">
        <v>50000000</v>
      </c>
      <c r="M1015" s="6">
        <v>1996</v>
      </c>
      <c r="N1015" s="6">
        <v>7.3</v>
      </c>
      <c r="O1015" s="4">
        <f ca="1">IFERROR(__xludf.DUMMYFUNCTION("IF(Cost_in_dollars!E1015=""USD"",Cost_in_dollars!B1015,Cost_in_dollars!B1015 * GOOGLEFINANCE(""CURRENCY:"" &amp; Cost_in_dollars!E1015 &amp; ""USD""))
"),50000000)</f>
        <v>50000000</v>
      </c>
      <c r="P1015" s="4">
        <f ca="1">IFERROR(__xludf.DUMMYFUNCTION("IF(Cost_in_dollars!E1015=""USD"",Cost_in_dollars!C1015,Cost_in_dollars!C1015 * GOOGLEFINANCE(""CURRENCY:"" &amp; Cost_in_dollars!E1015 &amp; ""USD""))
"),153620822)</f>
        <v>153620822</v>
      </c>
      <c r="Q1015" s="6">
        <f t="shared" ca="1" si="18"/>
        <v>103620822</v>
      </c>
      <c r="R1015" s="7" t="str">
        <f t="shared" si="19"/>
        <v>Jerry Maguire</v>
      </c>
      <c r="S1015" s="43" t="str">
        <f t="shared" si="23"/>
        <v>Comedy</v>
      </c>
    </row>
    <row r="1016" spans="1:19" ht="15.75" customHeight="1" x14ac:dyDescent="0.25">
      <c r="A1016" s="4" t="s">
        <v>3721</v>
      </c>
      <c r="B1016" s="4">
        <v>50</v>
      </c>
      <c r="C1016" s="4">
        <v>20380</v>
      </c>
      <c r="D1016" s="4" t="s">
        <v>3722</v>
      </c>
      <c r="E1016" s="4" t="s">
        <v>3723</v>
      </c>
      <c r="F1016" s="4" t="s">
        <v>3724</v>
      </c>
      <c r="G1016" s="4">
        <v>7519</v>
      </c>
      <c r="H1016" s="4" t="s">
        <v>3725</v>
      </c>
      <c r="I1016" s="4">
        <v>39</v>
      </c>
      <c r="J1016" s="4" t="s">
        <v>23</v>
      </c>
      <c r="K1016" s="4" t="s">
        <v>24</v>
      </c>
      <c r="L1016" s="4">
        <v>15000000</v>
      </c>
      <c r="M1016" s="4">
        <v>2007</v>
      </c>
      <c r="N1016" s="4">
        <v>5.9</v>
      </c>
      <c r="O1016" s="4">
        <f ca="1">IFERROR(__xludf.DUMMYFUNCTION("IF(Cost_in_dollars!E1016=""USD"",Cost_in_dollars!B1016,Cost_in_dollars!B1016 * GOOGLEFINANCE(""CURRENCY:"" &amp; Cost_in_dollars!E1016 &amp; ""USD""))
"),15000000)</f>
        <v>15000000</v>
      </c>
      <c r="P1016" s="4">
        <f ca="1">IFERROR(__xludf.DUMMYFUNCTION("IF(Cost_in_dollars!E1016=""USD"",Cost_in_dollars!C1016,Cost_in_dollars!C1016 * GOOGLEFINANCE(""CURRENCY:"" &amp; Cost_in_dollars!E1016 &amp; ""USD""))
"),20380)</f>
        <v>20380</v>
      </c>
      <c r="Q1016" s="4">
        <f t="shared" ca="1" si="18"/>
        <v>-14979620</v>
      </c>
      <c r="R1016" s="5" t="str">
        <f t="shared" si="19"/>
        <v>The Good Night</v>
      </c>
      <c r="S1016" s="43" t="str">
        <f t="shared" si="23"/>
        <v>Comedy</v>
      </c>
    </row>
    <row r="1017" spans="1:19" ht="15.75" customHeight="1" x14ac:dyDescent="0.25">
      <c r="A1017" s="6" t="s">
        <v>3726</v>
      </c>
      <c r="B1017" s="6">
        <v>535</v>
      </c>
      <c r="C1017" s="6">
        <v>13092000</v>
      </c>
      <c r="D1017" s="6" t="s">
        <v>421</v>
      </c>
      <c r="E1017" s="6" t="s">
        <v>881</v>
      </c>
      <c r="F1017" s="6" t="s">
        <v>3727</v>
      </c>
      <c r="G1017" s="6">
        <v>399138</v>
      </c>
      <c r="H1017" s="6" t="s">
        <v>3728</v>
      </c>
      <c r="I1017" s="6">
        <v>731</v>
      </c>
      <c r="J1017" s="6" t="s">
        <v>23</v>
      </c>
      <c r="K1017" s="6" t="s">
        <v>24</v>
      </c>
      <c r="L1017" s="6">
        <v>3300000</v>
      </c>
      <c r="M1017" s="6">
        <v>2014</v>
      </c>
      <c r="N1017" s="6">
        <v>8.5</v>
      </c>
      <c r="O1017" s="4">
        <f ca="1">IFERROR(__xludf.DUMMYFUNCTION("IF(Cost_in_dollars!E1017=""USD"",Cost_in_dollars!B1017,Cost_in_dollars!B1017 * GOOGLEFINANCE(""CURRENCY:"" &amp; Cost_in_dollars!E1017 &amp; ""USD""))
"),3300000)</f>
        <v>3300000</v>
      </c>
      <c r="P1017" s="4">
        <f ca="1">IFERROR(__xludf.DUMMYFUNCTION("IF(Cost_in_dollars!E1017=""USD"",Cost_in_dollars!C1017,Cost_in_dollars!C1017 * GOOGLEFINANCE(""CURRENCY:"" &amp; Cost_in_dollars!E1017 &amp; ""USD""))
"),13092000)</f>
        <v>13092000</v>
      </c>
      <c r="Q1017" s="6">
        <f t="shared" ca="1" si="18"/>
        <v>9792000</v>
      </c>
      <c r="R1017" s="7" t="str">
        <f t="shared" si="19"/>
        <v>Whiplash</v>
      </c>
      <c r="S1017" s="43" t="str">
        <f t="shared" si="23"/>
        <v>Drama</v>
      </c>
    </row>
    <row r="1018" spans="1:19" ht="15.75" customHeight="1" x14ac:dyDescent="0.25">
      <c r="A1018" s="4" t="s">
        <v>3729</v>
      </c>
      <c r="B1018" s="4">
        <v>252</v>
      </c>
      <c r="C1018" s="4">
        <v>17544812</v>
      </c>
      <c r="D1018" s="4" t="s">
        <v>151</v>
      </c>
      <c r="E1018" s="4" t="s">
        <v>3730</v>
      </c>
      <c r="F1018" s="4" t="s">
        <v>3731</v>
      </c>
      <c r="G1018" s="4">
        <v>69989</v>
      </c>
      <c r="H1018" s="4" t="s">
        <v>3732</v>
      </c>
      <c r="I1018" s="4">
        <v>384</v>
      </c>
      <c r="J1018" s="4" t="s">
        <v>23</v>
      </c>
      <c r="K1018" s="4" t="s">
        <v>24</v>
      </c>
      <c r="L1018" s="4">
        <v>10000000</v>
      </c>
      <c r="M1018" s="4">
        <v>2007</v>
      </c>
      <c r="N1018" s="4">
        <v>5.4</v>
      </c>
      <c r="O1018" s="4">
        <f ca="1">IFERROR(__xludf.DUMMYFUNCTION("IF(Cost_in_dollars!E1018=""USD"",Cost_in_dollars!B1018,Cost_in_dollars!B1018 * GOOGLEFINANCE(""CURRENCY:"" &amp; Cost_in_dollars!E1018 &amp; ""USD""))
"),10000000)</f>
        <v>10000000</v>
      </c>
      <c r="P1018" s="4">
        <f ca="1">IFERROR(__xludf.DUMMYFUNCTION("IF(Cost_in_dollars!E1018=""USD"",Cost_in_dollars!C1018,Cost_in_dollars!C1018 * GOOGLEFINANCE(""CURRENCY:"" &amp; Cost_in_dollars!E1018 &amp; ""USD""))
"),17544812)</f>
        <v>17544812</v>
      </c>
      <c r="Q1018" s="4">
        <f t="shared" ca="1" si="18"/>
        <v>7544812</v>
      </c>
      <c r="R1018" s="5" t="str">
        <f t="shared" si="19"/>
        <v>Hostel: Part II</v>
      </c>
      <c r="S1018" s="43" t="str">
        <f t="shared" si="23"/>
        <v>Horror</v>
      </c>
    </row>
    <row r="1019" spans="1:19" ht="15.75" customHeight="1" x14ac:dyDescent="0.25">
      <c r="A1019" s="6" t="s">
        <v>3733</v>
      </c>
      <c r="B1019" s="6">
        <v>98</v>
      </c>
      <c r="C1019" s="6">
        <v>44606335</v>
      </c>
      <c r="D1019" s="6" t="s">
        <v>3272</v>
      </c>
      <c r="E1019" s="6" t="s">
        <v>240</v>
      </c>
      <c r="F1019" s="6" t="s">
        <v>3734</v>
      </c>
      <c r="G1019" s="6">
        <v>169023</v>
      </c>
      <c r="H1019" s="6" t="s">
        <v>3735</v>
      </c>
      <c r="I1019" s="6">
        <v>703</v>
      </c>
      <c r="J1019" s="6" t="s">
        <v>23</v>
      </c>
      <c r="K1019" s="6" t="s">
        <v>24</v>
      </c>
      <c r="L1019" s="6">
        <v>90000000</v>
      </c>
      <c r="M1019" s="6">
        <v>1998</v>
      </c>
      <c r="N1019" s="6">
        <v>7.1</v>
      </c>
      <c r="O1019" s="4">
        <f ca="1">IFERROR(__xludf.DUMMYFUNCTION("IF(Cost_in_dollars!E1019=""USD"",Cost_in_dollars!B1019,Cost_in_dollars!B1019 * GOOGLEFINANCE(""CURRENCY:"" &amp; Cost_in_dollars!E1019 &amp; ""USD""))
"),90000000)</f>
        <v>90000000</v>
      </c>
      <c r="P1019" s="4">
        <f ca="1">IFERROR(__xludf.DUMMYFUNCTION("IF(Cost_in_dollars!E1019=""USD"",Cost_in_dollars!C1019,Cost_in_dollars!C1019 * GOOGLEFINANCE(""CURRENCY:"" &amp; Cost_in_dollars!E1019 &amp; ""USD""))
"),44606335)</f>
        <v>44606335</v>
      </c>
      <c r="Q1019" s="6">
        <f t="shared" ca="1" si="18"/>
        <v>-45393665</v>
      </c>
      <c r="R1019" s="7" t="str">
        <f t="shared" si="19"/>
        <v>Meet Joe Black</v>
      </c>
      <c r="S1019" s="43" t="str">
        <f t="shared" si="23"/>
        <v>Drama</v>
      </c>
    </row>
    <row r="1020" spans="1:19" ht="15.75" customHeight="1" x14ac:dyDescent="0.25">
      <c r="A1020" s="4" t="s">
        <v>2368</v>
      </c>
      <c r="B1020" s="4">
        <v>263</v>
      </c>
      <c r="C1020" s="4">
        <v>129995817</v>
      </c>
      <c r="D1020" s="4" t="s">
        <v>1324</v>
      </c>
      <c r="E1020" s="4" t="s">
        <v>780</v>
      </c>
      <c r="F1020" s="4" t="s">
        <v>3736</v>
      </c>
      <c r="G1020" s="4">
        <v>154621</v>
      </c>
      <c r="H1020" s="4" t="s">
        <v>3737</v>
      </c>
      <c r="I1020" s="4">
        <v>258</v>
      </c>
      <c r="J1020" s="4" t="s">
        <v>23</v>
      </c>
      <c r="K1020" s="4" t="s">
        <v>24</v>
      </c>
      <c r="L1020" s="4">
        <v>110000000</v>
      </c>
      <c r="M1020" s="4">
        <v>2015</v>
      </c>
      <c r="N1020" s="4">
        <v>6.3</v>
      </c>
      <c r="O1020" s="4">
        <f ca="1">IFERROR(__xludf.DUMMYFUNCTION("IF(Cost_in_dollars!E1020=""USD"",Cost_in_dollars!B1020,Cost_in_dollars!B1020 * GOOGLEFINANCE(""CURRENCY:"" &amp; Cost_in_dollars!E1020 &amp; ""USD""))
"),110000000)</f>
        <v>110000000</v>
      </c>
      <c r="P1020" s="4">
        <f ca="1">IFERROR(__xludf.DUMMYFUNCTION("IF(Cost_in_dollars!E1020=""USD"",Cost_in_dollars!C1020,Cost_in_dollars!C1020 * GOOGLEFINANCE(""CURRENCY:"" &amp; Cost_in_dollars!E1020 &amp; ""USD""))
"),129995817)</f>
        <v>129995817</v>
      </c>
      <c r="Q1020" s="4">
        <f t="shared" ca="1" si="18"/>
        <v>19995817</v>
      </c>
      <c r="R1020" s="5" t="str">
        <f t="shared" si="19"/>
        <v>Insurgent</v>
      </c>
      <c r="S1020" s="43" t="str">
        <f t="shared" si="23"/>
        <v>Adventure</v>
      </c>
    </row>
    <row r="1021" spans="1:19" ht="15.75" customHeight="1" x14ac:dyDescent="0.25">
      <c r="A1021" s="6" t="s">
        <v>3738</v>
      </c>
      <c r="B1021" s="6">
        <v>119</v>
      </c>
      <c r="C1021" s="6">
        <v>66950483</v>
      </c>
      <c r="D1021" s="6" t="s">
        <v>860</v>
      </c>
      <c r="E1021" s="6" t="s">
        <v>2563</v>
      </c>
      <c r="F1021" s="6" t="s">
        <v>3739</v>
      </c>
      <c r="G1021" s="6">
        <v>29738</v>
      </c>
      <c r="H1021" s="6" t="s">
        <v>3740</v>
      </c>
      <c r="I1021" s="6">
        <v>85</v>
      </c>
      <c r="J1021" s="6" t="s">
        <v>23</v>
      </c>
      <c r="K1021" s="6" t="s">
        <v>24</v>
      </c>
      <c r="L1021" s="6">
        <v>28000000</v>
      </c>
      <c r="M1021" s="6">
        <v>2014</v>
      </c>
      <c r="N1021" s="6">
        <v>6.2</v>
      </c>
      <c r="O1021" s="4">
        <f ca="1">IFERROR(__xludf.DUMMYFUNCTION("IF(Cost_in_dollars!E1021=""USD"",Cost_in_dollars!B1021,Cost_in_dollars!B1021 * GOOGLEFINANCE(""CURRENCY:"" &amp; Cost_in_dollars!E1021 &amp; ""USD""))
"),28000000)</f>
        <v>28000000</v>
      </c>
      <c r="P1021" s="4">
        <f ca="1">IFERROR(__xludf.DUMMYFUNCTION("IF(Cost_in_dollars!E1021=""USD"",Cost_in_dollars!C1021,Cost_in_dollars!C1021 * GOOGLEFINANCE(""CURRENCY:"" &amp; Cost_in_dollars!E1021 &amp; ""USD""))
"),66950483)</f>
        <v>66950483</v>
      </c>
      <c r="Q1021" s="6">
        <f t="shared" ca="1" si="18"/>
        <v>38950483</v>
      </c>
      <c r="R1021" s="7" t="str">
        <f t="shared" si="19"/>
        <v>Alexander and the Terrible, Horrible, No Good, Very Bad Day</v>
      </c>
      <c r="S1021" s="43" t="str">
        <f t="shared" si="23"/>
        <v>Comedy</v>
      </c>
    </row>
    <row r="1022" spans="1:19" ht="15.75" customHeight="1" x14ac:dyDescent="0.25">
      <c r="A1022" s="4" t="s">
        <v>3741</v>
      </c>
      <c r="B1022" s="4">
        <v>21</v>
      </c>
      <c r="C1022" s="4">
        <v>5005</v>
      </c>
      <c r="D1022" s="4" t="s">
        <v>102</v>
      </c>
      <c r="E1022" s="4" t="s">
        <v>3742</v>
      </c>
      <c r="F1022" s="4" t="s">
        <v>3743</v>
      </c>
      <c r="G1022" s="4">
        <v>2280</v>
      </c>
      <c r="H1022" s="4" t="s">
        <v>3744</v>
      </c>
      <c r="I1022" s="4">
        <v>14</v>
      </c>
      <c r="J1022" s="4" t="s">
        <v>23</v>
      </c>
      <c r="K1022" s="4" t="s">
        <v>24</v>
      </c>
      <c r="L1022" s="4">
        <v>3000000</v>
      </c>
      <c r="M1022" s="4">
        <v>2009</v>
      </c>
      <c r="N1022" s="4">
        <v>5.9</v>
      </c>
      <c r="O1022" s="4">
        <f ca="1">IFERROR(__xludf.DUMMYFUNCTION("IF(Cost_in_dollars!E1022=""USD"",Cost_in_dollars!B1022,Cost_in_dollars!B1022 * GOOGLEFINANCE(""CURRENCY:"" &amp; Cost_in_dollars!E1022 &amp; ""USD""))
"),3000000)</f>
        <v>3000000</v>
      </c>
      <c r="P1022" s="4">
        <f ca="1">IFERROR(__xludf.DUMMYFUNCTION("IF(Cost_in_dollars!E1022=""USD"",Cost_in_dollars!C1022,Cost_in_dollars!C1022 * GOOGLEFINANCE(""CURRENCY:"" &amp; Cost_in_dollars!E1022 &amp; ""USD""))
"),5005)</f>
        <v>5005</v>
      </c>
      <c r="Q1022" s="4">
        <f t="shared" ref="Q1022:Q1276" ca="1" si="24">P1022-O1022</f>
        <v>-2994995</v>
      </c>
      <c r="R1022" s="5" t="str">
        <f t="shared" ref="R1022:R1276" si="25">LEFT(F1022,LEN(F1022)-2)</f>
        <v>Tanner Hall</v>
      </c>
      <c r="S1022" s="43" t="str">
        <f t="shared" si="23"/>
        <v>Drama</v>
      </c>
    </row>
    <row r="1023" spans="1:19" ht="15.75" customHeight="1" x14ac:dyDescent="0.25">
      <c r="A1023" s="6" t="s">
        <v>3745</v>
      </c>
      <c r="B1023" s="6">
        <v>38</v>
      </c>
      <c r="C1023" s="6">
        <v>860002</v>
      </c>
      <c r="D1023" s="6" t="s">
        <v>1691</v>
      </c>
      <c r="E1023" s="6" t="s">
        <v>3746</v>
      </c>
      <c r="F1023" s="6" t="s">
        <v>3747</v>
      </c>
      <c r="G1023" s="6">
        <v>6454</v>
      </c>
      <c r="H1023" s="6" t="s">
        <v>3748</v>
      </c>
      <c r="I1023" s="6">
        <v>43</v>
      </c>
      <c r="J1023" s="6" t="s">
        <v>23</v>
      </c>
      <c r="K1023" s="6" t="s">
        <v>24</v>
      </c>
      <c r="L1023" s="6">
        <v>12000000</v>
      </c>
      <c r="M1023" s="6">
        <v>2005</v>
      </c>
      <c r="N1023" s="6">
        <v>7.3</v>
      </c>
      <c r="O1023" s="4">
        <f ca="1">IFERROR(__xludf.DUMMYFUNCTION("IF(Cost_in_dollars!E1023=""USD"",Cost_in_dollars!B1023,Cost_in_dollars!B1023 * GOOGLEFINANCE(""CURRENCY:"" &amp; Cost_in_dollars!E1023 &amp; ""USD""))
"),12000000)</f>
        <v>12000000</v>
      </c>
      <c r="P1023" s="4">
        <f ca="1">IFERROR(__xludf.DUMMYFUNCTION("IF(Cost_in_dollars!E1023=""USD"",Cost_in_dollars!C1023,Cost_in_dollars!C1023 * GOOGLEFINANCE(""CURRENCY:"" &amp; Cost_in_dollars!E1023 &amp; ""USD""))
"),860002)</f>
        <v>860002</v>
      </c>
      <c r="Q1023" s="6">
        <f t="shared" ca="1" si="24"/>
        <v>-11139998</v>
      </c>
      <c r="R1023" s="7" t="str">
        <f t="shared" si="25"/>
        <v>Duma</v>
      </c>
      <c r="S1023" s="43" t="str">
        <f t="shared" si="23"/>
        <v>Adventure</v>
      </c>
    </row>
    <row r="1024" spans="1:19" ht="15.75" customHeight="1" x14ac:dyDescent="0.25">
      <c r="A1024" s="4" t="s">
        <v>3749</v>
      </c>
      <c r="B1024" s="4">
        <v>220</v>
      </c>
      <c r="C1024" s="4">
        <v>64255243</v>
      </c>
      <c r="D1024" s="4" t="s">
        <v>2396</v>
      </c>
      <c r="E1024" s="4" t="s">
        <v>469</v>
      </c>
      <c r="F1024" s="4" t="s">
        <v>3750</v>
      </c>
      <c r="G1024" s="4">
        <v>80903</v>
      </c>
      <c r="H1024" s="4" t="s">
        <v>3751</v>
      </c>
      <c r="I1024" s="4">
        <v>518</v>
      </c>
      <c r="J1024" s="4" t="s">
        <v>23</v>
      </c>
      <c r="K1024" s="4" t="s">
        <v>24</v>
      </c>
      <c r="L1024" s="4">
        <v>19000000</v>
      </c>
      <c r="M1024" s="4">
        <v>2005</v>
      </c>
      <c r="N1024" s="4">
        <v>6</v>
      </c>
      <c r="O1024" s="4">
        <f ca="1">IFERROR(__xludf.DUMMYFUNCTION("IF(Cost_in_dollars!E1024=""USD"",Cost_in_dollars!B1024,Cost_in_dollars!B1024 * GOOGLEFINANCE(""CURRENCY:"" &amp; Cost_in_dollars!E1024 &amp; ""USD""))
"),19000000)</f>
        <v>19000000</v>
      </c>
      <c r="P1024" s="4">
        <f ca="1">IFERROR(__xludf.DUMMYFUNCTION("IF(Cost_in_dollars!E1024=""USD"",Cost_in_dollars!C1024,Cost_in_dollars!C1024 * GOOGLEFINANCE(""CURRENCY:"" &amp; Cost_in_dollars!E1024 &amp; ""USD""))
"),64255243)</f>
        <v>64255243</v>
      </c>
      <c r="Q1024" s="4">
        <f t="shared" ca="1" si="24"/>
        <v>45255243</v>
      </c>
      <c r="R1024" s="5" t="str">
        <f t="shared" si="25"/>
        <v>The Amityville Horror</v>
      </c>
      <c r="S1024" s="43" t="str">
        <f t="shared" si="23"/>
        <v>Drama</v>
      </c>
    </row>
    <row r="1025" spans="1:19" ht="15.75" customHeight="1" x14ac:dyDescent="0.25">
      <c r="A1025" s="6" t="s">
        <v>3752</v>
      </c>
      <c r="B1025" s="6">
        <v>81</v>
      </c>
      <c r="C1025" s="6">
        <v>50189179</v>
      </c>
      <c r="D1025" s="6" t="s">
        <v>1719</v>
      </c>
      <c r="E1025" s="6" t="s">
        <v>3753</v>
      </c>
      <c r="F1025" s="6" t="s">
        <v>3754</v>
      </c>
      <c r="G1025" s="6">
        <v>61966</v>
      </c>
      <c r="H1025" s="6" t="s">
        <v>3755</v>
      </c>
      <c r="I1025" s="6">
        <v>207</v>
      </c>
      <c r="J1025" s="6" t="s">
        <v>23</v>
      </c>
      <c r="K1025" s="6" t="s">
        <v>24</v>
      </c>
      <c r="L1025" s="6">
        <v>60000000</v>
      </c>
      <c r="M1025" s="6">
        <v>2002</v>
      </c>
      <c r="N1025" s="6">
        <v>5.3</v>
      </c>
      <c r="O1025" s="4">
        <f ca="1">IFERROR(__xludf.DUMMYFUNCTION("IF(Cost_in_dollars!E1025=""USD"",Cost_in_dollars!B1025,Cost_in_dollars!B1025 * GOOGLEFINANCE(""CURRENCY:"" &amp; Cost_in_dollars!E1025 &amp; ""USD""))
"),60000000)</f>
        <v>60000000</v>
      </c>
      <c r="P1025" s="4">
        <f ca="1">IFERROR(__xludf.DUMMYFUNCTION("IF(Cost_in_dollars!E1025=""USD"",Cost_in_dollars!C1025,Cost_in_dollars!C1025 * GOOGLEFINANCE(""CURRENCY:"" &amp; Cost_in_dollars!E1025 &amp; ""USD""))
"),50189179)</f>
        <v>50189179</v>
      </c>
      <c r="Q1025" s="6">
        <f t="shared" ca="1" si="24"/>
        <v>-9810821</v>
      </c>
      <c r="R1025" s="7" t="str">
        <f t="shared" si="25"/>
        <v>The Tuxedo</v>
      </c>
      <c r="S1025" s="43" t="str">
        <f t="shared" si="23"/>
        <v>Action</v>
      </c>
    </row>
    <row r="1026" spans="1:19" ht="15.75" customHeight="1" x14ac:dyDescent="0.25">
      <c r="A1026" s="4" t="s">
        <v>2288</v>
      </c>
      <c r="B1026" s="4">
        <v>166</v>
      </c>
      <c r="C1026" s="4">
        <v>191796233</v>
      </c>
      <c r="D1026" s="4" t="s">
        <v>304</v>
      </c>
      <c r="E1026" s="4" t="s">
        <v>464</v>
      </c>
      <c r="F1026" s="4" t="s">
        <v>3756</v>
      </c>
      <c r="G1026" s="4">
        <v>623757</v>
      </c>
      <c r="H1026" s="4" t="s">
        <v>3757</v>
      </c>
      <c r="I1026" s="4">
        <v>391</v>
      </c>
      <c r="J1026" s="4" t="s">
        <v>23</v>
      </c>
      <c r="K1026" s="4" t="s">
        <v>24</v>
      </c>
      <c r="L1026" s="4">
        <v>30000000</v>
      </c>
      <c r="M1026" s="4">
        <v>1995</v>
      </c>
      <c r="N1026" s="4">
        <v>8.3000000000000007</v>
      </c>
      <c r="O1026" s="4">
        <f ca="1">IFERROR(__xludf.DUMMYFUNCTION("IF(Cost_in_dollars!E1026=""USD"",Cost_in_dollars!B1026,Cost_in_dollars!B1026 * GOOGLEFINANCE(""CURRENCY:"" &amp; Cost_in_dollars!E1026 &amp; ""USD""))
"),30000000)</f>
        <v>30000000</v>
      </c>
      <c r="P1026" s="4">
        <f ca="1">IFERROR(__xludf.DUMMYFUNCTION("IF(Cost_in_dollars!E1026=""USD"",Cost_in_dollars!C1026,Cost_in_dollars!C1026 * GOOGLEFINANCE(""CURRENCY:"" &amp; Cost_in_dollars!E1026 &amp; ""USD""))
"),191796233)</f>
        <v>191796233</v>
      </c>
      <c r="Q1026" s="4">
        <f t="shared" ca="1" si="24"/>
        <v>161796233</v>
      </c>
      <c r="R1026" s="5" t="str">
        <f t="shared" si="25"/>
        <v>Toy Story</v>
      </c>
      <c r="S1026" s="43" t="str">
        <f t="shared" ref="S1026:S1089" si="26">IF(ISNUMBER(FIND("|", D1026)), LEFT(D1026, FIND("|", D1026) - 1), D1026)</f>
        <v>Adventure</v>
      </c>
    </row>
    <row r="1027" spans="1:19" ht="15.75" customHeight="1" x14ac:dyDescent="0.25">
      <c r="A1027" s="6" t="s">
        <v>3758</v>
      </c>
      <c r="B1027" s="6">
        <v>25</v>
      </c>
      <c r="C1027" s="6">
        <v>10696</v>
      </c>
      <c r="D1027" s="6" t="s">
        <v>319</v>
      </c>
      <c r="E1027" s="6" t="s">
        <v>3759</v>
      </c>
      <c r="F1027" s="6" t="s">
        <v>3760</v>
      </c>
      <c r="G1027" s="6">
        <v>10771</v>
      </c>
      <c r="H1027" s="6" t="s">
        <v>3761</v>
      </c>
      <c r="I1027" s="6">
        <v>65</v>
      </c>
      <c r="J1027" s="6" t="s">
        <v>23</v>
      </c>
      <c r="K1027" s="6" t="s">
        <v>24</v>
      </c>
      <c r="L1027" s="6">
        <v>6800000</v>
      </c>
      <c r="M1027" s="6">
        <v>2003</v>
      </c>
      <c r="N1027" s="6">
        <v>6.4</v>
      </c>
      <c r="O1027" s="4">
        <f ca="1">IFERROR(__xludf.DUMMYFUNCTION("IF(Cost_in_dollars!E1027=""USD"",Cost_in_dollars!B1027,Cost_in_dollars!B1027 * GOOGLEFINANCE(""CURRENCY:"" &amp; Cost_in_dollars!E1027 &amp; ""USD""))
"),6800000)</f>
        <v>6800000</v>
      </c>
      <c r="P1027" s="4">
        <f ca="1">IFERROR(__xludf.DUMMYFUNCTION("IF(Cost_in_dollars!E1027=""USD"",Cost_in_dollars!C1027,Cost_in_dollars!C1027 * GOOGLEFINANCE(""CURRENCY:"" &amp; Cost_in_dollars!E1027 &amp; ""USD""))
"),10696)</f>
        <v>10696</v>
      </c>
      <c r="Q1027" s="6">
        <f t="shared" ca="1" si="24"/>
        <v>-6789304</v>
      </c>
      <c r="R1027" s="7" t="str">
        <f t="shared" si="25"/>
        <v>Shade</v>
      </c>
      <c r="S1027" s="43" t="str">
        <f t="shared" si="26"/>
        <v>Crime</v>
      </c>
    </row>
    <row r="1028" spans="1:19" ht="15.75" customHeight="1" x14ac:dyDescent="0.25">
      <c r="A1028" s="4" t="s">
        <v>3762</v>
      </c>
      <c r="B1028" s="4">
        <v>750</v>
      </c>
      <c r="C1028" s="4">
        <v>304360277</v>
      </c>
      <c r="D1028" s="4" t="s">
        <v>477</v>
      </c>
      <c r="E1028" s="4" t="s">
        <v>3763</v>
      </c>
      <c r="F1028" s="4" t="s">
        <v>3764</v>
      </c>
      <c r="G1028" s="4">
        <v>522030</v>
      </c>
      <c r="H1028" s="4" t="s">
        <v>3765</v>
      </c>
      <c r="I1028" s="4">
        <v>1498</v>
      </c>
      <c r="J1028" s="4" t="s">
        <v>23</v>
      </c>
      <c r="K1028" s="4" t="s">
        <v>133</v>
      </c>
      <c r="L1028" s="4">
        <v>200000000</v>
      </c>
      <c r="M1028" s="4">
        <v>2012</v>
      </c>
      <c r="N1028" s="4">
        <v>7.8</v>
      </c>
      <c r="O1028" s="4">
        <f ca="1">IFERROR(__xludf.DUMMYFUNCTION("IF(Cost_in_dollars!E1028=""USD"",Cost_in_dollars!B1028,Cost_in_dollars!B1028 * GOOGLEFINANCE(""CURRENCY:"" &amp; Cost_in_dollars!E1028 &amp; ""USD""))
"),257079999.999999)</f>
        <v>257079999.99999899</v>
      </c>
      <c r="P1028" s="4">
        <f ca="1">IFERROR(__xludf.DUMMYFUNCTION("IF(Cost_in_dollars!E1028=""USD"",Cost_in_dollars!C1028,Cost_in_dollars!C1028 * GOOGLEFINANCE(""CURRENCY:"" &amp; Cost_in_dollars!E1028 &amp; ""USD""))
"),391224700.055799)</f>
        <v>391224700.05579901</v>
      </c>
      <c r="Q1028" s="4">
        <f t="shared" ca="1" si="24"/>
        <v>134144700.05580002</v>
      </c>
      <c r="R1028" s="5" t="str">
        <f t="shared" si="25"/>
        <v>Skyfall</v>
      </c>
      <c r="S1028" s="43" t="str">
        <f t="shared" si="26"/>
        <v>Action</v>
      </c>
    </row>
    <row r="1029" spans="1:19" ht="15.75" customHeight="1" x14ac:dyDescent="0.25">
      <c r="A1029" s="6" t="s">
        <v>52</v>
      </c>
      <c r="B1029" s="6">
        <v>304</v>
      </c>
      <c r="C1029" s="6">
        <v>66207920</v>
      </c>
      <c r="D1029" s="6" t="s">
        <v>504</v>
      </c>
      <c r="E1029" s="6" t="s">
        <v>168</v>
      </c>
      <c r="F1029" s="6" t="s">
        <v>3766</v>
      </c>
      <c r="G1029" s="6">
        <v>512749</v>
      </c>
      <c r="H1029" s="6" t="s">
        <v>3767</v>
      </c>
      <c r="I1029" s="6">
        <v>935</v>
      </c>
      <c r="J1029" s="6" t="s">
        <v>23</v>
      </c>
      <c r="K1029" s="6" t="s">
        <v>24</v>
      </c>
      <c r="L1029" s="6">
        <v>30000000</v>
      </c>
      <c r="M1029" s="6">
        <v>2004</v>
      </c>
      <c r="N1029" s="6">
        <v>8</v>
      </c>
      <c r="O1029" s="4">
        <f ca="1">IFERROR(__xludf.DUMMYFUNCTION("IF(Cost_in_dollars!E1029=""USD"",Cost_in_dollars!B1029,Cost_in_dollars!B1029 * GOOGLEFINANCE(""CURRENCY:"" &amp; Cost_in_dollars!E1029 &amp; ""USD""))
"),30000000)</f>
        <v>30000000</v>
      </c>
      <c r="P1029" s="4">
        <f ca="1">IFERROR(__xludf.DUMMYFUNCTION("IF(Cost_in_dollars!E1029=""USD"",Cost_in_dollars!C1029,Cost_in_dollars!C1029 * GOOGLEFINANCE(""CURRENCY:"" &amp; Cost_in_dollars!E1029 &amp; ""USD""))
"),66207920)</f>
        <v>66207920</v>
      </c>
      <c r="Q1029" s="6">
        <f t="shared" ca="1" si="24"/>
        <v>36207920</v>
      </c>
      <c r="R1029" s="7" t="str">
        <f t="shared" si="25"/>
        <v>Kill Bill: Vol. 2</v>
      </c>
      <c r="S1029" s="43" t="str">
        <f t="shared" si="26"/>
        <v>Action</v>
      </c>
    </row>
    <row r="1030" spans="1:19" ht="15.75" customHeight="1" x14ac:dyDescent="0.25">
      <c r="A1030" s="4" t="s">
        <v>3768</v>
      </c>
      <c r="B1030" s="4">
        <v>41</v>
      </c>
      <c r="C1030" s="4">
        <v>1602466</v>
      </c>
      <c r="D1030" s="4" t="s">
        <v>3769</v>
      </c>
      <c r="E1030" s="4" t="s">
        <v>3770</v>
      </c>
      <c r="F1030" s="4" t="s">
        <v>3771</v>
      </c>
      <c r="G1030" s="4">
        <v>9673</v>
      </c>
      <c r="H1030" s="4" t="s">
        <v>3772</v>
      </c>
      <c r="I1030" s="4">
        <v>106</v>
      </c>
      <c r="J1030" s="4" t="s">
        <v>23</v>
      </c>
      <c r="K1030" s="4" t="s">
        <v>674</v>
      </c>
      <c r="L1030" s="4">
        <v>600000000</v>
      </c>
      <c r="M1030" s="4">
        <v>2010</v>
      </c>
      <c r="N1030" s="4">
        <v>6</v>
      </c>
      <c r="O1030" s="4">
        <f ca="1">IFERROR(__xludf.DUMMYFUNCTION("IF(Cost_in_dollars!E1030=""USD"",Cost_in_dollars!B1030,Cost_in_dollars!B1030 * GOOGLEFINANCE(""CURRENCY:"" &amp; Cost_in_dollars!E1030 &amp; ""USD""))
"),7164876)</f>
        <v>7164876</v>
      </c>
      <c r="P1030" s="4">
        <f ca="1">IFERROR(__xludf.DUMMYFUNCTION("IF(Cost_in_dollars!E1030=""USD"",Cost_in_dollars!C1030,Cost_in_dollars!C1030 * GOOGLEFINANCE(""CURRENCY:"" &amp; Cost_in_dollars!E1030 &amp; ""USD""))
"),19135.78364036)</f>
        <v>19135.783640360001</v>
      </c>
      <c r="Q1030" s="4">
        <f t="shared" ca="1" si="24"/>
        <v>-7145740.2163596395</v>
      </c>
      <c r="R1030" s="5" t="str">
        <f t="shared" si="25"/>
        <v>Kites</v>
      </c>
      <c r="S1030" s="43" t="str">
        <f t="shared" si="26"/>
        <v>Action</v>
      </c>
    </row>
    <row r="1031" spans="1:19" ht="15.75" customHeight="1" x14ac:dyDescent="0.25">
      <c r="A1031" s="6" t="s">
        <v>3773</v>
      </c>
      <c r="B1031" s="6">
        <v>181</v>
      </c>
      <c r="C1031" s="6">
        <v>25000000</v>
      </c>
      <c r="D1031" s="6" t="s">
        <v>2060</v>
      </c>
      <c r="E1031" s="6" t="s">
        <v>3774</v>
      </c>
      <c r="F1031" s="6" t="s">
        <v>3775</v>
      </c>
      <c r="G1031" s="6">
        <v>175196</v>
      </c>
      <c r="H1031" s="6" t="s">
        <v>3776</v>
      </c>
      <c r="I1031" s="6">
        <v>350</v>
      </c>
      <c r="J1031" s="6" t="s">
        <v>23</v>
      </c>
      <c r="K1031" s="6" t="s">
        <v>24</v>
      </c>
      <c r="L1031" s="6">
        <v>2883848</v>
      </c>
      <c r="M1031" s="6">
        <v>1959</v>
      </c>
      <c r="N1031" s="6">
        <v>8.3000000000000007</v>
      </c>
      <c r="O1031" s="4">
        <f ca="1">IFERROR(__xludf.DUMMYFUNCTION("IF(Cost_in_dollars!E1031=""USD"",Cost_in_dollars!B1031,Cost_in_dollars!B1031 * GOOGLEFINANCE(""CURRENCY:"" &amp; Cost_in_dollars!E1031 &amp; ""USD""))
"),2883848)</f>
        <v>2883848</v>
      </c>
      <c r="P1031" s="4">
        <f ca="1">IFERROR(__xludf.DUMMYFUNCTION("IF(Cost_in_dollars!E1031=""USD"",Cost_in_dollars!C1031,Cost_in_dollars!C1031 * GOOGLEFINANCE(""CURRENCY:"" &amp; Cost_in_dollars!E1031 &amp; ""USD""))
"),25000000)</f>
        <v>25000000</v>
      </c>
      <c r="Q1031" s="6">
        <f t="shared" ca="1" si="24"/>
        <v>22116152</v>
      </c>
      <c r="R1031" s="7" t="str">
        <f t="shared" si="25"/>
        <v>Some Like It Hot</v>
      </c>
      <c r="S1031" s="43" t="str">
        <f t="shared" si="26"/>
        <v>Comedy</v>
      </c>
    </row>
    <row r="1032" spans="1:19" ht="15.75" customHeight="1" x14ac:dyDescent="0.25">
      <c r="A1032" s="4" t="s">
        <v>1565</v>
      </c>
      <c r="B1032" s="4">
        <v>309</v>
      </c>
      <c r="C1032" s="4">
        <v>18656400</v>
      </c>
      <c r="D1032" s="4" t="s">
        <v>102</v>
      </c>
      <c r="E1032" s="4" t="s">
        <v>1982</v>
      </c>
      <c r="F1032" s="4" t="s">
        <v>3777</v>
      </c>
      <c r="G1032" s="4">
        <v>86077</v>
      </c>
      <c r="H1032" s="4" t="s">
        <v>3778</v>
      </c>
      <c r="I1032" s="4">
        <v>195</v>
      </c>
      <c r="J1032" s="4" t="s">
        <v>23</v>
      </c>
      <c r="K1032" s="4" t="s">
        <v>24</v>
      </c>
      <c r="L1032" s="4">
        <v>5000000</v>
      </c>
      <c r="M1032" s="4">
        <v>2014</v>
      </c>
      <c r="N1032" s="4">
        <v>7.5</v>
      </c>
      <c r="O1032" s="4">
        <f ca="1">IFERROR(__xludf.DUMMYFUNCTION("IF(Cost_in_dollars!E1032=""USD"",Cost_in_dollars!B1032,Cost_in_dollars!B1032 * GOOGLEFINANCE(""CURRENCY:"" &amp; Cost_in_dollars!E1032 &amp; ""USD""))
"),5000000)</f>
        <v>5000000</v>
      </c>
      <c r="P1032" s="4">
        <f ca="1">IFERROR(__xludf.DUMMYFUNCTION("IF(Cost_in_dollars!E1032=""USD"",Cost_in_dollars!C1032,Cost_in_dollars!C1032 * GOOGLEFINANCE(""CURRENCY:"" &amp; Cost_in_dollars!E1032 &amp; ""USD""))
"),18656400)</f>
        <v>18656400</v>
      </c>
      <c r="Q1032" s="4">
        <f t="shared" ca="1" si="24"/>
        <v>13656400</v>
      </c>
      <c r="R1032" s="5" t="str">
        <f t="shared" si="25"/>
        <v>Still Alice</v>
      </c>
      <c r="S1032" s="43" t="str">
        <f t="shared" si="26"/>
        <v>Drama</v>
      </c>
    </row>
    <row r="1033" spans="1:19" ht="15.75" customHeight="1" x14ac:dyDescent="0.25">
      <c r="A1033" s="6" t="s">
        <v>516</v>
      </c>
      <c r="B1033" s="6">
        <v>159</v>
      </c>
      <c r="C1033" s="6">
        <v>86049418</v>
      </c>
      <c r="D1033" s="6" t="s">
        <v>140</v>
      </c>
      <c r="E1033" s="6" t="s">
        <v>3386</v>
      </c>
      <c r="F1033" s="6" t="s">
        <v>3779</v>
      </c>
      <c r="G1033" s="6">
        <v>245989</v>
      </c>
      <c r="H1033" s="6" t="s">
        <v>3780</v>
      </c>
      <c r="I1033" s="6">
        <v>554</v>
      </c>
      <c r="J1033" s="6" t="s">
        <v>23</v>
      </c>
      <c r="K1033" s="6" t="s">
        <v>24</v>
      </c>
      <c r="L1033" s="6">
        <v>17000000</v>
      </c>
      <c r="M1033" s="6">
        <v>2004</v>
      </c>
      <c r="N1033" s="6">
        <v>7</v>
      </c>
      <c r="O1033" s="4">
        <f ca="1">IFERROR(__xludf.DUMMYFUNCTION("IF(Cost_in_dollars!E1033=""USD"",Cost_in_dollars!B1033,Cost_in_dollars!B1033 * GOOGLEFINANCE(""CURRENCY:"" &amp; Cost_in_dollars!E1033 &amp; ""USD""))
"),17000000)</f>
        <v>17000000</v>
      </c>
      <c r="P1033" s="4">
        <f ca="1">IFERROR(__xludf.DUMMYFUNCTION("IF(Cost_in_dollars!E1033=""USD"",Cost_in_dollars!C1033,Cost_in_dollars!C1033 * GOOGLEFINANCE(""CURRENCY:"" &amp; Cost_in_dollars!E1033 &amp; ""USD""))
"),86049418)</f>
        <v>86049418</v>
      </c>
      <c r="Q1033" s="6">
        <f t="shared" ca="1" si="24"/>
        <v>69049418</v>
      </c>
      <c r="R1033" s="7" t="str">
        <f t="shared" si="25"/>
        <v>Mean Girls</v>
      </c>
      <c r="S1033" s="43" t="str">
        <f t="shared" si="26"/>
        <v>Comedy</v>
      </c>
    </row>
    <row r="1034" spans="1:19" ht="15.75" customHeight="1" x14ac:dyDescent="0.25">
      <c r="A1034" s="4" t="s">
        <v>3781</v>
      </c>
      <c r="B1034" s="4">
        <v>44</v>
      </c>
      <c r="C1034" s="4">
        <v>11466088</v>
      </c>
      <c r="D1034" s="4" t="s">
        <v>1099</v>
      </c>
      <c r="E1034" s="4" t="s">
        <v>1986</v>
      </c>
      <c r="F1034" s="4" t="s">
        <v>3782</v>
      </c>
      <c r="G1034" s="4">
        <v>8983</v>
      </c>
      <c r="H1034" s="4" t="s">
        <v>3783</v>
      </c>
      <c r="I1034" s="4">
        <v>84</v>
      </c>
      <c r="J1034" s="4" t="s">
        <v>23</v>
      </c>
      <c r="K1034" s="4" t="s">
        <v>24</v>
      </c>
      <c r="L1034" s="4">
        <v>71000000</v>
      </c>
      <c r="M1034" s="4">
        <v>1997</v>
      </c>
      <c r="N1034" s="4">
        <v>4.7</v>
      </c>
      <c r="O1034" s="4">
        <f ca="1">IFERROR(__xludf.DUMMYFUNCTION("IF(Cost_in_dollars!E1034=""USD"",Cost_in_dollars!B1034,Cost_in_dollars!B1034 * GOOGLEFINANCE(""CURRENCY:"" &amp; Cost_in_dollars!E1034 &amp; ""USD""))
"),71000000)</f>
        <v>71000000</v>
      </c>
      <c r="P1034" s="4">
        <f ca="1">IFERROR(__xludf.DUMMYFUNCTION("IF(Cost_in_dollars!E1034=""USD"",Cost_in_dollars!C1034,Cost_in_dollars!C1034 * GOOGLEFINANCE(""CURRENCY:"" &amp; Cost_in_dollars!E1034 &amp; ""USD""))
"),11466088)</f>
        <v>11466088</v>
      </c>
      <c r="Q1034" s="4">
        <f t="shared" ca="1" si="24"/>
        <v>-59533912</v>
      </c>
      <c r="R1034" s="5" t="str">
        <f t="shared" si="25"/>
        <v>Turbulence</v>
      </c>
      <c r="S1034" s="43" t="str">
        <f t="shared" si="26"/>
        <v>Action</v>
      </c>
    </row>
    <row r="1035" spans="1:19" ht="15.75" customHeight="1" x14ac:dyDescent="0.25">
      <c r="A1035" s="6" t="s">
        <v>3784</v>
      </c>
      <c r="B1035" s="6">
        <v>84</v>
      </c>
      <c r="C1035" s="6">
        <v>16929123</v>
      </c>
      <c r="D1035" s="6" t="s">
        <v>235</v>
      </c>
      <c r="E1035" s="6" t="s">
        <v>954</v>
      </c>
      <c r="F1035" s="6" t="s">
        <v>3785</v>
      </c>
      <c r="G1035" s="6">
        <v>21406</v>
      </c>
      <c r="H1035" s="6" t="s">
        <v>3786</v>
      </c>
      <c r="I1035" s="6">
        <v>169</v>
      </c>
      <c r="J1035" s="6" t="s">
        <v>23</v>
      </c>
      <c r="K1035" s="6" t="s">
        <v>24</v>
      </c>
      <c r="L1035" s="6">
        <v>14000000</v>
      </c>
      <c r="M1035" s="6">
        <v>2001</v>
      </c>
      <c r="N1035" s="6">
        <v>6.5</v>
      </c>
      <c r="O1035" s="4">
        <f ca="1">IFERROR(__xludf.DUMMYFUNCTION("IF(Cost_in_dollars!E1035=""USD"",Cost_in_dollars!B1035,Cost_in_dollars!B1035 * GOOGLEFINANCE(""CURRENCY:"" &amp; Cost_in_dollars!E1035 &amp; ""USD""))
"),14000000)</f>
        <v>14000000</v>
      </c>
      <c r="P1035" s="4">
        <f ca="1">IFERROR(__xludf.DUMMYFUNCTION("IF(Cost_in_dollars!E1035=""USD"",Cost_in_dollars!C1035,Cost_in_dollars!C1035 * GOOGLEFINANCE(""CURRENCY:"" &amp; Cost_in_dollars!E1035 &amp; ""USD""))
"),16929123)</f>
        <v>16929123</v>
      </c>
      <c r="Q1035" s="6">
        <f t="shared" ca="1" si="24"/>
        <v>2929123</v>
      </c>
      <c r="R1035" s="7" t="str">
        <f t="shared" si="25"/>
        <v>Crazy/Beautiful</v>
      </c>
      <c r="S1035" s="43" t="str">
        <f t="shared" si="26"/>
        <v>Drama</v>
      </c>
    </row>
    <row r="1036" spans="1:19" ht="15.75" customHeight="1" x14ac:dyDescent="0.25">
      <c r="A1036" s="4" t="s">
        <v>52</v>
      </c>
      <c r="B1036" s="4">
        <v>765</v>
      </c>
      <c r="C1036" s="4">
        <v>162804648</v>
      </c>
      <c r="D1036" s="4" t="s">
        <v>3787</v>
      </c>
      <c r="E1036" s="4" t="s">
        <v>1358</v>
      </c>
      <c r="F1036" s="4" t="s">
        <v>3788</v>
      </c>
      <c r="G1036" s="4">
        <v>955174</v>
      </c>
      <c r="H1036" s="4" t="s">
        <v>3789</v>
      </c>
      <c r="I1036" s="4">
        <v>1193</v>
      </c>
      <c r="J1036" s="4" t="s">
        <v>23</v>
      </c>
      <c r="K1036" s="4" t="s">
        <v>24</v>
      </c>
      <c r="L1036" s="4">
        <v>100000000</v>
      </c>
      <c r="M1036" s="4">
        <v>2012</v>
      </c>
      <c r="N1036" s="4">
        <v>8.5</v>
      </c>
      <c r="O1036" s="4">
        <f ca="1">IFERROR(__xludf.DUMMYFUNCTION("IF(Cost_in_dollars!E1036=""USD"",Cost_in_dollars!B1036,Cost_in_dollars!B1036 * GOOGLEFINANCE(""CURRENCY:"" &amp; Cost_in_dollars!E1036 &amp; ""USD""))
"),100000000)</f>
        <v>100000000</v>
      </c>
      <c r="P1036" s="4">
        <f ca="1">IFERROR(__xludf.DUMMYFUNCTION("IF(Cost_in_dollars!E1036=""USD"",Cost_in_dollars!C1036,Cost_in_dollars!C1036 * GOOGLEFINANCE(""CURRENCY:"" &amp; Cost_in_dollars!E1036 &amp; ""USD""))
"),162804648)</f>
        <v>162804648</v>
      </c>
      <c r="Q1036" s="4">
        <f t="shared" ca="1" si="24"/>
        <v>62804648</v>
      </c>
      <c r="R1036" s="5" t="str">
        <f t="shared" si="25"/>
        <v>Django Unchained</v>
      </c>
      <c r="S1036" s="43" t="str">
        <f t="shared" si="26"/>
        <v>Drama</v>
      </c>
    </row>
    <row r="1037" spans="1:19" ht="15.75" customHeight="1" x14ac:dyDescent="0.25">
      <c r="A1037" s="6" t="s">
        <v>3790</v>
      </c>
      <c r="B1037" s="6">
        <v>131</v>
      </c>
      <c r="C1037" s="6">
        <v>2360184</v>
      </c>
      <c r="D1037" s="6" t="s">
        <v>457</v>
      </c>
      <c r="E1037" s="6" t="s">
        <v>112</v>
      </c>
      <c r="F1037" s="6" t="s">
        <v>3791</v>
      </c>
      <c r="G1037" s="6">
        <v>18035</v>
      </c>
      <c r="H1037" s="6" t="s">
        <v>3792</v>
      </c>
      <c r="I1037" s="6">
        <v>177</v>
      </c>
      <c r="J1037" s="6" t="s">
        <v>23</v>
      </c>
      <c r="K1037" s="6" t="s">
        <v>24</v>
      </c>
      <c r="L1037" s="6">
        <v>300000</v>
      </c>
      <c r="M1037" s="6">
        <v>2003</v>
      </c>
      <c r="N1037" s="6">
        <v>7.1</v>
      </c>
      <c r="O1037" s="4">
        <f ca="1">IFERROR(__xludf.DUMMYFUNCTION("IF(Cost_in_dollars!E1037=""USD"",Cost_in_dollars!B1037,Cost_in_dollars!B1037 * GOOGLEFINANCE(""CURRENCY:"" &amp; Cost_in_dollars!E1037 &amp; ""USD""))
"),300000)</f>
        <v>300000</v>
      </c>
      <c r="P1037" s="4">
        <f ca="1">IFERROR(__xludf.DUMMYFUNCTION("IF(Cost_in_dollars!E1037=""USD"",Cost_in_dollars!C1037,Cost_in_dollars!C1037 * GOOGLEFINANCE(""CURRENCY:"" &amp; Cost_in_dollars!E1037 &amp; ""USD""))
"),2360184)</f>
        <v>2360184</v>
      </c>
      <c r="Q1037" s="6">
        <f t="shared" ca="1" si="24"/>
        <v>2060184</v>
      </c>
      <c r="R1037" s="7" t="str">
        <f t="shared" si="25"/>
        <v>Pieces of April</v>
      </c>
      <c r="S1037" s="43" t="str">
        <f t="shared" si="26"/>
        <v>Comedy</v>
      </c>
    </row>
    <row r="1038" spans="1:19" ht="15.75" customHeight="1" x14ac:dyDescent="0.25">
      <c r="A1038" s="4" t="s">
        <v>3793</v>
      </c>
      <c r="B1038" s="4">
        <v>37</v>
      </c>
      <c r="C1038" s="4">
        <v>13903262</v>
      </c>
      <c r="D1038" s="4" t="s">
        <v>3417</v>
      </c>
      <c r="E1038" s="4" t="s">
        <v>3794</v>
      </c>
      <c r="F1038" s="4" t="s">
        <v>3795</v>
      </c>
      <c r="G1038" s="4">
        <v>14656</v>
      </c>
      <c r="H1038" s="4" t="s">
        <v>3796</v>
      </c>
      <c r="I1038" s="4">
        <v>90</v>
      </c>
      <c r="J1038" s="4" t="s">
        <v>23</v>
      </c>
      <c r="K1038" s="4" t="s">
        <v>24</v>
      </c>
      <c r="L1038" s="4">
        <v>11000000</v>
      </c>
      <c r="M1038" s="4">
        <v>2001</v>
      </c>
      <c r="N1038" s="4">
        <v>6.3</v>
      </c>
      <c r="O1038" s="4">
        <f ca="1">IFERROR(__xludf.DUMMYFUNCTION("IF(Cost_in_dollars!E1038=""USD"",Cost_in_dollars!B1038,Cost_in_dollars!B1038 * GOOGLEFINANCE(""CURRENCY:"" &amp; Cost_in_dollars!E1038 &amp; ""USD""))
"),11000000)</f>
        <v>11000000</v>
      </c>
      <c r="P1038" s="4">
        <f ca="1">IFERROR(__xludf.DUMMYFUNCTION("IF(Cost_in_dollars!E1038=""USD"",Cost_in_dollars!C1038,Cost_in_dollars!C1038 * GOOGLEFINANCE(""CURRENCY:"" &amp; Cost_in_dollars!E1038 &amp; ""USD""))
"),13903262)</f>
        <v>13903262</v>
      </c>
      <c r="Q1038" s="4">
        <f t="shared" ca="1" si="24"/>
        <v>2903262</v>
      </c>
      <c r="R1038" s="5" t="str">
        <f t="shared" si="25"/>
        <v>Out Cold</v>
      </c>
      <c r="S1038" s="43" t="str">
        <f t="shared" si="26"/>
        <v>Comedy</v>
      </c>
    </row>
    <row r="1039" spans="1:19" ht="15.75" customHeight="1" x14ac:dyDescent="0.25">
      <c r="A1039" s="6" t="s">
        <v>3486</v>
      </c>
      <c r="B1039" s="6">
        <v>152</v>
      </c>
      <c r="C1039" s="6">
        <v>71309760</v>
      </c>
      <c r="D1039" s="6" t="s">
        <v>235</v>
      </c>
      <c r="E1039" s="6" t="s">
        <v>231</v>
      </c>
      <c r="F1039" s="6" t="s">
        <v>3797</v>
      </c>
      <c r="G1039" s="6">
        <v>150308</v>
      </c>
      <c r="H1039" s="6" t="s">
        <v>3798</v>
      </c>
      <c r="I1039" s="6">
        <v>498</v>
      </c>
      <c r="J1039" s="6" t="s">
        <v>23</v>
      </c>
      <c r="K1039" s="6" t="s">
        <v>133</v>
      </c>
      <c r="L1039" s="6">
        <v>25000000</v>
      </c>
      <c r="M1039" s="6">
        <v>2000</v>
      </c>
      <c r="N1039" s="6">
        <v>7.3</v>
      </c>
      <c r="O1039" s="4">
        <f ca="1">IFERROR(__xludf.DUMMYFUNCTION("IF(Cost_in_dollars!E1039=""USD"",Cost_in_dollars!B1039,Cost_in_dollars!B1039 * GOOGLEFINANCE(""CURRENCY:"" &amp; Cost_in_dollars!E1039 &amp; ""USD""))
"),32134999.9999999)</f>
        <v>32134999.999999899</v>
      </c>
      <c r="P1039" s="4">
        <f ca="1">IFERROR(__xludf.DUMMYFUNCTION("IF(Cost_in_dollars!E1039=""USD"",Cost_in_dollars!C1039,Cost_in_dollars!C1039 * GOOGLEFINANCE(""CURRENCY:"" &amp; Cost_in_dollars!E1039 &amp; ""USD""))
"),91661565.504)</f>
        <v>91661565.503999993</v>
      </c>
      <c r="Q1039" s="6">
        <f t="shared" ca="1" si="24"/>
        <v>59526565.504000098</v>
      </c>
      <c r="R1039" s="7" t="str">
        <f t="shared" si="25"/>
        <v>Chocolat</v>
      </c>
      <c r="S1039" s="43" t="str">
        <f t="shared" si="26"/>
        <v>Drama</v>
      </c>
    </row>
    <row r="1040" spans="1:19" ht="15.75" customHeight="1" x14ac:dyDescent="0.25">
      <c r="A1040" s="4" t="s">
        <v>1464</v>
      </c>
      <c r="B1040" s="4">
        <v>117</v>
      </c>
      <c r="C1040" s="4">
        <v>30063805</v>
      </c>
      <c r="D1040" s="4" t="s">
        <v>3799</v>
      </c>
      <c r="E1040" s="4" t="s">
        <v>3800</v>
      </c>
      <c r="F1040" s="4" t="s">
        <v>3801</v>
      </c>
      <c r="G1040" s="4">
        <v>31788</v>
      </c>
      <c r="H1040" s="4" t="s">
        <v>3802</v>
      </c>
      <c r="I1040" s="4">
        <v>243</v>
      </c>
      <c r="J1040" s="4" t="s">
        <v>23</v>
      </c>
      <c r="K1040" s="4" t="s">
        <v>24</v>
      </c>
      <c r="L1040" s="4">
        <v>60000000</v>
      </c>
      <c r="M1040" s="4">
        <v>2002</v>
      </c>
      <c r="N1040" s="4">
        <v>6.1</v>
      </c>
      <c r="O1040" s="4">
        <f ca="1">IFERROR(__xludf.DUMMYFUNCTION("IF(Cost_in_dollars!E1040=""USD"",Cost_in_dollars!B1040,Cost_in_dollars!B1040 * GOOGLEFINANCE(""CURRENCY:"" &amp; Cost_in_dollars!E1040 &amp; ""USD""))
"),60000000)</f>
        <v>60000000</v>
      </c>
      <c r="P1040" s="4">
        <f ca="1">IFERROR(__xludf.DUMMYFUNCTION("IF(Cost_in_dollars!E1040=""USD"",Cost_in_dollars!C1040,Cost_in_dollars!C1040 * GOOGLEFINANCE(""CURRENCY:"" &amp; Cost_in_dollars!E1040 &amp; ""USD""))
"),30063805)</f>
        <v>30063805</v>
      </c>
      <c r="Q1040" s="4">
        <f t="shared" ca="1" si="24"/>
        <v>-29936195</v>
      </c>
      <c r="R1040" s="5" t="str">
        <f t="shared" si="25"/>
        <v>Dragonfly</v>
      </c>
      <c r="S1040" s="43" t="str">
        <f t="shared" si="26"/>
        <v>Drama</v>
      </c>
    </row>
    <row r="1041" spans="1:19" ht="15.75" customHeight="1" x14ac:dyDescent="0.25">
      <c r="A1041" s="6" t="s">
        <v>792</v>
      </c>
      <c r="B1041" s="6">
        <v>23</v>
      </c>
      <c r="C1041" s="6">
        <v>2223990</v>
      </c>
      <c r="D1041" s="6" t="s">
        <v>3803</v>
      </c>
      <c r="E1041" s="6" t="s">
        <v>3804</v>
      </c>
      <c r="F1041" s="6" t="s">
        <v>3805</v>
      </c>
      <c r="G1041" s="6">
        <v>761</v>
      </c>
      <c r="H1041" s="6" t="s">
        <v>3806</v>
      </c>
      <c r="I1041" s="6">
        <v>14</v>
      </c>
      <c r="J1041" s="6" t="s">
        <v>23</v>
      </c>
      <c r="K1041" s="6" t="s">
        <v>24</v>
      </c>
      <c r="L1041" s="6">
        <v>3000000</v>
      </c>
      <c r="M1041" s="6">
        <v>2003</v>
      </c>
      <c r="N1041" s="6">
        <v>6.6</v>
      </c>
      <c r="O1041" s="4">
        <f ca="1">IFERROR(__xludf.DUMMYFUNCTION("IF(Cost_in_dollars!E1041=""USD"",Cost_in_dollars!B1041,Cost_in_dollars!B1041 * GOOGLEFINANCE(""CURRENCY:"" &amp; Cost_in_dollars!E1041 &amp; ""USD""))
"),3000000)</f>
        <v>3000000</v>
      </c>
      <c r="P1041" s="4">
        <f ca="1">IFERROR(__xludf.DUMMYFUNCTION("IF(Cost_in_dollars!E1041=""USD"",Cost_in_dollars!C1041,Cost_in_dollars!C1041 * GOOGLEFINANCE(""CURRENCY:"" &amp; Cost_in_dollars!E1041 &amp; ""USD""))
"),2223990)</f>
        <v>2223990</v>
      </c>
      <c r="Q1041" s="6">
        <f t="shared" ca="1" si="24"/>
        <v>-776010</v>
      </c>
      <c r="R1041" s="7" t="str">
        <f t="shared" si="25"/>
        <v>DysFunktional Family</v>
      </c>
      <c r="S1041" s="43" t="str">
        <f t="shared" si="26"/>
        <v>Comedy</v>
      </c>
    </row>
    <row r="1042" spans="1:19" ht="15.75" customHeight="1" x14ac:dyDescent="0.25">
      <c r="A1042" s="4" t="s">
        <v>567</v>
      </c>
      <c r="B1042" s="4">
        <v>233</v>
      </c>
      <c r="C1042" s="4">
        <v>75072454</v>
      </c>
      <c r="D1042" s="4" t="s">
        <v>1854</v>
      </c>
      <c r="E1042" s="4" t="s">
        <v>1503</v>
      </c>
      <c r="F1042" s="4" t="s">
        <v>3807</v>
      </c>
      <c r="G1042" s="4">
        <v>96569</v>
      </c>
      <c r="H1042" s="4" t="s">
        <v>3808</v>
      </c>
      <c r="I1042" s="4">
        <v>522</v>
      </c>
      <c r="J1042" s="4" t="s">
        <v>23</v>
      </c>
      <c r="K1042" s="4" t="s">
        <v>24</v>
      </c>
      <c r="L1042" s="4">
        <v>20000000</v>
      </c>
      <c r="M1042" s="4">
        <v>2005</v>
      </c>
      <c r="N1042" s="4">
        <v>6.7</v>
      </c>
      <c r="O1042" s="4">
        <f ca="1">IFERROR(__xludf.DUMMYFUNCTION("IF(Cost_in_dollars!E1042=""USD"",Cost_in_dollars!B1042,Cost_in_dollars!B1042 * GOOGLEFINANCE(""CURRENCY:"" &amp; Cost_in_dollars!E1042 &amp; ""USD""))
"),20000000)</f>
        <v>20000000</v>
      </c>
      <c r="P1042" s="4">
        <f ca="1">IFERROR(__xludf.DUMMYFUNCTION("IF(Cost_in_dollars!E1042=""USD"",Cost_in_dollars!C1042,Cost_in_dollars!C1042 * GOOGLEFINANCE(""CURRENCY:"" &amp; Cost_in_dollars!E1042 &amp; ""USD""))
"),75072454)</f>
        <v>75072454</v>
      </c>
      <c r="Q1042" s="4">
        <f t="shared" ca="1" si="24"/>
        <v>55072454</v>
      </c>
      <c r="R1042" s="5" t="str">
        <f t="shared" si="25"/>
        <v>The Exorcism of Emily Rose</v>
      </c>
      <c r="S1042" s="43" t="str">
        <f t="shared" si="26"/>
        <v>Drama</v>
      </c>
    </row>
    <row r="1043" spans="1:19" ht="15.75" customHeight="1" x14ac:dyDescent="0.25">
      <c r="A1043" s="6" t="s">
        <v>1542</v>
      </c>
      <c r="B1043" s="6">
        <v>156</v>
      </c>
      <c r="C1043" s="6">
        <v>12469811</v>
      </c>
      <c r="D1043" s="6" t="s">
        <v>457</v>
      </c>
      <c r="E1043" s="6" t="s">
        <v>461</v>
      </c>
      <c r="F1043" s="6" t="s">
        <v>3809</v>
      </c>
      <c r="G1043" s="6">
        <v>69172</v>
      </c>
      <c r="H1043" s="6" t="s">
        <v>3810</v>
      </c>
      <c r="I1043" s="6">
        <v>316</v>
      </c>
      <c r="J1043" s="6" t="s">
        <v>23</v>
      </c>
      <c r="K1043" s="6" t="s">
        <v>24</v>
      </c>
      <c r="L1043" s="6">
        <v>22000000</v>
      </c>
      <c r="M1043" s="6">
        <v>2005</v>
      </c>
      <c r="N1043" s="6">
        <v>6.6</v>
      </c>
      <c r="O1043" s="4">
        <f ca="1">IFERROR(__xludf.DUMMYFUNCTION("IF(Cost_in_dollars!E1043=""USD"",Cost_in_dollars!B1043,Cost_in_dollars!B1043 * GOOGLEFINANCE(""CURRENCY:"" &amp; Cost_in_dollars!E1043 &amp; ""USD""))
"),22000000)</f>
        <v>22000000</v>
      </c>
      <c r="P1043" s="4">
        <f ca="1">IFERROR(__xludf.DUMMYFUNCTION("IF(Cost_in_dollars!E1043=""USD"",Cost_in_dollars!C1043,Cost_in_dollars!C1043 * GOOGLEFINANCE(""CURRENCY:"" &amp; Cost_in_dollars!E1043 &amp; ""USD""))
"),12469811)</f>
        <v>12469811</v>
      </c>
      <c r="Q1043" s="6">
        <f t="shared" ca="1" si="24"/>
        <v>-9530189</v>
      </c>
      <c r="R1043" s="7" t="str">
        <f t="shared" si="25"/>
        <v>The Weather Man</v>
      </c>
      <c r="S1043" s="43" t="str">
        <f t="shared" si="26"/>
        <v>Comedy</v>
      </c>
    </row>
    <row r="1044" spans="1:19" ht="15.75" customHeight="1" x14ac:dyDescent="0.25">
      <c r="A1044" s="4" t="s">
        <v>3811</v>
      </c>
      <c r="B1044" s="4">
        <v>340</v>
      </c>
      <c r="C1044" s="4">
        <v>117528646</v>
      </c>
      <c r="D1044" s="4" t="s">
        <v>443</v>
      </c>
      <c r="E1044" s="4" t="s">
        <v>486</v>
      </c>
      <c r="F1044" s="4" t="s">
        <v>3812</v>
      </c>
      <c r="G1044" s="4">
        <v>353442</v>
      </c>
      <c r="H1044" s="4" t="s">
        <v>3813</v>
      </c>
      <c r="I1044" s="4">
        <v>387</v>
      </c>
      <c r="J1044" s="4" t="s">
        <v>23</v>
      </c>
      <c r="K1044" s="4" t="s">
        <v>24</v>
      </c>
      <c r="L1044" s="4">
        <v>35000000</v>
      </c>
      <c r="M1044" s="4">
        <v>2011</v>
      </c>
      <c r="N1044" s="4">
        <v>6.9</v>
      </c>
      <c r="O1044" s="4">
        <f ca="1">IFERROR(__xludf.DUMMYFUNCTION("IF(Cost_in_dollars!E1044=""USD"",Cost_in_dollars!B1044,Cost_in_dollars!B1044 * GOOGLEFINANCE(""CURRENCY:"" &amp; Cost_in_dollars!E1044 &amp; ""USD""))
"),35000000)</f>
        <v>35000000</v>
      </c>
      <c r="P1044" s="4">
        <f ca="1">IFERROR(__xludf.DUMMYFUNCTION("IF(Cost_in_dollars!E1044=""USD"",Cost_in_dollars!C1044,Cost_in_dollars!C1044 * GOOGLEFINANCE(""CURRENCY:"" &amp; Cost_in_dollars!E1044 &amp; ""USD""))
"),117528646)</f>
        <v>117528646</v>
      </c>
      <c r="Q1044" s="4">
        <f t="shared" ca="1" si="24"/>
        <v>82528646</v>
      </c>
      <c r="R1044" s="5" t="str">
        <f t="shared" si="25"/>
        <v>Horrible Bosses</v>
      </c>
      <c r="S1044" s="43" t="str">
        <f t="shared" si="26"/>
        <v>Comedy</v>
      </c>
    </row>
    <row r="1045" spans="1:19" ht="15.75" customHeight="1" x14ac:dyDescent="0.25">
      <c r="A1045" s="6" t="s">
        <v>3814</v>
      </c>
      <c r="B1045" s="6">
        <v>37</v>
      </c>
      <c r="C1045" s="6">
        <v>7059537</v>
      </c>
      <c r="D1045" s="6" t="s">
        <v>140</v>
      </c>
      <c r="E1045" s="6" t="s">
        <v>2292</v>
      </c>
      <c r="F1045" s="6" t="s">
        <v>3815</v>
      </c>
      <c r="G1045" s="6">
        <v>8279</v>
      </c>
      <c r="H1045" s="6" t="s">
        <v>3816</v>
      </c>
      <c r="I1045" s="6">
        <v>101</v>
      </c>
      <c r="J1045" s="6" t="s">
        <v>23</v>
      </c>
      <c r="K1045" s="6" t="s">
        <v>24</v>
      </c>
      <c r="L1045" s="6">
        <v>3000000</v>
      </c>
      <c r="M1045" s="6">
        <v>2006</v>
      </c>
      <c r="N1045" s="6">
        <v>3</v>
      </c>
      <c r="O1045" s="4">
        <f ca="1">IFERROR(__xludf.DUMMYFUNCTION("IF(Cost_in_dollars!E1045=""USD"",Cost_in_dollars!B1045,Cost_in_dollars!B1045 * GOOGLEFINANCE(""CURRENCY:"" &amp; Cost_in_dollars!E1045 &amp; ""USD""))
"),3000000)</f>
        <v>3000000</v>
      </c>
      <c r="P1045" s="4">
        <f ca="1">IFERROR(__xludf.DUMMYFUNCTION("IF(Cost_in_dollars!E1045=""USD"",Cost_in_dollars!C1045,Cost_in_dollars!C1045 * GOOGLEFINANCE(""CURRENCY:"" &amp; Cost_in_dollars!E1045 &amp; ""USD""))
"),7059537)</f>
        <v>7059537</v>
      </c>
      <c r="Q1045" s="6">
        <f t="shared" ca="1" si="24"/>
        <v>4059537</v>
      </c>
      <c r="R1045" s="7" t="str">
        <f t="shared" si="25"/>
        <v>Phat Girlz</v>
      </c>
      <c r="S1045" s="43" t="str">
        <f t="shared" si="26"/>
        <v>Comedy</v>
      </c>
    </row>
    <row r="1046" spans="1:19" ht="15.75" customHeight="1" x14ac:dyDescent="0.25">
      <c r="A1046" s="4" t="s">
        <v>3817</v>
      </c>
      <c r="B1046" s="4">
        <v>15</v>
      </c>
      <c r="C1046" s="4">
        <v>800000</v>
      </c>
      <c r="D1046" s="4" t="s">
        <v>3118</v>
      </c>
      <c r="E1046" s="4" t="s">
        <v>3818</v>
      </c>
      <c r="F1046" s="4" t="s">
        <v>3819</v>
      </c>
      <c r="G1046" s="4">
        <v>2308</v>
      </c>
      <c r="H1046" s="4" t="s">
        <v>3820</v>
      </c>
      <c r="I1046" s="4">
        <v>35</v>
      </c>
      <c r="J1046" s="4" t="s">
        <v>23</v>
      </c>
      <c r="K1046" s="4" t="s">
        <v>24</v>
      </c>
      <c r="L1046" s="4">
        <v>4000000</v>
      </c>
      <c r="M1046" s="4">
        <v>1987</v>
      </c>
      <c r="N1046" s="4">
        <v>4.8</v>
      </c>
      <c r="O1046" s="4">
        <f ca="1">IFERROR(__xludf.DUMMYFUNCTION("IF(Cost_in_dollars!E1046=""USD"",Cost_in_dollars!B1046,Cost_in_dollars!B1046 * GOOGLEFINANCE(""CURRENCY:"" &amp; Cost_in_dollars!E1046 &amp; ""USD""))
"),4000000)</f>
        <v>4000000</v>
      </c>
      <c r="P1046" s="4">
        <f ca="1">IFERROR(__xludf.DUMMYFUNCTION("IF(Cost_in_dollars!E1046=""USD"",Cost_in_dollars!C1046,Cost_in_dollars!C1046 * GOOGLEFINANCE(""CURRENCY:"" &amp; Cost_in_dollars!E1046 &amp; ""USD""))
"),800000)</f>
        <v>800000</v>
      </c>
      <c r="Q1046" s="4">
        <f t="shared" ca="1" si="24"/>
        <v>-3200000</v>
      </c>
      <c r="R1046" s="5" t="str">
        <f t="shared" si="25"/>
        <v>The Barbarians</v>
      </c>
      <c r="S1046" s="43" t="str">
        <f t="shared" si="26"/>
        <v>Adventure</v>
      </c>
    </row>
    <row r="1047" spans="1:19" ht="15.75" customHeight="1" x14ac:dyDescent="0.25">
      <c r="A1047" s="6" t="s">
        <v>182</v>
      </c>
      <c r="B1047" s="6">
        <v>325</v>
      </c>
      <c r="C1047" s="6">
        <v>14479776</v>
      </c>
      <c r="D1047" s="6" t="s">
        <v>3821</v>
      </c>
      <c r="E1047" s="6" t="s">
        <v>3822</v>
      </c>
      <c r="F1047" s="6" t="s">
        <v>3823</v>
      </c>
      <c r="G1047" s="6">
        <v>55539</v>
      </c>
      <c r="H1047" s="6" t="s">
        <v>3824</v>
      </c>
      <c r="I1047" s="6">
        <v>147</v>
      </c>
      <c r="J1047" s="6" t="s">
        <v>23</v>
      </c>
      <c r="K1047" s="6" t="s">
        <v>24</v>
      </c>
      <c r="L1047" s="6">
        <v>10000000</v>
      </c>
      <c r="M1047" s="6">
        <v>2014</v>
      </c>
      <c r="N1047" s="6">
        <v>7</v>
      </c>
      <c r="O1047" s="4">
        <f ca="1">IFERROR(__xludf.DUMMYFUNCTION("IF(Cost_in_dollars!E1047=""USD"",Cost_in_dollars!B1047,Cost_in_dollars!B1047 * GOOGLEFINANCE(""CURRENCY:"" &amp; Cost_in_dollars!E1047 &amp; ""USD""))
"),10000000)</f>
        <v>10000000</v>
      </c>
      <c r="P1047" s="4">
        <f ca="1">IFERROR(__xludf.DUMMYFUNCTION("IF(Cost_in_dollars!E1047=""USD"",Cost_in_dollars!C1047,Cost_in_dollars!C1047 * GOOGLEFINANCE(""CURRENCY:"" &amp; Cost_in_dollars!E1047 &amp; ""USD""))
"),14479776)</f>
        <v>14479776</v>
      </c>
      <c r="Q1047" s="6">
        <f t="shared" ca="1" si="24"/>
        <v>4479776</v>
      </c>
      <c r="R1047" s="7" t="str">
        <f t="shared" si="25"/>
        <v>Big Eyes</v>
      </c>
      <c r="S1047" s="43" t="str">
        <f t="shared" si="26"/>
        <v>Biography</v>
      </c>
    </row>
    <row r="1048" spans="1:19" ht="15.75" customHeight="1" x14ac:dyDescent="0.25">
      <c r="A1048" s="4" t="s">
        <v>3825</v>
      </c>
      <c r="B1048" s="4">
        <v>224</v>
      </c>
      <c r="C1048" s="4">
        <v>45063889</v>
      </c>
      <c r="D1048" s="4" t="s">
        <v>2336</v>
      </c>
      <c r="E1048" s="4" t="s">
        <v>3826</v>
      </c>
      <c r="F1048" s="4" t="s">
        <v>3827</v>
      </c>
      <c r="G1048" s="4">
        <v>297250</v>
      </c>
      <c r="H1048" s="4" t="s">
        <v>3828</v>
      </c>
      <c r="I1048" s="4">
        <v>1441</v>
      </c>
      <c r="J1048" s="4" t="s">
        <v>23</v>
      </c>
      <c r="K1048" s="4" t="s">
        <v>133</v>
      </c>
      <c r="L1048" s="4">
        <v>8000000</v>
      </c>
      <c r="M1048" s="4">
        <v>2002</v>
      </c>
      <c r="N1048" s="4">
        <v>7.6</v>
      </c>
      <c r="O1048" s="4">
        <f ca="1">IFERROR(__xludf.DUMMYFUNCTION("IF(Cost_in_dollars!E1048=""USD"",Cost_in_dollars!B1048,Cost_in_dollars!B1048 * GOOGLEFINANCE(""CURRENCY:"" &amp; Cost_in_dollars!E1048 &amp; ""USD""))
"),10283199.9999999)</f>
        <v>10283199.999999899</v>
      </c>
      <c r="P1048" s="4">
        <f ca="1">IFERROR(__xludf.DUMMYFUNCTION("IF(Cost_in_dollars!E1048=""USD"",Cost_in_dollars!C1048,Cost_in_dollars!C1048 * GOOGLEFINANCE(""CURRENCY:"" &amp; Cost_in_dollars!E1048 &amp; ""USD""))
"),57925122.9206)</f>
        <v>57925122.920599997</v>
      </c>
      <c r="Q1048" s="4">
        <f t="shared" ca="1" si="24"/>
        <v>47641922.920600101</v>
      </c>
      <c r="R1048" s="5" t="str">
        <f t="shared" si="25"/>
        <v>28 Days Later...</v>
      </c>
      <c r="S1048" s="43" t="str">
        <f t="shared" si="26"/>
        <v>Drama</v>
      </c>
    </row>
    <row r="1049" spans="1:19" ht="15.75" customHeight="1" x14ac:dyDescent="0.25">
      <c r="A1049" s="6" t="s">
        <v>3829</v>
      </c>
      <c r="B1049" s="6">
        <v>24</v>
      </c>
      <c r="C1049" s="6">
        <v>6448817</v>
      </c>
      <c r="D1049" s="6" t="s">
        <v>281</v>
      </c>
      <c r="E1049" s="6" t="s">
        <v>3830</v>
      </c>
      <c r="F1049" s="6" t="s">
        <v>3831</v>
      </c>
      <c r="G1049" s="6">
        <v>2189</v>
      </c>
      <c r="H1049" s="6" t="s">
        <v>3832</v>
      </c>
      <c r="I1049" s="6">
        <v>31</v>
      </c>
      <c r="J1049" s="6" t="s">
        <v>23</v>
      </c>
      <c r="K1049" s="6" t="s">
        <v>24</v>
      </c>
      <c r="L1049" s="6">
        <v>35000000</v>
      </c>
      <c r="M1049" s="6">
        <v>1997</v>
      </c>
      <c r="N1049" s="6">
        <v>4.5999999999999996</v>
      </c>
      <c r="O1049" s="4">
        <f ca="1">IFERROR(__xludf.DUMMYFUNCTION("IF(Cost_in_dollars!E1049=""USD"",Cost_in_dollars!B1049,Cost_in_dollars!B1049 * GOOGLEFINANCE(""CURRENCY:"" &amp; Cost_in_dollars!E1049 &amp; ""USD""))
"),35000000)</f>
        <v>35000000</v>
      </c>
      <c r="P1049" s="4">
        <f ca="1">IFERROR(__xludf.DUMMYFUNCTION("IF(Cost_in_dollars!E1049=""USD"",Cost_in_dollars!C1049,Cost_in_dollars!C1049 * GOOGLEFINANCE(""CURRENCY:"" &amp; Cost_in_dollars!E1049 &amp; ""USD""))
"),6448817)</f>
        <v>6448817</v>
      </c>
      <c r="Q1049" s="6">
        <f t="shared" ca="1" si="24"/>
        <v>-28551183</v>
      </c>
      <c r="R1049" s="7" t="str">
        <f t="shared" si="25"/>
        <v>Warriors of Virtue</v>
      </c>
      <c r="S1049" s="43" t="str">
        <f t="shared" si="26"/>
        <v>Action</v>
      </c>
    </row>
    <row r="1050" spans="1:19" ht="15.75" customHeight="1" x14ac:dyDescent="0.25">
      <c r="A1050" s="4" t="s">
        <v>3833</v>
      </c>
      <c r="B1050" s="4">
        <v>74</v>
      </c>
      <c r="C1050" s="4">
        <v>16323969</v>
      </c>
      <c r="D1050" s="4" t="s">
        <v>592</v>
      </c>
      <c r="E1050" s="4" t="s">
        <v>54</v>
      </c>
      <c r="F1050" s="4" t="s">
        <v>3834</v>
      </c>
      <c r="G1050" s="4">
        <v>45775</v>
      </c>
      <c r="H1050" s="4" t="s">
        <v>3835</v>
      </c>
      <c r="I1050" s="4">
        <v>112</v>
      </c>
      <c r="J1050" s="4" t="s">
        <v>23</v>
      </c>
      <c r="K1050" s="4" t="s">
        <v>24</v>
      </c>
      <c r="L1050" s="4">
        <v>40000000</v>
      </c>
      <c r="M1050" s="4">
        <v>2004</v>
      </c>
      <c r="N1050" s="4">
        <v>5.5</v>
      </c>
      <c r="O1050" s="4">
        <f ca="1">IFERROR(__xludf.DUMMYFUNCTION("IF(Cost_in_dollars!E1050=""USD"",Cost_in_dollars!B1050,Cost_in_dollars!B1050 * GOOGLEFINANCE(""CURRENCY:"" &amp; Cost_in_dollars!E1050 &amp; ""USD""))
"),40000000)</f>
        <v>40000000</v>
      </c>
      <c r="P1050" s="4">
        <f ca="1">IFERROR(__xludf.DUMMYFUNCTION("IF(Cost_in_dollars!E1050=""USD"",Cost_in_dollars!C1050,Cost_in_dollars!C1050 * GOOGLEFINANCE(""CURRENCY:"" &amp; Cost_in_dollars!E1050 &amp; ""USD""))
"),16323969)</f>
        <v>16323969</v>
      </c>
      <c r="Q1050" s="4">
        <f t="shared" ca="1" si="24"/>
        <v>-23676031</v>
      </c>
      <c r="R1050" s="5" t="str">
        <f t="shared" si="25"/>
        <v>The Whole Ten Yards</v>
      </c>
      <c r="S1050" s="43" t="str">
        <f t="shared" si="26"/>
        <v>Comedy</v>
      </c>
    </row>
    <row r="1051" spans="1:19" ht="15.75" customHeight="1" x14ac:dyDescent="0.25">
      <c r="A1051" s="6" t="s">
        <v>1468</v>
      </c>
      <c r="B1051" s="6">
        <v>109</v>
      </c>
      <c r="C1051" s="6">
        <v>70836296</v>
      </c>
      <c r="D1051" s="6" t="s">
        <v>58</v>
      </c>
      <c r="E1051" s="6" t="s">
        <v>1381</v>
      </c>
      <c r="F1051" s="6" t="s">
        <v>3836</v>
      </c>
      <c r="G1051" s="6">
        <v>109445</v>
      </c>
      <c r="H1051" s="6" t="s">
        <v>3837</v>
      </c>
      <c r="I1051" s="6">
        <v>426</v>
      </c>
      <c r="J1051" s="6" t="s">
        <v>23</v>
      </c>
      <c r="K1051" s="6" t="s">
        <v>24</v>
      </c>
      <c r="L1051" s="6">
        <v>40000000</v>
      </c>
      <c r="M1051" s="6">
        <v>2001</v>
      </c>
      <c r="N1051" s="6">
        <v>5.9</v>
      </c>
      <c r="O1051" s="4">
        <f ca="1">IFERROR(__xludf.DUMMYFUNCTION("IF(Cost_in_dollars!E1051=""USD"",Cost_in_dollars!B1051,Cost_in_dollars!B1051 * GOOGLEFINANCE(""CURRENCY:"" &amp; Cost_in_dollars!E1051 &amp; ""USD""))
"),40000000)</f>
        <v>40000000</v>
      </c>
      <c r="P1051" s="4">
        <f ca="1">IFERROR(__xludf.DUMMYFUNCTION("IF(Cost_in_dollars!E1051=""USD"",Cost_in_dollars!C1051,Cost_in_dollars!C1051 * GOOGLEFINANCE(""CURRENCY:"" &amp; Cost_in_dollars!E1051 &amp; ""USD""))
"),70836296)</f>
        <v>70836296</v>
      </c>
      <c r="Q1051" s="6">
        <f t="shared" ca="1" si="24"/>
        <v>30836296</v>
      </c>
      <c r="R1051" s="7" t="str">
        <f t="shared" si="25"/>
        <v>Shallow Hal</v>
      </c>
      <c r="S1051" s="43" t="str">
        <f t="shared" si="26"/>
        <v>Comedy</v>
      </c>
    </row>
    <row r="1052" spans="1:19" ht="15.75" customHeight="1" x14ac:dyDescent="0.25">
      <c r="A1052" s="4" t="s">
        <v>3838</v>
      </c>
      <c r="B1052" s="4">
        <v>359</v>
      </c>
      <c r="C1052" s="4">
        <v>1729969</v>
      </c>
      <c r="D1052" s="4" t="s">
        <v>372</v>
      </c>
      <c r="E1052" s="4" t="s">
        <v>3839</v>
      </c>
      <c r="F1052" s="4" t="s">
        <v>3840</v>
      </c>
      <c r="G1052" s="4">
        <v>68211</v>
      </c>
      <c r="H1052" s="4" t="s">
        <v>3841</v>
      </c>
      <c r="I1052" s="4">
        <v>219</v>
      </c>
      <c r="J1052" s="4" t="s">
        <v>23</v>
      </c>
      <c r="K1052" s="4" t="s">
        <v>24</v>
      </c>
      <c r="L1052" s="4">
        <v>5000000</v>
      </c>
      <c r="M1052" s="4">
        <v>2011</v>
      </c>
      <c r="N1052" s="4">
        <v>7.4</v>
      </c>
      <c r="O1052" s="4">
        <f ca="1">IFERROR(__xludf.DUMMYFUNCTION("IF(Cost_in_dollars!E1052=""USD"",Cost_in_dollars!B1052,Cost_in_dollars!B1052 * GOOGLEFINANCE(""CURRENCY:"" &amp; Cost_in_dollars!E1052 &amp; ""USD""))
"),5000000)</f>
        <v>5000000</v>
      </c>
      <c r="P1052" s="4">
        <f ca="1">IFERROR(__xludf.DUMMYFUNCTION("IF(Cost_in_dollars!E1052=""USD"",Cost_in_dollars!C1052,Cost_in_dollars!C1052 * GOOGLEFINANCE(""CURRENCY:"" &amp; Cost_in_dollars!E1052 &amp; ""USD""))
"),1729969)</f>
        <v>1729969</v>
      </c>
      <c r="Q1052" s="4">
        <f t="shared" ca="1" si="24"/>
        <v>-3270031</v>
      </c>
      <c r="R1052" s="5" t="str">
        <f t="shared" si="25"/>
        <v>Take Shelter</v>
      </c>
      <c r="S1052" s="43" t="str">
        <f t="shared" si="26"/>
        <v>Drama</v>
      </c>
    </row>
    <row r="1053" spans="1:19" ht="15.75" customHeight="1" x14ac:dyDescent="0.25">
      <c r="A1053" s="6" t="s">
        <v>3842</v>
      </c>
      <c r="B1053" s="6">
        <v>209</v>
      </c>
      <c r="C1053" s="6">
        <v>57386369</v>
      </c>
      <c r="D1053" s="6" t="s">
        <v>669</v>
      </c>
      <c r="E1053" s="6" t="s">
        <v>1860</v>
      </c>
      <c r="F1053" s="6" t="s">
        <v>3843</v>
      </c>
      <c r="G1053" s="6">
        <v>224013</v>
      </c>
      <c r="H1053" s="6" t="s">
        <v>3844</v>
      </c>
      <c r="I1053" s="6">
        <v>2319</v>
      </c>
      <c r="J1053" s="6" t="s">
        <v>23</v>
      </c>
      <c r="K1053" s="6" t="s">
        <v>24</v>
      </c>
      <c r="L1053" s="6">
        <v>52500000</v>
      </c>
      <c r="M1053" s="6">
        <v>2001</v>
      </c>
      <c r="N1053" s="6">
        <v>7.6</v>
      </c>
      <c r="O1053" s="4">
        <f ca="1">IFERROR(__xludf.DUMMYFUNCTION("IF(Cost_in_dollars!E1053=""USD"",Cost_in_dollars!B1053,Cost_in_dollars!B1053 * GOOGLEFINANCE(""CURRENCY:"" &amp; Cost_in_dollars!E1053 &amp; ""USD""))
"),52500000)</f>
        <v>52500000</v>
      </c>
      <c r="P1053" s="4">
        <f ca="1">IFERROR(__xludf.DUMMYFUNCTION("IF(Cost_in_dollars!E1053=""USD"",Cost_in_dollars!C1053,Cost_in_dollars!C1053 * GOOGLEFINANCE(""CURRENCY:"" &amp; Cost_in_dollars!E1053 &amp; ""USD""))
"),57386369)</f>
        <v>57386369</v>
      </c>
      <c r="Q1053" s="6">
        <f t="shared" ca="1" si="24"/>
        <v>4886369</v>
      </c>
      <c r="R1053" s="7" t="str">
        <f t="shared" si="25"/>
        <v>Moulin Rouge!</v>
      </c>
      <c r="S1053" s="43" t="str">
        <f t="shared" si="26"/>
        <v>Drama</v>
      </c>
    </row>
    <row r="1054" spans="1:19" ht="15.75" customHeight="1" x14ac:dyDescent="0.25">
      <c r="A1054" s="4" t="s">
        <v>3017</v>
      </c>
      <c r="B1054" s="4">
        <v>49</v>
      </c>
      <c r="C1054" s="4">
        <v>5217498</v>
      </c>
      <c r="D1054" s="4" t="s">
        <v>314</v>
      </c>
      <c r="E1054" s="4" t="s">
        <v>3845</v>
      </c>
      <c r="F1054" s="4" t="s">
        <v>3846</v>
      </c>
      <c r="G1054" s="4">
        <v>3668</v>
      </c>
      <c r="H1054" s="4" t="s">
        <v>3847</v>
      </c>
      <c r="I1054" s="4">
        <v>85</v>
      </c>
      <c r="J1054" s="4" t="s">
        <v>23</v>
      </c>
      <c r="K1054" s="4" t="s">
        <v>24</v>
      </c>
      <c r="L1054" s="4">
        <v>15000000</v>
      </c>
      <c r="M1054" s="4">
        <v>2000</v>
      </c>
      <c r="N1054" s="4">
        <v>4.5999999999999996</v>
      </c>
      <c r="O1054" s="4">
        <f ca="1">IFERROR(__xludf.DUMMYFUNCTION("IF(Cost_in_dollars!E1054=""USD"",Cost_in_dollars!B1054,Cost_in_dollars!B1054 * GOOGLEFINANCE(""CURRENCY:"" &amp; Cost_in_dollars!E1054 &amp; ""USD""))
"),15000000)</f>
        <v>15000000</v>
      </c>
      <c r="P1054" s="4">
        <f ca="1">IFERROR(__xludf.DUMMYFUNCTION("IF(Cost_in_dollars!E1054=""USD"",Cost_in_dollars!C1054,Cost_in_dollars!C1054 * GOOGLEFINANCE(""CURRENCY:"" &amp; Cost_in_dollars!E1054 &amp; ""USD""))
"),5217498)</f>
        <v>5217498</v>
      </c>
      <c r="Q1054" s="4">
        <f t="shared" ca="1" si="24"/>
        <v>-9782502</v>
      </c>
      <c r="R1054" s="5" t="str">
        <f t="shared" si="25"/>
        <v>The In Crowd</v>
      </c>
      <c r="S1054" s="43" t="str">
        <f t="shared" si="26"/>
        <v>Drama</v>
      </c>
    </row>
    <row r="1055" spans="1:19" ht="15.75" customHeight="1" x14ac:dyDescent="0.25">
      <c r="A1055" s="6" t="s">
        <v>3848</v>
      </c>
      <c r="B1055" s="6">
        <v>43</v>
      </c>
      <c r="C1055" s="6">
        <v>100768056</v>
      </c>
      <c r="D1055" s="6" t="s">
        <v>438</v>
      </c>
      <c r="E1055" s="6" t="s">
        <v>69</v>
      </c>
      <c r="F1055" s="6" t="s">
        <v>3849</v>
      </c>
      <c r="G1055" s="6">
        <v>59569</v>
      </c>
      <c r="H1055" s="6" t="s">
        <v>3850</v>
      </c>
      <c r="I1055" s="6">
        <v>89</v>
      </c>
      <c r="J1055" s="6" t="s">
        <v>23</v>
      </c>
      <c r="K1055" s="6" t="s">
        <v>24</v>
      </c>
      <c r="L1055" s="6">
        <v>45000000</v>
      </c>
      <c r="M1055" s="6">
        <v>1993</v>
      </c>
      <c r="N1055" s="6">
        <v>6.5</v>
      </c>
      <c r="O1055" s="4">
        <f ca="1">IFERROR(__xludf.DUMMYFUNCTION("IF(Cost_in_dollars!E1055=""USD"",Cost_in_dollars!B1055,Cost_in_dollars!B1055 * GOOGLEFINANCE(""CURRENCY:"" &amp; Cost_in_dollars!E1055 &amp; ""USD""))
"),45000000)</f>
        <v>45000000</v>
      </c>
      <c r="P1055" s="4">
        <f ca="1">IFERROR(__xludf.DUMMYFUNCTION("IF(Cost_in_dollars!E1055=""USD"",Cost_in_dollars!C1055,Cost_in_dollars!C1055 * GOOGLEFINANCE(""CURRENCY:"" &amp; Cost_in_dollars!E1055 &amp; ""USD""))
"),100768056)</f>
        <v>100768056</v>
      </c>
      <c r="Q1055" s="6">
        <f t="shared" ca="1" si="24"/>
        <v>55768056</v>
      </c>
      <c r="R1055" s="7" t="str">
        <f t="shared" si="25"/>
        <v>The Pelican Brief</v>
      </c>
      <c r="S1055" s="43" t="str">
        <f t="shared" si="26"/>
        <v>Crime</v>
      </c>
    </row>
    <row r="1056" spans="1:19" ht="15.75" customHeight="1" x14ac:dyDescent="0.25">
      <c r="A1056" s="4" t="s">
        <v>962</v>
      </c>
      <c r="B1056" s="4">
        <v>82</v>
      </c>
      <c r="C1056" s="4">
        <v>35183792</v>
      </c>
      <c r="D1056" s="4" t="s">
        <v>2448</v>
      </c>
      <c r="E1056" s="4" t="s">
        <v>3851</v>
      </c>
      <c r="F1056" s="4" t="s">
        <v>3852</v>
      </c>
      <c r="G1056" s="4">
        <v>68159</v>
      </c>
      <c r="H1056" s="4" t="s">
        <v>3853</v>
      </c>
      <c r="I1056" s="4">
        <v>209</v>
      </c>
      <c r="J1056" s="4" t="s">
        <v>23</v>
      </c>
      <c r="K1056" s="4" t="s">
        <v>24</v>
      </c>
      <c r="L1056" s="4">
        <v>38000000</v>
      </c>
      <c r="M1056" s="4">
        <v>1991</v>
      </c>
      <c r="N1056" s="4">
        <v>7.2</v>
      </c>
      <c r="O1056" s="4">
        <f ca="1">IFERROR(__xludf.DUMMYFUNCTION("IF(Cost_in_dollars!E1056=""USD"",Cost_in_dollars!B1056,Cost_in_dollars!B1056 * GOOGLEFINANCE(""CURRENCY:"" &amp; Cost_in_dollars!E1056 &amp; ""USD""))
"),38000000)</f>
        <v>38000000</v>
      </c>
      <c r="P1056" s="4">
        <f ca="1">IFERROR(__xludf.DUMMYFUNCTION("IF(Cost_in_dollars!E1056=""USD"",Cost_in_dollars!C1056,Cost_in_dollars!C1056 * GOOGLEFINANCE(""CURRENCY:"" &amp; Cost_in_dollars!E1056 &amp; ""USD""))
"),35183792)</f>
        <v>35183792</v>
      </c>
      <c r="Q1056" s="4">
        <f t="shared" ca="1" si="24"/>
        <v>-2816208</v>
      </c>
      <c r="R1056" s="5" t="str">
        <f t="shared" si="25"/>
        <v>The Doors</v>
      </c>
      <c r="S1056" s="43" t="str">
        <f t="shared" si="26"/>
        <v>Biography</v>
      </c>
    </row>
    <row r="1057" spans="1:19" ht="15.75" customHeight="1" x14ac:dyDescent="0.25">
      <c r="A1057" s="6" t="s">
        <v>3854</v>
      </c>
      <c r="B1057" s="6">
        <v>214</v>
      </c>
      <c r="C1057" s="6">
        <v>9528092</v>
      </c>
      <c r="D1057" s="6" t="s">
        <v>434</v>
      </c>
      <c r="E1057" s="6" t="s">
        <v>877</v>
      </c>
      <c r="F1057" s="6" t="s">
        <v>3855</v>
      </c>
      <c r="G1057" s="6">
        <v>38513</v>
      </c>
      <c r="H1057" s="6" t="s">
        <v>3856</v>
      </c>
      <c r="I1057" s="6">
        <v>127</v>
      </c>
      <c r="J1057" s="6" t="s">
        <v>23</v>
      </c>
      <c r="K1057" s="6" t="s">
        <v>24</v>
      </c>
      <c r="L1057" s="6">
        <v>22000000</v>
      </c>
      <c r="M1057" s="6">
        <v>2010</v>
      </c>
      <c r="N1057" s="6">
        <v>6.8</v>
      </c>
      <c r="O1057" s="4">
        <f ca="1">IFERROR(__xludf.DUMMYFUNCTION("IF(Cost_in_dollars!E1057=""USD"",Cost_in_dollars!B1057,Cost_in_dollars!B1057 * GOOGLEFINANCE(""CURRENCY:"" &amp; Cost_in_dollars!E1057 &amp; ""USD""))
"),22000000)</f>
        <v>22000000</v>
      </c>
      <c r="P1057" s="4">
        <f ca="1">IFERROR(__xludf.DUMMYFUNCTION("IF(Cost_in_dollars!E1057=""USD"",Cost_in_dollars!C1057,Cost_in_dollars!C1057 * GOOGLEFINANCE(""CURRENCY:"" &amp; Cost_in_dollars!E1057 &amp; ""USD""))
"),9528092)</f>
        <v>9528092</v>
      </c>
      <c r="Q1057" s="6">
        <f t="shared" ca="1" si="24"/>
        <v>-12471908</v>
      </c>
      <c r="R1057" s="7" t="str">
        <f t="shared" si="25"/>
        <v>Fair Game</v>
      </c>
      <c r="S1057" s="43" t="str">
        <f t="shared" si="26"/>
        <v>Biography</v>
      </c>
    </row>
    <row r="1058" spans="1:19" ht="15.75" customHeight="1" x14ac:dyDescent="0.25">
      <c r="A1058" s="4" t="s">
        <v>2969</v>
      </c>
      <c r="B1058" s="4">
        <v>91</v>
      </c>
      <c r="C1058" s="4">
        <v>34872293</v>
      </c>
      <c r="D1058" s="4" t="s">
        <v>2340</v>
      </c>
      <c r="E1058" s="4" t="s">
        <v>84</v>
      </c>
      <c r="F1058" s="4" t="s">
        <v>3857</v>
      </c>
      <c r="G1058" s="4">
        <v>30765</v>
      </c>
      <c r="H1058" s="4" t="s">
        <v>3858</v>
      </c>
      <c r="I1058" s="4">
        <v>252</v>
      </c>
      <c r="J1058" s="4" t="s">
        <v>23</v>
      </c>
      <c r="K1058" s="4" t="s">
        <v>24</v>
      </c>
      <c r="L1058" s="4">
        <v>8500000</v>
      </c>
      <c r="M1058" s="4">
        <v>1991</v>
      </c>
      <c r="N1058" s="4">
        <v>4.9000000000000004</v>
      </c>
      <c r="O1058" s="4">
        <f ca="1">IFERROR(__xludf.DUMMYFUNCTION("IF(Cost_in_dollars!E1058=""USD"",Cost_in_dollars!B1058,Cost_in_dollars!B1058 * GOOGLEFINANCE(""CURRENCY:"" &amp; Cost_in_dollars!E1058 &amp; ""USD""))
"),8500000)</f>
        <v>8500000</v>
      </c>
      <c r="P1058" s="4">
        <f ca="1">IFERROR(__xludf.DUMMYFUNCTION("IF(Cost_in_dollars!E1058=""USD"",Cost_in_dollars!C1058,Cost_in_dollars!C1058 * GOOGLEFINANCE(""CURRENCY:"" &amp; Cost_in_dollars!E1058 &amp; ""USD""))
"),34872293)</f>
        <v>34872293</v>
      </c>
      <c r="Q1058" s="4">
        <f t="shared" ca="1" si="24"/>
        <v>26372293</v>
      </c>
      <c r="R1058" s="5" t="str">
        <f t="shared" si="25"/>
        <v>Freddy's Dead: The Final Nightmare</v>
      </c>
      <c r="S1058" s="43" t="str">
        <f t="shared" si="26"/>
        <v>Comedy</v>
      </c>
    </row>
    <row r="1059" spans="1:19" ht="15.75" customHeight="1" x14ac:dyDescent="0.25">
      <c r="A1059" s="6" t="s">
        <v>941</v>
      </c>
      <c r="B1059" s="6">
        <v>186</v>
      </c>
      <c r="C1059" s="6">
        <v>54257433</v>
      </c>
      <c r="D1059" s="6" t="s">
        <v>1854</v>
      </c>
      <c r="E1059" s="6" t="s">
        <v>3859</v>
      </c>
      <c r="F1059" s="6" t="s">
        <v>3860</v>
      </c>
      <c r="G1059" s="6">
        <v>12983</v>
      </c>
      <c r="H1059" s="6" t="s">
        <v>3861</v>
      </c>
      <c r="I1059" s="6">
        <v>139</v>
      </c>
      <c r="J1059" s="6" t="s">
        <v>23</v>
      </c>
      <c r="K1059" s="6" t="s">
        <v>24</v>
      </c>
      <c r="L1059" s="6">
        <v>17000000</v>
      </c>
      <c r="M1059" s="6">
        <v>2016</v>
      </c>
      <c r="N1059" s="6">
        <v>6.8</v>
      </c>
      <c r="O1059" s="4">
        <f ca="1">IFERROR(__xludf.DUMMYFUNCTION("IF(Cost_in_dollars!E1059=""USD"",Cost_in_dollars!B1059,Cost_in_dollars!B1059 * GOOGLEFINANCE(""CURRENCY:"" &amp; Cost_in_dollars!E1059 &amp; ""USD""))
"),17000000)</f>
        <v>17000000</v>
      </c>
      <c r="P1059" s="4">
        <f ca="1">IFERROR(__xludf.DUMMYFUNCTION("IF(Cost_in_dollars!E1059=""USD"",Cost_in_dollars!C1059,Cost_in_dollars!C1059 * GOOGLEFINANCE(""CURRENCY:"" &amp; Cost_in_dollars!E1059 &amp; ""USD""))
"),54257433)</f>
        <v>54257433</v>
      </c>
      <c r="Q1059" s="6">
        <f t="shared" ca="1" si="24"/>
        <v>37257433</v>
      </c>
      <c r="R1059" s="7" t="str">
        <f t="shared" si="25"/>
        <v>The Shallows</v>
      </c>
      <c r="S1059" s="43" t="str">
        <f t="shared" si="26"/>
        <v>Drama</v>
      </c>
    </row>
    <row r="1060" spans="1:19" ht="15.75" customHeight="1" x14ac:dyDescent="0.25">
      <c r="A1060" s="4" t="s">
        <v>3862</v>
      </c>
      <c r="B1060" s="4">
        <v>22</v>
      </c>
      <c r="C1060" s="4">
        <v>9821335</v>
      </c>
      <c r="D1060" s="4" t="s">
        <v>140</v>
      </c>
      <c r="E1060" s="4" t="s">
        <v>2292</v>
      </c>
      <c r="F1060" s="4" t="s">
        <v>3863</v>
      </c>
      <c r="G1060" s="4">
        <v>1415</v>
      </c>
      <c r="H1060" s="4" t="s">
        <v>3864</v>
      </c>
      <c r="I1060" s="4">
        <v>10</v>
      </c>
      <c r="J1060" s="4" t="s">
        <v>23</v>
      </c>
      <c r="K1060" s="4" t="s">
        <v>24</v>
      </c>
      <c r="L1060" s="4">
        <v>6000000</v>
      </c>
      <c r="M1060" s="4">
        <v>2000</v>
      </c>
      <c r="N1060" s="4">
        <v>4</v>
      </c>
      <c r="O1060" s="4">
        <f ca="1">IFERROR(__xludf.DUMMYFUNCTION("IF(Cost_in_dollars!E1060=""USD"",Cost_in_dollars!B1060,Cost_in_dollars!B1060 * GOOGLEFINANCE(""CURRENCY:"" &amp; Cost_in_dollars!E1060 &amp; ""USD""))
"),6000000)</f>
        <v>6000000</v>
      </c>
      <c r="P1060" s="4">
        <f ca="1">IFERROR(__xludf.DUMMYFUNCTION("IF(Cost_in_dollars!E1060=""USD"",Cost_in_dollars!C1060,Cost_in_dollars!C1060 * GOOGLEFINANCE(""CURRENCY:"" &amp; Cost_in_dollars!E1060 &amp; ""USD""))
"),9821335)</f>
        <v>9821335</v>
      </c>
      <c r="Q1060" s="4">
        <f t="shared" ca="1" si="24"/>
        <v>3821335</v>
      </c>
      <c r="R1060" s="5" t="str">
        <f t="shared" si="25"/>
        <v>3 Strikes</v>
      </c>
      <c r="S1060" s="43" t="str">
        <f t="shared" si="26"/>
        <v>Comedy</v>
      </c>
    </row>
    <row r="1061" spans="1:19" ht="15.75" customHeight="1" x14ac:dyDescent="0.25">
      <c r="A1061" s="6" t="s">
        <v>3865</v>
      </c>
      <c r="B1061" s="6">
        <v>177</v>
      </c>
      <c r="C1061" s="6">
        <v>55291815</v>
      </c>
      <c r="D1061" s="6" t="s">
        <v>140</v>
      </c>
      <c r="E1061" s="6" t="s">
        <v>2272</v>
      </c>
      <c r="F1061" s="6" t="s">
        <v>3866</v>
      </c>
      <c r="G1061" s="6">
        <v>28041</v>
      </c>
      <c r="H1061" s="6" t="s">
        <v>3867</v>
      </c>
      <c r="I1061" s="6">
        <v>111</v>
      </c>
      <c r="J1061" s="6" t="s">
        <v>23</v>
      </c>
      <c r="K1061" s="6" t="s">
        <v>24</v>
      </c>
      <c r="L1061" s="6">
        <v>35000000</v>
      </c>
      <c r="M1061" s="6">
        <v>2016</v>
      </c>
      <c r="N1061" s="6">
        <v>6</v>
      </c>
      <c r="O1061" s="4">
        <f ca="1">IFERROR(__xludf.DUMMYFUNCTION("IF(Cost_in_dollars!E1061=""USD"",Cost_in_dollars!B1061,Cost_in_dollars!B1061 * GOOGLEFINANCE(""CURRENCY:"" &amp; Cost_in_dollars!E1061 &amp; ""USD""))
"),35000000)</f>
        <v>35000000</v>
      </c>
      <c r="P1061" s="4">
        <f ca="1">IFERROR(__xludf.DUMMYFUNCTION("IF(Cost_in_dollars!E1061=""USD"",Cost_in_dollars!C1061,Cost_in_dollars!C1061 * GOOGLEFINANCE(""CURRENCY:"" &amp; Cost_in_dollars!E1061 &amp; ""USD""))
"),55291815)</f>
        <v>55291815</v>
      </c>
      <c r="Q1061" s="6">
        <f t="shared" ca="1" si="24"/>
        <v>20291815</v>
      </c>
      <c r="R1061" s="7" t="str">
        <f t="shared" si="25"/>
        <v>Neighbors 2: Sorority Rising</v>
      </c>
      <c r="S1061" s="43" t="str">
        <f t="shared" si="26"/>
        <v>Comedy</v>
      </c>
    </row>
    <row r="1062" spans="1:19" ht="15.75" customHeight="1" x14ac:dyDescent="0.25">
      <c r="A1062" s="4" t="s">
        <v>871</v>
      </c>
      <c r="B1062" s="4">
        <v>237</v>
      </c>
      <c r="C1062" s="4">
        <v>215397307</v>
      </c>
      <c r="D1062" s="4" t="s">
        <v>477</v>
      </c>
      <c r="E1062" s="4" t="s">
        <v>223</v>
      </c>
      <c r="F1062" s="4" t="s">
        <v>3868</v>
      </c>
      <c r="G1062" s="4">
        <v>242188</v>
      </c>
      <c r="H1062" s="4" t="s">
        <v>3869</v>
      </c>
      <c r="I1062" s="4">
        <v>1426</v>
      </c>
      <c r="J1062" s="4" t="s">
        <v>23</v>
      </c>
      <c r="K1062" s="4" t="s">
        <v>24</v>
      </c>
      <c r="L1062" s="4">
        <v>125000000</v>
      </c>
      <c r="M1062" s="4">
        <v>2000</v>
      </c>
      <c r="N1062" s="4">
        <v>6.1</v>
      </c>
      <c r="O1062" s="4">
        <f ca="1">IFERROR(__xludf.DUMMYFUNCTION("IF(Cost_in_dollars!E1062=""USD"",Cost_in_dollars!B1062,Cost_in_dollars!B1062 * GOOGLEFINANCE(""CURRENCY:"" &amp; Cost_in_dollars!E1062 &amp; ""USD""))
"),125000000)</f>
        <v>125000000</v>
      </c>
      <c r="P1062" s="4">
        <f ca="1">IFERROR(__xludf.DUMMYFUNCTION("IF(Cost_in_dollars!E1062=""USD"",Cost_in_dollars!C1062,Cost_in_dollars!C1062 * GOOGLEFINANCE(""CURRENCY:"" &amp; Cost_in_dollars!E1062 &amp; ""USD""))
"),215397307)</f>
        <v>215397307</v>
      </c>
      <c r="Q1062" s="4">
        <f t="shared" ca="1" si="24"/>
        <v>90397307</v>
      </c>
      <c r="R1062" s="5" t="str">
        <f t="shared" si="25"/>
        <v>Mission: Impossible II</v>
      </c>
      <c r="S1062" s="43" t="str">
        <f t="shared" si="26"/>
        <v>Action</v>
      </c>
    </row>
    <row r="1063" spans="1:19" ht="15.75" customHeight="1" x14ac:dyDescent="0.25">
      <c r="A1063" s="6" t="s">
        <v>3870</v>
      </c>
      <c r="B1063" s="6">
        <v>17</v>
      </c>
      <c r="C1063" s="6">
        <v>7826</v>
      </c>
      <c r="D1063" s="6" t="s">
        <v>3803</v>
      </c>
      <c r="E1063" s="6" t="s">
        <v>676</v>
      </c>
      <c r="F1063" s="6" t="s">
        <v>3871</v>
      </c>
      <c r="G1063" s="6">
        <v>132</v>
      </c>
      <c r="H1063" s="6" t="s">
        <v>3872</v>
      </c>
      <c r="I1063" s="6">
        <v>2</v>
      </c>
      <c r="J1063" s="6" t="s">
        <v>23</v>
      </c>
      <c r="K1063" s="6" t="s">
        <v>24</v>
      </c>
      <c r="L1063" s="6">
        <v>1200000</v>
      </c>
      <c r="M1063" s="6">
        <v>2007</v>
      </c>
      <c r="N1063" s="6">
        <v>6.2</v>
      </c>
      <c r="O1063" s="4">
        <f ca="1">IFERROR(__xludf.DUMMYFUNCTION("IF(Cost_in_dollars!E1063=""USD"",Cost_in_dollars!B1063,Cost_in_dollars!B1063 * GOOGLEFINANCE(""CURRENCY:"" &amp; Cost_in_dollars!E1063 &amp; ""USD""))
"),1200000)</f>
        <v>1200000</v>
      </c>
      <c r="P1063" s="4">
        <f ca="1">IFERROR(__xludf.DUMMYFUNCTION("IF(Cost_in_dollars!E1063=""USD"",Cost_in_dollars!C1063,Cost_in_dollars!C1063 * GOOGLEFINANCE(""CURRENCY:"" &amp; Cost_in_dollars!E1063 &amp; ""USD""))
"),7826)</f>
        <v>7826</v>
      </c>
      <c r="Q1063" s="6">
        <f t="shared" ca="1" si="24"/>
        <v>-1192174</v>
      </c>
      <c r="R1063" s="7" t="str">
        <f t="shared" si="25"/>
        <v>Certifiably Jonathan</v>
      </c>
      <c r="S1063" s="43" t="str">
        <f t="shared" si="26"/>
        <v>Comedy</v>
      </c>
    </row>
    <row r="1064" spans="1:19" ht="15.75" customHeight="1" x14ac:dyDescent="0.25">
      <c r="A1064" s="4" t="s">
        <v>3084</v>
      </c>
      <c r="B1064" s="4">
        <v>103</v>
      </c>
      <c r="C1064" s="4">
        <v>68525609</v>
      </c>
      <c r="D1064" s="4" t="s">
        <v>140</v>
      </c>
      <c r="E1064" s="4" t="s">
        <v>2797</v>
      </c>
      <c r="F1064" s="4" t="s">
        <v>3873</v>
      </c>
      <c r="G1064" s="4">
        <v>132963</v>
      </c>
      <c r="H1064" s="4" t="s">
        <v>3874</v>
      </c>
      <c r="I1064" s="4">
        <v>302</v>
      </c>
      <c r="J1064" s="4" t="s">
        <v>23</v>
      </c>
      <c r="K1064" s="4" t="s">
        <v>24</v>
      </c>
      <c r="L1064" s="4">
        <v>15600000</v>
      </c>
      <c r="M1064" s="4">
        <v>2000</v>
      </c>
      <c r="N1064" s="4">
        <v>6.5</v>
      </c>
      <c r="O1064" s="4">
        <f ca="1">IFERROR(__xludf.DUMMYFUNCTION("IF(Cost_in_dollars!E1064=""USD"",Cost_in_dollars!B1064,Cost_in_dollars!B1064 * GOOGLEFINANCE(""CURRENCY:"" &amp; Cost_in_dollars!E1064 &amp; ""USD""))
"),15600000)</f>
        <v>15600000</v>
      </c>
      <c r="P1064" s="4">
        <f ca="1">IFERROR(__xludf.DUMMYFUNCTION("IF(Cost_in_dollars!E1064=""USD"",Cost_in_dollars!C1064,Cost_in_dollars!C1064 * GOOGLEFINANCE(""CURRENCY:"" &amp; Cost_in_dollars!E1064 &amp; ""USD""))
"),68525609)</f>
        <v>68525609</v>
      </c>
      <c r="Q1064" s="4">
        <f t="shared" ca="1" si="24"/>
        <v>52925609</v>
      </c>
      <c r="R1064" s="5" t="str">
        <f t="shared" si="25"/>
        <v>Road Trip</v>
      </c>
      <c r="S1064" s="43" t="str">
        <f t="shared" si="26"/>
        <v>Comedy</v>
      </c>
    </row>
    <row r="1065" spans="1:19" ht="15.75" customHeight="1" x14ac:dyDescent="0.25">
      <c r="A1065" s="6" t="s">
        <v>2514</v>
      </c>
      <c r="B1065" s="6">
        <v>417</v>
      </c>
      <c r="C1065" s="6">
        <v>40247512</v>
      </c>
      <c r="D1065" s="6" t="s">
        <v>178</v>
      </c>
      <c r="E1065" s="6" t="s">
        <v>3875</v>
      </c>
      <c r="F1065" s="6" t="s">
        <v>3876</v>
      </c>
      <c r="G1065" s="6">
        <v>159198</v>
      </c>
      <c r="H1065" s="6" t="s">
        <v>3877</v>
      </c>
      <c r="I1065" s="6">
        <v>438</v>
      </c>
      <c r="J1065" s="6" t="s">
        <v>23</v>
      </c>
      <c r="K1065" s="6" t="s">
        <v>24</v>
      </c>
      <c r="L1065" s="6">
        <v>30000000</v>
      </c>
      <c r="M1065" s="6">
        <v>2011</v>
      </c>
      <c r="N1065" s="6">
        <v>6.8</v>
      </c>
      <c r="O1065" s="4">
        <f ca="1">IFERROR(__xludf.DUMMYFUNCTION("IF(Cost_in_dollars!E1065=""USD"",Cost_in_dollars!B1065,Cost_in_dollars!B1065 * GOOGLEFINANCE(""CURRENCY:"" &amp; Cost_in_dollars!E1065 &amp; ""USD""))
"),30000000)</f>
        <v>30000000</v>
      </c>
      <c r="P1065" s="4">
        <f ca="1">IFERROR(__xludf.DUMMYFUNCTION("IF(Cost_in_dollars!E1065=""USD"",Cost_in_dollars!C1065,Cost_in_dollars!C1065 * GOOGLEFINANCE(""CURRENCY:"" &amp; Cost_in_dollars!E1065 &amp; ""USD""))
"),40247512)</f>
        <v>40247512</v>
      </c>
      <c r="Q1065" s="6">
        <f t="shared" ca="1" si="24"/>
        <v>10247512</v>
      </c>
      <c r="R1065" s="7" t="str">
        <f t="shared" si="25"/>
        <v>Hanna</v>
      </c>
      <c r="S1065" s="43" t="str">
        <f t="shared" si="26"/>
        <v>Action</v>
      </c>
    </row>
    <row r="1066" spans="1:19" ht="15.75" customHeight="1" x14ac:dyDescent="0.25">
      <c r="A1066" s="4" t="s">
        <v>3066</v>
      </c>
      <c r="B1066" s="4">
        <v>1</v>
      </c>
      <c r="C1066" s="4">
        <v>333658</v>
      </c>
      <c r="D1066" s="4" t="s">
        <v>3878</v>
      </c>
      <c r="E1066" s="4" t="s">
        <v>3879</v>
      </c>
      <c r="F1066" s="4" t="s">
        <v>3880</v>
      </c>
      <c r="G1066" s="4">
        <v>97</v>
      </c>
      <c r="H1066" s="4" t="s">
        <v>3881</v>
      </c>
      <c r="I1066" s="4">
        <v>2</v>
      </c>
      <c r="J1066" s="4" t="s">
        <v>23</v>
      </c>
      <c r="K1066" s="4" t="s">
        <v>24</v>
      </c>
      <c r="L1066" s="4">
        <v>34000</v>
      </c>
      <c r="M1066" s="4">
        <v>1990</v>
      </c>
      <c r="N1066" s="4">
        <v>7.1</v>
      </c>
      <c r="O1066" s="4">
        <f ca="1">IFERROR(__xludf.DUMMYFUNCTION("IF(Cost_in_dollars!E1066=""USD"",Cost_in_dollars!B1066,Cost_in_dollars!B1066 * GOOGLEFINANCE(""CURRENCY:"" &amp; Cost_in_dollars!E1066 &amp; ""USD""))
"),34000)</f>
        <v>34000</v>
      </c>
      <c r="P1066" s="4">
        <f ca="1">IFERROR(__xludf.DUMMYFUNCTION("IF(Cost_in_dollars!E1066=""USD"",Cost_in_dollars!C1066,Cost_in_dollars!C1066 * GOOGLEFINANCE(""CURRENCY:"" &amp; Cost_in_dollars!E1066 &amp; ""USD""))
"),333658)</f>
        <v>333658</v>
      </c>
      <c r="Q1066" s="4">
        <f t="shared" ca="1" si="24"/>
        <v>299658</v>
      </c>
      <c r="R1066" s="5" t="str">
        <f t="shared" si="25"/>
        <v>Marilyn Hotchkiss' Ballroom Dancing and Charm School</v>
      </c>
      <c r="S1066" s="43" t="str">
        <f t="shared" si="26"/>
        <v>Comedy</v>
      </c>
    </row>
    <row r="1067" spans="1:19" ht="15.75" customHeight="1" x14ac:dyDescent="0.25">
      <c r="A1067" s="6" t="s">
        <v>72</v>
      </c>
      <c r="B1067" s="6">
        <v>314</v>
      </c>
      <c r="C1067" s="6">
        <v>65007045</v>
      </c>
      <c r="D1067" s="6" t="s">
        <v>3882</v>
      </c>
      <c r="E1067" s="6" t="s">
        <v>1595</v>
      </c>
      <c r="F1067" s="6" t="s">
        <v>3883</v>
      </c>
      <c r="G1067" s="6">
        <v>128682</v>
      </c>
      <c r="H1067" s="6" t="s">
        <v>3884</v>
      </c>
      <c r="I1067" s="6">
        <v>657</v>
      </c>
      <c r="J1067" s="6" t="s">
        <v>23</v>
      </c>
      <c r="K1067" s="6" t="s">
        <v>133</v>
      </c>
      <c r="L1067" s="6">
        <v>140000000</v>
      </c>
      <c r="M1067" s="6">
        <v>2014</v>
      </c>
      <c r="N1067" s="6">
        <v>6.1</v>
      </c>
      <c r="O1067" s="4">
        <f ca="1">IFERROR(__xludf.DUMMYFUNCTION("IF(Cost_in_dollars!E1067=""USD"",Cost_in_dollars!B1067,Cost_in_dollars!B1067 * GOOGLEFINANCE(""CURRENCY:"" &amp; Cost_in_dollars!E1067 &amp; ""USD""))
"),179955999.999999)</f>
        <v>179955999.99999899</v>
      </c>
      <c r="P1067" s="4">
        <f ca="1">IFERROR(__xludf.DUMMYFUNCTION("IF(Cost_in_dollars!E1067=""USD"",Cost_in_dollars!C1067,Cost_in_dollars!C1067 * GOOGLEFINANCE(""CURRENCY:"" &amp; Cost_in_dollars!E1067 &amp; ""USD""))
"),83560055.6429999)</f>
        <v>83560055.642999902</v>
      </c>
      <c r="Q1067" s="6">
        <f t="shared" ca="1" si="24"/>
        <v>-96395944.356999084</v>
      </c>
      <c r="R1067" s="7" t="str">
        <f t="shared" si="25"/>
        <v>Exodus: Gods and Kings</v>
      </c>
      <c r="S1067" s="43" t="str">
        <f t="shared" si="26"/>
        <v>Action</v>
      </c>
    </row>
    <row r="1068" spans="1:19" ht="15.75" customHeight="1" x14ac:dyDescent="0.25">
      <c r="A1068" s="4" t="s">
        <v>2664</v>
      </c>
      <c r="B1068" s="4">
        <v>44</v>
      </c>
      <c r="C1068" s="4">
        <v>13264986</v>
      </c>
      <c r="D1068" s="4" t="s">
        <v>3885</v>
      </c>
      <c r="E1068" s="4" t="s">
        <v>3886</v>
      </c>
      <c r="F1068" s="4" t="s">
        <v>3887</v>
      </c>
      <c r="G1068" s="4">
        <v>12077</v>
      </c>
      <c r="H1068" s="4" t="s">
        <v>3888</v>
      </c>
      <c r="I1068" s="4">
        <v>162</v>
      </c>
      <c r="J1068" s="4" t="s">
        <v>23</v>
      </c>
      <c r="K1068" s="4" t="s">
        <v>24</v>
      </c>
      <c r="L1068" s="4">
        <v>35000000</v>
      </c>
      <c r="M1068" s="4">
        <v>2001</v>
      </c>
      <c r="N1068" s="4">
        <v>6</v>
      </c>
      <c r="O1068" s="4">
        <f ca="1">IFERROR(__xludf.DUMMYFUNCTION("IF(Cost_in_dollars!E1068=""USD"",Cost_in_dollars!B1068,Cost_in_dollars!B1068 * GOOGLEFINANCE(""CURRENCY:"" &amp; Cost_in_dollars!E1068 &amp; ""USD""))
"),35000000)</f>
        <v>35000000</v>
      </c>
      <c r="P1068" s="4">
        <f ca="1">IFERROR(__xludf.DUMMYFUNCTION("IF(Cost_in_dollars!E1068=""USD"",Cost_in_dollars!C1068,Cost_in_dollars!C1068 * GOOGLEFINANCE(""CURRENCY:"" &amp; Cost_in_dollars!E1068 &amp; ""USD""))
"),13264986)</f>
        <v>13264986</v>
      </c>
      <c r="Q1068" s="4">
        <f t="shared" ca="1" si="24"/>
        <v>-21735014</v>
      </c>
      <c r="R1068" s="5" t="str">
        <f t="shared" si="25"/>
        <v>American Outlaws</v>
      </c>
      <c r="S1068" s="43" t="str">
        <f t="shared" si="26"/>
        <v>Action</v>
      </c>
    </row>
    <row r="1069" spans="1:19" ht="15.75" customHeight="1" x14ac:dyDescent="0.25">
      <c r="A1069" s="6" t="s">
        <v>308</v>
      </c>
      <c r="B1069" s="6">
        <v>284</v>
      </c>
      <c r="C1069" s="6">
        <v>42272747</v>
      </c>
      <c r="D1069" s="6" t="s">
        <v>2186</v>
      </c>
      <c r="E1069" s="6" t="s">
        <v>1029</v>
      </c>
      <c r="F1069" s="6" t="s">
        <v>3889</v>
      </c>
      <c r="G1069" s="6">
        <v>78635</v>
      </c>
      <c r="H1069" s="6" t="s">
        <v>3890</v>
      </c>
      <c r="I1069" s="6">
        <v>1040</v>
      </c>
      <c r="J1069" s="6" t="s">
        <v>23</v>
      </c>
      <c r="K1069" s="6" t="s">
        <v>24</v>
      </c>
      <c r="L1069" s="6">
        <v>70000000</v>
      </c>
      <c r="M1069" s="6">
        <v>2006</v>
      </c>
      <c r="N1069" s="6">
        <v>5.6</v>
      </c>
      <c r="O1069" s="4">
        <f ca="1">IFERROR(__xludf.DUMMYFUNCTION("IF(Cost_in_dollars!E1069=""USD"",Cost_in_dollars!B1069,Cost_in_dollars!B1069 * GOOGLEFINANCE(""CURRENCY:"" &amp; Cost_in_dollars!E1069 &amp; ""USD""))
"),70000000)</f>
        <v>70000000</v>
      </c>
      <c r="P1069" s="4">
        <f ca="1">IFERROR(__xludf.DUMMYFUNCTION("IF(Cost_in_dollars!E1069=""USD"",Cost_in_dollars!C1069,Cost_in_dollars!C1069 * GOOGLEFINANCE(""CURRENCY:"" &amp; Cost_in_dollars!E1069 &amp; ""USD""))
"),42272747)</f>
        <v>42272747</v>
      </c>
      <c r="Q1069" s="6">
        <f t="shared" ca="1" si="24"/>
        <v>-27727253</v>
      </c>
      <c r="R1069" s="7" t="str">
        <f t="shared" si="25"/>
        <v>Lady in the Water</v>
      </c>
      <c r="S1069" s="43" t="str">
        <f t="shared" si="26"/>
        <v>Drama</v>
      </c>
    </row>
    <row r="1070" spans="1:19" ht="15.75" customHeight="1" x14ac:dyDescent="0.25">
      <c r="A1070" s="4" t="s">
        <v>3891</v>
      </c>
      <c r="B1070" s="4">
        <v>37</v>
      </c>
      <c r="C1070" s="4">
        <v>15062898</v>
      </c>
      <c r="D1070" s="4" t="s">
        <v>140</v>
      </c>
      <c r="E1070" s="4" t="s">
        <v>3892</v>
      </c>
      <c r="F1070" s="4" t="s">
        <v>3893</v>
      </c>
      <c r="G1070" s="4">
        <v>11729</v>
      </c>
      <c r="H1070" s="4" t="s">
        <v>3894</v>
      </c>
      <c r="I1070" s="4">
        <v>106</v>
      </c>
      <c r="J1070" s="4" t="s">
        <v>23</v>
      </c>
      <c r="K1070" s="4" t="s">
        <v>24</v>
      </c>
      <c r="L1070" s="4">
        <v>14000000</v>
      </c>
      <c r="M1070" s="4">
        <v>1998</v>
      </c>
      <c r="N1070" s="4">
        <v>6</v>
      </c>
      <c r="O1070" s="4">
        <f ca="1">IFERROR(__xludf.DUMMYFUNCTION("IF(Cost_in_dollars!E1070=""USD"",Cost_in_dollars!B1070,Cost_in_dollars!B1070 * GOOGLEFINANCE(""CURRENCY:"" &amp; Cost_in_dollars!E1070 &amp; ""USD""))
"),14000000)</f>
        <v>14000000</v>
      </c>
      <c r="P1070" s="4">
        <f ca="1">IFERROR(__xludf.DUMMYFUNCTION("IF(Cost_in_dollars!E1070=""USD"",Cost_in_dollars!C1070,Cost_in_dollars!C1070 * GOOGLEFINANCE(""CURRENCY:"" &amp; Cost_in_dollars!E1070 &amp; ""USD""))
"),15062898)</f>
        <v>15062898</v>
      </c>
      <c r="Q1070" s="4">
        <f t="shared" ca="1" si="24"/>
        <v>1062898</v>
      </c>
      <c r="R1070" s="5" t="str">
        <f t="shared" si="25"/>
        <v>Dead Man on Campus</v>
      </c>
      <c r="S1070" s="43" t="str">
        <f t="shared" si="26"/>
        <v>Comedy</v>
      </c>
    </row>
    <row r="1071" spans="1:19" ht="15.75" customHeight="1" x14ac:dyDescent="0.25">
      <c r="A1071" s="6" t="s">
        <v>3895</v>
      </c>
      <c r="B1071" s="6">
        <v>78</v>
      </c>
      <c r="C1071" s="6">
        <v>198407</v>
      </c>
      <c r="D1071" s="6" t="s">
        <v>102</v>
      </c>
      <c r="E1071" s="6" t="s">
        <v>3896</v>
      </c>
      <c r="F1071" s="6" t="s">
        <v>3897</v>
      </c>
      <c r="G1071" s="6">
        <v>10282</v>
      </c>
      <c r="H1071" s="6" t="s">
        <v>3898</v>
      </c>
      <c r="I1071" s="6">
        <v>78</v>
      </c>
      <c r="J1071" s="6" t="s">
        <v>23</v>
      </c>
      <c r="K1071" s="6" t="s">
        <v>24</v>
      </c>
      <c r="L1071" s="6">
        <v>2000000</v>
      </c>
      <c r="M1071" s="6">
        <v>2006</v>
      </c>
      <c r="N1071" s="6">
        <v>6.6</v>
      </c>
      <c r="O1071" s="4">
        <f ca="1">IFERROR(__xludf.DUMMYFUNCTION("IF(Cost_in_dollars!E1071=""USD"",Cost_in_dollars!B1071,Cost_in_dollars!B1071 * GOOGLEFINANCE(""CURRENCY:"" &amp; Cost_in_dollars!E1071 &amp; ""USD""))
"),2000000)</f>
        <v>2000000</v>
      </c>
      <c r="P1071" s="4">
        <f ca="1">IFERROR(__xludf.DUMMYFUNCTION("IF(Cost_in_dollars!E1071=""USD"",Cost_in_dollars!C1071,Cost_in_dollars!C1071 * GOOGLEFINANCE(""CURRENCY:"" &amp; Cost_in_dollars!E1071 &amp; ""USD""))
"),198407)</f>
        <v>198407</v>
      </c>
      <c r="Q1071" s="6">
        <f t="shared" ca="1" si="24"/>
        <v>-1801593</v>
      </c>
      <c r="R1071" s="7" t="str">
        <f t="shared" si="25"/>
        <v>Sherrybaby</v>
      </c>
      <c r="S1071" s="43" t="str">
        <f t="shared" si="26"/>
        <v>Drama</v>
      </c>
    </row>
    <row r="1072" spans="1:19" ht="15.75" customHeight="1" x14ac:dyDescent="0.25">
      <c r="A1072" s="4" t="s">
        <v>1019</v>
      </c>
      <c r="B1072" s="4">
        <v>196</v>
      </c>
      <c r="C1072" s="4">
        <v>21197315</v>
      </c>
      <c r="D1072" s="4" t="s">
        <v>93</v>
      </c>
      <c r="E1072" s="4" t="s">
        <v>3549</v>
      </c>
      <c r="F1072" s="4" t="s">
        <v>3899</v>
      </c>
      <c r="G1072" s="4">
        <v>49948</v>
      </c>
      <c r="H1072" s="4" t="s">
        <v>3900</v>
      </c>
      <c r="I1072" s="4">
        <v>211</v>
      </c>
      <c r="J1072" s="4" t="s">
        <v>23</v>
      </c>
      <c r="K1072" s="4" t="s">
        <v>24</v>
      </c>
      <c r="L1072" s="4">
        <v>5000000</v>
      </c>
      <c r="M1072" s="4">
        <v>2014</v>
      </c>
      <c r="N1072" s="4">
        <v>6.1</v>
      </c>
      <c r="O1072" s="4">
        <f ca="1">IFERROR(__xludf.DUMMYFUNCTION("IF(Cost_in_dollars!E1072=""USD"",Cost_in_dollars!B1072,Cost_in_dollars!B1072 * GOOGLEFINANCE(""CURRENCY:"" &amp; Cost_in_dollars!E1072 &amp; ""USD""))
"),5000000)</f>
        <v>5000000</v>
      </c>
      <c r="P1072" s="4">
        <f ca="1">IFERROR(__xludf.DUMMYFUNCTION("IF(Cost_in_dollars!E1072=""USD"",Cost_in_dollars!C1072,Cost_in_dollars!C1072 * GOOGLEFINANCE(""CURRENCY:"" &amp; Cost_in_dollars!E1072 &amp; ""USD""))
"),21197315)</f>
        <v>21197315</v>
      </c>
      <c r="Q1072" s="4">
        <f t="shared" ca="1" si="24"/>
        <v>16197315</v>
      </c>
      <c r="R1072" s="5" t="str">
        <f t="shared" si="25"/>
        <v>As Above, So Below</v>
      </c>
      <c r="S1072" s="43" t="str">
        <f t="shared" si="26"/>
        <v>Horror</v>
      </c>
    </row>
    <row r="1073" spans="1:19" ht="15.75" customHeight="1" x14ac:dyDescent="0.25">
      <c r="A1073" s="6" t="s">
        <v>1755</v>
      </c>
      <c r="B1073" s="6">
        <v>275</v>
      </c>
      <c r="C1073" s="6">
        <v>16684352</v>
      </c>
      <c r="D1073" s="6" t="s">
        <v>88</v>
      </c>
      <c r="E1073" s="6" t="s">
        <v>3901</v>
      </c>
      <c r="F1073" s="6" t="s">
        <v>3902</v>
      </c>
      <c r="G1073" s="6">
        <v>67893</v>
      </c>
      <c r="H1073" s="6" t="s">
        <v>3903</v>
      </c>
      <c r="I1073" s="6">
        <v>163</v>
      </c>
      <c r="J1073" s="6" t="s">
        <v>23</v>
      </c>
      <c r="K1073" s="6" t="s">
        <v>24</v>
      </c>
      <c r="L1073" s="6">
        <v>17000000</v>
      </c>
      <c r="M1073" s="6">
        <v>2012</v>
      </c>
      <c r="N1073" s="6">
        <v>6.3</v>
      </c>
      <c r="O1073" s="4">
        <f ca="1">IFERROR(__xludf.DUMMYFUNCTION("IF(Cost_in_dollars!E1073=""USD"",Cost_in_dollars!B1073,Cost_in_dollars!B1073 * GOOGLEFINANCE(""CURRENCY:"" &amp; Cost_in_dollars!E1073 &amp; ""USD""))
"),17000000)</f>
        <v>17000000</v>
      </c>
      <c r="P1073" s="4">
        <f ca="1">IFERROR(__xludf.DUMMYFUNCTION("IF(Cost_in_dollars!E1073=""USD"",Cost_in_dollars!C1073,Cost_in_dollars!C1073 * GOOGLEFINANCE(""CURRENCY:"" &amp; Cost_in_dollars!E1073 &amp; ""USD""))
"),16684352)</f>
        <v>16684352</v>
      </c>
      <c r="Q1073" s="6">
        <f t="shared" ca="1" si="24"/>
        <v>-315648</v>
      </c>
      <c r="R1073" s="7" t="str">
        <f t="shared" si="25"/>
        <v>To Rome with Love</v>
      </c>
      <c r="S1073" s="43" t="str">
        <f t="shared" si="26"/>
        <v>Comedy</v>
      </c>
    </row>
    <row r="1074" spans="1:19" ht="15.75" customHeight="1" x14ac:dyDescent="0.25">
      <c r="A1074" s="4" t="s">
        <v>3904</v>
      </c>
      <c r="B1074" s="4">
        <v>185</v>
      </c>
      <c r="C1074" s="4">
        <v>26583369</v>
      </c>
      <c r="D1074" s="4" t="s">
        <v>93</v>
      </c>
      <c r="E1074" s="4" t="s">
        <v>3905</v>
      </c>
      <c r="F1074" s="4" t="s">
        <v>3906</v>
      </c>
      <c r="G1074" s="4">
        <v>20837</v>
      </c>
      <c r="H1074" s="4" t="s">
        <v>3907</v>
      </c>
      <c r="I1074" s="4">
        <v>127</v>
      </c>
      <c r="J1074" s="4" t="s">
        <v>23</v>
      </c>
      <c r="K1074" s="4" t="s">
        <v>24</v>
      </c>
      <c r="L1074" s="4">
        <v>10000000</v>
      </c>
      <c r="M1074" s="4">
        <v>2016</v>
      </c>
      <c r="N1074" s="4">
        <v>4.8</v>
      </c>
      <c r="O1074" s="4">
        <f ca="1">IFERROR(__xludf.DUMMYFUNCTION("IF(Cost_in_dollars!E1074=""USD"",Cost_in_dollars!B1074,Cost_in_dollars!B1074 * GOOGLEFINANCE(""CURRENCY:"" &amp; Cost_in_dollars!E1074 &amp; ""USD""))
"),10000000)</f>
        <v>10000000</v>
      </c>
      <c r="P1074" s="4">
        <f ca="1">IFERROR(__xludf.DUMMYFUNCTION("IF(Cost_in_dollars!E1074=""USD"",Cost_in_dollars!C1074,Cost_in_dollars!C1074 * GOOGLEFINANCE(""CURRENCY:"" &amp; Cost_in_dollars!E1074 &amp; ""USD""))
"),26583369)</f>
        <v>26583369</v>
      </c>
      <c r="Q1074" s="4">
        <f t="shared" ca="1" si="24"/>
        <v>16583369</v>
      </c>
      <c r="R1074" s="5" t="str">
        <f t="shared" si="25"/>
        <v>The Forest</v>
      </c>
      <c r="S1074" s="43" t="str">
        <f t="shared" si="26"/>
        <v>Horror</v>
      </c>
    </row>
    <row r="1075" spans="1:19" ht="15.75" customHeight="1" x14ac:dyDescent="0.25">
      <c r="A1075" s="6" t="s">
        <v>3908</v>
      </c>
      <c r="B1075" s="6">
        <v>225</v>
      </c>
      <c r="C1075" s="6">
        <v>92401</v>
      </c>
      <c r="D1075" s="6" t="s">
        <v>309</v>
      </c>
      <c r="E1075" s="6" t="s">
        <v>3909</v>
      </c>
      <c r="F1075" s="6" t="s">
        <v>3910</v>
      </c>
      <c r="G1075" s="6">
        <v>56402</v>
      </c>
      <c r="H1075" s="6" t="s">
        <v>3911</v>
      </c>
      <c r="I1075" s="6">
        <v>209</v>
      </c>
      <c r="J1075" s="6" t="s">
        <v>23</v>
      </c>
      <c r="K1075" s="6" t="s">
        <v>24</v>
      </c>
      <c r="L1075" s="6">
        <v>2000000</v>
      </c>
      <c r="M1075" s="6">
        <v>2010</v>
      </c>
      <c r="N1075" s="6">
        <v>6.3</v>
      </c>
      <c r="O1075" s="4">
        <f ca="1">IFERROR(__xludf.DUMMYFUNCTION("IF(Cost_in_dollars!E1075=""USD"",Cost_in_dollars!B1075,Cost_in_dollars!B1075 * GOOGLEFINANCE(""CURRENCY:"" &amp; Cost_in_dollars!E1075 &amp; ""USD""))
"),2000000)</f>
        <v>2000000</v>
      </c>
      <c r="P1075" s="4">
        <f ca="1">IFERROR(__xludf.DUMMYFUNCTION("IF(Cost_in_dollars!E1075=""USD"",Cost_in_dollars!C1075,Cost_in_dollars!C1075 * GOOGLEFINANCE(""CURRENCY:"" &amp; Cost_in_dollars!E1075 &amp; ""USD""))
"),92401)</f>
        <v>92401</v>
      </c>
      <c r="Q1075" s="6">
        <f t="shared" ca="1" si="24"/>
        <v>-1907599</v>
      </c>
      <c r="R1075" s="7" t="str">
        <f t="shared" si="25"/>
        <v>I Spit on Your Grave</v>
      </c>
      <c r="S1075" s="43" t="str">
        <f t="shared" si="26"/>
        <v>Horror</v>
      </c>
    </row>
    <row r="1076" spans="1:19" ht="15.75" customHeight="1" x14ac:dyDescent="0.25">
      <c r="A1076" s="4" t="s">
        <v>2324</v>
      </c>
      <c r="B1076" s="4">
        <v>123</v>
      </c>
      <c r="C1076" s="4">
        <v>74484168</v>
      </c>
      <c r="D1076" s="4" t="s">
        <v>613</v>
      </c>
      <c r="E1076" s="4" t="s">
        <v>3912</v>
      </c>
      <c r="F1076" s="4" t="s">
        <v>3913</v>
      </c>
      <c r="G1076" s="4">
        <v>109894</v>
      </c>
      <c r="H1076" s="4" t="s">
        <v>3914</v>
      </c>
      <c r="I1076" s="4">
        <v>340</v>
      </c>
      <c r="J1076" s="4" t="s">
        <v>23</v>
      </c>
      <c r="K1076" s="4" t="s">
        <v>24</v>
      </c>
      <c r="L1076" s="4">
        <v>45000000</v>
      </c>
      <c r="M1076" s="4">
        <v>2005</v>
      </c>
      <c r="N1076" s="4">
        <v>6.9</v>
      </c>
      <c r="O1076" s="4">
        <f ca="1">IFERROR(__xludf.DUMMYFUNCTION("IF(Cost_in_dollars!E1076=""USD"",Cost_in_dollars!B1076,Cost_in_dollars!B1076 * GOOGLEFINANCE(""CURRENCY:"" &amp; Cost_in_dollars!E1076 &amp; ""USD""))
"),45000000)</f>
        <v>45000000</v>
      </c>
      <c r="P1076" s="4">
        <f ca="1">IFERROR(__xludf.DUMMYFUNCTION("IF(Cost_in_dollars!E1076=""USD"",Cost_in_dollars!C1076,Cost_in_dollars!C1076 * GOOGLEFINANCE(""CURRENCY:"" &amp; Cost_in_dollars!E1076 &amp; ""USD""))
"),74484168)</f>
        <v>74484168</v>
      </c>
      <c r="Q1076" s="4">
        <f t="shared" ca="1" si="24"/>
        <v>29484168</v>
      </c>
      <c r="R1076" s="5" t="str">
        <f t="shared" si="25"/>
        <v>Four Brothers</v>
      </c>
      <c r="S1076" s="43" t="str">
        <f t="shared" si="26"/>
        <v>Action</v>
      </c>
    </row>
    <row r="1077" spans="1:19" ht="15.75" customHeight="1" x14ac:dyDescent="0.25">
      <c r="A1077" s="6" t="s">
        <v>2001</v>
      </c>
      <c r="B1077" s="6">
        <v>90</v>
      </c>
      <c r="C1077" s="6">
        <v>58800000</v>
      </c>
      <c r="D1077" s="6" t="s">
        <v>1127</v>
      </c>
      <c r="E1077" s="6" t="s">
        <v>3915</v>
      </c>
      <c r="F1077" s="6" t="s">
        <v>3916</v>
      </c>
      <c r="G1077" s="6">
        <v>40511</v>
      </c>
      <c r="H1077" s="6" t="s">
        <v>3917</v>
      </c>
      <c r="I1077" s="6">
        <v>213</v>
      </c>
      <c r="J1077" s="6" t="s">
        <v>23</v>
      </c>
      <c r="K1077" s="6" t="s">
        <v>133</v>
      </c>
      <c r="L1077" s="6">
        <v>5500000</v>
      </c>
      <c r="M1077" s="6">
        <v>1981</v>
      </c>
      <c r="N1077" s="6">
        <v>7.2</v>
      </c>
      <c r="O1077" s="4">
        <f ca="1">IFERROR(__xludf.DUMMYFUNCTION("IF(Cost_in_dollars!E1077=""USD"",Cost_in_dollars!B1077,Cost_in_dollars!B1077 * GOOGLEFINANCE(""CURRENCY:"" &amp; Cost_in_dollars!E1077 &amp; ""USD""))
"),7069699.99999999)</f>
        <v>7069699.9999999898</v>
      </c>
      <c r="P1077" s="4">
        <f ca="1">IFERROR(__xludf.DUMMYFUNCTION("IF(Cost_in_dollars!E1077=""USD"",Cost_in_dollars!C1077,Cost_in_dollars!C1077 * GOOGLEFINANCE(""CURRENCY:"" &amp; Cost_in_dollars!E1077 &amp; ""USD""))
"),75581520)</f>
        <v>75581520</v>
      </c>
      <c r="Q1077" s="6">
        <f t="shared" ca="1" si="24"/>
        <v>68511820.000000015</v>
      </c>
      <c r="R1077" s="7" t="str">
        <f t="shared" si="25"/>
        <v>Chariots of Fire</v>
      </c>
      <c r="S1077" s="43" t="str">
        <f t="shared" si="26"/>
        <v>Biography</v>
      </c>
    </row>
    <row r="1078" spans="1:19" ht="15.75" customHeight="1" x14ac:dyDescent="0.25">
      <c r="A1078" s="4" t="s">
        <v>3918</v>
      </c>
      <c r="B1078" s="4">
        <v>136</v>
      </c>
      <c r="C1078" s="4">
        <v>4681503</v>
      </c>
      <c r="D1078" s="4" t="s">
        <v>457</v>
      </c>
      <c r="E1078" s="4" t="s">
        <v>3919</v>
      </c>
      <c r="F1078" s="4" t="s">
        <v>3920</v>
      </c>
      <c r="G1078" s="4">
        <v>29058</v>
      </c>
      <c r="H1078" s="4" t="s">
        <v>3921</v>
      </c>
      <c r="I1078" s="4">
        <v>238</v>
      </c>
      <c r="J1078" s="4" t="s">
        <v>23</v>
      </c>
      <c r="K1078" s="4" t="s">
        <v>24</v>
      </c>
      <c r="L1078" s="4">
        <v>9000000</v>
      </c>
      <c r="M1078" s="4">
        <v>2002</v>
      </c>
      <c r="N1078" s="4">
        <v>7</v>
      </c>
      <c r="O1078" s="4">
        <f ca="1">IFERROR(__xludf.DUMMYFUNCTION("IF(Cost_in_dollars!E1078=""USD"",Cost_in_dollars!B1078,Cost_in_dollars!B1078 * GOOGLEFINANCE(""CURRENCY:"" &amp; Cost_in_dollars!E1078 &amp; ""USD""))
"),9000000)</f>
        <v>9000000</v>
      </c>
      <c r="P1078" s="4">
        <f ca="1">IFERROR(__xludf.DUMMYFUNCTION("IF(Cost_in_dollars!E1078=""USD"",Cost_in_dollars!C1078,Cost_in_dollars!C1078 * GOOGLEFINANCE(""CURRENCY:"" &amp; Cost_in_dollars!E1078 &amp; ""USD""))
"),4681503)</f>
        <v>4681503</v>
      </c>
      <c r="Q1078" s="4">
        <f t="shared" ca="1" si="24"/>
        <v>-4318497</v>
      </c>
      <c r="R1078" s="5" t="str">
        <f t="shared" si="25"/>
        <v>Igby Goes Down</v>
      </c>
      <c r="S1078" s="43" t="str">
        <f t="shared" si="26"/>
        <v>Comedy</v>
      </c>
    </row>
    <row r="1079" spans="1:19" ht="15.75" customHeight="1" x14ac:dyDescent="0.25">
      <c r="A1079" s="6" t="s">
        <v>1706</v>
      </c>
      <c r="B1079" s="6">
        <v>192</v>
      </c>
      <c r="C1079" s="6">
        <v>16248701</v>
      </c>
      <c r="D1079" s="6" t="s">
        <v>102</v>
      </c>
      <c r="E1079" s="6" t="s">
        <v>877</v>
      </c>
      <c r="F1079" s="6" t="s">
        <v>3922</v>
      </c>
      <c r="G1079" s="6">
        <v>189683</v>
      </c>
      <c r="H1079" s="6" t="s">
        <v>3923</v>
      </c>
      <c r="I1079" s="6">
        <v>559</v>
      </c>
      <c r="J1079" s="6" t="s">
        <v>23</v>
      </c>
      <c r="K1079" s="6" t="s">
        <v>24</v>
      </c>
      <c r="L1079" s="6">
        <v>20000000</v>
      </c>
      <c r="M1079" s="6">
        <v>2003</v>
      </c>
      <c r="N1079" s="6">
        <v>7.7</v>
      </c>
      <c r="O1079" s="4">
        <f ca="1">IFERROR(__xludf.DUMMYFUNCTION("IF(Cost_in_dollars!E1079=""USD"",Cost_in_dollars!B1079,Cost_in_dollars!B1079 * GOOGLEFINANCE(""CURRENCY:"" &amp; Cost_in_dollars!E1079 &amp; ""USD""))
"),20000000)</f>
        <v>20000000</v>
      </c>
      <c r="P1079" s="4">
        <f ca="1">IFERROR(__xludf.DUMMYFUNCTION("IF(Cost_in_dollars!E1079=""USD"",Cost_in_dollars!C1079,Cost_in_dollars!C1079 * GOOGLEFINANCE(""CURRENCY:"" &amp; Cost_in_dollars!E1079 &amp; ""USD""))
"),16248701)</f>
        <v>16248701</v>
      </c>
      <c r="Q1079" s="6">
        <f t="shared" ca="1" si="24"/>
        <v>-3751299</v>
      </c>
      <c r="R1079" s="7" t="str">
        <f t="shared" si="25"/>
        <v>21 Grams</v>
      </c>
      <c r="S1079" s="43" t="str">
        <f t="shared" si="26"/>
        <v>Drama</v>
      </c>
    </row>
    <row r="1080" spans="1:19" ht="15.75" customHeight="1" x14ac:dyDescent="0.25">
      <c r="A1080" s="4" t="s">
        <v>3218</v>
      </c>
      <c r="B1080" s="4">
        <v>313</v>
      </c>
      <c r="C1080" s="4">
        <v>50549107</v>
      </c>
      <c r="D1080" s="4" t="s">
        <v>178</v>
      </c>
      <c r="E1080" s="4" t="s">
        <v>3924</v>
      </c>
      <c r="F1080" s="4" t="s">
        <v>3925</v>
      </c>
      <c r="G1080" s="4">
        <v>99035</v>
      </c>
      <c r="H1080" s="4" t="s">
        <v>3926</v>
      </c>
      <c r="I1080" s="4">
        <v>289</v>
      </c>
      <c r="J1080" s="4" t="s">
        <v>23</v>
      </c>
      <c r="K1080" s="4" t="s">
        <v>24</v>
      </c>
      <c r="L1080" s="4">
        <v>60000000</v>
      </c>
      <c r="M1080" s="4">
        <v>2014</v>
      </c>
      <c r="N1080" s="4">
        <v>6.2</v>
      </c>
      <c r="O1080" s="4">
        <f ca="1">IFERROR(__xludf.DUMMYFUNCTION("IF(Cost_in_dollars!E1080=""USD"",Cost_in_dollars!B1080,Cost_in_dollars!B1080 * GOOGLEFINANCE(""CURRENCY:"" &amp; Cost_in_dollars!E1080 &amp; ""USD""))
"),60000000)</f>
        <v>60000000</v>
      </c>
      <c r="P1080" s="4">
        <f ca="1">IFERROR(__xludf.DUMMYFUNCTION("IF(Cost_in_dollars!E1080=""USD"",Cost_in_dollars!C1080,Cost_in_dollars!C1080 * GOOGLEFINANCE(""CURRENCY:"" &amp; Cost_in_dollars!E1080 &amp; ""USD""))
"),50549107)</f>
        <v>50549107</v>
      </c>
      <c r="Q1080" s="4">
        <f t="shared" ca="1" si="24"/>
        <v>-9450893</v>
      </c>
      <c r="R1080" s="5" t="str">
        <f t="shared" si="25"/>
        <v>Jack Ryan: Shadow Recruit</v>
      </c>
      <c r="S1080" s="43" t="str">
        <f t="shared" si="26"/>
        <v>Action</v>
      </c>
    </row>
    <row r="1081" spans="1:19" ht="15.75" customHeight="1" x14ac:dyDescent="0.25">
      <c r="A1081" s="6" t="s">
        <v>3927</v>
      </c>
      <c r="B1081" s="6">
        <v>264</v>
      </c>
      <c r="C1081" s="6">
        <v>84749884</v>
      </c>
      <c r="D1081" s="6" t="s">
        <v>151</v>
      </c>
      <c r="E1081" s="6" t="s">
        <v>3928</v>
      </c>
      <c r="F1081" s="6" t="s">
        <v>3929</v>
      </c>
      <c r="G1081" s="6">
        <v>82133</v>
      </c>
      <c r="H1081" s="6" t="s">
        <v>3930</v>
      </c>
      <c r="I1081" s="6">
        <v>359</v>
      </c>
      <c r="J1081" s="6" t="s">
        <v>23</v>
      </c>
      <c r="K1081" s="6" t="s">
        <v>24</v>
      </c>
      <c r="L1081" s="6">
        <v>3000000</v>
      </c>
      <c r="M1081" s="6">
        <v>2010</v>
      </c>
      <c r="N1081" s="6">
        <v>5.7</v>
      </c>
      <c r="O1081" s="4">
        <f ca="1">IFERROR(__xludf.DUMMYFUNCTION("IF(Cost_in_dollars!E1081=""USD"",Cost_in_dollars!B1081,Cost_in_dollars!B1081 * GOOGLEFINANCE(""CURRENCY:"" &amp; Cost_in_dollars!E1081 &amp; ""USD""))
"),3000000)</f>
        <v>3000000</v>
      </c>
      <c r="P1081" s="4">
        <f ca="1">IFERROR(__xludf.DUMMYFUNCTION("IF(Cost_in_dollars!E1081=""USD"",Cost_in_dollars!C1081,Cost_in_dollars!C1081 * GOOGLEFINANCE(""CURRENCY:"" &amp; Cost_in_dollars!E1081 &amp; ""USD""))
"),84749884)</f>
        <v>84749884</v>
      </c>
      <c r="Q1081" s="6">
        <f t="shared" ca="1" si="24"/>
        <v>81749884</v>
      </c>
      <c r="R1081" s="7" t="str">
        <f t="shared" si="25"/>
        <v>Paranormal Activity 2</v>
      </c>
      <c r="S1081" s="43" t="str">
        <f t="shared" si="26"/>
        <v>Horror</v>
      </c>
    </row>
    <row r="1082" spans="1:19" ht="15.75" customHeight="1" x14ac:dyDescent="0.25">
      <c r="A1082" s="4" t="s">
        <v>3931</v>
      </c>
      <c r="B1082" s="4">
        <v>84</v>
      </c>
      <c r="C1082" s="4">
        <v>36581633</v>
      </c>
      <c r="D1082" s="4" t="s">
        <v>1788</v>
      </c>
      <c r="E1082" s="4" t="s">
        <v>1869</v>
      </c>
      <c r="F1082" s="4" t="s">
        <v>3932</v>
      </c>
      <c r="G1082" s="4">
        <v>52533</v>
      </c>
      <c r="H1082" s="4" t="s">
        <v>3933</v>
      </c>
      <c r="I1082" s="4">
        <v>235</v>
      </c>
      <c r="J1082" s="4" t="s">
        <v>23</v>
      </c>
      <c r="K1082" s="4" t="s">
        <v>176</v>
      </c>
      <c r="L1082" s="4">
        <v>21000000</v>
      </c>
      <c r="M1082" s="4">
        <v>2007</v>
      </c>
      <c r="N1082" s="4">
        <v>7.5</v>
      </c>
      <c r="O1082" s="4">
        <f ca="1">IFERROR(__xludf.DUMMYFUNCTION("IF(Cost_in_dollars!E1082=""USD"",Cost_in_dollars!B1082,Cost_in_dollars!B1082 * GOOGLEFINANCE(""CURRENCY:"" &amp; Cost_in_dollars!E1082 &amp; ""USD""))
"),22779540)</f>
        <v>22779540</v>
      </c>
      <c r="P1082" s="4">
        <f ca="1">IFERROR(__xludf.DUMMYFUNCTION("IF(Cost_in_dollars!E1082=""USD"",Cost_in_dollars!C1082,Cost_in_dollars!C1082 * GOOGLEFINANCE(""CURRENCY:"" &amp; Cost_in_dollars!E1082 &amp; ""USD""))
"),39681560.58042)</f>
        <v>39681560.580420002</v>
      </c>
      <c r="Q1082" s="4">
        <f t="shared" ca="1" si="24"/>
        <v>16902020.580420002</v>
      </c>
      <c r="R1082" s="5" t="str">
        <f t="shared" si="25"/>
        <v>Freedom Writers</v>
      </c>
      <c r="S1082" s="43" t="str">
        <f t="shared" si="26"/>
        <v>Biography</v>
      </c>
    </row>
    <row r="1083" spans="1:19" ht="15.75" customHeight="1" x14ac:dyDescent="0.25">
      <c r="A1083" s="6" t="s">
        <v>3423</v>
      </c>
      <c r="B1083" s="6">
        <v>20</v>
      </c>
      <c r="C1083" s="6">
        <v>10555348</v>
      </c>
      <c r="D1083" s="6" t="s">
        <v>443</v>
      </c>
      <c r="E1083" s="6" t="s">
        <v>886</v>
      </c>
      <c r="F1083" s="6" t="s">
        <v>3934</v>
      </c>
      <c r="G1083" s="6">
        <v>17349</v>
      </c>
      <c r="H1083" s="6" t="s">
        <v>3935</v>
      </c>
      <c r="I1083" s="6">
        <v>42</v>
      </c>
      <c r="J1083" s="6" t="s">
        <v>23</v>
      </c>
      <c r="K1083" s="6" t="s">
        <v>24</v>
      </c>
      <c r="L1083" s="6">
        <v>20000000</v>
      </c>
      <c r="M1083" s="6">
        <v>1989</v>
      </c>
      <c r="N1083" s="6">
        <v>6</v>
      </c>
      <c r="O1083" s="4">
        <f ca="1">IFERROR(__xludf.DUMMYFUNCTION("IF(Cost_in_dollars!E1083=""USD"",Cost_in_dollars!B1083,Cost_in_dollars!B1083 * GOOGLEFINANCE(""CURRENCY:"" &amp; Cost_in_dollars!E1083 &amp; ""USD""))
"),20000000)</f>
        <v>20000000</v>
      </c>
      <c r="P1083" s="4">
        <f ca="1">IFERROR(__xludf.DUMMYFUNCTION("IF(Cost_in_dollars!E1083=""USD"",Cost_in_dollars!C1083,Cost_in_dollars!C1083 * GOOGLEFINANCE(""CURRENCY:"" &amp; Cost_in_dollars!E1083 &amp; ""USD""))
"),10555348)</f>
        <v>10555348</v>
      </c>
      <c r="Q1083" s="6">
        <f t="shared" ca="1" si="24"/>
        <v>-9444652</v>
      </c>
      <c r="R1083" s="7" t="str">
        <f t="shared" si="25"/>
        <v>We're No Angels</v>
      </c>
      <c r="S1083" s="43" t="str">
        <f t="shared" si="26"/>
        <v>Comedy</v>
      </c>
    </row>
    <row r="1084" spans="1:19" ht="15.75" customHeight="1" x14ac:dyDescent="0.25">
      <c r="A1084" s="4" t="s">
        <v>1452</v>
      </c>
      <c r="B1084" s="4">
        <v>191</v>
      </c>
      <c r="C1084" s="4">
        <v>118153533</v>
      </c>
      <c r="D1084" s="4" t="s">
        <v>3417</v>
      </c>
      <c r="E1084" s="4" t="s">
        <v>444</v>
      </c>
      <c r="F1084" s="4" t="s">
        <v>3936</v>
      </c>
      <c r="G1084" s="4">
        <v>129995</v>
      </c>
      <c r="H1084" s="4" t="s">
        <v>3937</v>
      </c>
      <c r="I1084" s="4">
        <v>246</v>
      </c>
      <c r="J1084" s="4" t="s">
        <v>23</v>
      </c>
      <c r="K1084" s="4" t="s">
        <v>24</v>
      </c>
      <c r="L1084" s="4">
        <v>61000000</v>
      </c>
      <c r="M1084" s="4">
        <v>2007</v>
      </c>
      <c r="N1084" s="4">
        <v>6.3</v>
      </c>
      <c r="O1084" s="4">
        <f ca="1">IFERROR(__xludf.DUMMYFUNCTION("IF(Cost_in_dollars!E1084=""USD"",Cost_in_dollars!B1084,Cost_in_dollars!B1084 * GOOGLEFINANCE(""CURRENCY:"" &amp; Cost_in_dollars!E1084 &amp; ""USD""))
"),61000000)</f>
        <v>61000000</v>
      </c>
      <c r="P1084" s="4">
        <f ca="1">IFERROR(__xludf.DUMMYFUNCTION("IF(Cost_in_dollars!E1084=""USD"",Cost_in_dollars!C1084,Cost_in_dollars!C1084 * GOOGLEFINANCE(""CURRENCY:"" &amp; Cost_in_dollars!E1084 &amp; ""USD""))
"),118153533)</f>
        <v>118153533</v>
      </c>
      <c r="Q1084" s="4">
        <f t="shared" ca="1" si="24"/>
        <v>57153533</v>
      </c>
      <c r="R1084" s="5" t="str">
        <f t="shared" si="25"/>
        <v>Blades of Glory</v>
      </c>
      <c r="S1084" s="43" t="str">
        <f t="shared" si="26"/>
        <v>Comedy</v>
      </c>
    </row>
    <row r="1085" spans="1:19" ht="15.75" customHeight="1" x14ac:dyDescent="0.25">
      <c r="A1085" s="6" t="s">
        <v>2245</v>
      </c>
      <c r="B1085" s="6">
        <v>156</v>
      </c>
      <c r="C1085" s="6">
        <v>24343673</v>
      </c>
      <c r="D1085" s="6" t="s">
        <v>2246</v>
      </c>
      <c r="E1085" s="6" t="s">
        <v>2247</v>
      </c>
      <c r="F1085" s="6" t="s">
        <v>2248</v>
      </c>
      <c r="G1085" s="6">
        <v>91860</v>
      </c>
      <c r="H1085" s="6" t="s">
        <v>2249</v>
      </c>
      <c r="I1085" s="6">
        <v>524</v>
      </c>
      <c r="J1085" s="6" t="s">
        <v>23</v>
      </c>
      <c r="K1085" s="6" t="s">
        <v>24</v>
      </c>
      <c r="L1085" s="6">
        <v>45000000</v>
      </c>
      <c r="M1085" s="6">
        <v>2007</v>
      </c>
      <c r="N1085" s="6">
        <v>7.4</v>
      </c>
      <c r="O1085" s="4">
        <f ca="1">IFERROR(__xludf.DUMMYFUNCTION("IF(Cost_in_dollars!E1085=""USD"",Cost_in_dollars!B1085,Cost_in_dollars!B1085 * GOOGLEFINANCE(""CURRENCY:"" &amp; Cost_in_dollars!E1085 &amp; ""USD""))
"),45000000)</f>
        <v>45000000</v>
      </c>
      <c r="P1085" s="4">
        <f ca="1">IFERROR(__xludf.DUMMYFUNCTION("IF(Cost_in_dollars!E1085=""USD"",Cost_in_dollars!C1085,Cost_in_dollars!C1085 * GOOGLEFINANCE(""CURRENCY:"" &amp; Cost_in_dollars!E1085 &amp; ""USD""))
"),24343673)</f>
        <v>24343673</v>
      </c>
      <c r="Q1085" s="6">
        <f t="shared" ca="1" si="24"/>
        <v>-20656327</v>
      </c>
      <c r="R1085" s="7" t="str">
        <f t="shared" si="25"/>
        <v>Across the Universe</v>
      </c>
      <c r="S1085" s="43" t="str">
        <f t="shared" si="26"/>
        <v>Drama</v>
      </c>
    </row>
    <row r="1086" spans="1:19" ht="15.75" customHeight="1" x14ac:dyDescent="0.25">
      <c r="A1086" s="4" t="s">
        <v>3938</v>
      </c>
      <c r="B1086" s="4">
        <v>432</v>
      </c>
      <c r="C1086" s="4">
        <v>209364921</v>
      </c>
      <c r="D1086" s="4" t="s">
        <v>477</v>
      </c>
      <c r="E1086" s="4" t="s">
        <v>223</v>
      </c>
      <c r="F1086" s="4" t="s">
        <v>3939</v>
      </c>
      <c r="G1086" s="4">
        <v>365104</v>
      </c>
      <c r="H1086" s="4" t="s">
        <v>3940</v>
      </c>
      <c r="I1086" s="4">
        <v>512</v>
      </c>
      <c r="J1086" s="4" t="s">
        <v>23</v>
      </c>
      <c r="K1086" s="4" t="s">
        <v>24</v>
      </c>
      <c r="L1086" s="4">
        <v>145000000</v>
      </c>
      <c r="M1086" s="4">
        <v>2011</v>
      </c>
      <c r="N1086" s="4">
        <v>7.4</v>
      </c>
      <c r="O1086" s="4">
        <f ca="1">IFERROR(__xludf.DUMMYFUNCTION("IF(Cost_in_dollars!E1086=""USD"",Cost_in_dollars!B1086,Cost_in_dollars!B1086 * GOOGLEFINANCE(""CURRENCY:"" &amp; Cost_in_dollars!E1086 &amp; ""USD""))
"),145000000)</f>
        <v>145000000</v>
      </c>
      <c r="P1086" s="4">
        <f ca="1">IFERROR(__xludf.DUMMYFUNCTION("IF(Cost_in_dollars!E1086=""USD"",Cost_in_dollars!C1086,Cost_in_dollars!C1086 * GOOGLEFINANCE(""CURRENCY:"" &amp; Cost_in_dollars!E1086 &amp; ""USD""))
"),209364921)</f>
        <v>209364921</v>
      </c>
      <c r="Q1086" s="4">
        <f t="shared" ca="1" si="24"/>
        <v>64364921</v>
      </c>
      <c r="R1086" s="5" t="str">
        <f t="shared" si="25"/>
        <v>Mission: Impossible - Ghost Protocol</v>
      </c>
      <c r="S1086" s="43" t="str">
        <f t="shared" si="26"/>
        <v>Action</v>
      </c>
    </row>
    <row r="1087" spans="1:19" ht="15.75" customHeight="1" x14ac:dyDescent="0.25">
      <c r="A1087" s="6" t="s">
        <v>1593</v>
      </c>
      <c r="B1087" s="6">
        <v>28</v>
      </c>
      <c r="C1087" s="6">
        <v>1508689</v>
      </c>
      <c r="D1087" s="6" t="s">
        <v>235</v>
      </c>
      <c r="E1087" s="6" t="s">
        <v>1503</v>
      </c>
      <c r="F1087" s="6" t="s">
        <v>3941</v>
      </c>
      <c r="G1087" s="6">
        <v>5648</v>
      </c>
      <c r="H1087" s="6" t="s">
        <v>3942</v>
      </c>
      <c r="I1087" s="6">
        <v>50</v>
      </c>
      <c r="J1087" s="6" t="s">
        <v>23</v>
      </c>
      <c r="K1087" s="6" t="s">
        <v>24</v>
      </c>
      <c r="L1087" s="6">
        <v>16000000</v>
      </c>
      <c r="M1087" s="6">
        <v>1997</v>
      </c>
      <c r="N1087" s="6">
        <v>6.7</v>
      </c>
      <c r="O1087" s="4">
        <f ca="1">IFERROR(__xludf.DUMMYFUNCTION("IF(Cost_in_dollars!E1087=""USD"",Cost_in_dollars!B1087,Cost_in_dollars!B1087 * GOOGLEFINANCE(""CURRENCY:"" &amp; Cost_in_dollars!E1087 &amp; ""USD""))
"),16000000)</f>
        <v>16000000</v>
      </c>
      <c r="P1087" s="4">
        <f ca="1">IFERROR(__xludf.DUMMYFUNCTION("IF(Cost_in_dollars!E1087=""USD"",Cost_in_dollars!C1087,Cost_in_dollars!C1087 * GOOGLEFINANCE(""CURRENCY:"" &amp; Cost_in_dollars!E1087 &amp; ""USD""))
"),1508689)</f>
        <v>1508689</v>
      </c>
      <c r="Q1087" s="6">
        <f t="shared" ca="1" si="24"/>
        <v>-14491311</v>
      </c>
      <c r="R1087" s="7" t="str">
        <f t="shared" si="25"/>
        <v>Oscar and Lucinda</v>
      </c>
      <c r="S1087" s="43" t="str">
        <f t="shared" si="26"/>
        <v>Drama</v>
      </c>
    </row>
    <row r="1088" spans="1:19" ht="15.75" customHeight="1" x14ac:dyDescent="0.25">
      <c r="A1088" s="4" t="s">
        <v>3943</v>
      </c>
      <c r="B1088" s="4">
        <v>113</v>
      </c>
      <c r="C1088" s="4">
        <v>15738632</v>
      </c>
      <c r="D1088" s="4" t="s">
        <v>793</v>
      </c>
      <c r="E1088" s="4" t="s">
        <v>1764</v>
      </c>
      <c r="F1088" s="4" t="s">
        <v>3944</v>
      </c>
      <c r="G1088" s="4">
        <v>38076</v>
      </c>
      <c r="H1088" s="4" t="s">
        <v>3945</v>
      </c>
      <c r="I1088" s="4">
        <v>399</v>
      </c>
      <c r="J1088" s="4" t="s">
        <v>23</v>
      </c>
      <c r="K1088" s="4" t="s">
        <v>24</v>
      </c>
      <c r="L1088" s="4">
        <v>42000000</v>
      </c>
      <c r="M1088" s="4">
        <v>2001</v>
      </c>
      <c r="N1088" s="4">
        <v>5.9</v>
      </c>
      <c r="O1088" s="4">
        <f ca="1">IFERROR(__xludf.DUMMYFUNCTION("IF(Cost_in_dollars!E1088=""USD"",Cost_in_dollars!B1088,Cost_in_dollars!B1088 * GOOGLEFINANCE(""CURRENCY:"" &amp; Cost_in_dollars!E1088 &amp; ""USD""))
"),42000000)</f>
        <v>42000000</v>
      </c>
      <c r="P1088" s="4">
        <f ca="1">IFERROR(__xludf.DUMMYFUNCTION("IF(Cost_in_dollars!E1088=""USD"",Cost_in_dollars!C1088,Cost_in_dollars!C1088 * GOOGLEFINANCE(""CURRENCY:"" &amp; Cost_in_dollars!E1088 &amp; ""USD""))
"),15738632)</f>
        <v>15738632</v>
      </c>
      <c r="Q1088" s="4">
        <f t="shared" ca="1" si="24"/>
        <v>-26261368</v>
      </c>
      <c r="R1088" s="5" t="str">
        <f t="shared" si="25"/>
        <v>3000 Miles to Graceland</v>
      </c>
      <c r="S1088" s="43" t="str">
        <f t="shared" si="26"/>
        <v>Action</v>
      </c>
    </row>
    <row r="1089" spans="1:19" ht="15.75" customHeight="1" x14ac:dyDescent="0.25">
      <c r="A1089" s="6" t="s">
        <v>3946</v>
      </c>
      <c r="B1089" s="6">
        <v>193</v>
      </c>
      <c r="C1089" s="6">
        <v>176387405</v>
      </c>
      <c r="D1089" s="6" t="s">
        <v>1827</v>
      </c>
      <c r="E1089" s="6" t="s">
        <v>59</v>
      </c>
      <c r="F1089" s="6" t="s">
        <v>3947</v>
      </c>
      <c r="G1089" s="6">
        <v>328159</v>
      </c>
      <c r="H1089" s="6" t="s">
        <v>3948</v>
      </c>
      <c r="I1089" s="6">
        <v>467</v>
      </c>
      <c r="J1089" s="6" t="s">
        <v>23</v>
      </c>
      <c r="K1089" s="6" t="s">
        <v>24</v>
      </c>
      <c r="L1089" s="6">
        <v>59000000</v>
      </c>
      <c r="M1089" s="6">
        <v>2002</v>
      </c>
      <c r="N1089" s="6">
        <v>7.6</v>
      </c>
      <c r="O1089" s="4">
        <f ca="1">IFERROR(__xludf.DUMMYFUNCTION("IF(Cost_in_dollars!E1089=""USD"",Cost_in_dollars!B1089,Cost_in_dollars!B1089 * GOOGLEFINANCE(""CURRENCY:"" &amp; Cost_in_dollars!E1089 &amp; ""USD""))
"),59000000)</f>
        <v>59000000</v>
      </c>
      <c r="P1089" s="4">
        <f ca="1">IFERROR(__xludf.DUMMYFUNCTION("IF(Cost_in_dollars!E1089=""USD"",Cost_in_dollars!C1089,Cost_in_dollars!C1089 * GOOGLEFINANCE(""CURRENCY:"" &amp; Cost_in_dollars!E1089 &amp; ""USD""))
"),176387405)</f>
        <v>176387405</v>
      </c>
      <c r="Q1089" s="6">
        <f t="shared" ca="1" si="24"/>
        <v>117387405</v>
      </c>
      <c r="R1089" s="7" t="str">
        <f t="shared" si="25"/>
        <v>Ice Age</v>
      </c>
      <c r="S1089" s="43" t="str">
        <f t="shared" si="26"/>
        <v>Adventure</v>
      </c>
    </row>
    <row r="1090" spans="1:19" ht="15.75" customHeight="1" x14ac:dyDescent="0.25">
      <c r="A1090" s="4" t="s">
        <v>3949</v>
      </c>
      <c r="B1090" s="4">
        <v>116</v>
      </c>
      <c r="C1090" s="4">
        <v>78651430</v>
      </c>
      <c r="D1090" s="4" t="s">
        <v>3446</v>
      </c>
      <c r="E1090" s="4" t="s">
        <v>545</v>
      </c>
      <c r="F1090" s="4" t="s">
        <v>3950</v>
      </c>
      <c r="G1090" s="4">
        <v>142067</v>
      </c>
      <c r="H1090" s="4" t="s">
        <v>3951</v>
      </c>
      <c r="I1090" s="4">
        <v>457</v>
      </c>
      <c r="J1090" s="4" t="s">
        <v>23</v>
      </c>
      <c r="K1090" s="4" t="s">
        <v>24</v>
      </c>
      <c r="L1090" s="4">
        <v>27000000</v>
      </c>
      <c r="M1090" s="4">
        <v>1996</v>
      </c>
      <c r="N1090" s="4">
        <v>7.4</v>
      </c>
      <c r="O1090" s="4">
        <f ca="1">IFERROR(__xludf.DUMMYFUNCTION("IF(Cost_in_dollars!E1090=""USD"",Cost_in_dollars!B1090,Cost_in_dollars!B1090 * GOOGLEFINANCE(""CURRENCY:"" &amp; Cost_in_dollars!E1090 &amp; ""USD""))
"),27000000)</f>
        <v>27000000</v>
      </c>
      <c r="P1090" s="4">
        <f ca="1">IFERROR(__xludf.DUMMYFUNCTION("IF(Cost_in_dollars!E1090=""USD"",Cost_in_dollars!C1090,Cost_in_dollars!C1090 * GOOGLEFINANCE(""CURRENCY:"" &amp; Cost_in_dollars!E1090 &amp; ""USD""))
"),78651430)</f>
        <v>78651430</v>
      </c>
      <c r="Q1090" s="4">
        <f t="shared" ca="1" si="24"/>
        <v>51651430</v>
      </c>
      <c r="R1090" s="5" t="str">
        <f t="shared" si="25"/>
        <v>The English Patient</v>
      </c>
      <c r="S1090" s="43" t="str">
        <f t="shared" ref="S1090:S1153" si="27">IF(ISNUMBER(FIND("|", D1090)), LEFT(D1090, FIND("|", D1090) - 1), D1090)</f>
        <v>Drama</v>
      </c>
    </row>
    <row r="1091" spans="1:19" ht="15.75" customHeight="1" x14ac:dyDescent="0.25">
      <c r="A1091" s="6" t="s">
        <v>3952</v>
      </c>
      <c r="B1091" s="6">
        <v>78</v>
      </c>
      <c r="C1091" s="6">
        <v>304124</v>
      </c>
      <c r="D1091" s="6" t="s">
        <v>102</v>
      </c>
      <c r="E1091" s="6" t="s">
        <v>2780</v>
      </c>
      <c r="F1091" s="6" t="s">
        <v>3953</v>
      </c>
      <c r="G1091" s="6">
        <v>2720</v>
      </c>
      <c r="H1091" s="6" t="s">
        <v>3954</v>
      </c>
      <c r="I1091" s="6">
        <v>37</v>
      </c>
      <c r="J1091" s="6" t="s">
        <v>1569</v>
      </c>
      <c r="K1091" s="6" t="s">
        <v>2236</v>
      </c>
      <c r="L1091" s="6">
        <v>1400000</v>
      </c>
      <c r="M1091" s="6">
        <v>2004</v>
      </c>
      <c r="N1091" s="6">
        <v>6.7</v>
      </c>
      <c r="O1091" s="4">
        <f ca="1">IFERROR(__xludf.DUMMYFUNCTION("IF(Cost_in_dollars!E1091=""USD"",Cost_in_dollars!B1091,Cost_in_dollars!B1091 * GOOGLEFINANCE(""CURRENCY:"" &amp; Cost_in_dollars!E1091 &amp; ""USD""))
"),1506.1998)</f>
        <v>1506.1998000000001</v>
      </c>
      <c r="P1091" s="4">
        <f ca="1">IFERROR(__xludf.DUMMYFUNCTION("IF(Cost_in_dollars!E1091=""USD"",Cost_in_dollars!C1091,Cost_in_dollars!C1091 * GOOGLEFINANCE(""CURRENCY:"" &amp; Cost_in_dollars!E1091 &amp; ""USD""))
"),327.193934268)</f>
        <v>327.19393426800002</v>
      </c>
      <c r="Q1091" s="6">
        <f t="shared" ca="1" si="24"/>
        <v>-1179.0058657320001</v>
      </c>
      <c r="R1091" s="7" t="str">
        <f t="shared" si="25"/>
        <v>The Holy Girl</v>
      </c>
      <c r="S1091" s="43" t="str">
        <f t="shared" si="27"/>
        <v>Drama</v>
      </c>
    </row>
    <row r="1092" spans="1:19" ht="15.75" customHeight="1" x14ac:dyDescent="0.25">
      <c r="A1092" s="4" t="s">
        <v>2928</v>
      </c>
      <c r="B1092" s="4">
        <v>486</v>
      </c>
      <c r="C1092" s="4">
        <v>206360018</v>
      </c>
      <c r="D1092" s="4" t="s">
        <v>281</v>
      </c>
      <c r="E1092" s="4" t="s">
        <v>1449</v>
      </c>
      <c r="F1092" s="4" t="s">
        <v>3955</v>
      </c>
      <c r="G1092" s="4">
        <v>414070</v>
      </c>
      <c r="H1092" s="4" t="s">
        <v>3956</v>
      </c>
      <c r="I1092" s="4">
        <v>532</v>
      </c>
      <c r="J1092" s="4" t="s">
        <v>23</v>
      </c>
      <c r="K1092" s="4" t="s">
        <v>24</v>
      </c>
      <c r="L1092" s="4">
        <v>170000000</v>
      </c>
      <c r="M1092" s="4">
        <v>2013</v>
      </c>
      <c r="N1092" s="4">
        <v>7.1</v>
      </c>
      <c r="O1092" s="4">
        <f ca="1">IFERROR(__xludf.DUMMYFUNCTION("IF(Cost_in_dollars!E1092=""USD"",Cost_in_dollars!B1092,Cost_in_dollars!B1092 * GOOGLEFINANCE(""CURRENCY:"" &amp; Cost_in_dollars!E1092 &amp; ""USD""))
"),170000000)</f>
        <v>170000000</v>
      </c>
      <c r="P1092" s="4">
        <f ca="1">IFERROR(__xludf.DUMMYFUNCTION("IF(Cost_in_dollars!E1092=""USD"",Cost_in_dollars!C1092,Cost_in_dollars!C1092 * GOOGLEFINANCE(""CURRENCY:"" &amp; Cost_in_dollars!E1092 &amp; ""USD""))
"),206360018)</f>
        <v>206360018</v>
      </c>
      <c r="Q1092" s="4">
        <f t="shared" ca="1" si="24"/>
        <v>36360018</v>
      </c>
      <c r="R1092" s="5" t="str">
        <f t="shared" si="25"/>
        <v>Thor: The Dark World</v>
      </c>
      <c r="S1092" s="43" t="str">
        <f t="shared" si="27"/>
        <v>Action</v>
      </c>
    </row>
    <row r="1093" spans="1:19" ht="15.75" customHeight="1" x14ac:dyDescent="0.25">
      <c r="A1093" s="6" t="s">
        <v>1985</v>
      </c>
      <c r="B1093" s="6">
        <v>94</v>
      </c>
      <c r="C1093" s="6">
        <v>52580895</v>
      </c>
      <c r="D1093" s="6" t="s">
        <v>3957</v>
      </c>
      <c r="E1093" s="6" t="s">
        <v>814</v>
      </c>
      <c r="F1093" s="6" t="s">
        <v>3958</v>
      </c>
      <c r="G1093" s="6">
        <v>30255</v>
      </c>
      <c r="H1093" s="6" t="s">
        <v>3959</v>
      </c>
      <c r="I1093" s="6">
        <v>118</v>
      </c>
      <c r="J1093" s="6" t="s">
        <v>23</v>
      </c>
      <c r="K1093" s="6" t="s">
        <v>24</v>
      </c>
      <c r="L1093" s="6">
        <v>45000000</v>
      </c>
      <c r="M1093" s="6">
        <v>2005</v>
      </c>
      <c r="N1093" s="6">
        <v>5.6</v>
      </c>
      <c r="O1093" s="4">
        <f ca="1">IFERROR(__xludf.DUMMYFUNCTION("IF(Cost_in_dollars!E1093=""USD"",Cost_in_dollars!B1093,Cost_in_dollars!B1093 * GOOGLEFINANCE(""CURRENCY:"" &amp; Cost_in_dollars!E1093 &amp; ""USD""))
"),45000000)</f>
        <v>45000000</v>
      </c>
      <c r="P1093" s="4">
        <f ca="1">IFERROR(__xludf.DUMMYFUNCTION("IF(Cost_in_dollars!E1093=""USD"",Cost_in_dollars!C1093,Cost_in_dollars!C1093 * GOOGLEFINANCE(""CURRENCY:"" &amp; Cost_in_dollars!E1093 &amp; ""USD""))
"),52580895)</f>
        <v>52580895</v>
      </c>
      <c r="Q1093" s="6">
        <f t="shared" ca="1" si="24"/>
        <v>7580895</v>
      </c>
      <c r="R1093" s="7" t="str">
        <f t="shared" si="25"/>
        <v>Kicking &amp; Screaming</v>
      </c>
      <c r="S1093" s="43" t="str">
        <f t="shared" si="27"/>
        <v>Comedy</v>
      </c>
    </row>
    <row r="1094" spans="1:19" ht="15.75" customHeight="1" x14ac:dyDescent="0.25">
      <c r="A1094" s="4" t="s">
        <v>1607</v>
      </c>
      <c r="B1094" s="4">
        <v>83</v>
      </c>
      <c r="C1094" s="4">
        <v>60491560</v>
      </c>
      <c r="D1094" s="4" t="s">
        <v>438</v>
      </c>
      <c r="E1094" s="4" t="s">
        <v>173</v>
      </c>
      <c r="F1094" s="4" t="s">
        <v>3960</v>
      </c>
      <c r="G1094" s="4">
        <v>50653</v>
      </c>
      <c r="H1094" s="4" t="s">
        <v>3961</v>
      </c>
      <c r="I1094" s="4">
        <v>143</v>
      </c>
      <c r="J1094" s="4" t="s">
        <v>23</v>
      </c>
      <c r="K1094" s="4" t="s">
        <v>24</v>
      </c>
      <c r="L1094" s="4">
        <v>27000000</v>
      </c>
      <c r="M1094" s="4">
        <v>1997</v>
      </c>
      <c r="N1094" s="4">
        <v>6.6</v>
      </c>
      <c r="O1094" s="4">
        <f ca="1">IFERROR(__xludf.DUMMYFUNCTION("IF(Cost_in_dollars!E1094=""USD"",Cost_in_dollars!B1094,Cost_in_dollars!B1094 * GOOGLEFINANCE(""CURRENCY:"" &amp; Cost_in_dollars!E1094 &amp; ""USD""))
"),27000000)</f>
        <v>27000000</v>
      </c>
      <c r="P1094" s="4">
        <f ca="1">IFERROR(__xludf.DUMMYFUNCTION("IF(Cost_in_dollars!E1094=""USD"",Cost_in_dollars!C1094,Cost_in_dollars!C1094 * GOOGLEFINANCE(""CURRENCY:"" &amp; Cost_in_dollars!E1094 &amp; ""USD""))
"),60491560)</f>
        <v>60491560</v>
      </c>
      <c r="Q1094" s="4">
        <f t="shared" ca="1" si="24"/>
        <v>33491560</v>
      </c>
      <c r="R1094" s="5" t="str">
        <f t="shared" si="25"/>
        <v>Kiss the Girls</v>
      </c>
      <c r="S1094" s="43" t="str">
        <f t="shared" si="27"/>
        <v>Crime</v>
      </c>
    </row>
    <row r="1095" spans="1:19" ht="15.75" customHeight="1" x14ac:dyDescent="0.25">
      <c r="A1095" s="6" t="s">
        <v>3962</v>
      </c>
      <c r="B1095" s="6">
        <v>406</v>
      </c>
      <c r="C1095" s="6">
        <v>400736600</v>
      </c>
      <c r="D1095" s="6" t="s">
        <v>3024</v>
      </c>
      <c r="E1095" s="6" t="s">
        <v>3963</v>
      </c>
      <c r="F1095" s="6" t="s">
        <v>3964</v>
      </c>
      <c r="G1095" s="6">
        <v>421658</v>
      </c>
      <c r="H1095" s="6" t="s">
        <v>3965</v>
      </c>
      <c r="I1095" s="6">
        <v>904</v>
      </c>
      <c r="J1095" s="6" t="s">
        <v>23</v>
      </c>
      <c r="K1095" s="6" t="s">
        <v>24</v>
      </c>
      <c r="L1095" s="6">
        <v>150000000</v>
      </c>
      <c r="M1095" s="6">
        <v>2013</v>
      </c>
      <c r="N1095" s="6">
        <v>7.6</v>
      </c>
      <c r="O1095" s="4">
        <f ca="1">IFERROR(__xludf.DUMMYFUNCTION("IF(Cost_in_dollars!E1095=""USD"",Cost_in_dollars!B1095,Cost_in_dollars!B1095 * GOOGLEFINANCE(""CURRENCY:"" &amp; Cost_in_dollars!E1095 &amp; ""USD""))
"),150000000)</f>
        <v>150000000</v>
      </c>
      <c r="P1095" s="4">
        <f ca="1">IFERROR(__xludf.DUMMYFUNCTION("IF(Cost_in_dollars!E1095=""USD"",Cost_in_dollars!C1095,Cost_in_dollars!C1095 * GOOGLEFINANCE(""CURRENCY:"" &amp; Cost_in_dollars!E1095 &amp; ""USD""))
"),400736600)</f>
        <v>400736600</v>
      </c>
      <c r="Q1095" s="6">
        <f t="shared" ca="1" si="24"/>
        <v>250736600</v>
      </c>
      <c r="R1095" s="7" t="str">
        <f t="shared" si="25"/>
        <v>Frozen</v>
      </c>
      <c r="S1095" s="43" t="str">
        <f t="shared" si="27"/>
        <v>Adventure</v>
      </c>
    </row>
    <row r="1096" spans="1:19" ht="15.75" customHeight="1" x14ac:dyDescent="0.25">
      <c r="A1096" s="4" t="s">
        <v>3966</v>
      </c>
      <c r="B1096" s="4">
        <v>158</v>
      </c>
      <c r="C1096" s="4">
        <v>19472057</v>
      </c>
      <c r="D1096" s="4" t="s">
        <v>309</v>
      </c>
      <c r="E1096" s="4" t="s">
        <v>2783</v>
      </c>
      <c r="F1096" s="4" t="s">
        <v>3967</v>
      </c>
      <c r="G1096" s="4">
        <v>25332</v>
      </c>
      <c r="H1096" s="4" t="s">
        <v>3968</v>
      </c>
      <c r="I1096" s="4">
        <v>307</v>
      </c>
      <c r="J1096" s="4" t="s">
        <v>23</v>
      </c>
      <c r="K1096" s="4" t="s">
        <v>24</v>
      </c>
      <c r="L1096" s="4">
        <v>3000000</v>
      </c>
      <c r="M1096" s="4">
        <v>1986</v>
      </c>
      <c r="N1096" s="4">
        <v>5.9</v>
      </c>
      <c r="O1096" s="4">
        <f ca="1">IFERROR(__xludf.DUMMYFUNCTION("IF(Cost_in_dollars!E1096=""USD"",Cost_in_dollars!B1096,Cost_in_dollars!B1096 * GOOGLEFINANCE(""CURRENCY:"" &amp; Cost_in_dollars!E1096 &amp; ""USD""))
"),3000000)</f>
        <v>3000000</v>
      </c>
      <c r="P1096" s="4">
        <f ca="1">IFERROR(__xludf.DUMMYFUNCTION("IF(Cost_in_dollars!E1096=""USD"",Cost_in_dollars!C1096,Cost_in_dollars!C1096 * GOOGLEFINANCE(""CURRENCY:"" &amp; Cost_in_dollars!E1096 &amp; ""USD""))
"),19472057)</f>
        <v>19472057</v>
      </c>
      <c r="Q1096" s="4">
        <f t="shared" ca="1" si="24"/>
        <v>16472057</v>
      </c>
      <c r="R1096" s="5" t="str">
        <f t="shared" si="25"/>
        <v>Jason Lives: Friday the 13th Part VI</v>
      </c>
      <c r="S1096" s="43" t="str">
        <f t="shared" si="27"/>
        <v>Horror</v>
      </c>
    </row>
    <row r="1097" spans="1:19" ht="15.75" customHeight="1" x14ac:dyDescent="0.25">
      <c r="A1097" s="6" t="s">
        <v>3969</v>
      </c>
      <c r="B1097" s="6">
        <v>61</v>
      </c>
      <c r="C1097" s="6">
        <v>59696176</v>
      </c>
      <c r="D1097" s="6" t="s">
        <v>623</v>
      </c>
      <c r="E1097" s="6" t="s">
        <v>3970</v>
      </c>
      <c r="F1097" s="6" t="s">
        <v>3971</v>
      </c>
      <c r="G1097" s="6">
        <v>15448</v>
      </c>
      <c r="H1097" s="6" t="s">
        <v>3972</v>
      </c>
      <c r="I1097" s="6">
        <v>174</v>
      </c>
      <c r="J1097" s="6" t="s">
        <v>23</v>
      </c>
      <c r="K1097" s="6" t="s">
        <v>24</v>
      </c>
      <c r="L1097" s="6">
        <v>22000000</v>
      </c>
      <c r="M1097" s="6">
        <v>2014</v>
      </c>
      <c r="N1097" s="6">
        <v>5.6</v>
      </c>
      <c r="O1097" s="4">
        <f ca="1">IFERROR(__xludf.DUMMYFUNCTION("IF(Cost_in_dollars!E1097=""USD"",Cost_in_dollars!B1097,Cost_in_dollars!B1097 * GOOGLEFINANCE(""CURRENCY:"" &amp; Cost_in_dollars!E1097 &amp; ""USD""))
"),22000000)</f>
        <v>22000000</v>
      </c>
      <c r="P1097" s="4">
        <f ca="1">IFERROR(__xludf.DUMMYFUNCTION("IF(Cost_in_dollars!E1097=""USD"",Cost_in_dollars!C1097,Cost_in_dollars!C1097 * GOOGLEFINANCE(""CURRENCY:"" &amp; Cost_in_dollars!E1097 &amp; ""USD""))
"),59696176)</f>
        <v>59696176</v>
      </c>
      <c r="Q1097" s="6">
        <f t="shared" ca="1" si="24"/>
        <v>37696176</v>
      </c>
      <c r="R1097" s="7" t="str">
        <f t="shared" si="25"/>
        <v>Son of God</v>
      </c>
      <c r="S1097" s="43" t="str">
        <f t="shared" si="27"/>
        <v>Biography</v>
      </c>
    </row>
    <row r="1098" spans="1:19" ht="15.75" customHeight="1" x14ac:dyDescent="0.25">
      <c r="A1098" s="4" t="s">
        <v>3554</v>
      </c>
      <c r="B1098" s="4">
        <v>30</v>
      </c>
      <c r="C1098" s="4">
        <v>77231</v>
      </c>
      <c r="D1098" s="4" t="s">
        <v>73</v>
      </c>
      <c r="E1098" s="4" t="s">
        <v>3730</v>
      </c>
      <c r="F1098" s="4" t="s">
        <v>3973</v>
      </c>
      <c r="G1098" s="4">
        <v>3322</v>
      </c>
      <c r="H1098" s="4" t="s">
        <v>3974</v>
      </c>
      <c r="I1098" s="4">
        <v>32</v>
      </c>
      <c r="J1098" s="4" t="s">
        <v>3975</v>
      </c>
      <c r="K1098" s="4" t="s">
        <v>611</v>
      </c>
      <c r="L1098" s="4">
        <v>25000000</v>
      </c>
      <c r="M1098" s="4">
        <v>2005</v>
      </c>
      <c r="N1098" s="4">
        <v>6</v>
      </c>
      <c r="O1098" s="4">
        <f ca="1">IFERROR(__xludf.DUMMYFUNCTION("IF(Cost_in_dollars!E1098=""USD"",Cost_in_dollars!B1098,Cost_in_dollars!B1098 * GOOGLEFINANCE(""CURRENCY:"" &amp; Cost_in_dollars!E1098 &amp; ""USD""))
"),27118500)</f>
        <v>27118500</v>
      </c>
      <c r="P1098" s="4">
        <f ca="1">IFERROR(__xludf.DUMMYFUNCTION("IF(Cost_in_dollars!E1098=""USD"",Cost_in_dollars!C1098,Cost_in_dollars!C1098 * GOOGLEFINANCE(""CURRENCY:"" &amp; Cost_in_dollars!E1098 &amp; ""USD""))
"),83775.55494)</f>
        <v>83775.554940000002</v>
      </c>
      <c r="Q1098" s="4">
        <f t="shared" ca="1" si="24"/>
        <v>-27034724.44506</v>
      </c>
      <c r="R1098" s="5" t="str">
        <f t="shared" si="25"/>
        <v>Nomad: The Warrior</v>
      </c>
      <c r="S1098" s="43" t="str">
        <f t="shared" si="27"/>
        <v>Drama</v>
      </c>
    </row>
    <row r="1099" spans="1:19" ht="15.75" customHeight="1" x14ac:dyDescent="0.25">
      <c r="A1099" s="6" t="s">
        <v>2022</v>
      </c>
      <c r="B1099" s="6">
        <v>107</v>
      </c>
      <c r="C1099" s="6">
        <v>65269010</v>
      </c>
      <c r="D1099" s="6" t="s">
        <v>3976</v>
      </c>
      <c r="E1099" s="6" t="s">
        <v>179</v>
      </c>
      <c r="F1099" s="6" t="s">
        <v>3977</v>
      </c>
      <c r="G1099" s="6">
        <v>90938</v>
      </c>
      <c r="H1099" s="6" t="s">
        <v>3978</v>
      </c>
      <c r="I1099" s="6">
        <v>271</v>
      </c>
      <c r="J1099" s="6" t="s">
        <v>23</v>
      </c>
      <c r="K1099" s="6" t="s">
        <v>24</v>
      </c>
      <c r="L1099" s="6">
        <v>12000000</v>
      </c>
      <c r="M1099" s="6">
        <v>2006</v>
      </c>
      <c r="N1099" s="6">
        <v>6.5</v>
      </c>
      <c r="O1099" s="4">
        <f ca="1">IFERROR(__xludf.DUMMYFUNCTION("IF(Cost_in_dollars!E1099=""USD"",Cost_in_dollars!B1099,Cost_in_dollars!B1099 * GOOGLEFINANCE(""CURRENCY:"" &amp; Cost_in_dollars!E1099 &amp; ""USD""))
"),12000000)</f>
        <v>12000000</v>
      </c>
      <c r="P1099" s="4">
        <f ca="1">IFERROR(__xludf.DUMMYFUNCTION("IF(Cost_in_dollars!E1099=""USD"",Cost_in_dollars!C1099,Cost_in_dollars!C1099 * GOOGLEFINANCE(""CURRENCY:"" &amp; Cost_in_dollars!E1099 &amp; ""USD""))
"),65269010)</f>
        <v>65269010</v>
      </c>
      <c r="Q1099" s="6">
        <f t="shared" ca="1" si="24"/>
        <v>53269010</v>
      </c>
      <c r="R1099" s="7" t="str">
        <f t="shared" si="25"/>
        <v>Step Up</v>
      </c>
      <c r="S1099" s="43" t="str">
        <f t="shared" si="27"/>
        <v>Crime</v>
      </c>
    </row>
    <row r="1100" spans="1:19" ht="15.75" customHeight="1" x14ac:dyDescent="0.25">
      <c r="A1100" s="4" t="s">
        <v>3979</v>
      </c>
      <c r="B1100" s="4">
        <v>194</v>
      </c>
      <c r="C1100" s="4">
        <v>261481</v>
      </c>
      <c r="D1100" s="4" t="s">
        <v>3980</v>
      </c>
      <c r="E1100" s="4" t="s">
        <v>3981</v>
      </c>
      <c r="F1100" s="4" t="s">
        <v>3982</v>
      </c>
      <c r="G1100" s="4">
        <v>41496</v>
      </c>
      <c r="H1100" s="4" t="s">
        <v>3983</v>
      </c>
      <c r="I1100" s="4">
        <v>210</v>
      </c>
      <c r="J1100" s="4" t="s">
        <v>159</v>
      </c>
      <c r="K1100" s="4" t="s">
        <v>160</v>
      </c>
      <c r="L1100" s="4">
        <v>12000000</v>
      </c>
      <c r="M1100" s="4">
        <v>2004</v>
      </c>
      <c r="N1100" s="4">
        <v>7.5</v>
      </c>
      <c r="O1100" s="4">
        <f ca="1">IFERROR(__xludf.DUMMYFUNCTION("IF(Cost_in_dollars!E1100=""USD"",Cost_in_dollars!B1100,Cost_in_dollars!B1100 * GOOGLEFINANCE(""CURRENCY:"" &amp; Cost_in_dollars!E1100 &amp; ""USD""))
"),1537131.59999999)</f>
        <v>1537131.5999999901</v>
      </c>
      <c r="P1100" s="4">
        <f ca="1">IFERROR(__xludf.DUMMYFUNCTION("IF(Cost_in_dollars!E1100=""USD"",Cost_in_dollars!C1100,Cost_in_dollars!C1100 * GOOGLEFINANCE(""CURRENCY:"" &amp; Cost_in_dollars!E1100 &amp; ""USD""))
"),33494.2256583)</f>
        <v>33494.225658299998</v>
      </c>
      <c r="Q1100" s="4">
        <f t="shared" ca="1" si="24"/>
        <v>-1503637.37434169</v>
      </c>
      <c r="R1100" s="5" t="str">
        <f t="shared" si="25"/>
        <v>2046</v>
      </c>
      <c r="S1100" s="43" t="str">
        <f t="shared" si="27"/>
        <v>Drama</v>
      </c>
    </row>
    <row r="1101" spans="1:19" ht="15.75" customHeight="1" x14ac:dyDescent="0.25">
      <c r="A1101" s="6" t="s">
        <v>3984</v>
      </c>
      <c r="B1101" s="6">
        <v>38</v>
      </c>
      <c r="C1101" s="6">
        <v>206400</v>
      </c>
      <c r="D1101" s="6" t="s">
        <v>3985</v>
      </c>
      <c r="E1101" s="6" t="s">
        <v>3986</v>
      </c>
      <c r="F1101" s="6" t="s">
        <v>3987</v>
      </c>
      <c r="G1101" s="6">
        <v>1439</v>
      </c>
      <c r="H1101" s="6" t="s">
        <v>3988</v>
      </c>
      <c r="I1101" s="6">
        <v>26</v>
      </c>
      <c r="J1101" s="6" t="s">
        <v>661</v>
      </c>
      <c r="K1101" s="6" t="s">
        <v>611</v>
      </c>
      <c r="L1101" s="6">
        <v>50000000</v>
      </c>
      <c r="M1101" s="6">
        <v>2001</v>
      </c>
      <c r="N1101" s="6">
        <v>6.9</v>
      </c>
      <c r="O1101" s="4">
        <f ca="1">IFERROR(__xludf.DUMMYFUNCTION("IF(Cost_in_dollars!E1101=""USD"",Cost_in_dollars!B1101,Cost_in_dollars!B1101 * GOOGLEFINANCE(""CURRENCY:"" &amp; Cost_in_dollars!E1101 &amp; ""USD""))
"),54237000)</f>
        <v>54237000</v>
      </c>
      <c r="P1101" s="4">
        <f ca="1">IFERROR(__xludf.DUMMYFUNCTION("IF(Cost_in_dollars!E1101=""USD"",Cost_in_dollars!C1101,Cost_in_dollars!C1101 * GOOGLEFINANCE(""CURRENCY:"" &amp; Cost_in_dollars!E1101 &amp; ""USD""))
"),223890.336)</f>
        <v>223890.33600000001</v>
      </c>
      <c r="Q1101" s="6">
        <f t="shared" ca="1" si="24"/>
        <v>-54013109.663999997</v>
      </c>
      <c r="R1101" s="7" t="str">
        <f t="shared" si="25"/>
        <v>Alias Betty</v>
      </c>
      <c r="S1101" s="43" t="str">
        <f t="shared" si="27"/>
        <v>Comedy</v>
      </c>
    </row>
    <row r="1102" spans="1:19" ht="15.75" customHeight="1" x14ac:dyDescent="0.25">
      <c r="A1102" s="4" t="s">
        <v>3989</v>
      </c>
      <c r="B1102" s="4">
        <v>38</v>
      </c>
      <c r="C1102" s="4">
        <v>13555988</v>
      </c>
      <c r="D1102" s="4" t="s">
        <v>1888</v>
      </c>
      <c r="E1102" s="4" t="s">
        <v>3990</v>
      </c>
      <c r="F1102" s="4" t="s">
        <v>3991</v>
      </c>
      <c r="G1102" s="4">
        <v>7242</v>
      </c>
      <c r="H1102" s="4" t="s">
        <v>3992</v>
      </c>
      <c r="I1102" s="4">
        <v>38</v>
      </c>
      <c r="J1102" s="4" t="s">
        <v>23</v>
      </c>
      <c r="K1102" s="4" t="s">
        <v>176</v>
      </c>
      <c r="L1102" s="4">
        <v>22000000</v>
      </c>
      <c r="M1102" s="4">
        <v>2000</v>
      </c>
      <c r="N1102" s="4">
        <v>5.7</v>
      </c>
      <c r="O1102" s="4">
        <f ca="1">IFERROR(__xludf.DUMMYFUNCTION("IF(Cost_in_dollars!E1102=""USD"",Cost_in_dollars!B1102,Cost_in_dollars!B1102 * GOOGLEFINANCE(""CURRENCY:"" &amp; Cost_in_dollars!E1102 &amp; ""USD""))
"),23864280)</f>
        <v>23864280</v>
      </c>
      <c r="P1102" s="4">
        <f ca="1">IFERROR(__xludf.DUMMYFUNCTION("IF(Cost_in_dollars!E1102=""USD"",Cost_in_dollars!C1102,Cost_in_dollars!C1102 * GOOGLEFINANCE(""CURRENCY:"" &amp; Cost_in_dollars!E1102 &amp; ""USD""))
"),14704722.42312)</f>
        <v>14704722.423119999</v>
      </c>
      <c r="Q1102" s="4">
        <f t="shared" ca="1" si="24"/>
        <v>-9159557.5768800005</v>
      </c>
      <c r="R1102" s="5" t="str">
        <f t="shared" si="25"/>
        <v>The Little Vampire</v>
      </c>
      <c r="S1102" s="43" t="str">
        <f t="shared" si="27"/>
        <v>Adventure</v>
      </c>
    </row>
    <row r="1103" spans="1:19" ht="15.75" customHeight="1" x14ac:dyDescent="0.25">
      <c r="A1103" s="6" t="s">
        <v>567</v>
      </c>
      <c r="B1103" s="6">
        <v>276</v>
      </c>
      <c r="C1103" s="6">
        <v>79363785</v>
      </c>
      <c r="D1103" s="6" t="s">
        <v>1238</v>
      </c>
      <c r="E1103" s="6" t="s">
        <v>1173</v>
      </c>
      <c r="F1103" s="6" t="s">
        <v>3993</v>
      </c>
      <c r="G1103" s="6">
        <v>139426</v>
      </c>
      <c r="H1103" s="6" t="s">
        <v>3994</v>
      </c>
      <c r="I1103" s="6">
        <v>698</v>
      </c>
      <c r="J1103" s="6" t="s">
        <v>23</v>
      </c>
      <c r="K1103" s="6" t="s">
        <v>24</v>
      </c>
      <c r="L1103" s="6">
        <v>80000000</v>
      </c>
      <c r="M1103" s="6">
        <v>2008</v>
      </c>
      <c r="N1103" s="6">
        <v>5.5</v>
      </c>
      <c r="O1103" s="4">
        <f ca="1">IFERROR(__xludf.DUMMYFUNCTION("IF(Cost_in_dollars!E1103=""USD"",Cost_in_dollars!B1103,Cost_in_dollars!B1103 * GOOGLEFINANCE(""CURRENCY:"" &amp; Cost_in_dollars!E1103 &amp; ""USD""))
"),80000000)</f>
        <v>80000000</v>
      </c>
      <c r="P1103" s="4">
        <f ca="1">IFERROR(__xludf.DUMMYFUNCTION("IF(Cost_in_dollars!E1103=""USD"",Cost_in_dollars!C1103,Cost_in_dollars!C1103 * GOOGLEFINANCE(""CURRENCY:"" &amp; Cost_in_dollars!E1103 &amp; ""USD""))
"),79363785)</f>
        <v>79363785</v>
      </c>
      <c r="Q1103" s="6">
        <f t="shared" ca="1" si="24"/>
        <v>-636215</v>
      </c>
      <c r="R1103" s="7" t="str">
        <f t="shared" si="25"/>
        <v>The Day the Earth Stood Still</v>
      </c>
      <c r="S1103" s="43" t="str">
        <f t="shared" si="27"/>
        <v>Drama</v>
      </c>
    </row>
    <row r="1104" spans="1:19" ht="15.75" customHeight="1" x14ac:dyDescent="0.25">
      <c r="A1104" s="4" t="s">
        <v>3995</v>
      </c>
      <c r="B1104" s="4">
        <v>77</v>
      </c>
      <c r="C1104" s="4">
        <v>1943649</v>
      </c>
      <c r="D1104" s="4" t="s">
        <v>244</v>
      </c>
      <c r="E1104" s="4" t="s">
        <v>3996</v>
      </c>
      <c r="F1104" s="4" t="s">
        <v>3997</v>
      </c>
      <c r="G1104" s="4">
        <v>8697</v>
      </c>
      <c r="H1104" s="4" t="s">
        <v>3998</v>
      </c>
      <c r="I1104" s="4">
        <v>122</v>
      </c>
      <c r="J1104" s="4" t="s">
        <v>23</v>
      </c>
      <c r="K1104" s="4" t="s">
        <v>24</v>
      </c>
      <c r="L1104" s="4">
        <v>1700000</v>
      </c>
      <c r="M1104" s="4">
        <v>1999</v>
      </c>
      <c r="N1104" s="4">
        <v>6.3</v>
      </c>
      <c r="O1104" s="4">
        <f ca="1">IFERROR(__xludf.DUMMYFUNCTION("IF(Cost_in_dollars!E1104=""USD"",Cost_in_dollars!B1104,Cost_in_dollars!B1104 * GOOGLEFINANCE(""CURRENCY:"" &amp; Cost_in_dollars!E1104 &amp; ""USD""))
"),1700000)</f>
        <v>1700000</v>
      </c>
      <c r="P1104" s="4">
        <f ca="1">IFERROR(__xludf.DUMMYFUNCTION("IF(Cost_in_dollars!E1104=""USD"",Cost_in_dollars!C1104,Cost_in_dollars!C1104 * GOOGLEFINANCE(""CURRENCY:"" &amp; Cost_in_dollars!E1104 &amp; ""USD""))
"),1943649)</f>
        <v>1943649</v>
      </c>
      <c r="Q1104" s="4">
        <f t="shared" ca="1" si="24"/>
        <v>243649</v>
      </c>
      <c r="R1104" s="5" t="str">
        <f t="shared" si="25"/>
        <v>Happy, Texas</v>
      </c>
      <c r="S1104" s="43" t="str">
        <f t="shared" si="27"/>
        <v>Comedy</v>
      </c>
    </row>
    <row r="1105" spans="1:19" ht="15.75" customHeight="1" x14ac:dyDescent="0.25">
      <c r="A1105" s="6" t="s">
        <v>3999</v>
      </c>
      <c r="B1105" s="6">
        <v>181</v>
      </c>
      <c r="C1105" s="6">
        <v>6000000</v>
      </c>
      <c r="D1105" s="6" t="s">
        <v>1908</v>
      </c>
      <c r="E1105" s="6" t="s">
        <v>4000</v>
      </c>
      <c r="F1105" s="6" t="s">
        <v>4001</v>
      </c>
      <c r="G1105" s="6">
        <v>192775</v>
      </c>
      <c r="H1105" s="6" t="s">
        <v>4002</v>
      </c>
      <c r="I1105" s="6">
        <v>559</v>
      </c>
      <c r="J1105" s="6" t="s">
        <v>23</v>
      </c>
      <c r="K1105" s="6" t="s">
        <v>133</v>
      </c>
      <c r="L1105" s="6">
        <v>15000000</v>
      </c>
      <c r="M1105" s="6">
        <v>1962</v>
      </c>
      <c r="N1105" s="6">
        <v>8.4</v>
      </c>
      <c r="O1105" s="4">
        <f ca="1">IFERROR(__xludf.DUMMYFUNCTION("IF(Cost_in_dollars!E1105=""USD"",Cost_in_dollars!B1105,Cost_in_dollars!B1105 * GOOGLEFINANCE(""CURRENCY:"" &amp; Cost_in_dollars!E1105 &amp; ""USD""))
"),19281000)</f>
        <v>19281000</v>
      </c>
      <c r="P1105" s="4">
        <f ca="1">IFERROR(__xludf.DUMMYFUNCTION("IF(Cost_in_dollars!E1105=""USD"",Cost_in_dollars!C1105,Cost_in_dollars!C1105 * GOOGLEFINANCE(""CURRENCY:"" &amp; Cost_in_dollars!E1105 &amp; ""USD""))
"),7712399.99999999)</f>
        <v>7712399.9999999898</v>
      </c>
      <c r="Q1105" s="6">
        <f t="shared" ca="1" si="24"/>
        <v>-11568600.000000011</v>
      </c>
      <c r="R1105" s="7" t="str">
        <f t="shared" si="25"/>
        <v>Lawrence of Arabia</v>
      </c>
      <c r="S1105" s="43" t="str">
        <f t="shared" si="27"/>
        <v>Adventure</v>
      </c>
    </row>
    <row r="1106" spans="1:19" ht="15.75" customHeight="1" x14ac:dyDescent="0.25">
      <c r="A1106" s="4" t="s">
        <v>4003</v>
      </c>
      <c r="B1106" s="4">
        <v>45</v>
      </c>
      <c r="C1106" s="4">
        <v>2800000</v>
      </c>
      <c r="D1106" s="4" t="s">
        <v>140</v>
      </c>
      <c r="E1106" s="4" t="s">
        <v>4004</v>
      </c>
      <c r="F1106" s="4" t="s">
        <v>4005</v>
      </c>
      <c r="G1106" s="4">
        <v>4377</v>
      </c>
      <c r="H1106" s="4" t="s">
        <v>4006</v>
      </c>
      <c r="I1106" s="4">
        <v>85</v>
      </c>
      <c r="J1106" s="4" t="s">
        <v>23</v>
      </c>
      <c r="K1106" s="4" t="s">
        <v>24</v>
      </c>
      <c r="L1106" s="4">
        <v>4000000</v>
      </c>
      <c r="M1106" s="4">
        <v>1999</v>
      </c>
      <c r="N1106" s="4">
        <v>5.8</v>
      </c>
      <c r="O1106" s="4">
        <f ca="1">IFERROR(__xludf.DUMMYFUNCTION("IF(Cost_in_dollars!E1106=""USD"",Cost_in_dollars!B1106,Cost_in_dollars!B1106 * GOOGLEFINANCE(""CURRENCY:"" &amp; Cost_in_dollars!E1106 &amp; ""USD""))
"),4000000)</f>
        <v>4000000</v>
      </c>
      <c r="P1106" s="4">
        <f ca="1">IFERROR(__xludf.DUMMYFUNCTION("IF(Cost_in_dollars!E1106=""USD"",Cost_in_dollars!C1106,Cost_in_dollars!C1106 * GOOGLEFINANCE(""CURRENCY:"" &amp; Cost_in_dollars!E1106 &amp; ""USD""))
"),2800000)</f>
        <v>2800000</v>
      </c>
      <c r="Q1106" s="4">
        <f t="shared" ca="1" si="24"/>
        <v>-1200000</v>
      </c>
      <c r="R1106" s="5" t="str">
        <f t="shared" si="25"/>
        <v>Love Stinks</v>
      </c>
      <c r="S1106" s="43" t="str">
        <f t="shared" si="27"/>
        <v>Comedy</v>
      </c>
    </row>
    <row r="1107" spans="1:19" ht="15.75" customHeight="1" x14ac:dyDescent="0.25">
      <c r="A1107" s="6" t="s">
        <v>234</v>
      </c>
      <c r="B1107" s="6">
        <v>165</v>
      </c>
      <c r="C1107" s="6">
        <v>6109075</v>
      </c>
      <c r="D1107" s="6" t="s">
        <v>362</v>
      </c>
      <c r="E1107" s="6" t="s">
        <v>4007</v>
      </c>
      <c r="F1107" s="6" t="s">
        <v>4008</v>
      </c>
      <c r="G1107" s="6">
        <v>32003</v>
      </c>
      <c r="H1107" s="6" t="s">
        <v>4009</v>
      </c>
      <c r="I1107" s="6">
        <v>65</v>
      </c>
      <c r="J1107" s="6" t="s">
        <v>661</v>
      </c>
      <c r="K1107" s="6" t="s">
        <v>611</v>
      </c>
      <c r="L1107" s="6">
        <v>19430000</v>
      </c>
      <c r="M1107" s="6">
        <v>2009</v>
      </c>
      <c r="N1107" s="6">
        <v>6.7</v>
      </c>
      <c r="O1107" s="4">
        <f ca="1">IFERROR(__xludf.DUMMYFUNCTION("IF(Cost_in_dollars!E1107=""USD"",Cost_in_dollars!B1107,Cost_in_dollars!B1107 * GOOGLEFINANCE(""CURRENCY:"" &amp; Cost_in_dollars!E1107 &amp; ""USD""))
"),21076498.2)</f>
        <v>21076498.199999999</v>
      </c>
      <c r="P1107" s="4">
        <f ca="1">IFERROR(__xludf.DUMMYFUNCTION("IF(Cost_in_dollars!E1107=""USD"",Cost_in_dollars!C1107,Cost_in_dollars!C1107 * GOOGLEFINANCE(""CURRENCY:"" &amp; Cost_in_dollars!E1107 &amp; ""USD""))
"),6626758.0155)</f>
        <v>6626758.0154999997</v>
      </c>
      <c r="Q1107" s="6">
        <f t="shared" ca="1" si="24"/>
        <v>-14449740.1845</v>
      </c>
      <c r="R1107" s="7" t="str">
        <f t="shared" si="25"/>
        <v>Coco Before Chanel</v>
      </c>
      <c r="S1107" s="43" t="str">
        <f t="shared" si="27"/>
        <v>Biography</v>
      </c>
    </row>
    <row r="1108" spans="1:19" ht="15.75" customHeight="1" x14ac:dyDescent="0.25">
      <c r="A1108" s="4" t="s">
        <v>4010</v>
      </c>
      <c r="B1108" s="4">
        <v>185</v>
      </c>
      <c r="C1108" s="4">
        <v>30857814</v>
      </c>
      <c r="D1108" s="4" t="s">
        <v>4011</v>
      </c>
      <c r="E1108" s="4" t="s">
        <v>236</v>
      </c>
      <c r="F1108" s="4" t="s">
        <v>4012</v>
      </c>
      <c r="G1108" s="4">
        <v>294163</v>
      </c>
      <c r="H1108" s="4" t="s">
        <v>4013</v>
      </c>
      <c r="I1108" s="4">
        <v>718</v>
      </c>
      <c r="J1108" s="4" t="s">
        <v>23</v>
      </c>
      <c r="K1108" s="4" t="s">
        <v>24</v>
      </c>
      <c r="L1108" s="4">
        <v>16000000</v>
      </c>
      <c r="M1108" s="4">
        <v>1987</v>
      </c>
      <c r="N1108" s="4">
        <v>8.1</v>
      </c>
      <c r="O1108" s="4">
        <f ca="1">IFERROR(__xludf.DUMMYFUNCTION("IF(Cost_in_dollars!E1108=""USD"",Cost_in_dollars!B1108,Cost_in_dollars!B1108 * GOOGLEFINANCE(""CURRENCY:"" &amp; Cost_in_dollars!E1108 &amp; ""USD""))
"),16000000)</f>
        <v>16000000</v>
      </c>
      <c r="P1108" s="4">
        <f ca="1">IFERROR(__xludf.DUMMYFUNCTION("IF(Cost_in_dollars!E1108=""USD"",Cost_in_dollars!C1108,Cost_in_dollars!C1108 * GOOGLEFINANCE(""CURRENCY:"" &amp; Cost_in_dollars!E1108 &amp; ""USD""))
"),30857814)</f>
        <v>30857814</v>
      </c>
      <c r="Q1108" s="4">
        <f t="shared" ca="1" si="24"/>
        <v>14857814</v>
      </c>
      <c r="R1108" s="5" t="str">
        <f t="shared" si="25"/>
        <v>The Princess Bride</v>
      </c>
      <c r="S1108" s="43" t="str">
        <f t="shared" si="27"/>
        <v>Adventure</v>
      </c>
    </row>
    <row r="1109" spans="1:19" ht="15.75" customHeight="1" x14ac:dyDescent="0.25">
      <c r="A1109" s="6" t="s">
        <v>4014</v>
      </c>
      <c r="B1109" s="6">
        <v>279</v>
      </c>
      <c r="C1109" s="6">
        <v>258113</v>
      </c>
      <c r="D1109" s="6" t="s">
        <v>116</v>
      </c>
      <c r="E1109" s="6" t="s">
        <v>4015</v>
      </c>
      <c r="F1109" s="6" t="s">
        <v>4016</v>
      </c>
      <c r="G1109" s="6">
        <v>42678</v>
      </c>
      <c r="H1109" s="6" t="s">
        <v>4017</v>
      </c>
      <c r="I1109" s="6">
        <v>135</v>
      </c>
      <c r="J1109" s="6" t="s">
        <v>23</v>
      </c>
      <c r="K1109" s="6" t="s">
        <v>24</v>
      </c>
      <c r="L1109" s="6">
        <v>1066167</v>
      </c>
      <c r="M1109" s="6">
        <v>2013</v>
      </c>
      <c r="N1109" s="6">
        <v>7.1</v>
      </c>
      <c r="O1109" s="4">
        <f ca="1">IFERROR(__xludf.DUMMYFUNCTION("IF(Cost_in_dollars!E1109=""USD"",Cost_in_dollars!B1109,Cost_in_dollars!B1109 * GOOGLEFINANCE(""CURRENCY:"" &amp; Cost_in_dollars!E1109 &amp; ""USD""))
"),1066167)</f>
        <v>1066167</v>
      </c>
      <c r="P1109" s="4">
        <f ca="1">IFERROR(__xludf.DUMMYFUNCTION("IF(Cost_in_dollars!E1109=""USD"",Cost_in_dollars!C1109,Cost_in_dollars!C1109 * GOOGLEFINANCE(""CURRENCY:"" &amp; Cost_in_dollars!E1109 &amp; ""USD""))
"),258113)</f>
        <v>258113</v>
      </c>
      <c r="Q1109" s="6">
        <f t="shared" ca="1" si="24"/>
        <v>-808054</v>
      </c>
      <c r="R1109" s="7" t="str">
        <f t="shared" si="25"/>
        <v>Blue Ruin</v>
      </c>
      <c r="S1109" s="43" t="str">
        <f t="shared" si="27"/>
        <v>Crime</v>
      </c>
    </row>
    <row r="1110" spans="1:19" ht="15.75" customHeight="1" x14ac:dyDescent="0.25">
      <c r="A1110" s="4" t="s">
        <v>1667</v>
      </c>
      <c r="B1110" s="4">
        <v>318</v>
      </c>
      <c r="C1110" s="4">
        <v>47000000</v>
      </c>
      <c r="D1110" s="4" t="s">
        <v>309</v>
      </c>
      <c r="E1110" s="4" t="s">
        <v>393</v>
      </c>
      <c r="F1110" s="4" t="s">
        <v>4018</v>
      </c>
      <c r="G1110" s="4">
        <v>157863</v>
      </c>
      <c r="H1110" s="4" t="s">
        <v>4019</v>
      </c>
      <c r="I1110" s="4">
        <v>1191</v>
      </c>
      <c r="J1110" s="4" t="s">
        <v>23</v>
      </c>
      <c r="K1110" s="4" t="s">
        <v>24</v>
      </c>
      <c r="L1110" s="4">
        <v>300000</v>
      </c>
      <c r="M1110" s="4">
        <v>1978</v>
      </c>
      <c r="N1110" s="4">
        <v>7.9</v>
      </c>
      <c r="O1110" s="4">
        <f ca="1">IFERROR(__xludf.DUMMYFUNCTION("IF(Cost_in_dollars!E1110=""USD"",Cost_in_dollars!B1110,Cost_in_dollars!B1110 * GOOGLEFINANCE(""CURRENCY:"" &amp; Cost_in_dollars!E1110 &amp; ""USD""))
"),300000)</f>
        <v>300000</v>
      </c>
      <c r="P1110" s="4">
        <f ca="1">IFERROR(__xludf.DUMMYFUNCTION("IF(Cost_in_dollars!E1110=""USD"",Cost_in_dollars!C1110,Cost_in_dollars!C1110 * GOOGLEFINANCE(""CURRENCY:"" &amp; Cost_in_dollars!E1110 &amp; ""USD""))
"),47000000)</f>
        <v>47000000</v>
      </c>
      <c r="Q1110" s="4">
        <f t="shared" ca="1" si="24"/>
        <v>46700000</v>
      </c>
      <c r="R1110" s="5" t="str">
        <f t="shared" si="25"/>
        <v>Halloween</v>
      </c>
      <c r="S1110" s="43" t="str">
        <f t="shared" si="27"/>
        <v>Horror</v>
      </c>
    </row>
    <row r="1111" spans="1:19" ht="15.75" customHeight="1" x14ac:dyDescent="0.25">
      <c r="A1111" s="6" t="s">
        <v>863</v>
      </c>
      <c r="B1111" s="6">
        <v>396</v>
      </c>
      <c r="C1111" s="6">
        <v>318759914</v>
      </c>
      <c r="D1111" s="6" t="s">
        <v>188</v>
      </c>
      <c r="E1111" s="6" t="s">
        <v>4020</v>
      </c>
      <c r="F1111" s="6" t="s">
        <v>4021</v>
      </c>
      <c r="G1111" s="6">
        <v>513158</v>
      </c>
      <c r="H1111" s="6" t="s">
        <v>4022</v>
      </c>
      <c r="I1111" s="6">
        <v>1782</v>
      </c>
      <c r="J1111" s="6" t="s">
        <v>23</v>
      </c>
      <c r="K1111" s="6" t="s">
        <v>24</v>
      </c>
      <c r="L1111" s="6">
        <v>150000000</v>
      </c>
      <c r="M1111" s="6">
        <v>2007</v>
      </c>
      <c r="N1111" s="6">
        <v>7.1</v>
      </c>
      <c r="O1111" s="4">
        <f ca="1">IFERROR(__xludf.DUMMYFUNCTION("IF(Cost_in_dollars!E1111=""USD"",Cost_in_dollars!B1111,Cost_in_dollars!B1111 * GOOGLEFINANCE(""CURRENCY:"" &amp; Cost_in_dollars!E1111 &amp; ""USD""))
"),150000000)</f>
        <v>150000000</v>
      </c>
      <c r="P1111" s="4">
        <f ca="1">IFERROR(__xludf.DUMMYFUNCTION("IF(Cost_in_dollars!E1111=""USD"",Cost_in_dollars!C1111,Cost_in_dollars!C1111 * GOOGLEFINANCE(""CURRENCY:"" &amp; Cost_in_dollars!E1111 &amp; ""USD""))
"),318759914)</f>
        <v>318759914</v>
      </c>
      <c r="Q1111" s="6">
        <f t="shared" ca="1" si="24"/>
        <v>168759914</v>
      </c>
      <c r="R1111" s="7" t="str">
        <f t="shared" si="25"/>
        <v>Transformers</v>
      </c>
      <c r="S1111" s="43" t="str">
        <f t="shared" si="27"/>
        <v>Action</v>
      </c>
    </row>
    <row r="1112" spans="1:19" ht="15.75" customHeight="1" x14ac:dyDescent="0.25">
      <c r="A1112" s="4" t="s">
        <v>4023</v>
      </c>
      <c r="B1112" s="4">
        <v>36</v>
      </c>
      <c r="C1112" s="4">
        <v>4063</v>
      </c>
      <c r="D1112" s="4" t="s">
        <v>1028</v>
      </c>
      <c r="E1112" s="4" t="s">
        <v>4024</v>
      </c>
      <c r="F1112" s="4" t="s">
        <v>4025</v>
      </c>
      <c r="G1112" s="4">
        <v>2086</v>
      </c>
      <c r="H1112" s="4" t="s">
        <v>109</v>
      </c>
      <c r="I1112" s="4">
        <v>20</v>
      </c>
      <c r="J1112" s="4" t="s">
        <v>23</v>
      </c>
      <c r="K1112" s="4" t="s">
        <v>627</v>
      </c>
      <c r="L1112" s="4">
        <v>4000000</v>
      </c>
      <c r="M1112" s="4">
        <v>2012</v>
      </c>
      <c r="N1112" s="4">
        <v>5.2</v>
      </c>
      <c r="O1112" s="4">
        <f ca="1">IFERROR(__xludf.DUMMYFUNCTION("IF(Cost_in_dollars!E1112=""USD"",Cost_in_dollars!B1112,Cost_in_dollars!B1112 * GOOGLEFINANCE(""CURRENCY:"" &amp; Cost_in_dollars!E1112 &amp; ""USD""))
"),2893620)</f>
        <v>2893620</v>
      </c>
      <c r="P1112" s="4">
        <f ca="1">IFERROR(__xludf.DUMMYFUNCTION("IF(Cost_in_dollars!E1112=""USD"",Cost_in_dollars!C1112,Cost_in_dollars!C1112 * GOOGLEFINANCE(""CURRENCY:"" &amp; Cost_in_dollars!E1112 &amp; ""USD""))
"),2939.19451499999)</f>
        <v>2939.1945149999901</v>
      </c>
      <c r="Q1112" s="4">
        <f t="shared" ca="1" si="24"/>
        <v>-2890680.8054849999</v>
      </c>
      <c r="R1112" s="5" t="str">
        <f t="shared" si="25"/>
        <v>Inescapable</v>
      </c>
      <c r="S1112" s="43" t="str">
        <f t="shared" si="27"/>
        <v>Drama</v>
      </c>
    </row>
    <row r="1113" spans="1:19" ht="15.75" customHeight="1" x14ac:dyDescent="0.25">
      <c r="A1113" s="6" t="s">
        <v>4026</v>
      </c>
      <c r="B1113" s="6">
        <v>108</v>
      </c>
      <c r="C1113" s="6">
        <v>108244774</v>
      </c>
      <c r="D1113" s="6" t="s">
        <v>292</v>
      </c>
      <c r="E1113" s="6" t="s">
        <v>422</v>
      </c>
      <c r="F1113" s="6" t="s">
        <v>4027</v>
      </c>
      <c r="G1113" s="6">
        <v>94049</v>
      </c>
      <c r="H1113" s="6" t="s">
        <v>4028</v>
      </c>
      <c r="I1113" s="6">
        <v>301</v>
      </c>
      <c r="J1113" s="6" t="s">
        <v>23</v>
      </c>
      <c r="K1113" s="6" t="s">
        <v>24</v>
      </c>
      <c r="L1113" s="6">
        <v>37000000</v>
      </c>
      <c r="M1113" s="6">
        <v>2001</v>
      </c>
      <c r="N1113" s="6">
        <v>6.2</v>
      </c>
      <c r="O1113" s="4">
        <f ca="1">IFERROR(__xludf.DUMMYFUNCTION("IF(Cost_in_dollars!E1113=""USD"",Cost_in_dollars!B1113,Cost_in_dollars!B1113 * GOOGLEFINANCE(""CURRENCY:"" &amp; Cost_in_dollars!E1113 &amp; ""USD""))
"),37000000)</f>
        <v>37000000</v>
      </c>
      <c r="P1113" s="4">
        <f ca="1">IFERROR(__xludf.DUMMYFUNCTION("IF(Cost_in_dollars!E1113=""USD"",Cost_in_dollars!C1113,Cost_in_dollars!C1113 * GOOGLEFINANCE(""CURRENCY:"" &amp; Cost_in_dollars!E1113 &amp; ""USD""))
"),108244774)</f>
        <v>108244774</v>
      </c>
      <c r="Q1113" s="6">
        <f t="shared" ca="1" si="24"/>
        <v>71244774</v>
      </c>
      <c r="R1113" s="7" t="str">
        <f t="shared" si="25"/>
        <v>The Princess Diaries</v>
      </c>
      <c r="S1113" s="43" t="str">
        <f t="shared" si="27"/>
        <v>Comedy</v>
      </c>
    </row>
    <row r="1114" spans="1:19" ht="15.75" customHeight="1" x14ac:dyDescent="0.25">
      <c r="A1114" s="4" t="s">
        <v>2022</v>
      </c>
      <c r="B1114" s="4">
        <v>147</v>
      </c>
      <c r="C1114" s="4">
        <v>37101011</v>
      </c>
      <c r="D1114" s="4" t="s">
        <v>457</v>
      </c>
      <c r="E1114" s="4" t="s">
        <v>3606</v>
      </c>
      <c r="F1114" s="4" t="s">
        <v>4029</v>
      </c>
      <c r="G1114" s="4">
        <v>30394</v>
      </c>
      <c r="H1114" s="4" t="s">
        <v>4030</v>
      </c>
      <c r="I1114" s="4">
        <v>103</v>
      </c>
      <c r="J1114" s="4" t="s">
        <v>23</v>
      </c>
      <c r="K1114" s="4" t="s">
        <v>24</v>
      </c>
      <c r="L1114" s="4">
        <v>40000000</v>
      </c>
      <c r="M1114" s="4">
        <v>2012</v>
      </c>
      <c r="N1114" s="4">
        <v>5.8</v>
      </c>
      <c r="O1114" s="4">
        <f ca="1">IFERROR(__xludf.DUMMYFUNCTION("IF(Cost_in_dollars!E1114=""USD"",Cost_in_dollars!B1114,Cost_in_dollars!B1114 * GOOGLEFINANCE(""CURRENCY:"" &amp; Cost_in_dollars!E1114 &amp; ""USD""))
"),40000000)</f>
        <v>40000000</v>
      </c>
      <c r="P1114" s="4">
        <f ca="1">IFERROR(__xludf.DUMMYFUNCTION("IF(Cost_in_dollars!E1114=""USD"",Cost_in_dollars!C1114,Cost_in_dollars!C1114 * GOOGLEFINANCE(""CURRENCY:"" &amp; Cost_in_dollars!E1114 &amp; ""USD""))
"),37101011)</f>
        <v>37101011</v>
      </c>
      <c r="Q1114" s="4">
        <f t="shared" ca="1" si="24"/>
        <v>-2898989</v>
      </c>
      <c r="R1114" s="5" t="str">
        <f t="shared" si="25"/>
        <v>The Guilt Trip</v>
      </c>
      <c r="S1114" s="43" t="str">
        <f t="shared" si="27"/>
        <v>Comedy</v>
      </c>
    </row>
    <row r="1115" spans="1:19" ht="15.75" customHeight="1" x14ac:dyDescent="0.25">
      <c r="A1115" s="6" t="s">
        <v>4031</v>
      </c>
      <c r="B1115" s="6">
        <v>159</v>
      </c>
      <c r="C1115" s="6">
        <v>2926565</v>
      </c>
      <c r="D1115" s="6" t="s">
        <v>457</v>
      </c>
      <c r="E1115" s="6" t="s">
        <v>1617</v>
      </c>
      <c r="F1115" s="6" t="s">
        <v>4032</v>
      </c>
      <c r="G1115" s="6">
        <v>28573</v>
      </c>
      <c r="H1115" s="6" t="s">
        <v>4033</v>
      </c>
      <c r="I1115" s="6">
        <v>72</v>
      </c>
      <c r="J1115" s="6" t="s">
        <v>23</v>
      </c>
      <c r="K1115" s="6" t="s">
        <v>24</v>
      </c>
      <c r="L1115" s="6">
        <v>3000000</v>
      </c>
      <c r="M1115" s="6">
        <v>2008</v>
      </c>
      <c r="N1115" s="6">
        <v>6.5</v>
      </c>
      <c r="O1115" s="4">
        <f ca="1">IFERROR(__xludf.DUMMYFUNCTION("IF(Cost_in_dollars!E1115=""USD"",Cost_in_dollars!B1115,Cost_in_dollars!B1115 * GOOGLEFINANCE(""CURRENCY:"" &amp; Cost_in_dollars!E1115 &amp; ""USD""))
"),3000000)</f>
        <v>3000000</v>
      </c>
      <c r="P1115" s="4">
        <f ca="1">IFERROR(__xludf.DUMMYFUNCTION("IF(Cost_in_dollars!E1115=""USD"",Cost_in_dollars!C1115,Cost_in_dollars!C1115 * GOOGLEFINANCE(""CURRENCY:"" &amp; Cost_in_dollars!E1115 &amp; ""USD""))
"),2926565)</f>
        <v>2926565</v>
      </c>
      <c r="Q1115" s="6">
        <f t="shared" ca="1" si="24"/>
        <v>-73435</v>
      </c>
      <c r="R1115" s="7" t="str">
        <f t="shared" si="25"/>
        <v>Choke</v>
      </c>
      <c r="S1115" s="43" t="str">
        <f t="shared" si="27"/>
        <v>Comedy</v>
      </c>
    </row>
    <row r="1116" spans="1:19" ht="15.75" customHeight="1" x14ac:dyDescent="0.25">
      <c r="A1116" s="4" t="s">
        <v>4034</v>
      </c>
      <c r="B1116" s="4">
        <v>81</v>
      </c>
      <c r="C1116" s="4">
        <v>12693621</v>
      </c>
      <c r="D1116" s="4" t="s">
        <v>93</v>
      </c>
      <c r="E1116" s="4" t="s">
        <v>4035</v>
      </c>
      <c r="F1116" s="4" t="s">
        <v>4036</v>
      </c>
      <c r="G1116" s="4">
        <v>10885</v>
      </c>
      <c r="H1116" s="4" t="s">
        <v>4037</v>
      </c>
      <c r="I1116" s="4">
        <v>271</v>
      </c>
      <c r="J1116" s="4" t="s">
        <v>23</v>
      </c>
      <c r="K1116" s="4" t="s">
        <v>24</v>
      </c>
      <c r="L1116" s="4">
        <v>17000000</v>
      </c>
      <c r="M1116" s="4">
        <v>2002</v>
      </c>
      <c r="N1116" s="4">
        <v>4.8</v>
      </c>
      <c r="O1116" s="4">
        <f ca="1">IFERROR(__xludf.DUMMYFUNCTION("IF(Cost_in_dollars!E1116=""USD"",Cost_in_dollars!B1116,Cost_in_dollars!B1116 * GOOGLEFINANCE(""CURRENCY:"" &amp; Cost_in_dollars!E1116 &amp; ""USD""))
"),17000000)</f>
        <v>17000000</v>
      </c>
      <c r="P1116" s="4">
        <f ca="1">IFERROR(__xludf.DUMMYFUNCTION("IF(Cost_in_dollars!E1116=""USD"",Cost_in_dollars!C1116,Cost_in_dollars!C1116 * GOOGLEFINANCE(""CURRENCY:"" &amp; Cost_in_dollars!E1116 &amp; ""USD""))
"),12693621)</f>
        <v>12693621</v>
      </c>
      <c r="Q1116" s="4">
        <f t="shared" ca="1" si="24"/>
        <v>-4306379</v>
      </c>
      <c r="R1116" s="5" t="str">
        <f t="shared" si="25"/>
        <v>They</v>
      </c>
      <c r="S1116" s="43" t="str">
        <f t="shared" si="27"/>
        <v>Horror</v>
      </c>
    </row>
    <row r="1117" spans="1:19" ht="15.75" customHeight="1" x14ac:dyDescent="0.25">
      <c r="A1117" s="6" t="s">
        <v>4038</v>
      </c>
      <c r="B1117" s="6">
        <v>50</v>
      </c>
      <c r="C1117" s="6">
        <v>2221994</v>
      </c>
      <c r="D1117" s="6" t="s">
        <v>1562</v>
      </c>
      <c r="E1117" s="6" t="s">
        <v>1860</v>
      </c>
      <c r="F1117" s="6" t="s">
        <v>4039</v>
      </c>
      <c r="G1117" s="6">
        <v>11747</v>
      </c>
      <c r="H1117" s="6" t="s">
        <v>4040</v>
      </c>
      <c r="I1117" s="6">
        <v>99</v>
      </c>
      <c r="J1117" s="6" t="s">
        <v>23</v>
      </c>
      <c r="K1117" s="6" t="s">
        <v>4041</v>
      </c>
      <c r="L1117" s="6">
        <v>35000000</v>
      </c>
      <c r="M1117" s="6">
        <v>1997</v>
      </c>
      <c r="N1117" s="6">
        <v>6.4</v>
      </c>
      <c r="O1117" s="4">
        <f ca="1">IFERROR(__xludf.DUMMYFUNCTION("IF(Cost_in_dollars!E1117=""USD"",Cost_in_dollars!B1117,Cost_in_dollars!B1117 * GOOGLEFINANCE(""CURRENCY:"" &amp; Cost_in_dollars!E1117 &amp; ""USD""))
"),5086987.49999999)</f>
        <v>5086987.4999999898</v>
      </c>
      <c r="P1117" s="4">
        <f ca="1">IFERROR(__xludf.DUMMYFUNCTION("IF(Cost_in_dollars!E1117=""USD"",Cost_in_dollars!C1117,Cost_in_dollars!C1117 * GOOGLEFINANCE(""CURRENCY:"" &amp; Cost_in_dollars!E1117 &amp; ""USD""))
"),322950.162945)</f>
        <v>322950.16294499999</v>
      </c>
      <c r="Q1117" s="6">
        <f t="shared" ca="1" si="24"/>
        <v>-4764037.3370549902</v>
      </c>
      <c r="R1117" s="7" t="str">
        <f t="shared" si="25"/>
        <v>Smilla's Sense of Snow</v>
      </c>
      <c r="S1117" s="43" t="str">
        <f t="shared" si="27"/>
        <v>Action</v>
      </c>
    </row>
    <row r="1118" spans="1:19" ht="15.75" customHeight="1" x14ac:dyDescent="0.25">
      <c r="A1118" s="4" t="s">
        <v>2550</v>
      </c>
      <c r="B1118" s="4">
        <v>16</v>
      </c>
      <c r="C1118" s="4">
        <v>49851591</v>
      </c>
      <c r="D1118" s="4" t="s">
        <v>244</v>
      </c>
      <c r="E1118" s="4" t="s">
        <v>402</v>
      </c>
      <c r="F1118" s="4" t="s">
        <v>4042</v>
      </c>
      <c r="G1118" s="4">
        <v>7900</v>
      </c>
      <c r="H1118" s="4" t="s">
        <v>4043</v>
      </c>
      <c r="I1118" s="4">
        <v>34</v>
      </c>
      <c r="J1118" s="4" t="s">
        <v>23</v>
      </c>
      <c r="K1118" s="4" t="s">
        <v>24</v>
      </c>
      <c r="L1118" s="4">
        <v>40000000</v>
      </c>
      <c r="M1118" s="4">
        <v>1986</v>
      </c>
      <c r="N1118" s="4">
        <v>5.9</v>
      </c>
      <c r="O1118" s="4">
        <f ca="1">IFERROR(__xludf.DUMMYFUNCTION("IF(Cost_in_dollars!E1118=""USD"",Cost_in_dollars!B1118,Cost_in_dollars!B1118 * GOOGLEFINANCE(""CURRENCY:"" &amp; Cost_in_dollars!E1118 &amp; ""USD""))
"),40000000)</f>
        <v>40000000</v>
      </c>
      <c r="P1118" s="4">
        <f ca="1">IFERROR(__xludf.DUMMYFUNCTION("IF(Cost_in_dollars!E1118=""USD"",Cost_in_dollars!C1118,Cost_in_dollars!C1118 * GOOGLEFINANCE(""CURRENCY:"" &amp; Cost_in_dollars!E1118 &amp; ""USD""))
"),49851591)</f>
        <v>49851591</v>
      </c>
      <c r="Q1118" s="4">
        <f t="shared" ca="1" si="24"/>
        <v>9851591</v>
      </c>
      <c r="R1118" s="5" t="str">
        <f t="shared" si="25"/>
        <v>Legal Eagles</v>
      </c>
      <c r="S1118" s="43" t="str">
        <f t="shared" si="27"/>
        <v>Comedy</v>
      </c>
    </row>
    <row r="1119" spans="1:19" ht="15.75" customHeight="1" x14ac:dyDescent="0.25">
      <c r="A1119" s="6" t="s">
        <v>2291</v>
      </c>
      <c r="B1119" s="6">
        <v>304</v>
      </c>
      <c r="C1119" s="6">
        <v>116631310</v>
      </c>
      <c r="D1119" s="6" t="s">
        <v>362</v>
      </c>
      <c r="E1119" s="6" t="s">
        <v>4044</v>
      </c>
      <c r="F1119" s="6" t="s">
        <v>4045</v>
      </c>
      <c r="G1119" s="6">
        <v>87665</v>
      </c>
      <c r="H1119" s="6" t="s">
        <v>4046</v>
      </c>
      <c r="I1119" s="6">
        <v>323</v>
      </c>
      <c r="J1119" s="6" t="s">
        <v>23</v>
      </c>
      <c r="K1119" s="6" t="s">
        <v>24</v>
      </c>
      <c r="L1119" s="6">
        <v>30000000</v>
      </c>
      <c r="M1119" s="6">
        <v>2013</v>
      </c>
      <c r="N1119" s="6">
        <v>7.2</v>
      </c>
      <c r="O1119" s="4">
        <f ca="1">IFERROR(__xludf.DUMMYFUNCTION("IF(Cost_in_dollars!E1119=""USD"",Cost_in_dollars!B1119,Cost_in_dollars!B1119 * GOOGLEFINANCE(""CURRENCY:"" &amp; Cost_in_dollars!E1119 &amp; ""USD""))
"),30000000)</f>
        <v>30000000</v>
      </c>
      <c r="P1119" s="4">
        <f ca="1">IFERROR(__xludf.DUMMYFUNCTION("IF(Cost_in_dollars!E1119=""USD"",Cost_in_dollars!C1119,Cost_in_dollars!C1119 * GOOGLEFINANCE(""CURRENCY:"" &amp; Cost_in_dollars!E1119 &amp; ""USD""))
"),116631310)</f>
        <v>116631310</v>
      </c>
      <c r="Q1119" s="6">
        <f t="shared" ca="1" si="24"/>
        <v>86631310</v>
      </c>
      <c r="R1119" s="7" t="str">
        <f t="shared" si="25"/>
        <v>Lee Daniels' The Butler</v>
      </c>
      <c r="S1119" s="43" t="str">
        <f t="shared" si="27"/>
        <v>Biography</v>
      </c>
    </row>
    <row r="1120" spans="1:19" ht="15.75" customHeight="1" x14ac:dyDescent="0.25">
      <c r="A1120" s="4" t="s">
        <v>4047</v>
      </c>
      <c r="B1120" s="4">
        <v>37</v>
      </c>
      <c r="C1120" s="4">
        <v>17292381</v>
      </c>
      <c r="D1120" s="4" t="s">
        <v>4048</v>
      </c>
      <c r="E1120" s="4" t="s">
        <v>1398</v>
      </c>
      <c r="F1120" s="4" t="s">
        <v>4049</v>
      </c>
      <c r="G1120" s="4">
        <v>5794</v>
      </c>
      <c r="H1120" s="4" t="s">
        <v>4050</v>
      </c>
      <c r="I1120" s="4">
        <v>69</v>
      </c>
      <c r="J1120" s="4" t="s">
        <v>23</v>
      </c>
      <c r="K1120" s="4" t="s">
        <v>24</v>
      </c>
      <c r="L1120" s="4">
        <v>12000000</v>
      </c>
      <c r="M1120" s="4">
        <v>2001</v>
      </c>
      <c r="N1120" s="4">
        <v>5.3</v>
      </c>
      <c r="O1120" s="4">
        <f ca="1">IFERROR(__xludf.DUMMYFUNCTION("IF(Cost_in_dollars!E1120=""USD"",Cost_in_dollars!B1120,Cost_in_dollars!B1120 * GOOGLEFINANCE(""CURRENCY:"" &amp; Cost_in_dollars!E1120 &amp; ""USD""))
"),12000000)</f>
        <v>12000000</v>
      </c>
      <c r="P1120" s="4">
        <f ca="1">IFERROR(__xludf.DUMMYFUNCTION("IF(Cost_in_dollars!E1120=""USD"",Cost_in_dollars!C1120,Cost_in_dollars!C1120 * GOOGLEFINANCE(""CURRENCY:"" &amp; Cost_in_dollars!E1120 &amp; ""USD""))
"),17292381)</f>
        <v>17292381</v>
      </c>
      <c r="Q1120" s="4">
        <f t="shared" ca="1" si="24"/>
        <v>5292381</v>
      </c>
      <c r="R1120" s="5" t="str">
        <f t="shared" si="25"/>
        <v>Max Keeble's Big Move</v>
      </c>
      <c r="S1120" s="43" t="str">
        <f t="shared" si="27"/>
        <v>Comedy</v>
      </c>
    </row>
    <row r="1121" spans="1:19" ht="15.75" customHeight="1" x14ac:dyDescent="0.25">
      <c r="A1121" s="6" t="s">
        <v>4051</v>
      </c>
      <c r="B1121" s="6">
        <v>148</v>
      </c>
      <c r="C1121" s="6">
        <v>27854896</v>
      </c>
      <c r="D1121" s="6" t="s">
        <v>3272</v>
      </c>
      <c r="E1121" s="6" t="s">
        <v>4044</v>
      </c>
      <c r="F1121" s="6" t="s">
        <v>4052</v>
      </c>
      <c r="G1121" s="6">
        <v>64190</v>
      </c>
      <c r="H1121" s="6" t="s">
        <v>4053</v>
      </c>
      <c r="I1121" s="6">
        <v>129</v>
      </c>
      <c r="J1121" s="6" t="s">
        <v>23</v>
      </c>
      <c r="K1121" s="6" t="s">
        <v>24</v>
      </c>
      <c r="L1121" s="6">
        <v>17000000</v>
      </c>
      <c r="M1121" s="6">
        <v>2011</v>
      </c>
      <c r="N1121" s="6">
        <v>5.6</v>
      </c>
      <c r="O1121" s="4">
        <f ca="1">IFERROR(__xludf.DUMMYFUNCTION("IF(Cost_in_dollars!E1121=""USD"",Cost_in_dollars!B1121,Cost_in_dollars!B1121 * GOOGLEFINANCE(""CURRENCY:"" &amp; Cost_in_dollars!E1121 &amp; ""USD""))
"),17000000)</f>
        <v>17000000</v>
      </c>
      <c r="P1121" s="4">
        <f ca="1">IFERROR(__xludf.DUMMYFUNCTION("IF(Cost_in_dollars!E1121=""USD"",Cost_in_dollars!C1121,Cost_in_dollars!C1121 * GOOGLEFINANCE(""CURRENCY:"" &amp; Cost_in_dollars!E1121 &amp; ""USD""))
"),27854896)</f>
        <v>27854896</v>
      </c>
      <c r="Q1121" s="6">
        <f t="shared" ca="1" si="24"/>
        <v>10854896</v>
      </c>
      <c r="R1121" s="7" t="str">
        <f t="shared" si="25"/>
        <v>Beastly</v>
      </c>
      <c r="S1121" s="43" t="str">
        <f t="shared" si="27"/>
        <v>Drama</v>
      </c>
    </row>
    <row r="1122" spans="1:19" ht="15.75" customHeight="1" x14ac:dyDescent="0.25">
      <c r="A1122" s="4" t="s">
        <v>4054</v>
      </c>
      <c r="B1122" s="4">
        <v>18</v>
      </c>
      <c r="C1122" s="4">
        <v>71904</v>
      </c>
      <c r="D1122" s="4" t="s">
        <v>1499</v>
      </c>
      <c r="E1122" s="4" t="s">
        <v>4055</v>
      </c>
      <c r="F1122" s="4" t="s">
        <v>4056</v>
      </c>
      <c r="G1122" s="4">
        <v>806</v>
      </c>
      <c r="H1122" s="4" t="s">
        <v>4057</v>
      </c>
      <c r="I1122" s="4">
        <v>18</v>
      </c>
      <c r="J1122" s="4" t="s">
        <v>23</v>
      </c>
      <c r="K1122" s="4" t="s">
        <v>24</v>
      </c>
      <c r="L1122" s="4">
        <v>2500000</v>
      </c>
      <c r="M1122" s="4">
        <v>2006</v>
      </c>
      <c r="N1122" s="4">
        <v>5.7</v>
      </c>
      <c r="O1122" s="4">
        <f ca="1">IFERROR(__xludf.DUMMYFUNCTION("IF(Cost_in_dollars!E1122=""USD"",Cost_in_dollars!B1122,Cost_in_dollars!B1122 * GOOGLEFINANCE(""CURRENCY:"" &amp; Cost_in_dollars!E1122 &amp; ""USD""))
"),2500000)</f>
        <v>2500000</v>
      </c>
      <c r="P1122" s="4">
        <f ca="1">IFERROR(__xludf.DUMMYFUNCTION("IF(Cost_in_dollars!E1122=""USD"",Cost_in_dollars!C1122,Cost_in_dollars!C1122 * GOOGLEFINANCE(""CURRENCY:"" &amp; Cost_in_dollars!E1122 &amp; ""USD""))
"),71904)</f>
        <v>71904</v>
      </c>
      <c r="Q1122" s="4">
        <f t="shared" ca="1" si="24"/>
        <v>-2428096</v>
      </c>
      <c r="R1122" s="5" t="str">
        <f t="shared" si="25"/>
        <v>Eye of the Dolphin</v>
      </c>
      <c r="S1122" s="43" t="str">
        <f t="shared" si="27"/>
        <v>Comedy</v>
      </c>
    </row>
    <row r="1123" spans="1:19" ht="15.75" customHeight="1" x14ac:dyDescent="0.25">
      <c r="A1123" s="6" t="s">
        <v>4058</v>
      </c>
      <c r="B1123" s="6">
        <v>92</v>
      </c>
      <c r="C1123" s="6">
        <v>30306281</v>
      </c>
      <c r="D1123" s="6" t="s">
        <v>457</v>
      </c>
      <c r="E1123" s="6" t="s">
        <v>3101</v>
      </c>
      <c r="F1123" s="6" t="s">
        <v>4059</v>
      </c>
      <c r="G1123" s="6">
        <v>12388</v>
      </c>
      <c r="H1123" s="6" t="s">
        <v>4060</v>
      </c>
      <c r="I1123" s="6">
        <v>147</v>
      </c>
      <c r="J1123" s="6" t="s">
        <v>23</v>
      </c>
      <c r="K1123" s="6" t="s">
        <v>24</v>
      </c>
      <c r="L1123" s="6">
        <v>10000000</v>
      </c>
      <c r="M1123" s="6">
        <v>2002</v>
      </c>
      <c r="N1123" s="6">
        <v>5.6</v>
      </c>
      <c r="O1123" s="4">
        <f ca="1">IFERROR(__xludf.DUMMYFUNCTION("IF(Cost_in_dollars!E1123=""USD"",Cost_in_dollars!B1123,Cost_in_dollars!B1123 * GOOGLEFINANCE(""CURRENCY:"" &amp; Cost_in_dollars!E1123 &amp; ""USD""))
"),10000000)</f>
        <v>10000000</v>
      </c>
      <c r="P1123" s="4">
        <f ca="1">IFERROR(__xludf.DUMMYFUNCTION("IF(Cost_in_dollars!E1123=""USD"",Cost_in_dollars!C1123,Cost_in_dollars!C1123 * GOOGLEFINANCE(""CURRENCY:"" &amp; Cost_in_dollars!E1123 &amp; ""USD""))
"),30306281)</f>
        <v>30306281</v>
      </c>
      <c r="Q1123" s="6">
        <f t="shared" ca="1" si="24"/>
        <v>20306281</v>
      </c>
      <c r="R1123" s="7" t="str">
        <f t="shared" si="25"/>
        <v>The Banger Sisters</v>
      </c>
      <c r="S1123" s="43" t="str">
        <f t="shared" si="27"/>
        <v>Comedy</v>
      </c>
    </row>
    <row r="1124" spans="1:19" ht="15.75" customHeight="1" x14ac:dyDescent="0.25">
      <c r="A1124" s="4" t="s">
        <v>4061</v>
      </c>
      <c r="B1124" s="4">
        <v>16</v>
      </c>
      <c r="C1124" s="4">
        <v>15278</v>
      </c>
      <c r="D1124" s="4" t="s">
        <v>4062</v>
      </c>
      <c r="E1124" s="4" t="s">
        <v>4063</v>
      </c>
      <c r="F1124" s="4" t="s">
        <v>4064</v>
      </c>
      <c r="G1124" s="4">
        <v>1742</v>
      </c>
      <c r="H1124" s="4" t="s">
        <v>4065</v>
      </c>
      <c r="I1124" s="4">
        <v>158</v>
      </c>
      <c r="J1124" s="4" t="s">
        <v>23</v>
      </c>
      <c r="K1124" s="4" t="s">
        <v>24</v>
      </c>
      <c r="L1124" s="4">
        <v>825000</v>
      </c>
      <c r="M1124" s="4">
        <v>2002</v>
      </c>
      <c r="N1124" s="4">
        <v>5.6</v>
      </c>
      <c r="O1124" s="4">
        <f ca="1">IFERROR(__xludf.DUMMYFUNCTION("IF(Cost_in_dollars!E1124=""USD"",Cost_in_dollars!B1124,Cost_in_dollars!B1124 * GOOGLEFINANCE(""CURRENCY:"" &amp; Cost_in_dollars!E1124 &amp; ""USD""))
"),825000)</f>
        <v>825000</v>
      </c>
      <c r="P1124" s="4">
        <f ca="1">IFERROR(__xludf.DUMMYFUNCTION("IF(Cost_in_dollars!E1124=""USD"",Cost_in_dollars!C1124,Cost_in_dollars!C1124 * GOOGLEFINANCE(""CURRENCY:"" &amp; Cost_in_dollars!E1124 &amp; ""USD""))
"),15278)</f>
        <v>15278</v>
      </c>
      <c r="Q1124" s="4">
        <f t="shared" ca="1" si="24"/>
        <v>-809722</v>
      </c>
      <c r="R1124" s="5" t="str">
        <f t="shared" si="25"/>
        <v>Time Changer</v>
      </c>
      <c r="S1124" s="43" t="str">
        <f t="shared" si="27"/>
        <v>Drama</v>
      </c>
    </row>
    <row r="1125" spans="1:19" ht="15.75" customHeight="1" x14ac:dyDescent="0.25">
      <c r="A1125" s="6" t="s">
        <v>4066</v>
      </c>
      <c r="B1125" s="6">
        <v>350</v>
      </c>
      <c r="C1125" s="6">
        <v>191449475</v>
      </c>
      <c r="D1125" s="6" t="s">
        <v>3272</v>
      </c>
      <c r="E1125" s="6" t="s">
        <v>1982</v>
      </c>
      <c r="F1125" s="6" t="s">
        <v>4067</v>
      </c>
      <c r="G1125" s="6">
        <v>348007</v>
      </c>
      <c r="H1125" s="6" t="s">
        <v>4068</v>
      </c>
      <c r="I1125" s="6">
        <v>1535</v>
      </c>
      <c r="J1125" s="6" t="s">
        <v>23</v>
      </c>
      <c r="K1125" s="6" t="s">
        <v>24</v>
      </c>
      <c r="L1125" s="6">
        <v>37000000</v>
      </c>
      <c r="M1125" s="6">
        <v>2008</v>
      </c>
      <c r="N1125" s="6">
        <v>5.2</v>
      </c>
      <c r="O1125" s="4">
        <f ca="1">IFERROR(__xludf.DUMMYFUNCTION("IF(Cost_in_dollars!E1125=""USD"",Cost_in_dollars!B1125,Cost_in_dollars!B1125 * GOOGLEFINANCE(""CURRENCY:"" &amp; Cost_in_dollars!E1125 &amp; ""USD""))
"),37000000)</f>
        <v>37000000</v>
      </c>
      <c r="P1125" s="4">
        <f ca="1">IFERROR(__xludf.DUMMYFUNCTION("IF(Cost_in_dollars!E1125=""USD"",Cost_in_dollars!C1125,Cost_in_dollars!C1125 * GOOGLEFINANCE(""CURRENCY:"" &amp; Cost_in_dollars!E1125 &amp; ""USD""))
"),191449475)</f>
        <v>191449475</v>
      </c>
      <c r="Q1125" s="6">
        <f t="shared" ca="1" si="24"/>
        <v>154449475</v>
      </c>
      <c r="R1125" s="7" t="str">
        <f t="shared" si="25"/>
        <v>Twilight</v>
      </c>
      <c r="S1125" s="43" t="str">
        <f t="shared" si="27"/>
        <v>Drama</v>
      </c>
    </row>
    <row r="1126" spans="1:19" ht="15.75" customHeight="1" x14ac:dyDescent="0.25">
      <c r="A1126" s="4" t="s">
        <v>77</v>
      </c>
      <c r="B1126" s="4">
        <v>68</v>
      </c>
      <c r="C1126" s="4">
        <v>3064356</v>
      </c>
      <c r="D1126" s="4" t="s">
        <v>235</v>
      </c>
      <c r="E1126" s="4" t="s">
        <v>3180</v>
      </c>
      <c r="F1126" s="4" t="s">
        <v>4069</v>
      </c>
      <c r="G1126" s="4">
        <v>3433</v>
      </c>
      <c r="H1126" s="4" t="s">
        <v>4070</v>
      </c>
      <c r="I1126" s="4">
        <v>81</v>
      </c>
      <c r="J1126" s="4" t="s">
        <v>23</v>
      </c>
      <c r="K1126" s="4" t="s">
        <v>24</v>
      </c>
      <c r="L1126" s="4">
        <v>5600000</v>
      </c>
      <c r="M1126" s="4">
        <v>2002</v>
      </c>
      <c r="N1126" s="4">
        <v>6.9</v>
      </c>
      <c r="O1126" s="4">
        <f ca="1">IFERROR(__xludf.DUMMYFUNCTION("IF(Cost_in_dollars!E1126=""USD"",Cost_in_dollars!B1126,Cost_in_dollars!B1126 * GOOGLEFINANCE(""CURRENCY:"" &amp; Cost_in_dollars!E1126 &amp; ""USD""))
"),5600000)</f>
        <v>5600000</v>
      </c>
      <c r="P1126" s="4">
        <f ca="1">IFERROR(__xludf.DUMMYFUNCTION("IF(Cost_in_dollars!E1126=""USD"",Cost_in_dollars!C1126,Cost_in_dollars!C1126 * GOOGLEFINANCE(""CURRENCY:"" &amp; Cost_in_dollars!E1126 &amp; ""USD""))
"),3064356)</f>
        <v>3064356</v>
      </c>
      <c r="Q1126" s="4">
        <f t="shared" ca="1" si="24"/>
        <v>-2535644</v>
      </c>
      <c r="R1126" s="5" t="str">
        <f t="shared" si="25"/>
        <v>Sunshine State</v>
      </c>
      <c r="S1126" s="43" t="str">
        <f t="shared" si="27"/>
        <v>Drama</v>
      </c>
    </row>
    <row r="1127" spans="1:19" ht="15.75" customHeight="1" x14ac:dyDescent="0.25">
      <c r="A1127" s="6" t="s">
        <v>4071</v>
      </c>
      <c r="B1127" s="6">
        <v>59</v>
      </c>
      <c r="C1127" s="6">
        <v>108360000</v>
      </c>
      <c r="D1127" s="6" t="s">
        <v>696</v>
      </c>
      <c r="E1127" s="6" t="s">
        <v>4072</v>
      </c>
      <c r="F1127" s="6" t="s">
        <v>4073</v>
      </c>
      <c r="G1127" s="6">
        <v>160321</v>
      </c>
      <c r="H1127" s="6" t="s">
        <v>4074</v>
      </c>
      <c r="I1127" s="6">
        <v>178</v>
      </c>
      <c r="J1127" s="6" t="s">
        <v>23</v>
      </c>
      <c r="K1127" s="6" t="s">
        <v>24</v>
      </c>
      <c r="L1127" s="6">
        <v>30000000</v>
      </c>
      <c r="M1127" s="6">
        <v>1995</v>
      </c>
      <c r="N1127" s="6">
        <v>6.3</v>
      </c>
      <c r="O1127" s="4">
        <f ca="1">IFERROR(__xludf.DUMMYFUNCTION("IF(Cost_in_dollars!E1127=""USD"",Cost_in_dollars!B1127,Cost_in_dollars!B1127 * GOOGLEFINANCE(""CURRENCY:"" &amp; Cost_in_dollars!E1127 &amp; ""USD""))
"),30000000)</f>
        <v>30000000</v>
      </c>
      <c r="P1127" s="4">
        <f ca="1">IFERROR(__xludf.DUMMYFUNCTION("IF(Cost_in_dollars!E1127=""USD"",Cost_in_dollars!C1127,Cost_in_dollars!C1127 * GOOGLEFINANCE(""CURRENCY:"" &amp; Cost_in_dollars!E1127 &amp; ""USD""))
"),108360000)</f>
        <v>108360000</v>
      </c>
      <c r="Q1127" s="6">
        <f t="shared" ca="1" si="24"/>
        <v>78360000</v>
      </c>
      <c r="R1127" s="7" t="str">
        <f t="shared" si="25"/>
        <v>Ace Ventura: When Nature Calls</v>
      </c>
      <c r="S1127" s="43" t="str">
        <f t="shared" si="27"/>
        <v>Adventure</v>
      </c>
    </row>
    <row r="1128" spans="1:19" ht="15.75" customHeight="1" x14ac:dyDescent="0.25">
      <c r="A1128" s="4" t="s">
        <v>4075</v>
      </c>
      <c r="B1128" s="4">
        <v>372</v>
      </c>
      <c r="C1128" s="4">
        <v>35286428</v>
      </c>
      <c r="D1128" s="4" t="s">
        <v>1238</v>
      </c>
      <c r="E1128" s="4" t="s">
        <v>1768</v>
      </c>
      <c r="F1128" s="4" t="s">
        <v>4076</v>
      </c>
      <c r="G1128" s="4">
        <v>361767</v>
      </c>
      <c r="H1128" s="4" t="s">
        <v>4077</v>
      </c>
      <c r="I1128" s="4">
        <v>1206</v>
      </c>
      <c r="J1128" s="4" t="s">
        <v>23</v>
      </c>
      <c r="K1128" s="4" t="s">
        <v>24</v>
      </c>
      <c r="L1128" s="4">
        <v>76000000</v>
      </c>
      <c r="M1128" s="4">
        <v>2006</v>
      </c>
      <c r="N1128" s="4">
        <v>7.9</v>
      </c>
      <c r="O1128" s="4">
        <f ca="1">IFERROR(__xludf.DUMMYFUNCTION("IF(Cost_in_dollars!E1128=""USD"",Cost_in_dollars!B1128,Cost_in_dollars!B1128 * GOOGLEFINANCE(""CURRENCY:"" &amp; Cost_in_dollars!E1128 &amp; ""USD""))
"),76000000)</f>
        <v>76000000</v>
      </c>
      <c r="P1128" s="4">
        <f ca="1">IFERROR(__xludf.DUMMYFUNCTION("IF(Cost_in_dollars!E1128=""USD"",Cost_in_dollars!C1128,Cost_in_dollars!C1128 * GOOGLEFINANCE(""CURRENCY:"" &amp; Cost_in_dollars!E1128 &amp; ""USD""))
"),35286428)</f>
        <v>35286428</v>
      </c>
      <c r="Q1128" s="4">
        <f t="shared" ca="1" si="24"/>
        <v>-40713572</v>
      </c>
      <c r="R1128" s="5" t="str">
        <f t="shared" si="25"/>
        <v>Children of Men</v>
      </c>
      <c r="S1128" s="43" t="str">
        <f t="shared" si="27"/>
        <v>Drama</v>
      </c>
    </row>
    <row r="1129" spans="1:19" ht="15.75" customHeight="1" x14ac:dyDescent="0.25">
      <c r="A1129" s="6" t="s">
        <v>384</v>
      </c>
      <c r="B1129" s="6">
        <v>33</v>
      </c>
      <c r="C1129" s="6">
        <v>21370057</v>
      </c>
      <c r="D1129" s="6" t="s">
        <v>116</v>
      </c>
      <c r="E1129" s="6" t="s">
        <v>4078</v>
      </c>
      <c r="F1129" s="6" t="s">
        <v>4079</v>
      </c>
      <c r="G1129" s="6">
        <v>9903</v>
      </c>
      <c r="H1129" s="6" t="s">
        <v>4080</v>
      </c>
      <c r="I1129" s="6">
        <v>80</v>
      </c>
      <c r="J1129" s="6" t="s">
        <v>23</v>
      </c>
      <c r="K1129" s="6" t="s">
        <v>24</v>
      </c>
      <c r="L1129" s="6">
        <v>12000000</v>
      </c>
      <c r="M1129" s="6">
        <v>1992</v>
      </c>
      <c r="N1129" s="6">
        <v>6</v>
      </c>
      <c r="O1129" s="4">
        <f ca="1">IFERROR(__xludf.DUMMYFUNCTION("IF(Cost_in_dollars!E1129=""USD"",Cost_in_dollars!B1129,Cost_in_dollars!B1129 * GOOGLEFINANCE(""CURRENCY:"" &amp; Cost_in_dollars!E1129 &amp; ""USD""))
"),12000000)</f>
        <v>12000000</v>
      </c>
      <c r="P1129" s="4">
        <f ca="1">IFERROR(__xludf.DUMMYFUNCTION("IF(Cost_in_dollars!E1129=""USD"",Cost_in_dollars!C1129,Cost_in_dollars!C1129 * GOOGLEFINANCE(""CURRENCY:"" &amp; Cost_in_dollars!E1129 &amp; ""USD""))
"),21370057)</f>
        <v>21370057</v>
      </c>
      <c r="Q1129" s="6">
        <f t="shared" ca="1" si="24"/>
        <v>9370057</v>
      </c>
      <c r="R1129" s="7" t="str">
        <f t="shared" si="25"/>
        <v>Raising Cain</v>
      </c>
      <c r="S1129" s="43" t="str">
        <f t="shared" si="27"/>
        <v>Crime</v>
      </c>
    </row>
    <row r="1130" spans="1:19" ht="15.75" customHeight="1" x14ac:dyDescent="0.25">
      <c r="A1130" s="4" t="s">
        <v>535</v>
      </c>
      <c r="B1130" s="4">
        <v>82</v>
      </c>
      <c r="C1130" s="4">
        <v>14469428</v>
      </c>
      <c r="D1130" s="4" t="s">
        <v>88</v>
      </c>
      <c r="E1130" s="4" t="s">
        <v>4081</v>
      </c>
      <c r="F1130" s="4" t="s">
        <v>4082</v>
      </c>
      <c r="G1130" s="4">
        <v>10667</v>
      </c>
      <c r="H1130" s="4" t="s">
        <v>4083</v>
      </c>
      <c r="I1130" s="4">
        <v>95</v>
      </c>
      <c r="J1130" s="4" t="s">
        <v>23</v>
      </c>
      <c r="K1130" s="4" t="s">
        <v>24</v>
      </c>
      <c r="L1130" s="4">
        <v>26000000</v>
      </c>
      <c r="M1130" s="4">
        <v>2004</v>
      </c>
      <c r="N1130" s="4">
        <v>5.2</v>
      </c>
      <c r="O1130" s="4">
        <f ca="1">IFERROR(__xludf.DUMMYFUNCTION("IF(Cost_in_dollars!E1130=""USD"",Cost_in_dollars!B1130,Cost_in_dollars!B1130 * GOOGLEFINANCE(""CURRENCY:"" &amp; Cost_in_dollars!E1130 &amp; ""USD""))
"),26000000)</f>
        <v>26000000</v>
      </c>
      <c r="P1130" s="4">
        <f ca="1">IFERROR(__xludf.DUMMYFUNCTION("IF(Cost_in_dollars!E1130=""USD"",Cost_in_dollars!C1130,Cost_in_dollars!C1130 * GOOGLEFINANCE(""CURRENCY:"" &amp; Cost_in_dollars!E1130 &amp; ""USD""))
"),14469428)</f>
        <v>14469428</v>
      </c>
      <c r="Q1130" s="4">
        <f t="shared" ca="1" si="24"/>
        <v>-11530572</v>
      </c>
      <c r="R1130" s="5" t="str">
        <f t="shared" si="25"/>
        <v>Welcome to Mooseport</v>
      </c>
      <c r="S1130" s="43" t="str">
        <f t="shared" si="27"/>
        <v>Comedy</v>
      </c>
    </row>
    <row r="1131" spans="1:19" ht="15.75" customHeight="1" x14ac:dyDescent="0.25">
      <c r="A1131" s="6" t="s">
        <v>4084</v>
      </c>
      <c r="B1131" s="6">
        <v>53</v>
      </c>
      <c r="C1131" s="6">
        <v>14873</v>
      </c>
      <c r="D1131" s="6" t="s">
        <v>4085</v>
      </c>
      <c r="E1131" s="6" t="s">
        <v>4086</v>
      </c>
      <c r="F1131" s="6" t="s">
        <v>4087</v>
      </c>
      <c r="G1131" s="6">
        <v>5294</v>
      </c>
      <c r="H1131" s="6" t="s">
        <v>4088</v>
      </c>
      <c r="I1131" s="6">
        <v>67</v>
      </c>
      <c r="J1131" s="6" t="s">
        <v>23</v>
      </c>
      <c r="K1131" s="6" t="s">
        <v>24</v>
      </c>
      <c r="L1131" s="6">
        <v>3800000</v>
      </c>
      <c r="M1131" s="6">
        <v>1965</v>
      </c>
      <c r="N1131" s="6">
        <v>6.8</v>
      </c>
      <c r="O1131" s="4">
        <f ca="1">IFERROR(__xludf.DUMMYFUNCTION("IF(Cost_in_dollars!E1131=""USD"",Cost_in_dollars!B1131,Cost_in_dollars!B1131 * GOOGLEFINANCE(""CURRENCY:"" &amp; Cost_in_dollars!E1131 &amp; ""USD""))
"),3800000)</f>
        <v>3800000</v>
      </c>
      <c r="P1131" s="4">
        <f ca="1">IFERROR(__xludf.DUMMYFUNCTION("IF(Cost_in_dollars!E1131=""USD"",Cost_in_dollars!C1131,Cost_in_dollars!C1131 * GOOGLEFINANCE(""CURRENCY:"" &amp; Cost_in_dollars!E1131 &amp; ""USD""))
"),14873)</f>
        <v>14873</v>
      </c>
      <c r="Q1131" s="6">
        <f t="shared" ca="1" si="24"/>
        <v>-3785127</v>
      </c>
      <c r="R1131" s="7" t="str">
        <f t="shared" si="25"/>
        <v>Major Dundee</v>
      </c>
      <c r="S1131" s="43" t="str">
        <f t="shared" si="27"/>
        <v>Adventure</v>
      </c>
    </row>
    <row r="1132" spans="1:19" ht="15.75" customHeight="1" x14ac:dyDescent="0.25">
      <c r="A1132" s="4" t="s">
        <v>4089</v>
      </c>
      <c r="B1132" s="4">
        <v>14</v>
      </c>
      <c r="C1132" s="4">
        <v>4584</v>
      </c>
      <c r="D1132" s="4" t="s">
        <v>457</v>
      </c>
      <c r="E1132" s="4" t="s">
        <v>4090</v>
      </c>
      <c r="F1132" s="4" t="s">
        <v>4091</v>
      </c>
      <c r="G1132" s="4">
        <v>1338</v>
      </c>
      <c r="H1132" s="4" t="s">
        <v>4092</v>
      </c>
      <c r="I1132" s="4">
        <v>14</v>
      </c>
      <c r="J1132" s="4" t="s">
        <v>23</v>
      </c>
      <c r="K1132" s="4" t="s">
        <v>24</v>
      </c>
      <c r="L1132" s="4">
        <v>9000</v>
      </c>
      <c r="M1132" s="4">
        <v>2011</v>
      </c>
      <c r="N1132" s="4">
        <v>6.4</v>
      </c>
      <c r="O1132" s="4">
        <f ca="1">IFERROR(__xludf.DUMMYFUNCTION("IF(Cost_in_dollars!E1132=""USD"",Cost_in_dollars!B1132,Cost_in_dollars!B1132 * GOOGLEFINANCE(""CURRENCY:"" &amp; Cost_in_dollars!E1132 &amp; ""USD""))
"),9000)</f>
        <v>9000</v>
      </c>
      <c r="P1132" s="4">
        <f ca="1">IFERROR(__xludf.DUMMYFUNCTION("IF(Cost_in_dollars!E1132=""USD"",Cost_in_dollars!C1132,Cost_in_dollars!C1132 * GOOGLEFINANCE(""CURRENCY:"" &amp; Cost_in_dollars!E1132 &amp; ""USD""))
"),4584)</f>
        <v>4584</v>
      </c>
      <c r="Q1132" s="4">
        <f t="shared" ca="1" si="24"/>
        <v>-4416</v>
      </c>
      <c r="R1132" s="5" t="str">
        <f t="shared" si="25"/>
        <v>Newlyweds</v>
      </c>
      <c r="S1132" s="43" t="str">
        <f t="shared" si="27"/>
        <v>Comedy</v>
      </c>
    </row>
    <row r="1133" spans="1:19" ht="15.75" customHeight="1" x14ac:dyDescent="0.25">
      <c r="A1133" s="6" t="s">
        <v>4093</v>
      </c>
      <c r="B1133" s="6">
        <v>132</v>
      </c>
      <c r="C1133" s="6">
        <v>75600000</v>
      </c>
      <c r="D1133" s="6" t="s">
        <v>3625</v>
      </c>
      <c r="E1133" s="6" t="s">
        <v>4094</v>
      </c>
      <c r="F1133" s="6" t="s">
        <v>4095</v>
      </c>
      <c r="G1133" s="6">
        <v>736638</v>
      </c>
      <c r="H1133" s="6" t="s">
        <v>4096</v>
      </c>
      <c r="I1133" s="6">
        <v>1065</v>
      </c>
      <c r="J1133" s="6" t="s">
        <v>23</v>
      </c>
      <c r="K1133" s="6" t="s">
        <v>24</v>
      </c>
      <c r="L1133" s="6">
        <v>72000000</v>
      </c>
      <c r="M1133" s="6">
        <v>1995</v>
      </c>
      <c r="N1133" s="6">
        <v>8.4</v>
      </c>
      <c r="O1133" s="4">
        <f ca="1">IFERROR(__xludf.DUMMYFUNCTION("IF(Cost_in_dollars!E1133=""USD"",Cost_in_dollars!B1133,Cost_in_dollars!B1133 * GOOGLEFINANCE(""CURRENCY:"" &amp; Cost_in_dollars!E1133 &amp; ""USD""))
"),72000000)</f>
        <v>72000000</v>
      </c>
      <c r="P1133" s="4">
        <f ca="1">IFERROR(__xludf.DUMMYFUNCTION("IF(Cost_in_dollars!E1133=""USD"",Cost_in_dollars!C1133,Cost_in_dollars!C1133 * GOOGLEFINANCE(""CURRENCY:"" &amp; Cost_in_dollars!E1133 &amp; ""USD""))
"),75600000)</f>
        <v>75600000</v>
      </c>
      <c r="Q1133" s="6">
        <f t="shared" ca="1" si="24"/>
        <v>3600000</v>
      </c>
      <c r="R1133" s="7" t="str">
        <f t="shared" si="25"/>
        <v>Braveheart</v>
      </c>
      <c r="S1133" s="43" t="str">
        <f t="shared" si="27"/>
        <v>Biography</v>
      </c>
    </row>
    <row r="1134" spans="1:19" ht="15.75" customHeight="1" x14ac:dyDescent="0.25">
      <c r="A1134" s="4" t="s">
        <v>1670</v>
      </c>
      <c r="B1134" s="4">
        <v>110</v>
      </c>
      <c r="C1134" s="4">
        <v>66676062</v>
      </c>
      <c r="D1134" s="4" t="s">
        <v>53</v>
      </c>
      <c r="E1134" s="4" t="s">
        <v>320</v>
      </c>
      <c r="F1134" s="4" t="s">
        <v>4097</v>
      </c>
      <c r="G1134" s="4">
        <v>267980</v>
      </c>
      <c r="H1134" s="4" t="s">
        <v>4098</v>
      </c>
      <c r="I1134" s="4">
        <v>545</v>
      </c>
      <c r="J1134" s="4" t="s">
        <v>23</v>
      </c>
      <c r="K1134" s="4" t="s">
        <v>24</v>
      </c>
      <c r="L1134" s="4">
        <v>54000000</v>
      </c>
      <c r="M1134" s="4">
        <v>1990</v>
      </c>
      <c r="N1134" s="4">
        <v>7.6</v>
      </c>
      <c r="O1134" s="4">
        <f ca="1">IFERROR(__xludf.DUMMYFUNCTION("IF(Cost_in_dollars!E1134=""USD"",Cost_in_dollars!B1134,Cost_in_dollars!B1134 * GOOGLEFINANCE(""CURRENCY:"" &amp; Cost_in_dollars!E1134 &amp; ""USD""))
"),54000000)</f>
        <v>54000000</v>
      </c>
      <c r="P1134" s="4">
        <f ca="1">IFERROR(__xludf.DUMMYFUNCTION("IF(Cost_in_dollars!E1134=""USD"",Cost_in_dollars!C1134,Cost_in_dollars!C1134 * GOOGLEFINANCE(""CURRENCY:"" &amp; Cost_in_dollars!E1134 &amp; ""USD""))
"),66676062)</f>
        <v>66676062</v>
      </c>
      <c r="Q1134" s="4">
        <f t="shared" ca="1" si="24"/>
        <v>12676062</v>
      </c>
      <c r="R1134" s="5" t="str">
        <f t="shared" si="25"/>
        <v>The Godfather: Part III</v>
      </c>
      <c r="S1134" s="43" t="str">
        <f t="shared" si="27"/>
        <v>Crime</v>
      </c>
    </row>
    <row r="1135" spans="1:19" ht="15.75" customHeight="1" x14ac:dyDescent="0.25">
      <c r="A1135" s="6" t="s">
        <v>1967</v>
      </c>
      <c r="B1135" s="6">
        <v>221</v>
      </c>
      <c r="C1135" s="6">
        <v>66466372</v>
      </c>
      <c r="D1135" s="6" t="s">
        <v>151</v>
      </c>
      <c r="E1135" s="6" t="s">
        <v>4099</v>
      </c>
      <c r="F1135" s="6" t="s">
        <v>4100</v>
      </c>
      <c r="G1135" s="6">
        <v>75345</v>
      </c>
      <c r="H1135" s="6" t="s">
        <v>4101</v>
      </c>
      <c r="I1135" s="6">
        <v>290</v>
      </c>
      <c r="J1135" s="6" t="s">
        <v>23</v>
      </c>
      <c r="K1135" s="6" t="s">
        <v>24</v>
      </c>
      <c r="L1135" s="6">
        <v>40000000</v>
      </c>
      <c r="M1135" s="6">
        <v>2009</v>
      </c>
      <c r="N1135" s="6">
        <v>5.2</v>
      </c>
      <c r="O1135" s="4">
        <f ca="1">IFERROR(__xludf.DUMMYFUNCTION("IF(Cost_in_dollars!E1135=""USD"",Cost_in_dollars!B1135,Cost_in_dollars!B1135 * GOOGLEFINANCE(""CURRENCY:"" &amp; Cost_in_dollars!E1135 &amp; ""USD""))
"),40000000)</f>
        <v>40000000</v>
      </c>
      <c r="P1135" s="4">
        <f ca="1">IFERROR(__xludf.DUMMYFUNCTION("IF(Cost_in_dollars!E1135=""USD"",Cost_in_dollars!C1135,Cost_in_dollars!C1135 * GOOGLEFINANCE(""CURRENCY:"" &amp; Cost_in_dollars!E1135 &amp; ""USD""))
"),66466372)</f>
        <v>66466372</v>
      </c>
      <c r="Q1135" s="6">
        <f t="shared" ca="1" si="24"/>
        <v>26466372</v>
      </c>
      <c r="R1135" s="7" t="str">
        <f t="shared" si="25"/>
        <v>The Final Destination</v>
      </c>
      <c r="S1135" s="43" t="str">
        <f t="shared" si="27"/>
        <v>Horror</v>
      </c>
    </row>
    <row r="1136" spans="1:19" ht="15.75" customHeight="1" x14ac:dyDescent="0.25">
      <c r="A1136" s="4" t="s">
        <v>4102</v>
      </c>
      <c r="B1136" s="4">
        <v>242</v>
      </c>
      <c r="C1136" s="4">
        <v>4443403</v>
      </c>
      <c r="D1136" s="4" t="s">
        <v>4103</v>
      </c>
      <c r="E1136" s="4" t="s">
        <v>574</v>
      </c>
      <c r="F1136" s="4" t="s">
        <v>4104</v>
      </c>
      <c r="G1136" s="4">
        <v>70194</v>
      </c>
      <c r="H1136" s="4" t="s">
        <v>4105</v>
      </c>
      <c r="I1136" s="4">
        <v>158</v>
      </c>
      <c r="J1136" s="4" t="s">
        <v>661</v>
      </c>
      <c r="K1136" s="4" t="s">
        <v>611</v>
      </c>
      <c r="L1136" s="4">
        <v>7300000</v>
      </c>
      <c r="M1136" s="4">
        <v>2007</v>
      </c>
      <c r="N1136" s="4">
        <v>8</v>
      </c>
      <c r="O1136" s="4">
        <f ca="1">IFERROR(__xludf.DUMMYFUNCTION("IF(Cost_in_dollars!E1136=""USD"",Cost_in_dollars!B1136,Cost_in_dollars!B1136 * GOOGLEFINANCE(""CURRENCY:"" &amp; Cost_in_dollars!E1136 &amp; ""USD""))
"),7918602)</f>
        <v>7918602</v>
      </c>
      <c r="P1136" s="4">
        <f ca="1">IFERROR(__xludf.DUMMYFUNCTION("IF(Cost_in_dollars!E1136=""USD"",Cost_in_dollars!C1136,Cost_in_dollars!C1136 * GOOGLEFINANCE(""CURRENCY:"" &amp; Cost_in_dollars!E1136 &amp; ""USD""))
"),4819936.97022)</f>
        <v>4819936.9702199996</v>
      </c>
      <c r="Q1136" s="4">
        <f t="shared" ca="1" si="24"/>
        <v>-3098665.0297800004</v>
      </c>
      <c r="R1136" s="5" t="str">
        <f t="shared" si="25"/>
        <v>Persepolis</v>
      </c>
      <c r="S1136" s="43" t="str">
        <f t="shared" si="27"/>
        <v>Animation</v>
      </c>
    </row>
    <row r="1137" spans="1:19" ht="15.75" customHeight="1" x14ac:dyDescent="0.25">
      <c r="A1137" s="6" t="s">
        <v>4106</v>
      </c>
      <c r="B1137" s="6">
        <v>11</v>
      </c>
      <c r="C1137" s="6">
        <v>4692814</v>
      </c>
      <c r="D1137" s="6" t="s">
        <v>140</v>
      </c>
      <c r="E1137" s="6" t="s">
        <v>4107</v>
      </c>
      <c r="F1137" s="6" t="s">
        <v>4108</v>
      </c>
      <c r="G1137" s="6">
        <v>2870</v>
      </c>
      <c r="H1137" s="6" t="s">
        <v>4109</v>
      </c>
      <c r="I1137" s="6">
        <v>34</v>
      </c>
      <c r="J1137" s="6" t="s">
        <v>23</v>
      </c>
      <c r="K1137" s="6" t="s">
        <v>24</v>
      </c>
      <c r="L1137" s="6">
        <v>8000000</v>
      </c>
      <c r="M1137" s="6">
        <v>1999</v>
      </c>
      <c r="N1137" s="6">
        <v>5.0999999999999996</v>
      </c>
      <c r="O1137" s="4">
        <f ca="1">IFERROR(__xludf.DUMMYFUNCTION("IF(Cost_in_dollars!E1137=""USD"",Cost_in_dollars!B1137,Cost_in_dollars!B1137 * GOOGLEFINANCE(""CURRENCY:"" &amp; Cost_in_dollars!E1137 &amp; ""USD""))
"),8000000)</f>
        <v>8000000</v>
      </c>
      <c r="P1137" s="4">
        <f ca="1">IFERROR(__xludf.DUMMYFUNCTION("IF(Cost_in_dollars!E1137=""USD"",Cost_in_dollars!C1137,Cost_in_dollars!C1137 * GOOGLEFINANCE(""CURRENCY:"" &amp; Cost_in_dollars!E1137 &amp; ""USD""))
"),4692814)</f>
        <v>4692814</v>
      </c>
      <c r="Q1137" s="6">
        <f t="shared" ca="1" si="24"/>
        <v>-3307186</v>
      </c>
      <c r="R1137" s="7" t="str">
        <f t="shared" si="25"/>
        <v>Held Up</v>
      </c>
      <c r="S1137" s="43" t="str">
        <f t="shared" si="27"/>
        <v>Comedy</v>
      </c>
    </row>
    <row r="1138" spans="1:19" ht="15.75" customHeight="1" x14ac:dyDescent="0.25">
      <c r="A1138" s="4" t="s">
        <v>4110</v>
      </c>
      <c r="B1138" s="4">
        <v>90</v>
      </c>
      <c r="C1138" s="4">
        <v>12801190</v>
      </c>
      <c r="D1138" s="4" t="s">
        <v>1290</v>
      </c>
      <c r="E1138" s="4" t="s">
        <v>3492</v>
      </c>
      <c r="F1138" s="4" t="s">
        <v>4111</v>
      </c>
      <c r="G1138" s="4">
        <v>16340</v>
      </c>
      <c r="H1138" s="4" t="s">
        <v>4112</v>
      </c>
      <c r="I1138" s="4">
        <v>355</v>
      </c>
      <c r="J1138" s="4" t="s">
        <v>23</v>
      </c>
      <c r="K1138" s="4" t="s">
        <v>24</v>
      </c>
      <c r="L1138" s="4">
        <v>15000000</v>
      </c>
      <c r="M1138" s="4">
        <v>2000</v>
      </c>
      <c r="N1138" s="4">
        <v>4.5999999999999996</v>
      </c>
      <c r="O1138" s="4">
        <f ca="1">IFERROR(__xludf.DUMMYFUNCTION("IF(Cost_in_dollars!E1138=""USD"",Cost_in_dollars!B1138,Cost_in_dollars!B1138 * GOOGLEFINANCE(""CURRENCY:"" &amp; Cost_in_dollars!E1138 &amp; ""USD""))
"),15000000)</f>
        <v>15000000</v>
      </c>
      <c r="P1138" s="4">
        <f ca="1">IFERROR(__xludf.DUMMYFUNCTION("IF(Cost_in_dollars!E1138=""USD"",Cost_in_dollars!C1138,Cost_in_dollars!C1138 * GOOGLEFINANCE(""CURRENCY:"" &amp; Cost_in_dollars!E1138 &amp; ""USD""))
"),12801190)</f>
        <v>12801190</v>
      </c>
      <c r="Q1138" s="4">
        <f t="shared" ca="1" si="24"/>
        <v>-2198810</v>
      </c>
      <c r="R1138" s="5" t="str">
        <f t="shared" si="25"/>
        <v>Highlander: Endgame</v>
      </c>
      <c r="S1138" s="43" t="str">
        <f t="shared" si="27"/>
        <v>Action</v>
      </c>
    </row>
    <row r="1139" spans="1:19" ht="15.75" customHeight="1" x14ac:dyDescent="0.25">
      <c r="A1139" s="6" t="s">
        <v>1098</v>
      </c>
      <c r="B1139" s="6">
        <v>94</v>
      </c>
      <c r="C1139" s="6">
        <v>33328051</v>
      </c>
      <c r="D1139" s="6" t="s">
        <v>613</v>
      </c>
      <c r="E1139" s="6" t="s">
        <v>4113</v>
      </c>
      <c r="F1139" s="6" t="s">
        <v>4114</v>
      </c>
      <c r="G1139" s="6">
        <v>60508</v>
      </c>
      <c r="H1139" s="6" t="s">
        <v>4115</v>
      </c>
      <c r="I1139" s="6">
        <v>285</v>
      </c>
      <c r="J1139" s="6" t="s">
        <v>23</v>
      </c>
      <c r="K1139" s="6" t="s">
        <v>24</v>
      </c>
      <c r="L1139" s="6">
        <v>65000000</v>
      </c>
      <c r="M1139" s="6">
        <v>1996</v>
      </c>
      <c r="N1139" s="6">
        <v>6.7</v>
      </c>
      <c r="O1139" s="4">
        <f ca="1">IFERROR(__xludf.DUMMYFUNCTION("IF(Cost_in_dollars!E1139=""USD"",Cost_in_dollars!B1139,Cost_in_dollars!B1139 * GOOGLEFINANCE(""CURRENCY:"" &amp; Cost_in_dollars!E1139 &amp; ""USD""))
"),65000000)</f>
        <v>65000000</v>
      </c>
      <c r="P1139" s="4">
        <f ca="1">IFERROR(__xludf.DUMMYFUNCTION("IF(Cost_in_dollars!E1139=""USD"",Cost_in_dollars!C1139,Cost_in_dollars!C1139 * GOOGLEFINANCE(""CURRENCY:"" &amp; Cost_in_dollars!E1139 &amp; ""USD""))
"),33328051)</f>
        <v>33328051</v>
      </c>
      <c r="Q1139" s="6">
        <f t="shared" ca="1" si="24"/>
        <v>-31671949</v>
      </c>
      <c r="R1139" s="7" t="str">
        <f t="shared" si="25"/>
        <v>The Long Kiss Goodnight</v>
      </c>
      <c r="S1139" s="43" t="str">
        <f t="shared" si="27"/>
        <v>Action</v>
      </c>
    </row>
    <row r="1140" spans="1:19" ht="15.75" customHeight="1" x14ac:dyDescent="0.25">
      <c r="A1140" s="4" t="s">
        <v>763</v>
      </c>
      <c r="B1140" s="4">
        <v>192</v>
      </c>
      <c r="C1140" s="4">
        <v>46836394</v>
      </c>
      <c r="D1140" s="4" t="s">
        <v>1788</v>
      </c>
      <c r="E1140" s="4" t="s">
        <v>886</v>
      </c>
      <c r="F1140" s="4" t="s">
        <v>4116</v>
      </c>
      <c r="G1140" s="4">
        <v>728685</v>
      </c>
      <c r="H1140" s="4" t="s">
        <v>4117</v>
      </c>
      <c r="I1140" s="4">
        <v>989</v>
      </c>
      <c r="J1140" s="4" t="s">
        <v>23</v>
      </c>
      <c r="K1140" s="4" t="s">
        <v>24</v>
      </c>
      <c r="L1140" s="4">
        <v>25000000</v>
      </c>
      <c r="M1140" s="4">
        <v>1990</v>
      </c>
      <c r="N1140" s="4">
        <v>8.6999999999999993</v>
      </c>
      <c r="O1140" s="4">
        <f ca="1">IFERROR(__xludf.DUMMYFUNCTION("IF(Cost_in_dollars!E1140=""USD"",Cost_in_dollars!B1140,Cost_in_dollars!B1140 * GOOGLEFINANCE(""CURRENCY:"" &amp; Cost_in_dollars!E1140 &amp; ""USD""))
"),25000000)</f>
        <v>25000000</v>
      </c>
      <c r="P1140" s="4">
        <f ca="1">IFERROR(__xludf.DUMMYFUNCTION("IF(Cost_in_dollars!E1140=""USD"",Cost_in_dollars!C1140,Cost_in_dollars!C1140 * GOOGLEFINANCE(""CURRENCY:"" &amp; Cost_in_dollars!E1140 &amp; ""USD""))
"),46836394)</f>
        <v>46836394</v>
      </c>
      <c r="Q1140" s="4">
        <f t="shared" ca="1" si="24"/>
        <v>21836394</v>
      </c>
      <c r="R1140" s="5" t="str">
        <f t="shared" si="25"/>
        <v>Goodfellas</v>
      </c>
      <c r="S1140" s="43" t="str">
        <f t="shared" si="27"/>
        <v>Biography</v>
      </c>
    </row>
    <row r="1141" spans="1:19" ht="15.75" customHeight="1" x14ac:dyDescent="0.25">
      <c r="A1141" s="6" t="s">
        <v>4118</v>
      </c>
      <c r="B1141" s="6">
        <v>31</v>
      </c>
      <c r="C1141" s="6">
        <v>5654777</v>
      </c>
      <c r="D1141" s="6" t="s">
        <v>2190</v>
      </c>
      <c r="E1141" s="6" t="s">
        <v>89</v>
      </c>
      <c r="F1141" s="6" t="s">
        <v>4119</v>
      </c>
      <c r="G1141" s="6">
        <v>4875</v>
      </c>
      <c r="H1141" s="6" t="s">
        <v>4120</v>
      </c>
      <c r="I1141" s="6">
        <v>26</v>
      </c>
      <c r="J1141" s="6" t="s">
        <v>23</v>
      </c>
      <c r="K1141" s="6" t="s">
        <v>24</v>
      </c>
      <c r="L1141" s="6">
        <v>25000000</v>
      </c>
      <c r="M1141" s="6">
        <v>2005</v>
      </c>
      <c r="N1141" s="6">
        <v>4.0999999999999996</v>
      </c>
      <c r="O1141" s="4">
        <f ca="1">IFERROR(__xludf.DUMMYFUNCTION("IF(Cost_in_dollars!E1141=""USD"",Cost_in_dollars!B1141,Cost_in_dollars!B1141 * GOOGLEFINANCE(""CURRENCY:"" &amp; Cost_in_dollars!E1141 &amp; ""USD""))
"),25000000)</f>
        <v>25000000</v>
      </c>
      <c r="P1141" s="4">
        <f ca="1">IFERROR(__xludf.DUMMYFUNCTION("IF(Cost_in_dollars!E1141=""USD"",Cost_in_dollars!C1141,Cost_in_dollars!C1141 * GOOGLEFINANCE(""CURRENCY:"" &amp; Cost_in_dollars!E1141 &amp; ""USD""))
"),5654777)</f>
        <v>5654777</v>
      </c>
      <c r="Q1141" s="6">
        <f t="shared" ca="1" si="24"/>
        <v>-19345223</v>
      </c>
      <c r="R1141" s="7" t="str">
        <f t="shared" si="25"/>
        <v>Underclassman</v>
      </c>
      <c r="S1141" s="43" t="str">
        <f t="shared" si="27"/>
        <v>Action</v>
      </c>
    </row>
    <row r="1142" spans="1:19" ht="15.75" customHeight="1" x14ac:dyDescent="0.25">
      <c r="A1142" s="4" t="s">
        <v>4121</v>
      </c>
      <c r="B1142" s="4">
        <v>21</v>
      </c>
      <c r="C1142" s="4">
        <v>212285</v>
      </c>
      <c r="D1142" s="4" t="s">
        <v>88</v>
      </c>
      <c r="E1142" s="4" t="s">
        <v>4122</v>
      </c>
      <c r="F1142" s="4" t="s">
        <v>4123</v>
      </c>
      <c r="G1142" s="4">
        <v>1727</v>
      </c>
      <c r="H1142" s="4" t="s">
        <v>4124</v>
      </c>
      <c r="I1142" s="4">
        <v>21</v>
      </c>
      <c r="J1142" s="4" t="s">
        <v>23</v>
      </c>
      <c r="K1142" s="4" t="s">
        <v>149</v>
      </c>
      <c r="L1142" s="4">
        <v>250000</v>
      </c>
      <c r="M1142" s="4">
        <v>1996</v>
      </c>
      <c r="N1142" s="4">
        <v>6.4</v>
      </c>
      <c r="O1142" s="4">
        <f ca="1">IFERROR(__xludf.DUMMYFUNCTION("IF(Cost_in_dollars!E1142=""USD"",Cost_in_dollars!B1142,Cost_in_dollars!B1142 * GOOGLEFINANCE(""CURRENCY:"" &amp; Cost_in_dollars!E1142 &amp; ""USD""))
"),163470)</f>
        <v>163470</v>
      </c>
      <c r="P1142" s="4">
        <f ca="1">IFERROR(__xludf.DUMMYFUNCTION("IF(Cost_in_dollars!E1142=""USD"",Cost_in_dollars!C1142,Cost_in_dollars!C1142 * GOOGLEFINANCE(""CURRENCY:"" &amp; Cost_in_dollars!E1142 &amp; ""USD""))
"),138808.9158)</f>
        <v>138808.91579999999</v>
      </c>
      <c r="Q1142" s="4">
        <f t="shared" ca="1" si="24"/>
        <v>-24661.084200000012</v>
      </c>
      <c r="R1142" s="5" t="str">
        <f t="shared" si="25"/>
        <v>Love and Other Catastrophes</v>
      </c>
      <c r="S1142" s="43" t="str">
        <f t="shared" si="27"/>
        <v>Comedy</v>
      </c>
    </row>
    <row r="1143" spans="1:19" ht="15.75" customHeight="1" x14ac:dyDescent="0.25">
      <c r="A1143" s="6" t="s">
        <v>4125</v>
      </c>
      <c r="B1143" s="6">
        <v>180</v>
      </c>
      <c r="C1143" s="6">
        <v>51097664</v>
      </c>
      <c r="D1143" s="6" t="s">
        <v>2396</v>
      </c>
      <c r="E1143" s="6" t="s">
        <v>886</v>
      </c>
      <c r="F1143" s="6" t="s">
        <v>4126</v>
      </c>
      <c r="G1143" s="6">
        <v>70205</v>
      </c>
      <c r="H1143" s="6" t="s">
        <v>4127</v>
      </c>
      <c r="I1143" s="6">
        <v>450</v>
      </c>
      <c r="J1143" s="6" t="s">
        <v>23</v>
      </c>
      <c r="K1143" s="6" t="s">
        <v>24</v>
      </c>
      <c r="L1143" s="6">
        <v>30000000</v>
      </c>
      <c r="M1143" s="6">
        <v>2005</v>
      </c>
      <c r="N1143" s="6">
        <v>5.9</v>
      </c>
      <c r="O1143" s="4">
        <f ca="1">IFERROR(__xludf.DUMMYFUNCTION("IF(Cost_in_dollars!E1143=""USD"",Cost_in_dollars!B1143,Cost_in_dollars!B1143 * GOOGLEFINANCE(""CURRENCY:"" &amp; Cost_in_dollars!E1143 &amp; ""USD""))
"),30000000)</f>
        <v>30000000</v>
      </c>
      <c r="P1143" s="4">
        <f ca="1">IFERROR(__xludf.DUMMYFUNCTION("IF(Cost_in_dollars!E1143=""USD"",Cost_in_dollars!C1143,Cost_in_dollars!C1143 * GOOGLEFINANCE(""CURRENCY:"" &amp; Cost_in_dollars!E1143 &amp; ""USD""))
"),51097664)</f>
        <v>51097664</v>
      </c>
      <c r="Q1143" s="6">
        <f t="shared" ca="1" si="24"/>
        <v>21097664</v>
      </c>
      <c r="R1143" s="7" t="str">
        <f t="shared" si="25"/>
        <v>Hide and Seek</v>
      </c>
      <c r="S1143" s="43" t="str">
        <f t="shared" si="27"/>
        <v>Drama</v>
      </c>
    </row>
    <row r="1144" spans="1:19" ht="15.75" customHeight="1" x14ac:dyDescent="0.25">
      <c r="A1144" s="4" t="s">
        <v>1050</v>
      </c>
      <c r="B1144" s="4">
        <v>31</v>
      </c>
      <c r="C1144" s="4">
        <v>65623128</v>
      </c>
      <c r="D1144" s="4" t="s">
        <v>172</v>
      </c>
      <c r="E1144" s="4" t="s">
        <v>1661</v>
      </c>
      <c r="F1144" s="4" t="s">
        <v>4128</v>
      </c>
      <c r="G1144" s="4">
        <v>7354</v>
      </c>
      <c r="H1144" s="4" t="s">
        <v>4129</v>
      </c>
      <c r="I1144" s="4">
        <v>50</v>
      </c>
      <c r="J1144" s="4" t="s">
        <v>23</v>
      </c>
      <c r="K1144" s="4" t="s">
        <v>24</v>
      </c>
      <c r="L1144" s="4">
        <v>20000000</v>
      </c>
      <c r="M1144" s="4">
        <v>2012</v>
      </c>
      <c r="N1144" s="4">
        <v>4.8</v>
      </c>
      <c r="O1144" s="4">
        <f ca="1">IFERROR(__xludf.DUMMYFUNCTION("IF(Cost_in_dollars!E1144=""USD"",Cost_in_dollars!B1144,Cost_in_dollars!B1144 * GOOGLEFINANCE(""CURRENCY:"" &amp; Cost_in_dollars!E1144 &amp; ""USD""))
"),20000000)</f>
        <v>20000000</v>
      </c>
      <c r="P1144" s="4">
        <f ca="1">IFERROR(__xludf.DUMMYFUNCTION("IF(Cost_in_dollars!E1144=""USD"",Cost_in_dollars!C1144,Cost_in_dollars!C1144 * GOOGLEFINANCE(""CURRENCY:"" &amp; Cost_in_dollars!E1144 &amp; ""USD""))
"),65623128)</f>
        <v>65623128</v>
      </c>
      <c r="Q1144" s="4">
        <f t="shared" ca="1" si="24"/>
        <v>45623128</v>
      </c>
      <c r="R1144" s="5" t="str">
        <f t="shared" si="25"/>
        <v>Madea's Witness Protection</v>
      </c>
      <c r="S1144" s="43" t="str">
        <f t="shared" si="27"/>
        <v>Comedy</v>
      </c>
    </row>
    <row r="1145" spans="1:19" ht="15.75" customHeight="1" x14ac:dyDescent="0.25">
      <c r="A1145" s="6" t="s">
        <v>4130</v>
      </c>
      <c r="B1145" s="6">
        <v>166</v>
      </c>
      <c r="C1145" s="6">
        <v>69772969</v>
      </c>
      <c r="D1145" s="6" t="s">
        <v>155</v>
      </c>
      <c r="E1145" s="6" t="s">
        <v>977</v>
      </c>
      <c r="F1145" s="6" t="s">
        <v>4131</v>
      </c>
      <c r="G1145" s="6">
        <v>155532</v>
      </c>
      <c r="H1145" s="6" t="s">
        <v>4132</v>
      </c>
      <c r="I1145" s="6">
        <v>543</v>
      </c>
      <c r="J1145" s="6" t="s">
        <v>23</v>
      </c>
      <c r="K1145" s="6" t="s">
        <v>24</v>
      </c>
      <c r="L1145" s="6">
        <v>80000000</v>
      </c>
      <c r="M1145" s="6">
        <v>2001</v>
      </c>
      <c r="N1145" s="6">
        <v>6.5</v>
      </c>
      <c r="O1145" s="4">
        <f ca="1">IFERROR(__xludf.DUMMYFUNCTION("IF(Cost_in_dollars!E1145=""USD"",Cost_in_dollars!B1145,Cost_in_dollars!B1145 * GOOGLEFINANCE(""CURRENCY:"" &amp; Cost_in_dollars!E1145 &amp; ""USD""))
"),80000000)</f>
        <v>80000000</v>
      </c>
      <c r="P1145" s="4">
        <f ca="1">IFERROR(__xludf.DUMMYFUNCTION("IF(Cost_in_dollars!E1145=""USD"",Cost_in_dollars!C1145,Cost_in_dollars!C1145 * GOOGLEFINANCE(""CURRENCY:"" &amp; Cost_in_dollars!E1145 &amp; ""USD""))
"),69772969)</f>
        <v>69772969</v>
      </c>
      <c r="Q1145" s="6">
        <f t="shared" ca="1" si="24"/>
        <v>-10227031</v>
      </c>
      <c r="R1145" s="7" t="str">
        <f t="shared" si="25"/>
        <v>Swordfish</v>
      </c>
      <c r="S1145" s="43" t="str">
        <f t="shared" si="27"/>
        <v>Action</v>
      </c>
    </row>
    <row r="1146" spans="1:19" ht="15.75" customHeight="1" x14ac:dyDescent="0.25">
      <c r="A1146" s="4" t="s">
        <v>101</v>
      </c>
      <c r="B1146" s="4">
        <v>12</v>
      </c>
      <c r="C1146" s="4">
        <v>4700361</v>
      </c>
      <c r="D1146" s="4" t="s">
        <v>102</v>
      </c>
      <c r="E1146" s="4" t="s">
        <v>2538</v>
      </c>
      <c r="F1146" s="4" t="s">
        <v>4133</v>
      </c>
      <c r="G1146" s="4">
        <v>2047</v>
      </c>
      <c r="H1146" s="4" t="s">
        <v>4134</v>
      </c>
      <c r="I1146" s="4">
        <v>29</v>
      </c>
      <c r="J1146" s="4" t="s">
        <v>23</v>
      </c>
      <c r="K1146" s="4" t="s">
        <v>24</v>
      </c>
      <c r="L1146" s="4">
        <v>5000000</v>
      </c>
      <c r="M1146" s="4">
        <v>2015</v>
      </c>
      <c r="N1146" s="4">
        <v>4.5999999999999996</v>
      </c>
      <c r="O1146" s="4">
        <f ca="1">IFERROR(__xludf.DUMMYFUNCTION("IF(Cost_in_dollars!E1146=""USD"",Cost_in_dollars!B1146,Cost_in_dollars!B1146 * GOOGLEFINANCE(""CURRENCY:"" &amp; Cost_in_dollars!E1146 &amp; ""USD""))
"),5000000)</f>
        <v>5000000</v>
      </c>
      <c r="P1146" s="4">
        <f ca="1">IFERROR(__xludf.DUMMYFUNCTION("IF(Cost_in_dollars!E1146=""USD"",Cost_in_dollars!C1146,Cost_in_dollars!C1146 * GOOGLEFINANCE(""CURRENCY:"" &amp; Cost_in_dollars!E1146 &amp; ""USD""))
"),4700361)</f>
        <v>4700361</v>
      </c>
      <c r="Q1146" s="4">
        <f t="shared" ca="1" si="24"/>
        <v>-299639</v>
      </c>
      <c r="R1146" s="5" t="str">
        <f t="shared" si="25"/>
        <v>90 Minutes in Heaven</v>
      </c>
      <c r="S1146" s="43" t="str">
        <f t="shared" si="27"/>
        <v>Drama</v>
      </c>
    </row>
    <row r="1147" spans="1:19" ht="15.75" customHeight="1" x14ac:dyDescent="0.25">
      <c r="A1147" s="6" t="s">
        <v>182</v>
      </c>
      <c r="B1147" s="6">
        <v>526</v>
      </c>
      <c r="C1147" s="6">
        <v>79711678</v>
      </c>
      <c r="D1147" s="6" t="s">
        <v>1102</v>
      </c>
      <c r="E1147" s="6" t="s">
        <v>84</v>
      </c>
      <c r="F1147" s="6" t="s">
        <v>4135</v>
      </c>
      <c r="G1147" s="6">
        <v>199039</v>
      </c>
      <c r="H1147" s="6" t="s">
        <v>4136</v>
      </c>
      <c r="I1147" s="6">
        <v>479</v>
      </c>
      <c r="J1147" s="6" t="s">
        <v>23</v>
      </c>
      <c r="K1147" s="6" t="s">
        <v>24</v>
      </c>
      <c r="L1147" s="6">
        <v>100000000</v>
      </c>
      <c r="M1147" s="6">
        <v>2012</v>
      </c>
      <c r="N1147" s="6">
        <v>6.2</v>
      </c>
      <c r="O1147" s="4">
        <f ca="1">IFERROR(__xludf.DUMMYFUNCTION("IF(Cost_in_dollars!E1147=""USD"",Cost_in_dollars!B1147,Cost_in_dollars!B1147 * GOOGLEFINANCE(""CURRENCY:"" &amp; Cost_in_dollars!E1147 &amp; ""USD""))
"),100000000)</f>
        <v>100000000</v>
      </c>
      <c r="P1147" s="4">
        <f ca="1">IFERROR(__xludf.DUMMYFUNCTION("IF(Cost_in_dollars!E1147=""USD"",Cost_in_dollars!C1147,Cost_in_dollars!C1147 * GOOGLEFINANCE(""CURRENCY:"" &amp; Cost_in_dollars!E1147 &amp; ""USD""))
"),79711678)</f>
        <v>79711678</v>
      </c>
      <c r="Q1147" s="6">
        <f t="shared" ca="1" si="24"/>
        <v>-20288322</v>
      </c>
      <c r="R1147" s="7" t="str">
        <f t="shared" si="25"/>
        <v>Dark Shadows</v>
      </c>
      <c r="S1147" s="43" t="str">
        <f t="shared" si="27"/>
        <v>Comedy</v>
      </c>
    </row>
    <row r="1148" spans="1:19" ht="15.75" customHeight="1" x14ac:dyDescent="0.25">
      <c r="A1148" s="4" t="s">
        <v>4137</v>
      </c>
      <c r="B1148" s="4">
        <v>261</v>
      </c>
      <c r="C1148" s="4">
        <v>55942830</v>
      </c>
      <c r="D1148" s="4" t="s">
        <v>4138</v>
      </c>
      <c r="E1148" s="4" t="s">
        <v>2493</v>
      </c>
      <c r="F1148" s="4" t="s">
        <v>4139</v>
      </c>
      <c r="G1148" s="4">
        <v>138582</v>
      </c>
      <c r="H1148" s="4" t="s">
        <v>4140</v>
      </c>
      <c r="I1148" s="4">
        <v>423</v>
      </c>
      <c r="J1148" s="4" t="s">
        <v>23</v>
      </c>
      <c r="K1148" s="4" t="s">
        <v>24</v>
      </c>
      <c r="L1148" s="4">
        <v>70000000</v>
      </c>
      <c r="M1148" s="4">
        <v>2014</v>
      </c>
      <c r="N1148" s="4">
        <v>6.3</v>
      </c>
      <c r="O1148" s="4">
        <f ca="1">IFERROR(__xludf.DUMMYFUNCTION("IF(Cost_in_dollars!E1148=""USD"",Cost_in_dollars!B1148,Cost_in_dollars!B1148 * GOOGLEFINANCE(""CURRENCY:"" &amp; Cost_in_dollars!E1148 &amp; ""USD""))
"),70000000)</f>
        <v>70000000</v>
      </c>
      <c r="P1148" s="4">
        <f ca="1">IFERROR(__xludf.DUMMYFUNCTION("IF(Cost_in_dollars!E1148=""USD"",Cost_in_dollars!C1148,Cost_in_dollars!C1148 * GOOGLEFINANCE(""CURRENCY:"" &amp; Cost_in_dollars!E1148 &amp; ""USD""))
"),55942830)</f>
        <v>55942830</v>
      </c>
      <c r="Q1148" s="4">
        <f t="shared" ca="1" si="24"/>
        <v>-14057170</v>
      </c>
      <c r="R1148" s="5" t="str">
        <f t="shared" si="25"/>
        <v>Dracula Untold</v>
      </c>
      <c r="S1148" s="43" t="str">
        <f t="shared" si="27"/>
        <v>Action</v>
      </c>
    </row>
    <row r="1149" spans="1:19" ht="15.75" customHeight="1" x14ac:dyDescent="0.25">
      <c r="A1149" s="6" t="s">
        <v>3131</v>
      </c>
      <c r="B1149" s="6">
        <v>273</v>
      </c>
      <c r="C1149" s="6">
        <v>3904982</v>
      </c>
      <c r="D1149" s="6" t="s">
        <v>4141</v>
      </c>
      <c r="E1149" s="6" t="s">
        <v>1436</v>
      </c>
      <c r="F1149" s="6" t="s">
        <v>4142</v>
      </c>
      <c r="G1149" s="6">
        <v>136104</v>
      </c>
      <c r="H1149" s="6" t="s">
        <v>4143</v>
      </c>
      <c r="I1149" s="6">
        <v>415</v>
      </c>
      <c r="J1149" s="6" t="s">
        <v>23</v>
      </c>
      <c r="K1149" s="6" t="s">
        <v>24</v>
      </c>
      <c r="L1149" s="6">
        <v>30000000</v>
      </c>
      <c r="M1149" s="6">
        <v>2007</v>
      </c>
      <c r="N1149" s="6">
        <v>7.5</v>
      </c>
      <c r="O1149" s="4">
        <f ca="1">IFERROR(__xludf.DUMMYFUNCTION("IF(Cost_in_dollars!E1149=""USD"",Cost_in_dollars!B1149,Cost_in_dollars!B1149 * GOOGLEFINANCE(""CURRENCY:"" &amp; Cost_in_dollars!E1149 &amp; ""USD""))
"),30000000)</f>
        <v>30000000</v>
      </c>
      <c r="P1149" s="4">
        <f ca="1">IFERROR(__xludf.DUMMYFUNCTION("IF(Cost_in_dollars!E1149=""USD"",Cost_in_dollars!C1149,Cost_in_dollars!C1149 * GOOGLEFINANCE(""CURRENCY:"" &amp; Cost_in_dollars!E1149 &amp; ""USD""))
"),3904982)</f>
        <v>3904982</v>
      </c>
      <c r="Q1149" s="6">
        <f t="shared" ca="1" si="24"/>
        <v>-26095018</v>
      </c>
      <c r="R1149" s="7" t="str">
        <f t="shared" si="25"/>
        <v>The Assassination of Jesse James by the Coward Robert Ford</v>
      </c>
      <c r="S1149" s="43" t="str">
        <f t="shared" si="27"/>
        <v>Biography</v>
      </c>
    </row>
    <row r="1150" spans="1:19" ht="15.75" customHeight="1" x14ac:dyDescent="0.25">
      <c r="A1150" s="4" t="s">
        <v>4144</v>
      </c>
      <c r="B1150" s="4">
        <v>177</v>
      </c>
      <c r="C1150" s="4">
        <v>4157491</v>
      </c>
      <c r="D1150" s="4" t="s">
        <v>4145</v>
      </c>
      <c r="E1150" s="4" t="s">
        <v>574</v>
      </c>
      <c r="F1150" s="4" t="s">
        <v>4146</v>
      </c>
      <c r="G1150" s="4">
        <v>79330</v>
      </c>
      <c r="H1150" s="4" t="s">
        <v>4147</v>
      </c>
      <c r="I1150" s="4">
        <v>690</v>
      </c>
      <c r="J1150" s="4" t="s">
        <v>23</v>
      </c>
      <c r="K1150" s="4" t="s">
        <v>4041</v>
      </c>
      <c r="L1150" s="4">
        <v>12800000</v>
      </c>
      <c r="M1150" s="4">
        <v>2000</v>
      </c>
      <c r="N1150" s="4">
        <v>8</v>
      </c>
      <c r="O1150" s="4">
        <f ca="1">IFERROR(__xludf.DUMMYFUNCTION("IF(Cost_in_dollars!E1150=""USD"",Cost_in_dollars!B1150,Cost_in_dollars!B1150 * GOOGLEFINANCE(""CURRENCY:"" &amp; Cost_in_dollars!E1150 &amp; ""USD""))
"),1860383.99999999)</f>
        <v>1860383.99999999</v>
      </c>
      <c r="P1150" s="4">
        <f ca="1">IFERROR(__xludf.DUMMYFUNCTION("IF(Cost_in_dollars!E1150=""USD"",Cost_in_dollars!C1150,Cost_in_dollars!C1150 * GOOGLEFINANCE(""CURRENCY:"" &amp; Cost_in_dollars!E1150 &amp; ""USD""))
"),604260.1356675)</f>
        <v>604260.13566749997</v>
      </c>
      <c r="Q1150" s="4">
        <f t="shared" ca="1" si="24"/>
        <v>-1256123.8643324901</v>
      </c>
      <c r="R1150" s="5" t="str">
        <f t="shared" si="25"/>
        <v>Dancer in the Dark</v>
      </c>
      <c r="S1150" s="43" t="str">
        <f t="shared" si="27"/>
        <v>Crime</v>
      </c>
    </row>
    <row r="1151" spans="1:19" ht="15.75" customHeight="1" x14ac:dyDescent="0.25">
      <c r="A1151" s="6" t="s">
        <v>82</v>
      </c>
      <c r="B1151" s="6">
        <v>321</v>
      </c>
      <c r="C1151" s="6">
        <v>67631157</v>
      </c>
      <c r="D1151" s="6" t="s">
        <v>83</v>
      </c>
      <c r="E1151" s="6" t="s">
        <v>84</v>
      </c>
      <c r="F1151" s="6" t="s">
        <v>85</v>
      </c>
      <c r="G1151" s="6">
        <v>176598</v>
      </c>
      <c r="H1151" s="6" t="s">
        <v>86</v>
      </c>
      <c r="I1151" s="6">
        <v>374</v>
      </c>
      <c r="J1151" s="6" t="s">
        <v>23</v>
      </c>
      <c r="K1151" s="6" t="s">
        <v>24</v>
      </c>
      <c r="L1151" s="6">
        <v>100000000</v>
      </c>
      <c r="M1151" s="6">
        <v>2010</v>
      </c>
      <c r="N1151" s="6">
        <v>6</v>
      </c>
      <c r="O1151" s="4">
        <f ca="1">IFERROR(__xludf.DUMMYFUNCTION("IF(Cost_in_dollars!E1151=""USD"",Cost_in_dollars!B1151,Cost_in_dollars!B1151 * GOOGLEFINANCE(""CURRENCY:"" &amp; Cost_in_dollars!E1151 &amp; ""USD""))
"),100000000)</f>
        <v>100000000</v>
      </c>
      <c r="P1151" s="4">
        <f ca="1">IFERROR(__xludf.DUMMYFUNCTION("IF(Cost_in_dollars!E1151=""USD"",Cost_in_dollars!C1151,Cost_in_dollars!C1151 * GOOGLEFINANCE(""CURRENCY:"" &amp; Cost_in_dollars!E1151 &amp; ""USD""))
"),67631157)</f>
        <v>67631157</v>
      </c>
      <c r="Q1151" s="6">
        <f t="shared" ca="1" si="24"/>
        <v>-32368843</v>
      </c>
      <c r="R1151" s="7" t="str">
        <f t="shared" si="25"/>
        <v>The Tourist</v>
      </c>
      <c r="S1151" s="43" t="str">
        <f t="shared" si="27"/>
        <v>Action</v>
      </c>
    </row>
    <row r="1152" spans="1:19" ht="15.75" customHeight="1" x14ac:dyDescent="0.25">
      <c r="A1152" s="4" t="s">
        <v>4148</v>
      </c>
      <c r="B1152" s="4">
        <v>80</v>
      </c>
      <c r="C1152" s="4">
        <v>48423368</v>
      </c>
      <c r="D1152" s="4" t="s">
        <v>868</v>
      </c>
      <c r="E1152" s="4" t="s">
        <v>3211</v>
      </c>
      <c r="F1152" s="4" t="s">
        <v>4149</v>
      </c>
      <c r="G1152" s="4">
        <v>13324</v>
      </c>
      <c r="H1152" s="4" t="s">
        <v>4150</v>
      </c>
      <c r="I1152" s="4">
        <v>79</v>
      </c>
      <c r="J1152" s="4" t="s">
        <v>23</v>
      </c>
      <c r="K1152" s="4" t="s">
        <v>24</v>
      </c>
      <c r="L1152" s="4">
        <v>20000000</v>
      </c>
      <c r="M1152" s="4">
        <v>2002</v>
      </c>
      <c r="N1152" s="4">
        <v>5.8</v>
      </c>
      <c r="O1152" s="4">
        <f ca="1">IFERROR(__xludf.DUMMYFUNCTION("IF(Cost_in_dollars!E1152=""USD"",Cost_in_dollars!B1152,Cost_in_dollars!B1152 * GOOGLEFINANCE(""CURRENCY:"" &amp; Cost_in_dollars!E1152 &amp; ""USD""))
"),20000000)</f>
        <v>20000000</v>
      </c>
      <c r="P1152" s="4">
        <f ca="1">IFERROR(__xludf.DUMMYFUNCTION("IF(Cost_in_dollars!E1152=""USD"",Cost_in_dollars!C1152,Cost_in_dollars!C1152 * GOOGLEFINANCE(""CURRENCY:"" &amp; Cost_in_dollars!E1152 &amp; ""USD""))
"),48423368)</f>
        <v>48423368</v>
      </c>
      <c r="Q1152" s="4">
        <f t="shared" ca="1" si="24"/>
        <v>28423368</v>
      </c>
      <c r="R1152" s="5" t="str">
        <f t="shared" si="25"/>
        <v>Return to Never Land</v>
      </c>
      <c r="S1152" s="43" t="str">
        <f t="shared" si="27"/>
        <v>Adventure</v>
      </c>
    </row>
    <row r="1153" spans="1:19" ht="15.75" customHeight="1" x14ac:dyDescent="0.25">
      <c r="A1153" s="6" t="s">
        <v>4151</v>
      </c>
      <c r="B1153" s="6">
        <v>298</v>
      </c>
      <c r="C1153" s="6">
        <v>126149655</v>
      </c>
      <c r="D1153" s="6" t="s">
        <v>1180</v>
      </c>
      <c r="E1153" s="6" t="s">
        <v>69</v>
      </c>
      <c r="F1153" s="6" t="s">
        <v>4152</v>
      </c>
      <c r="G1153" s="6">
        <v>166693</v>
      </c>
      <c r="H1153" s="6" t="s">
        <v>4153</v>
      </c>
      <c r="I1153" s="6">
        <v>276</v>
      </c>
      <c r="J1153" s="6" t="s">
        <v>23</v>
      </c>
      <c r="K1153" s="6" t="s">
        <v>24</v>
      </c>
      <c r="L1153" s="6">
        <v>85000000</v>
      </c>
      <c r="M1153" s="6">
        <v>2012</v>
      </c>
      <c r="N1153" s="6">
        <v>6.8</v>
      </c>
      <c r="O1153" s="4">
        <f ca="1">IFERROR(__xludf.DUMMYFUNCTION("IF(Cost_in_dollars!E1153=""USD"",Cost_in_dollars!B1153,Cost_in_dollars!B1153 * GOOGLEFINANCE(""CURRENCY:"" &amp; Cost_in_dollars!E1153 &amp; ""USD""))
"),85000000)</f>
        <v>85000000</v>
      </c>
      <c r="P1153" s="4">
        <f ca="1">IFERROR(__xludf.DUMMYFUNCTION("IF(Cost_in_dollars!E1153=""USD"",Cost_in_dollars!C1153,Cost_in_dollars!C1153 * GOOGLEFINANCE(""CURRENCY:"" &amp; Cost_in_dollars!E1153 &amp; ""USD""))
"),126149655)</f>
        <v>126149655</v>
      </c>
      <c r="Q1153" s="6">
        <f t="shared" ca="1" si="24"/>
        <v>41149655</v>
      </c>
      <c r="R1153" s="7" t="str">
        <f t="shared" si="25"/>
        <v>Safe House</v>
      </c>
      <c r="S1153" s="43" t="str">
        <f t="shared" si="27"/>
        <v>Action</v>
      </c>
    </row>
    <row r="1154" spans="1:19" ht="15.75" customHeight="1" x14ac:dyDescent="0.25">
      <c r="A1154" s="4" t="s">
        <v>3237</v>
      </c>
      <c r="B1154" s="4">
        <v>149</v>
      </c>
      <c r="C1154" s="4">
        <v>41609593</v>
      </c>
      <c r="D1154" s="4" t="s">
        <v>714</v>
      </c>
      <c r="E1154" s="4" t="s">
        <v>886</v>
      </c>
      <c r="F1154" s="4" t="s">
        <v>4154</v>
      </c>
      <c r="G1154" s="4">
        <v>145422</v>
      </c>
      <c r="H1154" s="4" t="s">
        <v>4155</v>
      </c>
      <c r="I1154" s="4">
        <v>572</v>
      </c>
      <c r="J1154" s="4" t="s">
        <v>23</v>
      </c>
      <c r="K1154" s="4" t="s">
        <v>133</v>
      </c>
      <c r="L1154" s="4">
        <v>55000000</v>
      </c>
      <c r="M1154" s="4">
        <v>1998</v>
      </c>
      <c r="N1154" s="4">
        <v>7.3</v>
      </c>
      <c r="O1154" s="4">
        <f ca="1">IFERROR(__xludf.DUMMYFUNCTION("IF(Cost_in_dollars!E1154=""USD"",Cost_in_dollars!B1154,Cost_in_dollars!B1154 * GOOGLEFINANCE(""CURRENCY:"" &amp; Cost_in_dollars!E1154 &amp; ""USD""))
"),70697000)</f>
        <v>70697000</v>
      </c>
      <c r="P1154" s="4">
        <f ca="1">IFERROR(__xludf.DUMMYFUNCTION("IF(Cost_in_dollars!E1154=""USD"",Cost_in_dollars!C1154,Cost_in_dollars!C1154 * GOOGLEFINANCE(""CURRENCY:"" &amp; Cost_in_dollars!E1154 &amp; ""USD""))
"),53484970.8421999)</f>
        <v>53484970.842199899</v>
      </c>
      <c r="Q1154" s="4">
        <f t="shared" ca="1" si="24"/>
        <v>-17212029.157800101</v>
      </c>
      <c r="R1154" s="5" t="str">
        <f t="shared" si="25"/>
        <v>Ronin</v>
      </c>
      <c r="S1154" s="43" t="str">
        <f t="shared" ref="S1154:S1217" si="28">IF(ISNUMBER(FIND("|", D1154)), LEFT(D1154, FIND("|", D1154) - 1), D1154)</f>
        <v>Action</v>
      </c>
    </row>
    <row r="1155" spans="1:19" ht="15.75" customHeight="1" x14ac:dyDescent="0.25">
      <c r="A1155" s="6" t="s">
        <v>3842</v>
      </c>
      <c r="B1155" s="6">
        <v>106</v>
      </c>
      <c r="C1155" s="6">
        <v>46338728</v>
      </c>
      <c r="D1155" s="6" t="s">
        <v>235</v>
      </c>
      <c r="E1155" s="6" t="s">
        <v>1358</v>
      </c>
      <c r="F1155" s="6" t="s">
        <v>4156</v>
      </c>
      <c r="G1155" s="6">
        <v>167750</v>
      </c>
      <c r="H1155" s="6" t="s">
        <v>4157</v>
      </c>
      <c r="I1155" s="6">
        <v>506</v>
      </c>
      <c r="J1155" s="6" t="s">
        <v>23</v>
      </c>
      <c r="K1155" s="6" t="s">
        <v>24</v>
      </c>
      <c r="L1155" s="6">
        <v>14500000</v>
      </c>
      <c r="M1155" s="6">
        <v>1996</v>
      </c>
      <c r="N1155" s="6">
        <v>6.8</v>
      </c>
      <c r="O1155" s="4">
        <f ca="1">IFERROR(__xludf.DUMMYFUNCTION("IF(Cost_in_dollars!E1155=""USD"",Cost_in_dollars!B1155,Cost_in_dollars!B1155 * GOOGLEFINANCE(""CURRENCY:"" &amp; Cost_in_dollars!E1155 &amp; ""USD""))
"),14500000)</f>
        <v>14500000</v>
      </c>
      <c r="P1155" s="4">
        <f ca="1">IFERROR(__xludf.DUMMYFUNCTION("IF(Cost_in_dollars!E1155=""USD"",Cost_in_dollars!C1155,Cost_in_dollars!C1155 * GOOGLEFINANCE(""CURRENCY:"" &amp; Cost_in_dollars!E1155 &amp; ""USD""))
"),46338728)</f>
        <v>46338728</v>
      </c>
      <c r="Q1155" s="6">
        <f t="shared" ca="1" si="24"/>
        <v>31838728</v>
      </c>
      <c r="R1155" s="7" t="str">
        <f t="shared" si="25"/>
        <v>Romeo + Juliet</v>
      </c>
      <c r="S1155" s="43" t="str">
        <f t="shared" si="28"/>
        <v>Drama</v>
      </c>
    </row>
    <row r="1156" spans="1:19" ht="15.75" customHeight="1" x14ac:dyDescent="0.25">
      <c r="A1156" s="4" t="s">
        <v>4158</v>
      </c>
      <c r="B1156" s="4">
        <v>74</v>
      </c>
      <c r="C1156" s="4">
        <v>29302097</v>
      </c>
      <c r="D1156" s="4" t="s">
        <v>4159</v>
      </c>
      <c r="E1156" s="4" t="s">
        <v>4160</v>
      </c>
      <c r="F1156" s="4" t="s">
        <v>4161</v>
      </c>
      <c r="G1156" s="4">
        <v>23408</v>
      </c>
      <c r="H1156" s="4" t="s">
        <v>4162</v>
      </c>
      <c r="I1156" s="4">
        <v>105</v>
      </c>
      <c r="J1156" s="4" t="s">
        <v>23</v>
      </c>
      <c r="K1156" s="4" t="s">
        <v>176</v>
      </c>
      <c r="L1156" s="4">
        <v>15000000</v>
      </c>
      <c r="M1156" s="4">
        <v>2004</v>
      </c>
      <c r="N1156" s="4">
        <v>4.5999999999999996</v>
      </c>
      <c r="O1156" s="4">
        <f ca="1">IFERROR(__xludf.DUMMYFUNCTION("IF(Cost_in_dollars!E1156=""USD"",Cost_in_dollars!B1156,Cost_in_dollars!B1156 * GOOGLEFINANCE(""CURRENCY:"" &amp; Cost_in_dollars!E1156 &amp; ""USD""))
"),16271100)</f>
        <v>16271100</v>
      </c>
      <c r="P1156" s="4">
        <f ca="1">IFERROR(__xludf.DUMMYFUNCTION("IF(Cost_in_dollars!E1156=""USD"",Cost_in_dollars!C1156,Cost_in_dollars!C1156 * GOOGLEFINANCE(""CURRENCY:"" &amp; Cost_in_dollars!E1156 &amp; ""USD""))
"),31785156.69978)</f>
        <v>31785156.699779999</v>
      </c>
      <c r="Q1156" s="4">
        <f t="shared" ca="1" si="24"/>
        <v>15514056.699779999</v>
      </c>
      <c r="R1156" s="5" t="str">
        <f t="shared" si="25"/>
        <v>Confessions of a Teenage Drama Queen</v>
      </c>
      <c r="S1156" s="43" t="str">
        <f t="shared" si="28"/>
        <v>Comedy</v>
      </c>
    </row>
    <row r="1157" spans="1:19" ht="15.75" customHeight="1" x14ac:dyDescent="0.25">
      <c r="A1157" s="6" t="s">
        <v>4163</v>
      </c>
      <c r="B1157" s="6">
        <v>23</v>
      </c>
      <c r="C1157" s="6">
        <v>19348</v>
      </c>
      <c r="D1157" s="6" t="s">
        <v>457</v>
      </c>
      <c r="E1157" s="6" t="s">
        <v>1410</v>
      </c>
      <c r="F1157" s="6" t="s">
        <v>4164</v>
      </c>
      <c r="G1157" s="6">
        <v>2941</v>
      </c>
      <c r="H1157" s="6" t="s">
        <v>4165</v>
      </c>
      <c r="I1157" s="6">
        <v>11</v>
      </c>
      <c r="J1157" s="6" t="s">
        <v>23</v>
      </c>
      <c r="K1157" s="6" t="s">
        <v>24</v>
      </c>
      <c r="L1157" s="6">
        <v>10000000</v>
      </c>
      <c r="M1157" s="6">
        <v>2009</v>
      </c>
      <c r="N1157" s="6">
        <v>5.5</v>
      </c>
      <c r="O1157" s="4">
        <f ca="1">IFERROR(__xludf.DUMMYFUNCTION("IF(Cost_in_dollars!E1157=""USD"",Cost_in_dollars!B1157,Cost_in_dollars!B1157 * GOOGLEFINANCE(""CURRENCY:"" &amp; Cost_in_dollars!E1157 &amp; ""USD""))
"),10000000)</f>
        <v>10000000</v>
      </c>
      <c r="P1157" s="4">
        <f ca="1">IFERROR(__xludf.DUMMYFUNCTION("IF(Cost_in_dollars!E1157=""USD"",Cost_in_dollars!C1157,Cost_in_dollars!C1157 * GOOGLEFINANCE(""CURRENCY:"" &amp; Cost_in_dollars!E1157 &amp; ""USD""))
"),19348)</f>
        <v>19348</v>
      </c>
      <c r="Q1157" s="6">
        <f t="shared" ca="1" si="24"/>
        <v>-9980652</v>
      </c>
      <c r="R1157" s="7" t="str">
        <f t="shared" si="25"/>
        <v>The Open Road</v>
      </c>
      <c r="S1157" s="43" t="str">
        <f t="shared" si="28"/>
        <v>Comedy</v>
      </c>
    </row>
    <row r="1158" spans="1:19" ht="15.75" customHeight="1" x14ac:dyDescent="0.25">
      <c r="A1158" s="4" t="s">
        <v>4166</v>
      </c>
      <c r="B1158" s="4">
        <v>49</v>
      </c>
      <c r="C1158" s="4">
        <v>3071947</v>
      </c>
      <c r="D1158" s="4" t="s">
        <v>592</v>
      </c>
      <c r="E1158" s="4" t="s">
        <v>3610</v>
      </c>
      <c r="F1158" s="4" t="s">
        <v>4167</v>
      </c>
      <c r="G1158" s="4">
        <v>18711</v>
      </c>
      <c r="H1158" s="4" t="s">
        <v>4168</v>
      </c>
      <c r="I1158" s="4">
        <v>183</v>
      </c>
      <c r="J1158" s="4" t="s">
        <v>23</v>
      </c>
      <c r="K1158" s="4" t="s">
        <v>24</v>
      </c>
      <c r="L1158" s="4">
        <v>3500000</v>
      </c>
      <c r="M1158" s="4">
        <v>1999</v>
      </c>
      <c r="N1158" s="4">
        <v>5.4</v>
      </c>
      <c r="O1158" s="4">
        <f ca="1">IFERROR(__xludf.DUMMYFUNCTION("IF(Cost_in_dollars!E1158=""USD"",Cost_in_dollars!B1158,Cost_in_dollars!B1158 * GOOGLEFINANCE(""CURRENCY:"" &amp; Cost_in_dollars!E1158 &amp; ""USD""))
"),3500000)</f>
        <v>3500000</v>
      </c>
      <c r="P1158" s="4">
        <f ca="1">IFERROR(__xludf.DUMMYFUNCTION("IF(Cost_in_dollars!E1158=""USD"",Cost_in_dollars!C1158,Cost_in_dollars!C1158 * GOOGLEFINANCE(""CURRENCY:"" &amp; Cost_in_dollars!E1158 &amp; ""USD""))
"),3071947)</f>
        <v>3071947</v>
      </c>
      <c r="Q1158" s="4">
        <f t="shared" ca="1" si="24"/>
        <v>-428053</v>
      </c>
      <c r="R1158" s="5" t="str">
        <f t="shared" si="25"/>
        <v>Jawbreaker</v>
      </c>
      <c r="S1158" s="43" t="str">
        <f t="shared" si="28"/>
        <v>Comedy</v>
      </c>
    </row>
    <row r="1159" spans="1:19" ht="15.75" customHeight="1" x14ac:dyDescent="0.25">
      <c r="A1159" s="6" t="s">
        <v>4026</v>
      </c>
      <c r="B1159" s="6">
        <v>77</v>
      </c>
      <c r="C1159" s="6">
        <v>95149435</v>
      </c>
      <c r="D1159" s="6" t="s">
        <v>292</v>
      </c>
      <c r="E1159" s="6" t="s">
        <v>422</v>
      </c>
      <c r="F1159" s="6" t="s">
        <v>4169</v>
      </c>
      <c r="G1159" s="6">
        <v>53687</v>
      </c>
      <c r="H1159" s="6" t="s">
        <v>4170</v>
      </c>
      <c r="I1159" s="6">
        <v>152</v>
      </c>
      <c r="J1159" s="6" t="s">
        <v>23</v>
      </c>
      <c r="K1159" s="6" t="s">
        <v>24</v>
      </c>
      <c r="L1159" s="6">
        <v>40000000</v>
      </c>
      <c r="M1159" s="6">
        <v>2004</v>
      </c>
      <c r="N1159" s="6">
        <v>5.7</v>
      </c>
      <c r="O1159" s="4">
        <f ca="1">IFERROR(__xludf.DUMMYFUNCTION("IF(Cost_in_dollars!E1159=""USD"",Cost_in_dollars!B1159,Cost_in_dollars!B1159 * GOOGLEFINANCE(""CURRENCY:"" &amp; Cost_in_dollars!E1159 &amp; ""USD""))
"),40000000)</f>
        <v>40000000</v>
      </c>
      <c r="P1159" s="4">
        <f ca="1">IFERROR(__xludf.DUMMYFUNCTION("IF(Cost_in_dollars!E1159=""USD"",Cost_in_dollars!C1159,Cost_in_dollars!C1159 * GOOGLEFINANCE(""CURRENCY:"" &amp; Cost_in_dollars!E1159 &amp; ""USD""))
"),95149435)</f>
        <v>95149435</v>
      </c>
      <c r="Q1159" s="6">
        <f t="shared" ca="1" si="24"/>
        <v>55149435</v>
      </c>
      <c r="R1159" s="7" t="str">
        <f t="shared" si="25"/>
        <v>The Princess Diaries 2: Royal Engagement</v>
      </c>
      <c r="S1159" s="43" t="str">
        <f t="shared" si="28"/>
        <v>Comedy</v>
      </c>
    </row>
    <row r="1160" spans="1:19" ht="15.75" customHeight="1" x14ac:dyDescent="0.25">
      <c r="A1160" s="4" t="s">
        <v>4171</v>
      </c>
      <c r="B1160" s="4">
        <v>205</v>
      </c>
      <c r="C1160" s="4">
        <v>611709</v>
      </c>
      <c r="D1160" s="4" t="s">
        <v>457</v>
      </c>
      <c r="E1160" s="4" t="s">
        <v>4172</v>
      </c>
      <c r="F1160" s="4" t="s">
        <v>4173</v>
      </c>
      <c r="G1160" s="4">
        <v>15267</v>
      </c>
      <c r="H1160" s="4" t="s">
        <v>4174</v>
      </c>
      <c r="I1160" s="4">
        <v>41</v>
      </c>
      <c r="J1160" s="4" t="s">
        <v>661</v>
      </c>
      <c r="K1160" s="4" t="s">
        <v>4175</v>
      </c>
      <c r="L1160" s="4">
        <v>3850000</v>
      </c>
      <c r="M1160" s="4">
        <v>2011</v>
      </c>
      <c r="N1160" s="4">
        <v>7.2</v>
      </c>
      <c r="O1160" s="4">
        <f ca="1">IFERROR(__xludf.DUMMYFUNCTION("IF(Cost_in_dollars!E1160=""USD"",Cost_in_dollars!B1160,Cost_in_dollars!B1160 * GOOGLEFINANCE(""CURRENCY:"" &amp; Cost_in_dollars!E1160 &amp; ""USD""))
"),4176249)</f>
        <v>4176249</v>
      </c>
      <c r="P1160" s="4">
        <f ca="1">IFERROR(__xludf.DUMMYFUNCTION("IF(Cost_in_dollars!E1160=""USD"",Cost_in_dollars!C1160,Cost_in_dollars!C1160 * GOOGLEFINANCE(""CURRENCY:"" &amp; Cost_in_dollars!E1160 &amp; ""USD""))
"),663545.22066)</f>
        <v>663545.22065999999</v>
      </c>
      <c r="Q1160" s="4">
        <f t="shared" ca="1" si="24"/>
        <v>-3512703.7793399999</v>
      </c>
      <c r="R1160" s="5" t="str">
        <f t="shared" si="25"/>
        <v>Le Havre</v>
      </c>
      <c r="S1160" s="43" t="str">
        <f t="shared" si="28"/>
        <v>Comedy</v>
      </c>
    </row>
    <row r="1161" spans="1:19" ht="15.75" customHeight="1" x14ac:dyDescent="0.25">
      <c r="A1161" s="6" t="s">
        <v>4176</v>
      </c>
      <c r="B1161" s="6">
        <v>173</v>
      </c>
      <c r="C1161" s="6">
        <v>137340146</v>
      </c>
      <c r="D1161" s="6" t="s">
        <v>58</v>
      </c>
      <c r="E1161" s="6" t="s">
        <v>619</v>
      </c>
      <c r="F1161" s="6" t="s">
        <v>4177</v>
      </c>
      <c r="G1161" s="6">
        <v>246492</v>
      </c>
      <c r="H1161" s="6" t="s">
        <v>4178</v>
      </c>
      <c r="I1161" s="6">
        <v>685</v>
      </c>
      <c r="J1161" s="6" t="s">
        <v>23</v>
      </c>
      <c r="K1161" s="6" t="s">
        <v>24</v>
      </c>
      <c r="L1161" s="6">
        <v>70000000</v>
      </c>
      <c r="M1161" s="6">
        <v>2006</v>
      </c>
      <c r="N1161" s="6">
        <v>6.4</v>
      </c>
      <c r="O1161" s="4">
        <f ca="1">IFERROR(__xludf.DUMMYFUNCTION("IF(Cost_in_dollars!E1161=""USD"",Cost_in_dollars!B1161,Cost_in_dollars!B1161 * GOOGLEFINANCE(""CURRENCY:"" &amp; Cost_in_dollars!E1161 &amp; ""USD""))
"),70000000)</f>
        <v>70000000</v>
      </c>
      <c r="P1161" s="4">
        <f ca="1">IFERROR(__xludf.DUMMYFUNCTION("IF(Cost_in_dollars!E1161=""USD"",Cost_in_dollars!C1161,Cost_in_dollars!C1161 * GOOGLEFINANCE(""CURRENCY:"" &amp; Cost_in_dollars!E1161 &amp; ""USD""))
"),137340146)</f>
        <v>137340146</v>
      </c>
      <c r="Q1161" s="6">
        <f t="shared" ca="1" si="24"/>
        <v>67340146</v>
      </c>
      <c r="R1161" s="7" t="str">
        <f t="shared" si="25"/>
        <v>Click</v>
      </c>
      <c r="S1161" s="43" t="str">
        <f t="shared" si="28"/>
        <v>Comedy</v>
      </c>
    </row>
    <row r="1162" spans="1:19" ht="15.75" customHeight="1" x14ac:dyDescent="0.25">
      <c r="A1162" s="4" t="s">
        <v>4179</v>
      </c>
      <c r="B1162" s="4">
        <v>140</v>
      </c>
      <c r="C1162" s="4">
        <v>67286731</v>
      </c>
      <c r="D1162" s="4" t="s">
        <v>4180</v>
      </c>
      <c r="E1162" s="4" t="s">
        <v>881</v>
      </c>
      <c r="F1162" s="4" t="s">
        <v>4181</v>
      </c>
      <c r="G1162" s="4">
        <v>67856</v>
      </c>
      <c r="H1162" s="4" t="s">
        <v>4182</v>
      </c>
      <c r="I1162" s="4">
        <v>345</v>
      </c>
      <c r="J1162" s="4" t="s">
        <v>23</v>
      </c>
      <c r="K1162" s="4" t="s">
        <v>24</v>
      </c>
      <c r="L1162" s="4">
        <v>100000000</v>
      </c>
      <c r="M1162" s="4">
        <v>2004</v>
      </c>
      <c r="N1162" s="4">
        <v>6.7</v>
      </c>
      <c r="O1162" s="4">
        <f ca="1">IFERROR(__xludf.DUMMYFUNCTION("IF(Cost_in_dollars!E1162=""USD"",Cost_in_dollars!B1162,Cost_in_dollars!B1162 * GOOGLEFINANCE(""CURRENCY:"" &amp; Cost_in_dollars!E1162 &amp; ""USD""))
"),100000000)</f>
        <v>100000000</v>
      </c>
      <c r="P1162" s="4">
        <f ca="1">IFERROR(__xludf.DUMMYFUNCTION("IF(Cost_in_dollars!E1162=""USD"",Cost_in_dollars!C1162,Cost_in_dollars!C1162 * GOOGLEFINANCE(""CURRENCY:"" &amp; Cost_in_dollars!E1162 &amp; ""USD""))
"),67286731)</f>
        <v>67286731</v>
      </c>
      <c r="Q1162" s="4">
        <f t="shared" ca="1" si="24"/>
        <v>-32713269</v>
      </c>
      <c r="R1162" s="5" t="str">
        <f t="shared" si="25"/>
        <v>Hidalgo</v>
      </c>
      <c r="S1162" s="43" t="str">
        <f t="shared" si="28"/>
        <v>Action</v>
      </c>
    </row>
    <row r="1163" spans="1:19" ht="15.75" customHeight="1" x14ac:dyDescent="0.25">
      <c r="A1163" s="6" t="s">
        <v>4183</v>
      </c>
      <c r="B1163" s="6">
        <v>47</v>
      </c>
      <c r="C1163" s="6">
        <v>75727</v>
      </c>
      <c r="D1163" s="6" t="s">
        <v>4184</v>
      </c>
      <c r="E1163" s="6" t="s">
        <v>4185</v>
      </c>
      <c r="F1163" s="6" t="s">
        <v>4186</v>
      </c>
      <c r="G1163" s="6">
        <v>5699</v>
      </c>
      <c r="H1163" s="6" t="s">
        <v>4187</v>
      </c>
      <c r="I1163" s="6">
        <v>40</v>
      </c>
      <c r="J1163" s="6" t="s">
        <v>1569</v>
      </c>
      <c r="K1163" s="6" t="s">
        <v>24</v>
      </c>
      <c r="L1163" s="6">
        <v>2500000</v>
      </c>
      <c r="M1163" s="6">
        <v>2008</v>
      </c>
      <c r="N1163" s="6">
        <v>5.9</v>
      </c>
      <c r="O1163" s="4">
        <f ca="1">IFERROR(__xludf.DUMMYFUNCTION("IF(Cost_in_dollars!E1163=""USD"",Cost_in_dollars!B1163,Cost_in_dollars!B1163 * GOOGLEFINANCE(""CURRENCY:"" &amp; Cost_in_dollars!E1163 &amp; ""USD""))
"),2500000)</f>
        <v>2500000</v>
      </c>
      <c r="P1163" s="4">
        <f ca="1">IFERROR(__xludf.DUMMYFUNCTION("IF(Cost_in_dollars!E1163=""USD"",Cost_in_dollars!C1163,Cost_in_dollars!C1163 * GOOGLEFINANCE(""CURRENCY:"" &amp; Cost_in_dollars!E1163 &amp; ""USD""))
"),75727)</f>
        <v>75727</v>
      </c>
      <c r="Q1163" s="6">
        <f t="shared" ca="1" si="24"/>
        <v>-2424273</v>
      </c>
      <c r="R1163" s="7" t="str">
        <f t="shared" si="25"/>
        <v>Sleep Dealer</v>
      </c>
      <c r="S1163" s="43" t="str">
        <f t="shared" si="28"/>
        <v>Drama</v>
      </c>
    </row>
    <row r="1164" spans="1:19" ht="15.75" customHeight="1" x14ac:dyDescent="0.25">
      <c r="A1164" s="4" t="s">
        <v>1781</v>
      </c>
      <c r="B1164" s="4">
        <v>108</v>
      </c>
      <c r="C1164" s="4">
        <v>36976367</v>
      </c>
      <c r="D1164" s="4" t="s">
        <v>1608</v>
      </c>
      <c r="E1164" s="4" t="s">
        <v>687</v>
      </c>
      <c r="F1164" s="4" t="s">
        <v>4188</v>
      </c>
      <c r="G1164" s="4">
        <v>81611</v>
      </c>
      <c r="H1164" s="4" t="s">
        <v>4189</v>
      </c>
      <c r="I1164" s="4">
        <v>274</v>
      </c>
      <c r="J1164" s="4" t="s">
        <v>23</v>
      </c>
      <c r="K1164" s="4" t="s">
        <v>24</v>
      </c>
      <c r="L1164" s="4">
        <v>75000000</v>
      </c>
      <c r="M1164" s="4">
        <v>1998</v>
      </c>
      <c r="N1164" s="4">
        <v>6</v>
      </c>
      <c r="O1164" s="4">
        <f ca="1">IFERROR(__xludf.DUMMYFUNCTION("IF(Cost_in_dollars!E1164=""USD"",Cost_in_dollars!B1164,Cost_in_dollars!B1164 * GOOGLEFINANCE(""CURRENCY:"" &amp; Cost_in_dollars!E1164 &amp; ""USD""))
"),75000000)</f>
        <v>75000000</v>
      </c>
      <c r="P1164" s="4">
        <f ca="1">IFERROR(__xludf.DUMMYFUNCTION("IF(Cost_in_dollars!E1164=""USD"",Cost_in_dollars!C1164,Cost_in_dollars!C1164 * GOOGLEFINANCE(""CURRENCY:"" &amp; Cost_in_dollars!E1164 &amp; ""USD""))
"),36976367)</f>
        <v>36976367</v>
      </c>
      <c r="Q1164" s="4">
        <f t="shared" ca="1" si="24"/>
        <v>-38023633</v>
      </c>
      <c r="R1164" s="5" t="str">
        <f t="shared" si="25"/>
        <v>Sphere</v>
      </c>
      <c r="S1164" s="43" t="str">
        <f t="shared" si="28"/>
        <v>Drama</v>
      </c>
    </row>
    <row r="1165" spans="1:19" ht="15.75" customHeight="1" x14ac:dyDescent="0.25">
      <c r="A1165" s="6" t="s">
        <v>1928</v>
      </c>
      <c r="B1165" s="6">
        <v>29</v>
      </c>
      <c r="C1165" s="6">
        <v>12996</v>
      </c>
      <c r="D1165" s="6" t="s">
        <v>249</v>
      </c>
      <c r="E1165" s="6" t="s">
        <v>645</v>
      </c>
      <c r="F1165" s="6" t="s">
        <v>4190</v>
      </c>
      <c r="G1165" s="6">
        <v>1938</v>
      </c>
      <c r="H1165" s="6" t="s">
        <v>4191</v>
      </c>
      <c r="I1165" s="6">
        <v>54</v>
      </c>
      <c r="J1165" s="6" t="s">
        <v>23</v>
      </c>
      <c r="K1165" s="6" t="s">
        <v>24</v>
      </c>
      <c r="L1165" s="6">
        <v>1000000</v>
      </c>
      <c r="M1165" s="6">
        <v>2000</v>
      </c>
      <c r="N1165" s="6">
        <v>6</v>
      </c>
      <c r="O1165" s="4">
        <f ca="1">IFERROR(__xludf.DUMMYFUNCTION("IF(Cost_in_dollars!E1165=""USD"",Cost_in_dollars!B1165,Cost_in_dollars!B1165 * GOOGLEFINANCE(""CURRENCY:"" &amp; Cost_in_dollars!E1165 &amp; ""USD""))
"),1000000)</f>
        <v>1000000</v>
      </c>
      <c r="P1165" s="4">
        <f ca="1">IFERROR(__xludf.DUMMYFUNCTION("IF(Cost_in_dollars!E1165=""USD"",Cost_in_dollars!C1165,Cost_in_dollars!C1165 * GOOGLEFINANCE(""CURRENCY:"" &amp; Cost_in_dollars!E1165 &amp; ""USD""))
"),12996)</f>
        <v>12996</v>
      </c>
      <c r="Q1165" s="6">
        <f t="shared" ca="1" si="24"/>
        <v>-987004</v>
      </c>
      <c r="R1165" s="7" t="str">
        <f t="shared" si="25"/>
        <v>The Specials</v>
      </c>
      <c r="S1165" s="43" t="str">
        <f t="shared" si="28"/>
        <v>Action</v>
      </c>
    </row>
    <row r="1166" spans="1:19" ht="15.75" customHeight="1" x14ac:dyDescent="0.25">
      <c r="A1166" s="4" t="s">
        <v>4192</v>
      </c>
      <c r="B1166" s="4">
        <v>172</v>
      </c>
      <c r="C1166" s="4">
        <v>31397498</v>
      </c>
      <c r="D1166" s="4" t="s">
        <v>568</v>
      </c>
      <c r="E1166" s="4" t="s">
        <v>2272</v>
      </c>
      <c r="F1166" s="4" t="s">
        <v>4193</v>
      </c>
      <c r="G1166" s="4">
        <v>44130</v>
      </c>
      <c r="H1166" s="4" t="s">
        <v>4194</v>
      </c>
      <c r="I1166" s="4">
        <v>156</v>
      </c>
      <c r="J1166" s="4" t="s">
        <v>23</v>
      </c>
      <c r="K1166" s="4" t="s">
        <v>24</v>
      </c>
      <c r="L1166" s="4">
        <v>12000000</v>
      </c>
      <c r="M1166" s="4">
        <v>2008</v>
      </c>
      <c r="N1166" s="4">
        <v>5.4</v>
      </c>
      <c r="O1166" s="4">
        <f ca="1">IFERROR(__xludf.DUMMYFUNCTION("IF(Cost_in_dollars!E1166=""USD"",Cost_in_dollars!B1166,Cost_in_dollars!B1166 * GOOGLEFINANCE(""CURRENCY:"" &amp; Cost_in_dollars!E1166 &amp; ""USD""))
"),12000000)</f>
        <v>12000000</v>
      </c>
      <c r="P1166" s="4">
        <f ca="1">IFERROR(__xludf.DUMMYFUNCTION("IF(Cost_in_dollars!E1166=""USD"",Cost_in_dollars!C1166,Cost_in_dollars!C1166 * GOOGLEFINANCE(""CURRENCY:"" &amp; Cost_in_dollars!E1166 &amp; ""USD""))
"),31397498)</f>
        <v>31397498</v>
      </c>
      <c r="Q1166" s="4">
        <f t="shared" ca="1" si="24"/>
        <v>19397498</v>
      </c>
      <c r="R1166" s="5" t="str">
        <f t="shared" si="25"/>
        <v>The Eye</v>
      </c>
      <c r="S1166" s="43" t="str">
        <f t="shared" si="28"/>
        <v>Horror</v>
      </c>
    </row>
    <row r="1167" spans="1:19" ht="15.75" customHeight="1" x14ac:dyDescent="0.25">
      <c r="A1167" s="6" t="s">
        <v>4195</v>
      </c>
      <c r="B1167" s="6">
        <v>119</v>
      </c>
      <c r="C1167" s="6">
        <v>1339152</v>
      </c>
      <c r="D1167" s="6" t="s">
        <v>4196</v>
      </c>
      <c r="E1167" s="6" t="s">
        <v>1410</v>
      </c>
      <c r="F1167" s="6" t="s">
        <v>4197</v>
      </c>
      <c r="G1167" s="6">
        <v>28276</v>
      </c>
      <c r="H1167" s="6" t="s">
        <v>4198</v>
      </c>
      <c r="I1167" s="6">
        <v>64</v>
      </c>
      <c r="J1167" s="6" t="s">
        <v>23</v>
      </c>
      <c r="K1167" s="6" t="s">
        <v>611</v>
      </c>
      <c r="L1167" s="6">
        <v>81200000</v>
      </c>
      <c r="M1167" s="6">
        <v>2015</v>
      </c>
      <c r="N1167" s="6">
        <v>7.8</v>
      </c>
      <c r="O1167" s="4">
        <f ca="1">IFERROR(__xludf.DUMMYFUNCTION("IF(Cost_in_dollars!E1167=""USD"",Cost_in_dollars!B1167,Cost_in_dollars!B1167 * GOOGLEFINANCE(""CURRENCY:"" &amp; Cost_in_dollars!E1167 &amp; ""USD""))
"),88080888)</f>
        <v>88080888</v>
      </c>
      <c r="P1167" s="4">
        <f ca="1">IFERROR(__xludf.DUMMYFUNCTION("IF(Cost_in_dollars!E1167=""USD"",Cost_in_dollars!C1167,Cost_in_dollars!C1167 * GOOGLEFINANCE(""CURRENCY:"" &amp; Cost_in_dollars!E1167 &amp; ""USD""))
"),1452631.74048)</f>
        <v>1452631.7404799999</v>
      </c>
      <c r="Q1167" s="6">
        <f t="shared" ca="1" si="24"/>
        <v>-86628256.259519994</v>
      </c>
      <c r="R1167" s="7" t="str">
        <f t="shared" si="25"/>
        <v>The Little Prince</v>
      </c>
      <c r="S1167" s="43" t="str">
        <f t="shared" si="28"/>
        <v>Adventure</v>
      </c>
    </row>
    <row r="1168" spans="1:19" ht="15.75" customHeight="1" x14ac:dyDescent="0.25">
      <c r="A1168" s="4" t="s">
        <v>4199</v>
      </c>
      <c r="B1168" s="4">
        <v>147</v>
      </c>
      <c r="C1168" s="4">
        <v>52937130</v>
      </c>
      <c r="D1168" s="4" t="s">
        <v>1788</v>
      </c>
      <c r="E1168" s="4" t="s">
        <v>84</v>
      </c>
      <c r="F1168" s="4" t="s">
        <v>4200</v>
      </c>
      <c r="G1168" s="4">
        <v>198066</v>
      </c>
      <c r="H1168" s="4" t="s">
        <v>4201</v>
      </c>
      <c r="I1168" s="4">
        <v>426</v>
      </c>
      <c r="J1168" s="4" t="s">
        <v>23</v>
      </c>
      <c r="K1168" s="4" t="s">
        <v>24</v>
      </c>
      <c r="L1168" s="4">
        <v>30000000</v>
      </c>
      <c r="M1168" s="4">
        <v>2001</v>
      </c>
      <c r="N1168" s="4">
        <v>7.6</v>
      </c>
      <c r="O1168" s="4">
        <f ca="1">IFERROR(__xludf.DUMMYFUNCTION("IF(Cost_in_dollars!E1168=""USD"",Cost_in_dollars!B1168,Cost_in_dollars!B1168 * GOOGLEFINANCE(""CURRENCY:"" &amp; Cost_in_dollars!E1168 &amp; ""USD""))
"),30000000)</f>
        <v>30000000</v>
      </c>
      <c r="P1168" s="4">
        <f ca="1">IFERROR(__xludf.DUMMYFUNCTION("IF(Cost_in_dollars!E1168=""USD"",Cost_in_dollars!C1168,Cost_in_dollars!C1168 * GOOGLEFINANCE(""CURRENCY:"" &amp; Cost_in_dollars!E1168 &amp; ""USD""))
"),52937130)</f>
        <v>52937130</v>
      </c>
      <c r="Q1168" s="4">
        <f t="shared" ca="1" si="24"/>
        <v>22937130</v>
      </c>
      <c r="R1168" s="5" t="str">
        <f t="shared" si="25"/>
        <v>Blow</v>
      </c>
      <c r="S1168" s="43" t="str">
        <f t="shared" si="28"/>
        <v>Biography</v>
      </c>
    </row>
    <row r="1169" spans="1:19" ht="15.75" customHeight="1" x14ac:dyDescent="0.25">
      <c r="A1169" s="6" t="s">
        <v>1907</v>
      </c>
      <c r="B1169" s="6">
        <v>433</v>
      </c>
      <c r="C1169" s="6">
        <v>126546825</v>
      </c>
      <c r="D1169" s="6" t="s">
        <v>1749</v>
      </c>
      <c r="E1169" s="6" t="s">
        <v>439</v>
      </c>
      <c r="F1169" s="6" t="s">
        <v>4202</v>
      </c>
      <c r="G1169" s="6">
        <v>327367</v>
      </c>
      <c r="H1169" s="6" t="s">
        <v>4203</v>
      </c>
      <c r="I1169" s="6">
        <v>918</v>
      </c>
      <c r="J1169" s="6" t="s">
        <v>23</v>
      </c>
      <c r="K1169" s="6" t="s">
        <v>611</v>
      </c>
      <c r="L1169" s="6">
        <v>40000000</v>
      </c>
      <c r="M1169" s="6">
        <v>2014</v>
      </c>
      <c r="N1169" s="6">
        <v>6.4</v>
      </c>
      <c r="O1169" s="4">
        <f ca="1">IFERROR(__xludf.DUMMYFUNCTION("IF(Cost_in_dollars!E1169=""USD"",Cost_in_dollars!B1169,Cost_in_dollars!B1169 * GOOGLEFINANCE(""CURRENCY:"" &amp; Cost_in_dollars!E1169 &amp; ""USD""))
"),43389600)</f>
        <v>43389600</v>
      </c>
      <c r="P1169" s="4">
        <f ca="1">IFERROR(__xludf.DUMMYFUNCTION("IF(Cost_in_dollars!E1169=""USD"",Cost_in_dollars!C1169,Cost_in_dollars!C1169 * GOOGLEFINANCE(""CURRENCY:"" &amp; Cost_in_dollars!E1169 &amp; ""USD""))
"),137270402.9505)</f>
        <v>137270402.95050001</v>
      </c>
      <c r="Q1169" s="6">
        <f t="shared" ca="1" si="24"/>
        <v>93880802.950500011</v>
      </c>
      <c r="R1169" s="7" t="str">
        <f t="shared" si="25"/>
        <v>Lucy</v>
      </c>
      <c r="S1169" s="43" t="str">
        <f t="shared" si="28"/>
        <v>Action</v>
      </c>
    </row>
    <row r="1170" spans="1:19" ht="15.75" customHeight="1" x14ac:dyDescent="0.25">
      <c r="A1170" s="4" t="s">
        <v>4204</v>
      </c>
      <c r="B1170" s="4">
        <v>79</v>
      </c>
      <c r="C1170" s="4">
        <v>34099640</v>
      </c>
      <c r="D1170" s="4" t="s">
        <v>276</v>
      </c>
      <c r="E1170" s="4" t="s">
        <v>4205</v>
      </c>
      <c r="F1170" s="4" t="s">
        <v>4206</v>
      </c>
      <c r="G1170" s="4">
        <v>16651</v>
      </c>
      <c r="H1170" s="4" t="s">
        <v>4207</v>
      </c>
      <c r="I1170" s="4">
        <v>149</v>
      </c>
      <c r="J1170" s="4" t="s">
        <v>23</v>
      </c>
      <c r="K1170" s="4" t="s">
        <v>24</v>
      </c>
      <c r="L1170" s="4">
        <v>5000000</v>
      </c>
      <c r="M1170" s="4">
        <v>2000</v>
      </c>
      <c r="N1170" s="4">
        <v>7</v>
      </c>
      <c r="O1170" s="4">
        <f ca="1">IFERROR(__xludf.DUMMYFUNCTION("IF(Cost_in_dollars!E1170=""USD"",Cost_in_dollars!B1170,Cost_in_dollars!B1170 * GOOGLEFINANCE(""CURRENCY:"" &amp; Cost_in_dollars!E1170 &amp; ""USD""))
"),5000000)</f>
        <v>5000000</v>
      </c>
      <c r="P1170" s="4">
        <f ca="1">IFERROR(__xludf.DUMMYFUNCTION("IF(Cost_in_dollars!E1170=""USD"",Cost_in_dollars!C1170,Cost_in_dollars!C1170 * GOOGLEFINANCE(""CURRENCY:"" &amp; Cost_in_dollars!E1170 &amp; ""USD""))
"),34099640)</f>
        <v>34099640</v>
      </c>
      <c r="Q1170" s="4">
        <f t="shared" ca="1" si="24"/>
        <v>29099640</v>
      </c>
      <c r="R1170" s="5" t="str">
        <f t="shared" si="25"/>
        <v>My Dog Skip</v>
      </c>
      <c r="S1170" s="43" t="str">
        <f t="shared" si="28"/>
        <v>Drama</v>
      </c>
    </row>
    <row r="1171" spans="1:19" ht="15.75" customHeight="1" x14ac:dyDescent="0.25">
      <c r="A1171" s="6" t="s">
        <v>4195</v>
      </c>
      <c r="B1171" s="6">
        <v>266</v>
      </c>
      <c r="C1171" s="6">
        <v>215395021</v>
      </c>
      <c r="D1171" s="6" t="s">
        <v>259</v>
      </c>
      <c r="E1171" s="6" t="s">
        <v>847</v>
      </c>
      <c r="F1171" s="6" t="s">
        <v>4208</v>
      </c>
      <c r="G1171" s="6">
        <v>307029</v>
      </c>
      <c r="H1171" s="6" t="s">
        <v>4209</v>
      </c>
      <c r="I1171" s="6">
        <v>360</v>
      </c>
      <c r="J1171" s="6" t="s">
        <v>23</v>
      </c>
      <c r="K1171" s="6" t="s">
        <v>24</v>
      </c>
      <c r="L1171" s="6">
        <v>130000000</v>
      </c>
      <c r="M1171" s="6">
        <v>2008</v>
      </c>
      <c r="N1171" s="6">
        <v>7.6</v>
      </c>
      <c r="O1171" s="4">
        <f ca="1">IFERROR(__xludf.DUMMYFUNCTION("IF(Cost_in_dollars!E1171=""USD"",Cost_in_dollars!B1171,Cost_in_dollars!B1171 * GOOGLEFINANCE(""CURRENCY:"" &amp; Cost_in_dollars!E1171 &amp; ""USD""))
"),130000000)</f>
        <v>130000000</v>
      </c>
      <c r="P1171" s="4">
        <f ca="1">IFERROR(__xludf.DUMMYFUNCTION("IF(Cost_in_dollars!E1171=""USD"",Cost_in_dollars!C1171,Cost_in_dollars!C1171 * GOOGLEFINANCE(""CURRENCY:"" &amp; Cost_in_dollars!E1171 &amp; ""USD""))
"),215395021)</f>
        <v>215395021</v>
      </c>
      <c r="Q1171" s="6">
        <f t="shared" ca="1" si="24"/>
        <v>85395021</v>
      </c>
      <c r="R1171" s="7" t="str">
        <f t="shared" si="25"/>
        <v>Kung Fu Panda</v>
      </c>
      <c r="S1171" s="43" t="str">
        <f t="shared" si="28"/>
        <v>Action</v>
      </c>
    </row>
    <row r="1172" spans="1:19" ht="15.75" customHeight="1" x14ac:dyDescent="0.25">
      <c r="A1172" s="4" t="s">
        <v>4210</v>
      </c>
      <c r="B1172" s="4">
        <v>408</v>
      </c>
      <c r="C1172" s="4">
        <v>51533608</v>
      </c>
      <c r="D1172" s="4" t="s">
        <v>928</v>
      </c>
      <c r="E1172" s="4" t="s">
        <v>608</v>
      </c>
      <c r="F1172" s="4" t="s">
        <v>4211</v>
      </c>
      <c r="G1172" s="4">
        <v>203111</v>
      </c>
      <c r="H1172" s="4" t="s">
        <v>4212</v>
      </c>
      <c r="I1172" s="4">
        <v>755</v>
      </c>
      <c r="J1172" s="4" t="s">
        <v>23</v>
      </c>
      <c r="K1172" s="4" t="s">
        <v>24</v>
      </c>
      <c r="L1172" s="4">
        <v>25000000</v>
      </c>
      <c r="M1172" s="4">
        <v>2011</v>
      </c>
      <c r="N1172" s="4">
        <v>6.8</v>
      </c>
      <c r="O1172" s="4">
        <f ca="1">IFERROR(__xludf.DUMMYFUNCTION("IF(Cost_in_dollars!E1172=""USD"",Cost_in_dollars!B1172,Cost_in_dollars!B1172 * GOOGLEFINANCE(""CURRENCY:"" &amp; Cost_in_dollars!E1172 &amp; ""USD""))
"),25000000)</f>
        <v>25000000</v>
      </c>
      <c r="P1172" s="4">
        <f ca="1">IFERROR(__xludf.DUMMYFUNCTION("IF(Cost_in_dollars!E1172=""USD"",Cost_in_dollars!C1172,Cost_in_dollars!C1172 * GOOGLEFINANCE(""CURRENCY:"" &amp; Cost_in_dollars!E1172 &amp; ""USD""))
"),51533608)</f>
        <v>51533608</v>
      </c>
      <c r="Q1172" s="4">
        <f t="shared" ca="1" si="24"/>
        <v>26533608</v>
      </c>
      <c r="R1172" s="5" t="str">
        <f t="shared" si="25"/>
        <v>The Grey</v>
      </c>
      <c r="S1172" s="43" t="str">
        <f t="shared" si="28"/>
        <v>Action</v>
      </c>
    </row>
    <row r="1173" spans="1:19" ht="15.75" customHeight="1" x14ac:dyDescent="0.25">
      <c r="A1173" s="6" t="s">
        <v>4213</v>
      </c>
      <c r="B1173" s="6">
        <v>190</v>
      </c>
      <c r="C1173" s="6">
        <v>25117498</v>
      </c>
      <c r="D1173" s="6" t="s">
        <v>309</v>
      </c>
      <c r="E1173" s="6" t="s">
        <v>4214</v>
      </c>
      <c r="F1173" s="6" t="s">
        <v>4215</v>
      </c>
      <c r="G1173" s="6">
        <v>37412</v>
      </c>
      <c r="H1173" s="6" t="s">
        <v>4216</v>
      </c>
      <c r="I1173" s="6">
        <v>178</v>
      </c>
      <c r="J1173" s="6" t="s">
        <v>23</v>
      </c>
      <c r="K1173" s="6" t="s">
        <v>24</v>
      </c>
      <c r="L1173" s="6">
        <v>40000000</v>
      </c>
      <c r="M1173" s="6">
        <v>2007</v>
      </c>
      <c r="N1173" s="6">
        <v>5.7</v>
      </c>
      <c r="O1173" s="4">
        <f ca="1">IFERROR(__xludf.DUMMYFUNCTION("IF(Cost_in_dollars!E1173=""USD"",Cost_in_dollars!B1173,Cost_in_dollars!B1173 * GOOGLEFINANCE(""CURRENCY:"" &amp; Cost_in_dollars!E1173 &amp; ""USD""))
"),40000000)</f>
        <v>40000000</v>
      </c>
      <c r="P1173" s="4">
        <f ca="1">IFERROR(__xludf.DUMMYFUNCTION("IF(Cost_in_dollars!E1173=""USD"",Cost_in_dollars!C1173,Cost_in_dollars!C1173 * GOOGLEFINANCE(""CURRENCY:"" &amp; Cost_in_dollars!E1173 &amp; ""USD""))
"),25117498)</f>
        <v>25117498</v>
      </c>
      <c r="Q1173" s="6">
        <f t="shared" ca="1" si="24"/>
        <v>-14882502</v>
      </c>
      <c r="R1173" s="7" t="str">
        <f t="shared" si="25"/>
        <v>The Reaping</v>
      </c>
      <c r="S1173" s="43" t="str">
        <f t="shared" si="28"/>
        <v>Horror</v>
      </c>
    </row>
    <row r="1174" spans="1:19" ht="15.75" customHeight="1" x14ac:dyDescent="0.25">
      <c r="A1174" s="4" t="s">
        <v>4217</v>
      </c>
      <c r="B1174" s="4">
        <v>43</v>
      </c>
      <c r="C1174" s="4">
        <v>226792</v>
      </c>
      <c r="D1174" s="4" t="s">
        <v>4218</v>
      </c>
      <c r="E1174" s="4" t="s">
        <v>1407</v>
      </c>
      <c r="F1174" s="4" t="s">
        <v>4219</v>
      </c>
      <c r="G1174" s="4">
        <v>3080</v>
      </c>
      <c r="H1174" s="4" t="s">
        <v>4220</v>
      </c>
      <c r="I1174" s="4">
        <v>44</v>
      </c>
      <c r="J1174" s="4" t="s">
        <v>23</v>
      </c>
      <c r="K1174" s="4" t="s">
        <v>133</v>
      </c>
      <c r="L1174" s="4">
        <v>10000000</v>
      </c>
      <c r="M1174" s="4">
        <v>2001</v>
      </c>
      <c r="N1174" s="4">
        <v>6.2</v>
      </c>
      <c r="O1174" s="4">
        <f ca="1">IFERROR(__xludf.DUMMYFUNCTION("IF(Cost_in_dollars!E1174=""USD"",Cost_in_dollars!B1174,Cost_in_dollars!B1174 * GOOGLEFINANCE(""CURRENCY:"" &amp; Cost_in_dollars!E1174 &amp; ""USD""))
"),12853999.9999999)</f>
        <v>12853999.999999899</v>
      </c>
      <c r="P1174" s="4">
        <f ca="1">IFERROR(__xludf.DUMMYFUNCTION("IF(Cost_in_dollars!E1174=""USD"",Cost_in_dollars!C1174,Cost_in_dollars!C1174 * GOOGLEFINANCE(""CURRENCY:"" &amp; Cost_in_dollars!E1174 &amp; ""USD""))
"),291518.436799999)</f>
        <v>291518.43679999898</v>
      </c>
      <c r="Q1174" s="4">
        <f t="shared" ca="1" si="24"/>
        <v>-12562481.5631999</v>
      </c>
      <c r="R1174" s="5" t="str">
        <f t="shared" si="25"/>
        <v>High Heels and Low Lifes</v>
      </c>
      <c r="S1174" s="43" t="str">
        <f t="shared" si="28"/>
        <v>Action</v>
      </c>
    </row>
    <row r="1175" spans="1:19" ht="15.75" customHeight="1" x14ac:dyDescent="0.25">
      <c r="A1175" s="6" t="s">
        <v>4221</v>
      </c>
      <c r="B1175" s="6">
        <v>119</v>
      </c>
      <c r="C1175" s="6">
        <v>183875760</v>
      </c>
      <c r="D1175" s="6" t="s">
        <v>4222</v>
      </c>
      <c r="E1175" s="6" t="s">
        <v>640</v>
      </c>
      <c r="F1175" s="6" t="s">
        <v>4223</v>
      </c>
      <c r="G1175" s="6">
        <v>213668</v>
      </c>
      <c r="H1175" s="6" t="s">
        <v>4224</v>
      </c>
      <c r="I1175" s="6">
        <v>270</v>
      </c>
      <c r="J1175" s="6" t="s">
        <v>23</v>
      </c>
      <c r="K1175" s="6" t="s">
        <v>24</v>
      </c>
      <c r="L1175" s="6">
        <v>44000000</v>
      </c>
      <c r="M1175" s="6">
        <v>1993</v>
      </c>
      <c r="N1175" s="6">
        <v>7.8</v>
      </c>
      <c r="O1175" s="4">
        <f ca="1">IFERROR(__xludf.DUMMYFUNCTION("IF(Cost_in_dollars!E1175=""USD"",Cost_in_dollars!B1175,Cost_in_dollars!B1175 * GOOGLEFINANCE(""CURRENCY:"" &amp; Cost_in_dollars!E1175 &amp; ""USD""))
"),44000000)</f>
        <v>44000000</v>
      </c>
      <c r="P1175" s="4">
        <f ca="1">IFERROR(__xludf.DUMMYFUNCTION("IF(Cost_in_dollars!E1175=""USD"",Cost_in_dollars!C1175,Cost_in_dollars!C1175 * GOOGLEFINANCE(""CURRENCY:"" &amp; Cost_in_dollars!E1175 &amp; ""USD""))
"),183875760)</f>
        <v>183875760</v>
      </c>
      <c r="Q1175" s="6">
        <f t="shared" ca="1" si="24"/>
        <v>139875760</v>
      </c>
      <c r="R1175" s="7" t="str">
        <f t="shared" si="25"/>
        <v>The Fugitive</v>
      </c>
      <c r="S1175" s="43" t="str">
        <f t="shared" si="28"/>
        <v>Action</v>
      </c>
    </row>
    <row r="1176" spans="1:19" ht="15.75" customHeight="1" x14ac:dyDescent="0.25">
      <c r="A1176" s="4" t="s">
        <v>4225</v>
      </c>
      <c r="B1176" s="4">
        <v>129</v>
      </c>
      <c r="C1176" s="4">
        <v>86300000</v>
      </c>
      <c r="D1176" s="4" t="s">
        <v>140</v>
      </c>
      <c r="E1176" s="4" t="s">
        <v>4226</v>
      </c>
      <c r="F1176" s="4" t="s">
        <v>4227</v>
      </c>
      <c r="G1176" s="4">
        <v>112671</v>
      </c>
      <c r="H1176" s="4" t="s">
        <v>4228</v>
      </c>
      <c r="I1176" s="4">
        <v>315</v>
      </c>
      <c r="J1176" s="4" t="s">
        <v>23</v>
      </c>
      <c r="K1176" s="4" t="s">
        <v>24</v>
      </c>
      <c r="L1176" s="4">
        <v>2800000</v>
      </c>
      <c r="M1176" s="4">
        <v>1974</v>
      </c>
      <c r="N1176" s="4">
        <v>8</v>
      </c>
      <c r="O1176" s="4">
        <f ca="1">IFERROR(__xludf.DUMMYFUNCTION("IF(Cost_in_dollars!E1176=""USD"",Cost_in_dollars!B1176,Cost_in_dollars!B1176 * GOOGLEFINANCE(""CURRENCY:"" &amp; Cost_in_dollars!E1176 &amp; ""USD""))
"),2800000)</f>
        <v>2800000</v>
      </c>
      <c r="P1176" s="4">
        <f ca="1">IFERROR(__xludf.DUMMYFUNCTION("IF(Cost_in_dollars!E1176=""USD"",Cost_in_dollars!C1176,Cost_in_dollars!C1176 * GOOGLEFINANCE(""CURRENCY:"" &amp; Cost_in_dollars!E1176 &amp; ""USD""))
"),86300000)</f>
        <v>86300000</v>
      </c>
      <c r="Q1176" s="4">
        <f t="shared" ca="1" si="24"/>
        <v>83500000</v>
      </c>
      <c r="R1176" s="5" t="str">
        <f t="shared" si="25"/>
        <v>Young Frankenstein</v>
      </c>
      <c r="S1176" s="43" t="str">
        <f t="shared" si="28"/>
        <v>Comedy</v>
      </c>
    </row>
    <row r="1177" spans="1:19" ht="15.75" customHeight="1" x14ac:dyDescent="0.25">
      <c r="A1177" s="6" t="s">
        <v>1959</v>
      </c>
      <c r="B1177" s="6">
        <v>248</v>
      </c>
      <c r="C1177" s="6">
        <v>20275446</v>
      </c>
      <c r="D1177" s="6" t="s">
        <v>155</v>
      </c>
      <c r="E1177" s="6" t="s">
        <v>767</v>
      </c>
      <c r="F1177" s="6" t="s">
        <v>4229</v>
      </c>
      <c r="G1177" s="6">
        <v>95274</v>
      </c>
      <c r="H1177" s="6" t="s">
        <v>4230</v>
      </c>
      <c r="I1177" s="6">
        <v>178</v>
      </c>
      <c r="J1177" s="6" t="s">
        <v>23</v>
      </c>
      <c r="K1177" s="6" t="s">
        <v>24</v>
      </c>
      <c r="L1177" s="6">
        <v>35000000</v>
      </c>
      <c r="M1177" s="6">
        <v>2012</v>
      </c>
      <c r="N1177" s="6">
        <v>6.5</v>
      </c>
      <c r="O1177" s="4">
        <f ca="1">IFERROR(__xludf.DUMMYFUNCTION("IF(Cost_in_dollars!E1177=""USD"",Cost_in_dollars!B1177,Cost_in_dollars!B1177 * GOOGLEFINANCE(""CURRENCY:"" &amp; Cost_in_dollars!E1177 &amp; ""USD""))
"),35000000)</f>
        <v>35000000</v>
      </c>
      <c r="P1177" s="4">
        <f ca="1">IFERROR(__xludf.DUMMYFUNCTION("IF(Cost_in_dollars!E1177=""USD"",Cost_in_dollars!C1177,Cost_in_dollars!C1177 * GOOGLEFINANCE(""CURRENCY:"" &amp; Cost_in_dollars!E1177 &amp; ""USD""))
"),20275446)</f>
        <v>20275446</v>
      </c>
      <c r="Q1177" s="6">
        <f t="shared" ca="1" si="24"/>
        <v>-14724554</v>
      </c>
      <c r="R1177" s="7" t="str">
        <f t="shared" si="25"/>
        <v>Premium Rush</v>
      </c>
      <c r="S1177" s="43" t="str">
        <f t="shared" si="28"/>
        <v>Action</v>
      </c>
    </row>
    <row r="1178" spans="1:19" ht="15.75" customHeight="1" x14ac:dyDescent="0.25">
      <c r="A1178" s="4" t="s">
        <v>863</v>
      </c>
      <c r="B1178" s="4">
        <v>366</v>
      </c>
      <c r="C1178" s="4">
        <v>402076689</v>
      </c>
      <c r="D1178" s="4" t="s">
        <v>188</v>
      </c>
      <c r="E1178" s="4" t="s">
        <v>4231</v>
      </c>
      <c r="F1178" s="4" t="s">
        <v>4232</v>
      </c>
      <c r="G1178" s="4">
        <v>323207</v>
      </c>
      <c r="H1178" s="4" t="s">
        <v>4233</v>
      </c>
      <c r="I1178" s="4">
        <v>1439</v>
      </c>
      <c r="J1178" s="4" t="s">
        <v>23</v>
      </c>
      <c r="K1178" s="4" t="s">
        <v>24</v>
      </c>
      <c r="L1178" s="4">
        <v>200000000</v>
      </c>
      <c r="M1178" s="4">
        <v>2009</v>
      </c>
      <c r="N1178" s="4">
        <v>6</v>
      </c>
      <c r="O1178" s="4">
        <f ca="1">IFERROR(__xludf.DUMMYFUNCTION("IF(Cost_in_dollars!E1178=""USD"",Cost_in_dollars!B1178,Cost_in_dollars!B1178 * GOOGLEFINANCE(""CURRENCY:"" &amp; Cost_in_dollars!E1178 &amp; ""USD""))
"),200000000)</f>
        <v>200000000</v>
      </c>
      <c r="P1178" s="4">
        <f ca="1">IFERROR(__xludf.DUMMYFUNCTION("IF(Cost_in_dollars!E1178=""USD"",Cost_in_dollars!C1178,Cost_in_dollars!C1178 * GOOGLEFINANCE(""CURRENCY:"" &amp; Cost_in_dollars!E1178 &amp; ""USD""))
"),402076689)</f>
        <v>402076689</v>
      </c>
      <c r="Q1178" s="4">
        <f t="shared" ca="1" si="24"/>
        <v>202076689</v>
      </c>
      <c r="R1178" s="5" t="str">
        <f t="shared" si="25"/>
        <v>Transformers: Revenge of the Fallen</v>
      </c>
      <c r="S1178" s="43" t="str">
        <f t="shared" si="28"/>
        <v>Action</v>
      </c>
    </row>
    <row r="1179" spans="1:19" ht="15.75" customHeight="1" x14ac:dyDescent="0.25">
      <c r="A1179" s="6" t="s">
        <v>4234</v>
      </c>
      <c r="B1179" s="6">
        <v>178</v>
      </c>
      <c r="C1179" s="6">
        <v>45670855</v>
      </c>
      <c r="D1179" s="6" t="s">
        <v>568</v>
      </c>
      <c r="E1179" s="6" t="s">
        <v>3477</v>
      </c>
      <c r="F1179" s="6" t="s">
        <v>4235</v>
      </c>
      <c r="G1179" s="6">
        <v>67978</v>
      </c>
      <c r="H1179" s="6" t="s">
        <v>4236</v>
      </c>
      <c r="I1179" s="6">
        <v>279</v>
      </c>
      <c r="J1179" s="6" t="s">
        <v>23</v>
      </c>
      <c r="K1179" s="6" t="s">
        <v>627</v>
      </c>
      <c r="L1179" s="6">
        <v>20000000</v>
      </c>
      <c r="M1179" s="6">
        <v>2010</v>
      </c>
      <c r="N1179" s="6">
        <v>5.6</v>
      </c>
      <c r="O1179" s="4">
        <f ca="1">IFERROR(__xludf.DUMMYFUNCTION("IF(Cost_in_dollars!E1179=""USD"",Cost_in_dollars!B1179,Cost_in_dollars!B1179 * GOOGLEFINANCE(""CURRENCY:"" &amp; Cost_in_dollars!E1179 &amp; ""USD""))
"),14468100)</f>
        <v>14468100</v>
      </c>
      <c r="P1179" s="4">
        <f ca="1">IFERROR(__xludf.DUMMYFUNCTION("IF(Cost_in_dollars!E1179=""USD"",Cost_in_dollars!C1179,Cost_in_dollars!C1179 * GOOGLEFINANCE(""CURRENCY:"" &amp; Cost_in_dollars!E1179 &amp; ""USD""))
"),33038524.861275)</f>
        <v>33038524.861274999</v>
      </c>
      <c r="Q1179" s="6">
        <f t="shared" ca="1" si="24"/>
        <v>18570424.861274999</v>
      </c>
      <c r="R1179" s="7" t="str">
        <f t="shared" si="25"/>
        <v>Saw 3D: The Final Chapter</v>
      </c>
      <c r="S1179" s="43" t="str">
        <f t="shared" si="28"/>
        <v>Horror</v>
      </c>
    </row>
    <row r="1180" spans="1:19" ht="15.75" customHeight="1" x14ac:dyDescent="0.25">
      <c r="A1180" s="4" t="s">
        <v>2421</v>
      </c>
      <c r="B1180" s="4">
        <v>46</v>
      </c>
      <c r="C1180" s="4">
        <v>5600000</v>
      </c>
      <c r="D1180" s="4" t="s">
        <v>4237</v>
      </c>
      <c r="E1180" s="4" t="s">
        <v>536</v>
      </c>
      <c r="F1180" s="4" t="s">
        <v>4238</v>
      </c>
      <c r="G1180" s="4">
        <v>11913</v>
      </c>
      <c r="H1180" s="4" t="s">
        <v>4239</v>
      </c>
      <c r="I1180" s="4">
        <v>97</v>
      </c>
      <c r="J1180" s="4" t="s">
        <v>23</v>
      </c>
      <c r="K1180" s="4" t="s">
        <v>24</v>
      </c>
      <c r="L1180" s="4">
        <v>47000000</v>
      </c>
      <c r="M1180" s="4">
        <v>1996</v>
      </c>
      <c r="N1180" s="4">
        <v>5.8</v>
      </c>
      <c r="O1180" s="4">
        <f ca="1">IFERROR(__xludf.DUMMYFUNCTION("IF(Cost_in_dollars!E1180=""USD"",Cost_in_dollars!B1180,Cost_in_dollars!B1180 * GOOGLEFINANCE(""CURRENCY:"" &amp; Cost_in_dollars!E1180 &amp; ""USD""))
"),47000000)</f>
        <v>47000000</v>
      </c>
      <c r="P1180" s="4">
        <f ca="1">IFERROR(__xludf.DUMMYFUNCTION("IF(Cost_in_dollars!E1180=""USD"",Cost_in_dollars!C1180,Cost_in_dollars!C1180 * GOOGLEFINANCE(""CURRENCY:"" &amp; Cost_in_dollars!E1180 &amp; ""USD""))
"),5600000)</f>
        <v>5600000</v>
      </c>
      <c r="Q1180" s="4">
        <f t="shared" ca="1" si="24"/>
        <v>-41400000</v>
      </c>
      <c r="R1180" s="5" t="str">
        <f t="shared" si="25"/>
        <v>Mary Reilly</v>
      </c>
      <c r="S1180" s="43" t="str">
        <f t="shared" si="28"/>
        <v>Drama</v>
      </c>
    </row>
    <row r="1181" spans="1:19" ht="15.75" customHeight="1" x14ac:dyDescent="0.25">
      <c r="A1181" s="6" t="s">
        <v>4240</v>
      </c>
      <c r="B1181" s="6">
        <v>68</v>
      </c>
      <c r="C1181" s="6">
        <v>11227940</v>
      </c>
      <c r="D1181" s="6" t="s">
        <v>4241</v>
      </c>
      <c r="E1181" s="6" t="s">
        <v>4242</v>
      </c>
      <c r="F1181" s="6" t="s">
        <v>4243</v>
      </c>
      <c r="G1181" s="6">
        <v>8367</v>
      </c>
      <c r="H1181" s="6" t="s">
        <v>4244</v>
      </c>
      <c r="I1181" s="6">
        <v>94</v>
      </c>
      <c r="J1181" s="6" t="s">
        <v>23</v>
      </c>
      <c r="K1181" s="6" t="s">
        <v>24</v>
      </c>
      <c r="L1181" s="6">
        <v>34000000</v>
      </c>
      <c r="M1181" s="6">
        <v>1999</v>
      </c>
      <c r="N1181" s="6">
        <v>5.2</v>
      </c>
      <c r="O1181" s="4">
        <f ca="1">IFERROR(__xludf.DUMMYFUNCTION("IF(Cost_in_dollars!E1181=""USD"",Cost_in_dollars!B1181,Cost_in_dollars!B1181 * GOOGLEFINANCE(""CURRENCY:"" &amp; Cost_in_dollars!E1181 &amp; ""USD""))
"),34000000)</f>
        <v>34000000</v>
      </c>
      <c r="P1181" s="4">
        <f ca="1">IFERROR(__xludf.DUMMYFUNCTION("IF(Cost_in_dollars!E1181=""USD"",Cost_in_dollars!C1181,Cost_in_dollars!C1181 * GOOGLEFINANCE(""CURRENCY:"" &amp; Cost_in_dollars!E1181 &amp; ""USD""))
"),11227940)</f>
        <v>11227940</v>
      </c>
      <c r="Q1181" s="6">
        <f t="shared" ca="1" si="24"/>
        <v>-22772060</v>
      </c>
      <c r="R1181" s="7" t="str">
        <f t="shared" si="25"/>
        <v>Chill Factor</v>
      </c>
      <c r="S1181" s="43" t="str">
        <f t="shared" si="28"/>
        <v>Action</v>
      </c>
    </row>
    <row r="1182" spans="1:19" ht="15.75" customHeight="1" x14ac:dyDescent="0.25">
      <c r="A1182" s="4" t="s">
        <v>3486</v>
      </c>
      <c r="B1182" s="4">
        <v>107</v>
      </c>
      <c r="C1182" s="4">
        <v>8535575</v>
      </c>
      <c r="D1182" s="4" t="s">
        <v>102</v>
      </c>
      <c r="E1182" s="4" t="s">
        <v>173</v>
      </c>
      <c r="F1182" s="4" t="s">
        <v>4245</v>
      </c>
      <c r="G1182" s="4">
        <v>24033</v>
      </c>
      <c r="H1182" s="4" t="s">
        <v>4246</v>
      </c>
      <c r="I1182" s="4">
        <v>152</v>
      </c>
      <c r="J1182" s="4" t="s">
        <v>23</v>
      </c>
      <c r="K1182" s="4" t="s">
        <v>24</v>
      </c>
      <c r="L1182" s="4">
        <v>30000000</v>
      </c>
      <c r="M1182" s="4">
        <v>2005</v>
      </c>
      <c r="N1182" s="4">
        <v>7</v>
      </c>
      <c r="O1182" s="4">
        <f ca="1">IFERROR(__xludf.DUMMYFUNCTION("IF(Cost_in_dollars!E1182=""USD"",Cost_in_dollars!B1182,Cost_in_dollars!B1182 * GOOGLEFINANCE(""CURRENCY:"" &amp; Cost_in_dollars!E1182 &amp; ""USD""))
"),30000000)</f>
        <v>30000000</v>
      </c>
      <c r="P1182" s="4">
        <f ca="1">IFERROR(__xludf.DUMMYFUNCTION("IF(Cost_in_dollars!E1182=""USD"",Cost_in_dollars!C1182,Cost_in_dollars!C1182 * GOOGLEFINANCE(""CURRENCY:"" &amp; Cost_in_dollars!E1182 &amp; ""USD""))
"),8535575)</f>
        <v>8535575</v>
      </c>
      <c r="Q1182" s="4">
        <f t="shared" ca="1" si="24"/>
        <v>-21464425</v>
      </c>
      <c r="R1182" s="5" t="str">
        <f t="shared" si="25"/>
        <v>An Unfinished Life</v>
      </c>
      <c r="S1182" s="43" t="str">
        <f t="shared" si="28"/>
        <v>Drama</v>
      </c>
    </row>
    <row r="1183" spans="1:19" ht="15.75" customHeight="1" x14ac:dyDescent="0.25">
      <c r="A1183" s="6" t="s">
        <v>4247</v>
      </c>
      <c r="B1183" s="6">
        <v>65</v>
      </c>
      <c r="C1183" s="6">
        <v>4734235</v>
      </c>
      <c r="D1183" s="6" t="s">
        <v>465</v>
      </c>
      <c r="E1183" s="6" t="s">
        <v>4248</v>
      </c>
      <c r="F1183" s="6" t="s">
        <v>4249</v>
      </c>
      <c r="G1183" s="6">
        <v>8217</v>
      </c>
      <c r="H1183" s="6" t="s">
        <v>4250</v>
      </c>
      <c r="I1183" s="6">
        <v>123</v>
      </c>
      <c r="J1183" s="6" t="s">
        <v>23</v>
      </c>
      <c r="K1183" s="6" t="s">
        <v>24</v>
      </c>
      <c r="L1183" s="6">
        <v>15000000</v>
      </c>
      <c r="M1183" s="6">
        <v>2000</v>
      </c>
      <c r="N1183" s="6">
        <v>6</v>
      </c>
      <c r="O1183" s="4">
        <f ca="1">IFERROR(__xludf.DUMMYFUNCTION("IF(Cost_in_dollars!E1183=""USD"",Cost_in_dollars!B1183,Cost_in_dollars!B1183 * GOOGLEFINANCE(""CURRENCY:"" &amp; Cost_in_dollars!E1183 &amp; ""USD""))
"),15000000)</f>
        <v>15000000</v>
      </c>
      <c r="P1183" s="4">
        <f ca="1">IFERROR(__xludf.DUMMYFUNCTION("IF(Cost_in_dollars!E1183=""USD"",Cost_in_dollars!C1183,Cost_in_dollars!C1183 * GOOGLEFINANCE(""CURRENCY:"" &amp; Cost_in_dollars!E1183 &amp; ""USD""))
"),4734235)</f>
        <v>4734235</v>
      </c>
      <c r="Q1183" s="6">
        <f t="shared" ca="1" si="24"/>
        <v>-10265765</v>
      </c>
      <c r="R1183" s="7" t="str">
        <f t="shared" si="25"/>
        <v>Duets</v>
      </c>
      <c r="S1183" s="43" t="str">
        <f t="shared" si="28"/>
        <v>Comedy</v>
      </c>
    </row>
    <row r="1184" spans="1:19" ht="15.75" customHeight="1" x14ac:dyDescent="0.25">
      <c r="A1184" s="4" t="s">
        <v>4251</v>
      </c>
      <c r="B1184" s="4">
        <v>119</v>
      </c>
      <c r="C1184" s="4">
        <v>6601079</v>
      </c>
      <c r="D1184" s="4" t="s">
        <v>1413</v>
      </c>
      <c r="E1184" s="4" t="s">
        <v>4252</v>
      </c>
      <c r="F1184" s="4" t="s">
        <v>4253</v>
      </c>
      <c r="G1184" s="4">
        <v>17436</v>
      </c>
      <c r="H1184" s="4" t="s">
        <v>4254</v>
      </c>
      <c r="I1184" s="4">
        <v>276</v>
      </c>
      <c r="J1184" s="4" t="s">
        <v>23</v>
      </c>
      <c r="K1184" s="4" t="s">
        <v>133</v>
      </c>
      <c r="L1184" s="4">
        <v>7000000</v>
      </c>
      <c r="M1184" s="4">
        <v>2004</v>
      </c>
      <c r="N1184" s="4">
        <v>6.2</v>
      </c>
      <c r="O1184" s="4">
        <f ca="1">IFERROR(__xludf.DUMMYFUNCTION("IF(Cost_in_dollars!E1184=""USD"",Cost_in_dollars!B1184,Cost_in_dollars!B1184 * GOOGLEFINANCE(""CURRENCY:"" &amp; Cost_in_dollars!E1184 &amp; ""USD""))
"),8997800)</f>
        <v>8997800</v>
      </c>
      <c r="P1184" s="4">
        <f ca="1">IFERROR(__xludf.DUMMYFUNCTION("IF(Cost_in_dollars!E1184=""USD"",Cost_in_dollars!C1184,Cost_in_dollars!C1184 * GOOGLEFINANCE(""CURRENCY:"" &amp; Cost_in_dollars!E1184 &amp; ""USD""))
"),8485026.9466)</f>
        <v>8485026.9465999994</v>
      </c>
      <c r="Q1184" s="4">
        <f t="shared" ca="1" si="24"/>
        <v>-512773.05340000056</v>
      </c>
      <c r="R1184" s="5" t="str">
        <f t="shared" si="25"/>
        <v>Bride &amp; Prejudice</v>
      </c>
      <c r="S1184" s="43" t="str">
        <f t="shared" si="28"/>
        <v>Comedy</v>
      </c>
    </row>
    <row r="1185" spans="1:19" ht="15.75" customHeight="1" x14ac:dyDescent="0.25">
      <c r="A1185" s="6" t="s">
        <v>4255</v>
      </c>
      <c r="B1185" s="6">
        <v>67</v>
      </c>
      <c r="C1185" s="6">
        <v>23091</v>
      </c>
      <c r="D1185" s="6" t="s">
        <v>3446</v>
      </c>
      <c r="E1185" s="6" t="s">
        <v>487</v>
      </c>
      <c r="F1185" s="6" t="s">
        <v>4256</v>
      </c>
      <c r="G1185" s="6">
        <v>5664</v>
      </c>
      <c r="H1185" s="6" t="s">
        <v>4257</v>
      </c>
      <c r="I1185" s="6">
        <v>42</v>
      </c>
      <c r="J1185" s="6" t="s">
        <v>23</v>
      </c>
      <c r="K1185" s="6" t="s">
        <v>133</v>
      </c>
      <c r="L1185" s="6">
        <v>15000000</v>
      </c>
      <c r="M1185" s="6">
        <v>2008</v>
      </c>
      <c r="N1185" s="6">
        <v>6.2</v>
      </c>
      <c r="O1185" s="4">
        <f ca="1">IFERROR(__xludf.DUMMYFUNCTION("IF(Cost_in_dollars!E1185=""USD"",Cost_in_dollars!B1185,Cost_in_dollars!B1185 * GOOGLEFINANCE(""CURRENCY:"" &amp; Cost_in_dollars!E1185 &amp; ""USD""))
"),19281000)</f>
        <v>19281000</v>
      </c>
      <c r="P1185" s="4">
        <f ca="1">IFERROR(__xludf.DUMMYFUNCTION("IF(Cost_in_dollars!E1185=""USD"",Cost_in_dollars!C1185,Cost_in_dollars!C1185 * GOOGLEFINANCE(""CURRENCY:"" &amp; Cost_in_dollars!E1185 &amp; ""USD""))
"),29681.1713999999)</f>
        <v>29681.171399999901</v>
      </c>
      <c r="Q1185" s="6">
        <f t="shared" ca="1" si="24"/>
        <v>-19251318.828600001</v>
      </c>
      <c r="R1185" s="7" t="str">
        <f t="shared" si="25"/>
        <v>Good</v>
      </c>
      <c r="S1185" s="43" t="str">
        <f t="shared" si="28"/>
        <v>Drama</v>
      </c>
    </row>
    <row r="1186" spans="1:19" ht="15.75" customHeight="1" x14ac:dyDescent="0.25">
      <c r="A1186" s="4" t="s">
        <v>1755</v>
      </c>
      <c r="B1186" s="4">
        <v>278</v>
      </c>
      <c r="C1186" s="4">
        <v>23089926</v>
      </c>
      <c r="D1186" s="4" t="s">
        <v>1868</v>
      </c>
      <c r="E1186" s="4" t="s">
        <v>439</v>
      </c>
      <c r="F1186" s="4" t="s">
        <v>4258</v>
      </c>
      <c r="G1186" s="4">
        <v>166269</v>
      </c>
      <c r="H1186" s="4" t="s">
        <v>4259</v>
      </c>
      <c r="I1186" s="4">
        <v>735</v>
      </c>
      <c r="J1186" s="4" t="s">
        <v>23</v>
      </c>
      <c r="K1186" s="4" t="s">
        <v>133</v>
      </c>
      <c r="L1186" s="4">
        <v>15000000</v>
      </c>
      <c r="M1186" s="4">
        <v>2005</v>
      </c>
      <c r="N1186" s="4">
        <v>7.7</v>
      </c>
      <c r="O1186" s="4">
        <f ca="1">IFERROR(__xludf.DUMMYFUNCTION("IF(Cost_in_dollars!E1186=""USD"",Cost_in_dollars!B1186,Cost_in_dollars!B1186 * GOOGLEFINANCE(""CURRENCY:"" &amp; Cost_in_dollars!E1186 &amp; ""USD""))
"),19281000)</f>
        <v>19281000</v>
      </c>
      <c r="P1186" s="4">
        <f ca="1">IFERROR(__xludf.DUMMYFUNCTION("IF(Cost_in_dollars!E1186=""USD"",Cost_in_dollars!C1186,Cost_in_dollars!C1186 * GOOGLEFINANCE(""CURRENCY:"" &amp; Cost_in_dollars!E1186 &amp; ""USD""))
"),29679790.8804)</f>
        <v>29679790.880399998</v>
      </c>
      <c r="Q1186" s="4">
        <f t="shared" ca="1" si="24"/>
        <v>10398790.880399998</v>
      </c>
      <c r="R1186" s="5" t="str">
        <f t="shared" si="25"/>
        <v>Match Point</v>
      </c>
      <c r="S1186" s="43" t="str">
        <f t="shared" si="28"/>
        <v>Drama</v>
      </c>
    </row>
    <row r="1187" spans="1:19" ht="15.75" customHeight="1" x14ac:dyDescent="0.25">
      <c r="A1187" s="6" t="s">
        <v>4260</v>
      </c>
      <c r="B1187" s="6">
        <v>129</v>
      </c>
      <c r="C1187" s="6">
        <v>60507228</v>
      </c>
      <c r="D1187" s="6" t="s">
        <v>4261</v>
      </c>
      <c r="E1187" s="6" t="s">
        <v>4262</v>
      </c>
      <c r="F1187" s="6" t="s">
        <v>4263</v>
      </c>
      <c r="G1187" s="6">
        <v>27543</v>
      </c>
      <c r="H1187" s="6" t="s">
        <v>4264</v>
      </c>
      <c r="I1187" s="6">
        <v>186</v>
      </c>
      <c r="J1187" s="6" t="s">
        <v>23</v>
      </c>
      <c r="K1187" s="6" t="s">
        <v>24</v>
      </c>
      <c r="L1187" s="6">
        <v>80000000</v>
      </c>
      <c r="M1187" s="6">
        <v>1999</v>
      </c>
      <c r="N1187" s="6">
        <v>7.3</v>
      </c>
      <c r="O1187" s="4">
        <f ca="1">IFERROR(__xludf.DUMMYFUNCTION("IF(Cost_in_dollars!E1187=""USD"",Cost_in_dollars!B1187,Cost_in_dollars!B1187 * GOOGLEFINANCE(""CURRENCY:"" &amp; Cost_in_dollars!E1187 &amp; ""USD""))
"),80000000)</f>
        <v>80000000</v>
      </c>
      <c r="P1187" s="4">
        <f ca="1">IFERROR(__xludf.DUMMYFUNCTION("IF(Cost_in_dollars!E1187=""USD"",Cost_in_dollars!C1187,Cost_in_dollars!C1187 * GOOGLEFINANCE(""CURRENCY:"" &amp; Cost_in_dollars!E1187 &amp; ""USD""))
"),60507228)</f>
        <v>60507228</v>
      </c>
      <c r="Q1187" s="6">
        <f t="shared" ca="1" si="24"/>
        <v>-19492772</v>
      </c>
      <c r="R1187" s="7" t="str">
        <f t="shared" si="25"/>
        <v>Fantasia 2000</v>
      </c>
      <c r="S1187" s="43" t="str">
        <f t="shared" si="28"/>
        <v>Animation</v>
      </c>
    </row>
    <row r="1188" spans="1:19" ht="15.75" customHeight="1" x14ac:dyDescent="0.25">
      <c r="A1188" s="4" t="s">
        <v>508</v>
      </c>
      <c r="B1188" s="4">
        <v>486</v>
      </c>
      <c r="C1188" s="4">
        <v>318298180</v>
      </c>
      <c r="D1188" s="4" t="s">
        <v>188</v>
      </c>
      <c r="E1188" s="4" t="s">
        <v>330</v>
      </c>
      <c r="F1188" s="4" t="s">
        <v>4265</v>
      </c>
      <c r="G1188" s="4">
        <v>696338</v>
      </c>
      <c r="H1188" s="4" t="s">
        <v>4266</v>
      </c>
      <c r="I1188" s="4">
        <v>1055</v>
      </c>
      <c r="J1188" s="4" t="s">
        <v>23</v>
      </c>
      <c r="K1188" s="4" t="s">
        <v>24</v>
      </c>
      <c r="L1188" s="4">
        <v>140000000</v>
      </c>
      <c r="M1188" s="4">
        <v>2008</v>
      </c>
      <c r="N1188" s="4">
        <v>7.9</v>
      </c>
      <c r="O1188" s="4">
        <f ca="1">IFERROR(__xludf.DUMMYFUNCTION("IF(Cost_in_dollars!E1188=""USD"",Cost_in_dollars!B1188,Cost_in_dollars!B1188 * GOOGLEFINANCE(""CURRENCY:"" &amp; Cost_in_dollars!E1188 &amp; ""USD""))
"),140000000)</f>
        <v>140000000</v>
      </c>
      <c r="P1188" s="4">
        <f ca="1">IFERROR(__xludf.DUMMYFUNCTION("IF(Cost_in_dollars!E1188=""USD"",Cost_in_dollars!C1188,Cost_in_dollars!C1188 * GOOGLEFINANCE(""CURRENCY:"" &amp; Cost_in_dollars!E1188 &amp; ""USD""))
"),318298180)</f>
        <v>318298180</v>
      </c>
      <c r="Q1188" s="4">
        <f t="shared" ca="1" si="24"/>
        <v>178298180</v>
      </c>
      <c r="R1188" s="5" t="str">
        <f t="shared" si="25"/>
        <v>Iron Man</v>
      </c>
      <c r="S1188" s="43" t="str">
        <f t="shared" si="28"/>
        <v>Action</v>
      </c>
    </row>
    <row r="1189" spans="1:19" ht="15.75" customHeight="1" x14ac:dyDescent="0.25">
      <c r="A1189" s="6" t="s">
        <v>308</v>
      </c>
      <c r="B1189" s="6">
        <v>280</v>
      </c>
      <c r="C1189" s="6">
        <v>131564731</v>
      </c>
      <c r="D1189" s="6" t="s">
        <v>351</v>
      </c>
      <c r="E1189" s="6" t="s">
        <v>4267</v>
      </c>
      <c r="F1189" s="6" t="s">
        <v>4268</v>
      </c>
      <c r="G1189" s="6">
        <v>118951</v>
      </c>
      <c r="H1189" s="6" t="s">
        <v>4269</v>
      </c>
      <c r="I1189" s="6">
        <v>1382</v>
      </c>
      <c r="J1189" s="6" t="s">
        <v>23</v>
      </c>
      <c r="K1189" s="6" t="s">
        <v>24</v>
      </c>
      <c r="L1189" s="6">
        <v>150000000</v>
      </c>
      <c r="M1189" s="6">
        <v>2010</v>
      </c>
      <c r="N1189" s="6">
        <v>4.2</v>
      </c>
      <c r="O1189" s="4">
        <f ca="1">IFERROR(__xludf.DUMMYFUNCTION("IF(Cost_in_dollars!E1189=""USD"",Cost_in_dollars!B1189,Cost_in_dollars!B1189 * GOOGLEFINANCE(""CURRENCY:"" &amp; Cost_in_dollars!E1189 &amp; ""USD""))
"),150000000)</f>
        <v>150000000</v>
      </c>
      <c r="P1189" s="4">
        <f ca="1">IFERROR(__xludf.DUMMYFUNCTION("IF(Cost_in_dollars!E1189=""USD"",Cost_in_dollars!C1189,Cost_in_dollars!C1189 * GOOGLEFINANCE(""CURRENCY:"" &amp; Cost_in_dollars!E1189 &amp; ""USD""))
"),131564731)</f>
        <v>131564731</v>
      </c>
      <c r="Q1189" s="6">
        <f t="shared" ca="1" si="24"/>
        <v>-18435269</v>
      </c>
      <c r="R1189" s="7" t="str">
        <f t="shared" si="25"/>
        <v>The Last Airbender</v>
      </c>
      <c r="S1189" s="43" t="str">
        <f t="shared" si="28"/>
        <v>Action</v>
      </c>
    </row>
    <row r="1190" spans="1:19" ht="15.75" customHeight="1" x14ac:dyDescent="0.25">
      <c r="A1190" s="4" t="s">
        <v>4270</v>
      </c>
      <c r="B1190" s="4">
        <v>389</v>
      </c>
      <c r="C1190" s="4">
        <v>1738692</v>
      </c>
      <c r="D1190" s="4" t="s">
        <v>372</v>
      </c>
      <c r="E1190" s="4" t="s">
        <v>529</v>
      </c>
      <c r="F1190" s="4" t="s">
        <v>4271</v>
      </c>
      <c r="G1190" s="4">
        <v>95529</v>
      </c>
      <c r="H1190" s="4" t="s">
        <v>4272</v>
      </c>
      <c r="I1190" s="4">
        <v>301</v>
      </c>
      <c r="J1190" s="4" t="s">
        <v>23</v>
      </c>
      <c r="K1190" s="4" t="s">
        <v>133</v>
      </c>
      <c r="L1190" s="4">
        <v>7000000</v>
      </c>
      <c r="M1190" s="4">
        <v>2011</v>
      </c>
      <c r="N1190" s="4">
        <v>7.5</v>
      </c>
      <c r="O1190" s="4">
        <f ca="1">IFERROR(__xludf.DUMMYFUNCTION("IF(Cost_in_dollars!E1190=""USD"",Cost_in_dollars!B1190,Cost_in_dollars!B1190 * GOOGLEFINANCE(""CURRENCY:"" &amp; Cost_in_dollars!E1190 &amp; ""USD""))
"),8997800)</f>
        <v>8997800</v>
      </c>
      <c r="P1190" s="4">
        <f ca="1">IFERROR(__xludf.DUMMYFUNCTION("IF(Cost_in_dollars!E1190=""USD"",Cost_in_dollars!C1190,Cost_in_dollars!C1190 * GOOGLEFINANCE(""CURRENCY:"" &amp; Cost_in_dollars!E1190 &amp; ""USD""))
"),2234914.69679999)</f>
        <v>2234914.6967999898</v>
      </c>
      <c r="Q1190" s="4">
        <f t="shared" ca="1" si="24"/>
        <v>-6762885.3032000102</v>
      </c>
      <c r="R1190" s="5" t="str">
        <f t="shared" si="25"/>
        <v>We Need to Talk About Kevin</v>
      </c>
      <c r="S1190" s="43" t="str">
        <f t="shared" si="28"/>
        <v>Drama</v>
      </c>
    </row>
    <row r="1191" spans="1:19" ht="15.75" customHeight="1" x14ac:dyDescent="0.25">
      <c r="A1191" s="6" t="s">
        <v>4273</v>
      </c>
      <c r="B1191" s="6">
        <v>98</v>
      </c>
      <c r="C1191" s="6">
        <v>1647780</v>
      </c>
      <c r="D1191" s="6" t="s">
        <v>102</v>
      </c>
      <c r="E1191" s="6" t="s">
        <v>4274</v>
      </c>
      <c r="F1191" s="6" t="s">
        <v>4275</v>
      </c>
      <c r="G1191" s="6">
        <v>65951</v>
      </c>
      <c r="H1191" s="6" t="s">
        <v>4276</v>
      </c>
      <c r="I1191" s="6">
        <v>258</v>
      </c>
      <c r="J1191" s="6" t="s">
        <v>4277</v>
      </c>
      <c r="K1191" s="6" t="s">
        <v>4041</v>
      </c>
      <c r="L1191" s="6">
        <v>1300000</v>
      </c>
      <c r="M1191" s="6">
        <v>1998</v>
      </c>
      <c r="N1191" s="6">
        <v>8.1</v>
      </c>
      <c r="O1191" s="4">
        <f ca="1">IFERROR(__xludf.DUMMYFUNCTION("IF(Cost_in_dollars!E1191=""USD"",Cost_in_dollars!B1191,Cost_in_dollars!B1191 * GOOGLEFINANCE(""CURRENCY:"" &amp; Cost_in_dollars!E1191 &amp; ""USD""))
"),188945.249999999)</f>
        <v>188945.24999999901</v>
      </c>
      <c r="P1191" s="4">
        <f ca="1">IFERROR(__xludf.DUMMYFUNCTION("IF(Cost_in_dollars!E1191=""USD"",Cost_in_dollars!C1191,Cost_in_dollars!C1191 * GOOGLEFINANCE(""CURRENCY:"" &amp; Cost_in_dollars!E1191 &amp; ""USD""))
"),239492.464649999)</f>
        <v>239492.46464999899</v>
      </c>
      <c r="Q1191" s="6">
        <f t="shared" ca="1" si="24"/>
        <v>50547.21464999998</v>
      </c>
      <c r="R1191" s="7" t="str">
        <f t="shared" si="25"/>
        <v>The Celebration</v>
      </c>
      <c r="S1191" s="43" t="str">
        <f t="shared" si="28"/>
        <v>Drama</v>
      </c>
    </row>
    <row r="1192" spans="1:19" ht="15.75" customHeight="1" x14ac:dyDescent="0.25">
      <c r="A1192" s="4" t="s">
        <v>4278</v>
      </c>
      <c r="B1192" s="4">
        <v>234</v>
      </c>
      <c r="C1192" s="4">
        <v>47456450</v>
      </c>
      <c r="D1192" s="4" t="s">
        <v>178</v>
      </c>
      <c r="E1192" s="4" t="s">
        <v>865</v>
      </c>
      <c r="F1192" s="4" t="s">
        <v>4279</v>
      </c>
      <c r="G1192" s="4">
        <v>101386</v>
      </c>
      <c r="H1192" s="4" t="s">
        <v>4280</v>
      </c>
      <c r="I1192" s="4">
        <v>289</v>
      </c>
      <c r="J1192" s="4" t="s">
        <v>23</v>
      </c>
      <c r="K1192" s="4" t="s">
        <v>24</v>
      </c>
      <c r="L1192" s="4">
        <v>70000000</v>
      </c>
      <c r="M1192" s="4">
        <v>2007</v>
      </c>
      <c r="N1192" s="4">
        <v>7.1</v>
      </c>
      <c r="O1192" s="4">
        <f ca="1">IFERROR(__xludf.DUMMYFUNCTION("IF(Cost_in_dollars!E1192=""USD"",Cost_in_dollars!B1192,Cost_in_dollars!B1192 * GOOGLEFINANCE(""CURRENCY:"" &amp; Cost_in_dollars!E1192 &amp; ""USD""))
"),70000000)</f>
        <v>70000000</v>
      </c>
      <c r="P1192" s="4">
        <f ca="1">IFERROR(__xludf.DUMMYFUNCTION("IF(Cost_in_dollars!E1192=""USD"",Cost_in_dollars!C1192,Cost_in_dollars!C1192 * GOOGLEFINANCE(""CURRENCY:"" &amp; Cost_in_dollars!E1192 &amp; ""USD""))
"),47456450)</f>
        <v>47456450</v>
      </c>
      <c r="Q1192" s="4">
        <f t="shared" ca="1" si="24"/>
        <v>-22543550</v>
      </c>
      <c r="R1192" s="5" t="str">
        <f t="shared" si="25"/>
        <v>The Kingdom</v>
      </c>
      <c r="S1192" s="43" t="str">
        <f t="shared" si="28"/>
        <v>Action</v>
      </c>
    </row>
    <row r="1193" spans="1:19" ht="15.75" customHeight="1" x14ac:dyDescent="0.25">
      <c r="A1193" s="6" t="s">
        <v>4281</v>
      </c>
      <c r="B1193" s="6">
        <v>116</v>
      </c>
      <c r="C1193" s="6">
        <v>6002756</v>
      </c>
      <c r="D1193" s="6" t="s">
        <v>1127</v>
      </c>
      <c r="E1193" s="6" t="s">
        <v>833</v>
      </c>
      <c r="F1193" s="6" t="s">
        <v>4282</v>
      </c>
      <c r="G1193" s="6">
        <v>24997</v>
      </c>
      <c r="H1193" s="6" t="s">
        <v>4283</v>
      </c>
      <c r="I1193" s="6">
        <v>75</v>
      </c>
      <c r="J1193" s="6" t="s">
        <v>23</v>
      </c>
      <c r="K1193" s="6" t="s">
        <v>24</v>
      </c>
      <c r="L1193" s="6">
        <v>20000000</v>
      </c>
      <c r="M1193" s="6">
        <v>2012</v>
      </c>
      <c r="N1193" s="6">
        <v>7.2</v>
      </c>
      <c r="O1193" s="4">
        <f ca="1">IFERROR(__xludf.DUMMYFUNCTION("IF(Cost_in_dollars!E1193=""USD"",Cost_in_dollars!B1193,Cost_in_dollars!B1193 * GOOGLEFINANCE(""CURRENCY:"" &amp; Cost_in_dollars!E1193 &amp; ""USD""))
"),20000000)</f>
        <v>20000000</v>
      </c>
      <c r="P1193" s="4">
        <f ca="1">IFERROR(__xludf.DUMMYFUNCTION("IF(Cost_in_dollars!E1193=""USD"",Cost_in_dollars!C1193,Cost_in_dollars!C1193 * GOOGLEFINANCE(""CURRENCY:"" &amp; Cost_in_dollars!E1193 &amp; ""USD""))
"),6002756)</f>
        <v>6002756</v>
      </c>
      <c r="Q1193" s="6">
        <f t="shared" ca="1" si="24"/>
        <v>-13997244</v>
      </c>
      <c r="R1193" s="7" t="str">
        <f t="shared" si="25"/>
        <v>Chasing Mavericks</v>
      </c>
      <c r="S1193" s="43" t="str">
        <f t="shared" si="28"/>
        <v>Biography</v>
      </c>
    </row>
    <row r="1194" spans="1:19" ht="15.75" customHeight="1" x14ac:dyDescent="0.25">
      <c r="A1194" s="4" t="s">
        <v>875</v>
      </c>
      <c r="B1194" s="4">
        <v>292</v>
      </c>
      <c r="C1194" s="4">
        <v>2222647</v>
      </c>
      <c r="D1194" s="4" t="s">
        <v>78</v>
      </c>
      <c r="E1194" s="4" t="s">
        <v>4284</v>
      </c>
      <c r="F1194" s="4" t="s">
        <v>4285</v>
      </c>
      <c r="G1194" s="4">
        <v>52958</v>
      </c>
      <c r="H1194" s="4" t="s">
        <v>4286</v>
      </c>
      <c r="I1194" s="4">
        <v>193</v>
      </c>
      <c r="J1194" s="4" t="s">
        <v>1045</v>
      </c>
      <c r="K1194" s="4" t="s">
        <v>176</v>
      </c>
      <c r="L1194" s="4">
        <v>12000000</v>
      </c>
      <c r="M1194" s="4">
        <v>2009</v>
      </c>
      <c r="N1194" s="4">
        <v>7.8</v>
      </c>
      <c r="O1194" s="4">
        <f ca="1">IFERROR(__xludf.DUMMYFUNCTION("IF(Cost_in_dollars!E1194=""USD"",Cost_in_dollars!B1194,Cost_in_dollars!B1194 * GOOGLEFINANCE(""CURRENCY:"" &amp; Cost_in_dollars!E1194 &amp; ""USD""))
"),13016880)</f>
        <v>13016880</v>
      </c>
      <c r="P1194" s="4">
        <f ca="1">IFERROR(__xludf.DUMMYFUNCTION("IF(Cost_in_dollars!E1194=""USD"",Cost_in_dollars!C1194,Cost_in_dollars!C1194 * GOOGLEFINANCE(""CURRENCY:"" &amp; Cost_in_dollars!E1194 &amp; ""USD""))
"),2410994.10678)</f>
        <v>2410994.10678</v>
      </c>
      <c r="Q1194" s="4">
        <f t="shared" ca="1" si="24"/>
        <v>-10605885.89322</v>
      </c>
      <c r="R1194" s="5" t="str">
        <f t="shared" si="25"/>
        <v>The White Ribbon</v>
      </c>
      <c r="S1194" s="43" t="str">
        <f t="shared" si="28"/>
        <v>Drama</v>
      </c>
    </row>
    <row r="1195" spans="1:19" ht="15.75" customHeight="1" x14ac:dyDescent="0.25">
      <c r="A1195" s="6" t="s">
        <v>4287</v>
      </c>
      <c r="B1195" s="6">
        <v>272</v>
      </c>
      <c r="C1195" s="6">
        <v>703002</v>
      </c>
      <c r="D1195" s="6" t="s">
        <v>4288</v>
      </c>
      <c r="E1195" s="6" t="s">
        <v>3886</v>
      </c>
      <c r="F1195" s="6" t="s">
        <v>4289</v>
      </c>
      <c r="G1195" s="6">
        <v>37495</v>
      </c>
      <c r="H1195" s="6" t="s">
        <v>4290</v>
      </c>
      <c r="I1195" s="6">
        <v>230</v>
      </c>
      <c r="J1195" s="6" t="s">
        <v>23</v>
      </c>
      <c r="K1195" s="6" t="s">
        <v>627</v>
      </c>
      <c r="L1195" s="6">
        <v>3000000</v>
      </c>
      <c r="M1195" s="6">
        <v>2011</v>
      </c>
      <c r="N1195" s="6">
        <v>6.1</v>
      </c>
      <c r="O1195" s="4">
        <f ca="1">IFERROR(__xludf.DUMMYFUNCTION("IF(Cost_in_dollars!E1195=""USD"",Cost_in_dollars!B1195,Cost_in_dollars!B1195 * GOOGLEFINANCE(""CURRENCY:"" &amp; Cost_in_dollars!E1195 &amp; ""USD""))
"),2170215)</f>
        <v>2170215</v>
      </c>
      <c r="P1195" s="4">
        <f ca="1">IFERROR(__xludf.DUMMYFUNCTION("IF(Cost_in_dollars!E1195=""USD"",Cost_in_dollars!C1195,Cost_in_dollars!C1195 * GOOGLEFINANCE(""CURRENCY:"" &amp; Cost_in_dollars!E1195 &amp; ""USD""))
"),508555.161809999)</f>
        <v>508555.16180999897</v>
      </c>
      <c r="Q1195" s="6">
        <f t="shared" ca="1" si="24"/>
        <v>-1661659.838190001</v>
      </c>
      <c r="R1195" s="7" t="str">
        <f t="shared" si="25"/>
        <v>Hobo with a Shotgun</v>
      </c>
      <c r="S1195" s="43" t="str">
        <f t="shared" si="28"/>
        <v>Action</v>
      </c>
    </row>
    <row r="1196" spans="1:19" ht="15.75" customHeight="1" x14ac:dyDescent="0.25">
      <c r="A1196" s="4" t="s">
        <v>1401</v>
      </c>
      <c r="B1196" s="4">
        <v>122</v>
      </c>
      <c r="C1196" s="4">
        <v>36874745</v>
      </c>
      <c r="D1196" s="4" t="s">
        <v>4291</v>
      </c>
      <c r="E1196" s="4" t="s">
        <v>4292</v>
      </c>
      <c r="F1196" s="4" t="s">
        <v>4293</v>
      </c>
      <c r="G1196" s="4">
        <v>12276</v>
      </c>
      <c r="H1196" s="4" t="s">
        <v>4294</v>
      </c>
      <c r="I1196" s="4">
        <v>117</v>
      </c>
      <c r="J1196" s="4" t="s">
        <v>23</v>
      </c>
      <c r="K1196" s="4" t="s">
        <v>24</v>
      </c>
      <c r="L1196" s="4">
        <v>20000000</v>
      </c>
      <c r="M1196" s="4">
        <v>2016</v>
      </c>
      <c r="N1196" s="4">
        <v>6.3</v>
      </c>
      <c r="O1196" s="4">
        <f ca="1">IFERROR(__xludf.DUMMYFUNCTION("IF(Cost_in_dollars!E1196=""USD"",Cost_in_dollars!B1196,Cost_in_dollars!B1196 * GOOGLEFINANCE(""CURRENCY:"" &amp; Cost_in_dollars!E1196 &amp; ""USD""))
"),20000000)</f>
        <v>20000000</v>
      </c>
      <c r="P1196" s="4">
        <f ca="1">IFERROR(__xludf.DUMMYFUNCTION("IF(Cost_in_dollars!E1196=""USD"",Cost_in_dollars!C1196,Cost_in_dollars!C1196 * GOOGLEFINANCE(""CURRENCY:"" &amp; Cost_in_dollars!E1196 &amp; ""USD""))
"),36874745)</f>
        <v>36874745</v>
      </c>
      <c r="Q1196" s="4">
        <f t="shared" ca="1" si="24"/>
        <v>16874745</v>
      </c>
      <c r="R1196" s="5" t="str">
        <f t="shared" si="25"/>
        <v>Risen</v>
      </c>
      <c r="S1196" s="43" t="str">
        <f t="shared" si="28"/>
        <v>Action</v>
      </c>
    </row>
    <row r="1197" spans="1:19" ht="15.75" customHeight="1" x14ac:dyDescent="0.25">
      <c r="A1197" s="6" t="s">
        <v>2421</v>
      </c>
      <c r="B1197" s="6">
        <v>280</v>
      </c>
      <c r="C1197" s="6">
        <v>56437947</v>
      </c>
      <c r="D1197" s="6" t="s">
        <v>362</v>
      </c>
      <c r="E1197" s="6" t="s">
        <v>4295</v>
      </c>
      <c r="F1197" s="6" t="s">
        <v>4296</v>
      </c>
      <c r="G1197" s="6">
        <v>85333</v>
      </c>
      <c r="H1197" s="6" t="s">
        <v>4297</v>
      </c>
      <c r="I1197" s="6">
        <v>421</v>
      </c>
      <c r="J1197" s="6" t="s">
        <v>23</v>
      </c>
      <c r="K1197" s="6" t="s">
        <v>133</v>
      </c>
      <c r="L1197" s="6">
        <v>9800000</v>
      </c>
      <c r="M1197" s="6">
        <v>2006</v>
      </c>
      <c r="N1197" s="6">
        <v>7.3</v>
      </c>
      <c r="O1197" s="4">
        <f ca="1">IFERROR(__xludf.DUMMYFUNCTION("IF(Cost_in_dollars!E1197=""USD"",Cost_in_dollars!B1197,Cost_in_dollars!B1197 * GOOGLEFINANCE(""CURRENCY:"" &amp; Cost_in_dollars!E1197 &amp; ""USD""))
"),12596919.9999999)</f>
        <v>12596919.999999899</v>
      </c>
      <c r="P1197" s="4">
        <f ca="1">IFERROR(__xludf.DUMMYFUNCTION("IF(Cost_in_dollars!E1197=""USD"",Cost_in_dollars!C1197,Cost_in_dollars!C1197 * GOOGLEFINANCE(""CURRENCY:"" &amp; Cost_in_dollars!E1197 &amp; ""USD""))
"),72545337.0738)</f>
        <v>72545337.073799998</v>
      </c>
      <c r="Q1197" s="6">
        <f t="shared" ca="1" si="24"/>
        <v>59948417.073800102</v>
      </c>
      <c r="R1197" s="7" t="str">
        <f t="shared" si="25"/>
        <v>The Queen</v>
      </c>
      <c r="S1197" s="43" t="str">
        <f t="shared" si="28"/>
        <v>Biography</v>
      </c>
    </row>
    <row r="1198" spans="1:19" ht="15.75" customHeight="1" x14ac:dyDescent="0.25">
      <c r="A1198" s="4" t="s">
        <v>4298</v>
      </c>
      <c r="B1198" s="4">
        <v>517</v>
      </c>
      <c r="C1198" s="4">
        <v>180191634</v>
      </c>
      <c r="D1198" s="4" t="s">
        <v>1397</v>
      </c>
      <c r="E1198" s="4" t="s">
        <v>645</v>
      </c>
      <c r="F1198" s="4" t="s">
        <v>4299</v>
      </c>
      <c r="G1198" s="4">
        <v>313866</v>
      </c>
      <c r="H1198" s="4" t="s">
        <v>4300</v>
      </c>
      <c r="I1198" s="4">
        <v>549</v>
      </c>
      <c r="J1198" s="4" t="s">
        <v>23</v>
      </c>
      <c r="K1198" s="4" t="s">
        <v>24</v>
      </c>
      <c r="L1198" s="4">
        <v>130000000</v>
      </c>
      <c r="M1198" s="4">
        <v>2015</v>
      </c>
      <c r="N1198" s="4">
        <v>7.4</v>
      </c>
      <c r="O1198" s="4">
        <f ca="1">IFERROR(__xludf.DUMMYFUNCTION("IF(Cost_in_dollars!E1198=""USD"",Cost_in_dollars!B1198,Cost_in_dollars!B1198 * GOOGLEFINANCE(""CURRENCY:"" &amp; Cost_in_dollars!E1198 &amp; ""USD""))
"),130000000)</f>
        <v>130000000</v>
      </c>
      <c r="P1198" s="4">
        <f ca="1">IFERROR(__xludf.DUMMYFUNCTION("IF(Cost_in_dollars!E1198=""USD"",Cost_in_dollars!C1198,Cost_in_dollars!C1198 * GOOGLEFINANCE(""CURRENCY:"" &amp; Cost_in_dollars!E1198 &amp; ""USD""))
"),180191634)</f>
        <v>180191634</v>
      </c>
      <c r="Q1198" s="4">
        <f t="shared" ca="1" si="24"/>
        <v>50191634</v>
      </c>
      <c r="R1198" s="5" t="str">
        <f t="shared" si="25"/>
        <v>Ant-Man</v>
      </c>
      <c r="S1198" s="43" t="str">
        <f t="shared" si="28"/>
        <v>Action</v>
      </c>
    </row>
    <row r="1199" spans="1:19" ht="15.75" customHeight="1" x14ac:dyDescent="0.25">
      <c r="A1199" s="6" t="s">
        <v>3548</v>
      </c>
      <c r="B1199" s="6">
        <v>69</v>
      </c>
      <c r="C1199" s="6">
        <v>51431160</v>
      </c>
      <c r="D1199" s="6" t="s">
        <v>292</v>
      </c>
      <c r="E1199" s="6" t="s">
        <v>4301</v>
      </c>
      <c r="F1199" s="6" t="s">
        <v>4302</v>
      </c>
      <c r="G1199" s="6">
        <v>62861</v>
      </c>
      <c r="H1199" s="6" t="s">
        <v>4303</v>
      </c>
      <c r="I1199" s="6">
        <v>232</v>
      </c>
      <c r="J1199" s="6" t="s">
        <v>23</v>
      </c>
      <c r="K1199" s="6" t="s">
        <v>24</v>
      </c>
      <c r="L1199" s="6">
        <v>20000000</v>
      </c>
      <c r="M1199" s="6">
        <v>2004</v>
      </c>
      <c r="N1199" s="6">
        <v>5.9</v>
      </c>
      <c r="O1199" s="4">
        <f ca="1">IFERROR(__xludf.DUMMYFUNCTION("IF(Cost_in_dollars!E1199=""USD"",Cost_in_dollars!B1199,Cost_in_dollars!B1199 * GOOGLEFINANCE(""CURRENCY:"" &amp; Cost_in_dollars!E1199 &amp; ""USD""))
"),20000000)</f>
        <v>20000000</v>
      </c>
      <c r="P1199" s="4">
        <f ca="1">IFERROR(__xludf.DUMMYFUNCTION("IF(Cost_in_dollars!E1199=""USD"",Cost_in_dollars!C1199,Cost_in_dollars!C1199 * GOOGLEFINANCE(""CURRENCY:"" &amp; Cost_in_dollars!E1199 &amp; ""USD""))
"),51431160)</f>
        <v>51431160</v>
      </c>
      <c r="Q1199" s="6">
        <f t="shared" ca="1" si="24"/>
        <v>31431160</v>
      </c>
      <c r="R1199" s="7" t="str">
        <f t="shared" si="25"/>
        <v>A Cinderella Story</v>
      </c>
      <c r="S1199" s="43" t="str">
        <f t="shared" si="28"/>
        <v>Comedy</v>
      </c>
    </row>
    <row r="1200" spans="1:19" ht="15.75" customHeight="1" x14ac:dyDescent="0.25">
      <c r="A1200" s="4" t="s">
        <v>318</v>
      </c>
      <c r="B1200" s="4">
        <v>394</v>
      </c>
      <c r="C1200" s="4">
        <v>18934858</v>
      </c>
      <c r="D1200" s="4" t="s">
        <v>1099</v>
      </c>
      <c r="E1200" s="4" t="s">
        <v>179</v>
      </c>
      <c r="F1200" s="4" t="s">
        <v>4304</v>
      </c>
      <c r="G1200" s="4">
        <v>72646</v>
      </c>
      <c r="H1200" s="4" t="s">
        <v>4305</v>
      </c>
      <c r="I1200" s="4">
        <v>397</v>
      </c>
      <c r="J1200" s="4" t="s">
        <v>23</v>
      </c>
      <c r="K1200" s="4" t="s">
        <v>596</v>
      </c>
      <c r="L1200" s="4">
        <v>23000000</v>
      </c>
      <c r="M1200" s="4">
        <v>2011</v>
      </c>
      <c r="N1200" s="4">
        <v>5.8</v>
      </c>
      <c r="O1200" s="4">
        <f ca="1">IFERROR(__xludf.DUMMYFUNCTION("IF(Cost_in_dollars!E1200=""USD"",Cost_in_dollars!B1200,Cost_in_dollars!B1200 * GOOGLEFINANCE(""CURRENCY:"" &amp; Cost_in_dollars!E1200 &amp; ""USD""))
"),24949020)</f>
        <v>24949020</v>
      </c>
      <c r="P1200" s="4">
        <f ca="1">IFERROR(__xludf.DUMMYFUNCTION("IF(Cost_in_dollars!E1200=""USD"",Cost_in_dollars!C1200,Cost_in_dollars!C1200 * GOOGLEFINANCE(""CURRENCY:"" &amp; Cost_in_dollars!E1200 &amp; ""USD""))
"),20539397.86692)</f>
        <v>20539397.866920002</v>
      </c>
      <c r="Q1200" s="4">
        <f t="shared" ca="1" si="24"/>
        <v>-4409622.1330799982</v>
      </c>
      <c r="R1200" s="5" t="str">
        <f t="shared" si="25"/>
        <v>Haywire</v>
      </c>
      <c r="S1200" s="43" t="str">
        <f t="shared" si="28"/>
        <v>Action</v>
      </c>
    </row>
    <row r="1201" spans="1:19" ht="15.75" customHeight="1" x14ac:dyDescent="0.25">
      <c r="A1201" s="6" t="s">
        <v>3014</v>
      </c>
      <c r="B1201" s="6">
        <v>93</v>
      </c>
      <c r="C1201" s="6">
        <v>58220776</v>
      </c>
      <c r="D1201" s="6" t="s">
        <v>2125</v>
      </c>
      <c r="E1201" s="6" t="s">
        <v>676</v>
      </c>
      <c r="F1201" s="6" t="s">
        <v>4306</v>
      </c>
      <c r="G1201" s="6">
        <v>87785</v>
      </c>
      <c r="H1201" s="6" t="s">
        <v>4307</v>
      </c>
      <c r="I1201" s="6">
        <v>362</v>
      </c>
      <c r="J1201" s="6" t="s">
        <v>23</v>
      </c>
      <c r="K1201" s="6" t="s">
        <v>24</v>
      </c>
      <c r="L1201" s="6">
        <v>100000000</v>
      </c>
      <c r="M1201" s="6">
        <v>1999</v>
      </c>
      <c r="N1201" s="6">
        <v>6.8</v>
      </c>
      <c r="O1201" s="4">
        <f ca="1">IFERROR(__xludf.DUMMYFUNCTION("IF(Cost_in_dollars!E1201=""USD"",Cost_in_dollars!B1201,Cost_in_dollars!B1201 * GOOGLEFINANCE(""CURRENCY:"" &amp; Cost_in_dollars!E1201 &amp; ""USD""))
"),100000000)</f>
        <v>100000000</v>
      </c>
      <c r="P1201" s="4">
        <f ca="1">IFERROR(__xludf.DUMMYFUNCTION("IF(Cost_in_dollars!E1201=""USD"",Cost_in_dollars!C1201,Cost_in_dollars!C1201 * GOOGLEFINANCE(""CURRENCY:"" &amp; Cost_in_dollars!E1201 &amp; ""USD""))
"),58220776)</f>
        <v>58220776</v>
      </c>
      <c r="Q1201" s="6">
        <f t="shared" ca="1" si="24"/>
        <v>-41779224</v>
      </c>
      <c r="R1201" s="7" t="str">
        <f t="shared" si="25"/>
        <v>Bicentennial Man</v>
      </c>
      <c r="S1201" s="43" t="str">
        <f t="shared" si="28"/>
        <v>Comedy</v>
      </c>
    </row>
    <row r="1202" spans="1:19" ht="15.75" customHeight="1" x14ac:dyDescent="0.25">
      <c r="A1202" s="4" t="s">
        <v>2856</v>
      </c>
      <c r="B1202" s="4">
        <v>65</v>
      </c>
      <c r="C1202" s="4">
        <v>4554569</v>
      </c>
      <c r="D1202" s="4" t="s">
        <v>457</v>
      </c>
      <c r="E1202" s="4" t="s">
        <v>3050</v>
      </c>
      <c r="F1202" s="4" t="s">
        <v>4308</v>
      </c>
      <c r="G1202" s="4">
        <v>8134</v>
      </c>
      <c r="H1202" s="4" t="s">
        <v>4309</v>
      </c>
      <c r="I1202" s="4">
        <v>123</v>
      </c>
      <c r="J1202" s="4" t="s">
        <v>23</v>
      </c>
      <c r="K1202" s="4" t="s">
        <v>24</v>
      </c>
      <c r="L1202" s="4">
        <v>28000000</v>
      </c>
      <c r="M1202" s="4">
        <v>1999</v>
      </c>
      <c r="N1202" s="4">
        <v>6.9</v>
      </c>
      <c r="O1202" s="4">
        <f ca="1">IFERROR(__xludf.DUMMYFUNCTION("IF(Cost_in_dollars!E1202=""USD"",Cost_in_dollars!B1202,Cost_in_dollars!B1202 * GOOGLEFINANCE(""CURRENCY:"" &amp; Cost_in_dollars!E1202 &amp; ""USD""))
"),28000000)</f>
        <v>28000000</v>
      </c>
      <c r="P1202" s="4">
        <f ca="1">IFERROR(__xludf.DUMMYFUNCTION("IF(Cost_in_dollars!E1202=""USD"",Cost_in_dollars!C1202,Cost_in_dollars!C1202 * GOOGLEFINANCE(""CURRENCY:"" &amp; Cost_in_dollars!E1202 &amp; ""USD""))
"),4554569)</f>
        <v>4554569</v>
      </c>
      <c r="Q1202" s="4">
        <f t="shared" ca="1" si="24"/>
        <v>-23445431</v>
      </c>
      <c r="R1202" s="5" t="str">
        <f t="shared" si="25"/>
        <v>Mumford</v>
      </c>
      <c r="S1202" s="43" t="str">
        <f t="shared" si="28"/>
        <v>Comedy</v>
      </c>
    </row>
    <row r="1203" spans="1:19" ht="15.75" customHeight="1" x14ac:dyDescent="0.25">
      <c r="A1203" s="6" t="s">
        <v>4310</v>
      </c>
      <c r="B1203" s="6">
        <v>223</v>
      </c>
      <c r="C1203" s="6">
        <v>7455447</v>
      </c>
      <c r="D1203" s="6" t="s">
        <v>162</v>
      </c>
      <c r="E1203" s="6" t="s">
        <v>3191</v>
      </c>
      <c r="F1203" s="6" t="s">
        <v>4311</v>
      </c>
      <c r="G1203" s="6">
        <v>29967</v>
      </c>
      <c r="H1203" s="6" t="s">
        <v>4312</v>
      </c>
      <c r="I1203" s="6">
        <v>126</v>
      </c>
      <c r="J1203" s="6" t="s">
        <v>23</v>
      </c>
      <c r="K1203" s="6" t="s">
        <v>24</v>
      </c>
      <c r="L1203" s="6">
        <v>7000000</v>
      </c>
      <c r="M1203" s="6">
        <v>2010</v>
      </c>
      <c r="N1203" s="6">
        <v>6.3</v>
      </c>
      <c r="O1203" s="4">
        <f ca="1">IFERROR(__xludf.DUMMYFUNCTION("IF(Cost_in_dollars!E1203=""USD"",Cost_in_dollars!B1203,Cost_in_dollars!B1203 * GOOGLEFINANCE(""CURRENCY:"" &amp; Cost_in_dollars!E1203 &amp; ""USD""))
"),7000000)</f>
        <v>7000000</v>
      </c>
      <c r="P1203" s="4">
        <f ca="1">IFERROR(__xludf.DUMMYFUNCTION("IF(Cost_in_dollars!E1203=""USD"",Cost_in_dollars!C1203,Cost_in_dollars!C1203 * GOOGLEFINANCE(""CURRENCY:"" &amp; Cost_in_dollars!E1203 &amp; ""USD""))
"),7455447)</f>
        <v>7455447</v>
      </c>
      <c r="Q1203" s="6">
        <f t="shared" ca="1" si="24"/>
        <v>455447</v>
      </c>
      <c r="R1203" s="7" t="str">
        <f t="shared" si="25"/>
        <v>Cyrus</v>
      </c>
      <c r="S1203" s="43" t="str">
        <f t="shared" si="28"/>
        <v>Comedy</v>
      </c>
    </row>
    <row r="1204" spans="1:19" ht="15.75" customHeight="1" x14ac:dyDescent="0.25">
      <c r="A1204" s="4" t="s">
        <v>1670</v>
      </c>
      <c r="B1204" s="4">
        <v>91</v>
      </c>
      <c r="C1204" s="4">
        <v>45856732</v>
      </c>
      <c r="D1204" s="4" t="s">
        <v>116</v>
      </c>
      <c r="E1204" s="4" t="s">
        <v>588</v>
      </c>
      <c r="F1204" s="4" t="s">
        <v>4313</v>
      </c>
      <c r="G1204" s="4">
        <v>46221</v>
      </c>
      <c r="H1204" s="4" t="s">
        <v>4314</v>
      </c>
      <c r="I1204" s="4">
        <v>141</v>
      </c>
      <c r="J1204" s="4" t="s">
        <v>23</v>
      </c>
      <c r="K1204" s="4" t="s">
        <v>24</v>
      </c>
      <c r="L1204" s="4">
        <v>40000000</v>
      </c>
      <c r="M1204" s="4">
        <v>1997</v>
      </c>
      <c r="N1204" s="4">
        <v>7.1</v>
      </c>
      <c r="O1204" s="4">
        <f ca="1">IFERROR(__xludf.DUMMYFUNCTION("IF(Cost_in_dollars!E1204=""USD"",Cost_in_dollars!B1204,Cost_in_dollars!B1204 * GOOGLEFINANCE(""CURRENCY:"" &amp; Cost_in_dollars!E1204 &amp; ""USD""))
"),40000000)</f>
        <v>40000000</v>
      </c>
      <c r="P1204" s="4">
        <f ca="1">IFERROR(__xludf.DUMMYFUNCTION("IF(Cost_in_dollars!E1204=""USD"",Cost_in_dollars!C1204,Cost_in_dollars!C1204 * GOOGLEFINANCE(""CURRENCY:"" &amp; Cost_in_dollars!E1204 &amp; ""USD""))
"),45856732)</f>
        <v>45856732</v>
      </c>
      <c r="Q1204" s="4">
        <f t="shared" ca="1" si="24"/>
        <v>5856732</v>
      </c>
      <c r="R1204" s="5" t="str">
        <f t="shared" si="25"/>
        <v>The Rainmaker</v>
      </c>
      <c r="S1204" s="43" t="str">
        <f t="shared" si="28"/>
        <v>Crime</v>
      </c>
    </row>
    <row r="1205" spans="1:19" ht="15.75" customHeight="1" x14ac:dyDescent="0.25">
      <c r="A1205" s="6" t="s">
        <v>4315</v>
      </c>
      <c r="B1205" s="6">
        <v>79</v>
      </c>
      <c r="C1205" s="6">
        <v>3287435</v>
      </c>
      <c r="D1205" s="6" t="s">
        <v>102</v>
      </c>
      <c r="E1205" s="6" t="s">
        <v>79</v>
      </c>
      <c r="F1205" s="6" t="s">
        <v>4316</v>
      </c>
      <c r="G1205" s="6">
        <v>8603</v>
      </c>
      <c r="H1205" s="6" t="s">
        <v>4317</v>
      </c>
      <c r="I1205" s="6">
        <v>115</v>
      </c>
      <c r="J1205" s="6" t="s">
        <v>23</v>
      </c>
      <c r="K1205" s="6" t="s">
        <v>24</v>
      </c>
      <c r="L1205" s="6">
        <v>4500000</v>
      </c>
      <c r="M1205" s="6">
        <v>2001</v>
      </c>
      <c r="N1205" s="6">
        <v>7.1</v>
      </c>
      <c r="O1205" s="4">
        <f ca="1">IFERROR(__xludf.DUMMYFUNCTION("IF(Cost_in_dollars!E1205=""USD"",Cost_in_dollars!B1205,Cost_in_dollars!B1205 * GOOGLEFINANCE(""CURRENCY:"" &amp; Cost_in_dollars!E1205 &amp; ""USD""))
"),4500000)</f>
        <v>4500000</v>
      </c>
      <c r="P1205" s="4">
        <f ca="1">IFERROR(__xludf.DUMMYFUNCTION("IF(Cost_in_dollars!E1205=""USD"",Cost_in_dollars!C1205,Cost_in_dollars!C1205 * GOOGLEFINANCE(""CURRENCY:"" &amp; Cost_in_dollars!E1205 &amp; ""USD""))
"),3287435)</f>
        <v>3287435</v>
      </c>
      <c r="Q1205" s="6">
        <f t="shared" ca="1" si="24"/>
        <v>-1212565</v>
      </c>
      <c r="R1205" s="7" t="str">
        <f t="shared" si="25"/>
        <v>Thirteen Conversations About One Thing</v>
      </c>
      <c r="S1205" s="43" t="str">
        <f t="shared" si="28"/>
        <v>Drama</v>
      </c>
    </row>
    <row r="1206" spans="1:19" ht="15.75" customHeight="1" x14ac:dyDescent="0.25">
      <c r="A1206" s="4" t="s">
        <v>4318</v>
      </c>
      <c r="B1206" s="4">
        <v>95</v>
      </c>
      <c r="C1206" s="4">
        <v>17951431</v>
      </c>
      <c r="D1206" s="4" t="s">
        <v>438</v>
      </c>
      <c r="E1206" s="4" t="s">
        <v>4319</v>
      </c>
      <c r="F1206" s="4" t="s">
        <v>4320</v>
      </c>
      <c r="G1206" s="4">
        <v>25462</v>
      </c>
      <c r="H1206" s="4" t="s">
        <v>4321</v>
      </c>
      <c r="I1206" s="4">
        <v>200</v>
      </c>
      <c r="J1206" s="4" t="s">
        <v>23</v>
      </c>
      <c r="K1206" s="4" t="s">
        <v>24</v>
      </c>
      <c r="L1206" s="4">
        <v>30000000</v>
      </c>
      <c r="M1206" s="4">
        <v>2001</v>
      </c>
      <c r="N1206" s="4">
        <v>5.8</v>
      </c>
      <c r="O1206" s="4">
        <f ca="1">IFERROR(__xludf.DUMMYFUNCTION("IF(Cost_in_dollars!E1206=""USD"",Cost_in_dollars!B1206,Cost_in_dollars!B1206 * GOOGLEFINANCE(""CURRENCY:"" &amp; Cost_in_dollars!E1206 &amp; ""USD""))
"),30000000)</f>
        <v>30000000</v>
      </c>
      <c r="P1206" s="4">
        <f ca="1">IFERROR(__xludf.DUMMYFUNCTION("IF(Cost_in_dollars!E1206=""USD"",Cost_in_dollars!C1206,Cost_in_dollars!C1206 * GOOGLEFINANCE(""CURRENCY:"" &amp; Cost_in_dollars!E1206 &amp; ""USD""))
"),17951431)</f>
        <v>17951431</v>
      </c>
      <c r="Q1206" s="4">
        <f t="shared" ca="1" si="24"/>
        <v>-12048569</v>
      </c>
      <c r="R1206" s="5" t="str">
        <f t="shared" si="25"/>
        <v>The Glass House</v>
      </c>
      <c r="S1206" s="43" t="str">
        <f t="shared" si="28"/>
        <v>Crime</v>
      </c>
    </row>
    <row r="1207" spans="1:19" ht="15.75" customHeight="1" x14ac:dyDescent="0.25">
      <c r="A1207" s="6" t="s">
        <v>770</v>
      </c>
      <c r="B1207" s="6">
        <v>91</v>
      </c>
      <c r="C1207" s="6">
        <v>21569041</v>
      </c>
      <c r="D1207" s="6" t="s">
        <v>102</v>
      </c>
      <c r="E1207" s="6" t="s">
        <v>4322</v>
      </c>
      <c r="F1207" s="6" t="s">
        <v>4323</v>
      </c>
      <c r="G1207" s="6">
        <v>8058</v>
      </c>
      <c r="H1207" s="6" t="s">
        <v>4324</v>
      </c>
      <c r="I1207" s="6">
        <v>57</v>
      </c>
      <c r="J1207" s="6" t="s">
        <v>23</v>
      </c>
      <c r="K1207" s="6" t="s">
        <v>24</v>
      </c>
      <c r="L1207" s="6">
        <v>9000000</v>
      </c>
      <c r="M1207" s="6">
        <v>2014</v>
      </c>
      <c r="N1207" s="6">
        <v>6.6</v>
      </c>
      <c r="O1207" s="4">
        <f ca="1">IFERROR(__xludf.DUMMYFUNCTION("IF(Cost_in_dollars!E1207=""USD"",Cost_in_dollars!B1207,Cost_in_dollars!B1207 * GOOGLEFINANCE(""CURRENCY:"" &amp; Cost_in_dollars!E1207 &amp; ""USD""))
"),9000000)</f>
        <v>9000000</v>
      </c>
      <c r="P1207" s="4">
        <f ca="1">IFERROR(__xludf.DUMMYFUNCTION("IF(Cost_in_dollars!E1207=""USD"",Cost_in_dollars!C1207,Cost_in_dollars!C1207 * GOOGLEFINANCE(""CURRENCY:"" &amp; Cost_in_dollars!E1207 &amp; ""USD""))
"),21569041)</f>
        <v>21569041</v>
      </c>
      <c r="Q1207" s="6">
        <f t="shared" ca="1" si="24"/>
        <v>12569041</v>
      </c>
      <c r="R1207" s="7" t="str">
        <f t="shared" si="25"/>
        <v>Black or White</v>
      </c>
      <c r="S1207" s="43" t="str">
        <f t="shared" si="28"/>
        <v>Drama</v>
      </c>
    </row>
    <row r="1208" spans="1:19" ht="15.75" customHeight="1" x14ac:dyDescent="0.25">
      <c r="A1208" s="4" t="s">
        <v>4325</v>
      </c>
      <c r="B1208" s="4">
        <v>96</v>
      </c>
      <c r="C1208" s="4">
        <v>63319509</v>
      </c>
      <c r="D1208" s="4" t="s">
        <v>88</v>
      </c>
      <c r="E1208" s="4" t="s">
        <v>805</v>
      </c>
      <c r="F1208" s="4" t="s">
        <v>4326</v>
      </c>
      <c r="G1208" s="4">
        <v>67115</v>
      </c>
      <c r="H1208" s="4" t="s">
        <v>4327</v>
      </c>
      <c r="I1208" s="4">
        <v>389</v>
      </c>
      <c r="J1208" s="4" t="s">
        <v>23</v>
      </c>
      <c r="K1208" s="4" t="s">
        <v>24</v>
      </c>
      <c r="L1208" s="4">
        <v>10000000</v>
      </c>
      <c r="M1208" s="4">
        <v>1999</v>
      </c>
      <c r="N1208" s="4">
        <v>5.8</v>
      </c>
      <c r="O1208" s="4">
        <f ca="1">IFERROR(__xludf.DUMMYFUNCTION("IF(Cost_in_dollars!E1208=""USD"",Cost_in_dollars!B1208,Cost_in_dollars!B1208 * GOOGLEFINANCE(""CURRENCY:"" &amp; Cost_in_dollars!E1208 &amp; ""USD""))
"),10000000)</f>
        <v>10000000</v>
      </c>
      <c r="P1208" s="4">
        <f ca="1">IFERROR(__xludf.DUMMYFUNCTION("IF(Cost_in_dollars!E1208=""USD"",Cost_in_dollars!C1208,Cost_in_dollars!C1208 * GOOGLEFINANCE(""CURRENCY:"" &amp; Cost_in_dollars!E1208 &amp; ""USD""))
"),63319509)</f>
        <v>63319509</v>
      </c>
      <c r="Q1208" s="4">
        <f t="shared" ca="1" si="24"/>
        <v>53319509</v>
      </c>
      <c r="R1208" s="5" t="str">
        <f t="shared" si="25"/>
        <v>She's All That</v>
      </c>
      <c r="S1208" s="43" t="str">
        <f t="shared" si="28"/>
        <v>Comedy</v>
      </c>
    </row>
    <row r="1209" spans="1:19" ht="15.75" customHeight="1" x14ac:dyDescent="0.25">
      <c r="A1209" s="6" t="s">
        <v>4328</v>
      </c>
      <c r="B1209" s="6">
        <v>11</v>
      </c>
      <c r="C1209" s="6">
        <v>34746109</v>
      </c>
      <c r="D1209" s="6" t="s">
        <v>3985</v>
      </c>
      <c r="E1209" s="6" t="s">
        <v>4329</v>
      </c>
      <c r="F1209" s="6" t="s">
        <v>4330</v>
      </c>
      <c r="G1209" s="6">
        <v>3122</v>
      </c>
      <c r="H1209" s="6" t="s">
        <v>4331</v>
      </c>
      <c r="I1209" s="6">
        <v>14</v>
      </c>
      <c r="J1209" s="6" t="s">
        <v>23</v>
      </c>
      <c r="K1209" s="6" t="s">
        <v>24</v>
      </c>
      <c r="L1209" s="6">
        <v>8000000</v>
      </c>
      <c r="M1209" s="6">
        <v>1996</v>
      </c>
      <c r="N1209" s="6">
        <v>5.6</v>
      </c>
      <c r="O1209" s="4">
        <f ca="1">IFERROR(__xludf.DUMMYFUNCTION("IF(Cost_in_dollars!E1209=""USD"",Cost_in_dollars!B1209,Cost_in_dollars!B1209 * GOOGLEFINANCE(""CURRENCY:"" &amp; Cost_in_dollars!E1209 &amp; ""USD""))
"),8000000)</f>
        <v>8000000</v>
      </c>
      <c r="P1209" s="4">
        <f ca="1">IFERROR(__xludf.DUMMYFUNCTION("IF(Cost_in_dollars!E1209=""USD"",Cost_in_dollars!C1209,Cost_in_dollars!C1209 * GOOGLEFINANCE(""CURRENCY:"" &amp; Cost_in_dollars!E1209 &amp; ""USD""))
"),34746109)</f>
        <v>34746109</v>
      </c>
      <c r="Q1209" s="6">
        <f t="shared" ca="1" si="24"/>
        <v>26746109</v>
      </c>
      <c r="R1209" s="7" t="str">
        <f t="shared" si="25"/>
        <v>A Thin Line Between Love and Hate</v>
      </c>
      <c r="S1209" s="43" t="str">
        <f t="shared" si="28"/>
        <v>Comedy</v>
      </c>
    </row>
    <row r="1210" spans="1:19" ht="15.75" customHeight="1" x14ac:dyDescent="0.25">
      <c r="A1210" s="4" t="s">
        <v>4332</v>
      </c>
      <c r="B1210" s="4">
        <v>273</v>
      </c>
      <c r="C1210" s="4">
        <v>39462438</v>
      </c>
      <c r="D1210" s="4" t="s">
        <v>737</v>
      </c>
      <c r="E1210" s="4" t="s">
        <v>1410</v>
      </c>
      <c r="F1210" s="4" t="s">
        <v>4333</v>
      </c>
      <c r="G1210" s="4">
        <v>67760</v>
      </c>
      <c r="H1210" s="4" t="s">
        <v>4334</v>
      </c>
      <c r="I1210" s="4">
        <v>226</v>
      </c>
      <c r="J1210" s="4" t="s">
        <v>23</v>
      </c>
      <c r="K1210" s="4" t="s">
        <v>24</v>
      </c>
      <c r="L1210" s="4">
        <v>7000000</v>
      </c>
      <c r="M1210" s="4">
        <v>2009</v>
      </c>
      <c r="N1210" s="4">
        <v>7.3</v>
      </c>
      <c r="O1210" s="4">
        <f ca="1">IFERROR(__xludf.DUMMYFUNCTION("IF(Cost_in_dollars!E1210=""USD"",Cost_in_dollars!B1210,Cost_in_dollars!B1210 * GOOGLEFINANCE(""CURRENCY:"" &amp; Cost_in_dollars!E1210 &amp; ""USD""))
"),7000000)</f>
        <v>7000000</v>
      </c>
      <c r="P1210" s="4">
        <f ca="1">IFERROR(__xludf.DUMMYFUNCTION("IF(Cost_in_dollars!E1210=""USD"",Cost_in_dollars!C1210,Cost_in_dollars!C1210 * GOOGLEFINANCE(""CURRENCY:"" &amp; Cost_in_dollars!E1210 &amp; ""USD""))
"),39462438)</f>
        <v>39462438</v>
      </c>
      <c r="Q1210" s="4">
        <f t="shared" ca="1" si="24"/>
        <v>32462438</v>
      </c>
      <c r="R1210" s="5" t="str">
        <f t="shared" si="25"/>
        <v>Crazy Heart</v>
      </c>
      <c r="S1210" s="43" t="str">
        <f t="shared" si="28"/>
        <v>Drama</v>
      </c>
    </row>
    <row r="1211" spans="1:19" ht="15.75" customHeight="1" x14ac:dyDescent="0.25">
      <c r="A1211" s="6" t="s">
        <v>4066</v>
      </c>
      <c r="B1211" s="6">
        <v>291</v>
      </c>
      <c r="C1211" s="6">
        <v>37652565</v>
      </c>
      <c r="D1211" s="6" t="s">
        <v>822</v>
      </c>
      <c r="E1211" s="6" t="s">
        <v>775</v>
      </c>
      <c r="F1211" s="6" t="s">
        <v>4335</v>
      </c>
      <c r="G1211" s="6">
        <v>91151</v>
      </c>
      <c r="H1211" s="6" t="s">
        <v>4336</v>
      </c>
      <c r="I1211" s="6">
        <v>283</v>
      </c>
      <c r="J1211" s="6" t="s">
        <v>23</v>
      </c>
      <c r="K1211" s="6" t="s">
        <v>24</v>
      </c>
      <c r="L1211" s="6">
        <v>42000000</v>
      </c>
      <c r="M1211" s="6">
        <v>2011</v>
      </c>
      <c r="N1211" s="6">
        <v>5.4</v>
      </c>
      <c r="O1211" s="4">
        <f ca="1">IFERROR(__xludf.DUMMYFUNCTION("IF(Cost_in_dollars!E1211=""USD"",Cost_in_dollars!B1211,Cost_in_dollars!B1211 * GOOGLEFINANCE(""CURRENCY:"" &amp; Cost_in_dollars!E1211 &amp; ""USD""))
"),42000000)</f>
        <v>42000000</v>
      </c>
      <c r="P1211" s="4">
        <f ca="1">IFERROR(__xludf.DUMMYFUNCTION("IF(Cost_in_dollars!E1211=""USD"",Cost_in_dollars!C1211,Cost_in_dollars!C1211 * GOOGLEFINANCE(""CURRENCY:"" &amp; Cost_in_dollars!E1211 &amp; ""USD""))
"),37652565)</f>
        <v>37652565</v>
      </c>
      <c r="Q1211" s="6">
        <f t="shared" ca="1" si="24"/>
        <v>-4347435</v>
      </c>
      <c r="R1211" s="7" t="str">
        <f t="shared" si="25"/>
        <v>Red Riding Hood</v>
      </c>
      <c r="S1211" s="43" t="str">
        <f t="shared" si="28"/>
        <v>Fantasy</v>
      </c>
    </row>
    <row r="1212" spans="1:19" ht="15.75" customHeight="1" x14ac:dyDescent="0.25">
      <c r="A1212" s="4" t="s">
        <v>4337</v>
      </c>
      <c r="B1212" s="4">
        <v>4</v>
      </c>
      <c r="C1212" s="4">
        <v>425899</v>
      </c>
      <c r="D1212" s="4" t="s">
        <v>254</v>
      </c>
      <c r="E1212" s="4" t="s">
        <v>4338</v>
      </c>
      <c r="F1212" s="4" t="s">
        <v>4339</v>
      </c>
      <c r="G1212" s="4">
        <v>1123</v>
      </c>
      <c r="H1212" s="4" t="s">
        <v>109</v>
      </c>
      <c r="I1212" s="4">
        <v>31</v>
      </c>
      <c r="J1212" s="4" t="s">
        <v>23</v>
      </c>
      <c r="K1212" s="4" t="s">
        <v>24</v>
      </c>
      <c r="L1212" s="4">
        <v>400000</v>
      </c>
      <c r="M1212" s="4">
        <v>2010</v>
      </c>
      <c r="N1212" s="4">
        <v>5.0999999999999996</v>
      </c>
      <c r="O1212" s="4">
        <f ca="1">IFERROR(__xludf.DUMMYFUNCTION("IF(Cost_in_dollars!E1212=""USD"",Cost_in_dollars!B1212,Cost_in_dollars!B1212 * GOOGLEFINANCE(""CURRENCY:"" &amp; Cost_in_dollars!E1212 &amp; ""USD""))
"),400000)</f>
        <v>400000</v>
      </c>
      <c r="P1212" s="4">
        <f ca="1">IFERROR(__xludf.DUMMYFUNCTION("IF(Cost_in_dollars!E1212=""USD"",Cost_in_dollars!C1212,Cost_in_dollars!C1212 * GOOGLEFINANCE(""CURRENCY:"" &amp; Cost_in_dollars!E1212 &amp; ""USD""))
"),425899)</f>
        <v>425899</v>
      </c>
      <c r="Q1212" s="4">
        <f t="shared" ca="1" si="24"/>
        <v>25899</v>
      </c>
      <c r="R1212" s="5" t="str">
        <f t="shared" si="25"/>
        <v>I Want Your Money</v>
      </c>
      <c r="S1212" s="43" t="str">
        <f t="shared" si="28"/>
        <v>Documentary</v>
      </c>
    </row>
    <row r="1213" spans="1:19" ht="15.75" customHeight="1" x14ac:dyDescent="0.25">
      <c r="A1213" s="6" t="s">
        <v>442</v>
      </c>
      <c r="B1213" s="6">
        <v>194</v>
      </c>
      <c r="C1213" s="6">
        <v>213079163</v>
      </c>
      <c r="D1213" s="6" t="s">
        <v>268</v>
      </c>
      <c r="E1213" s="6" t="s">
        <v>4340</v>
      </c>
      <c r="F1213" s="6" t="s">
        <v>4341</v>
      </c>
      <c r="G1213" s="6">
        <v>162909</v>
      </c>
      <c r="H1213" s="6" t="s">
        <v>4342</v>
      </c>
      <c r="I1213" s="6">
        <v>795</v>
      </c>
      <c r="J1213" s="6" t="s">
        <v>23</v>
      </c>
      <c r="K1213" s="6" t="s">
        <v>24</v>
      </c>
      <c r="L1213" s="6">
        <v>63000000</v>
      </c>
      <c r="M1213" s="6">
        <v>2002</v>
      </c>
      <c r="N1213" s="6">
        <v>6.2</v>
      </c>
      <c r="O1213" s="4">
        <f ca="1">IFERROR(__xludf.DUMMYFUNCTION("IF(Cost_in_dollars!E1213=""USD"",Cost_in_dollars!B1213,Cost_in_dollars!B1213 * GOOGLEFINANCE(""CURRENCY:"" &amp; Cost_in_dollars!E1213 &amp; ""USD""))
"),63000000)</f>
        <v>63000000</v>
      </c>
      <c r="P1213" s="4">
        <f ca="1">IFERROR(__xludf.DUMMYFUNCTION("IF(Cost_in_dollars!E1213=""USD"",Cost_in_dollars!C1213,Cost_in_dollars!C1213 * GOOGLEFINANCE(""CURRENCY:"" &amp; Cost_in_dollars!E1213 &amp; ""USD""))
"),213079163)</f>
        <v>213079163</v>
      </c>
      <c r="Q1213" s="6">
        <f t="shared" ca="1" si="24"/>
        <v>150079163</v>
      </c>
      <c r="R1213" s="7" t="str">
        <f t="shared" si="25"/>
        <v>Austin Powers in Goldmember</v>
      </c>
      <c r="S1213" s="43" t="str">
        <f t="shared" si="28"/>
        <v>Action</v>
      </c>
    </row>
    <row r="1214" spans="1:19" ht="15.75" customHeight="1" x14ac:dyDescent="0.25">
      <c r="A1214" s="4" t="s">
        <v>4343</v>
      </c>
      <c r="B1214" s="4">
        <v>30</v>
      </c>
      <c r="C1214" s="4">
        <v>4958</v>
      </c>
      <c r="D1214" s="4" t="s">
        <v>981</v>
      </c>
      <c r="E1214" s="4" t="s">
        <v>4344</v>
      </c>
      <c r="F1214" s="4" t="s">
        <v>4345</v>
      </c>
      <c r="G1214" s="4">
        <v>9689</v>
      </c>
      <c r="H1214" s="4" t="s">
        <v>4346</v>
      </c>
      <c r="I1214" s="4">
        <v>23</v>
      </c>
      <c r="J1214" s="4" t="s">
        <v>23</v>
      </c>
      <c r="K1214" s="4" t="s">
        <v>4347</v>
      </c>
      <c r="L1214" s="4">
        <v>2000000</v>
      </c>
      <c r="M1214" s="4">
        <v>2008</v>
      </c>
      <c r="N1214" s="4">
        <v>7.8</v>
      </c>
      <c r="O1214" s="4">
        <f ca="1">IFERROR(__xludf.DUMMYFUNCTION("IF(Cost_in_dollars!E1214=""USD"",Cost_in_dollars!B1214,Cost_in_dollars!B1214 * GOOGLEFINANCE(""CURRENCY:"" &amp; Cost_in_dollars!E1214 &amp; ""USD""))
"),108869)</f>
        <v>108869</v>
      </c>
      <c r="P1214" s="4">
        <f ca="1">IFERROR(__xludf.DUMMYFUNCTION("IF(Cost_in_dollars!E1214=""USD"",Cost_in_dollars!C1214,Cost_in_dollars!C1214 * GOOGLEFINANCE(""CURRENCY:"" &amp; Cost_in_dollars!E1214 &amp; ""USD""))
"),269.886251)</f>
        <v>269.88625100000002</v>
      </c>
      <c r="Q1214" s="4">
        <f t="shared" ca="1" si="24"/>
        <v>-108599.113749</v>
      </c>
      <c r="R1214" s="5" t="str">
        <f t="shared" si="25"/>
        <v>Gangster's Paradise: Jerusalema</v>
      </c>
      <c r="S1214" s="43" t="str">
        <f t="shared" si="28"/>
        <v>Action</v>
      </c>
    </row>
    <row r="1215" spans="1:19" ht="15.75" customHeight="1" x14ac:dyDescent="0.25">
      <c r="A1215" s="6" t="s">
        <v>4348</v>
      </c>
      <c r="B1215" s="6">
        <v>224</v>
      </c>
      <c r="C1215" s="6">
        <v>1818681</v>
      </c>
      <c r="D1215" s="6" t="s">
        <v>504</v>
      </c>
      <c r="E1215" s="6" t="s">
        <v>4349</v>
      </c>
      <c r="F1215" s="6" t="s">
        <v>4350</v>
      </c>
      <c r="G1215" s="6">
        <v>74435</v>
      </c>
      <c r="H1215" s="6" t="s">
        <v>4351</v>
      </c>
      <c r="I1215" s="6">
        <v>224</v>
      </c>
      <c r="J1215" s="6" t="s">
        <v>23</v>
      </c>
      <c r="K1215" s="6" t="s">
        <v>133</v>
      </c>
      <c r="L1215" s="6">
        <v>7300000</v>
      </c>
      <c r="M1215" s="6">
        <v>2009</v>
      </c>
      <c r="N1215" s="6">
        <v>7.2</v>
      </c>
      <c r="O1215" s="4">
        <f ca="1">IFERROR(__xludf.DUMMYFUNCTION("IF(Cost_in_dollars!E1215=""USD"",Cost_in_dollars!B1215,Cost_in_dollars!B1215 * GOOGLEFINANCE(""CURRENCY:"" &amp; Cost_in_dollars!E1215 &amp; ""USD""))
"),9383420)</f>
        <v>9383420</v>
      </c>
      <c r="P1215" s="4">
        <f ca="1">IFERROR(__xludf.DUMMYFUNCTION("IF(Cost_in_dollars!E1215=""USD"",Cost_in_dollars!C1215,Cost_in_dollars!C1215 * GOOGLEFINANCE(""CURRENCY:"" &amp; Cost_in_dollars!E1215 &amp; ""USD""))
"),2337732.5574)</f>
        <v>2337732.5573999998</v>
      </c>
      <c r="Q1215" s="6">
        <f t="shared" ca="1" si="24"/>
        <v>-7045687.4426000006</v>
      </c>
      <c r="R1215" s="7" t="str">
        <f t="shared" si="25"/>
        <v>Harry Brown</v>
      </c>
      <c r="S1215" s="43" t="str">
        <f t="shared" si="28"/>
        <v>Action</v>
      </c>
    </row>
    <row r="1216" spans="1:19" ht="15.75" customHeight="1" x14ac:dyDescent="0.25">
      <c r="A1216" s="4" t="s">
        <v>535</v>
      </c>
      <c r="B1216" s="4">
        <v>140</v>
      </c>
      <c r="C1216" s="4">
        <v>105807520</v>
      </c>
      <c r="D1216" s="4" t="s">
        <v>88</v>
      </c>
      <c r="E1216" s="4" t="s">
        <v>79</v>
      </c>
      <c r="F1216" s="4" t="s">
        <v>4352</v>
      </c>
      <c r="G1216" s="4">
        <v>156717</v>
      </c>
      <c r="H1216" s="4" t="s">
        <v>4353</v>
      </c>
      <c r="I1216" s="4">
        <v>357</v>
      </c>
      <c r="J1216" s="4" t="s">
        <v>23</v>
      </c>
      <c r="K1216" s="4" t="s">
        <v>24</v>
      </c>
      <c r="L1216" s="4">
        <v>50000000</v>
      </c>
      <c r="M1216" s="4">
        <v>2003</v>
      </c>
      <c r="N1216" s="4">
        <v>6.4</v>
      </c>
      <c r="O1216" s="4">
        <f ca="1">IFERROR(__xludf.DUMMYFUNCTION("IF(Cost_in_dollars!E1216=""USD"",Cost_in_dollars!B1216,Cost_in_dollars!B1216 * GOOGLEFINANCE(""CURRENCY:"" &amp; Cost_in_dollars!E1216 &amp; ""USD""))
"),50000000)</f>
        <v>50000000</v>
      </c>
      <c r="P1216" s="4">
        <f ca="1">IFERROR(__xludf.DUMMYFUNCTION("IF(Cost_in_dollars!E1216=""USD"",Cost_in_dollars!C1216,Cost_in_dollars!C1216 * GOOGLEFINANCE(""CURRENCY:"" &amp; Cost_in_dollars!E1216 &amp; ""USD""))
"),105807520)</f>
        <v>105807520</v>
      </c>
      <c r="Q1216" s="4">
        <f t="shared" ca="1" si="24"/>
        <v>55807520</v>
      </c>
      <c r="R1216" s="5" t="str">
        <f t="shared" si="25"/>
        <v>How to Lose a Guy in 10 Days</v>
      </c>
      <c r="S1216" s="43" t="str">
        <f t="shared" si="28"/>
        <v>Comedy</v>
      </c>
    </row>
    <row r="1217" spans="1:19" ht="15.75" customHeight="1" x14ac:dyDescent="0.25">
      <c r="A1217" s="6" t="s">
        <v>4354</v>
      </c>
      <c r="B1217" s="6">
        <v>405</v>
      </c>
      <c r="C1217" s="6">
        <v>83299761</v>
      </c>
      <c r="D1217" s="6" t="s">
        <v>4355</v>
      </c>
      <c r="E1217" s="6" t="s">
        <v>464</v>
      </c>
      <c r="F1217" s="6" t="s">
        <v>4356</v>
      </c>
      <c r="G1217" s="6">
        <v>117719</v>
      </c>
      <c r="H1217" s="6" t="s">
        <v>4357</v>
      </c>
      <c r="I1217" s="6">
        <v>306</v>
      </c>
      <c r="J1217" s="6" t="s">
        <v>23</v>
      </c>
      <c r="K1217" s="6" t="s">
        <v>24</v>
      </c>
      <c r="L1217" s="6">
        <v>35000000</v>
      </c>
      <c r="M1217" s="6">
        <v>2013</v>
      </c>
      <c r="N1217" s="6">
        <v>7.5</v>
      </c>
      <c r="O1217" s="4">
        <f ca="1">IFERROR(__xludf.DUMMYFUNCTION("IF(Cost_in_dollars!E1217=""USD"",Cost_in_dollars!B1217,Cost_in_dollars!B1217 * GOOGLEFINANCE(""CURRENCY:"" &amp; Cost_in_dollars!E1217 &amp; ""USD""))
"),35000000)</f>
        <v>35000000</v>
      </c>
      <c r="P1217" s="4">
        <f ca="1">IFERROR(__xludf.DUMMYFUNCTION("IF(Cost_in_dollars!E1217=""USD"",Cost_in_dollars!C1217,Cost_in_dollars!C1217 * GOOGLEFINANCE(""CURRENCY:"" &amp; Cost_in_dollars!E1217 &amp; ""USD""))
"),83299761)</f>
        <v>83299761</v>
      </c>
      <c r="Q1217" s="6">
        <f t="shared" ca="1" si="24"/>
        <v>48299761</v>
      </c>
      <c r="R1217" s="7" t="str">
        <f t="shared" si="25"/>
        <v>Saving Mr. Banks</v>
      </c>
      <c r="S1217" s="43" t="str">
        <f t="shared" si="28"/>
        <v>Biography</v>
      </c>
    </row>
    <row r="1218" spans="1:19" ht="15.75" customHeight="1" x14ac:dyDescent="0.25">
      <c r="A1218" s="4" t="s">
        <v>4358</v>
      </c>
      <c r="B1218" s="4">
        <v>112</v>
      </c>
      <c r="C1218" s="4">
        <v>39737645</v>
      </c>
      <c r="D1218" s="4" t="s">
        <v>696</v>
      </c>
      <c r="E1218" s="4" t="s">
        <v>4359</v>
      </c>
      <c r="F1218" s="4" t="s">
        <v>4360</v>
      </c>
      <c r="G1218" s="4">
        <v>89687</v>
      </c>
      <c r="H1218" s="4" t="s">
        <v>4361</v>
      </c>
      <c r="I1218" s="4">
        <v>666</v>
      </c>
      <c r="J1218" s="4" t="s">
        <v>23</v>
      </c>
      <c r="K1218" s="4" t="s">
        <v>24</v>
      </c>
      <c r="L1218" s="4">
        <v>20000000</v>
      </c>
      <c r="M1218" s="4">
        <v>2007</v>
      </c>
      <c r="N1218" s="4">
        <v>2.2999999999999998</v>
      </c>
      <c r="O1218" s="4">
        <f ca="1">IFERROR(__xludf.DUMMYFUNCTION("IF(Cost_in_dollars!E1218=""USD"",Cost_in_dollars!B1218,Cost_in_dollars!B1218 * GOOGLEFINANCE(""CURRENCY:"" &amp; Cost_in_dollars!E1218 &amp; ""USD""))
"),20000000)</f>
        <v>20000000</v>
      </c>
      <c r="P1218" s="4">
        <f ca="1">IFERROR(__xludf.DUMMYFUNCTION("IF(Cost_in_dollars!E1218=""USD"",Cost_in_dollars!C1218,Cost_in_dollars!C1218 * GOOGLEFINANCE(""CURRENCY:"" &amp; Cost_in_dollars!E1218 &amp; ""USD""))
"),39737645)</f>
        <v>39737645</v>
      </c>
      <c r="Q1218" s="4">
        <f t="shared" ca="1" si="24"/>
        <v>19737645</v>
      </c>
      <c r="R1218" s="5" t="str">
        <f t="shared" si="25"/>
        <v>Epic Movie</v>
      </c>
      <c r="S1218" s="43" t="str">
        <f t="shared" ref="S1218:S1281" si="29">IF(ISNUMBER(FIND("|", D1218)), LEFT(D1218, FIND("|", D1218) - 1), D1218)</f>
        <v>Adventure</v>
      </c>
    </row>
    <row r="1219" spans="1:19" ht="15.75" customHeight="1" x14ac:dyDescent="0.25">
      <c r="A1219" s="6" t="s">
        <v>2877</v>
      </c>
      <c r="B1219" s="6">
        <v>163</v>
      </c>
      <c r="C1219" s="6">
        <v>43095600</v>
      </c>
      <c r="D1219" s="6" t="s">
        <v>155</v>
      </c>
      <c r="E1219" s="6" t="s">
        <v>818</v>
      </c>
      <c r="F1219" s="6" t="s">
        <v>4362</v>
      </c>
      <c r="G1219" s="6">
        <v>156267</v>
      </c>
      <c r="H1219" s="6" t="s">
        <v>4363</v>
      </c>
      <c r="I1219" s="6">
        <v>340</v>
      </c>
      <c r="J1219" s="6" t="s">
        <v>23</v>
      </c>
      <c r="K1219" s="6" t="s">
        <v>611</v>
      </c>
      <c r="L1219" s="6">
        <v>32000000</v>
      </c>
      <c r="M1219" s="6">
        <v>2005</v>
      </c>
      <c r="N1219" s="6">
        <v>6.3</v>
      </c>
      <c r="O1219" s="4">
        <f ca="1">IFERROR(__xludf.DUMMYFUNCTION("IF(Cost_in_dollars!E1219=""USD"",Cost_in_dollars!B1219,Cost_in_dollars!B1219 * GOOGLEFINANCE(""CURRENCY:"" &amp; Cost_in_dollars!E1219 &amp; ""USD""))
"),34711680)</f>
        <v>34711680</v>
      </c>
      <c r="P1219" s="4">
        <f ca="1">IFERROR(__xludf.DUMMYFUNCTION("IF(Cost_in_dollars!E1219=""USD"",Cost_in_dollars!C1219,Cost_in_dollars!C1219 * GOOGLEFINANCE(""CURRENCY:"" &amp; Cost_in_dollars!E1219 &amp; ""USD""))
"),46747521.144)</f>
        <v>46747521.144000001</v>
      </c>
      <c r="Q1219" s="6">
        <f t="shared" ca="1" si="24"/>
        <v>12035841.144000001</v>
      </c>
      <c r="R1219" s="7" t="str">
        <f t="shared" si="25"/>
        <v>Transporter 2</v>
      </c>
      <c r="S1219" s="43" t="str">
        <f t="shared" si="29"/>
        <v>Action</v>
      </c>
    </row>
    <row r="1220" spans="1:19" ht="15.75" customHeight="1" x14ac:dyDescent="0.25">
      <c r="A1220" s="4" t="s">
        <v>4364</v>
      </c>
      <c r="B1220" s="4">
        <v>66</v>
      </c>
      <c r="C1220" s="4">
        <v>652526</v>
      </c>
      <c r="D1220" s="4" t="s">
        <v>4365</v>
      </c>
      <c r="E1220" s="4" t="s">
        <v>4044</v>
      </c>
      <c r="F1220" s="4" t="s">
        <v>4366</v>
      </c>
      <c r="G1220" s="4">
        <v>20201</v>
      </c>
      <c r="H1220" s="4" t="s">
        <v>4367</v>
      </c>
      <c r="I1220" s="4">
        <v>187</v>
      </c>
      <c r="J1220" s="4" t="s">
        <v>23</v>
      </c>
      <c r="K1220" s="4" t="s">
        <v>176</v>
      </c>
      <c r="L1220" s="4">
        <v>40000000</v>
      </c>
      <c r="M1220" s="4">
        <v>2006</v>
      </c>
      <c r="N1220" s="4">
        <v>5.0999999999999996</v>
      </c>
      <c r="O1220" s="4">
        <f ca="1">IFERROR(__xludf.DUMMYFUNCTION("IF(Cost_in_dollars!E1220=""USD"",Cost_in_dollars!B1220,Cost_in_dollars!B1220 * GOOGLEFINANCE(""CURRENCY:"" &amp; Cost_in_dollars!E1220 &amp; ""USD""))
"),43389600)</f>
        <v>43389600</v>
      </c>
      <c r="P1220" s="4">
        <f ca="1">IFERROR(__xludf.DUMMYFUNCTION("IF(Cost_in_dollars!E1220=""USD"",Cost_in_dollars!C1220,Cost_in_dollars!C1220 * GOOGLEFINANCE(""CURRENCY:"" &amp; Cost_in_dollars!E1220 &amp; ""USD""))
"),707821.05324)</f>
        <v>707821.05324000004</v>
      </c>
      <c r="Q1220" s="4">
        <f t="shared" ca="1" si="24"/>
        <v>-42681778.946759999</v>
      </c>
      <c r="R1220" s="5" t="str">
        <f t="shared" si="25"/>
        <v>Alex Rider: Operation Stormbreaker</v>
      </c>
      <c r="S1220" s="43" t="str">
        <f t="shared" si="29"/>
        <v>Action</v>
      </c>
    </row>
    <row r="1221" spans="1:19" ht="15.75" customHeight="1" x14ac:dyDescent="0.25">
      <c r="A1221" s="6" t="s">
        <v>3946</v>
      </c>
      <c r="B1221" s="6">
        <v>203</v>
      </c>
      <c r="C1221" s="6">
        <v>107515297</v>
      </c>
      <c r="D1221" s="6" t="s">
        <v>868</v>
      </c>
      <c r="E1221" s="6" t="s">
        <v>814</v>
      </c>
      <c r="F1221" s="6" t="s">
        <v>4368</v>
      </c>
      <c r="G1221" s="6">
        <v>85833</v>
      </c>
      <c r="H1221" s="6" t="s">
        <v>4369</v>
      </c>
      <c r="I1221" s="6">
        <v>113</v>
      </c>
      <c r="J1221" s="6" t="s">
        <v>23</v>
      </c>
      <c r="K1221" s="6" t="s">
        <v>24</v>
      </c>
      <c r="L1221" s="6">
        <v>100000000</v>
      </c>
      <c r="M1221" s="6">
        <v>2013</v>
      </c>
      <c r="N1221" s="6">
        <v>6.7</v>
      </c>
      <c r="O1221" s="4">
        <f ca="1">IFERROR(__xludf.DUMMYFUNCTION("IF(Cost_in_dollars!E1221=""USD"",Cost_in_dollars!B1221,Cost_in_dollars!B1221 * GOOGLEFINANCE(""CURRENCY:"" &amp; Cost_in_dollars!E1221 &amp; ""USD""))
"),100000000)</f>
        <v>100000000</v>
      </c>
      <c r="P1221" s="4">
        <f ca="1">IFERROR(__xludf.DUMMYFUNCTION("IF(Cost_in_dollars!E1221=""USD"",Cost_in_dollars!C1221,Cost_in_dollars!C1221 * GOOGLEFINANCE(""CURRENCY:"" &amp; Cost_in_dollars!E1221 &amp; ""USD""))
"),107515297)</f>
        <v>107515297</v>
      </c>
      <c r="Q1221" s="6">
        <f t="shared" ca="1" si="24"/>
        <v>7515297</v>
      </c>
      <c r="R1221" s="7" t="str">
        <f t="shared" si="25"/>
        <v>Epic</v>
      </c>
      <c r="S1221" s="43" t="str">
        <f t="shared" si="29"/>
        <v>Adventure</v>
      </c>
    </row>
    <row r="1222" spans="1:19" ht="15.75" customHeight="1" x14ac:dyDescent="0.25">
      <c r="A1222" s="4" t="s">
        <v>3423</v>
      </c>
      <c r="B1222" s="4">
        <v>123</v>
      </c>
      <c r="C1222" s="4">
        <v>548934</v>
      </c>
      <c r="D1222" s="4" t="s">
        <v>3436</v>
      </c>
      <c r="E1222" s="4" t="s">
        <v>3291</v>
      </c>
      <c r="F1222" s="4" t="s">
        <v>4370</v>
      </c>
      <c r="G1222" s="4">
        <v>16863</v>
      </c>
      <c r="H1222" s="4" t="s">
        <v>4371</v>
      </c>
      <c r="I1222" s="4">
        <v>57</v>
      </c>
      <c r="J1222" s="4" t="s">
        <v>23</v>
      </c>
      <c r="K1222" s="4" t="s">
        <v>596</v>
      </c>
      <c r="L1222" s="4">
        <v>12000000</v>
      </c>
      <c r="M1222" s="4">
        <v>2009</v>
      </c>
      <c r="N1222" s="4">
        <v>6.8</v>
      </c>
      <c r="O1222" s="4">
        <f ca="1">IFERROR(__xludf.DUMMYFUNCTION("IF(Cost_in_dollars!E1222=""USD"",Cost_in_dollars!B1222,Cost_in_dollars!B1222 * GOOGLEFINANCE(""CURRENCY:"" &amp; Cost_in_dollars!E1222 &amp; ""USD""))
"),13016880)</f>
        <v>13016880</v>
      </c>
      <c r="P1222" s="4">
        <f ca="1">IFERROR(__xludf.DUMMYFUNCTION("IF(Cost_in_dollars!E1222=""USD"",Cost_in_dollars!C1222,Cost_in_dollars!C1222 * GOOGLEFINANCE(""CURRENCY:"" &amp; Cost_in_dollars!E1222 &amp; ""USD""))
"),595450.66716)</f>
        <v>595450.66715999995</v>
      </c>
      <c r="Q1222" s="4">
        <f t="shared" ca="1" si="24"/>
        <v>-12421429.332839999</v>
      </c>
      <c r="R1222" s="5" t="str">
        <f t="shared" si="25"/>
        <v>Ondine</v>
      </c>
      <c r="S1222" s="43" t="str">
        <f t="shared" si="29"/>
        <v>Drama</v>
      </c>
    </row>
    <row r="1223" spans="1:19" ht="15.75" customHeight="1" x14ac:dyDescent="0.25">
      <c r="A1223" s="6" t="s">
        <v>3842</v>
      </c>
      <c r="B1223" s="6">
        <v>245</v>
      </c>
      <c r="C1223" s="6">
        <v>49551662</v>
      </c>
      <c r="D1223" s="6" t="s">
        <v>573</v>
      </c>
      <c r="E1223" s="6" t="s">
        <v>4372</v>
      </c>
      <c r="F1223" s="6" t="s">
        <v>4373</v>
      </c>
      <c r="G1223" s="6">
        <v>102338</v>
      </c>
      <c r="H1223" s="6" t="s">
        <v>4374</v>
      </c>
      <c r="I1223" s="6">
        <v>450</v>
      </c>
      <c r="J1223" s="6" t="s">
        <v>23</v>
      </c>
      <c r="K1223" s="6" t="s">
        <v>149</v>
      </c>
      <c r="L1223" s="6">
        <v>130000000</v>
      </c>
      <c r="M1223" s="6">
        <v>2008</v>
      </c>
      <c r="N1223" s="6">
        <v>6.6</v>
      </c>
      <c r="O1223" s="4">
        <f ca="1">IFERROR(__xludf.DUMMYFUNCTION("IF(Cost_in_dollars!E1223=""USD"",Cost_in_dollars!B1223,Cost_in_dollars!B1223 * GOOGLEFINANCE(""CURRENCY:"" &amp; Cost_in_dollars!E1223 &amp; ""USD""))
"),85004400)</f>
        <v>85004400</v>
      </c>
      <c r="P1223" s="4">
        <f ca="1">IFERROR(__xludf.DUMMYFUNCTION("IF(Cost_in_dollars!E1223=""USD"",Cost_in_dollars!C1223,Cost_in_dollars!C1223 * GOOGLEFINANCE(""CURRENCY:"" &amp; Cost_in_dollars!E1223 &amp; ""USD""))
"),32400840.74856)</f>
        <v>32400840.74856</v>
      </c>
      <c r="Q1223" s="6">
        <f t="shared" ca="1" si="24"/>
        <v>-52603559.251440004</v>
      </c>
      <c r="R1223" s="7" t="str">
        <f t="shared" si="25"/>
        <v>Australia</v>
      </c>
      <c r="S1223" s="43" t="str">
        <f t="shared" si="29"/>
        <v>Adventure</v>
      </c>
    </row>
    <row r="1224" spans="1:19" ht="15.75" customHeight="1" x14ac:dyDescent="0.25">
      <c r="A1224" s="4" t="s">
        <v>2520</v>
      </c>
      <c r="B1224" s="4">
        <v>81</v>
      </c>
      <c r="C1224" s="4">
        <v>111544445</v>
      </c>
      <c r="D1224" s="4" t="s">
        <v>613</v>
      </c>
      <c r="E1224" s="4" t="s">
        <v>2732</v>
      </c>
      <c r="F1224" s="4" t="s">
        <v>4375</v>
      </c>
      <c r="G1224" s="4">
        <v>188116</v>
      </c>
      <c r="H1224" s="4" t="s">
        <v>4376</v>
      </c>
      <c r="I1224" s="4">
        <v>415</v>
      </c>
      <c r="J1224" s="4" t="s">
        <v>23</v>
      </c>
      <c r="K1224" s="4" t="s">
        <v>24</v>
      </c>
      <c r="L1224" s="4">
        <v>90000000</v>
      </c>
      <c r="M1224" s="4">
        <v>1998</v>
      </c>
      <c r="N1224" s="4">
        <v>7.3</v>
      </c>
      <c r="O1224" s="4">
        <f ca="1">IFERROR(__xludf.DUMMYFUNCTION("IF(Cost_in_dollars!E1224=""USD"",Cost_in_dollars!B1224,Cost_in_dollars!B1224 * GOOGLEFINANCE(""CURRENCY:"" &amp; Cost_in_dollars!E1224 &amp; ""USD""))
"),90000000)</f>
        <v>90000000</v>
      </c>
      <c r="P1224" s="4">
        <f ca="1">IFERROR(__xludf.DUMMYFUNCTION("IF(Cost_in_dollars!E1224=""USD"",Cost_in_dollars!C1224,Cost_in_dollars!C1224 * GOOGLEFINANCE(""CURRENCY:"" &amp; Cost_in_dollars!E1224 &amp; ""USD""))
"),111544445)</f>
        <v>111544445</v>
      </c>
      <c r="Q1224" s="4">
        <f t="shared" ca="1" si="24"/>
        <v>21544445</v>
      </c>
      <c r="R1224" s="5" t="str">
        <f t="shared" si="25"/>
        <v>Enemy of the State</v>
      </c>
      <c r="S1224" s="43" t="str">
        <f t="shared" si="29"/>
        <v>Action</v>
      </c>
    </row>
    <row r="1225" spans="1:19" ht="15.75" customHeight="1" x14ac:dyDescent="0.25">
      <c r="A1225" s="6" t="s">
        <v>4377</v>
      </c>
      <c r="B1225" s="6">
        <v>165</v>
      </c>
      <c r="C1225" s="6">
        <v>4857376</v>
      </c>
      <c r="D1225" s="6" t="s">
        <v>162</v>
      </c>
      <c r="E1225" s="6" t="s">
        <v>456</v>
      </c>
      <c r="F1225" s="6" t="s">
        <v>4378</v>
      </c>
      <c r="G1225" s="6">
        <v>63084</v>
      </c>
      <c r="H1225" s="6" t="s">
        <v>4379</v>
      </c>
      <c r="I1225" s="6">
        <v>123</v>
      </c>
      <c r="J1225" s="6" t="s">
        <v>661</v>
      </c>
      <c r="K1225" s="6" t="s">
        <v>611</v>
      </c>
      <c r="L1225" s="6">
        <v>13000000</v>
      </c>
      <c r="M1225" s="6">
        <v>2006</v>
      </c>
      <c r="N1225" s="6">
        <v>7.3</v>
      </c>
      <c r="O1225" s="4">
        <f ca="1">IFERROR(__xludf.DUMMYFUNCTION("IF(Cost_in_dollars!E1225=""USD"",Cost_in_dollars!B1225,Cost_in_dollars!B1225 * GOOGLEFINANCE(""CURRENCY:"" &amp; Cost_in_dollars!E1225 &amp; ""USD""))
"),14101620)</f>
        <v>14101620</v>
      </c>
      <c r="P1225" s="4">
        <f ca="1">IFERROR(__xludf.DUMMYFUNCTION("IF(Cost_in_dollars!E1225=""USD"",Cost_in_dollars!C1225,Cost_in_dollars!C1225 * GOOGLEFINANCE(""CURRENCY:"" &amp; Cost_in_dollars!E1225 &amp; ""USD""))
"),5268990.04224)</f>
        <v>5268990.0422400003</v>
      </c>
      <c r="Q1225" s="6">
        <f t="shared" ca="1" si="24"/>
        <v>-8832629.9577599987</v>
      </c>
      <c r="R1225" s="7" t="str">
        <f t="shared" si="25"/>
        <v>Paris, je t'aime</v>
      </c>
      <c r="S1225" s="43" t="str">
        <f t="shared" si="29"/>
        <v>Comedy</v>
      </c>
    </row>
    <row r="1226" spans="1:19" ht="15.75" customHeight="1" x14ac:dyDescent="0.25">
      <c r="A1226" s="4" t="s">
        <v>2400</v>
      </c>
      <c r="B1226" s="4">
        <v>92</v>
      </c>
      <c r="C1226" s="4">
        <v>768045</v>
      </c>
      <c r="D1226" s="4" t="s">
        <v>73</v>
      </c>
      <c r="E1226" s="4" t="s">
        <v>1627</v>
      </c>
      <c r="F1226" s="4" t="s">
        <v>4380</v>
      </c>
      <c r="G1226" s="4">
        <v>19732</v>
      </c>
      <c r="H1226" s="4" t="s">
        <v>4381</v>
      </c>
      <c r="I1226" s="4">
        <v>120</v>
      </c>
      <c r="J1226" s="4" t="s">
        <v>23</v>
      </c>
      <c r="K1226" s="4" t="s">
        <v>133</v>
      </c>
      <c r="L1226" s="4">
        <v>2000000</v>
      </c>
      <c r="M1226" s="4">
        <v>2002</v>
      </c>
      <c r="N1226" s="4">
        <v>7.7</v>
      </c>
      <c r="O1226" s="4">
        <f ca="1">IFERROR(__xludf.DUMMYFUNCTION("IF(Cost_in_dollars!E1226=""USD"",Cost_in_dollars!B1226,Cost_in_dollars!B1226 * GOOGLEFINANCE(""CURRENCY:"" &amp; Cost_in_dollars!E1226 &amp; ""USD""))
"),2570799.99999999)</f>
        <v>2570799.9999999902</v>
      </c>
      <c r="P1226" s="4">
        <f ca="1">IFERROR(__xludf.DUMMYFUNCTION("IF(Cost_in_dollars!E1226=""USD"",Cost_in_dollars!C1226,Cost_in_dollars!C1226 * GOOGLEFINANCE(""CURRENCY:"" &amp; Cost_in_dollars!E1226 &amp; ""USD""))
"),987245.043)</f>
        <v>987245.04299999995</v>
      </c>
      <c r="Q1226" s="4">
        <f t="shared" ca="1" si="24"/>
        <v>-1583554.9569999902</v>
      </c>
      <c r="R1226" s="5" t="str">
        <f t="shared" si="25"/>
        <v>Bloody Sunday</v>
      </c>
      <c r="S1226" s="43" t="str">
        <f t="shared" si="29"/>
        <v>Drama</v>
      </c>
    </row>
    <row r="1227" spans="1:19" ht="15.75" customHeight="1" x14ac:dyDescent="0.25">
      <c r="A1227" s="6" t="s">
        <v>4382</v>
      </c>
      <c r="B1227" s="6">
        <v>148</v>
      </c>
      <c r="C1227" s="6">
        <v>31655091</v>
      </c>
      <c r="D1227" s="6" t="s">
        <v>421</v>
      </c>
      <c r="E1227" s="6" t="s">
        <v>676</v>
      </c>
      <c r="F1227" s="6" t="s">
        <v>4383</v>
      </c>
      <c r="G1227" s="6">
        <v>87331</v>
      </c>
      <c r="H1227" s="6" t="s">
        <v>4384</v>
      </c>
      <c r="I1227" s="6">
        <v>364</v>
      </c>
      <c r="J1227" s="6" t="s">
        <v>23</v>
      </c>
      <c r="K1227" s="6" t="s">
        <v>24</v>
      </c>
      <c r="L1227" s="6">
        <v>30000000</v>
      </c>
      <c r="M1227" s="6">
        <v>2007</v>
      </c>
      <c r="N1227" s="6">
        <v>7.5</v>
      </c>
      <c r="O1227" s="4">
        <f ca="1">IFERROR(__xludf.DUMMYFUNCTION("IF(Cost_in_dollars!E1227=""USD"",Cost_in_dollars!B1227,Cost_in_dollars!B1227 * GOOGLEFINANCE(""CURRENCY:"" &amp; Cost_in_dollars!E1227 &amp; ""USD""))
"),30000000)</f>
        <v>30000000</v>
      </c>
      <c r="P1227" s="4">
        <f ca="1">IFERROR(__xludf.DUMMYFUNCTION("IF(Cost_in_dollars!E1227=""USD"",Cost_in_dollars!C1227,Cost_in_dollars!C1227 * GOOGLEFINANCE(""CURRENCY:"" &amp; Cost_in_dollars!E1227 &amp; ""USD""))
"),31655091)</f>
        <v>31655091</v>
      </c>
      <c r="Q1227" s="6">
        <f t="shared" ca="1" si="24"/>
        <v>1655091</v>
      </c>
      <c r="R1227" s="7" t="str">
        <f t="shared" si="25"/>
        <v>August Rush</v>
      </c>
      <c r="S1227" s="43" t="str">
        <f t="shared" si="29"/>
        <v>Drama</v>
      </c>
    </row>
    <row r="1228" spans="1:19" ht="15.75" customHeight="1" x14ac:dyDescent="0.25">
      <c r="A1228" s="4" t="s">
        <v>1201</v>
      </c>
      <c r="B1228" s="4">
        <v>165</v>
      </c>
      <c r="C1228" s="4">
        <v>177343675</v>
      </c>
      <c r="D1228" s="4" t="s">
        <v>417</v>
      </c>
      <c r="E1228" s="4" t="s">
        <v>1202</v>
      </c>
      <c r="F1228" s="4" t="s">
        <v>1203</v>
      </c>
      <c r="G1228" s="4">
        <v>70133</v>
      </c>
      <c r="H1228" s="4" t="s">
        <v>1204</v>
      </c>
      <c r="I1228" s="4">
        <v>214</v>
      </c>
      <c r="J1228" s="4" t="s">
        <v>23</v>
      </c>
      <c r="K1228" s="4" t="s">
        <v>24</v>
      </c>
      <c r="L1228" s="4">
        <v>135000000</v>
      </c>
      <c r="M1228" s="4">
        <v>2015</v>
      </c>
      <c r="N1228" s="4">
        <v>6.7</v>
      </c>
      <c r="O1228" s="4">
        <f ca="1">IFERROR(__xludf.DUMMYFUNCTION("IF(Cost_in_dollars!E1228=""USD"",Cost_in_dollars!B1228,Cost_in_dollars!B1228 * GOOGLEFINANCE(""CURRENCY:"" &amp; Cost_in_dollars!E1228 &amp; ""USD""))
"),135000000)</f>
        <v>135000000</v>
      </c>
      <c r="P1228" s="4">
        <f ca="1">IFERROR(__xludf.DUMMYFUNCTION("IF(Cost_in_dollars!E1228=""USD"",Cost_in_dollars!C1228,Cost_in_dollars!C1228 * GOOGLEFINANCE(""CURRENCY:"" &amp; Cost_in_dollars!E1228 &amp; ""USD""))
"),177343675)</f>
        <v>177343675</v>
      </c>
      <c r="Q1228" s="4">
        <f t="shared" ca="1" si="24"/>
        <v>42343675</v>
      </c>
      <c r="R1228" s="5" t="str">
        <f t="shared" si="25"/>
        <v>Home</v>
      </c>
      <c r="S1228" s="43" t="str">
        <f t="shared" si="29"/>
        <v>Adventure</v>
      </c>
    </row>
    <row r="1229" spans="1:19" ht="15.75" customHeight="1" x14ac:dyDescent="0.25">
      <c r="A1229" s="6" t="s">
        <v>2307</v>
      </c>
      <c r="B1229" s="6">
        <v>197</v>
      </c>
      <c r="C1229" s="6">
        <v>12995673</v>
      </c>
      <c r="D1229" s="6" t="s">
        <v>4385</v>
      </c>
      <c r="E1229" s="6" t="s">
        <v>4386</v>
      </c>
      <c r="F1229" s="6" t="s">
        <v>4387</v>
      </c>
      <c r="G1229" s="6">
        <v>52286</v>
      </c>
      <c r="H1229" s="6" t="s">
        <v>4388</v>
      </c>
      <c r="I1229" s="6">
        <v>345</v>
      </c>
      <c r="J1229" s="6" t="s">
        <v>23</v>
      </c>
      <c r="K1229" s="6" t="s">
        <v>24</v>
      </c>
      <c r="L1229" s="6">
        <v>2500000</v>
      </c>
      <c r="M1229" s="6">
        <v>2008</v>
      </c>
      <c r="N1229" s="6">
        <v>7.7</v>
      </c>
      <c r="O1229" s="4">
        <f ca="1">IFERROR(__xludf.DUMMYFUNCTION("IF(Cost_in_dollars!E1229=""USD"",Cost_in_dollars!B1229,Cost_in_dollars!B1229 * GOOGLEFINANCE(""CURRENCY:"" &amp; Cost_in_dollars!E1229 &amp; ""USD""))
"),2500000)</f>
        <v>2500000</v>
      </c>
      <c r="P1229" s="4">
        <f ca="1">IFERROR(__xludf.DUMMYFUNCTION("IF(Cost_in_dollars!E1229=""USD"",Cost_in_dollars!C1229,Cost_in_dollars!C1229 * GOOGLEFINANCE(""CURRENCY:"" &amp; Cost_in_dollars!E1229 &amp; ""USD""))
"),12995673)</f>
        <v>12995673</v>
      </c>
      <c r="Q1229" s="6">
        <f t="shared" ca="1" si="24"/>
        <v>10495673</v>
      </c>
      <c r="R1229" s="7" t="str">
        <f t="shared" si="25"/>
        <v>Religulous</v>
      </c>
      <c r="S1229" s="43" t="str">
        <f t="shared" si="29"/>
        <v>Comedy</v>
      </c>
    </row>
    <row r="1230" spans="1:19" ht="15.75" customHeight="1" x14ac:dyDescent="0.25">
      <c r="A1230" s="4" t="s">
        <v>1604</v>
      </c>
      <c r="B1230" s="4">
        <v>141</v>
      </c>
      <c r="C1230" s="4">
        <v>71069884</v>
      </c>
      <c r="D1230" s="4" t="s">
        <v>116</v>
      </c>
      <c r="E1230" s="4" t="s">
        <v>886</v>
      </c>
      <c r="F1230" s="4" t="s">
        <v>4389</v>
      </c>
      <c r="G1230" s="4">
        <v>101899</v>
      </c>
      <c r="H1230" s="4" t="s">
        <v>4390</v>
      </c>
      <c r="I1230" s="4">
        <v>445</v>
      </c>
      <c r="J1230" s="4" t="s">
        <v>23</v>
      </c>
      <c r="K1230" s="4" t="s">
        <v>24</v>
      </c>
      <c r="L1230" s="4">
        <v>68000000</v>
      </c>
      <c r="M1230" s="4">
        <v>2001</v>
      </c>
      <c r="N1230" s="4">
        <v>6.8</v>
      </c>
      <c r="O1230" s="4">
        <f ca="1">IFERROR(__xludf.DUMMYFUNCTION("IF(Cost_in_dollars!E1230=""USD"",Cost_in_dollars!B1230,Cost_in_dollars!B1230 * GOOGLEFINANCE(""CURRENCY:"" &amp; Cost_in_dollars!E1230 &amp; ""USD""))
"),68000000)</f>
        <v>68000000</v>
      </c>
      <c r="P1230" s="4">
        <f ca="1">IFERROR(__xludf.DUMMYFUNCTION("IF(Cost_in_dollars!E1230=""USD"",Cost_in_dollars!C1230,Cost_in_dollars!C1230 * GOOGLEFINANCE(""CURRENCY:"" &amp; Cost_in_dollars!E1230 &amp; ""USD""))
"),71069884)</f>
        <v>71069884</v>
      </c>
      <c r="Q1230" s="4">
        <f t="shared" ca="1" si="24"/>
        <v>3069884</v>
      </c>
      <c r="R1230" s="5" t="str">
        <f t="shared" si="25"/>
        <v>The Score</v>
      </c>
      <c r="S1230" s="43" t="str">
        <f t="shared" si="29"/>
        <v>Crime</v>
      </c>
    </row>
    <row r="1231" spans="1:19" ht="15.75" customHeight="1" x14ac:dyDescent="0.25">
      <c r="A1231" s="6" t="s">
        <v>4391</v>
      </c>
      <c r="B1231" s="6">
        <v>73</v>
      </c>
      <c r="C1231" s="6">
        <v>100675</v>
      </c>
      <c r="D1231" s="6" t="s">
        <v>254</v>
      </c>
      <c r="E1231" s="6" t="s">
        <v>4392</v>
      </c>
      <c r="F1231" s="6" t="s">
        <v>4393</v>
      </c>
      <c r="G1231" s="6">
        <v>5695</v>
      </c>
      <c r="H1231" s="6" t="s">
        <v>4394</v>
      </c>
      <c r="I1231" s="6">
        <v>23</v>
      </c>
      <c r="J1231" s="6" t="s">
        <v>23</v>
      </c>
      <c r="K1231" s="6" t="s">
        <v>24</v>
      </c>
      <c r="L1231" s="6">
        <v>3000000</v>
      </c>
      <c r="M1231" s="6">
        <v>2010</v>
      </c>
      <c r="N1231" s="6">
        <v>6.4</v>
      </c>
      <c r="O1231" s="4">
        <f ca="1">IFERROR(__xludf.DUMMYFUNCTION("IF(Cost_in_dollars!E1231=""USD"",Cost_in_dollars!B1231,Cost_in_dollars!B1231 * GOOGLEFINANCE(""CURRENCY:"" &amp; Cost_in_dollars!E1231 &amp; ""USD""))
"),3000000)</f>
        <v>3000000</v>
      </c>
      <c r="P1231" s="4">
        <f ca="1">IFERROR(__xludf.DUMMYFUNCTION("IF(Cost_in_dollars!E1231=""USD"",Cost_in_dollars!C1231,Cost_in_dollars!C1231 * GOOGLEFINANCE(""CURRENCY:"" &amp; Cost_in_dollars!E1231 &amp; ""USD""))
"),100675)</f>
        <v>100675</v>
      </c>
      <c r="Q1231" s="6">
        <f t="shared" ca="1" si="24"/>
        <v>-2899325</v>
      </c>
      <c r="R1231" s="7" t="str">
        <f t="shared" si="25"/>
        <v>Freakonomics</v>
      </c>
      <c r="S1231" s="43" t="str">
        <f t="shared" si="29"/>
        <v>Documentary</v>
      </c>
    </row>
    <row r="1232" spans="1:19" ht="15.75" customHeight="1" x14ac:dyDescent="0.25">
      <c r="A1232" s="4" t="s">
        <v>1858</v>
      </c>
      <c r="B1232" s="4">
        <v>81</v>
      </c>
      <c r="C1232" s="4">
        <v>112935</v>
      </c>
      <c r="D1232" s="4" t="s">
        <v>102</v>
      </c>
      <c r="E1232" s="4" t="s">
        <v>4395</v>
      </c>
      <c r="F1232" s="4" t="s">
        <v>4396</v>
      </c>
      <c r="G1232" s="4">
        <v>8161</v>
      </c>
      <c r="H1232" s="4" t="s">
        <v>4397</v>
      </c>
      <c r="I1232" s="4">
        <v>94</v>
      </c>
      <c r="J1232" s="4" t="s">
        <v>23</v>
      </c>
      <c r="K1232" s="4" t="s">
        <v>133</v>
      </c>
      <c r="L1232" s="4">
        <v>9000000</v>
      </c>
      <c r="M1232" s="4">
        <v>2002</v>
      </c>
      <c r="N1232" s="4">
        <v>7.6</v>
      </c>
      <c r="O1232" s="4">
        <f ca="1">IFERROR(__xludf.DUMMYFUNCTION("IF(Cost_in_dollars!E1232=""USD"",Cost_in_dollars!B1232,Cost_in_dollars!B1232 * GOOGLEFINANCE(""CURRENCY:"" &amp; Cost_in_dollars!E1232 &amp; ""USD""))
"),11568599.9999999)</f>
        <v>11568599.999999899</v>
      </c>
      <c r="P1232" s="4">
        <f ca="1">IFERROR(__xludf.DUMMYFUNCTION("IF(Cost_in_dollars!E1232=""USD"",Cost_in_dollars!C1232,Cost_in_dollars!C1232 * GOOGLEFINANCE(""CURRENCY:"" &amp; Cost_in_dollars!E1232 &amp; ""USD""))
"),145166.648999999)</f>
        <v>145166.64899999899</v>
      </c>
      <c r="Q1232" s="4">
        <f t="shared" ca="1" si="24"/>
        <v>-11423433.350999901</v>
      </c>
      <c r="R1232" s="5" t="str">
        <f t="shared" si="25"/>
        <v>All or Nothing</v>
      </c>
      <c r="S1232" s="43" t="str">
        <f t="shared" si="29"/>
        <v>Drama</v>
      </c>
    </row>
    <row r="1233" spans="1:19" ht="15.75" customHeight="1" x14ac:dyDescent="0.25">
      <c r="A1233" s="6" t="s">
        <v>4398</v>
      </c>
      <c r="B1233" s="6">
        <v>68</v>
      </c>
      <c r="C1233" s="6">
        <v>117190</v>
      </c>
      <c r="D1233" s="6" t="s">
        <v>268</v>
      </c>
      <c r="E1233" s="6" t="s">
        <v>4399</v>
      </c>
      <c r="F1233" s="6" t="s">
        <v>4400</v>
      </c>
      <c r="G1233" s="6">
        <v>29994</v>
      </c>
      <c r="H1233" s="6" t="s">
        <v>4401</v>
      </c>
      <c r="I1233" s="6">
        <v>86</v>
      </c>
      <c r="J1233" s="6" t="s">
        <v>23</v>
      </c>
      <c r="K1233" s="6" t="s">
        <v>133</v>
      </c>
      <c r="L1233" s="6">
        <v>8000000</v>
      </c>
      <c r="M1233" s="6">
        <v>2010</v>
      </c>
      <c r="N1233" s="6">
        <v>6.9</v>
      </c>
      <c r="O1233" s="4">
        <f ca="1">IFERROR(__xludf.DUMMYFUNCTION("IF(Cost_in_dollars!E1233=""USD"",Cost_in_dollars!B1233,Cost_in_dollars!B1233 * GOOGLEFINANCE(""CURRENCY:"" &amp; Cost_in_dollars!E1233 &amp; ""USD""))
"),10283199.9999999)</f>
        <v>10283199.999999899</v>
      </c>
      <c r="P1233" s="4">
        <f ca="1">IFERROR(__xludf.DUMMYFUNCTION("IF(Cost_in_dollars!E1233=""USD"",Cost_in_dollars!C1233,Cost_in_dollars!C1233 * GOOGLEFINANCE(""CURRENCY:"" &amp; Cost_in_dollars!E1233 &amp; ""USD""))
"),150636.025999999)</f>
        <v>150636.02599999899</v>
      </c>
      <c r="Q1233" s="6">
        <f t="shared" ca="1" si="24"/>
        <v>-10132563.973999901</v>
      </c>
      <c r="R1233" s="7" t="str">
        <f t="shared" si="25"/>
        <v>Wild Target</v>
      </c>
      <c r="S1233" s="43" t="str">
        <f t="shared" si="29"/>
        <v>Action</v>
      </c>
    </row>
    <row r="1234" spans="1:19" ht="15.75" customHeight="1" x14ac:dyDescent="0.25">
      <c r="A1234" s="4" t="s">
        <v>2307</v>
      </c>
      <c r="B1234" s="4">
        <v>288</v>
      </c>
      <c r="C1234" s="4">
        <v>59992760</v>
      </c>
      <c r="D1234" s="4" t="s">
        <v>140</v>
      </c>
      <c r="E1234" s="4" t="s">
        <v>4402</v>
      </c>
      <c r="F1234" s="4" t="s">
        <v>4403</v>
      </c>
      <c r="G1234" s="4">
        <v>119622</v>
      </c>
      <c r="H1234" s="4" t="s">
        <v>4404</v>
      </c>
      <c r="I1234" s="4">
        <v>396</v>
      </c>
      <c r="J1234" s="4" t="s">
        <v>23</v>
      </c>
      <c r="K1234" s="4" t="s">
        <v>24</v>
      </c>
      <c r="L1234" s="4">
        <v>42000000</v>
      </c>
      <c r="M1234" s="4">
        <v>2009</v>
      </c>
      <c r="N1234" s="4">
        <v>5.8</v>
      </c>
      <c r="O1234" s="4">
        <f ca="1">IFERROR(__xludf.DUMMYFUNCTION("IF(Cost_in_dollars!E1234=""USD"",Cost_in_dollars!B1234,Cost_in_dollars!B1234 * GOOGLEFINANCE(""CURRENCY:"" &amp; Cost_in_dollars!E1234 &amp; ""USD""))
"),42000000)</f>
        <v>42000000</v>
      </c>
      <c r="P1234" s="4">
        <f ca="1">IFERROR(__xludf.DUMMYFUNCTION("IF(Cost_in_dollars!E1234=""USD"",Cost_in_dollars!C1234,Cost_in_dollars!C1234 * GOOGLEFINANCE(""CURRENCY:"" &amp; Cost_in_dollars!E1234 &amp; ""USD""))
"),59992760)</f>
        <v>59992760</v>
      </c>
      <c r="Q1234" s="4">
        <f t="shared" ca="1" si="24"/>
        <v>17992760</v>
      </c>
      <c r="R1234" s="5" t="str">
        <f t="shared" si="25"/>
        <v>BrÃ¼no</v>
      </c>
      <c r="S1234" s="43" t="str">
        <f t="shared" si="29"/>
        <v>Comedy</v>
      </c>
    </row>
    <row r="1235" spans="1:19" ht="15.75" customHeight="1" x14ac:dyDescent="0.25">
      <c r="A1235" s="6" t="s">
        <v>4405</v>
      </c>
      <c r="B1235" s="6">
        <v>195</v>
      </c>
      <c r="C1235" s="6">
        <v>12055108</v>
      </c>
      <c r="D1235" s="6" t="s">
        <v>457</v>
      </c>
      <c r="E1235" s="6" t="s">
        <v>809</v>
      </c>
      <c r="F1235" s="6" t="s">
        <v>4406</v>
      </c>
      <c r="G1235" s="6">
        <v>61151</v>
      </c>
      <c r="H1235" s="6" t="s">
        <v>4407</v>
      </c>
      <c r="I1235" s="6">
        <v>134</v>
      </c>
      <c r="J1235" s="6" t="s">
        <v>23</v>
      </c>
      <c r="K1235" s="6" t="s">
        <v>24</v>
      </c>
      <c r="L1235" s="6">
        <v>8000000</v>
      </c>
      <c r="M1235" s="6">
        <v>2008</v>
      </c>
      <c r="N1235" s="6">
        <v>6.9</v>
      </c>
      <c r="O1235" s="4">
        <f ca="1">IFERROR(__xludf.DUMMYFUNCTION("IF(Cost_in_dollars!E1235=""USD"",Cost_in_dollars!B1235,Cost_in_dollars!B1235 * GOOGLEFINANCE(""CURRENCY:"" &amp; Cost_in_dollars!E1235 &amp; ""USD""))
"),8000000)</f>
        <v>8000000</v>
      </c>
      <c r="P1235" s="4">
        <f ca="1">IFERROR(__xludf.DUMMYFUNCTION("IF(Cost_in_dollars!E1235=""USD"",Cost_in_dollars!C1235,Cost_in_dollars!C1235 * GOOGLEFINANCE(""CURRENCY:"" &amp; Cost_in_dollars!E1235 &amp; ""USD""))
"),12055108)</f>
        <v>12055108</v>
      </c>
      <c r="Q1235" s="6">
        <f t="shared" ca="1" si="24"/>
        <v>4055108</v>
      </c>
      <c r="R1235" s="7" t="str">
        <f t="shared" si="25"/>
        <v>Sunshine Cleaning</v>
      </c>
      <c r="S1235" s="43" t="str">
        <f t="shared" si="29"/>
        <v>Comedy</v>
      </c>
    </row>
    <row r="1236" spans="1:19" ht="15.75" customHeight="1" x14ac:dyDescent="0.25">
      <c r="A1236" s="4" t="s">
        <v>4408</v>
      </c>
      <c r="B1236" s="4">
        <v>264</v>
      </c>
      <c r="C1236" s="4">
        <v>49122319</v>
      </c>
      <c r="D1236" s="4" t="s">
        <v>309</v>
      </c>
      <c r="E1236" s="4" t="s">
        <v>4409</v>
      </c>
      <c r="F1236" s="4" t="s">
        <v>4410</v>
      </c>
      <c r="G1236" s="4">
        <v>47169</v>
      </c>
      <c r="H1236" s="4" t="s">
        <v>4411</v>
      </c>
      <c r="I1236" s="4">
        <v>162</v>
      </c>
      <c r="J1236" s="4" t="s">
        <v>23</v>
      </c>
      <c r="K1236" s="4" t="s">
        <v>24</v>
      </c>
      <c r="L1236" s="4">
        <v>14000000</v>
      </c>
      <c r="M1236" s="4">
        <v>2012</v>
      </c>
      <c r="N1236" s="4">
        <v>5.9</v>
      </c>
      <c r="O1236" s="4">
        <f ca="1">IFERROR(__xludf.DUMMYFUNCTION("IF(Cost_in_dollars!E1236=""USD"",Cost_in_dollars!B1236,Cost_in_dollars!B1236 * GOOGLEFINANCE(""CURRENCY:"" &amp; Cost_in_dollars!E1236 &amp; ""USD""))
"),14000000)</f>
        <v>14000000</v>
      </c>
      <c r="P1236" s="4">
        <f ca="1">IFERROR(__xludf.DUMMYFUNCTION("IF(Cost_in_dollars!E1236=""USD"",Cost_in_dollars!C1236,Cost_in_dollars!C1236 * GOOGLEFINANCE(""CURRENCY:"" &amp; Cost_in_dollars!E1236 &amp; ""USD""))
"),49122319)</f>
        <v>49122319</v>
      </c>
      <c r="Q1236" s="4">
        <f t="shared" ca="1" si="24"/>
        <v>35122319</v>
      </c>
      <c r="R1236" s="5" t="str">
        <f t="shared" si="25"/>
        <v>The Possession</v>
      </c>
      <c r="S1236" s="43" t="str">
        <f t="shared" si="29"/>
        <v>Horror</v>
      </c>
    </row>
    <row r="1237" spans="1:19" ht="15.75" customHeight="1" x14ac:dyDescent="0.25">
      <c r="A1237" s="6" t="s">
        <v>4412</v>
      </c>
      <c r="B1237" s="6">
        <v>39</v>
      </c>
      <c r="C1237" s="6">
        <v>2557668</v>
      </c>
      <c r="D1237" s="6" t="s">
        <v>116</v>
      </c>
      <c r="E1237" s="6" t="s">
        <v>3269</v>
      </c>
      <c r="F1237" s="6" t="s">
        <v>4413</v>
      </c>
      <c r="G1237" s="6">
        <v>3911</v>
      </c>
      <c r="H1237" s="6" t="s">
        <v>4414</v>
      </c>
      <c r="I1237" s="6">
        <v>22</v>
      </c>
      <c r="J1237" s="6" t="s">
        <v>23</v>
      </c>
      <c r="K1237" s="6" t="s">
        <v>24</v>
      </c>
      <c r="L1237" s="6">
        <v>2000000</v>
      </c>
      <c r="M1237" s="6">
        <v>2015</v>
      </c>
      <c r="N1237" s="6">
        <v>5.3</v>
      </c>
      <c r="O1237" s="4">
        <f ca="1">IFERROR(__xludf.DUMMYFUNCTION("IF(Cost_in_dollars!E1237=""USD"",Cost_in_dollars!B1237,Cost_in_dollars!B1237 * GOOGLEFINANCE(""CURRENCY:"" &amp; Cost_in_dollars!E1237 &amp; ""USD""))
"),2000000)</f>
        <v>2000000</v>
      </c>
      <c r="P1237" s="4">
        <f ca="1">IFERROR(__xludf.DUMMYFUNCTION("IF(Cost_in_dollars!E1237=""USD"",Cost_in_dollars!C1237,Cost_in_dollars!C1237 * GOOGLEFINANCE(""CURRENCY:"" &amp; Cost_in_dollars!E1237 &amp; ""USD""))
"),2557668)</f>
        <v>2557668</v>
      </c>
      <c r="Q1237" s="6">
        <f t="shared" ca="1" si="24"/>
        <v>557668</v>
      </c>
      <c r="R1237" s="7" t="str">
        <f t="shared" si="25"/>
        <v>Captive</v>
      </c>
      <c r="S1237" s="43" t="str">
        <f t="shared" si="29"/>
        <v>Crime</v>
      </c>
    </row>
    <row r="1238" spans="1:19" ht="15.75" customHeight="1" x14ac:dyDescent="0.25">
      <c r="A1238" s="4" t="s">
        <v>258</v>
      </c>
      <c r="B1238" s="4">
        <v>211</v>
      </c>
      <c r="C1238" s="4">
        <v>216366733</v>
      </c>
      <c r="D1238" s="4" t="s">
        <v>1827</v>
      </c>
      <c r="E1238" s="4" t="s">
        <v>269</v>
      </c>
      <c r="F1238" s="4" t="s">
        <v>4415</v>
      </c>
      <c r="G1238" s="4">
        <v>119213</v>
      </c>
      <c r="H1238" s="4" t="s">
        <v>4416</v>
      </c>
      <c r="I1238" s="4">
        <v>154</v>
      </c>
      <c r="J1238" s="4" t="s">
        <v>23</v>
      </c>
      <c r="K1238" s="4" t="s">
        <v>24</v>
      </c>
      <c r="L1238" s="4">
        <v>145000000</v>
      </c>
      <c r="M1238" s="4">
        <v>2012</v>
      </c>
      <c r="N1238" s="4">
        <v>6.9</v>
      </c>
      <c r="O1238" s="4">
        <f ca="1">IFERROR(__xludf.DUMMYFUNCTION("IF(Cost_in_dollars!E1238=""USD"",Cost_in_dollars!B1238,Cost_in_dollars!B1238 * GOOGLEFINANCE(""CURRENCY:"" &amp; Cost_in_dollars!E1238 &amp; ""USD""))
"),145000000)</f>
        <v>145000000</v>
      </c>
      <c r="P1238" s="4">
        <f ca="1">IFERROR(__xludf.DUMMYFUNCTION("IF(Cost_in_dollars!E1238=""USD"",Cost_in_dollars!C1238,Cost_in_dollars!C1238 * GOOGLEFINANCE(""CURRENCY:"" &amp; Cost_in_dollars!E1238 &amp; ""USD""))
"),216366733)</f>
        <v>216366733</v>
      </c>
      <c r="Q1238" s="4">
        <f t="shared" ca="1" si="24"/>
        <v>71366733</v>
      </c>
      <c r="R1238" s="5" t="str">
        <f t="shared" si="25"/>
        <v>Madagascar 3: Europe's Most Wanted</v>
      </c>
      <c r="S1238" s="43" t="str">
        <f t="shared" si="29"/>
        <v>Adventure</v>
      </c>
    </row>
    <row r="1239" spans="1:19" ht="15.75" customHeight="1" x14ac:dyDescent="0.25">
      <c r="A1239" s="6" t="s">
        <v>4417</v>
      </c>
      <c r="B1239" s="6">
        <v>26</v>
      </c>
      <c r="C1239" s="6">
        <v>32230907</v>
      </c>
      <c r="D1239" s="6" t="s">
        <v>3803</v>
      </c>
      <c r="E1239" s="6" t="s">
        <v>4418</v>
      </c>
      <c r="F1239" s="6" t="s">
        <v>4419</v>
      </c>
      <c r="G1239" s="6">
        <v>6062</v>
      </c>
      <c r="H1239" s="6" t="s">
        <v>4420</v>
      </c>
      <c r="I1239" s="6">
        <v>30</v>
      </c>
      <c r="J1239" s="6" t="s">
        <v>23</v>
      </c>
      <c r="K1239" s="6" t="s">
        <v>24</v>
      </c>
      <c r="L1239" s="6">
        <v>2500000</v>
      </c>
      <c r="M1239" s="6">
        <v>2013</v>
      </c>
      <c r="N1239" s="6">
        <v>6.7</v>
      </c>
      <c r="O1239" s="4">
        <f ca="1">IFERROR(__xludf.DUMMYFUNCTION("IF(Cost_in_dollars!E1239=""USD"",Cost_in_dollars!B1239,Cost_in_dollars!B1239 * GOOGLEFINANCE(""CURRENCY:"" &amp; Cost_in_dollars!E1239 &amp; ""USD""))
"),2500000)</f>
        <v>2500000</v>
      </c>
      <c r="P1239" s="4">
        <f ca="1">IFERROR(__xludf.DUMMYFUNCTION("IF(Cost_in_dollars!E1239=""USD"",Cost_in_dollars!C1239,Cost_in_dollars!C1239 * GOOGLEFINANCE(""CURRENCY:"" &amp; Cost_in_dollars!E1239 &amp; ""USD""))
"),32230907)</f>
        <v>32230907</v>
      </c>
      <c r="Q1239" s="6">
        <f t="shared" ca="1" si="24"/>
        <v>29730907</v>
      </c>
      <c r="R1239" s="7" t="str">
        <f t="shared" si="25"/>
        <v>Kevin Hart: Let Me Explain</v>
      </c>
      <c r="S1239" s="43" t="str">
        <f t="shared" si="29"/>
        <v>Comedy</v>
      </c>
    </row>
    <row r="1240" spans="1:19" ht="15.75" customHeight="1" x14ac:dyDescent="0.25">
      <c r="A1240" s="4" t="s">
        <v>4421</v>
      </c>
      <c r="B1240" s="4">
        <v>224</v>
      </c>
      <c r="C1240" s="4">
        <v>10640645</v>
      </c>
      <c r="D1240" s="4" t="s">
        <v>613</v>
      </c>
      <c r="E1240" s="4" t="s">
        <v>27</v>
      </c>
      <c r="F1240" s="4" t="s">
        <v>4422</v>
      </c>
      <c r="G1240" s="4">
        <v>28429</v>
      </c>
      <c r="H1240" s="4" t="s">
        <v>4423</v>
      </c>
      <c r="I1240" s="4">
        <v>110</v>
      </c>
      <c r="J1240" s="4" t="s">
        <v>23</v>
      </c>
      <c r="K1240" s="4" t="s">
        <v>24</v>
      </c>
      <c r="L1240" s="4">
        <v>40000000</v>
      </c>
      <c r="M1240" s="4">
        <v>2015</v>
      </c>
      <c r="N1240" s="4">
        <v>5.8</v>
      </c>
      <c r="O1240" s="4">
        <f ca="1">IFERROR(__xludf.DUMMYFUNCTION("IF(Cost_in_dollars!E1240=""USD"",Cost_in_dollars!B1240,Cost_in_dollars!B1240 * GOOGLEFINANCE(""CURRENCY:"" &amp; Cost_in_dollars!E1240 &amp; ""USD""))
"),40000000)</f>
        <v>40000000</v>
      </c>
      <c r="P1240" s="4">
        <f ca="1">IFERROR(__xludf.DUMMYFUNCTION("IF(Cost_in_dollars!E1240=""USD"",Cost_in_dollars!C1240,Cost_in_dollars!C1240 * GOOGLEFINANCE(""CURRENCY:"" &amp; Cost_in_dollars!E1240 &amp; ""USD""))
"),10640645)</f>
        <v>10640645</v>
      </c>
      <c r="Q1240" s="4">
        <f t="shared" ca="1" si="24"/>
        <v>-29359355</v>
      </c>
      <c r="R1240" s="5" t="str">
        <f t="shared" si="25"/>
        <v>The Gunman</v>
      </c>
      <c r="S1240" s="43" t="str">
        <f t="shared" si="29"/>
        <v>Action</v>
      </c>
    </row>
    <row r="1241" spans="1:19" ht="15.75" customHeight="1" x14ac:dyDescent="0.25">
      <c r="A1241" s="6" t="s">
        <v>1882</v>
      </c>
      <c r="B1241" s="6">
        <v>29</v>
      </c>
      <c r="C1241" s="6">
        <v>41067398</v>
      </c>
      <c r="D1241" s="6" t="s">
        <v>793</v>
      </c>
      <c r="E1241" s="6" t="s">
        <v>4424</v>
      </c>
      <c r="F1241" s="6" t="s">
        <v>4425</v>
      </c>
      <c r="G1241" s="6">
        <v>22748</v>
      </c>
      <c r="H1241" s="6" t="s">
        <v>4426</v>
      </c>
      <c r="I1241" s="6">
        <v>41</v>
      </c>
      <c r="J1241" s="6" t="s">
        <v>23</v>
      </c>
      <c r="K1241" s="6" t="s">
        <v>24</v>
      </c>
      <c r="L1241" s="6">
        <v>25000000</v>
      </c>
      <c r="M1241" s="6">
        <v>1997</v>
      </c>
      <c r="N1241" s="6">
        <v>6.1</v>
      </c>
      <c r="O1241" s="4">
        <f ca="1">IFERROR(__xludf.DUMMYFUNCTION("IF(Cost_in_dollars!E1241=""USD"",Cost_in_dollars!B1241,Cost_in_dollars!B1241 * GOOGLEFINANCE(""CURRENCY:"" &amp; Cost_in_dollars!E1241 &amp; ""USD""))
"),25000000)</f>
        <v>25000000</v>
      </c>
      <c r="P1241" s="4">
        <f ca="1">IFERROR(__xludf.DUMMYFUNCTION("IF(Cost_in_dollars!E1241=""USD"",Cost_in_dollars!C1241,Cost_in_dollars!C1241 * GOOGLEFINANCE(""CURRENCY:"" &amp; Cost_in_dollars!E1241 &amp; ""USD""))
"),41067398)</f>
        <v>41067398</v>
      </c>
      <c r="Q1241" s="6">
        <f t="shared" ca="1" si="24"/>
        <v>16067398</v>
      </c>
      <c r="R1241" s="7" t="str">
        <f t="shared" si="25"/>
        <v>Money Talks</v>
      </c>
      <c r="S1241" s="43" t="str">
        <f t="shared" si="29"/>
        <v>Action</v>
      </c>
    </row>
    <row r="1242" spans="1:19" ht="15.75" customHeight="1" x14ac:dyDescent="0.25">
      <c r="A1242" s="4" t="s">
        <v>313</v>
      </c>
      <c r="B1242" s="4">
        <v>215</v>
      </c>
      <c r="C1242" s="4">
        <v>101111837</v>
      </c>
      <c r="D1242" s="4" t="s">
        <v>1158</v>
      </c>
      <c r="E1242" s="4" t="s">
        <v>3590</v>
      </c>
      <c r="F1242" s="4" t="s">
        <v>4427</v>
      </c>
      <c r="G1242" s="4">
        <v>150764</v>
      </c>
      <c r="H1242" s="4" t="s">
        <v>4428</v>
      </c>
      <c r="I1242" s="4">
        <v>318</v>
      </c>
      <c r="J1242" s="4" t="s">
        <v>23</v>
      </c>
      <c r="K1242" s="4" t="s">
        <v>24</v>
      </c>
      <c r="L1242" s="4">
        <v>80000000</v>
      </c>
      <c r="M1242" s="4">
        <v>2008</v>
      </c>
      <c r="N1242" s="4">
        <v>6.6</v>
      </c>
      <c r="O1242" s="4">
        <f ca="1">IFERROR(__xludf.DUMMYFUNCTION("IF(Cost_in_dollars!E1242=""USD"",Cost_in_dollars!B1242,Cost_in_dollars!B1242 * GOOGLEFINANCE(""CURRENCY:"" &amp; Cost_in_dollars!E1242 &amp; ""USD""))
"),80000000)</f>
        <v>80000000</v>
      </c>
      <c r="P1242" s="4">
        <f ca="1">IFERROR(__xludf.DUMMYFUNCTION("IF(Cost_in_dollars!E1242=""USD"",Cost_in_dollars!C1242,Cost_in_dollars!C1242 * GOOGLEFINANCE(""CURRENCY:"" &amp; Cost_in_dollars!E1242 &amp; ""USD""))
"),101111837)</f>
        <v>101111837</v>
      </c>
      <c r="Q1242" s="4">
        <f t="shared" ca="1" si="24"/>
        <v>21111837</v>
      </c>
      <c r="R1242" s="5" t="str">
        <f t="shared" si="25"/>
        <v>Eagle Eye</v>
      </c>
      <c r="S1242" s="43" t="str">
        <f t="shared" si="29"/>
        <v>Action</v>
      </c>
    </row>
    <row r="1243" spans="1:19" ht="15.75" customHeight="1" x14ac:dyDescent="0.25">
      <c r="A1243" s="6" t="s">
        <v>4429</v>
      </c>
      <c r="B1243" s="6">
        <v>68</v>
      </c>
      <c r="C1243" s="6">
        <v>72413</v>
      </c>
      <c r="D1243" s="6" t="s">
        <v>4430</v>
      </c>
      <c r="E1243" s="6" t="s">
        <v>4431</v>
      </c>
      <c r="F1243" s="6" t="s">
        <v>4432</v>
      </c>
      <c r="G1243" s="6">
        <v>11584</v>
      </c>
      <c r="H1243" s="6" t="s">
        <v>4433</v>
      </c>
      <c r="I1243" s="6">
        <v>86</v>
      </c>
      <c r="J1243" s="6" t="s">
        <v>3279</v>
      </c>
      <c r="K1243" s="6" t="s">
        <v>220</v>
      </c>
      <c r="L1243" s="6">
        <v>65000000</v>
      </c>
      <c r="M1243" s="6">
        <v>2015</v>
      </c>
      <c r="N1243" s="6">
        <v>6.1</v>
      </c>
      <c r="O1243" s="4">
        <f ca="1">IFERROR(__xludf.DUMMYFUNCTION("IF(Cost_in_dollars!E1243=""USD"",Cost_in_dollars!B1243,Cost_in_dollars!B1243 * GOOGLEFINANCE(""CURRENCY:"" &amp; Cost_in_dollars!E1243 &amp; ""USD""))
"),8988453.5)</f>
        <v>8988453.5</v>
      </c>
      <c r="P1243" s="4">
        <f ca="1">IFERROR(__xludf.DUMMYFUNCTION("IF(Cost_in_dollars!E1243=""USD"",Cost_in_dollars!C1243,Cost_in_dollars!C1243 * GOOGLEFINANCE(""CURRENCY:"" &amp; Cost_in_dollars!E1243 &amp; ""USD""))
"),10013.5520506999)</f>
        <v>10013.5520506999</v>
      </c>
      <c r="Q1243" s="6">
        <f t="shared" ca="1" si="24"/>
        <v>-8978439.9479492996</v>
      </c>
      <c r="R1243" s="7" t="str">
        <f t="shared" si="25"/>
        <v>Dragon Blade</v>
      </c>
      <c r="S1243" s="43" t="str">
        <f t="shared" si="29"/>
        <v>Action</v>
      </c>
    </row>
    <row r="1244" spans="1:19" ht="15.75" customHeight="1" x14ac:dyDescent="0.25">
      <c r="A1244" s="4" t="s">
        <v>907</v>
      </c>
      <c r="B1244" s="4">
        <v>525</v>
      </c>
      <c r="C1244" s="4">
        <v>70496802</v>
      </c>
      <c r="D1244" s="4" t="s">
        <v>178</v>
      </c>
      <c r="E1244" s="4" t="s">
        <v>1091</v>
      </c>
      <c r="F1244" s="4" t="s">
        <v>4434</v>
      </c>
      <c r="G1244" s="4">
        <v>791783</v>
      </c>
      <c r="H1244" s="4" t="s">
        <v>4435</v>
      </c>
      <c r="I1244" s="4">
        <v>2042</v>
      </c>
      <c r="J1244" s="4" t="s">
        <v>23</v>
      </c>
      <c r="K1244" s="4" t="s">
        <v>24</v>
      </c>
      <c r="L1244" s="4">
        <v>54000000</v>
      </c>
      <c r="M1244" s="4">
        <v>2005</v>
      </c>
      <c r="N1244" s="4">
        <v>8.1999999999999993</v>
      </c>
      <c r="O1244" s="4">
        <f ca="1">IFERROR(__xludf.DUMMYFUNCTION("IF(Cost_in_dollars!E1244=""USD"",Cost_in_dollars!B1244,Cost_in_dollars!B1244 * GOOGLEFINANCE(""CURRENCY:"" &amp; Cost_in_dollars!E1244 &amp; ""USD""))
"),54000000)</f>
        <v>54000000</v>
      </c>
      <c r="P1244" s="4">
        <f ca="1">IFERROR(__xludf.DUMMYFUNCTION("IF(Cost_in_dollars!E1244=""USD"",Cost_in_dollars!C1244,Cost_in_dollars!C1244 * GOOGLEFINANCE(""CURRENCY:"" &amp; Cost_in_dollars!E1244 &amp; ""USD""))
"),70496802)</f>
        <v>70496802</v>
      </c>
      <c r="Q1244" s="4">
        <f t="shared" ca="1" si="24"/>
        <v>16496802</v>
      </c>
      <c r="R1244" s="5" t="str">
        <f t="shared" si="25"/>
        <v>V for Vendetta</v>
      </c>
      <c r="S1244" s="43" t="str">
        <f t="shared" si="29"/>
        <v>Action</v>
      </c>
    </row>
    <row r="1245" spans="1:19" ht="15.75" customHeight="1" x14ac:dyDescent="0.25">
      <c r="A1245" s="6" t="s">
        <v>4436</v>
      </c>
      <c r="B1245" s="6">
        <v>299</v>
      </c>
      <c r="C1245" s="6">
        <v>183132370</v>
      </c>
      <c r="D1245" s="6" t="s">
        <v>4437</v>
      </c>
      <c r="E1245" s="6" t="s">
        <v>4438</v>
      </c>
      <c r="F1245" s="6" t="s">
        <v>4439</v>
      </c>
      <c r="G1245" s="6">
        <v>259083</v>
      </c>
      <c r="H1245" s="6" t="s">
        <v>4440</v>
      </c>
      <c r="I1245" s="6">
        <v>763</v>
      </c>
      <c r="J1245" s="6" t="s">
        <v>23</v>
      </c>
      <c r="K1245" s="6" t="s">
        <v>24</v>
      </c>
      <c r="L1245" s="6">
        <v>75000000</v>
      </c>
      <c r="M1245" s="6">
        <v>2007</v>
      </c>
      <c r="N1245" s="6">
        <v>7.4</v>
      </c>
      <c r="O1245" s="4">
        <f ca="1">IFERROR(__xludf.DUMMYFUNCTION("IF(Cost_in_dollars!E1245=""USD"",Cost_in_dollars!B1245,Cost_in_dollars!B1245 * GOOGLEFINANCE(""CURRENCY:"" &amp; Cost_in_dollars!E1245 &amp; ""USD""))
"),75000000)</f>
        <v>75000000</v>
      </c>
      <c r="P1245" s="4">
        <f ca="1">IFERROR(__xludf.DUMMYFUNCTION("IF(Cost_in_dollars!E1245=""USD"",Cost_in_dollars!C1245,Cost_in_dollars!C1245 * GOOGLEFINANCE(""CURRENCY:"" &amp; Cost_in_dollars!E1245 &amp; ""USD""))
"),183132370)</f>
        <v>183132370</v>
      </c>
      <c r="Q1245" s="6">
        <f t="shared" ca="1" si="24"/>
        <v>108132370</v>
      </c>
      <c r="R1245" s="7" t="str">
        <f t="shared" si="25"/>
        <v>The Simpsons Movie</v>
      </c>
      <c r="S1245" s="43" t="str">
        <f t="shared" si="29"/>
        <v>Adventure</v>
      </c>
    </row>
    <row r="1246" spans="1:19" ht="15.75" customHeight="1" x14ac:dyDescent="0.25">
      <c r="A1246" s="4" t="s">
        <v>4441</v>
      </c>
      <c r="B1246" s="4">
        <v>153</v>
      </c>
      <c r="C1246" s="4">
        <v>269061</v>
      </c>
      <c r="D1246" s="4" t="s">
        <v>3882</v>
      </c>
      <c r="E1246" s="4" t="s">
        <v>4442</v>
      </c>
      <c r="F1246" s="4" t="s">
        <v>4443</v>
      </c>
      <c r="G1246" s="4">
        <v>229012</v>
      </c>
      <c r="H1246" s="4" t="s">
        <v>4444</v>
      </c>
      <c r="I1246" s="4">
        <v>596</v>
      </c>
      <c r="J1246" s="4" t="s">
        <v>1550</v>
      </c>
      <c r="K1246" s="4" t="s">
        <v>1551</v>
      </c>
      <c r="L1246" s="4">
        <v>2000000</v>
      </c>
      <c r="M1246" s="4">
        <v>1954</v>
      </c>
      <c r="N1246" s="4">
        <v>8.6999999999999993</v>
      </c>
      <c r="O1246" s="4">
        <f ca="1">IFERROR(__xludf.DUMMYFUNCTION("IF(Cost_in_dollars!E1246=""USD"",Cost_in_dollars!B1246,Cost_in_dollars!B1246 * GOOGLEFINANCE(""CURRENCY:"" &amp; Cost_in_dollars!E1246 &amp; ""USD""))
"),12993.2)</f>
        <v>12993.2</v>
      </c>
      <c r="P1246" s="4">
        <f ca="1">IFERROR(__xludf.DUMMYFUNCTION("IF(Cost_in_dollars!E1246=""USD"",Cost_in_dollars!C1246,Cost_in_dollars!C1246 * GOOGLEFINANCE(""CURRENCY:"" &amp; Cost_in_dollars!E1246 &amp; ""USD""))
"),1747.9816926)</f>
        <v>1747.9816926000001</v>
      </c>
      <c r="Q1246" s="4">
        <f t="shared" ca="1" si="24"/>
        <v>-11245.2183074</v>
      </c>
      <c r="R1246" s="5" t="str">
        <f t="shared" si="25"/>
        <v>Seven Samurai</v>
      </c>
      <c r="S1246" s="43" t="str">
        <f t="shared" si="29"/>
        <v>Action</v>
      </c>
    </row>
    <row r="1247" spans="1:19" ht="15.75" customHeight="1" x14ac:dyDescent="0.25">
      <c r="A1247" s="6" t="s">
        <v>1570</v>
      </c>
      <c r="B1247" s="6">
        <v>103</v>
      </c>
      <c r="C1247" s="6">
        <v>8742261</v>
      </c>
      <c r="D1247" s="6" t="s">
        <v>613</v>
      </c>
      <c r="E1247" s="6" t="s">
        <v>4445</v>
      </c>
      <c r="F1247" s="6" t="s">
        <v>4446</v>
      </c>
      <c r="G1247" s="6">
        <v>19824</v>
      </c>
      <c r="H1247" s="6" t="s">
        <v>4447</v>
      </c>
      <c r="I1247" s="6">
        <v>179</v>
      </c>
      <c r="J1247" s="6" t="s">
        <v>23</v>
      </c>
      <c r="K1247" s="6" t="s">
        <v>627</v>
      </c>
      <c r="L1247" s="6">
        <v>18000000</v>
      </c>
      <c r="M1247" s="6">
        <v>2009</v>
      </c>
      <c r="N1247" s="6">
        <v>3.7</v>
      </c>
      <c r="O1247" s="4">
        <f ca="1">IFERROR(__xludf.DUMMYFUNCTION("IF(Cost_in_dollars!E1247=""USD"",Cost_in_dollars!B1247,Cost_in_dollars!B1247 * GOOGLEFINANCE(""CURRENCY:"" &amp; Cost_in_dollars!E1247 &amp; ""USD""))
"),13021290)</f>
        <v>13021290</v>
      </c>
      <c r="P1247" s="4">
        <f ca="1">IFERROR(__xludf.DUMMYFUNCTION("IF(Cost_in_dollars!E1247=""USD"",Cost_in_dollars!C1247,Cost_in_dollars!C1247 * GOOGLEFINANCE(""CURRENCY:"" &amp; Cost_in_dollars!E1247 &amp; ""USD""))
"),6324195.318705)</f>
        <v>6324195.318705</v>
      </c>
      <c r="Q1247" s="6">
        <f t="shared" ca="1" si="24"/>
        <v>-6697094.681295</v>
      </c>
      <c r="R1247" s="7" t="str">
        <f t="shared" si="25"/>
        <v>Street Fighter: The Legend of Chun-Li</v>
      </c>
      <c r="S1247" s="43" t="str">
        <f t="shared" si="29"/>
        <v>Action</v>
      </c>
    </row>
    <row r="1248" spans="1:19" ht="15.75" customHeight="1" x14ac:dyDescent="0.25">
      <c r="A1248" s="4" t="s">
        <v>850</v>
      </c>
      <c r="B1248" s="4">
        <v>245</v>
      </c>
      <c r="C1248" s="4">
        <v>139259759</v>
      </c>
      <c r="D1248" s="4" t="s">
        <v>851</v>
      </c>
      <c r="E1248" s="4" t="s">
        <v>4372</v>
      </c>
      <c r="F1248" s="4" t="s">
        <v>4448</v>
      </c>
      <c r="G1248" s="4">
        <v>364948</v>
      </c>
      <c r="H1248" s="4" t="s">
        <v>4449</v>
      </c>
      <c r="I1248" s="4">
        <v>2121</v>
      </c>
      <c r="J1248" s="4" t="s">
        <v>23</v>
      </c>
      <c r="K1248" s="4" t="s">
        <v>149</v>
      </c>
      <c r="L1248" s="4">
        <v>150000000</v>
      </c>
      <c r="M1248" s="4">
        <v>2003</v>
      </c>
      <c r="N1248" s="4">
        <v>6.7</v>
      </c>
      <c r="O1248" s="4">
        <f ca="1">IFERROR(__xludf.DUMMYFUNCTION("IF(Cost_in_dollars!E1248=""USD"",Cost_in_dollars!B1248,Cost_in_dollars!B1248 * GOOGLEFINANCE(""CURRENCY:"" &amp; Cost_in_dollars!E1248 &amp; ""USD""))
"),98082000)</f>
        <v>98082000</v>
      </c>
      <c r="P1248" s="4">
        <f ca="1">IFERROR(__xludf.DUMMYFUNCTION("IF(Cost_in_dollars!E1248=""USD"",Cost_in_dollars!C1248,Cost_in_dollars!C1248 * GOOGLEFINANCE(""CURRENCY:"" &amp; Cost_in_dollars!E1248 &amp; ""USD""))
"),91059171.21492)</f>
        <v>91059171.214919999</v>
      </c>
      <c r="Q1248" s="4">
        <f t="shared" ca="1" si="24"/>
        <v>-7022828.7850800008</v>
      </c>
      <c r="R1248" s="5" t="str">
        <f t="shared" si="25"/>
        <v>The Matrix Revolutions</v>
      </c>
      <c r="S1248" s="43" t="str">
        <f t="shared" si="29"/>
        <v>Action</v>
      </c>
    </row>
    <row r="1249" spans="1:19" ht="15.75" customHeight="1" x14ac:dyDescent="0.25">
      <c r="A1249" s="6" t="s">
        <v>2614</v>
      </c>
      <c r="B1249" s="6">
        <v>160</v>
      </c>
      <c r="C1249" s="6">
        <v>1186957</v>
      </c>
      <c r="D1249" s="6" t="s">
        <v>102</v>
      </c>
      <c r="E1249" s="6" t="s">
        <v>4450</v>
      </c>
      <c r="F1249" s="6" t="s">
        <v>4451</v>
      </c>
      <c r="G1249" s="6">
        <v>9264</v>
      </c>
      <c r="H1249" s="6" t="s">
        <v>4452</v>
      </c>
      <c r="I1249" s="6">
        <v>69</v>
      </c>
      <c r="J1249" s="6" t="s">
        <v>23</v>
      </c>
      <c r="K1249" s="6" t="s">
        <v>133</v>
      </c>
      <c r="L1249" s="6">
        <v>25000000</v>
      </c>
      <c r="M1249" s="6">
        <v>2008</v>
      </c>
      <c r="N1249" s="6">
        <v>6.8</v>
      </c>
      <c r="O1249" s="4">
        <f ca="1">IFERROR(__xludf.DUMMYFUNCTION("IF(Cost_in_dollars!E1249=""USD"",Cost_in_dollars!B1249,Cost_in_dollars!B1249 * GOOGLEFINANCE(""CURRENCY:"" &amp; Cost_in_dollars!E1249 &amp; ""USD""))
"),32134999.9999999)</f>
        <v>32134999.999999899</v>
      </c>
      <c r="P1249" s="4">
        <f ca="1">IFERROR(__xludf.DUMMYFUNCTION("IF(Cost_in_dollars!E1249=""USD"",Cost_in_dollars!C1249,Cost_in_dollars!C1249 * GOOGLEFINANCE(""CURRENCY:"" &amp; Cost_in_dollars!E1249 &amp; ""USD""))
"),1525714.52779999)</f>
        <v>1525714.52779999</v>
      </c>
      <c r="Q1249" s="6">
        <f t="shared" ca="1" si="24"/>
        <v>-30609285.472199909</v>
      </c>
      <c r="R1249" s="7" t="str">
        <f t="shared" si="25"/>
        <v>Me and Orson Welles</v>
      </c>
      <c r="S1249" s="43" t="str">
        <f t="shared" si="29"/>
        <v>Drama</v>
      </c>
    </row>
    <row r="1250" spans="1:19" ht="15.75" customHeight="1" x14ac:dyDescent="0.25">
      <c r="A1250" s="4" t="s">
        <v>1289</v>
      </c>
      <c r="B1250" s="4">
        <v>359</v>
      </c>
      <c r="C1250" s="4">
        <v>380262555</v>
      </c>
      <c r="D1250" s="4" t="s">
        <v>1290</v>
      </c>
      <c r="E1250" s="4" t="s">
        <v>1091</v>
      </c>
      <c r="F1250" s="4" t="s">
        <v>4453</v>
      </c>
      <c r="G1250" s="4">
        <v>520104</v>
      </c>
      <c r="H1250" s="4" t="s">
        <v>4454</v>
      </c>
      <c r="I1250" s="4">
        <v>3286</v>
      </c>
      <c r="J1250" s="4" t="s">
        <v>23</v>
      </c>
      <c r="K1250" s="4" t="s">
        <v>24</v>
      </c>
      <c r="L1250" s="4">
        <v>113000000</v>
      </c>
      <c r="M1250" s="4">
        <v>2005</v>
      </c>
      <c r="N1250" s="4">
        <v>7.6</v>
      </c>
      <c r="O1250" s="4">
        <f ca="1">IFERROR(__xludf.DUMMYFUNCTION("IF(Cost_in_dollars!E1250=""USD"",Cost_in_dollars!B1250,Cost_in_dollars!B1250 * GOOGLEFINANCE(""CURRENCY:"" &amp; Cost_in_dollars!E1250 &amp; ""USD""))
"),113000000)</f>
        <v>113000000</v>
      </c>
      <c r="P1250" s="4">
        <f ca="1">IFERROR(__xludf.DUMMYFUNCTION("IF(Cost_in_dollars!E1250=""USD"",Cost_in_dollars!C1250,Cost_in_dollars!C1250 * GOOGLEFINANCE(""CURRENCY:"" &amp; Cost_in_dollars!E1250 &amp; ""USD""))
"),380262555)</f>
        <v>380262555</v>
      </c>
      <c r="Q1250" s="4">
        <f t="shared" ca="1" si="24"/>
        <v>267262555</v>
      </c>
      <c r="R1250" s="5" t="str">
        <f t="shared" si="25"/>
        <v>Star Wars: Episode III - Revenge of the Sith</v>
      </c>
      <c r="S1250" s="43" t="str">
        <f t="shared" si="29"/>
        <v>Action</v>
      </c>
    </row>
    <row r="1251" spans="1:19" ht="15.75" customHeight="1" x14ac:dyDescent="0.25">
      <c r="A1251" s="6" t="s">
        <v>2520</v>
      </c>
      <c r="B1251" s="6">
        <v>142</v>
      </c>
      <c r="C1251" s="6">
        <v>26871</v>
      </c>
      <c r="D1251" s="6" t="s">
        <v>155</v>
      </c>
      <c r="E1251" s="6" t="s">
        <v>1436</v>
      </c>
      <c r="F1251" s="6" t="s">
        <v>4455</v>
      </c>
      <c r="G1251" s="6">
        <v>121259</v>
      </c>
      <c r="H1251" s="6" t="s">
        <v>4456</v>
      </c>
      <c r="I1251" s="6">
        <v>361</v>
      </c>
      <c r="J1251" s="6" t="s">
        <v>23</v>
      </c>
      <c r="K1251" s="6" t="s">
        <v>176</v>
      </c>
      <c r="L1251" s="6">
        <v>92000000</v>
      </c>
      <c r="M1251" s="6">
        <v>2001</v>
      </c>
      <c r="N1251" s="6">
        <v>7</v>
      </c>
      <c r="O1251" s="4">
        <f ca="1">IFERROR(__xludf.DUMMYFUNCTION("IF(Cost_in_dollars!E1251=""USD"",Cost_in_dollars!B1251,Cost_in_dollars!B1251 * GOOGLEFINANCE(""CURRENCY:"" &amp; Cost_in_dollars!E1251 &amp; ""USD""))
"),99796080)</f>
        <v>99796080</v>
      </c>
      <c r="P1251" s="4">
        <f ca="1">IFERROR(__xludf.DUMMYFUNCTION("IF(Cost_in_dollars!E1251=""USD"",Cost_in_dollars!C1251,Cost_in_dollars!C1251 * GOOGLEFINANCE(""CURRENCY:"" &amp; Cost_in_dollars!E1251 &amp; ""USD""))
"),29148.04854)</f>
        <v>29148.04854</v>
      </c>
      <c r="Q1251" s="6">
        <f t="shared" ca="1" si="24"/>
        <v>-99766931.951460004</v>
      </c>
      <c r="R1251" s="7" t="str">
        <f t="shared" si="25"/>
        <v>Spy Game</v>
      </c>
      <c r="S1251" s="43" t="str">
        <f t="shared" si="29"/>
        <v>Action</v>
      </c>
    </row>
    <row r="1252" spans="1:19" ht="15.75" customHeight="1" x14ac:dyDescent="0.25">
      <c r="A1252" s="4" t="s">
        <v>4457</v>
      </c>
      <c r="B1252" s="4">
        <v>54</v>
      </c>
      <c r="C1252" s="4">
        <v>42019483</v>
      </c>
      <c r="D1252" s="4" t="s">
        <v>2179</v>
      </c>
      <c r="E1252" s="4" t="s">
        <v>173</v>
      </c>
      <c r="F1252" s="4" t="s">
        <v>4458</v>
      </c>
      <c r="G1252" s="4">
        <v>6069</v>
      </c>
      <c r="H1252" s="4" t="s">
        <v>4459</v>
      </c>
      <c r="I1252" s="4">
        <v>33</v>
      </c>
      <c r="J1252" s="4" t="s">
        <v>23</v>
      </c>
      <c r="K1252" s="4" t="s">
        <v>24</v>
      </c>
      <c r="L1252" s="4">
        <v>36000000</v>
      </c>
      <c r="M1252" s="4">
        <v>2014</v>
      </c>
      <c r="N1252" s="4">
        <v>6.4</v>
      </c>
      <c r="O1252" s="4">
        <f ca="1">IFERROR(__xludf.DUMMYFUNCTION("IF(Cost_in_dollars!E1252=""USD"",Cost_in_dollars!B1252,Cost_in_dollars!B1252 * GOOGLEFINANCE(""CURRENCY:"" &amp; Cost_in_dollars!E1252 &amp; ""USD""))
"),36000000)</f>
        <v>36000000</v>
      </c>
      <c r="P1252" s="4">
        <f ca="1">IFERROR(__xludf.DUMMYFUNCTION("IF(Cost_in_dollars!E1252=""USD"",Cost_in_dollars!C1252,Cost_in_dollars!C1252 * GOOGLEFINANCE(""CURRENCY:"" &amp; Cost_in_dollars!E1252 &amp; ""USD""))
"),42019483)</f>
        <v>42019483</v>
      </c>
      <c r="Q1252" s="4">
        <f t="shared" ca="1" si="24"/>
        <v>6019483</v>
      </c>
      <c r="R1252" s="5" t="str">
        <f t="shared" si="25"/>
        <v>Dolphin Tale 2</v>
      </c>
      <c r="S1252" s="43" t="str">
        <f t="shared" si="29"/>
        <v>Drama</v>
      </c>
    </row>
    <row r="1253" spans="1:19" ht="15.75" customHeight="1" x14ac:dyDescent="0.25">
      <c r="A1253" s="6" t="s">
        <v>4460</v>
      </c>
      <c r="B1253" s="6">
        <v>41</v>
      </c>
      <c r="C1253" s="6">
        <v>398420</v>
      </c>
      <c r="D1253" s="6" t="s">
        <v>53</v>
      </c>
      <c r="E1253" s="6" t="s">
        <v>4461</v>
      </c>
      <c r="F1253" s="6" t="s">
        <v>4462</v>
      </c>
      <c r="G1253" s="6">
        <v>5049</v>
      </c>
      <c r="H1253" s="6" t="s">
        <v>4463</v>
      </c>
      <c r="I1253" s="6">
        <v>48</v>
      </c>
      <c r="J1253" s="6" t="s">
        <v>23</v>
      </c>
      <c r="K1253" s="6" t="s">
        <v>24</v>
      </c>
      <c r="L1253" s="6">
        <v>8000000</v>
      </c>
      <c r="M1253" s="6">
        <v>2007</v>
      </c>
      <c r="N1253" s="6">
        <v>6.4</v>
      </c>
      <c r="O1253" s="4">
        <f ca="1">IFERROR(__xludf.DUMMYFUNCTION("IF(Cost_in_dollars!E1253=""USD"",Cost_in_dollars!B1253,Cost_in_dollars!B1253 * GOOGLEFINANCE(""CURRENCY:"" &amp; Cost_in_dollars!E1253 &amp; ""USD""))
"),8000000)</f>
        <v>8000000</v>
      </c>
      <c r="P1253" s="4">
        <f ca="1">IFERROR(__xludf.DUMMYFUNCTION("IF(Cost_in_dollars!E1253=""USD"",Cost_in_dollars!C1253,Cost_in_dollars!C1253 * GOOGLEFINANCE(""CURRENCY:"" &amp; Cost_in_dollars!E1253 &amp; ""USD""))
"),398420)</f>
        <v>398420</v>
      </c>
      <c r="Q1253" s="6">
        <f t="shared" ca="1" si="24"/>
        <v>-7601580</v>
      </c>
      <c r="R1253" s="7" t="str">
        <f t="shared" si="25"/>
        <v>Brooklyn Rules</v>
      </c>
      <c r="S1253" s="43" t="str">
        <f t="shared" si="29"/>
        <v>Crime</v>
      </c>
    </row>
    <row r="1254" spans="1:19" ht="15.75" customHeight="1" x14ac:dyDescent="0.25">
      <c r="A1254" s="4" t="s">
        <v>962</v>
      </c>
      <c r="B1254" s="4">
        <v>297</v>
      </c>
      <c r="C1254" s="4">
        <v>52474616</v>
      </c>
      <c r="D1254" s="4" t="s">
        <v>102</v>
      </c>
      <c r="E1254" s="4" t="s">
        <v>2187</v>
      </c>
      <c r="F1254" s="4" t="s">
        <v>4464</v>
      </c>
      <c r="G1254" s="4">
        <v>84118</v>
      </c>
      <c r="H1254" s="4" t="s">
        <v>4465</v>
      </c>
      <c r="I1254" s="4">
        <v>245</v>
      </c>
      <c r="J1254" s="4" t="s">
        <v>23</v>
      </c>
      <c r="K1254" s="4" t="s">
        <v>24</v>
      </c>
      <c r="L1254" s="4">
        <v>70000000</v>
      </c>
      <c r="M1254" s="4">
        <v>2010</v>
      </c>
      <c r="N1254" s="4">
        <v>6.3</v>
      </c>
      <c r="O1254" s="4">
        <f ca="1">IFERROR(__xludf.DUMMYFUNCTION("IF(Cost_in_dollars!E1254=""USD"",Cost_in_dollars!B1254,Cost_in_dollars!B1254 * GOOGLEFINANCE(""CURRENCY:"" &amp; Cost_in_dollars!E1254 &amp; ""USD""))
"),70000000)</f>
        <v>70000000</v>
      </c>
      <c r="P1254" s="4">
        <f ca="1">IFERROR(__xludf.DUMMYFUNCTION("IF(Cost_in_dollars!E1254=""USD"",Cost_in_dollars!C1254,Cost_in_dollars!C1254 * GOOGLEFINANCE(""CURRENCY:"" &amp; Cost_in_dollars!E1254 &amp; ""USD""))
"),52474616)</f>
        <v>52474616</v>
      </c>
      <c r="Q1254" s="4">
        <f t="shared" ca="1" si="24"/>
        <v>-17525384</v>
      </c>
      <c r="R1254" s="5" t="str">
        <f t="shared" si="25"/>
        <v>Wall Street: Money Never Sleeps</v>
      </c>
      <c r="S1254" s="43" t="str">
        <f t="shared" si="29"/>
        <v>Drama</v>
      </c>
    </row>
    <row r="1255" spans="1:19" ht="15.75" customHeight="1" x14ac:dyDescent="0.25">
      <c r="A1255" s="6" t="s">
        <v>4466</v>
      </c>
      <c r="B1255" s="6">
        <v>97</v>
      </c>
      <c r="C1255" s="6">
        <v>6373693</v>
      </c>
      <c r="D1255" s="6" t="s">
        <v>88</v>
      </c>
      <c r="E1255" s="6" t="s">
        <v>881</v>
      </c>
      <c r="F1255" s="6" t="s">
        <v>4467</v>
      </c>
      <c r="G1255" s="6">
        <v>11498</v>
      </c>
      <c r="H1255" s="6" t="s">
        <v>4468</v>
      </c>
      <c r="I1255" s="6">
        <v>53</v>
      </c>
      <c r="J1255" s="6" t="s">
        <v>23</v>
      </c>
      <c r="K1255" s="6" t="s">
        <v>24</v>
      </c>
      <c r="L1255" s="6">
        <v>15000000</v>
      </c>
      <c r="M1255" s="6">
        <v>2009</v>
      </c>
      <c r="N1255" s="6">
        <v>5.3</v>
      </c>
      <c r="O1255" s="4">
        <f ca="1">IFERROR(__xludf.DUMMYFUNCTION("IF(Cost_in_dollars!E1255=""USD"",Cost_in_dollars!B1255,Cost_in_dollars!B1255 * GOOGLEFINANCE(""CURRENCY:"" &amp; Cost_in_dollars!E1255 &amp; ""USD""))
"),15000000)</f>
        <v>15000000</v>
      </c>
      <c r="P1255" s="4">
        <f ca="1">IFERROR(__xludf.DUMMYFUNCTION("IF(Cost_in_dollars!E1255=""USD"",Cost_in_dollars!C1255,Cost_in_dollars!C1255 * GOOGLEFINANCE(""CURRENCY:"" &amp; Cost_in_dollars!E1255 &amp; ""USD""))
"),6373693)</f>
        <v>6373693</v>
      </c>
      <c r="Q1255" s="6">
        <f t="shared" ca="1" si="24"/>
        <v>-8626307</v>
      </c>
      <c r="R1255" s="7" t="str">
        <f t="shared" si="25"/>
        <v>Post Grad</v>
      </c>
      <c r="S1255" s="43" t="str">
        <f t="shared" si="29"/>
        <v>Comedy</v>
      </c>
    </row>
    <row r="1256" spans="1:19" ht="15.75" customHeight="1" x14ac:dyDescent="0.25">
      <c r="A1256" s="4" t="s">
        <v>4398</v>
      </c>
      <c r="B1256" s="4">
        <v>23</v>
      </c>
      <c r="C1256" s="4">
        <v>30400000</v>
      </c>
      <c r="D1256" s="4" t="s">
        <v>140</v>
      </c>
      <c r="E1256" s="4" t="s">
        <v>4469</v>
      </c>
      <c r="F1256" s="4" t="s">
        <v>4470</v>
      </c>
      <c r="G1256" s="4">
        <v>17810</v>
      </c>
      <c r="H1256" s="4" t="s">
        <v>4471</v>
      </c>
      <c r="I1256" s="4">
        <v>73</v>
      </c>
      <c r="J1256" s="4" t="s">
        <v>23</v>
      </c>
      <c r="K1256" s="4" t="s">
        <v>24</v>
      </c>
      <c r="L1256" s="4">
        <v>39000000</v>
      </c>
      <c r="M1256" s="4">
        <v>1996</v>
      </c>
      <c r="N1256" s="4">
        <v>5.7</v>
      </c>
      <c r="O1256" s="4">
        <f ca="1">IFERROR(__xludf.DUMMYFUNCTION("IF(Cost_in_dollars!E1256=""USD"",Cost_in_dollars!B1256,Cost_in_dollars!B1256 * GOOGLEFINANCE(""CURRENCY:"" &amp; Cost_in_dollars!E1256 &amp; ""USD""))
"),39000000)</f>
        <v>39000000</v>
      </c>
      <c r="P1256" s="4">
        <f ca="1">IFERROR(__xludf.DUMMYFUNCTION("IF(Cost_in_dollars!E1256=""USD"",Cost_in_dollars!C1256,Cost_in_dollars!C1256 * GOOGLEFINANCE(""CURRENCY:"" &amp; Cost_in_dollars!E1256 &amp; ""USD""))
"),30400000)</f>
        <v>30400000</v>
      </c>
      <c r="Q1256" s="4">
        <f t="shared" ca="1" si="24"/>
        <v>-8600000</v>
      </c>
      <c r="R1256" s="5" t="str">
        <f t="shared" si="25"/>
        <v>Sgt. Bilko</v>
      </c>
      <c r="S1256" s="43" t="str">
        <f t="shared" si="29"/>
        <v>Comedy</v>
      </c>
    </row>
    <row r="1257" spans="1:19" ht="15.75" customHeight="1" x14ac:dyDescent="0.25">
      <c r="A1257" s="6" t="s">
        <v>4472</v>
      </c>
      <c r="B1257" s="6">
        <v>93</v>
      </c>
      <c r="C1257" s="6">
        <v>15519841</v>
      </c>
      <c r="D1257" s="6" t="s">
        <v>304</v>
      </c>
      <c r="E1257" s="6" t="s">
        <v>3508</v>
      </c>
      <c r="F1257" s="6" t="s">
        <v>4473</v>
      </c>
      <c r="G1257" s="6">
        <v>8693</v>
      </c>
      <c r="H1257" s="6" t="s">
        <v>4474</v>
      </c>
      <c r="I1257" s="6">
        <v>71</v>
      </c>
      <c r="J1257" s="6" t="s">
        <v>23</v>
      </c>
      <c r="K1257" s="6" t="s">
        <v>24</v>
      </c>
      <c r="L1257" s="6">
        <v>47000000</v>
      </c>
      <c r="M1257" s="6">
        <v>2006</v>
      </c>
      <c r="N1257" s="6">
        <v>4.5</v>
      </c>
      <c r="O1257" s="4">
        <f ca="1">IFERROR(__xludf.DUMMYFUNCTION("IF(Cost_in_dollars!E1257=""USD"",Cost_in_dollars!B1257,Cost_in_dollars!B1257 * GOOGLEFINANCE(""CURRENCY:"" &amp; Cost_in_dollars!E1257 &amp; ""USD""))
"),47000000)</f>
        <v>47000000</v>
      </c>
      <c r="P1257" s="4">
        <f ca="1">IFERROR(__xludf.DUMMYFUNCTION("IF(Cost_in_dollars!E1257=""USD"",Cost_in_dollars!C1257,Cost_in_dollars!C1257 * GOOGLEFINANCE(""CURRENCY:"" &amp; Cost_in_dollars!E1257 &amp; ""USD""))
"),15519841)</f>
        <v>15519841</v>
      </c>
      <c r="Q1257" s="6">
        <f t="shared" ca="1" si="24"/>
        <v>-31480159</v>
      </c>
      <c r="R1257" s="7" t="str">
        <f t="shared" si="25"/>
        <v>Happily N'Ever After</v>
      </c>
      <c r="S1257" s="43" t="str">
        <f t="shared" si="29"/>
        <v>Adventure</v>
      </c>
    </row>
    <row r="1258" spans="1:19" ht="15.75" customHeight="1" x14ac:dyDescent="0.25">
      <c r="A1258" s="4" t="s">
        <v>4475</v>
      </c>
      <c r="B1258" s="4">
        <v>579</v>
      </c>
      <c r="C1258" s="4">
        <v>363024263</v>
      </c>
      <c r="D1258" s="4" t="s">
        <v>4476</v>
      </c>
      <c r="E1258" s="4" t="s">
        <v>2466</v>
      </c>
      <c r="F1258" s="4" t="s">
        <v>4477</v>
      </c>
      <c r="G1258" s="4">
        <v>479047</v>
      </c>
      <c r="H1258" s="4" t="s">
        <v>4478</v>
      </c>
      <c r="I1258" s="4">
        <v>1058</v>
      </c>
      <c r="J1258" s="4" t="s">
        <v>23</v>
      </c>
      <c r="K1258" s="4" t="s">
        <v>24</v>
      </c>
      <c r="L1258" s="4">
        <v>58000000</v>
      </c>
      <c r="M1258" s="4">
        <v>2016</v>
      </c>
      <c r="N1258" s="4">
        <v>8.1</v>
      </c>
      <c r="O1258" s="4">
        <f ca="1">IFERROR(__xludf.DUMMYFUNCTION("IF(Cost_in_dollars!E1258=""USD"",Cost_in_dollars!B1258,Cost_in_dollars!B1258 * GOOGLEFINANCE(""CURRENCY:"" &amp; Cost_in_dollars!E1258 &amp; ""USD""))
"),58000000)</f>
        <v>58000000</v>
      </c>
      <c r="P1258" s="4">
        <f ca="1">IFERROR(__xludf.DUMMYFUNCTION("IF(Cost_in_dollars!E1258=""USD"",Cost_in_dollars!C1258,Cost_in_dollars!C1258 * GOOGLEFINANCE(""CURRENCY:"" &amp; Cost_in_dollars!E1258 &amp; ""USD""))
"),363024263)</f>
        <v>363024263</v>
      </c>
      <c r="Q1258" s="4">
        <f t="shared" ca="1" si="24"/>
        <v>305024263</v>
      </c>
      <c r="R1258" s="5" t="str">
        <f t="shared" si="25"/>
        <v>Deadpool</v>
      </c>
      <c r="S1258" s="43" t="str">
        <f t="shared" si="29"/>
        <v>Action</v>
      </c>
    </row>
    <row r="1259" spans="1:19" ht="15.75" customHeight="1" x14ac:dyDescent="0.25">
      <c r="A1259" s="6" t="s">
        <v>4479</v>
      </c>
      <c r="B1259" s="6">
        <v>145</v>
      </c>
      <c r="C1259" s="6">
        <v>124590960</v>
      </c>
      <c r="D1259" s="6" t="s">
        <v>162</v>
      </c>
      <c r="E1259" s="6" t="s">
        <v>1173</v>
      </c>
      <c r="F1259" s="6" t="s">
        <v>4480</v>
      </c>
      <c r="G1259" s="6">
        <v>91092</v>
      </c>
      <c r="H1259" s="6" t="s">
        <v>4481</v>
      </c>
      <c r="I1259" s="6">
        <v>402</v>
      </c>
      <c r="J1259" s="6" t="s">
        <v>23</v>
      </c>
      <c r="K1259" s="6" t="s">
        <v>24</v>
      </c>
      <c r="L1259" s="6">
        <v>80000000</v>
      </c>
      <c r="M1259" s="6">
        <v>2003</v>
      </c>
      <c r="N1259" s="6">
        <v>6.7</v>
      </c>
      <c r="O1259" s="4">
        <f ca="1">IFERROR(__xludf.DUMMYFUNCTION("IF(Cost_in_dollars!E1259=""USD"",Cost_in_dollars!B1259,Cost_in_dollars!B1259 * GOOGLEFINANCE(""CURRENCY:"" &amp; Cost_in_dollars!E1259 &amp; ""USD""))
"),80000000)</f>
        <v>80000000</v>
      </c>
      <c r="P1259" s="4">
        <f ca="1">IFERROR(__xludf.DUMMYFUNCTION("IF(Cost_in_dollars!E1259=""USD"",Cost_in_dollars!C1259,Cost_in_dollars!C1259 * GOOGLEFINANCE(""CURRENCY:"" &amp; Cost_in_dollars!E1259 &amp; ""USD""))
"),124590960)</f>
        <v>124590960</v>
      </c>
      <c r="Q1259" s="6">
        <f t="shared" ca="1" si="24"/>
        <v>44590960</v>
      </c>
      <c r="R1259" s="7" t="str">
        <f t="shared" si="25"/>
        <v>Something's Gotta Give</v>
      </c>
      <c r="S1259" s="43" t="str">
        <f t="shared" si="29"/>
        <v>Comedy</v>
      </c>
    </row>
    <row r="1260" spans="1:19" ht="15.75" customHeight="1" x14ac:dyDescent="0.25">
      <c r="A1260" s="4" t="s">
        <v>1740</v>
      </c>
      <c r="B1260" s="4">
        <v>141</v>
      </c>
      <c r="C1260" s="4">
        <v>117235247</v>
      </c>
      <c r="D1260" s="4" t="s">
        <v>135</v>
      </c>
      <c r="E1260" s="4" t="s">
        <v>2547</v>
      </c>
      <c r="F1260" s="4" t="s">
        <v>4482</v>
      </c>
      <c r="G1260" s="4">
        <v>375240</v>
      </c>
      <c r="H1260" s="4" t="s">
        <v>4483</v>
      </c>
      <c r="I1260" s="4">
        <v>542</v>
      </c>
      <c r="J1260" s="4" t="s">
        <v>23</v>
      </c>
      <c r="K1260" s="4" t="s">
        <v>24</v>
      </c>
      <c r="L1260" s="4">
        <v>960000</v>
      </c>
      <c r="M1260" s="4">
        <v>1976</v>
      </c>
      <c r="N1260" s="4">
        <v>8.1</v>
      </c>
      <c r="O1260" s="4">
        <f ca="1">IFERROR(__xludf.DUMMYFUNCTION("IF(Cost_in_dollars!E1260=""USD"",Cost_in_dollars!B1260,Cost_in_dollars!B1260 * GOOGLEFINANCE(""CURRENCY:"" &amp; Cost_in_dollars!E1260 &amp; ""USD""))
"),960000)</f>
        <v>960000</v>
      </c>
      <c r="P1260" s="4">
        <f ca="1">IFERROR(__xludf.DUMMYFUNCTION("IF(Cost_in_dollars!E1260=""USD"",Cost_in_dollars!C1260,Cost_in_dollars!C1260 * GOOGLEFINANCE(""CURRENCY:"" &amp; Cost_in_dollars!E1260 &amp; ""USD""))
"),117235247)</f>
        <v>117235247</v>
      </c>
      <c r="Q1260" s="4">
        <f t="shared" ca="1" si="24"/>
        <v>116275247</v>
      </c>
      <c r="R1260" s="5" t="str">
        <f t="shared" si="25"/>
        <v>Rocky</v>
      </c>
      <c r="S1260" s="43" t="str">
        <f t="shared" si="29"/>
        <v>Drama</v>
      </c>
    </row>
    <row r="1261" spans="1:19" ht="15.75" customHeight="1" x14ac:dyDescent="0.25">
      <c r="A1261" s="6" t="s">
        <v>2421</v>
      </c>
      <c r="B1261" s="6">
        <v>354</v>
      </c>
      <c r="C1261" s="6">
        <v>37707719</v>
      </c>
      <c r="D1261" s="6" t="s">
        <v>362</v>
      </c>
      <c r="E1261" s="6" t="s">
        <v>325</v>
      </c>
      <c r="F1261" s="6" t="s">
        <v>4484</v>
      </c>
      <c r="G1261" s="6">
        <v>76094</v>
      </c>
      <c r="H1261" s="6" t="s">
        <v>4485</v>
      </c>
      <c r="I1261" s="6">
        <v>233</v>
      </c>
      <c r="J1261" s="6" t="s">
        <v>23</v>
      </c>
      <c r="K1261" s="6" t="s">
        <v>133</v>
      </c>
      <c r="L1261" s="6">
        <v>12000000</v>
      </c>
      <c r="M1261" s="6">
        <v>2013</v>
      </c>
      <c r="N1261" s="6">
        <v>7.6</v>
      </c>
      <c r="O1261" s="4">
        <f ca="1">IFERROR(__xludf.DUMMYFUNCTION("IF(Cost_in_dollars!E1261=""USD"",Cost_in_dollars!B1261,Cost_in_dollars!B1261 * GOOGLEFINANCE(""CURRENCY:"" &amp; Cost_in_dollars!E1261 &amp; ""USD""))
"),15424799.9999999)</f>
        <v>15424799.999999899</v>
      </c>
      <c r="P1261" s="4">
        <f ca="1">IFERROR(__xludf.DUMMYFUNCTION("IF(Cost_in_dollars!E1261=""USD"",Cost_in_dollars!C1261,Cost_in_dollars!C1261 * GOOGLEFINANCE(""CURRENCY:"" &amp; Cost_in_dollars!E1261 &amp; ""USD""))
"),48469502.0025999)</f>
        <v>48469502.002599902</v>
      </c>
      <c r="Q1261" s="6">
        <f t="shared" ca="1" si="24"/>
        <v>33044702.002600003</v>
      </c>
      <c r="R1261" s="7" t="str">
        <f t="shared" si="25"/>
        <v>Philomena</v>
      </c>
      <c r="S1261" s="43" t="str">
        <f t="shared" si="29"/>
        <v>Biography</v>
      </c>
    </row>
    <row r="1262" spans="1:19" ht="15.75" customHeight="1" x14ac:dyDescent="0.25">
      <c r="A1262" s="4" t="s">
        <v>4486</v>
      </c>
      <c r="B1262" s="4">
        <v>2</v>
      </c>
      <c r="C1262" s="4">
        <v>96734</v>
      </c>
      <c r="D1262" s="4" t="s">
        <v>211</v>
      </c>
      <c r="E1262" s="4" t="s">
        <v>4487</v>
      </c>
      <c r="F1262" s="4" t="s">
        <v>4488</v>
      </c>
      <c r="G1262" s="4">
        <v>606</v>
      </c>
      <c r="H1262" s="4" t="s">
        <v>4489</v>
      </c>
      <c r="I1262" s="4">
        <v>5</v>
      </c>
      <c r="J1262" s="4" t="s">
        <v>23</v>
      </c>
      <c r="K1262" s="4" t="s">
        <v>24</v>
      </c>
      <c r="L1262" s="4">
        <v>1000000</v>
      </c>
      <c r="M1262" s="4">
        <v>2012</v>
      </c>
      <c r="N1262" s="4">
        <v>5.6</v>
      </c>
      <c r="O1262" s="4">
        <f ca="1">IFERROR(__xludf.DUMMYFUNCTION("IF(Cost_in_dollars!E1262=""USD"",Cost_in_dollars!B1262,Cost_in_dollars!B1262 * GOOGLEFINANCE(""CURRENCY:"" &amp; Cost_in_dollars!E1262 &amp; ""USD""))
"),1000000)</f>
        <v>1000000</v>
      </c>
      <c r="P1262" s="4">
        <f ca="1">IFERROR(__xludf.DUMMYFUNCTION("IF(Cost_in_dollars!E1262=""USD"",Cost_in_dollars!C1262,Cost_in_dollars!C1262 * GOOGLEFINANCE(""CURRENCY:"" &amp; Cost_in_dollars!E1262 &amp; ""USD""))
"),96734)</f>
        <v>96734</v>
      </c>
      <c r="Q1262" s="4">
        <f t="shared" ca="1" si="24"/>
        <v>-903266</v>
      </c>
      <c r="R1262" s="5" t="str">
        <f t="shared" si="25"/>
        <v>Hardflip</v>
      </c>
      <c r="S1262" s="43" t="str">
        <f t="shared" si="29"/>
        <v>Action</v>
      </c>
    </row>
    <row r="1263" spans="1:19" ht="15.75" customHeight="1" x14ac:dyDescent="0.25">
      <c r="A1263" s="6" t="s">
        <v>4490</v>
      </c>
      <c r="B1263" s="6">
        <v>265</v>
      </c>
      <c r="C1263" s="6">
        <v>41777564</v>
      </c>
      <c r="D1263" s="6" t="s">
        <v>151</v>
      </c>
      <c r="E1263" s="6" t="s">
        <v>4301</v>
      </c>
      <c r="F1263" s="6" t="s">
        <v>4491</v>
      </c>
      <c r="G1263" s="6">
        <v>129719</v>
      </c>
      <c r="H1263" s="6" t="s">
        <v>4492</v>
      </c>
      <c r="I1263" s="6">
        <v>855</v>
      </c>
      <c r="J1263" s="6" t="s">
        <v>23</v>
      </c>
      <c r="K1263" s="6" t="s">
        <v>24</v>
      </c>
      <c r="L1263" s="6">
        <v>15000000</v>
      </c>
      <c r="M1263" s="6">
        <v>2006</v>
      </c>
      <c r="N1263" s="6">
        <v>6.4</v>
      </c>
      <c r="O1263" s="4">
        <f ca="1">IFERROR(__xludf.DUMMYFUNCTION("IF(Cost_in_dollars!E1263=""USD"",Cost_in_dollars!B1263,Cost_in_dollars!B1263 * GOOGLEFINANCE(""CURRENCY:"" &amp; Cost_in_dollars!E1263 &amp; ""USD""))
"),15000000)</f>
        <v>15000000</v>
      </c>
      <c r="P1263" s="4">
        <f ca="1">IFERROR(__xludf.DUMMYFUNCTION("IF(Cost_in_dollars!E1263=""USD"",Cost_in_dollars!C1263,Cost_in_dollars!C1263 * GOOGLEFINANCE(""CURRENCY:"" &amp; Cost_in_dollars!E1263 &amp; ""USD""))
"),41777564)</f>
        <v>41777564</v>
      </c>
      <c r="Q1263" s="6">
        <f t="shared" ca="1" si="24"/>
        <v>26777564</v>
      </c>
      <c r="R1263" s="7" t="str">
        <f t="shared" si="25"/>
        <v>The Hills Have Eyes</v>
      </c>
      <c r="S1263" s="43" t="str">
        <f t="shared" si="29"/>
        <v>Horror</v>
      </c>
    </row>
    <row r="1264" spans="1:19" ht="15.75" customHeight="1" x14ac:dyDescent="0.25">
      <c r="A1264" s="4" t="s">
        <v>2039</v>
      </c>
      <c r="B1264" s="4">
        <v>300</v>
      </c>
      <c r="C1264" s="4">
        <v>7757130</v>
      </c>
      <c r="D1264" s="4" t="s">
        <v>172</v>
      </c>
      <c r="E1264" s="4" t="s">
        <v>4493</v>
      </c>
      <c r="F1264" s="4" t="s">
        <v>4494</v>
      </c>
      <c r="G1264" s="4">
        <v>307639</v>
      </c>
      <c r="H1264" s="4" t="s">
        <v>4495</v>
      </c>
      <c r="I1264" s="4">
        <v>513</v>
      </c>
      <c r="J1264" s="4" t="s">
        <v>23</v>
      </c>
      <c r="K1264" s="4" t="s">
        <v>133</v>
      </c>
      <c r="L1264" s="4">
        <v>15000000</v>
      </c>
      <c r="M1264" s="4">
        <v>2008</v>
      </c>
      <c r="N1264" s="4">
        <v>8</v>
      </c>
      <c r="O1264" s="4">
        <f ca="1">IFERROR(__xludf.DUMMYFUNCTION("IF(Cost_in_dollars!E1264=""USD"",Cost_in_dollars!B1264,Cost_in_dollars!B1264 * GOOGLEFINANCE(""CURRENCY:"" &amp; Cost_in_dollars!E1264 &amp; ""USD""))
"),19281000)</f>
        <v>19281000</v>
      </c>
      <c r="P1264" s="4">
        <f ca="1">IFERROR(__xludf.DUMMYFUNCTION("IF(Cost_in_dollars!E1264=""USD"",Cost_in_dollars!C1264,Cost_in_dollars!C1264 * GOOGLEFINANCE(""CURRENCY:"" &amp; Cost_in_dollars!E1264 &amp; ""USD""))
"),9971014.90199999)</f>
        <v>9971014.9019999895</v>
      </c>
      <c r="Q1264" s="4">
        <f t="shared" ca="1" si="24"/>
        <v>-9309985.0980000105</v>
      </c>
      <c r="R1264" s="5" t="str">
        <f t="shared" si="25"/>
        <v>In Bruges</v>
      </c>
      <c r="S1264" s="43" t="str">
        <f t="shared" si="29"/>
        <v>Comedy</v>
      </c>
    </row>
    <row r="1265" spans="1:19" ht="15.75" customHeight="1" x14ac:dyDescent="0.25">
      <c r="A1265" s="6" t="s">
        <v>2505</v>
      </c>
      <c r="B1265" s="6">
        <v>180</v>
      </c>
      <c r="C1265" s="6">
        <v>143151473</v>
      </c>
      <c r="D1265" s="6" t="s">
        <v>1499</v>
      </c>
      <c r="E1265" s="6" t="s">
        <v>335</v>
      </c>
      <c r="F1265" s="6" t="s">
        <v>4496</v>
      </c>
      <c r="G1265" s="6">
        <v>116681</v>
      </c>
      <c r="H1265" s="6" t="s">
        <v>4497</v>
      </c>
      <c r="I1265" s="6">
        <v>320</v>
      </c>
      <c r="J1265" s="6" t="s">
        <v>23</v>
      </c>
      <c r="K1265" s="6" t="s">
        <v>24</v>
      </c>
      <c r="L1265" s="6">
        <v>60000000</v>
      </c>
      <c r="M1265" s="6">
        <v>2008</v>
      </c>
      <c r="N1265" s="6">
        <v>7.1</v>
      </c>
      <c r="O1265" s="4">
        <f ca="1">IFERROR(__xludf.DUMMYFUNCTION("IF(Cost_in_dollars!E1265=""USD"",Cost_in_dollars!B1265,Cost_in_dollars!B1265 * GOOGLEFINANCE(""CURRENCY:"" &amp; Cost_in_dollars!E1265 &amp; ""USD""))
"),60000000)</f>
        <v>60000000</v>
      </c>
      <c r="P1265" s="4">
        <f ca="1">IFERROR(__xludf.DUMMYFUNCTION("IF(Cost_in_dollars!E1265=""USD"",Cost_in_dollars!C1265,Cost_in_dollars!C1265 * GOOGLEFINANCE(""CURRENCY:"" &amp; Cost_in_dollars!E1265 &amp; ""USD""))
"),143151473)</f>
        <v>143151473</v>
      </c>
      <c r="Q1265" s="6">
        <f t="shared" ca="1" si="24"/>
        <v>83151473</v>
      </c>
      <c r="R1265" s="7" t="str">
        <f t="shared" si="25"/>
        <v>Marley &amp; Me</v>
      </c>
      <c r="S1265" s="43" t="str">
        <f t="shared" si="29"/>
        <v>Comedy</v>
      </c>
    </row>
    <row r="1266" spans="1:19" ht="15.75" customHeight="1" x14ac:dyDescent="0.25">
      <c r="A1266" s="4" t="s">
        <v>4498</v>
      </c>
      <c r="B1266" s="4">
        <v>50</v>
      </c>
      <c r="C1266" s="4">
        <v>2000000</v>
      </c>
      <c r="D1266" s="4" t="s">
        <v>2049</v>
      </c>
      <c r="E1266" s="4" t="s">
        <v>4499</v>
      </c>
      <c r="F1266" s="4" t="s">
        <v>4500</v>
      </c>
      <c r="G1266" s="4">
        <v>1275</v>
      </c>
      <c r="H1266" s="4" t="s">
        <v>4501</v>
      </c>
      <c r="I1266" s="4">
        <v>27</v>
      </c>
      <c r="J1266" s="4" t="s">
        <v>23</v>
      </c>
      <c r="K1266" s="4" t="s">
        <v>24</v>
      </c>
      <c r="L1266" s="4">
        <v>17000000</v>
      </c>
      <c r="M1266" s="4">
        <v>1981</v>
      </c>
      <c r="N1266" s="4">
        <v>6.4</v>
      </c>
      <c r="O1266" s="4">
        <f ca="1">IFERROR(__xludf.DUMMYFUNCTION("IF(Cost_in_dollars!E1266=""USD"",Cost_in_dollars!B1266,Cost_in_dollars!B1266 * GOOGLEFINANCE(""CURRENCY:"" &amp; Cost_in_dollars!E1266 &amp; ""USD""))
"),17000000)</f>
        <v>17000000</v>
      </c>
      <c r="P1266" s="4">
        <f ca="1">IFERROR(__xludf.DUMMYFUNCTION("IF(Cost_in_dollars!E1266=""USD"",Cost_in_dollars!C1266,Cost_in_dollars!C1266 * GOOGLEFINANCE(""CURRENCY:"" &amp; Cost_in_dollars!E1266 &amp; ""USD""))
"),2000000)</f>
        <v>2000000</v>
      </c>
      <c r="Q1266" s="4">
        <f t="shared" ca="1" si="24"/>
        <v>-15000000</v>
      </c>
      <c r="R1266" s="5" t="str">
        <f t="shared" si="25"/>
        <v>Roar</v>
      </c>
      <c r="S1266" s="43" t="str">
        <f t="shared" si="29"/>
        <v>Adventure</v>
      </c>
    </row>
    <row r="1267" spans="1:19" ht="15.75" customHeight="1" x14ac:dyDescent="0.25">
      <c r="A1267" s="6" t="s">
        <v>4502</v>
      </c>
      <c r="B1267" s="6">
        <v>34</v>
      </c>
      <c r="C1267" s="6">
        <v>231417</v>
      </c>
      <c r="D1267" s="6" t="s">
        <v>592</v>
      </c>
      <c r="E1267" s="6" t="s">
        <v>3038</v>
      </c>
      <c r="F1267" s="6" t="s">
        <v>4503</v>
      </c>
      <c r="G1267" s="6">
        <v>1649</v>
      </c>
      <c r="H1267" s="6" t="s">
        <v>4504</v>
      </c>
      <c r="I1267" s="6">
        <v>21</v>
      </c>
      <c r="J1267" s="6" t="s">
        <v>661</v>
      </c>
      <c r="K1267" s="6" t="s">
        <v>611</v>
      </c>
      <c r="L1267" s="6">
        <v>60000000</v>
      </c>
      <c r="M1267" s="6">
        <v>1997</v>
      </c>
      <c r="N1267" s="6">
        <v>6.6</v>
      </c>
      <c r="O1267" s="4">
        <f ca="1">IFERROR(__xludf.DUMMYFUNCTION("IF(Cost_in_dollars!E1267=""USD"",Cost_in_dollars!B1267,Cost_in_dollars!B1267 * GOOGLEFINANCE(""CURRENCY:"" &amp; Cost_in_dollars!E1267 &amp; ""USD""))
"),65084400)</f>
        <v>65084400</v>
      </c>
      <c r="P1267" s="4">
        <f ca="1">IFERROR(__xludf.DUMMYFUNCTION("IF(Cost_in_dollars!E1267=""USD"",Cost_in_dollars!C1267,Cost_in_dollars!C1267 * GOOGLEFINANCE(""CURRENCY:"" &amp; Cost_in_dollars!E1267 &amp; ""USD""))
"),251027.27658)</f>
        <v>251027.27658000001</v>
      </c>
      <c r="Q1267" s="6">
        <f t="shared" ca="1" si="24"/>
        <v>-64833372.723420002</v>
      </c>
      <c r="R1267" s="7" t="str">
        <f t="shared" si="25"/>
        <v>The Swindle</v>
      </c>
      <c r="S1267" s="43" t="str">
        <f t="shared" si="29"/>
        <v>Comedy</v>
      </c>
    </row>
    <row r="1268" spans="1:19" ht="15.75" customHeight="1" x14ac:dyDescent="0.25">
      <c r="A1268" s="4" t="s">
        <v>4505</v>
      </c>
      <c r="B1268" s="4">
        <v>119</v>
      </c>
      <c r="C1268" s="4">
        <v>56044241</v>
      </c>
      <c r="D1268" s="4" t="s">
        <v>1756</v>
      </c>
      <c r="E1268" s="4" t="s">
        <v>865</v>
      </c>
      <c r="F1268" s="4" t="s">
        <v>4506</v>
      </c>
      <c r="G1268" s="4">
        <v>122187</v>
      </c>
      <c r="H1268" s="4" t="s">
        <v>4507</v>
      </c>
      <c r="I1268" s="4">
        <v>339</v>
      </c>
      <c r="J1268" s="4" t="s">
        <v>23</v>
      </c>
      <c r="K1268" s="4" t="s">
        <v>24</v>
      </c>
      <c r="L1268" s="4">
        <v>37000000</v>
      </c>
      <c r="M1268" s="4">
        <v>2004</v>
      </c>
      <c r="N1268" s="4">
        <v>6.1</v>
      </c>
      <c r="O1268" s="4">
        <f ca="1">IFERROR(__xludf.DUMMYFUNCTION("IF(Cost_in_dollars!E1268=""USD"",Cost_in_dollars!B1268,Cost_in_dollars!B1268 * GOOGLEFINANCE(""CURRENCY:"" &amp; Cost_in_dollars!E1268 &amp; ""USD""))
"),37000000)</f>
        <v>37000000</v>
      </c>
      <c r="P1268" s="4">
        <f ca="1">IFERROR(__xludf.DUMMYFUNCTION("IF(Cost_in_dollars!E1268=""USD"",Cost_in_dollars!C1268,Cost_in_dollars!C1268 * GOOGLEFINANCE(""CURRENCY:"" &amp; Cost_in_dollars!E1268 &amp; ""USD""))
"),56044241)</f>
        <v>56044241</v>
      </c>
      <c r="Q1268" s="4">
        <f t="shared" ca="1" si="24"/>
        <v>19044241</v>
      </c>
      <c r="R1268" s="5" t="str">
        <f t="shared" si="25"/>
        <v>13 Going on 30</v>
      </c>
      <c r="S1268" s="43" t="str">
        <f t="shared" si="29"/>
        <v>Comedy</v>
      </c>
    </row>
    <row r="1269" spans="1:19" ht="15.75" customHeight="1" x14ac:dyDescent="0.25">
      <c r="A1269" s="6" t="s">
        <v>4508</v>
      </c>
      <c r="B1269" s="6">
        <v>124</v>
      </c>
      <c r="C1269" s="6">
        <v>85433</v>
      </c>
      <c r="D1269" s="6" t="s">
        <v>4509</v>
      </c>
      <c r="E1269" s="6" t="s">
        <v>2247</v>
      </c>
      <c r="F1269" s="6" t="s">
        <v>4510</v>
      </c>
      <c r="G1269" s="6">
        <v>69676</v>
      </c>
      <c r="H1269" s="6" t="s">
        <v>4511</v>
      </c>
      <c r="I1269" s="6">
        <v>131</v>
      </c>
      <c r="J1269" s="6" t="s">
        <v>23</v>
      </c>
      <c r="K1269" s="6" t="s">
        <v>41</v>
      </c>
      <c r="L1269" s="6">
        <v>13500000</v>
      </c>
      <c r="M1269" s="6">
        <v>2013</v>
      </c>
      <c r="N1269" s="6">
        <v>7.8</v>
      </c>
      <c r="O1269" s="4">
        <f ca="1">IFERROR(__xludf.DUMMYFUNCTION("IF(Cost_in_dollars!E1269=""USD"",Cost_in_dollars!B1269,Cost_in_dollars!B1269 * GOOGLEFINANCE(""CURRENCY:"" &amp; Cost_in_dollars!E1269 &amp; ""USD""))
"),14643990)</f>
        <v>14643990</v>
      </c>
      <c r="P1269" s="4">
        <f ca="1">IFERROR(__xludf.DUMMYFUNCTION("IF(Cost_in_dollars!E1269=""USD"",Cost_in_dollars!C1269,Cost_in_dollars!C1269 * GOOGLEFINANCE(""CURRENCY:"" &amp; Cost_in_dollars!E1269 &amp; ""USD""))
"),92672.59242)</f>
        <v>92672.592420000001</v>
      </c>
      <c r="Q1269" s="6">
        <f t="shared" ca="1" si="24"/>
        <v>-14551317.407579999</v>
      </c>
      <c r="R1269" s="7" t="str">
        <f t="shared" si="25"/>
        <v>The Best Offer</v>
      </c>
      <c r="S1269" s="43" t="str">
        <f t="shared" si="29"/>
        <v>Crime</v>
      </c>
    </row>
    <row r="1270" spans="1:19" ht="15.75" customHeight="1" x14ac:dyDescent="0.25">
      <c r="A1270" s="4" t="s">
        <v>4512</v>
      </c>
      <c r="B1270" s="4">
        <v>134</v>
      </c>
      <c r="C1270" s="4">
        <v>22452209</v>
      </c>
      <c r="D1270" s="4" t="s">
        <v>1413</v>
      </c>
      <c r="E1270" s="4" t="s">
        <v>4513</v>
      </c>
      <c r="F1270" s="4" t="s">
        <v>4514</v>
      </c>
      <c r="G1270" s="4">
        <v>14062</v>
      </c>
      <c r="H1270" s="4" t="s">
        <v>4515</v>
      </c>
      <c r="I1270" s="4">
        <v>82</v>
      </c>
      <c r="J1270" s="4" t="s">
        <v>23</v>
      </c>
      <c r="K1270" s="4" t="s">
        <v>24</v>
      </c>
      <c r="L1270" s="4">
        <v>18000000</v>
      </c>
      <c r="M1270" s="4">
        <v>2009</v>
      </c>
      <c r="N1270" s="4">
        <v>5</v>
      </c>
      <c r="O1270" s="4">
        <f ca="1">IFERROR(__xludf.DUMMYFUNCTION("IF(Cost_in_dollars!E1270=""USD"",Cost_in_dollars!B1270,Cost_in_dollars!B1270 * GOOGLEFINANCE(""CURRENCY:"" &amp; Cost_in_dollars!E1270 &amp; ""USD""))
"),18000000)</f>
        <v>18000000</v>
      </c>
      <c r="P1270" s="4">
        <f ca="1">IFERROR(__xludf.DUMMYFUNCTION("IF(Cost_in_dollars!E1270=""USD"",Cost_in_dollars!C1270,Cost_in_dollars!C1270 * GOOGLEFINANCE(""CURRENCY:"" &amp; Cost_in_dollars!E1270 &amp; ""USD""))
"),22452209)</f>
        <v>22452209</v>
      </c>
      <c r="Q1270" s="4">
        <f t="shared" ca="1" si="24"/>
        <v>4452209</v>
      </c>
      <c r="R1270" s="5" t="str">
        <f t="shared" si="25"/>
        <v>Fame</v>
      </c>
      <c r="S1270" s="43" t="str">
        <f t="shared" si="29"/>
        <v>Comedy</v>
      </c>
    </row>
    <row r="1271" spans="1:19" ht="15.75" customHeight="1" x14ac:dyDescent="0.25">
      <c r="A1271" s="6" t="s">
        <v>3838</v>
      </c>
      <c r="B1271" s="6">
        <v>368</v>
      </c>
      <c r="C1271" s="6">
        <v>21589307</v>
      </c>
      <c r="D1271" s="6" t="s">
        <v>102</v>
      </c>
      <c r="E1271" s="6" t="s">
        <v>79</v>
      </c>
      <c r="F1271" s="6" t="s">
        <v>4516</v>
      </c>
      <c r="G1271" s="6">
        <v>135286</v>
      </c>
      <c r="H1271" s="6" t="s">
        <v>4517</v>
      </c>
      <c r="I1271" s="6">
        <v>261</v>
      </c>
      <c r="J1271" s="6" t="s">
        <v>23</v>
      </c>
      <c r="K1271" s="6" t="s">
        <v>24</v>
      </c>
      <c r="L1271" s="6">
        <v>10000000</v>
      </c>
      <c r="M1271" s="6">
        <v>2012</v>
      </c>
      <c r="N1271" s="6">
        <v>7.4</v>
      </c>
      <c r="O1271" s="4">
        <f ca="1">IFERROR(__xludf.DUMMYFUNCTION("IF(Cost_in_dollars!E1271=""USD"",Cost_in_dollars!B1271,Cost_in_dollars!B1271 * GOOGLEFINANCE(""CURRENCY:"" &amp; Cost_in_dollars!E1271 &amp; ""USD""))
"),10000000)</f>
        <v>10000000</v>
      </c>
      <c r="P1271" s="4">
        <f ca="1">IFERROR(__xludf.DUMMYFUNCTION("IF(Cost_in_dollars!E1271=""USD"",Cost_in_dollars!C1271,Cost_in_dollars!C1271 * GOOGLEFINANCE(""CURRENCY:"" &amp; Cost_in_dollars!E1271 &amp; ""USD""))
"),21589307)</f>
        <v>21589307</v>
      </c>
      <c r="Q1271" s="6">
        <f t="shared" ca="1" si="24"/>
        <v>11589307</v>
      </c>
      <c r="R1271" s="7" t="str">
        <f t="shared" si="25"/>
        <v>Mud</v>
      </c>
      <c r="S1271" s="43" t="str">
        <f t="shared" si="29"/>
        <v>Drama</v>
      </c>
    </row>
    <row r="1272" spans="1:19" ht="15.75" customHeight="1" x14ac:dyDescent="0.25">
      <c r="A1272" s="4" t="s">
        <v>586</v>
      </c>
      <c r="B1272" s="4">
        <v>161</v>
      </c>
      <c r="C1272" s="4">
        <v>138339411</v>
      </c>
      <c r="D1272" s="4" t="s">
        <v>102</v>
      </c>
      <c r="E1272" s="4" t="s">
        <v>676</v>
      </c>
      <c r="F1272" s="4" t="s">
        <v>4518</v>
      </c>
      <c r="G1272" s="4">
        <v>604904</v>
      </c>
      <c r="H1272" s="4" t="s">
        <v>4519</v>
      </c>
      <c r="I1272" s="4">
        <v>682</v>
      </c>
      <c r="J1272" s="4" t="s">
        <v>23</v>
      </c>
      <c r="K1272" s="4" t="s">
        <v>24</v>
      </c>
      <c r="L1272" s="4">
        <v>10000000</v>
      </c>
      <c r="M1272" s="4">
        <v>1997</v>
      </c>
      <c r="N1272" s="4">
        <v>8.3000000000000007</v>
      </c>
      <c r="O1272" s="4">
        <f ca="1">IFERROR(__xludf.DUMMYFUNCTION("IF(Cost_in_dollars!E1272=""USD"",Cost_in_dollars!B1272,Cost_in_dollars!B1272 * GOOGLEFINANCE(""CURRENCY:"" &amp; Cost_in_dollars!E1272 &amp; ""USD""))
"),10000000)</f>
        <v>10000000</v>
      </c>
      <c r="P1272" s="4">
        <f ca="1">IFERROR(__xludf.DUMMYFUNCTION("IF(Cost_in_dollars!E1272=""USD"",Cost_in_dollars!C1272,Cost_in_dollars!C1272 * GOOGLEFINANCE(""CURRENCY:"" &amp; Cost_in_dollars!E1272 &amp; ""USD""))
"),138339411)</f>
        <v>138339411</v>
      </c>
      <c r="Q1272" s="4">
        <f t="shared" ca="1" si="24"/>
        <v>128339411</v>
      </c>
      <c r="R1272" s="5" t="str">
        <f t="shared" si="25"/>
        <v>Good Will Hunting</v>
      </c>
      <c r="S1272" s="43" t="str">
        <f t="shared" si="29"/>
        <v>Drama</v>
      </c>
    </row>
    <row r="1273" spans="1:19" ht="15.75" customHeight="1" x14ac:dyDescent="0.25">
      <c r="A1273" s="6" t="s">
        <v>4520</v>
      </c>
      <c r="B1273" s="6">
        <v>107</v>
      </c>
      <c r="C1273" s="6">
        <v>1134049</v>
      </c>
      <c r="D1273" s="6" t="s">
        <v>4521</v>
      </c>
      <c r="E1273" s="6" t="s">
        <v>4522</v>
      </c>
      <c r="F1273" s="6" t="s">
        <v>4523</v>
      </c>
      <c r="G1273" s="6">
        <v>5475</v>
      </c>
      <c r="H1273" s="6" t="s">
        <v>4524</v>
      </c>
      <c r="I1273" s="6">
        <v>44</v>
      </c>
      <c r="J1273" s="6" t="s">
        <v>23</v>
      </c>
      <c r="K1273" s="6" t="s">
        <v>133</v>
      </c>
      <c r="L1273" s="6">
        <v>2000000</v>
      </c>
      <c r="M1273" s="6">
        <v>2007</v>
      </c>
      <c r="N1273" s="6">
        <v>8.1</v>
      </c>
      <c r="O1273" s="4">
        <f ca="1">IFERROR(__xludf.DUMMYFUNCTION("IF(Cost_in_dollars!E1273=""USD"",Cost_in_dollars!B1273,Cost_in_dollars!B1273 * GOOGLEFINANCE(""CURRENCY:"" &amp; Cost_in_dollars!E1273 &amp; ""USD""))
"),2570799.99999999)</f>
        <v>2570799.9999999902</v>
      </c>
      <c r="P1273" s="4">
        <f ca="1">IFERROR(__xludf.DUMMYFUNCTION("IF(Cost_in_dollars!E1273=""USD"",Cost_in_dollars!C1273,Cost_in_dollars!C1273 * GOOGLEFINANCE(""CURRENCY:"" &amp; Cost_in_dollars!E1273 &amp; ""USD""))
"),1457706.5846)</f>
        <v>1457706.5845999999</v>
      </c>
      <c r="Q1273" s="6">
        <f t="shared" ca="1" si="24"/>
        <v>-1113093.4153999903</v>
      </c>
      <c r="R1273" s="7" t="str">
        <f t="shared" si="25"/>
        <v>In the Shadow of the Moon</v>
      </c>
      <c r="S1273" s="43" t="str">
        <f t="shared" si="29"/>
        <v>Documentary</v>
      </c>
    </row>
    <row r="1274" spans="1:19" ht="15.75" customHeight="1" x14ac:dyDescent="0.25">
      <c r="A1274" s="4" t="s">
        <v>2315</v>
      </c>
      <c r="B1274" s="4">
        <v>98</v>
      </c>
      <c r="C1274" s="4">
        <v>48814909</v>
      </c>
      <c r="D1274" s="4" t="s">
        <v>362</v>
      </c>
      <c r="E1274" s="4" t="s">
        <v>886</v>
      </c>
      <c r="F1274" s="4" t="s">
        <v>4525</v>
      </c>
      <c r="G1274" s="4">
        <v>89424</v>
      </c>
      <c r="H1274" s="4" t="s">
        <v>4526</v>
      </c>
      <c r="I1274" s="4">
        <v>224</v>
      </c>
      <c r="J1274" s="4" t="s">
        <v>23</v>
      </c>
      <c r="K1274" s="4" t="s">
        <v>24</v>
      </c>
      <c r="L1274" s="4">
        <v>32000000</v>
      </c>
      <c r="M1274" s="4">
        <v>2000</v>
      </c>
      <c r="N1274" s="4">
        <v>7.2</v>
      </c>
      <c r="O1274" s="4">
        <f ca="1">IFERROR(__xludf.DUMMYFUNCTION("IF(Cost_in_dollars!E1274=""USD"",Cost_in_dollars!B1274,Cost_in_dollars!B1274 * GOOGLEFINANCE(""CURRENCY:"" &amp; Cost_in_dollars!E1274 &amp; ""USD""))
"),32000000)</f>
        <v>32000000</v>
      </c>
      <c r="P1274" s="4">
        <f ca="1">IFERROR(__xludf.DUMMYFUNCTION("IF(Cost_in_dollars!E1274=""USD"",Cost_in_dollars!C1274,Cost_in_dollars!C1274 * GOOGLEFINANCE(""CURRENCY:"" &amp; Cost_in_dollars!E1274 &amp; ""USD""))
"),48814909)</f>
        <v>48814909</v>
      </c>
      <c r="Q1274" s="4">
        <f t="shared" ca="1" si="24"/>
        <v>16814909</v>
      </c>
      <c r="R1274" s="5" t="str">
        <f t="shared" si="25"/>
        <v>Men of Honor</v>
      </c>
      <c r="S1274" s="43" t="str">
        <f t="shared" si="29"/>
        <v>Biography</v>
      </c>
    </row>
    <row r="1275" spans="1:19" ht="15.75" customHeight="1" x14ac:dyDescent="0.25">
      <c r="A1275" s="6" t="s">
        <v>3733</v>
      </c>
      <c r="B1275" s="6">
        <v>131</v>
      </c>
      <c r="C1275" s="6">
        <v>5660084</v>
      </c>
      <c r="D1275" s="6" t="s">
        <v>244</v>
      </c>
      <c r="E1275" s="6" t="s">
        <v>4527</v>
      </c>
      <c r="F1275" s="6" t="s">
        <v>4528</v>
      </c>
      <c r="G1275" s="6">
        <v>41620</v>
      </c>
      <c r="H1275" s="6" t="s">
        <v>4529</v>
      </c>
      <c r="I1275" s="6">
        <v>418</v>
      </c>
      <c r="J1275" s="6" t="s">
        <v>23</v>
      </c>
      <c r="K1275" s="6" t="s">
        <v>24</v>
      </c>
      <c r="L1275" s="6">
        <v>54000000</v>
      </c>
      <c r="M1275" s="6">
        <v>2003</v>
      </c>
      <c r="N1275" s="6">
        <v>2.4</v>
      </c>
      <c r="O1275" s="4">
        <f ca="1">IFERROR(__xludf.DUMMYFUNCTION("IF(Cost_in_dollars!E1275=""USD"",Cost_in_dollars!B1275,Cost_in_dollars!B1275 * GOOGLEFINANCE(""CURRENCY:"" &amp; Cost_in_dollars!E1275 &amp; ""USD""))
"),54000000)</f>
        <v>54000000</v>
      </c>
      <c r="P1275" s="4">
        <f ca="1">IFERROR(__xludf.DUMMYFUNCTION("IF(Cost_in_dollars!E1275=""USD"",Cost_in_dollars!C1275,Cost_in_dollars!C1275 * GOOGLEFINANCE(""CURRENCY:"" &amp; Cost_in_dollars!E1275 &amp; ""USD""))
"),5660084)</f>
        <v>5660084</v>
      </c>
      <c r="Q1275" s="6">
        <f t="shared" ca="1" si="24"/>
        <v>-48339916</v>
      </c>
      <c r="R1275" s="7" t="str">
        <f t="shared" si="25"/>
        <v>Gigli</v>
      </c>
      <c r="S1275" s="43" t="str">
        <f t="shared" si="29"/>
        <v>Comedy</v>
      </c>
    </row>
    <row r="1276" spans="1:19" ht="15.75" customHeight="1" x14ac:dyDescent="0.25">
      <c r="A1276" s="4" t="s">
        <v>4530</v>
      </c>
      <c r="B1276" s="4">
        <v>136</v>
      </c>
      <c r="C1276" s="4">
        <v>71844424</v>
      </c>
      <c r="D1276" s="4" t="s">
        <v>718</v>
      </c>
      <c r="E1276" s="4" t="s">
        <v>4531</v>
      </c>
      <c r="F1276" s="4" t="s">
        <v>4532</v>
      </c>
      <c r="G1276" s="4">
        <v>33158</v>
      </c>
      <c r="H1276" s="4" t="s">
        <v>4533</v>
      </c>
      <c r="I1276" s="4">
        <v>223</v>
      </c>
      <c r="J1276" s="4" t="s">
        <v>23</v>
      </c>
      <c r="K1276" s="4" t="s">
        <v>24</v>
      </c>
      <c r="L1276" s="4">
        <v>60000000</v>
      </c>
      <c r="M1276" s="4">
        <v>2009</v>
      </c>
      <c r="N1276" s="4">
        <v>7.3</v>
      </c>
      <c r="O1276" s="4">
        <f ca="1">IFERROR(__xludf.DUMMYFUNCTION("IF(Cost_in_dollars!E1276=""USD"",Cost_in_dollars!B1276,Cost_in_dollars!B1276 * GOOGLEFINANCE(""CURRENCY:"" &amp; Cost_in_dollars!E1276 &amp; ""USD""))
"),60000000)</f>
        <v>60000000</v>
      </c>
      <c r="P1276" s="4">
        <f ca="1">IFERROR(__xludf.DUMMYFUNCTION("IF(Cost_in_dollars!E1276=""USD"",Cost_in_dollars!C1276,Cost_in_dollars!C1276 * GOOGLEFINANCE(""CURRENCY:"" &amp; Cost_in_dollars!E1276 &amp; ""USD""))
"),71844424)</f>
        <v>71844424</v>
      </c>
      <c r="Q1276" s="4">
        <f t="shared" ca="1" si="24"/>
        <v>11844424</v>
      </c>
      <c r="R1276" s="5" t="str">
        <f t="shared" si="25"/>
        <v>This Is It</v>
      </c>
      <c r="S1276" s="43" t="str">
        <f t="shared" si="29"/>
        <v>Documentary</v>
      </c>
    </row>
    <row r="1277" spans="1:19" ht="15.75" customHeight="1" x14ac:dyDescent="0.25">
      <c r="A1277" s="6" t="s">
        <v>736</v>
      </c>
      <c r="B1277" s="6">
        <v>112</v>
      </c>
      <c r="C1277" s="6">
        <v>2706659</v>
      </c>
      <c r="D1277" s="6" t="s">
        <v>457</v>
      </c>
      <c r="E1277" s="6" t="s">
        <v>2493</v>
      </c>
      <c r="F1277" s="6" t="s">
        <v>4534</v>
      </c>
      <c r="G1277" s="6">
        <v>17770</v>
      </c>
      <c r="H1277" s="6" t="s">
        <v>4535</v>
      </c>
      <c r="I1277" s="6">
        <v>172</v>
      </c>
      <c r="J1277" s="6" t="s">
        <v>23</v>
      </c>
      <c r="K1277" s="6" t="s">
        <v>133</v>
      </c>
      <c r="L1277" s="6">
        <v>2000000</v>
      </c>
      <c r="M1277" s="6">
        <v>2006</v>
      </c>
      <c r="N1277" s="6">
        <v>6.9</v>
      </c>
      <c r="O1277" s="4">
        <f ca="1">IFERROR(__xludf.DUMMYFUNCTION("IF(Cost_in_dollars!E1277=""USD"",Cost_in_dollars!B1277,Cost_in_dollars!B1277 * GOOGLEFINANCE(""CURRENCY:"" &amp; Cost_in_dollars!E1277 &amp; ""USD""))
"),2570799.99999999)</f>
        <v>2570799.9999999902</v>
      </c>
      <c r="P1277" s="4">
        <f ca="1">IFERROR(__xludf.DUMMYFUNCTION("IF(Cost_in_dollars!E1277=""USD"",Cost_in_dollars!C1277,Cost_in_dollars!C1277 * GOOGLEFINANCE(""CURRENCY:"" &amp; Cost_in_dollars!E1277 &amp; ""USD""))
"),3479139.47859999)</f>
        <v>3479139.4785999898</v>
      </c>
      <c r="Q1277" s="6">
        <f t="shared" ref="Q1277:Q1531" ca="1" si="30">P1277-O1277</f>
        <v>908339.47859999957</v>
      </c>
      <c r="R1277" s="7" t="str">
        <f t="shared" ref="R1277:R1531" si="31">LEFT(F1277,LEN(F1277)-2)</f>
        <v>The History Boys</v>
      </c>
      <c r="S1277" s="43" t="str">
        <f t="shared" si="29"/>
        <v>Comedy</v>
      </c>
    </row>
    <row r="1278" spans="1:19" ht="15.75" customHeight="1" x14ac:dyDescent="0.25">
      <c r="A1278" s="4" t="s">
        <v>4536</v>
      </c>
      <c r="B1278" s="4">
        <v>134</v>
      </c>
      <c r="C1278" s="4">
        <v>51600000</v>
      </c>
      <c r="D1278" s="4" t="s">
        <v>4537</v>
      </c>
      <c r="E1278" s="4" t="s">
        <v>4538</v>
      </c>
      <c r="F1278" s="4" t="s">
        <v>4539</v>
      </c>
      <c r="G1278" s="4">
        <v>270790</v>
      </c>
      <c r="H1278" s="4" t="s">
        <v>4540</v>
      </c>
      <c r="I1278" s="4">
        <v>549</v>
      </c>
      <c r="J1278" s="4" t="s">
        <v>23</v>
      </c>
      <c r="K1278" s="4" t="s">
        <v>24</v>
      </c>
      <c r="L1278" s="4">
        <v>18000000</v>
      </c>
      <c r="M1278" s="4">
        <v>1984</v>
      </c>
      <c r="N1278" s="4">
        <v>8.3000000000000007</v>
      </c>
      <c r="O1278" s="4">
        <f ca="1">IFERROR(__xludf.DUMMYFUNCTION("IF(Cost_in_dollars!E1278=""USD"",Cost_in_dollars!B1278,Cost_in_dollars!B1278 * GOOGLEFINANCE(""CURRENCY:"" &amp; Cost_in_dollars!E1278 &amp; ""USD""))
"),18000000)</f>
        <v>18000000</v>
      </c>
      <c r="P1278" s="4">
        <f ca="1">IFERROR(__xludf.DUMMYFUNCTION("IF(Cost_in_dollars!E1278=""USD"",Cost_in_dollars!C1278,Cost_in_dollars!C1278 * GOOGLEFINANCE(""CURRENCY:"" &amp; Cost_in_dollars!E1278 &amp; ""USD""))
"),51600000)</f>
        <v>51600000</v>
      </c>
      <c r="Q1278" s="4">
        <f t="shared" ca="1" si="30"/>
        <v>33600000</v>
      </c>
      <c r="R1278" s="5" t="str">
        <f t="shared" si="31"/>
        <v>Amadeus</v>
      </c>
      <c r="S1278" s="43" t="str">
        <f t="shared" si="29"/>
        <v>Biography</v>
      </c>
    </row>
    <row r="1279" spans="1:19" ht="15.75" customHeight="1" x14ac:dyDescent="0.25">
      <c r="A1279" s="6" t="s">
        <v>4541</v>
      </c>
      <c r="B1279" s="6">
        <v>208</v>
      </c>
      <c r="C1279" s="6">
        <v>2694973</v>
      </c>
      <c r="D1279" s="6" t="s">
        <v>102</v>
      </c>
      <c r="E1279" s="6" t="s">
        <v>227</v>
      </c>
      <c r="F1279" s="6" t="s">
        <v>4542</v>
      </c>
      <c r="G1279" s="6">
        <v>70885</v>
      </c>
      <c r="H1279" s="6" t="s">
        <v>4543</v>
      </c>
      <c r="I1279" s="6">
        <v>189</v>
      </c>
      <c r="J1279" s="6" t="s">
        <v>23</v>
      </c>
      <c r="K1279" s="6" t="s">
        <v>24</v>
      </c>
      <c r="L1279" s="6">
        <v>700000</v>
      </c>
      <c r="M1279" s="6">
        <v>2006</v>
      </c>
      <c r="N1279" s="6">
        <v>7.2</v>
      </c>
      <c r="O1279" s="4">
        <f ca="1">IFERROR(__xludf.DUMMYFUNCTION("IF(Cost_in_dollars!E1279=""USD"",Cost_in_dollars!B1279,Cost_in_dollars!B1279 * GOOGLEFINANCE(""CURRENCY:"" &amp; Cost_in_dollars!E1279 &amp; ""USD""))
"),700000)</f>
        <v>700000</v>
      </c>
      <c r="P1279" s="4">
        <f ca="1">IFERROR(__xludf.DUMMYFUNCTION("IF(Cost_in_dollars!E1279=""USD"",Cost_in_dollars!C1279,Cost_in_dollars!C1279 * GOOGLEFINANCE(""CURRENCY:"" &amp; Cost_in_dollars!E1279 &amp; ""USD""))
"),2694973)</f>
        <v>2694973</v>
      </c>
      <c r="Q1279" s="6">
        <f t="shared" ca="1" si="30"/>
        <v>1994973</v>
      </c>
      <c r="R1279" s="7" t="str">
        <f t="shared" si="31"/>
        <v>Half Nelson</v>
      </c>
      <c r="S1279" s="43" t="str">
        <f t="shared" si="29"/>
        <v>Drama</v>
      </c>
    </row>
    <row r="1280" spans="1:19" ht="15.75" customHeight="1" x14ac:dyDescent="0.25">
      <c r="A1280" s="4" t="s">
        <v>4544</v>
      </c>
      <c r="B1280" s="4">
        <v>117</v>
      </c>
      <c r="C1280" s="4">
        <v>36200000</v>
      </c>
      <c r="D1280" s="4" t="s">
        <v>797</v>
      </c>
      <c r="E1280" s="4" t="s">
        <v>4545</v>
      </c>
      <c r="F1280" s="4" t="s">
        <v>4546</v>
      </c>
      <c r="G1280" s="4">
        <v>101840</v>
      </c>
      <c r="H1280" s="4" t="s">
        <v>4547</v>
      </c>
      <c r="I1280" s="4">
        <v>193</v>
      </c>
      <c r="J1280" s="4" t="s">
        <v>23</v>
      </c>
      <c r="K1280" s="4" t="s">
        <v>149</v>
      </c>
      <c r="L1280" s="4">
        <v>12305523</v>
      </c>
      <c r="M1280" s="4">
        <v>1985</v>
      </c>
      <c r="N1280" s="4">
        <v>6.2</v>
      </c>
      <c r="O1280" s="4">
        <f ca="1">IFERROR(__xludf.DUMMYFUNCTION("IF(Cost_in_dollars!E1280=""USD"",Cost_in_dollars!B1280,Cost_in_dollars!B1280 * GOOGLEFINANCE(""CURRENCY:"" &amp; Cost_in_dollars!E1280 &amp; ""USD""))
"),8046335.37924)</f>
        <v>8046335.3792399997</v>
      </c>
      <c r="P1280" s="4">
        <f ca="1">IFERROR(__xludf.DUMMYFUNCTION("IF(Cost_in_dollars!E1280=""USD"",Cost_in_dollars!C1280,Cost_in_dollars!C1280 * GOOGLEFINANCE(""CURRENCY:"" &amp; Cost_in_dollars!E1280 &amp; ""USD""))
"),23670456)</f>
        <v>23670456</v>
      </c>
      <c r="Q1280" s="4">
        <f t="shared" ca="1" si="30"/>
        <v>15624120.620760001</v>
      </c>
      <c r="R1280" s="5" t="str">
        <f t="shared" si="31"/>
        <v>Mad Max Beyond Thunderdome</v>
      </c>
      <c r="S1280" s="43" t="str">
        <f t="shared" si="29"/>
        <v>Action</v>
      </c>
    </row>
    <row r="1281" spans="1:19" ht="15.75" customHeight="1" x14ac:dyDescent="0.25">
      <c r="A1281" s="6" t="s">
        <v>2550</v>
      </c>
      <c r="B1281" s="6">
        <v>147</v>
      </c>
      <c r="C1281" s="6">
        <v>22526144</v>
      </c>
      <c r="D1281" s="6" t="s">
        <v>1465</v>
      </c>
      <c r="E1281" s="6" t="s">
        <v>4548</v>
      </c>
      <c r="F1281" s="6" t="s">
        <v>4549</v>
      </c>
      <c r="G1281" s="6">
        <v>53884</v>
      </c>
      <c r="H1281" s="6" t="s">
        <v>4550</v>
      </c>
      <c r="I1281" s="6">
        <v>203</v>
      </c>
      <c r="J1281" s="6" t="s">
        <v>23</v>
      </c>
      <c r="K1281" s="6" t="s">
        <v>24</v>
      </c>
      <c r="L1281" s="6">
        <v>30000000</v>
      </c>
      <c r="M1281" s="6">
        <v>2006</v>
      </c>
      <c r="N1281" s="6">
        <v>5.0999999999999996</v>
      </c>
      <c r="O1281" s="4">
        <f ca="1">IFERROR(__xludf.DUMMYFUNCTION("IF(Cost_in_dollars!E1281=""USD"",Cost_in_dollars!B1281,Cost_in_dollars!B1281 * GOOGLEFINANCE(""CURRENCY:"" &amp; Cost_in_dollars!E1281 &amp; ""USD""))
"),30000000)</f>
        <v>30000000</v>
      </c>
      <c r="P1281" s="4">
        <f ca="1">IFERROR(__xludf.DUMMYFUNCTION("IF(Cost_in_dollars!E1281=""USD"",Cost_in_dollars!C1281,Cost_in_dollars!C1281 * GOOGLEFINANCE(""CURRENCY:"" &amp; Cost_in_dollars!E1281 &amp; ""USD""))
"),22526144)</f>
        <v>22526144</v>
      </c>
      <c r="Q1281" s="6">
        <f t="shared" ca="1" si="30"/>
        <v>-7473856</v>
      </c>
      <c r="R1281" s="7" t="str">
        <f t="shared" si="31"/>
        <v>My Super Ex-Girlfriend</v>
      </c>
      <c r="S1281" s="43" t="str">
        <f t="shared" si="29"/>
        <v>Comedy</v>
      </c>
    </row>
    <row r="1282" spans="1:19" ht="15.75" customHeight="1" x14ac:dyDescent="0.25">
      <c r="A1282" s="4" t="s">
        <v>67</v>
      </c>
      <c r="B1282" s="4">
        <v>202</v>
      </c>
      <c r="C1282" s="4">
        <v>13060843</v>
      </c>
      <c r="D1282" s="4" t="s">
        <v>102</v>
      </c>
      <c r="E1282" s="4" t="s">
        <v>1347</v>
      </c>
      <c r="F1282" s="4" t="s">
        <v>4551</v>
      </c>
      <c r="G1282" s="4">
        <v>149528</v>
      </c>
      <c r="H1282" s="4" t="s">
        <v>4552</v>
      </c>
      <c r="I1282" s="4">
        <v>454</v>
      </c>
      <c r="J1282" s="4" t="s">
        <v>23</v>
      </c>
      <c r="K1282" s="4" t="s">
        <v>24</v>
      </c>
      <c r="L1282" s="4">
        <v>15000000</v>
      </c>
      <c r="M1282" s="4">
        <v>2002</v>
      </c>
      <c r="N1282" s="4">
        <v>7.7</v>
      </c>
      <c r="O1282" s="4">
        <f ca="1">IFERROR(__xludf.DUMMYFUNCTION("IF(Cost_in_dollars!E1282=""USD"",Cost_in_dollars!B1282,Cost_in_dollars!B1282 * GOOGLEFINANCE(""CURRENCY:"" &amp; Cost_in_dollars!E1282 &amp; ""USD""))
"),15000000)</f>
        <v>15000000</v>
      </c>
      <c r="P1282" s="4">
        <f ca="1">IFERROR(__xludf.DUMMYFUNCTION("IF(Cost_in_dollars!E1282=""USD"",Cost_in_dollars!C1282,Cost_in_dollars!C1282 * GOOGLEFINANCE(""CURRENCY:"" &amp; Cost_in_dollars!E1282 &amp; ""USD""))
"),13060843)</f>
        <v>13060843</v>
      </c>
      <c r="Q1282" s="4">
        <f t="shared" ca="1" si="30"/>
        <v>-1939157</v>
      </c>
      <c r="R1282" s="5" t="str">
        <f t="shared" si="31"/>
        <v>25th Hour</v>
      </c>
      <c r="S1282" s="43" t="str">
        <f t="shared" ref="S1282:S1345" si="32">IF(ISNUMBER(FIND("|", D1282)), LEFT(D1282, FIND("|", D1282) - 1), D1282)</f>
        <v>Drama</v>
      </c>
    </row>
    <row r="1283" spans="1:19" ht="15.75" customHeight="1" x14ac:dyDescent="0.25">
      <c r="A1283" s="6" t="s">
        <v>4553</v>
      </c>
      <c r="B1283" s="6">
        <v>65</v>
      </c>
      <c r="C1283" s="6">
        <v>2300000</v>
      </c>
      <c r="D1283" s="6" t="s">
        <v>1949</v>
      </c>
      <c r="E1283" s="6" t="s">
        <v>1950</v>
      </c>
      <c r="F1283" s="6" t="s">
        <v>4554</v>
      </c>
      <c r="G1283" s="6">
        <v>7921</v>
      </c>
      <c r="H1283" s="6" t="s">
        <v>4555</v>
      </c>
      <c r="I1283" s="6">
        <v>97</v>
      </c>
      <c r="J1283" s="6" t="s">
        <v>23</v>
      </c>
      <c r="K1283" s="6" t="s">
        <v>24</v>
      </c>
      <c r="L1283" s="6">
        <v>439000</v>
      </c>
      <c r="M1283" s="6">
        <v>1933</v>
      </c>
      <c r="N1283" s="6">
        <v>7.7</v>
      </c>
      <c r="O1283" s="4">
        <f ca="1">IFERROR(__xludf.DUMMYFUNCTION("IF(Cost_in_dollars!E1283=""USD"",Cost_in_dollars!B1283,Cost_in_dollars!B1283 * GOOGLEFINANCE(""CURRENCY:"" &amp; Cost_in_dollars!E1283 &amp; ""USD""))
"),439000)</f>
        <v>439000</v>
      </c>
      <c r="P1283" s="4">
        <f ca="1">IFERROR(__xludf.DUMMYFUNCTION("IF(Cost_in_dollars!E1283=""USD"",Cost_in_dollars!C1283,Cost_in_dollars!C1283 * GOOGLEFINANCE(""CURRENCY:"" &amp; Cost_in_dollars!E1283 &amp; ""USD""))
"),2300000)</f>
        <v>2300000</v>
      </c>
      <c r="Q1283" s="6">
        <f t="shared" ca="1" si="30"/>
        <v>1861000</v>
      </c>
      <c r="R1283" s="7" t="str">
        <f t="shared" si="31"/>
        <v>42nd Street</v>
      </c>
      <c r="S1283" s="43" t="str">
        <f t="shared" si="32"/>
        <v>Comedy</v>
      </c>
    </row>
    <row r="1284" spans="1:19" ht="15.75" customHeight="1" x14ac:dyDescent="0.25">
      <c r="A1284" s="4" t="s">
        <v>1570</v>
      </c>
      <c r="B1284" s="4">
        <v>237</v>
      </c>
      <c r="C1284" s="4">
        <v>28031250</v>
      </c>
      <c r="D1284" s="4" t="s">
        <v>4556</v>
      </c>
      <c r="E1284" s="4" t="s">
        <v>49</v>
      </c>
      <c r="F1284" s="4" t="s">
        <v>4557</v>
      </c>
      <c r="G1284" s="4">
        <v>88146</v>
      </c>
      <c r="H1284" s="4" t="s">
        <v>4558</v>
      </c>
      <c r="I1284" s="4">
        <v>814</v>
      </c>
      <c r="J1284" s="4" t="s">
        <v>23</v>
      </c>
      <c r="K1284" s="4" t="s">
        <v>133</v>
      </c>
      <c r="L1284" s="4">
        <v>60000000</v>
      </c>
      <c r="M1284" s="4">
        <v>2005</v>
      </c>
      <c r="N1284" s="4">
        <v>5.2</v>
      </c>
      <c r="O1284" s="4">
        <f ca="1">IFERROR(__xludf.DUMMYFUNCTION("IF(Cost_in_dollars!E1284=""USD"",Cost_in_dollars!B1284,Cost_in_dollars!B1284 * GOOGLEFINANCE(""CURRENCY:"" &amp; Cost_in_dollars!E1284 &amp; ""USD""))
"),77124000)</f>
        <v>77124000</v>
      </c>
      <c r="P1284" s="4">
        <f ca="1">IFERROR(__xludf.DUMMYFUNCTION("IF(Cost_in_dollars!E1284=""USD"",Cost_in_dollars!C1284,Cost_in_dollars!C1284 * GOOGLEFINANCE(""CURRENCY:"" &amp; Cost_in_dollars!E1284 &amp; ""USD""))
"),36031368.75)</f>
        <v>36031368.75</v>
      </c>
      <c r="Q1284" s="4">
        <f t="shared" ca="1" si="30"/>
        <v>-41092631.25</v>
      </c>
      <c r="R1284" s="5" t="str">
        <f t="shared" si="31"/>
        <v>Doom</v>
      </c>
      <c r="S1284" s="43" t="str">
        <f t="shared" si="32"/>
        <v>Action</v>
      </c>
    </row>
    <row r="1285" spans="1:19" ht="15.75" customHeight="1" x14ac:dyDescent="0.25">
      <c r="A1285" s="6" t="s">
        <v>4281</v>
      </c>
      <c r="B1285" s="6">
        <v>197</v>
      </c>
      <c r="C1285" s="6">
        <v>126930660</v>
      </c>
      <c r="D1285" s="6" t="s">
        <v>477</v>
      </c>
      <c r="E1285" s="6" t="s">
        <v>4559</v>
      </c>
      <c r="F1285" s="6" t="s">
        <v>4560</v>
      </c>
      <c r="G1285" s="6">
        <v>157519</v>
      </c>
      <c r="H1285" s="6" t="s">
        <v>4561</v>
      </c>
      <c r="I1285" s="6">
        <v>683</v>
      </c>
      <c r="J1285" s="6" t="s">
        <v>23</v>
      </c>
      <c r="K1285" s="6" t="s">
        <v>133</v>
      </c>
      <c r="L1285" s="6">
        <v>135000000</v>
      </c>
      <c r="M1285" s="6">
        <v>1999</v>
      </c>
      <c r="N1285" s="6">
        <v>6.4</v>
      </c>
      <c r="O1285" s="4">
        <f ca="1">IFERROR(__xludf.DUMMYFUNCTION("IF(Cost_in_dollars!E1285=""USD"",Cost_in_dollars!B1285,Cost_in_dollars!B1285 * GOOGLEFINANCE(""CURRENCY:"" &amp; Cost_in_dollars!E1285 &amp; ""USD""))
"),173528999.999999)</f>
        <v>173528999.99999899</v>
      </c>
      <c r="P1285" s="4">
        <f ca="1">IFERROR(__xludf.DUMMYFUNCTION("IF(Cost_in_dollars!E1285=""USD"",Cost_in_dollars!C1285,Cost_in_dollars!C1285 * GOOGLEFINANCE(""CURRENCY:"" &amp; Cost_in_dollars!E1285 &amp; ""USD""))
"),163156670.364)</f>
        <v>163156670.36399999</v>
      </c>
      <c r="Q1285" s="6">
        <f t="shared" ca="1" si="30"/>
        <v>-10372329.635998994</v>
      </c>
      <c r="R1285" s="7" t="str">
        <f t="shared" si="31"/>
        <v>The World Is Not Enough</v>
      </c>
      <c r="S1285" s="43" t="str">
        <f t="shared" si="32"/>
        <v>Action</v>
      </c>
    </row>
    <row r="1286" spans="1:19" ht="15.75" customHeight="1" x14ac:dyDescent="0.25">
      <c r="A1286" s="4" t="s">
        <v>358</v>
      </c>
      <c r="B1286" s="4">
        <v>89</v>
      </c>
      <c r="C1286" s="4">
        <v>43426961</v>
      </c>
      <c r="D1286" s="4" t="s">
        <v>691</v>
      </c>
      <c r="E1286" s="4" t="s">
        <v>54</v>
      </c>
      <c r="F1286" s="4" t="s">
        <v>4562</v>
      </c>
      <c r="G1286" s="4">
        <v>93494</v>
      </c>
      <c r="H1286" s="4" t="s">
        <v>4563</v>
      </c>
      <c r="I1286" s="4">
        <v>394</v>
      </c>
      <c r="J1286" s="4" t="s">
        <v>23</v>
      </c>
      <c r="K1286" s="4" t="s">
        <v>24</v>
      </c>
      <c r="L1286" s="4">
        <v>70000000</v>
      </c>
      <c r="M1286" s="4">
        <v>2003</v>
      </c>
      <c r="N1286" s="4">
        <v>6.6</v>
      </c>
      <c r="O1286" s="4">
        <f ca="1">IFERROR(__xludf.DUMMYFUNCTION("IF(Cost_in_dollars!E1286=""USD"",Cost_in_dollars!B1286,Cost_in_dollars!B1286 * GOOGLEFINANCE(""CURRENCY:"" &amp; Cost_in_dollars!E1286 &amp; ""USD""))
"),70000000)</f>
        <v>70000000</v>
      </c>
      <c r="P1286" s="4">
        <f ca="1">IFERROR(__xludf.DUMMYFUNCTION("IF(Cost_in_dollars!E1286=""USD"",Cost_in_dollars!C1286,Cost_in_dollars!C1286 * GOOGLEFINANCE(""CURRENCY:"" &amp; Cost_in_dollars!E1286 &amp; ""USD""))
"),43426961)</f>
        <v>43426961</v>
      </c>
      <c r="Q1286" s="4">
        <f t="shared" ca="1" si="30"/>
        <v>-26573039</v>
      </c>
      <c r="R1286" s="5" t="str">
        <f t="shared" si="31"/>
        <v>Tears of the Sun</v>
      </c>
      <c r="S1286" s="43" t="str">
        <f t="shared" si="32"/>
        <v>Action</v>
      </c>
    </row>
    <row r="1287" spans="1:19" ht="15.75" customHeight="1" x14ac:dyDescent="0.25">
      <c r="A1287" s="6" t="s">
        <v>634</v>
      </c>
      <c r="B1287" s="6">
        <v>61</v>
      </c>
      <c r="C1287" s="6">
        <v>30306268</v>
      </c>
      <c r="D1287" s="6" t="s">
        <v>155</v>
      </c>
      <c r="E1287" s="6" t="s">
        <v>1481</v>
      </c>
      <c r="F1287" s="6" t="s">
        <v>4564</v>
      </c>
      <c r="G1287" s="6">
        <v>62981</v>
      </c>
      <c r="H1287" s="6" t="s">
        <v>4565</v>
      </c>
      <c r="I1287" s="6">
        <v>84</v>
      </c>
      <c r="J1287" s="6" t="s">
        <v>23</v>
      </c>
      <c r="K1287" s="6" t="s">
        <v>611</v>
      </c>
      <c r="L1287" s="6">
        <v>50000000</v>
      </c>
      <c r="M1287" s="6">
        <v>1995</v>
      </c>
      <c r="N1287" s="6">
        <v>6.3</v>
      </c>
      <c r="O1287" s="4">
        <f ca="1">IFERROR(__xludf.DUMMYFUNCTION("IF(Cost_in_dollars!E1287=""USD"",Cost_in_dollars!B1287,Cost_in_dollars!B1287 * GOOGLEFINANCE(""CURRENCY:"" &amp; Cost_in_dollars!E1287 &amp; ""USD""))
"),54237000)</f>
        <v>54237000</v>
      </c>
      <c r="P1287" s="4">
        <f ca="1">IFERROR(__xludf.DUMMYFUNCTION("IF(Cost_in_dollars!E1287=""USD"",Cost_in_dollars!C1287,Cost_in_dollars!C1287 * GOOGLEFINANCE(""CURRENCY:"" &amp; Cost_in_dollars!E1287 &amp; ""USD""))
"),32874421.15032)</f>
        <v>32874421.150320001</v>
      </c>
      <c r="Q1287" s="6">
        <f t="shared" ca="1" si="30"/>
        <v>-21362578.849679999</v>
      </c>
      <c r="R1287" s="7" t="str">
        <f t="shared" si="31"/>
        <v>Assassins</v>
      </c>
      <c r="S1287" s="43" t="str">
        <f t="shared" si="32"/>
        <v>Action</v>
      </c>
    </row>
    <row r="1288" spans="1:19" ht="15.75" customHeight="1" x14ac:dyDescent="0.25">
      <c r="A1288" s="4" t="s">
        <v>201</v>
      </c>
      <c r="B1288" s="4">
        <v>354</v>
      </c>
      <c r="C1288" s="4">
        <v>134520804</v>
      </c>
      <c r="D1288" s="4" t="s">
        <v>477</v>
      </c>
      <c r="E1288" s="4" t="s">
        <v>54</v>
      </c>
      <c r="F1288" s="4" t="s">
        <v>4566</v>
      </c>
      <c r="G1288" s="4">
        <v>336235</v>
      </c>
      <c r="H1288" s="4" t="s">
        <v>4567</v>
      </c>
      <c r="I1288" s="4">
        <v>782</v>
      </c>
      <c r="J1288" s="4" t="s">
        <v>23</v>
      </c>
      <c r="K1288" s="4" t="s">
        <v>24</v>
      </c>
      <c r="L1288" s="4">
        <v>110000000</v>
      </c>
      <c r="M1288" s="4">
        <v>2007</v>
      </c>
      <c r="N1288" s="4">
        <v>7.2</v>
      </c>
      <c r="O1288" s="4">
        <f ca="1">IFERROR(__xludf.DUMMYFUNCTION("IF(Cost_in_dollars!E1288=""USD"",Cost_in_dollars!B1288,Cost_in_dollars!B1288 * GOOGLEFINANCE(""CURRENCY:"" &amp; Cost_in_dollars!E1288 &amp; ""USD""))
"),110000000)</f>
        <v>110000000</v>
      </c>
      <c r="P1288" s="4">
        <f ca="1">IFERROR(__xludf.DUMMYFUNCTION("IF(Cost_in_dollars!E1288=""USD"",Cost_in_dollars!C1288,Cost_in_dollars!C1288 * GOOGLEFINANCE(""CURRENCY:"" &amp; Cost_in_dollars!E1288 &amp; ""USD""))
"),134520804)</f>
        <v>134520804</v>
      </c>
      <c r="Q1288" s="4">
        <f t="shared" ca="1" si="30"/>
        <v>24520804</v>
      </c>
      <c r="R1288" s="5" t="str">
        <f t="shared" si="31"/>
        <v>Live Free or Die Hard</v>
      </c>
      <c r="S1288" s="43" t="str">
        <f t="shared" si="32"/>
        <v>Action</v>
      </c>
    </row>
    <row r="1289" spans="1:19" ht="15.75" customHeight="1" x14ac:dyDescent="0.25">
      <c r="A1289" s="6" t="s">
        <v>4278</v>
      </c>
      <c r="B1289" s="6">
        <v>319</v>
      </c>
      <c r="C1289" s="6">
        <v>125069696</v>
      </c>
      <c r="D1289" s="6" t="s">
        <v>4568</v>
      </c>
      <c r="E1289" s="6" t="s">
        <v>4461</v>
      </c>
      <c r="F1289" s="6" t="s">
        <v>4569</v>
      </c>
      <c r="G1289" s="6">
        <v>203963</v>
      </c>
      <c r="H1289" s="6" t="s">
        <v>4570</v>
      </c>
      <c r="I1289" s="6">
        <v>420</v>
      </c>
      <c r="J1289" s="6" t="s">
        <v>23</v>
      </c>
      <c r="K1289" s="6" t="s">
        <v>24</v>
      </c>
      <c r="L1289" s="6">
        <v>40000000</v>
      </c>
      <c r="M1289" s="6">
        <v>2013</v>
      </c>
      <c r="N1289" s="6">
        <v>7.6</v>
      </c>
      <c r="O1289" s="4">
        <f ca="1">IFERROR(__xludf.DUMMYFUNCTION("IF(Cost_in_dollars!E1289=""USD"",Cost_in_dollars!B1289,Cost_in_dollars!B1289 * GOOGLEFINANCE(""CURRENCY:"" &amp; Cost_in_dollars!E1289 &amp; ""USD""))
"),40000000)</f>
        <v>40000000</v>
      </c>
      <c r="P1289" s="4">
        <f ca="1">IFERROR(__xludf.DUMMYFUNCTION("IF(Cost_in_dollars!E1289=""USD"",Cost_in_dollars!C1289,Cost_in_dollars!C1289 * GOOGLEFINANCE(""CURRENCY:"" &amp; Cost_in_dollars!E1289 &amp; ""USD""))
"),125069696)</f>
        <v>125069696</v>
      </c>
      <c r="Q1289" s="6">
        <f t="shared" ca="1" si="30"/>
        <v>85069696</v>
      </c>
      <c r="R1289" s="7" t="str">
        <f t="shared" si="31"/>
        <v>Lone Survivor</v>
      </c>
      <c r="S1289" s="43" t="str">
        <f t="shared" si="32"/>
        <v>Action</v>
      </c>
    </row>
    <row r="1290" spans="1:19" ht="15.75" customHeight="1" x14ac:dyDescent="0.25">
      <c r="A1290" s="4" t="s">
        <v>4571</v>
      </c>
      <c r="B1290" s="4">
        <v>157</v>
      </c>
      <c r="C1290" s="4">
        <v>115648585</v>
      </c>
      <c r="D1290" s="4" t="s">
        <v>1127</v>
      </c>
      <c r="E1290" s="4" t="s">
        <v>227</v>
      </c>
      <c r="F1290" s="4" t="s">
        <v>4572</v>
      </c>
      <c r="G1290" s="4">
        <v>160776</v>
      </c>
      <c r="H1290" s="4" t="s">
        <v>4573</v>
      </c>
      <c r="I1290" s="4">
        <v>402</v>
      </c>
      <c r="J1290" s="4" t="s">
        <v>23</v>
      </c>
      <c r="K1290" s="4" t="s">
        <v>24</v>
      </c>
      <c r="L1290" s="4">
        <v>30000000</v>
      </c>
      <c r="M1290" s="4">
        <v>2000</v>
      </c>
      <c r="N1290" s="4">
        <v>7.8</v>
      </c>
      <c r="O1290" s="4">
        <f ca="1">IFERROR(__xludf.DUMMYFUNCTION("IF(Cost_in_dollars!E1290=""USD"",Cost_in_dollars!B1290,Cost_in_dollars!B1290 * GOOGLEFINANCE(""CURRENCY:"" &amp; Cost_in_dollars!E1290 &amp; ""USD""))
"),30000000)</f>
        <v>30000000</v>
      </c>
      <c r="P1290" s="4">
        <f ca="1">IFERROR(__xludf.DUMMYFUNCTION("IF(Cost_in_dollars!E1290=""USD"",Cost_in_dollars!C1290,Cost_in_dollars!C1290 * GOOGLEFINANCE(""CURRENCY:"" &amp; Cost_in_dollars!E1290 &amp; ""USD""))
"),115648585)</f>
        <v>115648585</v>
      </c>
      <c r="Q1290" s="4">
        <f t="shared" ca="1" si="30"/>
        <v>85648585</v>
      </c>
      <c r="R1290" s="5" t="str">
        <f t="shared" si="31"/>
        <v>Remember the Titans</v>
      </c>
      <c r="S1290" s="43" t="str">
        <f t="shared" si="32"/>
        <v>Biography</v>
      </c>
    </row>
    <row r="1291" spans="1:19" ht="15.75" customHeight="1" x14ac:dyDescent="0.25">
      <c r="A1291" s="6" t="s">
        <v>4574</v>
      </c>
      <c r="B1291" s="6">
        <v>116</v>
      </c>
      <c r="C1291" s="6">
        <v>36833473</v>
      </c>
      <c r="D1291" s="6" t="s">
        <v>504</v>
      </c>
      <c r="E1291" s="6" t="s">
        <v>1571</v>
      </c>
      <c r="F1291" s="6" t="s">
        <v>4575</v>
      </c>
      <c r="G1291" s="6">
        <v>53126</v>
      </c>
      <c r="H1291" s="6" t="s">
        <v>4576</v>
      </c>
      <c r="I1291" s="6">
        <v>254</v>
      </c>
      <c r="J1291" s="6" t="s">
        <v>23</v>
      </c>
      <c r="K1291" s="6" t="s">
        <v>611</v>
      </c>
      <c r="L1291" s="6">
        <v>25000000</v>
      </c>
      <c r="M1291" s="6">
        <v>2001</v>
      </c>
      <c r="N1291" s="6">
        <v>6.6</v>
      </c>
      <c r="O1291" s="4">
        <f ca="1">IFERROR(__xludf.DUMMYFUNCTION("IF(Cost_in_dollars!E1291=""USD"",Cost_in_dollars!B1291,Cost_in_dollars!B1291 * GOOGLEFINANCE(""CURRENCY:"" &amp; Cost_in_dollars!E1291 &amp; ""USD""))
"),27118500)</f>
        <v>27118500</v>
      </c>
      <c r="P1291" s="4">
        <f ca="1">IFERROR(__xludf.DUMMYFUNCTION("IF(Cost_in_dollars!E1291=""USD"",Cost_in_dollars!C1291,Cost_in_dollars!C1291 * GOOGLEFINANCE(""CURRENCY:"" &amp; Cost_in_dollars!E1291 &amp; ""USD""))
"),39954741.50202)</f>
        <v>39954741.502020001</v>
      </c>
      <c r="Q1291" s="6">
        <f t="shared" ca="1" si="30"/>
        <v>12836241.502020001</v>
      </c>
      <c r="R1291" s="7" t="str">
        <f t="shared" si="31"/>
        <v>Kiss of the Dragon</v>
      </c>
      <c r="S1291" s="43" t="str">
        <f t="shared" si="32"/>
        <v>Action</v>
      </c>
    </row>
    <row r="1292" spans="1:19" ht="15.75" customHeight="1" x14ac:dyDescent="0.25">
      <c r="A1292" s="4" t="s">
        <v>4577</v>
      </c>
      <c r="B1292" s="4">
        <v>115</v>
      </c>
      <c r="C1292" s="4">
        <v>1050445</v>
      </c>
      <c r="D1292" s="4" t="s">
        <v>4578</v>
      </c>
      <c r="E1292" s="4" t="s">
        <v>4579</v>
      </c>
      <c r="F1292" s="4" t="s">
        <v>4580</v>
      </c>
      <c r="G1292" s="4">
        <v>21394</v>
      </c>
      <c r="H1292" s="4" t="s">
        <v>4581</v>
      </c>
      <c r="I1292" s="4">
        <v>147</v>
      </c>
      <c r="J1292" s="4" t="s">
        <v>661</v>
      </c>
      <c r="K1292" s="4" t="s">
        <v>611</v>
      </c>
      <c r="L1292" s="4">
        <v>22000000</v>
      </c>
      <c r="M1292" s="4">
        <v>2005</v>
      </c>
      <c r="N1292" s="4">
        <v>7.8</v>
      </c>
      <c r="O1292" s="4">
        <f ca="1">IFERROR(__xludf.DUMMYFUNCTION("IF(Cost_in_dollars!E1292=""USD"",Cost_in_dollars!B1292,Cost_in_dollars!B1292 * GOOGLEFINANCE(""CURRENCY:"" &amp; Cost_in_dollars!E1292 &amp; ""USD""))
"),23864280)</f>
        <v>23864280</v>
      </c>
      <c r="P1292" s="4">
        <f ca="1">IFERROR(__xludf.DUMMYFUNCTION("IF(Cost_in_dollars!E1292=""USD"",Cost_in_dollars!C1292,Cost_in_dollars!C1292 * GOOGLEFINANCE(""CURRENCY:"" &amp; Cost_in_dollars!E1292 &amp; ""USD""))
"),1139459.7093)</f>
        <v>1139459.7093</v>
      </c>
      <c r="Q1292" s="4">
        <f t="shared" ca="1" si="30"/>
        <v>-22724820.2907</v>
      </c>
      <c r="R1292" s="5" t="str">
        <f t="shared" si="31"/>
        <v>Joyeux Noel</v>
      </c>
      <c r="S1292" s="43" t="str">
        <f t="shared" si="32"/>
        <v>Drama</v>
      </c>
    </row>
    <row r="1293" spans="1:19" ht="15.75" customHeight="1" x14ac:dyDescent="0.25">
      <c r="A1293" s="6" t="s">
        <v>2550</v>
      </c>
      <c r="B1293" s="6">
        <v>97</v>
      </c>
      <c r="C1293" s="6">
        <v>74329966</v>
      </c>
      <c r="D1293" s="6" t="s">
        <v>4582</v>
      </c>
      <c r="E1293" s="6" t="s">
        <v>640</v>
      </c>
      <c r="F1293" s="6" t="s">
        <v>4583</v>
      </c>
      <c r="G1293" s="6">
        <v>60910</v>
      </c>
      <c r="H1293" s="6" t="s">
        <v>4584</v>
      </c>
      <c r="I1293" s="6">
        <v>164</v>
      </c>
      <c r="J1293" s="6" t="s">
        <v>23</v>
      </c>
      <c r="K1293" s="6" t="s">
        <v>24</v>
      </c>
      <c r="L1293" s="6">
        <v>70000000</v>
      </c>
      <c r="M1293" s="6">
        <v>1998</v>
      </c>
      <c r="N1293" s="6">
        <v>5.7</v>
      </c>
      <c r="O1293" s="4">
        <f ca="1">IFERROR(__xludf.DUMMYFUNCTION("IF(Cost_in_dollars!E1293=""USD"",Cost_in_dollars!B1293,Cost_in_dollars!B1293 * GOOGLEFINANCE(""CURRENCY:"" &amp; Cost_in_dollars!E1293 &amp; ""USD""))
"),70000000)</f>
        <v>70000000</v>
      </c>
      <c r="P1293" s="4">
        <f ca="1">IFERROR(__xludf.DUMMYFUNCTION("IF(Cost_in_dollars!E1293=""USD"",Cost_in_dollars!C1293,Cost_in_dollars!C1293 * GOOGLEFINANCE(""CURRENCY:"" &amp; Cost_in_dollars!E1293 &amp; ""USD""))
"),74329966)</f>
        <v>74329966</v>
      </c>
      <c r="Q1293" s="6">
        <f t="shared" ca="1" si="30"/>
        <v>4329966</v>
      </c>
      <c r="R1293" s="7" t="str">
        <f t="shared" si="31"/>
        <v>Six Days Seven Nights</v>
      </c>
      <c r="S1293" s="43" t="str">
        <f t="shared" si="32"/>
        <v>Action</v>
      </c>
    </row>
    <row r="1294" spans="1:19" ht="15.75" customHeight="1" x14ac:dyDescent="0.25">
      <c r="A1294" s="4" t="s">
        <v>1882</v>
      </c>
      <c r="B1294" s="4">
        <v>245</v>
      </c>
      <c r="C1294" s="4">
        <v>72660029</v>
      </c>
      <c r="D1294" s="4" t="s">
        <v>639</v>
      </c>
      <c r="E1294" s="4" t="s">
        <v>49</v>
      </c>
      <c r="F1294" s="4" t="s">
        <v>4585</v>
      </c>
      <c r="G1294" s="4">
        <v>115687</v>
      </c>
      <c r="H1294" s="4" t="s">
        <v>4586</v>
      </c>
      <c r="I1294" s="4">
        <v>269</v>
      </c>
      <c r="J1294" s="4" t="s">
        <v>23</v>
      </c>
      <c r="K1294" s="4" t="s">
        <v>24</v>
      </c>
      <c r="L1294" s="4">
        <v>100000000</v>
      </c>
      <c r="M1294" s="4">
        <v>2014</v>
      </c>
      <c r="N1294" s="4">
        <v>6</v>
      </c>
      <c r="O1294" s="4">
        <f ca="1">IFERROR(__xludf.DUMMYFUNCTION("IF(Cost_in_dollars!E1294=""USD"",Cost_in_dollars!B1294,Cost_in_dollars!B1294 * GOOGLEFINANCE(""CURRENCY:"" &amp; Cost_in_dollars!E1294 &amp; ""USD""))
"),100000000)</f>
        <v>100000000</v>
      </c>
      <c r="P1294" s="4">
        <f ca="1">IFERROR(__xludf.DUMMYFUNCTION("IF(Cost_in_dollars!E1294=""USD"",Cost_in_dollars!C1294,Cost_in_dollars!C1294 * GOOGLEFINANCE(""CURRENCY:"" &amp; Cost_in_dollars!E1294 &amp; ""USD""))
"),72660029)</f>
        <v>72660029</v>
      </c>
      <c r="Q1294" s="4">
        <f t="shared" ca="1" si="30"/>
        <v>-27339971</v>
      </c>
      <c r="R1294" s="5" t="str">
        <f t="shared" si="31"/>
        <v>Hercules</v>
      </c>
      <c r="S1294" s="43" t="str">
        <f t="shared" si="32"/>
        <v>Action</v>
      </c>
    </row>
    <row r="1295" spans="1:19" ht="15.75" customHeight="1" x14ac:dyDescent="0.25">
      <c r="A1295" s="6" t="s">
        <v>1975</v>
      </c>
      <c r="B1295" s="6">
        <v>273</v>
      </c>
      <c r="C1295" s="6">
        <v>34126138</v>
      </c>
      <c r="D1295" s="6" t="s">
        <v>4587</v>
      </c>
      <c r="E1295" s="6" t="s">
        <v>780</v>
      </c>
      <c r="F1295" s="6" t="s">
        <v>4588</v>
      </c>
      <c r="G1295" s="6">
        <v>666937</v>
      </c>
      <c r="H1295" s="6" t="s">
        <v>4589</v>
      </c>
      <c r="I1295" s="6">
        <v>1514</v>
      </c>
      <c r="J1295" s="6" t="s">
        <v>23</v>
      </c>
      <c r="K1295" s="6" t="s">
        <v>24</v>
      </c>
      <c r="L1295" s="6">
        <v>20000000</v>
      </c>
      <c r="M1295" s="6">
        <v>2004</v>
      </c>
      <c r="N1295" s="6">
        <v>8.3000000000000007</v>
      </c>
      <c r="O1295" s="4">
        <f ca="1">IFERROR(__xludf.DUMMYFUNCTION("IF(Cost_in_dollars!E1295=""USD"",Cost_in_dollars!B1295,Cost_in_dollars!B1295 * GOOGLEFINANCE(""CURRENCY:"" &amp; Cost_in_dollars!E1295 &amp; ""USD""))
"),20000000)</f>
        <v>20000000</v>
      </c>
      <c r="P1295" s="4">
        <f ca="1">IFERROR(__xludf.DUMMYFUNCTION("IF(Cost_in_dollars!E1295=""USD"",Cost_in_dollars!C1295,Cost_in_dollars!C1295 * GOOGLEFINANCE(""CURRENCY:"" &amp; Cost_in_dollars!E1295 &amp; ""USD""))
"),34126138)</f>
        <v>34126138</v>
      </c>
      <c r="Q1295" s="6">
        <f t="shared" ca="1" si="30"/>
        <v>14126138</v>
      </c>
      <c r="R1295" s="7" t="str">
        <f t="shared" si="31"/>
        <v>Eternal Sunshine of the Spotless Mind</v>
      </c>
      <c r="S1295" s="43" t="str">
        <f t="shared" si="32"/>
        <v>Drama</v>
      </c>
    </row>
    <row r="1296" spans="1:19" ht="15.75" customHeight="1" x14ac:dyDescent="0.25">
      <c r="A1296" s="4" t="s">
        <v>47</v>
      </c>
      <c r="B1296" s="4">
        <v>40</v>
      </c>
      <c r="C1296" s="4">
        <v>25482931</v>
      </c>
      <c r="D1296" s="4" t="s">
        <v>793</v>
      </c>
      <c r="E1296" s="4" t="s">
        <v>4590</v>
      </c>
      <c r="F1296" s="4" t="s">
        <v>4591</v>
      </c>
      <c r="G1296" s="4">
        <v>9693</v>
      </c>
      <c r="H1296" s="4" t="s">
        <v>4592</v>
      </c>
      <c r="I1296" s="4">
        <v>33</v>
      </c>
      <c r="J1296" s="4" t="s">
        <v>23</v>
      </c>
      <c r="K1296" s="4" t="s">
        <v>24</v>
      </c>
      <c r="L1296" s="4">
        <v>14000000</v>
      </c>
      <c r="M1296" s="4">
        <v>2002</v>
      </c>
      <c r="N1296" s="4">
        <v>5.7</v>
      </c>
      <c r="O1296" s="4">
        <f ca="1">IFERROR(__xludf.DUMMYFUNCTION("IF(Cost_in_dollars!E1296=""USD"",Cost_in_dollars!B1296,Cost_in_dollars!B1296 * GOOGLEFINANCE(""CURRENCY:"" &amp; Cost_in_dollars!E1296 &amp; ""USD""))
"),14000000)</f>
        <v>14000000</v>
      </c>
      <c r="P1296" s="4">
        <f ca="1">IFERROR(__xludf.DUMMYFUNCTION("IF(Cost_in_dollars!E1296=""USD"",Cost_in_dollars!C1296,Cost_in_dollars!C1296 * GOOGLEFINANCE(""CURRENCY:"" &amp; Cost_in_dollars!E1296 &amp; ""USD""))
"),25482931)</f>
        <v>25482931</v>
      </c>
      <c r="Q1296" s="4">
        <f t="shared" ca="1" si="30"/>
        <v>11482931</v>
      </c>
      <c r="R1296" s="5" t="str">
        <f t="shared" si="31"/>
        <v>All About the Benjamins</v>
      </c>
      <c r="S1296" s="43" t="str">
        <f t="shared" si="32"/>
        <v>Action</v>
      </c>
    </row>
    <row r="1297" spans="1:19" ht="15.75" customHeight="1" x14ac:dyDescent="0.25">
      <c r="A1297" s="6" t="s">
        <v>4593</v>
      </c>
      <c r="B1297" s="6">
        <v>145</v>
      </c>
      <c r="C1297" s="6">
        <v>4930798</v>
      </c>
      <c r="D1297" s="6" t="s">
        <v>309</v>
      </c>
      <c r="E1297" s="6" t="s">
        <v>4594</v>
      </c>
      <c r="F1297" s="6" t="s">
        <v>4595</v>
      </c>
      <c r="G1297" s="6">
        <v>16268</v>
      </c>
      <c r="H1297" s="6" t="s">
        <v>4596</v>
      </c>
      <c r="I1297" s="6">
        <v>108</v>
      </c>
      <c r="J1297" s="6" t="s">
        <v>23</v>
      </c>
      <c r="K1297" s="6" t="s">
        <v>24</v>
      </c>
      <c r="L1297" s="6">
        <v>17000000</v>
      </c>
      <c r="M1297" s="6">
        <v>2012</v>
      </c>
      <c r="N1297" s="6">
        <v>4.0999999999999996</v>
      </c>
      <c r="O1297" s="4">
        <f ca="1">IFERROR(__xludf.DUMMYFUNCTION("IF(Cost_in_dollars!E1297=""USD"",Cost_in_dollars!B1297,Cost_in_dollars!B1297 * GOOGLEFINANCE(""CURRENCY:"" &amp; Cost_in_dollars!E1297 &amp; ""USD""))
"),17000000)</f>
        <v>17000000</v>
      </c>
      <c r="P1297" s="4">
        <f ca="1">IFERROR(__xludf.DUMMYFUNCTION("IF(Cost_in_dollars!E1297=""USD"",Cost_in_dollars!C1297,Cost_in_dollars!C1297 * GOOGLEFINANCE(""CURRENCY:"" &amp; Cost_in_dollars!E1297 &amp; ""USD""))
"),4930798)</f>
        <v>4930798</v>
      </c>
      <c r="Q1297" s="6">
        <f t="shared" ca="1" si="30"/>
        <v>-12069202</v>
      </c>
      <c r="R1297" s="7" t="str">
        <f t="shared" si="31"/>
        <v>The Apparition</v>
      </c>
      <c r="S1297" s="43" t="str">
        <f t="shared" si="32"/>
        <v>Horror</v>
      </c>
    </row>
    <row r="1298" spans="1:19" ht="15.75" customHeight="1" x14ac:dyDescent="0.25">
      <c r="A1298" s="4" t="s">
        <v>931</v>
      </c>
      <c r="B1298" s="4">
        <v>223</v>
      </c>
      <c r="C1298" s="4">
        <v>170684505</v>
      </c>
      <c r="D1298" s="4" t="s">
        <v>4597</v>
      </c>
      <c r="E1298" s="4" t="s">
        <v>3924</v>
      </c>
      <c r="F1298" s="4" t="s">
        <v>4598</v>
      </c>
      <c r="G1298" s="4">
        <v>172080</v>
      </c>
      <c r="H1298" s="4" t="s">
        <v>4599</v>
      </c>
      <c r="I1298" s="4">
        <v>1017</v>
      </c>
      <c r="J1298" s="4" t="s">
        <v>23</v>
      </c>
      <c r="K1298" s="4" t="s">
        <v>24</v>
      </c>
      <c r="L1298" s="4">
        <v>45000000</v>
      </c>
      <c r="M1298" s="4">
        <v>2002</v>
      </c>
      <c r="N1298" s="4">
        <v>7.2</v>
      </c>
      <c r="O1298" s="4">
        <f ca="1">IFERROR(__xludf.DUMMYFUNCTION("IF(Cost_in_dollars!E1298=""USD"",Cost_in_dollars!B1298,Cost_in_dollars!B1298 * GOOGLEFINANCE(""CURRENCY:"" &amp; Cost_in_dollars!E1298 &amp; ""USD""))
"),45000000)</f>
        <v>45000000</v>
      </c>
      <c r="P1298" s="4">
        <f ca="1">IFERROR(__xludf.DUMMYFUNCTION("IF(Cost_in_dollars!E1298=""USD"",Cost_in_dollars!C1298,Cost_in_dollars!C1298 * GOOGLEFINANCE(""CURRENCY:"" &amp; Cost_in_dollars!E1298 &amp; ""USD""))
"),170684505)</f>
        <v>170684505</v>
      </c>
      <c r="Q1298" s="4">
        <f t="shared" ca="1" si="30"/>
        <v>125684505</v>
      </c>
      <c r="R1298" s="5" t="str">
        <f t="shared" si="31"/>
        <v>Chicago</v>
      </c>
      <c r="S1298" s="43" t="str">
        <f t="shared" si="32"/>
        <v>Comedy</v>
      </c>
    </row>
    <row r="1299" spans="1:19" ht="15.75" customHeight="1" x14ac:dyDescent="0.25">
      <c r="A1299" s="6" t="s">
        <v>267</v>
      </c>
      <c r="B1299" s="6">
        <v>62</v>
      </c>
      <c r="C1299" s="6">
        <v>69148997</v>
      </c>
      <c r="D1299" s="6" t="s">
        <v>443</v>
      </c>
      <c r="E1299" s="6" t="s">
        <v>4600</v>
      </c>
      <c r="F1299" s="6" t="s">
        <v>4601</v>
      </c>
      <c r="G1299" s="6">
        <v>98794</v>
      </c>
      <c r="H1299" s="6" t="s">
        <v>4602</v>
      </c>
      <c r="I1299" s="6">
        <v>251</v>
      </c>
      <c r="J1299" s="6" t="s">
        <v>23</v>
      </c>
      <c r="K1299" s="6" t="s">
        <v>24</v>
      </c>
      <c r="L1299" s="6">
        <v>37000000</v>
      </c>
      <c r="M1299" s="6">
        <v>2004</v>
      </c>
      <c r="N1299" s="6">
        <v>5.4</v>
      </c>
      <c r="O1299" s="4">
        <f ca="1">IFERROR(__xludf.DUMMYFUNCTION("IF(Cost_in_dollars!E1299=""USD"",Cost_in_dollars!B1299,Cost_in_dollars!B1299 * GOOGLEFINANCE(""CURRENCY:"" &amp; Cost_in_dollars!E1299 &amp; ""USD""))
"),37000000)</f>
        <v>37000000</v>
      </c>
      <c r="P1299" s="4">
        <f ca="1">IFERROR(__xludf.DUMMYFUNCTION("IF(Cost_in_dollars!E1299=""USD"",Cost_in_dollars!C1299,Cost_in_dollars!C1299 * GOOGLEFINANCE(""CURRENCY:"" &amp; Cost_in_dollars!E1299 &amp; ""USD""))
"),69148997)</f>
        <v>69148997</v>
      </c>
      <c r="Q1299" s="6">
        <f t="shared" ca="1" si="30"/>
        <v>32148997</v>
      </c>
      <c r="R1299" s="7" t="str">
        <f t="shared" si="31"/>
        <v>White Chicks</v>
      </c>
      <c r="S1299" s="43" t="str">
        <f t="shared" si="32"/>
        <v>Comedy</v>
      </c>
    </row>
    <row r="1300" spans="1:19" ht="15.75" customHeight="1" x14ac:dyDescent="0.25">
      <c r="A1300" s="4" t="s">
        <v>4603</v>
      </c>
      <c r="B1300" s="4">
        <v>232</v>
      </c>
      <c r="C1300" s="4">
        <v>371897</v>
      </c>
      <c r="D1300" s="4" t="s">
        <v>102</v>
      </c>
      <c r="E1300" s="4" t="s">
        <v>461</v>
      </c>
      <c r="F1300" s="4" t="s">
        <v>4604</v>
      </c>
      <c r="G1300" s="4">
        <v>36494</v>
      </c>
      <c r="H1300" s="4" t="s">
        <v>4605</v>
      </c>
      <c r="I1300" s="4">
        <v>118</v>
      </c>
      <c r="J1300" s="4" t="s">
        <v>23</v>
      </c>
      <c r="K1300" s="4" t="s">
        <v>24</v>
      </c>
      <c r="L1300" s="4">
        <v>4000000</v>
      </c>
      <c r="M1300" s="4">
        <v>2013</v>
      </c>
      <c r="N1300" s="4">
        <v>6.9</v>
      </c>
      <c r="O1300" s="4">
        <f ca="1">IFERROR(__xludf.DUMMYFUNCTION("IF(Cost_in_dollars!E1300=""USD"",Cost_in_dollars!B1300,Cost_in_dollars!B1300 * GOOGLEFINANCE(""CURRENCY:"" &amp; Cost_in_dollars!E1300 &amp; ""USD""))
"),4000000)</f>
        <v>4000000</v>
      </c>
      <c r="P1300" s="4">
        <f ca="1">IFERROR(__xludf.DUMMYFUNCTION("IF(Cost_in_dollars!E1300=""USD"",Cost_in_dollars!C1300,Cost_in_dollars!C1300 * GOOGLEFINANCE(""CURRENCY:"" &amp; Cost_in_dollars!E1300 &amp; ""USD""))
"),371897)</f>
        <v>371897</v>
      </c>
      <c r="Q1300" s="4">
        <f t="shared" ca="1" si="30"/>
        <v>-3628103</v>
      </c>
      <c r="R1300" s="5" t="str">
        <f t="shared" si="31"/>
        <v>Joe</v>
      </c>
      <c r="S1300" s="43" t="str">
        <f t="shared" si="32"/>
        <v>Drama</v>
      </c>
    </row>
    <row r="1301" spans="1:19" ht="15.75" customHeight="1" x14ac:dyDescent="0.25">
      <c r="A1301" s="6" t="s">
        <v>4606</v>
      </c>
      <c r="B1301" s="6">
        <v>16</v>
      </c>
      <c r="C1301" s="6">
        <v>2833383</v>
      </c>
      <c r="D1301" s="6" t="s">
        <v>421</v>
      </c>
      <c r="E1301" s="6" t="s">
        <v>4607</v>
      </c>
      <c r="F1301" s="6" t="s">
        <v>4608</v>
      </c>
      <c r="G1301" s="6">
        <v>910</v>
      </c>
      <c r="H1301" s="6" t="s">
        <v>109</v>
      </c>
      <c r="I1301" s="6">
        <v>11</v>
      </c>
      <c r="J1301" s="6" t="s">
        <v>23</v>
      </c>
      <c r="K1301" s="6" t="s">
        <v>24</v>
      </c>
      <c r="L1301" s="6">
        <v>427000</v>
      </c>
      <c r="M1301" s="6">
        <v>2012</v>
      </c>
      <c r="N1301" s="6">
        <v>5.7</v>
      </c>
      <c r="O1301" s="4">
        <f ca="1">IFERROR(__xludf.DUMMYFUNCTION("IF(Cost_in_dollars!E1301=""USD"",Cost_in_dollars!B1301,Cost_in_dollars!B1301 * GOOGLEFINANCE(""CURRENCY:"" &amp; Cost_in_dollars!E1301 &amp; ""USD""))
"),427000)</f>
        <v>427000</v>
      </c>
      <c r="P1301" s="4">
        <f ca="1">IFERROR(__xludf.DUMMYFUNCTION("IF(Cost_in_dollars!E1301=""USD"",Cost_in_dollars!C1301,Cost_in_dollars!C1301 * GOOGLEFINANCE(""CURRENCY:"" &amp; Cost_in_dollars!E1301 &amp; ""USD""))
"),2833383)</f>
        <v>2833383</v>
      </c>
      <c r="Q1301" s="6">
        <f t="shared" ca="1" si="30"/>
        <v>2406383</v>
      </c>
      <c r="R1301" s="7" t="str">
        <f t="shared" si="31"/>
        <v>Filly Brown</v>
      </c>
      <c r="S1301" s="43" t="str">
        <f t="shared" si="32"/>
        <v>Drama</v>
      </c>
    </row>
    <row r="1302" spans="1:19" ht="15.75" customHeight="1" x14ac:dyDescent="0.25">
      <c r="A1302" s="4" t="s">
        <v>4609</v>
      </c>
      <c r="B1302" s="4">
        <v>28</v>
      </c>
      <c r="C1302" s="4">
        <v>16118077</v>
      </c>
      <c r="D1302" s="4" t="s">
        <v>102</v>
      </c>
      <c r="E1302" s="4" t="s">
        <v>2251</v>
      </c>
      <c r="F1302" s="4" t="s">
        <v>4610</v>
      </c>
      <c r="G1302" s="4">
        <v>5817</v>
      </c>
      <c r="H1302" s="4" t="s">
        <v>4611</v>
      </c>
      <c r="I1302" s="4">
        <v>37</v>
      </c>
      <c r="J1302" s="4" t="s">
        <v>23</v>
      </c>
      <c r="K1302" s="4" t="s">
        <v>24</v>
      </c>
      <c r="L1302" s="4">
        <v>25000000</v>
      </c>
      <c r="M1302" s="4">
        <v>1988</v>
      </c>
      <c r="N1302" s="4">
        <v>5.6</v>
      </c>
      <c r="O1302" s="4">
        <f ca="1">IFERROR(__xludf.DUMMYFUNCTION("IF(Cost_in_dollars!E1302=""USD"",Cost_in_dollars!B1302,Cost_in_dollars!B1302 * GOOGLEFINANCE(""CURRENCY:"" &amp; Cost_in_dollars!E1302 &amp; ""USD""))
"),25000000)</f>
        <v>25000000</v>
      </c>
      <c r="P1302" s="4">
        <f ca="1">IFERROR(__xludf.DUMMYFUNCTION("IF(Cost_in_dollars!E1302=""USD"",Cost_in_dollars!C1302,Cost_in_dollars!C1302 * GOOGLEFINANCE(""CURRENCY:"" &amp; Cost_in_dollars!E1302 &amp; ""USD""))
"),16118077)</f>
        <v>16118077</v>
      </c>
      <c r="Q1302" s="4">
        <f t="shared" ca="1" si="30"/>
        <v>-8881923</v>
      </c>
      <c r="R1302" s="5" t="str">
        <f t="shared" si="31"/>
        <v>Bright Lights, Big City</v>
      </c>
      <c r="S1302" s="43" t="str">
        <f t="shared" si="32"/>
        <v>Drama</v>
      </c>
    </row>
    <row r="1303" spans="1:19" ht="15.75" customHeight="1" x14ac:dyDescent="0.25">
      <c r="A1303" s="6" t="s">
        <v>182</v>
      </c>
      <c r="B1303" s="6">
        <v>276</v>
      </c>
      <c r="C1303" s="6">
        <v>206456431</v>
      </c>
      <c r="D1303" s="6" t="s">
        <v>1888</v>
      </c>
      <c r="E1303" s="6" t="s">
        <v>84</v>
      </c>
      <c r="F1303" s="6" t="s">
        <v>4612</v>
      </c>
      <c r="G1303" s="6">
        <v>320284</v>
      </c>
      <c r="H1303" s="6" t="s">
        <v>4613</v>
      </c>
      <c r="I1303" s="6">
        <v>1361</v>
      </c>
      <c r="J1303" s="6" t="s">
        <v>23</v>
      </c>
      <c r="K1303" s="6" t="s">
        <v>24</v>
      </c>
      <c r="L1303" s="6">
        <v>150000000</v>
      </c>
      <c r="M1303" s="6">
        <v>2005</v>
      </c>
      <c r="N1303" s="6">
        <v>6.7</v>
      </c>
      <c r="O1303" s="4">
        <f ca="1">IFERROR(__xludf.DUMMYFUNCTION("IF(Cost_in_dollars!E1303=""USD"",Cost_in_dollars!B1303,Cost_in_dollars!B1303 * GOOGLEFINANCE(""CURRENCY:"" &amp; Cost_in_dollars!E1303 &amp; ""USD""))
"),150000000)</f>
        <v>150000000</v>
      </c>
      <c r="P1303" s="4">
        <f ca="1">IFERROR(__xludf.DUMMYFUNCTION("IF(Cost_in_dollars!E1303=""USD"",Cost_in_dollars!C1303,Cost_in_dollars!C1303 * GOOGLEFINANCE(""CURRENCY:"" &amp; Cost_in_dollars!E1303 &amp; ""USD""))
"),206456431)</f>
        <v>206456431</v>
      </c>
      <c r="Q1303" s="6">
        <f t="shared" ca="1" si="30"/>
        <v>56456431</v>
      </c>
      <c r="R1303" s="7" t="str">
        <f t="shared" si="31"/>
        <v>Charlie and the Chocolate Factory</v>
      </c>
      <c r="S1303" s="43" t="str">
        <f t="shared" si="32"/>
        <v>Adventure</v>
      </c>
    </row>
    <row r="1304" spans="1:19" ht="15.75" customHeight="1" x14ac:dyDescent="0.25">
      <c r="A1304" s="4" t="s">
        <v>4571</v>
      </c>
      <c r="B1304" s="4">
        <v>258</v>
      </c>
      <c r="C1304" s="4">
        <v>17120019</v>
      </c>
      <c r="D1304" s="4" t="s">
        <v>155</v>
      </c>
      <c r="E1304" s="4" t="s">
        <v>818</v>
      </c>
      <c r="F1304" s="4" t="s">
        <v>4614</v>
      </c>
      <c r="G1304" s="4">
        <v>83097</v>
      </c>
      <c r="H1304" s="4" t="s">
        <v>4615</v>
      </c>
      <c r="I1304" s="4">
        <v>134</v>
      </c>
      <c r="J1304" s="4" t="s">
        <v>23</v>
      </c>
      <c r="K1304" s="4" t="s">
        <v>24</v>
      </c>
      <c r="L1304" s="4">
        <v>30000000</v>
      </c>
      <c r="M1304" s="4">
        <v>2012</v>
      </c>
      <c r="N1304" s="4">
        <v>6.5</v>
      </c>
      <c r="O1304" s="4">
        <f ca="1">IFERROR(__xludf.DUMMYFUNCTION("IF(Cost_in_dollars!E1304=""USD"",Cost_in_dollars!B1304,Cost_in_dollars!B1304 * GOOGLEFINANCE(""CURRENCY:"" &amp; Cost_in_dollars!E1304 &amp; ""USD""))
"),30000000)</f>
        <v>30000000</v>
      </c>
      <c r="P1304" s="4">
        <f ca="1">IFERROR(__xludf.DUMMYFUNCTION("IF(Cost_in_dollars!E1304=""USD"",Cost_in_dollars!C1304,Cost_in_dollars!C1304 * GOOGLEFINANCE(""CURRENCY:"" &amp; Cost_in_dollars!E1304 &amp; ""USD""))
"),17120019)</f>
        <v>17120019</v>
      </c>
      <c r="Q1304" s="4">
        <f t="shared" ca="1" si="30"/>
        <v>-12879981</v>
      </c>
      <c r="R1304" s="5" t="str">
        <f t="shared" si="31"/>
        <v>Safe</v>
      </c>
      <c r="S1304" s="43" t="str">
        <f t="shared" si="32"/>
        <v>Action</v>
      </c>
    </row>
    <row r="1305" spans="1:19" ht="15.75" customHeight="1" x14ac:dyDescent="0.25">
      <c r="A1305" s="6" t="s">
        <v>1645</v>
      </c>
      <c r="B1305" s="6">
        <v>703</v>
      </c>
      <c r="C1305" s="6">
        <v>623279547</v>
      </c>
      <c r="D1305" s="6" t="s">
        <v>188</v>
      </c>
      <c r="E1305" s="6" t="s">
        <v>1449</v>
      </c>
      <c r="F1305" s="6" t="s">
        <v>4616</v>
      </c>
      <c r="G1305" s="6">
        <v>995415</v>
      </c>
      <c r="H1305" s="6" t="s">
        <v>4617</v>
      </c>
      <c r="I1305" s="6">
        <v>1722</v>
      </c>
      <c r="J1305" s="6" t="s">
        <v>23</v>
      </c>
      <c r="K1305" s="6" t="s">
        <v>24</v>
      </c>
      <c r="L1305" s="6">
        <v>220000000</v>
      </c>
      <c r="M1305" s="6">
        <v>2012</v>
      </c>
      <c r="N1305" s="6">
        <v>8.1</v>
      </c>
      <c r="O1305" s="4">
        <f ca="1">IFERROR(__xludf.DUMMYFUNCTION("IF(Cost_in_dollars!E1305=""USD"",Cost_in_dollars!B1305,Cost_in_dollars!B1305 * GOOGLEFINANCE(""CURRENCY:"" &amp; Cost_in_dollars!E1305 &amp; ""USD""))
"),220000000)</f>
        <v>220000000</v>
      </c>
      <c r="P1305" s="4">
        <f ca="1">IFERROR(__xludf.DUMMYFUNCTION("IF(Cost_in_dollars!E1305=""USD"",Cost_in_dollars!C1305,Cost_in_dollars!C1305 * GOOGLEFINANCE(""CURRENCY:"" &amp; Cost_in_dollars!E1305 &amp; ""USD""))
"),623279547)</f>
        <v>623279547</v>
      </c>
      <c r="Q1305" s="6">
        <f t="shared" ca="1" si="30"/>
        <v>403279547</v>
      </c>
      <c r="R1305" s="7" t="str">
        <f t="shared" si="31"/>
        <v>The Avengers</v>
      </c>
      <c r="S1305" s="43" t="str">
        <f t="shared" si="32"/>
        <v>Action</v>
      </c>
    </row>
    <row r="1306" spans="1:19" ht="15.75" customHeight="1" x14ac:dyDescent="0.25">
      <c r="A1306" s="4" t="s">
        <v>451</v>
      </c>
      <c r="B1306" s="4">
        <v>98</v>
      </c>
      <c r="C1306" s="4">
        <v>43905746</v>
      </c>
      <c r="D1306" s="4" t="s">
        <v>1749</v>
      </c>
      <c r="E1306" s="4" t="s">
        <v>818</v>
      </c>
      <c r="F1306" s="4" t="s">
        <v>4618</v>
      </c>
      <c r="G1306" s="4">
        <v>77684</v>
      </c>
      <c r="H1306" s="4" t="s">
        <v>4619</v>
      </c>
      <c r="I1306" s="4">
        <v>294</v>
      </c>
      <c r="J1306" s="4" t="s">
        <v>23</v>
      </c>
      <c r="K1306" s="4" t="s">
        <v>24</v>
      </c>
      <c r="L1306" s="4">
        <v>49000000</v>
      </c>
      <c r="M1306" s="4">
        <v>2001</v>
      </c>
      <c r="N1306" s="4">
        <v>5.9</v>
      </c>
      <c r="O1306" s="4">
        <f ca="1">IFERROR(__xludf.DUMMYFUNCTION("IF(Cost_in_dollars!E1306=""USD"",Cost_in_dollars!B1306,Cost_in_dollars!B1306 * GOOGLEFINANCE(""CURRENCY:"" &amp; Cost_in_dollars!E1306 &amp; ""USD""))
"),49000000)</f>
        <v>49000000</v>
      </c>
      <c r="P1306" s="4">
        <f ca="1">IFERROR(__xludf.DUMMYFUNCTION("IF(Cost_in_dollars!E1306=""USD"",Cost_in_dollars!C1306,Cost_in_dollars!C1306 * GOOGLEFINANCE(""CURRENCY:"" &amp; Cost_in_dollars!E1306 &amp; ""USD""))
"),43905746)</f>
        <v>43905746</v>
      </c>
      <c r="Q1306" s="4">
        <f t="shared" ca="1" si="30"/>
        <v>-5094254</v>
      </c>
      <c r="R1306" s="5" t="str">
        <f t="shared" si="31"/>
        <v>The One</v>
      </c>
      <c r="S1306" s="43" t="str">
        <f t="shared" si="32"/>
        <v>Action</v>
      </c>
    </row>
    <row r="1307" spans="1:19" ht="15.75" customHeight="1" x14ac:dyDescent="0.25">
      <c r="A1307" s="6" t="s">
        <v>4620</v>
      </c>
      <c r="B1307" s="6">
        <v>298</v>
      </c>
      <c r="C1307" s="6">
        <v>24042490</v>
      </c>
      <c r="D1307" s="6" t="s">
        <v>958</v>
      </c>
      <c r="E1307" s="6" t="s">
        <v>4621</v>
      </c>
      <c r="F1307" s="6" t="s">
        <v>4622</v>
      </c>
      <c r="G1307" s="6">
        <v>40776</v>
      </c>
      <c r="H1307" s="6" t="s">
        <v>4623</v>
      </c>
      <c r="I1307" s="6">
        <v>250</v>
      </c>
      <c r="J1307" s="6" t="s">
        <v>23</v>
      </c>
      <c r="K1307" s="6" t="s">
        <v>24</v>
      </c>
      <c r="L1307" s="6">
        <v>25000000</v>
      </c>
      <c r="M1307" s="6">
        <v>2010</v>
      </c>
      <c r="N1307" s="6">
        <v>5.6</v>
      </c>
      <c r="O1307" s="4">
        <f ca="1">IFERROR(__xludf.DUMMYFUNCTION("IF(Cost_in_dollars!E1307=""USD"",Cost_in_dollars!B1307,Cost_in_dollars!B1307 * GOOGLEFINANCE(""CURRENCY:"" &amp; Cost_in_dollars!E1307 &amp; ""USD""))
"),25000000)</f>
        <v>25000000</v>
      </c>
      <c r="P1307" s="4">
        <f ca="1">IFERROR(__xludf.DUMMYFUNCTION("IF(Cost_in_dollars!E1307=""USD"",Cost_in_dollars!C1307,Cost_in_dollars!C1307 * GOOGLEFINANCE(""CURRENCY:"" &amp; Cost_in_dollars!E1307 &amp; ""USD""))
"),24042490)</f>
        <v>24042490</v>
      </c>
      <c r="Q1307" s="6">
        <f t="shared" ca="1" si="30"/>
        <v>-957510</v>
      </c>
      <c r="R1307" s="7" t="str">
        <f t="shared" si="31"/>
        <v>Don't Be Afraid of the Dark</v>
      </c>
      <c r="S1307" s="43" t="str">
        <f t="shared" si="32"/>
        <v>Fantasy</v>
      </c>
    </row>
    <row r="1308" spans="1:19" ht="15.75" customHeight="1" x14ac:dyDescent="0.25">
      <c r="A1308" s="4" t="s">
        <v>4624</v>
      </c>
      <c r="B1308" s="4">
        <v>276</v>
      </c>
      <c r="C1308" s="4">
        <v>51019112</v>
      </c>
      <c r="D1308" s="4" t="s">
        <v>649</v>
      </c>
      <c r="E1308" s="4" t="s">
        <v>3050</v>
      </c>
      <c r="F1308" s="4" t="s">
        <v>4625</v>
      </c>
      <c r="G1308" s="4">
        <v>155745</v>
      </c>
      <c r="H1308" s="4" t="s">
        <v>4626</v>
      </c>
      <c r="I1308" s="4">
        <v>1053</v>
      </c>
      <c r="J1308" s="4" t="s">
        <v>23</v>
      </c>
      <c r="K1308" s="4" t="s">
        <v>24</v>
      </c>
      <c r="L1308" s="4">
        <v>50000000</v>
      </c>
      <c r="M1308" s="4">
        <v>2005</v>
      </c>
      <c r="N1308" s="4">
        <v>6.8</v>
      </c>
      <c r="O1308" s="4">
        <f ca="1">IFERROR(__xludf.DUMMYFUNCTION("IF(Cost_in_dollars!E1308=""USD"",Cost_in_dollars!B1308,Cost_in_dollars!B1308 * GOOGLEFINANCE(""CURRENCY:"" &amp; Cost_in_dollars!E1308 &amp; ""USD""))
"),50000000)</f>
        <v>50000000</v>
      </c>
      <c r="P1308" s="4">
        <f ca="1">IFERROR(__xludf.DUMMYFUNCTION("IF(Cost_in_dollars!E1308=""USD"",Cost_in_dollars!C1308,Cost_in_dollars!C1308 * GOOGLEFINANCE(""CURRENCY:"" &amp; Cost_in_dollars!E1308 &amp; ""USD""))
"),51019112)</f>
        <v>51019112</v>
      </c>
      <c r="Q1308" s="4">
        <f t="shared" ca="1" si="30"/>
        <v>1019112</v>
      </c>
      <c r="R1308" s="5" t="str">
        <f t="shared" si="31"/>
        <v>The Hitchhiker's Guide to the Galaxy</v>
      </c>
      <c r="S1308" s="43" t="str">
        <f t="shared" si="32"/>
        <v>Adventure</v>
      </c>
    </row>
    <row r="1309" spans="1:19" ht="15.75" customHeight="1" x14ac:dyDescent="0.25">
      <c r="A1309" s="6" t="s">
        <v>4627</v>
      </c>
      <c r="B1309" s="6">
        <v>270</v>
      </c>
      <c r="C1309" s="6">
        <v>20981633</v>
      </c>
      <c r="D1309" s="6" t="s">
        <v>1608</v>
      </c>
      <c r="E1309" s="6" t="s">
        <v>4628</v>
      </c>
      <c r="F1309" s="6" t="s">
        <v>4629</v>
      </c>
      <c r="G1309" s="6">
        <v>78256</v>
      </c>
      <c r="H1309" s="6" t="s">
        <v>4630</v>
      </c>
      <c r="I1309" s="6">
        <v>492</v>
      </c>
      <c r="J1309" s="6" t="s">
        <v>23</v>
      </c>
      <c r="K1309" s="6" t="s">
        <v>24</v>
      </c>
      <c r="L1309" s="6">
        <v>30000000</v>
      </c>
      <c r="M1309" s="6">
        <v>2008</v>
      </c>
      <c r="N1309" s="6">
        <v>5.9</v>
      </c>
      <c r="O1309" s="4">
        <f ca="1">IFERROR(__xludf.DUMMYFUNCTION("IF(Cost_in_dollars!E1309=""USD"",Cost_in_dollars!B1309,Cost_in_dollars!B1309 * GOOGLEFINANCE(""CURRENCY:"" &amp; Cost_in_dollars!E1309 &amp; ""USD""))
"),30000000)</f>
        <v>30000000</v>
      </c>
      <c r="P1309" s="4">
        <f ca="1">IFERROR(__xludf.DUMMYFUNCTION("IF(Cost_in_dollars!E1309=""USD"",Cost_in_dollars!C1309,Cost_in_dollars!C1309 * GOOGLEFINANCE(""CURRENCY:"" &amp; Cost_in_dollars!E1309 &amp; ""USD""))
"),20981633)</f>
        <v>20981633</v>
      </c>
      <c r="Q1309" s="6">
        <f t="shared" ca="1" si="30"/>
        <v>-9018367</v>
      </c>
      <c r="R1309" s="7" t="str">
        <f t="shared" si="31"/>
        <v>The X Files: I Want to Believe</v>
      </c>
      <c r="S1309" s="43" t="str">
        <f t="shared" si="32"/>
        <v>Drama</v>
      </c>
    </row>
    <row r="1310" spans="1:19" ht="15.75" customHeight="1" x14ac:dyDescent="0.25">
      <c r="A1310" s="4" t="s">
        <v>628</v>
      </c>
      <c r="B1310" s="4">
        <v>60</v>
      </c>
      <c r="C1310" s="4">
        <v>26830000</v>
      </c>
      <c r="D1310" s="4" t="s">
        <v>73</v>
      </c>
      <c r="E1310" s="4" t="s">
        <v>69</v>
      </c>
      <c r="F1310" s="4" t="s">
        <v>629</v>
      </c>
      <c r="G1310" s="4">
        <v>101889</v>
      </c>
      <c r="H1310" s="4" t="s">
        <v>630</v>
      </c>
      <c r="I1310" s="4">
        <v>365</v>
      </c>
      <c r="J1310" s="4" t="s">
        <v>23</v>
      </c>
      <c r="K1310" s="4" t="s">
        <v>24</v>
      </c>
      <c r="L1310" s="4">
        <v>18000000</v>
      </c>
      <c r="M1310" s="4">
        <v>1989</v>
      </c>
      <c r="N1310" s="4">
        <v>7.9</v>
      </c>
      <c r="O1310" s="4">
        <f ca="1">IFERROR(__xludf.DUMMYFUNCTION("IF(Cost_in_dollars!E1310=""USD"",Cost_in_dollars!B1310,Cost_in_dollars!B1310 * GOOGLEFINANCE(""CURRENCY:"" &amp; Cost_in_dollars!E1310 &amp; ""USD""))
"),18000000)</f>
        <v>18000000</v>
      </c>
      <c r="P1310" s="4">
        <f ca="1">IFERROR(__xludf.DUMMYFUNCTION("IF(Cost_in_dollars!E1310=""USD"",Cost_in_dollars!C1310,Cost_in_dollars!C1310 * GOOGLEFINANCE(""CURRENCY:"" &amp; Cost_in_dollars!E1310 &amp; ""USD""))
"),26830000)</f>
        <v>26830000</v>
      </c>
      <c r="Q1310" s="4">
        <f t="shared" ca="1" si="30"/>
        <v>8830000</v>
      </c>
      <c r="R1310" s="5" t="str">
        <f t="shared" si="31"/>
        <v>Glory</v>
      </c>
      <c r="S1310" s="43" t="str">
        <f t="shared" si="32"/>
        <v>Drama</v>
      </c>
    </row>
    <row r="1311" spans="1:19" ht="15.75" customHeight="1" x14ac:dyDescent="0.25">
      <c r="A1311" s="6" t="s">
        <v>4631</v>
      </c>
      <c r="B1311" s="6">
        <v>75</v>
      </c>
      <c r="C1311" s="6">
        <v>13558739</v>
      </c>
      <c r="D1311" s="6" t="s">
        <v>140</v>
      </c>
      <c r="E1311" s="6" t="s">
        <v>4632</v>
      </c>
      <c r="F1311" s="6" t="s">
        <v>4633</v>
      </c>
      <c r="G1311" s="6">
        <v>15427</v>
      </c>
      <c r="H1311" s="6" t="s">
        <v>4634</v>
      </c>
      <c r="I1311" s="6">
        <v>121</v>
      </c>
      <c r="J1311" s="6" t="s">
        <v>23</v>
      </c>
      <c r="K1311" s="6" t="s">
        <v>24</v>
      </c>
      <c r="L1311" s="6">
        <v>11000000</v>
      </c>
      <c r="M1311" s="6">
        <v>2001</v>
      </c>
      <c r="N1311" s="6">
        <v>5.3</v>
      </c>
      <c r="O1311" s="4">
        <f ca="1">IFERROR(__xludf.DUMMYFUNCTION("IF(Cost_in_dollars!E1311=""USD"",Cost_in_dollars!B1311,Cost_in_dollars!B1311 * GOOGLEFINANCE(""CURRENCY:"" &amp; Cost_in_dollars!E1311 &amp; ""USD""))
"),11000000)</f>
        <v>11000000</v>
      </c>
      <c r="P1311" s="4">
        <f ca="1">IFERROR(__xludf.DUMMYFUNCTION("IF(Cost_in_dollars!E1311=""USD"",Cost_in_dollars!C1311,Cost_in_dollars!C1311 * GOOGLEFINANCE(""CURRENCY:"" &amp; Cost_in_dollars!E1311 &amp; ""USD""))
"),13558739)</f>
        <v>13558739</v>
      </c>
      <c r="Q1311" s="6">
        <f t="shared" ca="1" si="30"/>
        <v>2558739</v>
      </c>
      <c r="R1311" s="7" t="str">
        <f t="shared" si="31"/>
        <v>Tomcats</v>
      </c>
      <c r="S1311" s="43" t="str">
        <f t="shared" si="32"/>
        <v>Comedy</v>
      </c>
    </row>
    <row r="1312" spans="1:19" ht="15.75" customHeight="1" x14ac:dyDescent="0.25">
      <c r="A1312" s="4" t="s">
        <v>1258</v>
      </c>
      <c r="B1312" s="4">
        <v>299</v>
      </c>
      <c r="C1312" s="4">
        <v>296623634</v>
      </c>
      <c r="D1312" s="4" t="s">
        <v>263</v>
      </c>
      <c r="E1312" s="4" t="s">
        <v>264</v>
      </c>
      <c r="F1312" s="4" t="s">
        <v>4635</v>
      </c>
      <c r="G1312" s="4">
        <v>220758</v>
      </c>
      <c r="H1312" s="4" t="s">
        <v>4636</v>
      </c>
      <c r="I1312" s="4">
        <v>919</v>
      </c>
      <c r="J1312" s="4" t="s">
        <v>23</v>
      </c>
      <c r="K1312" s="4" t="s">
        <v>24</v>
      </c>
      <c r="L1312" s="4">
        <v>50000000</v>
      </c>
      <c r="M1312" s="4">
        <v>2009</v>
      </c>
      <c r="N1312" s="4">
        <v>4.5999999999999996</v>
      </c>
      <c r="O1312" s="4">
        <f ca="1">IFERROR(__xludf.DUMMYFUNCTION("IF(Cost_in_dollars!E1312=""USD"",Cost_in_dollars!B1312,Cost_in_dollars!B1312 * GOOGLEFINANCE(""CURRENCY:"" &amp; Cost_in_dollars!E1312 &amp; ""USD""))
"),50000000)</f>
        <v>50000000</v>
      </c>
      <c r="P1312" s="4">
        <f ca="1">IFERROR(__xludf.DUMMYFUNCTION("IF(Cost_in_dollars!E1312=""USD"",Cost_in_dollars!C1312,Cost_in_dollars!C1312 * GOOGLEFINANCE(""CURRENCY:"" &amp; Cost_in_dollars!E1312 &amp; ""USD""))
"),296623634)</f>
        <v>296623634</v>
      </c>
      <c r="Q1312" s="4">
        <f t="shared" ca="1" si="30"/>
        <v>246623634</v>
      </c>
      <c r="R1312" s="5" t="str">
        <f t="shared" si="31"/>
        <v>The Twilight Saga: New Moon</v>
      </c>
      <c r="S1312" s="43" t="str">
        <f t="shared" si="32"/>
        <v>Adventure</v>
      </c>
    </row>
    <row r="1313" spans="1:19" ht="15.75" customHeight="1" x14ac:dyDescent="0.25">
      <c r="A1313" s="6" t="s">
        <v>4637</v>
      </c>
      <c r="B1313" s="6">
        <v>733</v>
      </c>
      <c r="C1313" s="6">
        <v>291021565</v>
      </c>
      <c r="D1313" s="6" t="s">
        <v>1290</v>
      </c>
      <c r="E1313" s="6" t="s">
        <v>1314</v>
      </c>
      <c r="F1313" s="6" t="s">
        <v>4638</v>
      </c>
      <c r="G1313" s="6">
        <v>548573</v>
      </c>
      <c r="H1313" s="6" t="s">
        <v>4639</v>
      </c>
      <c r="I1313" s="6">
        <v>2536</v>
      </c>
      <c r="J1313" s="6" t="s">
        <v>23</v>
      </c>
      <c r="K1313" s="6" t="s">
        <v>24</v>
      </c>
      <c r="L1313" s="6">
        <v>225000000</v>
      </c>
      <c r="M1313" s="6">
        <v>2013</v>
      </c>
      <c r="N1313" s="6">
        <v>7.2</v>
      </c>
      <c r="O1313" s="4">
        <f ca="1">IFERROR(__xludf.DUMMYFUNCTION("IF(Cost_in_dollars!E1313=""USD"",Cost_in_dollars!B1313,Cost_in_dollars!B1313 * GOOGLEFINANCE(""CURRENCY:"" &amp; Cost_in_dollars!E1313 &amp; ""USD""))
"),225000000)</f>
        <v>225000000</v>
      </c>
      <c r="P1313" s="4">
        <f ca="1">IFERROR(__xludf.DUMMYFUNCTION("IF(Cost_in_dollars!E1313=""USD"",Cost_in_dollars!C1313,Cost_in_dollars!C1313 * GOOGLEFINANCE(""CURRENCY:"" &amp; Cost_in_dollars!E1313 &amp; ""USD""))
"),291021565)</f>
        <v>291021565</v>
      </c>
      <c r="Q1313" s="6">
        <f t="shared" ca="1" si="30"/>
        <v>66021565</v>
      </c>
      <c r="R1313" s="7" t="str">
        <f t="shared" si="31"/>
        <v>Man of Steel</v>
      </c>
      <c r="S1313" s="43" t="str">
        <f t="shared" si="32"/>
        <v>Action</v>
      </c>
    </row>
    <row r="1314" spans="1:19" ht="15.75" customHeight="1" x14ac:dyDescent="0.25">
      <c r="A1314" s="4" t="s">
        <v>1607</v>
      </c>
      <c r="B1314" s="4">
        <v>203</v>
      </c>
      <c r="C1314" s="4">
        <v>19783777</v>
      </c>
      <c r="D1314" s="4" t="s">
        <v>504</v>
      </c>
      <c r="E1314" s="4" t="s">
        <v>818</v>
      </c>
      <c r="F1314" s="4" t="s">
        <v>4640</v>
      </c>
      <c r="G1314" s="4">
        <v>82804</v>
      </c>
      <c r="H1314" s="4" t="s">
        <v>4641</v>
      </c>
      <c r="I1314" s="4">
        <v>154</v>
      </c>
      <c r="J1314" s="4" t="s">
        <v>23</v>
      </c>
      <c r="K1314" s="4" t="s">
        <v>24</v>
      </c>
      <c r="L1314" s="4">
        <v>22000000</v>
      </c>
      <c r="M1314" s="4">
        <v>2013</v>
      </c>
      <c r="N1314" s="4">
        <v>6.5</v>
      </c>
      <c r="O1314" s="4">
        <f ca="1">IFERROR(__xludf.DUMMYFUNCTION("IF(Cost_in_dollars!E1314=""USD"",Cost_in_dollars!B1314,Cost_in_dollars!B1314 * GOOGLEFINANCE(""CURRENCY:"" &amp; Cost_in_dollars!E1314 &amp; ""USD""))
"),22000000)</f>
        <v>22000000</v>
      </c>
      <c r="P1314" s="4">
        <f ca="1">IFERROR(__xludf.DUMMYFUNCTION("IF(Cost_in_dollars!E1314=""USD"",Cost_in_dollars!C1314,Cost_in_dollars!C1314 * GOOGLEFINANCE(""CURRENCY:"" &amp; Cost_in_dollars!E1314 &amp; ""USD""))
"),19783777)</f>
        <v>19783777</v>
      </c>
      <c r="Q1314" s="4">
        <f t="shared" ca="1" si="30"/>
        <v>-2216223</v>
      </c>
      <c r="R1314" s="5" t="str">
        <f t="shared" si="31"/>
        <v>Homefront</v>
      </c>
      <c r="S1314" s="43" t="str">
        <f t="shared" si="32"/>
        <v>Action</v>
      </c>
    </row>
    <row r="1315" spans="1:19" ht="15.75" customHeight="1" x14ac:dyDescent="0.25">
      <c r="A1315" s="6" t="s">
        <v>284</v>
      </c>
      <c r="B1315" s="6">
        <v>426</v>
      </c>
      <c r="C1315" s="6">
        <v>70235322</v>
      </c>
      <c r="D1315" s="6" t="s">
        <v>3143</v>
      </c>
      <c r="E1315" s="6" t="s">
        <v>227</v>
      </c>
      <c r="F1315" s="6" t="s">
        <v>4642</v>
      </c>
      <c r="G1315" s="6">
        <v>182983</v>
      </c>
      <c r="H1315" s="6" t="s">
        <v>4643</v>
      </c>
      <c r="I1315" s="6">
        <v>374</v>
      </c>
      <c r="J1315" s="6" t="s">
        <v>23</v>
      </c>
      <c r="K1315" s="6" t="s">
        <v>24</v>
      </c>
      <c r="L1315" s="6">
        <v>28000000</v>
      </c>
      <c r="M1315" s="6">
        <v>2015</v>
      </c>
      <c r="N1315" s="6">
        <v>7.8</v>
      </c>
      <c r="O1315" s="4">
        <f ca="1">IFERROR(__xludf.DUMMYFUNCTION("IF(Cost_in_dollars!E1315=""USD"",Cost_in_dollars!B1315,Cost_in_dollars!B1315 * GOOGLEFINANCE(""CURRENCY:"" &amp; Cost_in_dollars!E1315 &amp; ""USD""))
"),28000000)</f>
        <v>28000000</v>
      </c>
      <c r="P1315" s="4">
        <f ca="1">IFERROR(__xludf.DUMMYFUNCTION("IF(Cost_in_dollars!E1315=""USD"",Cost_in_dollars!C1315,Cost_in_dollars!C1315 * GOOGLEFINANCE(""CURRENCY:"" &amp; Cost_in_dollars!E1315 &amp; ""USD""))
"),70235322)</f>
        <v>70235322</v>
      </c>
      <c r="Q1315" s="6">
        <f t="shared" ca="1" si="30"/>
        <v>42235322</v>
      </c>
      <c r="R1315" s="7" t="str">
        <f t="shared" si="31"/>
        <v>The Big Short</v>
      </c>
      <c r="S1315" s="43" t="str">
        <f t="shared" si="32"/>
        <v>Biography</v>
      </c>
    </row>
    <row r="1316" spans="1:19" ht="15.75" customHeight="1" x14ac:dyDescent="0.25">
      <c r="A1316" s="4" t="s">
        <v>4644</v>
      </c>
      <c r="B1316" s="4">
        <v>145</v>
      </c>
      <c r="C1316" s="4">
        <v>137748063</v>
      </c>
      <c r="D1316" s="4" t="s">
        <v>4645</v>
      </c>
      <c r="E1316" s="4" t="s">
        <v>3382</v>
      </c>
      <c r="F1316" s="4" t="s">
        <v>4646</v>
      </c>
      <c r="G1316" s="4">
        <v>38438</v>
      </c>
      <c r="H1316" s="4" t="s">
        <v>4647</v>
      </c>
      <c r="I1316" s="4">
        <v>241</v>
      </c>
      <c r="J1316" s="4" t="s">
        <v>23</v>
      </c>
      <c r="K1316" s="4" t="s">
        <v>24</v>
      </c>
      <c r="L1316" s="4">
        <v>127500000</v>
      </c>
      <c r="M1316" s="4">
        <v>2000</v>
      </c>
      <c r="N1316" s="4">
        <v>6.5</v>
      </c>
      <c r="O1316" s="4">
        <f ca="1">IFERROR(__xludf.DUMMYFUNCTION("IF(Cost_in_dollars!E1316=""USD"",Cost_in_dollars!B1316,Cost_in_dollars!B1316 * GOOGLEFINANCE(""CURRENCY:"" &amp; Cost_in_dollars!E1316 &amp; ""USD""))
"),127500000)</f>
        <v>127500000</v>
      </c>
      <c r="P1316" s="4">
        <f ca="1">IFERROR(__xludf.DUMMYFUNCTION("IF(Cost_in_dollars!E1316=""USD"",Cost_in_dollars!C1316,Cost_in_dollars!C1316 * GOOGLEFINANCE(""CURRENCY:"" &amp; Cost_in_dollars!E1316 &amp; ""USD""))
"),137748063)</f>
        <v>137748063</v>
      </c>
      <c r="Q1316" s="4">
        <f t="shared" ca="1" si="30"/>
        <v>10248063</v>
      </c>
      <c r="R1316" s="5" t="str">
        <f t="shared" si="31"/>
        <v>Dinosaur</v>
      </c>
      <c r="S1316" s="43" t="str">
        <f t="shared" si="32"/>
        <v>Adventure</v>
      </c>
    </row>
    <row r="1317" spans="1:19" ht="15.75" customHeight="1" x14ac:dyDescent="0.25">
      <c r="A1317" s="6" t="s">
        <v>4648</v>
      </c>
      <c r="B1317" s="6">
        <v>98</v>
      </c>
      <c r="C1317" s="6">
        <v>23393765</v>
      </c>
      <c r="D1317" s="6" t="s">
        <v>235</v>
      </c>
      <c r="E1317" s="6" t="s">
        <v>4044</v>
      </c>
      <c r="F1317" s="6" t="s">
        <v>4649</v>
      </c>
      <c r="G1317" s="6">
        <v>31323</v>
      </c>
      <c r="H1317" s="6" t="s">
        <v>4650</v>
      </c>
      <c r="I1317" s="6">
        <v>76</v>
      </c>
      <c r="J1317" s="6" t="s">
        <v>23</v>
      </c>
      <c r="K1317" s="6" t="s">
        <v>24</v>
      </c>
      <c r="L1317" s="6">
        <v>20000000</v>
      </c>
      <c r="M1317" s="6">
        <v>2014</v>
      </c>
      <c r="N1317" s="6">
        <v>6.3</v>
      </c>
      <c r="O1317" s="4">
        <f ca="1">IFERROR(__xludf.DUMMYFUNCTION("IF(Cost_in_dollars!E1317=""USD"",Cost_in_dollars!B1317,Cost_in_dollars!B1317 * GOOGLEFINANCE(""CURRENCY:"" &amp; Cost_in_dollars!E1317 &amp; ""USD""))
"),20000000)</f>
        <v>20000000</v>
      </c>
      <c r="P1317" s="4">
        <f ca="1">IFERROR(__xludf.DUMMYFUNCTION("IF(Cost_in_dollars!E1317=""USD"",Cost_in_dollars!C1317,Cost_in_dollars!C1317 * GOOGLEFINANCE(""CURRENCY:"" &amp; Cost_in_dollars!E1317 &amp; ""USD""))
"),23393765)</f>
        <v>23393765</v>
      </c>
      <c r="Q1317" s="6">
        <f t="shared" ca="1" si="30"/>
        <v>3393765</v>
      </c>
      <c r="R1317" s="7" t="str">
        <f t="shared" si="31"/>
        <v>Endless Love</v>
      </c>
      <c r="S1317" s="43" t="str">
        <f t="shared" si="32"/>
        <v>Drama</v>
      </c>
    </row>
    <row r="1318" spans="1:19" ht="15.75" customHeight="1" x14ac:dyDescent="0.25">
      <c r="A1318" s="4" t="s">
        <v>411</v>
      </c>
      <c r="B1318" s="4">
        <v>160</v>
      </c>
      <c r="C1318" s="4">
        <v>125332007</v>
      </c>
      <c r="D1318" s="4" t="s">
        <v>477</v>
      </c>
      <c r="E1318" s="4" t="s">
        <v>4651</v>
      </c>
      <c r="F1318" s="4" t="s">
        <v>4652</v>
      </c>
      <c r="G1318" s="4">
        <v>149680</v>
      </c>
      <c r="H1318" s="4" t="s">
        <v>4653</v>
      </c>
      <c r="I1318" s="4">
        <v>328</v>
      </c>
      <c r="J1318" s="4" t="s">
        <v>23</v>
      </c>
      <c r="K1318" s="4" t="s">
        <v>133</v>
      </c>
      <c r="L1318" s="4">
        <v>110000000</v>
      </c>
      <c r="M1318" s="4">
        <v>1997</v>
      </c>
      <c r="N1318" s="4">
        <v>6.5</v>
      </c>
      <c r="O1318" s="4">
        <f ca="1">IFERROR(__xludf.DUMMYFUNCTION("IF(Cost_in_dollars!E1318=""USD"",Cost_in_dollars!B1318,Cost_in_dollars!B1318 * GOOGLEFINANCE(""CURRENCY:"" &amp; Cost_in_dollars!E1318 &amp; ""USD""))
"),141394000)</f>
        <v>141394000</v>
      </c>
      <c r="P1318" s="4">
        <f ca="1">IFERROR(__xludf.DUMMYFUNCTION("IF(Cost_in_dollars!E1318=""USD"",Cost_in_dollars!C1318,Cost_in_dollars!C1318 * GOOGLEFINANCE(""CURRENCY:"" &amp; Cost_in_dollars!E1318 &amp; ""USD""))
"),161101761.797799)</f>
        <v>161101761.79779899</v>
      </c>
      <c r="Q1318" s="4">
        <f t="shared" ca="1" si="30"/>
        <v>19707761.797798991</v>
      </c>
      <c r="R1318" s="5" t="str">
        <f t="shared" si="31"/>
        <v>Tomorrow Never Dies</v>
      </c>
      <c r="S1318" s="43" t="str">
        <f t="shared" si="32"/>
        <v>Action</v>
      </c>
    </row>
    <row r="1319" spans="1:19" ht="15.75" customHeight="1" x14ac:dyDescent="0.25">
      <c r="A1319" s="6" t="s">
        <v>4654</v>
      </c>
      <c r="B1319" s="6">
        <v>124</v>
      </c>
      <c r="C1319" s="6">
        <v>56684819</v>
      </c>
      <c r="D1319" s="6" t="s">
        <v>188</v>
      </c>
      <c r="E1319" s="6" t="s">
        <v>4655</v>
      </c>
      <c r="F1319" s="6" t="s">
        <v>4656</v>
      </c>
      <c r="G1319" s="6">
        <v>103787</v>
      </c>
      <c r="H1319" s="6" t="s">
        <v>4657</v>
      </c>
      <c r="I1319" s="6">
        <v>615</v>
      </c>
      <c r="J1319" s="6" t="s">
        <v>23</v>
      </c>
      <c r="K1319" s="6" t="s">
        <v>24</v>
      </c>
      <c r="L1319" s="6">
        <v>80000000</v>
      </c>
      <c r="M1319" s="6">
        <v>2002</v>
      </c>
      <c r="N1319" s="6">
        <v>5.9</v>
      </c>
      <c r="O1319" s="4">
        <f ca="1">IFERROR(__xludf.DUMMYFUNCTION("IF(Cost_in_dollars!E1319=""USD"",Cost_in_dollars!B1319,Cost_in_dollars!B1319 * GOOGLEFINANCE(""CURRENCY:"" &amp; Cost_in_dollars!E1319 &amp; ""USD""))
"),80000000)</f>
        <v>80000000</v>
      </c>
      <c r="P1319" s="4">
        <f ca="1">IFERROR(__xludf.DUMMYFUNCTION("IF(Cost_in_dollars!E1319=""USD"",Cost_in_dollars!C1319,Cost_in_dollars!C1319 * GOOGLEFINANCE(""CURRENCY:"" &amp; Cost_in_dollars!E1319 &amp; ""USD""))
"),56684819)</f>
        <v>56684819</v>
      </c>
      <c r="Q1319" s="6">
        <f t="shared" ca="1" si="30"/>
        <v>-23315181</v>
      </c>
      <c r="R1319" s="7" t="str">
        <f t="shared" si="31"/>
        <v>The Time Machine</v>
      </c>
      <c r="S1319" s="43" t="str">
        <f t="shared" si="32"/>
        <v>Action</v>
      </c>
    </row>
    <row r="1320" spans="1:19" ht="15.75" customHeight="1" x14ac:dyDescent="0.25">
      <c r="A1320" s="4" t="s">
        <v>1419</v>
      </c>
      <c r="B1320" s="4">
        <v>121</v>
      </c>
      <c r="C1320" s="4">
        <v>62700000</v>
      </c>
      <c r="D1320" s="4" t="s">
        <v>797</v>
      </c>
      <c r="E1320" s="4" t="s">
        <v>1286</v>
      </c>
      <c r="F1320" s="4" t="s">
        <v>4658</v>
      </c>
      <c r="G1320" s="4">
        <v>69534</v>
      </c>
      <c r="H1320" s="4" t="s">
        <v>4659</v>
      </c>
      <c r="I1320" s="4">
        <v>294</v>
      </c>
      <c r="J1320" s="4" t="s">
        <v>23</v>
      </c>
      <c r="K1320" s="4" t="s">
        <v>133</v>
      </c>
      <c r="L1320" s="4">
        <v>34000000</v>
      </c>
      <c r="M1320" s="4">
        <v>1979</v>
      </c>
      <c r="N1320" s="4">
        <v>6.3</v>
      </c>
      <c r="O1320" s="4">
        <f ca="1">IFERROR(__xludf.DUMMYFUNCTION("IF(Cost_in_dollars!E1320=""USD"",Cost_in_dollars!B1320,Cost_in_dollars!B1320 * GOOGLEFINANCE(""CURRENCY:"" &amp; Cost_in_dollars!E1320 &amp; ""USD""))
"),43703599.9999999)</f>
        <v>43703599.999999903</v>
      </c>
      <c r="P1320" s="4">
        <f ca="1">IFERROR(__xludf.DUMMYFUNCTION("IF(Cost_in_dollars!E1320=""USD"",Cost_in_dollars!C1320,Cost_in_dollars!C1320 * GOOGLEFINANCE(""CURRENCY:"" &amp; Cost_in_dollars!E1320 &amp; ""USD""))
"),80594579.9999999)</f>
        <v>80594579.999999896</v>
      </c>
      <c r="Q1320" s="4">
        <f t="shared" ca="1" si="30"/>
        <v>36890979.999999993</v>
      </c>
      <c r="R1320" s="5" t="str">
        <f t="shared" si="31"/>
        <v>Moonraker</v>
      </c>
      <c r="S1320" s="43" t="str">
        <f t="shared" si="32"/>
        <v>Action</v>
      </c>
    </row>
    <row r="1321" spans="1:19" ht="15.75" customHeight="1" x14ac:dyDescent="0.25">
      <c r="A1321" s="6" t="s">
        <v>1396</v>
      </c>
      <c r="B1321" s="6">
        <v>348</v>
      </c>
      <c r="C1321" s="6">
        <v>190871240</v>
      </c>
      <c r="D1321" s="6" t="s">
        <v>1397</v>
      </c>
      <c r="E1321" s="6" t="s">
        <v>1398</v>
      </c>
      <c r="F1321" s="6" t="s">
        <v>1399</v>
      </c>
      <c r="G1321" s="6">
        <v>167085</v>
      </c>
      <c r="H1321" s="6" t="s">
        <v>1400</v>
      </c>
      <c r="I1321" s="6">
        <v>491</v>
      </c>
      <c r="J1321" s="6" t="s">
        <v>23</v>
      </c>
      <c r="K1321" s="6" t="s">
        <v>24</v>
      </c>
      <c r="L1321" s="6">
        <v>125000000</v>
      </c>
      <c r="M1321" s="6">
        <v>2014</v>
      </c>
      <c r="N1321" s="6">
        <v>5.9</v>
      </c>
      <c r="O1321" s="4">
        <f ca="1">IFERROR(__xludf.DUMMYFUNCTION("IF(Cost_in_dollars!E1321=""USD"",Cost_in_dollars!B1321,Cost_in_dollars!B1321 * GOOGLEFINANCE(""CURRENCY:"" &amp; Cost_in_dollars!E1321 &amp; ""USD""))
"),125000000)</f>
        <v>125000000</v>
      </c>
      <c r="P1321" s="4">
        <f ca="1">IFERROR(__xludf.DUMMYFUNCTION("IF(Cost_in_dollars!E1321=""USD"",Cost_in_dollars!C1321,Cost_in_dollars!C1321 * GOOGLEFINANCE(""CURRENCY:"" &amp; Cost_in_dollars!E1321 &amp; ""USD""))
"),190871240)</f>
        <v>190871240</v>
      </c>
      <c r="Q1321" s="6">
        <f t="shared" ca="1" si="30"/>
        <v>65871240</v>
      </c>
      <c r="R1321" s="7" t="str">
        <f t="shared" si="31"/>
        <v>Teenage Mutant Ninja Turtles</v>
      </c>
      <c r="S1321" s="43" t="str">
        <f t="shared" si="32"/>
        <v>Action</v>
      </c>
    </row>
    <row r="1322" spans="1:19" ht="15.75" customHeight="1" x14ac:dyDescent="0.25">
      <c r="A1322" s="4" t="s">
        <v>4660</v>
      </c>
      <c r="B1322" s="4">
        <v>38</v>
      </c>
      <c r="C1322" s="4">
        <v>594904</v>
      </c>
      <c r="D1322" s="4" t="s">
        <v>457</v>
      </c>
      <c r="E1322" s="4" t="s">
        <v>4661</v>
      </c>
      <c r="F1322" s="4" t="s">
        <v>4662</v>
      </c>
      <c r="G1322" s="4">
        <v>2582</v>
      </c>
      <c r="H1322" s="4" t="s">
        <v>4663</v>
      </c>
      <c r="I1322" s="4">
        <v>89</v>
      </c>
      <c r="J1322" s="4" t="s">
        <v>23</v>
      </c>
      <c r="K1322" s="4" t="s">
        <v>24</v>
      </c>
      <c r="L1322" s="4">
        <v>1200000</v>
      </c>
      <c r="M1322" s="4">
        <v>2012</v>
      </c>
      <c r="N1322" s="4">
        <v>6</v>
      </c>
      <c r="O1322" s="4">
        <f ca="1">IFERROR(__xludf.DUMMYFUNCTION("IF(Cost_in_dollars!E1322=""USD"",Cost_in_dollars!B1322,Cost_in_dollars!B1322 * GOOGLEFINANCE(""CURRENCY:"" &amp; Cost_in_dollars!E1322 &amp; ""USD""))
"),1200000)</f>
        <v>1200000</v>
      </c>
      <c r="P1322" s="4">
        <f ca="1">IFERROR(__xludf.DUMMYFUNCTION("IF(Cost_in_dollars!E1322=""USD"",Cost_in_dollars!C1322,Cost_in_dollars!C1322 * GOOGLEFINANCE(""CURRENCY:"" &amp; Cost_in_dollars!E1322 &amp; ""USD""))
"),594904)</f>
        <v>594904</v>
      </c>
      <c r="Q1322" s="4">
        <f t="shared" ca="1" si="30"/>
        <v>-605096</v>
      </c>
      <c r="R1322" s="5" t="str">
        <f t="shared" si="31"/>
        <v>Blue Like Jazz</v>
      </c>
      <c r="S1322" s="43" t="str">
        <f t="shared" si="32"/>
        <v>Comedy</v>
      </c>
    </row>
    <row r="1323" spans="1:19" ht="15.75" customHeight="1" x14ac:dyDescent="0.25">
      <c r="A1323" s="6" t="s">
        <v>2324</v>
      </c>
      <c r="B1323" s="6">
        <v>150</v>
      </c>
      <c r="C1323" s="6">
        <v>127083765</v>
      </c>
      <c r="D1323" s="6" t="s">
        <v>155</v>
      </c>
      <c r="E1323" s="6" t="s">
        <v>805</v>
      </c>
      <c r="F1323" s="6" t="s">
        <v>4664</v>
      </c>
      <c r="G1323" s="6">
        <v>191912</v>
      </c>
      <c r="H1323" s="6" t="s">
        <v>4665</v>
      </c>
      <c r="I1323" s="6">
        <v>370</v>
      </c>
      <c r="J1323" s="6" t="s">
        <v>23</v>
      </c>
      <c r="K1323" s="6" t="s">
        <v>24</v>
      </c>
      <c r="L1323" s="6">
        <v>76000000</v>
      </c>
      <c r="M1323" s="6">
        <v>2003</v>
      </c>
      <c r="N1323" s="6">
        <v>5.9</v>
      </c>
      <c r="O1323" s="4">
        <f ca="1">IFERROR(__xludf.DUMMYFUNCTION("IF(Cost_in_dollars!E1323=""USD"",Cost_in_dollars!B1323,Cost_in_dollars!B1323 * GOOGLEFINANCE(""CURRENCY:"" &amp; Cost_in_dollars!E1323 &amp; ""USD""))
"),76000000)</f>
        <v>76000000</v>
      </c>
      <c r="P1323" s="4">
        <f ca="1">IFERROR(__xludf.DUMMYFUNCTION("IF(Cost_in_dollars!E1323=""USD"",Cost_in_dollars!C1323,Cost_in_dollars!C1323 * GOOGLEFINANCE(""CURRENCY:"" &amp; Cost_in_dollars!E1323 &amp; ""USD""))
"),127083765)</f>
        <v>127083765</v>
      </c>
      <c r="Q1323" s="6">
        <f t="shared" ca="1" si="30"/>
        <v>51083765</v>
      </c>
      <c r="R1323" s="7" t="str">
        <f t="shared" si="31"/>
        <v>2 Fast 2 Furious</v>
      </c>
      <c r="S1323" s="43" t="str">
        <f t="shared" si="32"/>
        <v>Action</v>
      </c>
    </row>
    <row r="1324" spans="1:19" ht="15.75" customHeight="1" x14ac:dyDescent="0.25">
      <c r="A1324" s="4" t="s">
        <v>871</v>
      </c>
      <c r="B1324" s="4">
        <v>152</v>
      </c>
      <c r="C1324" s="4">
        <v>40911830</v>
      </c>
      <c r="D1324" s="4" t="s">
        <v>406</v>
      </c>
      <c r="E1324" s="4" t="s">
        <v>461</v>
      </c>
      <c r="F1324" s="4" t="s">
        <v>4666</v>
      </c>
      <c r="G1324" s="4">
        <v>55994</v>
      </c>
      <c r="H1324" s="4" t="s">
        <v>4667</v>
      </c>
      <c r="I1324" s="4">
        <v>454</v>
      </c>
      <c r="J1324" s="4" t="s">
        <v>23</v>
      </c>
      <c r="K1324" s="4" t="s">
        <v>24</v>
      </c>
      <c r="L1324" s="4">
        <v>115000000</v>
      </c>
      <c r="M1324" s="4">
        <v>2002</v>
      </c>
      <c r="N1324" s="4">
        <v>6</v>
      </c>
      <c r="O1324" s="4">
        <f ca="1">IFERROR(__xludf.DUMMYFUNCTION("IF(Cost_in_dollars!E1324=""USD"",Cost_in_dollars!B1324,Cost_in_dollars!B1324 * GOOGLEFINANCE(""CURRENCY:"" &amp; Cost_in_dollars!E1324 &amp; ""USD""))
"),115000000)</f>
        <v>115000000</v>
      </c>
      <c r="P1324" s="4">
        <f ca="1">IFERROR(__xludf.DUMMYFUNCTION("IF(Cost_in_dollars!E1324=""USD"",Cost_in_dollars!C1324,Cost_in_dollars!C1324 * GOOGLEFINANCE(""CURRENCY:"" &amp; Cost_in_dollars!E1324 &amp; ""USD""))
"),40911830)</f>
        <v>40911830</v>
      </c>
      <c r="Q1324" s="4">
        <f t="shared" ca="1" si="30"/>
        <v>-74088170</v>
      </c>
      <c r="R1324" s="5" t="str">
        <f t="shared" si="31"/>
        <v>Windtalkers</v>
      </c>
      <c r="S1324" s="43" t="str">
        <f t="shared" si="32"/>
        <v>Action</v>
      </c>
    </row>
    <row r="1325" spans="1:19" ht="15.75" customHeight="1" x14ac:dyDescent="0.25">
      <c r="A1325" s="6" t="s">
        <v>4668</v>
      </c>
      <c r="B1325" s="6">
        <v>308</v>
      </c>
      <c r="C1325" s="6">
        <v>19059018</v>
      </c>
      <c r="D1325" s="6" t="s">
        <v>4669</v>
      </c>
      <c r="E1325" s="6" t="s">
        <v>4670</v>
      </c>
      <c r="F1325" s="6" t="s">
        <v>4671</v>
      </c>
      <c r="G1325" s="6">
        <v>65709</v>
      </c>
      <c r="H1325" s="6" t="s">
        <v>4672</v>
      </c>
      <c r="I1325" s="6">
        <v>194</v>
      </c>
      <c r="J1325" s="6" t="s">
        <v>23</v>
      </c>
      <c r="K1325" s="6" t="s">
        <v>149</v>
      </c>
      <c r="L1325" s="6">
        <v>65000000</v>
      </c>
      <c r="M1325" s="6">
        <v>2014</v>
      </c>
      <c r="N1325" s="6">
        <v>5.0999999999999996</v>
      </c>
      <c r="O1325" s="4">
        <f ca="1">IFERROR(__xludf.DUMMYFUNCTION("IF(Cost_in_dollars!E1325=""USD"",Cost_in_dollars!B1325,Cost_in_dollars!B1325 * GOOGLEFINANCE(""CURRENCY:"" &amp; Cost_in_dollars!E1325 &amp; ""USD""))
"),42502200)</f>
        <v>42502200</v>
      </c>
      <c r="P1325" s="4">
        <f ca="1">IFERROR(__xludf.DUMMYFUNCTION("IF(Cost_in_dollars!E1325=""USD"",Cost_in_dollars!C1325,Cost_in_dollars!C1325 * GOOGLEFINANCE(""CURRENCY:"" &amp; Cost_in_dollars!E1325 &amp; ""USD""))
"),12462310.68984)</f>
        <v>12462310.68984</v>
      </c>
      <c r="Q1325" s="6">
        <f t="shared" ca="1" si="30"/>
        <v>-30039889.31016</v>
      </c>
      <c r="R1325" s="7" t="str">
        <f t="shared" si="31"/>
        <v>I, Frankenstein</v>
      </c>
      <c r="S1325" s="43" t="str">
        <f t="shared" si="32"/>
        <v>Action</v>
      </c>
    </row>
    <row r="1326" spans="1:19" ht="15.75" customHeight="1" x14ac:dyDescent="0.25">
      <c r="A1326" s="4" t="s">
        <v>4673</v>
      </c>
      <c r="B1326" s="4">
        <v>41</v>
      </c>
      <c r="C1326" s="4">
        <v>76501438</v>
      </c>
      <c r="D1326" s="4" t="s">
        <v>4674</v>
      </c>
      <c r="E1326" s="4" t="s">
        <v>3025</v>
      </c>
      <c r="F1326" s="4" t="s">
        <v>4675</v>
      </c>
      <c r="G1326" s="4">
        <v>8146</v>
      </c>
      <c r="H1326" s="4" t="s">
        <v>4676</v>
      </c>
      <c r="I1326" s="4">
        <v>49</v>
      </c>
      <c r="J1326" s="4" t="s">
        <v>23</v>
      </c>
      <c r="K1326" s="4" t="s">
        <v>176</v>
      </c>
      <c r="L1326" s="4">
        <v>30000000</v>
      </c>
      <c r="M1326" s="4">
        <v>2000</v>
      </c>
      <c r="N1326" s="4">
        <v>6.1</v>
      </c>
      <c r="O1326" s="4">
        <f ca="1">IFERROR(__xludf.DUMMYFUNCTION("IF(Cost_in_dollars!E1326=""USD"",Cost_in_dollars!B1326,Cost_in_dollars!B1326 * GOOGLEFINANCE(""CURRENCY:"" &amp; Cost_in_dollars!E1326 &amp; ""USD""))
"),32542200)</f>
        <v>32542200</v>
      </c>
      <c r="P1326" s="4">
        <f ca="1">IFERROR(__xludf.DUMMYFUNCTION("IF(Cost_in_dollars!E1326=""USD"",Cost_in_dollars!C1326,Cost_in_dollars!C1326 * GOOGLEFINANCE(""CURRENCY:"" &amp; Cost_in_dollars!E1326 &amp; ""USD""))
"),82984169.85612)</f>
        <v>82984169.856120005</v>
      </c>
      <c r="Q1326" s="4">
        <f t="shared" ca="1" si="30"/>
        <v>50441969.856120005</v>
      </c>
      <c r="R1326" s="5" t="str">
        <f t="shared" si="31"/>
        <v>Rugrats in Paris: The Movie</v>
      </c>
      <c r="S1326" s="43" t="str">
        <f t="shared" si="32"/>
        <v>Adventure</v>
      </c>
    </row>
    <row r="1327" spans="1:19" ht="15.75" customHeight="1" x14ac:dyDescent="0.25">
      <c r="A1327" s="6" t="s">
        <v>318</v>
      </c>
      <c r="B1327" s="6">
        <v>186</v>
      </c>
      <c r="C1327" s="6">
        <v>183405771</v>
      </c>
      <c r="D1327" s="6" t="s">
        <v>319</v>
      </c>
      <c r="E1327" s="6" t="s">
        <v>1436</v>
      </c>
      <c r="F1327" s="6" t="s">
        <v>4677</v>
      </c>
      <c r="G1327" s="6">
        <v>402645</v>
      </c>
      <c r="H1327" s="6" t="s">
        <v>4678</v>
      </c>
      <c r="I1327" s="6">
        <v>845</v>
      </c>
      <c r="J1327" s="6" t="s">
        <v>23</v>
      </c>
      <c r="K1327" s="6" t="s">
        <v>24</v>
      </c>
      <c r="L1327" s="6">
        <v>85000000</v>
      </c>
      <c r="M1327" s="6">
        <v>2001</v>
      </c>
      <c r="N1327" s="6">
        <v>7.8</v>
      </c>
      <c r="O1327" s="4">
        <f ca="1">IFERROR(__xludf.DUMMYFUNCTION("IF(Cost_in_dollars!E1327=""USD"",Cost_in_dollars!B1327,Cost_in_dollars!B1327 * GOOGLEFINANCE(""CURRENCY:"" &amp; Cost_in_dollars!E1327 &amp; ""USD""))
"),85000000)</f>
        <v>85000000</v>
      </c>
      <c r="P1327" s="4">
        <f ca="1">IFERROR(__xludf.DUMMYFUNCTION("IF(Cost_in_dollars!E1327=""USD"",Cost_in_dollars!C1327,Cost_in_dollars!C1327 * GOOGLEFINANCE(""CURRENCY:"" &amp; Cost_in_dollars!E1327 &amp; ""USD""))
"),183405771)</f>
        <v>183405771</v>
      </c>
      <c r="Q1327" s="6">
        <f t="shared" ca="1" si="30"/>
        <v>98405771</v>
      </c>
      <c r="R1327" s="7" t="str">
        <f t="shared" si="31"/>
        <v>Ocean's Eleven</v>
      </c>
      <c r="S1327" s="43" t="str">
        <f t="shared" si="32"/>
        <v>Crime</v>
      </c>
    </row>
    <row r="1328" spans="1:19" ht="15.75" customHeight="1" x14ac:dyDescent="0.25">
      <c r="A1328" s="4" t="s">
        <v>1082</v>
      </c>
      <c r="B1328" s="4">
        <v>59</v>
      </c>
      <c r="C1328" s="4">
        <v>2073984</v>
      </c>
      <c r="D1328" s="4" t="s">
        <v>235</v>
      </c>
      <c r="E1328" s="4" t="s">
        <v>4679</v>
      </c>
      <c r="F1328" s="4" t="s">
        <v>4680</v>
      </c>
      <c r="G1328" s="4">
        <v>4743</v>
      </c>
      <c r="H1328" s="4" t="s">
        <v>4681</v>
      </c>
      <c r="I1328" s="4">
        <v>135</v>
      </c>
      <c r="J1328" s="4" t="s">
        <v>23</v>
      </c>
      <c r="K1328" s="4" t="s">
        <v>611</v>
      </c>
      <c r="L1328" s="4">
        <v>800000</v>
      </c>
      <c r="M1328" s="4">
        <v>2002</v>
      </c>
      <c r="N1328" s="4">
        <v>7.2</v>
      </c>
      <c r="O1328" s="4">
        <f ca="1">IFERROR(__xludf.DUMMYFUNCTION("IF(Cost_in_dollars!E1328=""USD"",Cost_in_dollars!B1328,Cost_in_dollars!B1328 * GOOGLEFINANCE(""CURRENCY:"" &amp; Cost_in_dollars!E1328 &amp; ""USD""))
"),867792)</f>
        <v>867792</v>
      </c>
      <c r="P1328" s="4">
        <f ca="1">IFERROR(__xludf.DUMMYFUNCTION("IF(Cost_in_dollars!E1328=""USD"",Cost_in_dollars!C1328,Cost_in_dollars!C1328 * GOOGLEFINANCE(""CURRENCY:"" &amp; Cost_in_dollars!E1328 &amp; ""USD""))
"),2249733.40416)</f>
        <v>2249733.4041599999</v>
      </c>
      <c r="Q1328" s="4">
        <f t="shared" ca="1" si="30"/>
        <v>1381941.4041599999</v>
      </c>
      <c r="R1328" s="5" t="str">
        <f t="shared" si="31"/>
        <v>Raising Victor Vargas</v>
      </c>
      <c r="S1328" s="43" t="str">
        <f t="shared" si="32"/>
        <v>Drama</v>
      </c>
    </row>
    <row r="1329" spans="1:19" ht="15.75" customHeight="1" x14ac:dyDescent="0.25">
      <c r="A1329" s="6" t="s">
        <v>4682</v>
      </c>
      <c r="B1329" s="6">
        <v>82</v>
      </c>
      <c r="C1329" s="6">
        <v>36037909</v>
      </c>
      <c r="D1329" s="6" t="s">
        <v>457</v>
      </c>
      <c r="E1329" s="6" t="s">
        <v>4683</v>
      </c>
      <c r="F1329" s="6" t="s">
        <v>4684</v>
      </c>
      <c r="G1329" s="6">
        <v>10132</v>
      </c>
      <c r="H1329" s="6" t="s">
        <v>4685</v>
      </c>
      <c r="I1329" s="6">
        <v>130</v>
      </c>
      <c r="J1329" s="6" t="s">
        <v>23</v>
      </c>
      <c r="K1329" s="6" t="s">
        <v>176</v>
      </c>
      <c r="L1329" s="6">
        <v>60000000</v>
      </c>
      <c r="M1329" s="6">
        <v>2000</v>
      </c>
      <c r="N1329" s="6">
        <v>4.7</v>
      </c>
      <c r="O1329" s="4">
        <f ca="1">IFERROR(__xludf.DUMMYFUNCTION("IF(Cost_in_dollars!E1329=""USD"",Cost_in_dollars!B1329,Cost_in_dollars!B1329 * GOOGLEFINANCE(""CURRENCY:"" &amp; Cost_in_dollars!E1329 &amp; ""USD""))
"),65084400)</f>
        <v>65084400</v>
      </c>
      <c r="P1329" s="4">
        <f ca="1">IFERROR(__xludf.DUMMYFUNCTION("IF(Cost_in_dollars!E1329=""USD"",Cost_in_dollars!C1329,Cost_in_dollars!C1329 * GOOGLEFINANCE(""CURRENCY:"" &amp; Cost_in_dollars!E1329 &amp; ""USD""))
"),39091761.40866)</f>
        <v>39091761.408660002</v>
      </c>
      <c r="Q1329" s="6">
        <f t="shared" ca="1" si="30"/>
        <v>-25992638.591339998</v>
      </c>
      <c r="R1329" s="7" t="str">
        <f t="shared" si="31"/>
        <v>Hanging Up</v>
      </c>
      <c r="S1329" s="43" t="str">
        <f t="shared" si="32"/>
        <v>Comedy</v>
      </c>
    </row>
    <row r="1330" spans="1:19" ht="15.75" customHeight="1" x14ac:dyDescent="0.25">
      <c r="A1330" s="4" t="s">
        <v>1697</v>
      </c>
      <c r="B1330" s="4">
        <v>228</v>
      </c>
      <c r="C1330" s="4">
        <v>20315324</v>
      </c>
      <c r="D1330" s="4" t="s">
        <v>1354</v>
      </c>
      <c r="E1330" s="4" t="s">
        <v>64</v>
      </c>
      <c r="F1330" s="4" t="s">
        <v>4686</v>
      </c>
      <c r="G1330" s="4">
        <v>88542</v>
      </c>
      <c r="H1330" s="4" t="s">
        <v>4687</v>
      </c>
      <c r="I1330" s="4">
        <v>254</v>
      </c>
      <c r="J1330" s="4" t="s">
        <v>23</v>
      </c>
      <c r="K1330" s="4" t="s">
        <v>176</v>
      </c>
      <c r="L1330" s="4">
        <v>75000000</v>
      </c>
      <c r="M1330" s="4">
        <v>2011</v>
      </c>
      <c r="N1330" s="4">
        <v>5.8</v>
      </c>
      <c r="O1330" s="4">
        <f ca="1">IFERROR(__xludf.DUMMYFUNCTION("IF(Cost_in_dollars!E1330=""USD"",Cost_in_dollars!B1330,Cost_in_dollars!B1330 * GOOGLEFINANCE(""CURRENCY:"" &amp; Cost_in_dollars!E1330 &amp; ""USD""))
"),81355500)</f>
        <v>81355500</v>
      </c>
      <c r="P1330" s="4">
        <f ca="1">IFERROR(__xludf.DUMMYFUNCTION("IF(Cost_in_dollars!E1330=""USD"",Cost_in_dollars!C1330,Cost_in_dollars!C1330 * GOOGLEFINANCE(""CURRENCY:"" &amp; Cost_in_dollars!E1330 &amp; ""USD""))
"),22036844.55576)</f>
        <v>22036844.55576</v>
      </c>
      <c r="Q1330" s="4">
        <f t="shared" ca="1" si="30"/>
        <v>-59318655.444240004</v>
      </c>
      <c r="R1330" s="5" t="str">
        <f t="shared" si="31"/>
        <v>The Three Musketeers</v>
      </c>
      <c r="S1330" s="43" t="str">
        <f t="shared" si="32"/>
        <v>Action</v>
      </c>
    </row>
    <row r="1331" spans="1:19" ht="15.75" customHeight="1" x14ac:dyDescent="0.25">
      <c r="A1331" s="6" t="s">
        <v>4505</v>
      </c>
      <c r="B1331" s="6">
        <v>159</v>
      </c>
      <c r="C1331" s="6">
        <v>53021560</v>
      </c>
      <c r="D1331" s="6" t="s">
        <v>162</v>
      </c>
      <c r="E1331" s="6" t="s">
        <v>2925</v>
      </c>
      <c r="F1331" s="6" t="s">
        <v>4688</v>
      </c>
      <c r="G1331" s="6">
        <v>74630</v>
      </c>
      <c r="H1331" s="6" t="s">
        <v>4689</v>
      </c>
      <c r="I1331" s="6">
        <v>156</v>
      </c>
      <c r="J1331" s="6" t="s">
        <v>23</v>
      </c>
      <c r="K1331" s="6" t="s">
        <v>24</v>
      </c>
      <c r="L1331" s="6">
        <v>30000000</v>
      </c>
      <c r="M1331" s="6">
        <v>2010</v>
      </c>
      <c r="N1331" s="6">
        <v>6.5</v>
      </c>
      <c r="O1331" s="4">
        <f ca="1">IFERROR(__xludf.DUMMYFUNCTION("IF(Cost_in_dollars!E1331=""USD"",Cost_in_dollars!B1331,Cost_in_dollars!B1331 * GOOGLEFINANCE(""CURRENCY:"" &amp; Cost_in_dollars!E1331 &amp; ""USD""))
"),30000000)</f>
        <v>30000000</v>
      </c>
      <c r="P1331" s="4">
        <f ca="1">IFERROR(__xludf.DUMMYFUNCTION("IF(Cost_in_dollars!E1331=""USD"",Cost_in_dollars!C1331,Cost_in_dollars!C1331 * GOOGLEFINANCE(""CURRENCY:"" &amp; Cost_in_dollars!E1331 &amp; ""USD""))
"),53021560)</f>
        <v>53021560</v>
      </c>
      <c r="Q1331" s="6">
        <f t="shared" ca="1" si="30"/>
        <v>23021560</v>
      </c>
      <c r="R1331" s="7" t="str">
        <f t="shared" si="31"/>
        <v>Letters to Juliet</v>
      </c>
      <c r="S1331" s="43" t="str">
        <f t="shared" si="32"/>
        <v>Comedy</v>
      </c>
    </row>
    <row r="1332" spans="1:19" ht="15.75" customHeight="1" x14ac:dyDescent="0.25">
      <c r="A1332" s="4" t="s">
        <v>3762</v>
      </c>
      <c r="B1332" s="4">
        <v>323</v>
      </c>
      <c r="C1332" s="4">
        <v>22877808</v>
      </c>
      <c r="D1332" s="4" t="s">
        <v>235</v>
      </c>
      <c r="E1332" s="4" t="s">
        <v>1358</v>
      </c>
      <c r="F1332" s="4" t="s">
        <v>4690</v>
      </c>
      <c r="G1332" s="4">
        <v>152591</v>
      </c>
      <c r="H1332" s="4" t="s">
        <v>4691</v>
      </c>
      <c r="I1332" s="4">
        <v>414</v>
      </c>
      <c r="J1332" s="4" t="s">
        <v>23</v>
      </c>
      <c r="K1332" s="4" t="s">
        <v>24</v>
      </c>
      <c r="L1332" s="4">
        <v>35000000</v>
      </c>
      <c r="M1332" s="4">
        <v>2008</v>
      </c>
      <c r="N1332" s="4">
        <v>7.3</v>
      </c>
      <c r="O1332" s="4">
        <f ca="1">IFERROR(__xludf.DUMMYFUNCTION("IF(Cost_in_dollars!E1332=""USD"",Cost_in_dollars!B1332,Cost_in_dollars!B1332 * GOOGLEFINANCE(""CURRENCY:"" &amp; Cost_in_dollars!E1332 &amp; ""USD""))
"),35000000)</f>
        <v>35000000</v>
      </c>
      <c r="P1332" s="4">
        <f ca="1">IFERROR(__xludf.DUMMYFUNCTION("IF(Cost_in_dollars!E1332=""USD"",Cost_in_dollars!C1332,Cost_in_dollars!C1332 * GOOGLEFINANCE(""CURRENCY:"" &amp; Cost_in_dollars!E1332 &amp; ""USD""))
"),22877808)</f>
        <v>22877808</v>
      </c>
      <c r="Q1332" s="4">
        <f t="shared" ca="1" si="30"/>
        <v>-12122192</v>
      </c>
      <c r="R1332" s="5" t="str">
        <f t="shared" si="31"/>
        <v>Revolutionary Road</v>
      </c>
      <c r="S1332" s="43" t="str">
        <f t="shared" si="32"/>
        <v>Drama</v>
      </c>
    </row>
    <row r="1333" spans="1:19" ht="15.75" customHeight="1" x14ac:dyDescent="0.25">
      <c r="A1333" s="6" t="s">
        <v>4692</v>
      </c>
      <c r="B1333" s="6">
        <v>82</v>
      </c>
      <c r="C1333" s="6">
        <v>91443253</v>
      </c>
      <c r="D1333" s="6" t="s">
        <v>362</v>
      </c>
      <c r="E1333" s="6" t="s">
        <v>4693</v>
      </c>
      <c r="F1333" s="6" t="s">
        <v>4694</v>
      </c>
      <c r="G1333" s="6">
        <v>21034</v>
      </c>
      <c r="H1333" s="6" t="s">
        <v>4695</v>
      </c>
      <c r="I1333" s="6">
        <v>153</v>
      </c>
      <c r="J1333" s="6" t="s">
        <v>23</v>
      </c>
      <c r="K1333" s="6" t="s">
        <v>24</v>
      </c>
      <c r="L1333" s="6">
        <v>12000000</v>
      </c>
      <c r="M1333" s="6">
        <v>2014</v>
      </c>
      <c r="N1333" s="6">
        <v>5.8</v>
      </c>
      <c r="O1333" s="4">
        <f ca="1">IFERROR(__xludf.DUMMYFUNCTION("IF(Cost_in_dollars!E1333=""USD"",Cost_in_dollars!B1333,Cost_in_dollars!B1333 * GOOGLEFINANCE(""CURRENCY:"" &amp; Cost_in_dollars!E1333 &amp; ""USD""))
"),12000000)</f>
        <v>12000000</v>
      </c>
      <c r="P1333" s="4">
        <f ca="1">IFERROR(__xludf.DUMMYFUNCTION("IF(Cost_in_dollars!E1333=""USD"",Cost_in_dollars!C1333,Cost_in_dollars!C1333 * GOOGLEFINANCE(""CURRENCY:"" &amp; Cost_in_dollars!E1333 &amp; ""USD""))
"),91443253)</f>
        <v>91443253</v>
      </c>
      <c r="Q1333" s="6">
        <f t="shared" ca="1" si="30"/>
        <v>79443253</v>
      </c>
      <c r="R1333" s="7" t="str">
        <f t="shared" si="31"/>
        <v>Heaven Is for Real</v>
      </c>
      <c r="S1333" s="43" t="str">
        <f t="shared" si="32"/>
        <v>Biography</v>
      </c>
    </row>
    <row r="1334" spans="1:19" ht="15.75" customHeight="1" x14ac:dyDescent="0.25">
      <c r="A1334" s="4" t="s">
        <v>4696</v>
      </c>
      <c r="B1334" s="4">
        <v>546</v>
      </c>
      <c r="C1334" s="4">
        <v>16377274</v>
      </c>
      <c r="D1334" s="4" t="s">
        <v>102</v>
      </c>
      <c r="E1334" s="4" t="s">
        <v>4697</v>
      </c>
      <c r="F1334" s="4" t="s">
        <v>4698</v>
      </c>
      <c r="G1334" s="4">
        <v>105144</v>
      </c>
      <c r="H1334" s="4" t="s">
        <v>4699</v>
      </c>
      <c r="I1334" s="4">
        <v>405</v>
      </c>
      <c r="J1334" s="4" t="s">
        <v>23</v>
      </c>
      <c r="K1334" s="4" t="s">
        <v>24</v>
      </c>
      <c r="L1334" s="4">
        <v>32000000</v>
      </c>
      <c r="M1334" s="4">
        <v>2012</v>
      </c>
      <c r="N1334" s="4">
        <v>7.1</v>
      </c>
      <c r="O1334" s="4">
        <f ca="1">IFERROR(__xludf.DUMMYFUNCTION("IF(Cost_in_dollars!E1334=""USD"",Cost_in_dollars!B1334,Cost_in_dollars!B1334 * GOOGLEFINANCE(""CURRENCY:"" &amp; Cost_in_dollars!E1334 &amp; ""USD""))
"),32000000)</f>
        <v>32000000</v>
      </c>
      <c r="P1334" s="4">
        <f ca="1">IFERROR(__xludf.DUMMYFUNCTION("IF(Cost_in_dollars!E1334=""USD"",Cost_in_dollars!C1334,Cost_in_dollars!C1334 * GOOGLEFINANCE(""CURRENCY:"" &amp; Cost_in_dollars!E1334 &amp; ""USD""))
"),16377274)</f>
        <v>16377274</v>
      </c>
      <c r="Q1334" s="4">
        <f t="shared" ca="1" si="30"/>
        <v>-15622726</v>
      </c>
      <c r="R1334" s="5" t="str">
        <f t="shared" si="31"/>
        <v>The Master</v>
      </c>
      <c r="S1334" s="43" t="str">
        <f t="shared" si="32"/>
        <v>Drama</v>
      </c>
    </row>
    <row r="1335" spans="1:19" ht="15.75" customHeight="1" x14ac:dyDescent="0.25">
      <c r="A1335" s="6" t="s">
        <v>884</v>
      </c>
      <c r="B1335" s="6">
        <v>84</v>
      </c>
      <c r="C1335" s="6">
        <v>41895491</v>
      </c>
      <c r="D1335" s="6" t="s">
        <v>2452</v>
      </c>
      <c r="E1335" s="6" t="s">
        <v>1410</v>
      </c>
      <c r="F1335" s="6" t="s">
        <v>4700</v>
      </c>
      <c r="G1335" s="6">
        <v>63274</v>
      </c>
      <c r="H1335" s="6" t="s">
        <v>4701</v>
      </c>
      <c r="I1335" s="6">
        <v>170</v>
      </c>
      <c r="J1335" s="6" t="s">
        <v>23</v>
      </c>
      <c r="K1335" s="6" t="s">
        <v>24</v>
      </c>
      <c r="L1335" s="6">
        <v>24000000</v>
      </c>
      <c r="M1335" s="6">
        <v>1991</v>
      </c>
      <c r="N1335" s="6">
        <v>7.6</v>
      </c>
      <c r="O1335" s="4">
        <f ca="1">IFERROR(__xludf.DUMMYFUNCTION("IF(Cost_in_dollars!E1335=""USD"",Cost_in_dollars!B1335,Cost_in_dollars!B1335 * GOOGLEFINANCE(""CURRENCY:"" &amp; Cost_in_dollars!E1335 &amp; ""USD""))
"),24000000)</f>
        <v>24000000</v>
      </c>
      <c r="P1335" s="4">
        <f ca="1">IFERROR(__xludf.DUMMYFUNCTION("IF(Cost_in_dollars!E1335=""USD"",Cost_in_dollars!C1335,Cost_in_dollars!C1335 * GOOGLEFINANCE(""CURRENCY:"" &amp; Cost_in_dollars!E1335 &amp; ""USD""))
"),41895491)</f>
        <v>41895491</v>
      </c>
      <c r="Q1335" s="6">
        <f t="shared" ca="1" si="30"/>
        <v>17895491</v>
      </c>
      <c r="R1335" s="7" t="str">
        <f t="shared" si="31"/>
        <v>The Fisher King</v>
      </c>
      <c r="S1335" s="43" t="str">
        <f t="shared" si="32"/>
        <v>Comedy</v>
      </c>
    </row>
    <row r="1336" spans="1:19" ht="15.75" customHeight="1" x14ac:dyDescent="0.25">
      <c r="A1336" s="4" t="s">
        <v>187</v>
      </c>
      <c r="B1336" s="4">
        <v>204</v>
      </c>
      <c r="C1336" s="4">
        <v>38400000</v>
      </c>
      <c r="D1336" s="4" t="s">
        <v>851</v>
      </c>
      <c r="E1336" s="4" t="s">
        <v>189</v>
      </c>
      <c r="F1336" s="4" t="s">
        <v>4702</v>
      </c>
      <c r="G1336" s="4">
        <v>600266</v>
      </c>
      <c r="H1336" s="4" t="s">
        <v>4703</v>
      </c>
      <c r="I1336" s="4">
        <v>692</v>
      </c>
      <c r="J1336" s="4" t="s">
        <v>23</v>
      </c>
      <c r="K1336" s="4" t="s">
        <v>133</v>
      </c>
      <c r="L1336" s="4">
        <v>6500000</v>
      </c>
      <c r="M1336" s="4">
        <v>1984</v>
      </c>
      <c r="N1336" s="4">
        <v>8.1</v>
      </c>
      <c r="O1336" s="4">
        <f ca="1">IFERROR(__xludf.DUMMYFUNCTION("IF(Cost_in_dollars!E1336=""USD"",Cost_in_dollars!B1336,Cost_in_dollars!B1336 * GOOGLEFINANCE(""CURRENCY:"" &amp; Cost_in_dollars!E1336 &amp; ""USD""))
"),8355099.99999999)</f>
        <v>8355099.9999999898</v>
      </c>
      <c r="P1336" s="4">
        <f ca="1">IFERROR(__xludf.DUMMYFUNCTION("IF(Cost_in_dollars!E1336=""USD"",Cost_in_dollars!C1336,Cost_in_dollars!C1336 * GOOGLEFINANCE(""CURRENCY:"" &amp; Cost_in_dollars!E1336 &amp; ""USD""))
"),49359359.9999999)</f>
        <v>49359359.999999903</v>
      </c>
      <c r="Q1336" s="4">
        <f t="shared" ca="1" si="30"/>
        <v>41004259.999999911</v>
      </c>
      <c r="R1336" s="5" t="str">
        <f t="shared" si="31"/>
        <v>The Terminator</v>
      </c>
      <c r="S1336" s="43" t="str">
        <f t="shared" si="32"/>
        <v>Action</v>
      </c>
    </row>
    <row r="1337" spans="1:19" ht="15.75" customHeight="1" x14ac:dyDescent="0.25">
      <c r="A1337" s="6" t="s">
        <v>1231</v>
      </c>
      <c r="B1337" s="6">
        <v>66</v>
      </c>
      <c r="C1337" s="6">
        <v>50000000</v>
      </c>
      <c r="D1337" s="6" t="s">
        <v>4704</v>
      </c>
      <c r="E1337" s="6" t="s">
        <v>4705</v>
      </c>
      <c r="F1337" s="6" t="s">
        <v>4706</v>
      </c>
      <c r="G1337" s="6">
        <v>29839</v>
      </c>
      <c r="H1337" s="6" t="s">
        <v>4707</v>
      </c>
      <c r="I1337" s="6">
        <v>150</v>
      </c>
      <c r="J1337" s="6" t="s">
        <v>23</v>
      </c>
      <c r="K1337" s="6" t="s">
        <v>24</v>
      </c>
      <c r="L1337" s="6">
        <v>9000000</v>
      </c>
      <c r="M1337" s="6">
        <v>1971</v>
      </c>
      <c r="N1337" s="6">
        <v>8</v>
      </c>
      <c r="O1337" s="4">
        <f ca="1">IFERROR(__xludf.DUMMYFUNCTION("IF(Cost_in_dollars!E1337=""USD"",Cost_in_dollars!B1337,Cost_in_dollars!B1337 * GOOGLEFINANCE(""CURRENCY:"" &amp; Cost_in_dollars!E1337 &amp; ""USD""))
"),9000000)</f>
        <v>9000000</v>
      </c>
      <c r="P1337" s="4">
        <f ca="1">IFERROR(__xludf.DUMMYFUNCTION("IF(Cost_in_dollars!E1337=""USD"",Cost_in_dollars!C1337,Cost_in_dollars!C1337 * GOOGLEFINANCE(""CURRENCY:"" &amp; Cost_in_dollars!E1337 &amp; ""USD""))
"),50000000)</f>
        <v>50000000</v>
      </c>
      <c r="Q1337" s="6">
        <f t="shared" ca="1" si="30"/>
        <v>41000000</v>
      </c>
      <c r="R1337" s="7" t="str">
        <f t="shared" si="31"/>
        <v>Fiddler on the Roof</v>
      </c>
      <c r="S1337" s="43" t="str">
        <f t="shared" si="32"/>
        <v>Drama</v>
      </c>
    </row>
    <row r="1338" spans="1:19" ht="15.75" customHeight="1" x14ac:dyDescent="0.25">
      <c r="A1338" s="4" t="s">
        <v>4708</v>
      </c>
      <c r="B1338" s="4">
        <v>19</v>
      </c>
      <c r="C1338" s="4">
        <v>27979400</v>
      </c>
      <c r="D1338" s="4" t="s">
        <v>268</v>
      </c>
      <c r="E1338" s="4" t="s">
        <v>1764</v>
      </c>
      <c r="F1338" s="4" t="s">
        <v>4709</v>
      </c>
      <c r="G1338" s="4">
        <v>37611</v>
      </c>
      <c r="H1338" s="4" t="s">
        <v>4710</v>
      </c>
      <c r="I1338" s="4">
        <v>72</v>
      </c>
      <c r="J1338" s="4" t="s">
        <v>23</v>
      </c>
      <c r="K1338" s="4" t="s">
        <v>24</v>
      </c>
      <c r="L1338" s="4">
        <v>8200000</v>
      </c>
      <c r="M1338" s="4">
        <v>1993</v>
      </c>
      <c r="N1338" s="4">
        <v>6.1</v>
      </c>
      <c r="O1338" s="4">
        <f ca="1">IFERROR(__xludf.DUMMYFUNCTION("IF(Cost_in_dollars!E1338=""USD"",Cost_in_dollars!B1338,Cost_in_dollars!B1338 * GOOGLEFINANCE(""CURRENCY:"" &amp; Cost_in_dollars!E1338 &amp; ""USD""))
"),8200000)</f>
        <v>8200000</v>
      </c>
      <c r="P1338" s="4">
        <f ca="1">IFERROR(__xludf.DUMMYFUNCTION("IF(Cost_in_dollars!E1338=""USD"",Cost_in_dollars!C1338,Cost_in_dollars!C1338 * GOOGLEFINANCE(""CURRENCY:"" &amp; Cost_in_dollars!E1338 &amp; ""USD""))
"),27979400)</f>
        <v>27979400</v>
      </c>
      <c r="Q1338" s="4">
        <f t="shared" ca="1" si="30"/>
        <v>19779400</v>
      </c>
      <c r="R1338" s="5" t="str">
        <f t="shared" si="31"/>
        <v>Loaded Weapon 1</v>
      </c>
      <c r="S1338" s="43" t="str">
        <f t="shared" si="32"/>
        <v>Action</v>
      </c>
    </row>
    <row r="1339" spans="1:19" ht="15.75" customHeight="1" x14ac:dyDescent="0.25">
      <c r="A1339" s="6" t="s">
        <v>4711</v>
      </c>
      <c r="B1339" s="6">
        <v>135</v>
      </c>
      <c r="C1339" s="6">
        <v>3432342</v>
      </c>
      <c r="D1339" s="6" t="s">
        <v>4712</v>
      </c>
      <c r="E1339" s="6" t="s">
        <v>4713</v>
      </c>
      <c r="F1339" s="6" t="s">
        <v>4714</v>
      </c>
      <c r="G1339" s="6">
        <v>24921</v>
      </c>
      <c r="H1339" s="6" t="s">
        <v>4715</v>
      </c>
      <c r="I1339" s="6">
        <v>166</v>
      </c>
      <c r="J1339" s="6" t="s">
        <v>661</v>
      </c>
      <c r="K1339" s="6" t="s">
        <v>627</v>
      </c>
      <c r="L1339" s="6">
        <v>6000000</v>
      </c>
      <c r="M1339" s="6">
        <v>2003</v>
      </c>
      <c r="N1339" s="6">
        <v>7.7</v>
      </c>
      <c r="O1339" s="4">
        <f ca="1">IFERROR(__xludf.DUMMYFUNCTION("IF(Cost_in_dollars!E1339=""USD"",Cost_in_dollars!B1339,Cost_in_dollars!B1339 * GOOGLEFINANCE(""CURRENCY:"" &amp; Cost_in_dollars!E1339 &amp; ""USD""))
"),4340430)</f>
        <v>4340430</v>
      </c>
      <c r="P1339" s="4">
        <f ca="1">IFERROR(__xludf.DUMMYFUNCTION("IF(Cost_in_dollars!E1339=""USD"",Cost_in_dollars!C1339,Cost_in_dollars!C1339 * GOOGLEFINANCE(""CURRENCY:"" &amp; Cost_in_dollars!E1339 &amp; ""USD""))
"),2482973.36450999)</f>
        <v>2482973.36450999</v>
      </c>
      <c r="Q1339" s="6">
        <f t="shared" ca="1" si="30"/>
        <v>-1857456.63549001</v>
      </c>
      <c r="R1339" s="7" t="str">
        <f t="shared" si="31"/>
        <v>The Barbarian Invasions</v>
      </c>
      <c r="S1339" s="43" t="str">
        <f t="shared" si="32"/>
        <v>Comedy</v>
      </c>
    </row>
    <row r="1340" spans="1:19" ht="15.75" customHeight="1" x14ac:dyDescent="0.25">
      <c r="A1340" s="4" t="s">
        <v>4716</v>
      </c>
      <c r="B1340" s="4">
        <v>33</v>
      </c>
      <c r="C1340" s="4">
        <v>4109095</v>
      </c>
      <c r="D1340" s="4" t="s">
        <v>4717</v>
      </c>
      <c r="E1340" s="4" t="s">
        <v>4252</v>
      </c>
      <c r="F1340" s="4" t="s">
        <v>4718</v>
      </c>
      <c r="G1340" s="4">
        <v>8239</v>
      </c>
      <c r="H1340" s="4" t="s">
        <v>4719</v>
      </c>
      <c r="I1340" s="4">
        <v>92</v>
      </c>
      <c r="J1340" s="4" t="s">
        <v>23</v>
      </c>
      <c r="K1340" s="4" t="s">
        <v>24</v>
      </c>
      <c r="L1340" s="4">
        <v>3000000</v>
      </c>
      <c r="M1340" s="4">
        <v>1996</v>
      </c>
      <c r="N1340" s="4">
        <v>6</v>
      </c>
      <c r="O1340" s="4">
        <f ca="1">IFERROR(__xludf.DUMMYFUNCTION("IF(Cost_in_dollars!E1340=""USD"",Cost_in_dollars!B1340,Cost_in_dollars!B1340 * GOOGLEFINANCE(""CURRENCY:"" &amp; Cost_in_dollars!E1340 &amp; ""USD""))
"),3000000)</f>
        <v>3000000</v>
      </c>
      <c r="P1340" s="4">
        <f ca="1">IFERROR(__xludf.DUMMYFUNCTION("IF(Cost_in_dollars!E1340=""USD"",Cost_in_dollars!C1340,Cost_in_dollars!C1340 * GOOGLEFINANCE(""CURRENCY:"" &amp; Cost_in_dollars!E1340 &amp; ""USD""))
"),4109095)</f>
        <v>4109095</v>
      </c>
      <c r="Q1340" s="4">
        <f t="shared" ca="1" si="30"/>
        <v>1109095</v>
      </c>
      <c r="R1340" s="5" t="str">
        <f t="shared" si="31"/>
        <v>Kama Sutra: A Tale of Love</v>
      </c>
      <c r="S1340" s="43" t="str">
        <f t="shared" si="32"/>
        <v>Crime</v>
      </c>
    </row>
    <row r="1341" spans="1:19" ht="15.75" customHeight="1" x14ac:dyDescent="0.25">
      <c r="A1341" s="6" t="s">
        <v>1716</v>
      </c>
      <c r="B1341" s="6">
        <v>350</v>
      </c>
      <c r="C1341" s="6">
        <v>179883016</v>
      </c>
      <c r="D1341" s="6" t="s">
        <v>452</v>
      </c>
      <c r="E1341" s="6" t="s">
        <v>977</v>
      </c>
      <c r="F1341" s="6" t="s">
        <v>4720</v>
      </c>
      <c r="G1341" s="6">
        <v>361924</v>
      </c>
      <c r="H1341" s="6" t="s">
        <v>4721</v>
      </c>
      <c r="I1341" s="6">
        <v>641</v>
      </c>
      <c r="J1341" s="6" t="s">
        <v>23</v>
      </c>
      <c r="K1341" s="6" t="s">
        <v>24</v>
      </c>
      <c r="L1341" s="6">
        <v>150000000</v>
      </c>
      <c r="M1341" s="6">
        <v>2009</v>
      </c>
      <c r="N1341" s="6">
        <v>6.7</v>
      </c>
      <c r="O1341" s="4">
        <f ca="1">IFERROR(__xludf.DUMMYFUNCTION("IF(Cost_in_dollars!E1341=""USD"",Cost_in_dollars!B1341,Cost_in_dollars!B1341 * GOOGLEFINANCE(""CURRENCY:"" &amp; Cost_in_dollars!E1341 &amp; ""USD""))
"),150000000)</f>
        <v>150000000</v>
      </c>
      <c r="P1341" s="4">
        <f ca="1">IFERROR(__xludf.DUMMYFUNCTION("IF(Cost_in_dollars!E1341=""USD"",Cost_in_dollars!C1341,Cost_in_dollars!C1341 * GOOGLEFINANCE(""CURRENCY:"" &amp; Cost_in_dollars!E1341 &amp; ""USD""))
"),179883016)</f>
        <v>179883016</v>
      </c>
      <c r="Q1341" s="6">
        <f t="shared" ca="1" si="30"/>
        <v>29883016</v>
      </c>
      <c r="R1341" s="7" t="str">
        <f t="shared" si="31"/>
        <v>X-Men Origins: Wolverine</v>
      </c>
      <c r="S1341" s="43" t="str">
        <f t="shared" si="32"/>
        <v>Action</v>
      </c>
    </row>
    <row r="1342" spans="1:19" ht="15.75" customHeight="1" x14ac:dyDescent="0.25">
      <c r="A1342" s="4" t="s">
        <v>4722</v>
      </c>
      <c r="B1342" s="4">
        <v>23</v>
      </c>
      <c r="C1342" s="4">
        <v>25842000</v>
      </c>
      <c r="D1342" s="4" t="s">
        <v>890</v>
      </c>
      <c r="E1342" s="4" t="s">
        <v>240</v>
      </c>
      <c r="F1342" s="4" t="s">
        <v>4723</v>
      </c>
      <c r="G1342" s="4">
        <v>13455</v>
      </c>
      <c r="H1342" s="4" t="s">
        <v>4724</v>
      </c>
      <c r="I1342" s="4">
        <v>87</v>
      </c>
      <c r="J1342" s="4" t="s">
        <v>23</v>
      </c>
      <c r="K1342" s="4" t="s">
        <v>133</v>
      </c>
      <c r="L1342" s="4">
        <v>22000000</v>
      </c>
      <c r="M1342" s="4">
        <v>1993</v>
      </c>
      <c r="N1342" s="4">
        <v>7.4</v>
      </c>
      <c r="O1342" s="4">
        <f ca="1">IFERROR(__xludf.DUMMYFUNCTION("IF(Cost_in_dollars!E1342=""USD"",Cost_in_dollars!B1342,Cost_in_dollars!B1342 * GOOGLEFINANCE(""CURRENCY:"" &amp; Cost_in_dollars!E1342 &amp; ""USD""))
"),28278799.9999999)</f>
        <v>28278799.999999899</v>
      </c>
      <c r="P1342" s="4">
        <f ca="1">IFERROR(__xludf.DUMMYFUNCTION("IF(Cost_in_dollars!E1342=""USD"",Cost_in_dollars!C1342,Cost_in_dollars!C1342 * GOOGLEFINANCE(""CURRENCY:"" &amp; Cost_in_dollars!E1342 &amp; ""USD""))
"),33217306.7999999)</f>
        <v>33217306.7999999</v>
      </c>
      <c r="Q1342" s="4">
        <f t="shared" ca="1" si="30"/>
        <v>4938506.8000000007</v>
      </c>
      <c r="R1342" s="5" t="str">
        <f t="shared" si="31"/>
        <v>Shadowlands</v>
      </c>
      <c r="S1342" s="43" t="str">
        <f t="shared" si="32"/>
        <v>Biography</v>
      </c>
    </row>
    <row r="1343" spans="1:19" ht="15.75" customHeight="1" x14ac:dyDescent="0.25">
      <c r="A1343" s="6" t="s">
        <v>1959</v>
      </c>
      <c r="B1343" s="6">
        <v>210</v>
      </c>
      <c r="C1343" s="6">
        <v>13214030</v>
      </c>
      <c r="D1343" s="6" t="s">
        <v>58</v>
      </c>
      <c r="E1343" s="6" t="s">
        <v>4725</v>
      </c>
      <c r="F1343" s="6" t="s">
        <v>4726</v>
      </c>
      <c r="G1343" s="6">
        <v>60516</v>
      </c>
      <c r="H1343" s="6" t="s">
        <v>4727</v>
      </c>
      <c r="I1343" s="6">
        <v>147</v>
      </c>
      <c r="J1343" s="6" t="s">
        <v>23</v>
      </c>
      <c r="K1343" s="6" t="s">
        <v>24</v>
      </c>
      <c r="L1343" s="6">
        <v>20000000</v>
      </c>
      <c r="M1343" s="6">
        <v>2008</v>
      </c>
      <c r="N1343" s="6">
        <v>6.7</v>
      </c>
      <c r="O1343" s="4">
        <f ca="1">IFERROR(__xludf.DUMMYFUNCTION("IF(Cost_in_dollars!E1343=""USD"",Cost_in_dollars!B1343,Cost_in_dollars!B1343 * GOOGLEFINANCE(""CURRENCY:"" &amp; Cost_in_dollars!E1343 &amp; ""USD""))
"),20000000)</f>
        <v>20000000</v>
      </c>
      <c r="P1343" s="4">
        <f ca="1">IFERROR(__xludf.DUMMYFUNCTION("IF(Cost_in_dollars!E1343=""USD"",Cost_in_dollars!C1343,Cost_in_dollars!C1343 * GOOGLEFINANCE(""CURRENCY:"" &amp; Cost_in_dollars!E1343 &amp; ""USD""))
"),13214030)</f>
        <v>13214030</v>
      </c>
      <c r="Q1343" s="6">
        <f t="shared" ca="1" si="30"/>
        <v>-6785970</v>
      </c>
      <c r="R1343" s="7" t="str">
        <f t="shared" si="31"/>
        <v>Ghost Town</v>
      </c>
      <c r="S1343" s="43" t="str">
        <f t="shared" si="32"/>
        <v>Comedy</v>
      </c>
    </row>
    <row r="1344" spans="1:19" ht="15.75" customHeight="1" x14ac:dyDescent="0.25">
      <c r="A1344" s="4" t="s">
        <v>4728</v>
      </c>
      <c r="B1344" s="4">
        <v>106</v>
      </c>
      <c r="C1344" s="4">
        <v>128978</v>
      </c>
      <c r="D1344" s="4" t="s">
        <v>864</v>
      </c>
      <c r="E1344" s="4" t="s">
        <v>1571</v>
      </c>
      <c r="F1344" s="4" t="s">
        <v>4729</v>
      </c>
      <c r="G1344" s="4">
        <v>22897</v>
      </c>
      <c r="H1344" s="4" t="s">
        <v>4730</v>
      </c>
      <c r="I1344" s="4">
        <v>61</v>
      </c>
      <c r="J1344" s="4" t="s">
        <v>3279</v>
      </c>
      <c r="K1344" s="4" t="s">
        <v>160</v>
      </c>
      <c r="L1344" s="4">
        <v>40000000</v>
      </c>
      <c r="M1344" s="4">
        <v>2007</v>
      </c>
      <c r="N1344" s="4">
        <v>7.1</v>
      </c>
      <c r="O1344" s="4">
        <f ca="1">IFERROR(__xludf.DUMMYFUNCTION("IF(Cost_in_dollars!E1344=""USD"",Cost_in_dollars!B1344,Cost_in_dollars!B1344 * GOOGLEFINANCE(""CURRENCY:"" &amp; Cost_in_dollars!E1344 &amp; ""USD""))
"),5123772)</f>
        <v>5123772</v>
      </c>
      <c r="P1344" s="4">
        <f ca="1">IFERROR(__xludf.DUMMYFUNCTION("IF(Cost_in_dollars!E1344=""USD"",Cost_in_dollars!C1344,Cost_in_dollars!C1344 * GOOGLEFINANCE(""CURRENCY:"" &amp; Cost_in_dollars!E1344 &amp; ""USD""))
"),16521.3466253999)</f>
        <v>16521.346625399899</v>
      </c>
      <c r="Q1344" s="4">
        <f t="shared" ca="1" si="30"/>
        <v>-5107250.6533746002</v>
      </c>
      <c r="R1344" s="5" t="str">
        <f t="shared" si="31"/>
        <v>The Warlords</v>
      </c>
      <c r="S1344" s="43" t="str">
        <f t="shared" si="32"/>
        <v>Action</v>
      </c>
    </row>
    <row r="1345" spans="1:19" ht="15.75" customHeight="1" x14ac:dyDescent="0.25">
      <c r="A1345" s="6" t="s">
        <v>4731</v>
      </c>
      <c r="B1345" s="6">
        <v>459</v>
      </c>
      <c r="C1345" s="6">
        <v>80034302</v>
      </c>
      <c r="D1345" s="6" t="s">
        <v>4556</v>
      </c>
      <c r="E1345" s="6" t="s">
        <v>2103</v>
      </c>
      <c r="F1345" s="6" t="s">
        <v>4732</v>
      </c>
      <c r="G1345" s="6">
        <v>296787</v>
      </c>
      <c r="H1345" s="6" t="s">
        <v>4733</v>
      </c>
      <c r="I1345" s="6">
        <v>2192</v>
      </c>
      <c r="J1345" s="6" t="s">
        <v>23</v>
      </c>
      <c r="K1345" s="6" t="s">
        <v>24</v>
      </c>
      <c r="L1345" s="6">
        <v>25000000</v>
      </c>
      <c r="M1345" s="6">
        <v>2008</v>
      </c>
      <c r="N1345" s="6">
        <v>7</v>
      </c>
      <c r="O1345" s="4">
        <f ca="1">IFERROR(__xludf.DUMMYFUNCTION("IF(Cost_in_dollars!E1345=""USD"",Cost_in_dollars!B1345,Cost_in_dollars!B1345 * GOOGLEFINANCE(""CURRENCY:"" &amp; Cost_in_dollars!E1345 &amp; ""USD""))
"),25000000)</f>
        <v>25000000</v>
      </c>
      <c r="P1345" s="4">
        <f ca="1">IFERROR(__xludf.DUMMYFUNCTION("IF(Cost_in_dollars!E1345=""USD"",Cost_in_dollars!C1345,Cost_in_dollars!C1345 * GOOGLEFINANCE(""CURRENCY:"" &amp; Cost_in_dollars!E1345 &amp; ""USD""))
"),80034302)</f>
        <v>80034302</v>
      </c>
      <c r="Q1345" s="6">
        <f t="shared" ca="1" si="30"/>
        <v>55034302</v>
      </c>
      <c r="R1345" s="7" t="str">
        <f t="shared" si="31"/>
        <v>Cloverfield</v>
      </c>
      <c r="S1345" s="43" t="str">
        <f t="shared" si="32"/>
        <v>Action</v>
      </c>
    </row>
    <row r="1346" spans="1:19" ht="15.75" customHeight="1" x14ac:dyDescent="0.25">
      <c r="A1346" s="4" t="s">
        <v>880</v>
      </c>
      <c r="B1346" s="4">
        <v>355</v>
      </c>
      <c r="C1346" s="4">
        <v>40983001</v>
      </c>
      <c r="D1346" s="4" t="s">
        <v>116</v>
      </c>
      <c r="E1346" s="4" t="s">
        <v>2524</v>
      </c>
      <c r="F1346" s="4" t="s">
        <v>4734</v>
      </c>
      <c r="G1346" s="4">
        <v>181025</v>
      </c>
      <c r="H1346" s="4" t="s">
        <v>4735</v>
      </c>
      <c r="I1346" s="4">
        <v>336</v>
      </c>
      <c r="J1346" s="4" t="s">
        <v>23</v>
      </c>
      <c r="K1346" s="4" t="s">
        <v>24</v>
      </c>
      <c r="L1346" s="4">
        <v>7000000</v>
      </c>
      <c r="M1346" s="4">
        <v>2012</v>
      </c>
      <c r="N1346" s="4">
        <v>7.7</v>
      </c>
      <c r="O1346" s="4">
        <f ca="1">IFERROR(__xludf.DUMMYFUNCTION("IF(Cost_in_dollars!E1346=""USD"",Cost_in_dollars!B1346,Cost_in_dollars!B1346 * GOOGLEFINANCE(""CURRENCY:"" &amp; Cost_in_dollars!E1346 &amp; ""USD""))
"),7000000)</f>
        <v>7000000</v>
      </c>
      <c r="P1346" s="4">
        <f ca="1">IFERROR(__xludf.DUMMYFUNCTION("IF(Cost_in_dollars!E1346=""USD"",Cost_in_dollars!C1346,Cost_in_dollars!C1346 * GOOGLEFINANCE(""CURRENCY:"" &amp; Cost_in_dollars!E1346 &amp; ""USD""))
"),40983001)</f>
        <v>40983001</v>
      </c>
      <c r="Q1346" s="4">
        <f t="shared" ca="1" si="30"/>
        <v>33983001</v>
      </c>
      <c r="R1346" s="5" t="str">
        <f t="shared" si="31"/>
        <v>End of Watch</v>
      </c>
      <c r="S1346" s="43" t="str">
        <f t="shared" ref="S1346:S1409" si="33">IF(ISNUMBER(FIND("|", D1346)), LEFT(D1346, FIND("|", D1346) - 1), D1346)</f>
        <v>Crime</v>
      </c>
    </row>
    <row r="1347" spans="1:19" ht="15.75" customHeight="1" x14ac:dyDescent="0.25">
      <c r="A1347" s="6" t="s">
        <v>4736</v>
      </c>
      <c r="B1347" s="6">
        <v>189</v>
      </c>
      <c r="C1347" s="6">
        <v>27736779</v>
      </c>
      <c r="D1347" s="6" t="s">
        <v>93</v>
      </c>
      <c r="E1347" s="6" t="s">
        <v>4737</v>
      </c>
      <c r="F1347" s="6" t="s">
        <v>4738</v>
      </c>
      <c r="G1347" s="6">
        <v>25210</v>
      </c>
      <c r="H1347" s="6" t="s">
        <v>4739</v>
      </c>
      <c r="I1347" s="6">
        <v>126</v>
      </c>
      <c r="J1347" s="6" t="s">
        <v>23</v>
      </c>
      <c r="K1347" s="6" t="s">
        <v>24</v>
      </c>
      <c r="L1347" s="6">
        <v>10000000</v>
      </c>
      <c r="M1347" s="6">
        <v>2015</v>
      </c>
      <c r="N1347" s="6">
        <v>5.2</v>
      </c>
      <c r="O1347" s="4">
        <f ca="1">IFERROR(__xludf.DUMMYFUNCTION("IF(Cost_in_dollars!E1347=""USD"",Cost_in_dollars!B1347,Cost_in_dollars!B1347 * GOOGLEFINANCE(""CURRENCY:"" &amp; Cost_in_dollars!E1347 &amp; ""USD""))
"),10000000)</f>
        <v>10000000</v>
      </c>
      <c r="P1347" s="4">
        <f ca="1">IFERROR(__xludf.DUMMYFUNCTION("IF(Cost_in_dollars!E1347=""USD"",Cost_in_dollars!C1347,Cost_in_dollars!C1347 * GOOGLEFINANCE(""CURRENCY:"" &amp; Cost_in_dollars!E1347 &amp; ""USD""))
"),27736779)</f>
        <v>27736779</v>
      </c>
      <c r="Q1347" s="6">
        <f t="shared" ca="1" si="30"/>
        <v>17736779</v>
      </c>
      <c r="R1347" s="7" t="str">
        <f t="shared" si="31"/>
        <v>Sinister 2</v>
      </c>
      <c r="S1347" s="43" t="str">
        <f t="shared" si="33"/>
        <v>Horror</v>
      </c>
    </row>
    <row r="1348" spans="1:19" ht="15.75" customHeight="1" x14ac:dyDescent="0.25">
      <c r="A1348" s="4" t="s">
        <v>4740</v>
      </c>
      <c r="B1348" s="4">
        <v>93</v>
      </c>
      <c r="C1348" s="4">
        <v>16088610</v>
      </c>
      <c r="D1348" s="4" t="s">
        <v>2073</v>
      </c>
      <c r="E1348" s="4" t="s">
        <v>900</v>
      </c>
      <c r="F1348" s="4" t="s">
        <v>4741</v>
      </c>
      <c r="G1348" s="4">
        <v>10417</v>
      </c>
      <c r="H1348" s="4" t="s">
        <v>4742</v>
      </c>
      <c r="I1348" s="4">
        <v>39</v>
      </c>
      <c r="J1348" s="4" t="s">
        <v>23</v>
      </c>
      <c r="K1348" s="4" t="s">
        <v>24</v>
      </c>
      <c r="L1348" s="4">
        <v>55000000</v>
      </c>
      <c r="M1348" s="4">
        <v>2009</v>
      </c>
      <c r="N1348" s="4">
        <v>5.6</v>
      </c>
      <c r="O1348" s="4">
        <f ca="1">IFERROR(__xludf.DUMMYFUNCTION("IF(Cost_in_dollars!E1348=""USD"",Cost_in_dollars!B1348,Cost_in_dollars!B1348 * GOOGLEFINANCE(""CURRENCY:"" &amp; Cost_in_dollars!E1348 &amp; ""USD""))
"),55000000)</f>
        <v>55000000</v>
      </c>
      <c r="P1348" s="4">
        <f ca="1">IFERROR(__xludf.DUMMYFUNCTION("IF(Cost_in_dollars!E1348=""USD"",Cost_in_dollars!C1348,Cost_in_dollars!C1348 * GOOGLEFINANCE(""CURRENCY:"" &amp; Cost_in_dollars!E1348 &amp; ""USD""))
"),16088610)</f>
        <v>16088610</v>
      </c>
      <c r="Q1348" s="4">
        <f t="shared" ca="1" si="30"/>
        <v>-38911390</v>
      </c>
      <c r="R1348" s="5" t="str">
        <f t="shared" si="31"/>
        <v>Imagine That</v>
      </c>
      <c r="S1348" s="43" t="str">
        <f t="shared" si="33"/>
        <v>Comedy</v>
      </c>
    </row>
    <row r="1349" spans="1:19" ht="15.75" customHeight="1" x14ac:dyDescent="0.25">
      <c r="A1349" s="6" t="s">
        <v>4743</v>
      </c>
      <c r="B1349" s="6">
        <v>346</v>
      </c>
      <c r="C1349" s="6">
        <v>6262942</v>
      </c>
      <c r="D1349" s="6" t="s">
        <v>3882</v>
      </c>
      <c r="E1349" s="6" t="s">
        <v>1830</v>
      </c>
      <c r="F1349" s="6" t="s">
        <v>4744</v>
      </c>
      <c r="G1349" s="6">
        <v>59545</v>
      </c>
      <c r="H1349" s="6" t="s">
        <v>4745</v>
      </c>
      <c r="I1349" s="6">
        <v>312</v>
      </c>
      <c r="J1349" s="6" t="s">
        <v>23</v>
      </c>
      <c r="K1349" s="6" t="s">
        <v>24</v>
      </c>
      <c r="L1349" s="6">
        <v>9000000</v>
      </c>
      <c r="M1349" s="6">
        <v>2013</v>
      </c>
      <c r="N1349" s="6">
        <v>6.9</v>
      </c>
      <c r="O1349" s="4">
        <f ca="1">IFERROR(__xludf.DUMMYFUNCTION("IF(Cost_in_dollars!E1349=""USD"",Cost_in_dollars!B1349,Cost_in_dollars!B1349 * GOOGLEFINANCE(""CURRENCY:"" &amp; Cost_in_dollars!E1349 &amp; ""USD""))
"),9000000)</f>
        <v>9000000</v>
      </c>
      <c r="P1349" s="4">
        <f ca="1">IFERROR(__xludf.DUMMYFUNCTION("IF(Cost_in_dollars!E1349=""USD"",Cost_in_dollars!C1349,Cost_in_dollars!C1349 * GOOGLEFINANCE(""CURRENCY:"" &amp; Cost_in_dollars!E1349 &amp; ""USD""))
"),6262942)</f>
        <v>6262942</v>
      </c>
      <c r="Q1349" s="6">
        <f t="shared" ca="1" si="30"/>
        <v>-2737058</v>
      </c>
      <c r="R1349" s="7" t="str">
        <f t="shared" si="31"/>
        <v>All Is Lost</v>
      </c>
      <c r="S1349" s="43" t="str">
        <f t="shared" si="33"/>
        <v>Action</v>
      </c>
    </row>
    <row r="1350" spans="1:19" ht="15.75" customHeight="1" x14ac:dyDescent="0.25">
      <c r="A1350" s="4" t="s">
        <v>4746</v>
      </c>
      <c r="B1350" s="4">
        <v>14</v>
      </c>
      <c r="C1350" s="4">
        <v>105943</v>
      </c>
      <c r="D1350" s="4" t="s">
        <v>140</v>
      </c>
      <c r="E1350" s="4" t="s">
        <v>4747</v>
      </c>
      <c r="F1350" s="4" t="s">
        <v>4748</v>
      </c>
      <c r="G1350" s="4">
        <v>1351</v>
      </c>
      <c r="H1350" s="4" t="s">
        <v>4749</v>
      </c>
      <c r="I1350" s="4">
        <v>11</v>
      </c>
      <c r="J1350" s="4" t="s">
        <v>23</v>
      </c>
      <c r="K1350" s="4" t="s">
        <v>24</v>
      </c>
      <c r="L1350" s="4">
        <v>1500000</v>
      </c>
      <c r="M1350" s="4">
        <v>2015</v>
      </c>
      <c r="N1350" s="4">
        <v>6.1</v>
      </c>
      <c r="O1350" s="4">
        <f ca="1">IFERROR(__xludf.DUMMYFUNCTION("IF(Cost_in_dollars!E1350=""USD"",Cost_in_dollars!B1350,Cost_in_dollars!B1350 * GOOGLEFINANCE(""CURRENCY:"" &amp; Cost_in_dollars!E1350 &amp; ""USD""))
"),1500000)</f>
        <v>1500000</v>
      </c>
      <c r="P1350" s="4">
        <f ca="1">IFERROR(__xludf.DUMMYFUNCTION("IF(Cost_in_dollars!E1350=""USD"",Cost_in_dollars!C1350,Cost_in_dollars!C1350 * GOOGLEFINANCE(""CURRENCY:"" &amp; Cost_in_dollars!E1350 &amp; ""USD""))
"),105943)</f>
        <v>105943</v>
      </c>
      <c r="Q1350" s="4">
        <f t="shared" ca="1" si="30"/>
        <v>-1394057</v>
      </c>
      <c r="R1350" s="5" t="str">
        <f t="shared" si="31"/>
        <v>Road Hard</v>
      </c>
      <c r="S1350" s="43" t="str">
        <f t="shared" si="33"/>
        <v>Comedy</v>
      </c>
    </row>
    <row r="1351" spans="1:19" ht="15.75" customHeight="1" x14ac:dyDescent="0.25">
      <c r="A1351" s="6" t="s">
        <v>1024</v>
      </c>
      <c r="B1351" s="6">
        <v>329</v>
      </c>
      <c r="C1351" s="6">
        <v>292000866</v>
      </c>
      <c r="D1351" s="6" t="s">
        <v>1025</v>
      </c>
      <c r="E1351" s="6" t="s">
        <v>264</v>
      </c>
      <c r="F1351" s="6" t="s">
        <v>4750</v>
      </c>
      <c r="G1351" s="6">
        <v>355137</v>
      </c>
      <c r="H1351" s="6" t="s">
        <v>4751</v>
      </c>
      <c r="I1351" s="6">
        <v>1108</v>
      </c>
      <c r="J1351" s="6" t="s">
        <v>23</v>
      </c>
      <c r="K1351" s="6" t="s">
        <v>133</v>
      </c>
      <c r="L1351" s="6">
        <v>150000000</v>
      </c>
      <c r="M1351" s="6">
        <v>2007</v>
      </c>
      <c r="N1351" s="6">
        <v>7.5</v>
      </c>
      <c r="O1351" s="4">
        <f ca="1">IFERROR(__xludf.DUMMYFUNCTION("IF(Cost_in_dollars!E1351=""USD"",Cost_in_dollars!B1351,Cost_in_dollars!B1351 * GOOGLEFINANCE(""CURRENCY:"" &amp; Cost_in_dollars!E1351 &amp; ""USD""))
"),192809999.999999)</f>
        <v>192809999.99999899</v>
      </c>
      <c r="P1351" s="4">
        <f ca="1">IFERROR(__xludf.DUMMYFUNCTION("IF(Cost_in_dollars!E1351=""USD"",Cost_in_dollars!C1351,Cost_in_dollars!C1351 * GOOGLEFINANCE(""CURRENCY:"" &amp; Cost_in_dollars!E1351 &amp; ""USD""))
"),375337913.156399)</f>
        <v>375337913.15639901</v>
      </c>
      <c r="Q1351" s="6">
        <f t="shared" ca="1" si="30"/>
        <v>182527913.15640002</v>
      </c>
      <c r="R1351" s="7" t="str">
        <f t="shared" si="31"/>
        <v>Harry Potter and the Order of the Phoenix</v>
      </c>
      <c r="S1351" s="43" t="str">
        <f t="shared" si="33"/>
        <v>Adventure</v>
      </c>
    </row>
    <row r="1352" spans="1:19" ht="15.75" customHeight="1" x14ac:dyDescent="0.25">
      <c r="A1352" s="4" t="s">
        <v>1249</v>
      </c>
      <c r="B1352" s="4">
        <v>133</v>
      </c>
      <c r="C1352" s="4">
        <v>89808372</v>
      </c>
      <c r="D1352" s="4" t="s">
        <v>140</v>
      </c>
      <c r="E1352" s="4" t="s">
        <v>4752</v>
      </c>
      <c r="F1352" s="4" t="s">
        <v>4753</v>
      </c>
      <c r="G1352" s="4">
        <v>46417</v>
      </c>
      <c r="H1352" s="4" t="s">
        <v>4754</v>
      </c>
      <c r="I1352" s="4">
        <v>297</v>
      </c>
      <c r="J1352" s="4" t="s">
        <v>23</v>
      </c>
      <c r="K1352" s="4" t="s">
        <v>24</v>
      </c>
      <c r="L1352" s="4">
        <v>45000000</v>
      </c>
      <c r="M1352" s="4">
        <v>2003</v>
      </c>
      <c r="N1352" s="4">
        <v>4.5999999999999996</v>
      </c>
      <c r="O1352" s="4">
        <f ca="1">IFERROR(__xludf.DUMMYFUNCTION("IF(Cost_in_dollars!E1352=""USD"",Cost_in_dollars!B1352,Cost_in_dollars!B1352 * GOOGLEFINANCE(""CURRENCY:"" &amp; Cost_in_dollars!E1352 &amp; ""USD""))
"),45000000)</f>
        <v>45000000</v>
      </c>
      <c r="P1352" s="4">
        <f ca="1">IFERROR(__xludf.DUMMYFUNCTION("IF(Cost_in_dollars!E1352=""USD"",Cost_in_dollars!C1352,Cost_in_dollars!C1352 * GOOGLEFINANCE(""CURRENCY:"" &amp; Cost_in_dollars!E1352 &amp; ""USD""))
"),89808372)</f>
        <v>89808372</v>
      </c>
      <c r="Q1352" s="4">
        <f t="shared" ca="1" si="30"/>
        <v>44808372</v>
      </c>
      <c r="R1352" s="5" t="str">
        <f t="shared" si="31"/>
        <v>Legally Blonde 2: Red, White &amp; Blonde</v>
      </c>
      <c r="S1352" s="43" t="str">
        <f t="shared" si="33"/>
        <v>Comedy</v>
      </c>
    </row>
    <row r="1353" spans="1:19" ht="15.75" customHeight="1" x14ac:dyDescent="0.25">
      <c r="A1353" s="6" t="s">
        <v>4755</v>
      </c>
      <c r="B1353" s="6">
        <v>89</v>
      </c>
      <c r="C1353" s="6">
        <v>22913677</v>
      </c>
      <c r="D1353" s="6" t="s">
        <v>4756</v>
      </c>
      <c r="E1353" s="6" t="s">
        <v>422</v>
      </c>
      <c r="F1353" s="6" t="s">
        <v>4757</v>
      </c>
      <c r="G1353" s="6">
        <v>47800</v>
      </c>
      <c r="H1353" s="6" t="s">
        <v>4758</v>
      </c>
      <c r="I1353" s="6">
        <v>244</v>
      </c>
      <c r="J1353" s="6" t="s">
        <v>23</v>
      </c>
      <c r="K1353" s="6" t="s">
        <v>24</v>
      </c>
      <c r="L1353" s="6">
        <v>35000000</v>
      </c>
      <c r="M1353" s="6">
        <v>2004</v>
      </c>
      <c r="N1353" s="6">
        <v>6.3</v>
      </c>
      <c r="O1353" s="4">
        <f ca="1">IFERROR(__xludf.DUMMYFUNCTION("IF(Cost_in_dollars!E1353=""USD"",Cost_in_dollars!B1353,Cost_in_dollars!B1353 * GOOGLEFINANCE(""CURRENCY:"" &amp; Cost_in_dollars!E1353 &amp; ""USD""))
"),35000000)</f>
        <v>35000000</v>
      </c>
      <c r="P1353" s="4">
        <f ca="1">IFERROR(__xludf.DUMMYFUNCTION("IF(Cost_in_dollars!E1353=""USD"",Cost_in_dollars!C1353,Cost_in_dollars!C1353 * GOOGLEFINANCE(""CURRENCY:"" &amp; Cost_in_dollars!E1353 &amp; ""USD""))
"),22913677)</f>
        <v>22913677</v>
      </c>
      <c r="Q1353" s="6">
        <f t="shared" ca="1" si="30"/>
        <v>-12086323</v>
      </c>
      <c r="R1353" s="7" t="str">
        <f t="shared" si="31"/>
        <v>Ella Enchanted</v>
      </c>
      <c r="S1353" s="43" t="str">
        <f t="shared" si="33"/>
        <v>Comedy</v>
      </c>
    </row>
    <row r="1354" spans="1:19" ht="15.75" customHeight="1" x14ac:dyDescent="0.25">
      <c r="A1354" s="4" t="s">
        <v>358</v>
      </c>
      <c r="B1354" s="4">
        <v>305</v>
      </c>
      <c r="C1354" s="4">
        <v>52418902</v>
      </c>
      <c r="D1354" s="4" t="s">
        <v>135</v>
      </c>
      <c r="E1354" s="4" t="s">
        <v>2524</v>
      </c>
      <c r="F1354" s="4" t="s">
        <v>4759</v>
      </c>
      <c r="G1354" s="4">
        <v>147128</v>
      </c>
      <c r="H1354" s="4" t="s">
        <v>4760</v>
      </c>
      <c r="I1354" s="4">
        <v>277</v>
      </c>
      <c r="J1354" s="4" t="s">
        <v>23</v>
      </c>
      <c r="K1354" s="4" t="s">
        <v>24</v>
      </c>
      <c r="L1354" s="4">
        <v>30000000</v>
      </c>
      <c r="M1354" s="4">
        <v>2015</v>
      </c>
      <c r="N1354" s="4">
        <v>7.5</v>
      </c>
      <c r="O1354" s="4">
        <f ca="1">IFERROR(__xludf.DUMMYFUNCTION("IF(Cost_in_dollars!E1354=""USD"",Cost_in_dollars!B1354,Cost_in_dollars!B1354 * GOOGLEFINANCE(""CURRENCY:"" &amp; Cost_in_dollars!E1354 &amp; ""USD""))
"),30000000)</f>
        <v>30000000</v>
      </c>
      <c r="P1354" s="4">
        <f ca="1">IFERROR(__xludf.DUMMYFUNCTION("IF(Cost_in_dollars!E1354=""USD"",Cost_in_dollars!C1354,Cost_in_dollars!C1354 * GOOGLEFINANCE(""CURRENCY:"" &amp; Cost_in_dollars!E1354 &amp; ""USD""))
"),52418902)</f>
        <v>52418902</v>
      </c>
      <c r="Q1354" s="4">
        <f t="shared" ca="1" si="30"/>
        <v>22418902</v>
      </c>
      <c r="R1354" s="5" t="str">
        <f t="shared" si="31"/>
        <v>Southpaw</v>
      </c>
      <c r="S1354" s="43" t="str">
        <f t="shared" si="33"/>
        <v>Drama</v>
      </c>
    </row>
    <row r="1355" spans="1:19" ht="15.75" customHeight="1" x14ac:dyDescent="0.25">
      <c r="A1355" s="6" t="s">
        <v>4761</v>
      </c>
      <c r="B1355" s="6">
        <v>75</v>
      </c>
      <c r="C1355" s="6">
        <v>27281507</v>
      </c>
      <c r="D1355" s="6" t="s">
        <v>4762</v>
      </c>
      <c r="E1355" s="6" t="s">
        <v>4763</v>
      </c>
      <c r="F1355" s="6" t="s">
        <v>4764</v>
      </c>
      <c r="G1355" s="6">
        <v>33850</v>
      </c>
      <c r="H1355" s="6" t="s">
        <v>4765</v>
      </c>
      <c r="I1355" s="6">
        <v>147</v>
      </c>
      <c r="J1355" s="6" t="s">
        <v>23</v>
      </c>
      <c r="K1355" s="6" t="s">
        <v>24</v>
      </c>
      <c r="L1355" s="6">
        <v>12000000</v>
      </c>
      <c r="M1355" s="6">
        <v>1992</v>
      </c>
      <c r="N1355" s="6">
        <v>7.7</v>
      </c>
      <c r="O1355" s="4">
        <f ca="1">IFERROR(__xludf.DUMMYFUNCTION("IF(Cost_in_dollars!E1355=""USD"",Cost_in_dollars!B1355,Cost_in_dollars!B1355 * GOOGLEFINANCE(""CURRENCY:"" &amp; Cost_in_dollars!E1355 &amp; ""USD""))
"),12000000)</f>
        <v>12000000</v>
      </c>
      <c r="P1355" s="4">
        <f ca="1">IFERROR(__xludf.DUMMYFUNCTION("IF(Cost_in_dollars!E1355=""USD"",Cost_in_dollars!C1355,Cost_in_dollars!C1355 * GOOGLEFINANCE(""CURRENCY:"" &amp; Cost_in_dollars!E1355 &amp; ""USD""))
"),27281507)</f>
        <v>27281507</v>
      </c>
      <c r="Q1355" s="6">
        <f t="shared" ca="1" si="30"/>
        <v>15281507</v>
      </c>
      <c r="R1355" s="7" t="str">
        <f t="shared" si="31"/>
        <v>The Muppet Christmas Carol</v>
      </c>
      <c r="S1355" s="43" t="str">
        <f t="shared" si="33"/>
        <v>Comedy</v>
      </c>
    </row>
    <row r="1356" spans="1:19" ht="15.75" customHeight="1" x14ac:dyDescent="0.25">
      <c r="A1356" s="4" t="s">
        <v>4766</v>
      </c>
      <c r="B1356" s="4">
        <v>127</v>
      </c>
      <c r="C1356" s="4">
        <v>63939454</v>
      </c>
      <c r="D1356" s="4" t="s">
        <v>4767</v>
      </c>
      <c r="E1356" s="4" t="s">
        <v>4768</v>
      </c>
      <c r="F1356" s="4" t="s">
        <v>4769</v>
      </c>
      <c r="G1356" s="4">
        <v>61321</v>
      </c>
      <c r="H1356" s="4" t="s">
        <v>4770</v>
      </c>
      <c r="I1356" s="4">
        <v>217</v>
      </c>
      <c r="J1356" s="4" t="s">
        <v>23</v>
      </c>
      <c r="K1356" s="4" t="s">
        <v>24</v>
      </c>
      <c r="L1356" s="4">
        <v>35000000</v>
      </c>
      <c r="M1356" s="4">
        <v>2005</v>
      </c>
      <c r="N1356" s="4">
        <v>6.2</v>
      </c>
      <c r="O1356" s="4">
        <f ca="1">IFERROR(__xludf.DUMMYFUNCTION("IF(Cost_in_dollars!E1356=""USD"",Cost_in_dollars!B1356,Cost_in_dollars!B1356 * GOOGLEFINANCE(""CURRENCY:"" &amp; Cost_in_dollars!E1356 &amp; ""USD""))
"),35000000)</f>
        <v>35000000</v>
      </c>
      <c r="P1356" s="4">
        <f ca="1">IFERROR(__xludf.DUMMYFUNCTION("IF(Cost_in_dollars!E1356=""USD"",Cost_in_dollars!C1356,Cost_in_dollars!C1356 * GOOGLEFINANCE(""CURRENCY:"" &amp; Cost_in_dollars!E1356 &amp; ""USD""))
"),63939454)</f>
        <v>63939454</v>
      </c>
      <c r="Q1356" s="4">
        <f t="shared" ca="1" si="30"/>
        <v>28939454</v>
      </c>
      <c r="R1356" s="5" t="str">
        <f t="shared" si="31"/>
        <v>Sky High</v>
      </c>
      <c r="S1356" s="43" t="str">
        <f t="shared" si="33"/>
        <v>Adventure</v>
      </c>
    </row>
    <row r="1357" spans="1:19" ht="15.75" customHeight="1" x14ac:dyDescent="0.25">
      <c r="A1357" s="6" t="s">
        <v>3214</v>
      </c>
      <c r="B1357" s="6">
        <v>165</v>
      </c>
      <c r="C1357" s="6">
        <v>78845130</v>
      </c>
      <c r="D1357" s="6" t="s">
        <v>63</v>
      </c>
      <c r="E1357" s="6" t="s">
        <v>4771</v>
      </c>
      <c r="F1357" s="6" t="s">
        <v>4772</v>
      </c>
      <c r="G1357" s="6">
        <v>17596</v>
      </c>
      <c r="H1357" s="6" t="s">
        <v>4773</v>
      </c>
      <c r="I1357" s="6">
        <v>94</v>
      </c>
      <c r="J1357" s="6" t="s">
        <v>23</v>
      </c>
      <c r="K1357" s="6" t="s">
        <v>611</v>
      </c>
      <c r="L1357" s="6">
        <v>10000000</v>
      </c>
      <c r="M1357" s="6">
        <v>2016</v>
      </c>
      <c r="N1357" s="6">
        <v>6.1</v>
      </c>
      <c r="O1357" s="4">
        <f ca="1">IFERROR(__xludf.DUMMYFUNCTION("IF(Cost_in_dollars!E1357=""USD"",Cost_in_dollars!B1357,Cost_in_dollars!B1357 * GOOGLEFINANCE(""CURRENCY:"" &amp; Cost_in_dollars!E1357 &amp; ""USD""))
"),10847400)</f>
        <v>10847400</v>
      </c>
      <c r="P1357" s="4">
        <f ca="1">IFERROR(__xludf.DUMMYFUNCTION("IF(Cost_in_dollars!E1357=""USD"",Cost_in_dollars!C1357,Cost_in_dollars!C1357 * GOOGLEFINANCE(""CURRENCY:"" &amp; Cost_in_dollars!E1357 &amp; ""USD""))
"),85526466.3162)</f>
        <v>85526466.316200003</v>
      </c>
      <c r="Q1357" s="6">
        <f t="shared" ca="1" si="30"/>
        <v>74679066.316200003</v>
      </c>
      <c r="R1357" s="7" t="str">
        <f t="shared" si="31"/>
        <v>The Purge: Election Year</v>
      </c>
      <c r="S1357" s="43" t="str">
        <f t="shared" si="33"/>
        <v>Action</v>
      </c>
    </row>
    <row r="1358" spans="1:19" ht="15.75" customHeight="1" x14ac:dyDescent="0.25">
      <c r="A1358" s="4" t="s">
        <v>2520</v>
      </c>
      <c r="B1358" s="4">
        <v>171</v>
      </c>
      <c r="C1358" s="4">
        <v>77862546</v>
      </c>
      <c r="D1358" s="4" t="s">
        <v>504</v>
      </c>
      <c r="E1358" s="4" t="s">
        <v>69</v>
      </c>
      <c r="F1358" s="4" t="s">
        <v>4774</v>
      </c>
      <c r="G1358" s="4">
        <v>266310</v>
      </c>
      <c r="H1358" s="4" t="s">
        <v>4775</v>
      </c>
      <c r="I1358" s="4">
        <v>690</v>
      </c>
      <c r="J1358" s="4" t="s">
        <v>23</v>
      </c>
      <c r="K1358" s="4" t="s">
        <v>24</v>
      </c>
      <c r="L1358" s="4">
        <v>70000000</v>
      </c>
      <c r="M1358" s="4">
        <v>2004</v>
      </c>
      <c r="N1358" s="4">
        <v>7.7</v>
      </c>
      <c r="O1358" s="4">
        <f ca="1">IFERROR(__xludf.DUMMYFUNCTION("IF(Cost_in_dollars!E1358=""USD"",Cost_in_dollars!B1358,Cost_in_dollars!B1358 * GOOGLEFINANCE(""CURRENCY:"" &amp; Cost_in_dollars!E1358 &amp; ""USD""))
"),70000000)</f>
        <v>70000000</v>
      </c>
      <c r="P1358" s="4">
        <f ca="1">IFERROR(__xludf.DUMMYFUNCTION("IF(Cost_in_dollars!E1358=""USD"",Cost_in_dollars!C1358,Cost_in_dollars!C1358 * GOOGLEFINANCE(""CURRENCY:"" &amp; Cost_in_dollars!E1358 &amp; ""USD""))
"),77862546)</f>
        <v>77862546</v>
      </c>
      <c r="Q1358" s="4">
        <f t="shared" ca="1" si="30"/>
        <v>7862546</v>
      </c>
      <c r="R1358" s="5" t="str">
        <f t="shared" si="31"/>
        <v>Man on Fire</v>
      </c>
      <c r="S1358" s="43" t="str">
        <f t="shared" si="33"/>
        <v>Action</v>
      </c>
    </row>
    <row r="1359" spans="1:19" ht="15.75" customHeight="1" x14ac:dyDescent="0.25">
      <c r="A1359" s="6" t="s">
        <v>4010</v>
      </c>
      <c r="B1359" s="6">
        <v>75</v>
      </c>
      <c r="C1359" s="6">
        <v>65000000</v>
      </c>
      <c r="D1359" s="6" t="s">
        <v>162</v>
      </c>
      <c r="E1359" s="6" t="s">
        <v>4776</v>
      </c>
      <c r="F1359" s="6" t="s">
        <v>4777</v>
      </c>
      <c r="G1359" s="6">
        <v>43027</v>
      </c>
      <c r="H1359" s="6" t="s">
        <v>4778</v>
      </c>
      <c r="I1359" s="6">
        <v>214</v>
      </c>
      <c r="J1359" s="6" t="s">
        <v>23</v>
      </c>
      <c r="K1359" s="6" t="s">
        <v>24</v>
      </c>
      <c r="L1359" s="6">
        <v>62000000</v>
      </c>
      <c r="M1359" s="6">
        <v>1995</v>
      </c>
      <c r="N1359" s="6">
        <v>6.8</v>
      </c>
      <c r="O1359" s="4">
        <f ca="1">IFERROR(__xludf.DUMMYFUNCTION("IF(Cost_in_dollars!E1359=""USD"",Cost_in_dollars!B1359,Cost_in_dollars!B1359 * GOOGLEFINANCE(""CURRENCY:"" &amp; Cost_in_dollars!E1359 &amp; ""USD""))
"),62000000)</f>
        <v>62000000</v>
      </c>
      <c r="P1359" s="4">
        <f ca="1">IFERROR(__xludf.DUMMYFUNCTION("IF(Cost_in_dollars!E1359=""USD"",Cost_in_dollars!C1359,Cost_in_dollars!C1359 * GOOGLEFINANCE(""CURRENCY:"" &amp; Cost_in_dollars!E1359 &amp; ""USD""))
"),65000000)</f>
        <v>65000000</v>
      </c>
      <c r="Q1359" s="6">
        <f t="shared" ca="1" si="30"/>
        <v>3000000</v>
      </c>
      <c r="R1359" s="7" t="str">
        <f t="shared" si="31"/>
        <v>The American President</v>
      </c>
      <c r="S1359" s="43" t="str">
        <f t="shared" si="33"/>
        <v>Comedy</v>
      </c>
    </row>
    <row r="1360" spans="1:19" ht="15.75" customHeight="1" x14ac:dyDescent="0.25">
      <c r="A1360" s="4" t="s">
        <v>4755</v>
      </c>
      <c r="B1360" s="4">
        <v>63</v>
      </c>
      <c r="C1360" s="4">
        <v>11560259</v>
      </c>
      <c r="D1360" s="4" t="s">
        <v>88</v>
      </c>
      <c r="E1360" s="4" t="s">
        <v>4779</v>
      </c>
      <c r="F1360" s="4" t="s">
        <v>4780</v>
      </c>
      <c r="G1360" s="4">
        <v>15617</v>
      </c>
      <c r="H1360" s="4" t="s">
        <v>4781</v>
      </c>
      <c r="I1360" s="4">
        <v>180</v>
      </c>
      <c r="J1360" s="4" t="s">
        <v>23</v>
      </c>
      <c r="K1360" s="4" t="s">
        <v>24</v>
      </c>
      <c r="L1360" s="4">
        <v>22000000</v>
      </c>
      <c r="M1360" s="4">
        <v>2001</v>
      </c>
      <c r="N1360" s="4">
        <v>5.8</v>
      </c>
      <c r="O1360" s="4">
        <f ca="1">IFERROR(__xludf.DUMMYFUNCTION("IF(Cost_in_dollars!E1360=""USD"",Cost_in_dollars!B1360,Cost_in_dollars!B1360 * GOOGLEFINANCE(""CURRENCY:"" &amp; Cost_in_dollars!E1360 &amp; ""USD""))
"),22000000)</f>
        <v>22000000</v>
      </c>
      <c r="P1360" s="4">
        <f ca="1">IFERROR(__xludf.DUMMYFUNCTION("IF(Cost_in_dollars!E1360=""USD"",Cost_in_dollars!C1360,Cost_in_dollars!C1360 * GOOGLEFINANCE(""CURRENCY:"" &amp; Cost_in_dollars!E1360 &amp; ""USD""))
"),11560259)</f>
        <v>11560259</v>
      </c>
      <c r="Q1360" s="4">
        <f t="shared" ca="1" si="30"/>
        <v>-10439741</v>
      </c>
      <c r="R1360" s="5" t="str">
        <f t="shared" si="31"/>
        <v>Get Over It</v>
      </c>
      <c r="S1360" s="43" t="str">
        <f t="shared" si="33"/>
        <v>Comedy</v>
      </c>
    </row>
    <row r="1361" spans="1:19" ht="15.75" customHeight="1" x14ac:dyDescent="0.25">
      <c r="A1361" s="6" t="s">
        <v>2056</v>
      </c>
      <c r="B1361" s="6">
        <v>265</v>
      </c>
      <c r="C1361" s="6">
        <v>34350553</v>
      </c>
      <c r="D1361" s="6" t="s">
        <v>1719</v>
      </c>
      <c r="E1361" s="6" t="s">
        <v>1282</v>
      </c>
      <c r="F1361" s="6" t="s">
        <v>2057</v>
      </c>
      <c r="G1361" s="6">
        <v>104072</v>
      </c>
      <c r="H1361" s="6" t="s">
        <v>2058</v>
      </c>
      <c r="I1361" s="6">
        <v>207</v>
      </c>
      <c r="J1361" s="6" t="s">
        <v>23</v>
      </c>
      <c r="K1361" s="6" t="s">
        <v>24</v>
      </c>
      <c r="L1361" s="6">
        <v>68000000</v>
      </c>
      <c r="M1361" s="6">
        <v>2012</v>
      </c>
      <c r="N1361" s="6">
        <v>5.7</v>
      </c>
      <c r="O1361" s="4">
        <f ca="1">IFERROR(__xludf.DUMMYFUNCTION("IF(Cost_in_dollars!E1361=""USD"",Cost_in_dollars!B1361,Cost_in_dollars!B1361 * GOOGLEFINANCE(""CURRENCY:"" &amp; Cost_in_dollars!E1361 &amp; ""USD""))
"),68000000)</f>
        <v>68000000</v>
      </c>
      <c r="P1361" s="4">
        <f ca="1">IFERROR(__xludf.DUMMYFUNCTION("IF(Cost_in_dollars!E1361=""USD"",Cost_in_dollars!C1361,Cost_in_dollars!C1361 * GOOGLEFINANCE(""CURRENCY:"" &amp; Cost_in_dollars!E1361 &amp; ""USD""))
"),34350553)</f>
        <v>34350553</v>
      </c>
      <c r="Q1361" s="6">
        <f t="shared" ca="1" si="30"/>
        <v>-33649447</v>
      </c>
      <c r="R1361" s="7" t="str">
        <f t="shared" si="31"/>
        <v>The Watch</v>
      </c>
      <c r="S1361" s="43" t="str">
        <f t="shared" si="33"/>
        <v>Action</v>
      </c>
    </row>
    <row r="1362" spans="1:19" ht="15.75" customHeight="1" x14ac:dyDescent="0.25">
      <c r="A1362" s="4" t="s">
        <v>4782</v>
      </c>
      <c r="B1362" s="4">
        <v>182</v>
      </c>
      <c r="C1362" s="4">
        <v>3519627</v>
      </c>
      <c r="D1362" s="4" t="s">
        <v>4783</v>
      </c>
      <c r="E1362" s="4" t="s">
        <v>4784</v>
      </c>
      <c r="F1362" s="4" t="s">
        <v>4785</v>
      </c>
      <c r="G1362" s="4">
        <v>41737</v>
      </c>
      <c r="H1362" s="4" t="s">
        <v>4786</v>
      </c>
      <c r="I1362" s="4">
        <v>105</v>
      </c>
      <c r="J1362" s="4" t="s">
        <v>23</v>
      </c>
      <c r="K1362" s="4" t="s">
        <v>24</v>
      </c>
      <c r="L1362" s="4">
        <v>20000000</v>
      </c>
      <c r="M1362" s="4">
        <v>2008</v>
      </c>
      <c r="N1362" s="4">
        <v>6.9</v>
      </c>
      <c r="O1362" s="4">
        <f ca="1">IFERROR(__xludf.DUMMYFUNCTION("IF(Cost_in_dollars!E1362=""USD"",Cost_in_dollars!B1362,Cost_in_dollars!B1362 * GOOGLEFINANCE(""CURRENCY:"" &amp; Cost_in_dollars!E1362 &amp; ""USD""))
"),20000000)</f>
        <v>20000000</v>
      </c>
      <c r="P1362" s="4">
        <f ca="1">IFERROR(__xludf.DUMMYFUNCTION("IF(Cost_in_dollars!E1362=""USD"",Cost_in_dollars!C1362,Cost_in_dollars!C1362 * GOOGLEFINANCE(""CURRENCY:"" &amp; Cost_in_dollars!E1362 &amp; ""USD""))
"),3519627)</f>
        <v>3519627</v>
      </c>
      <c r="Q1362" s="4">
        <f t="shared" ca="1" si="30"/>
        <v>-16480373</v>
      </c>
      <c r="R1362" s="5" t="str">
        <f t="shared" si="31"/>
        <v>The Brothers Bloom</v>
      </c>
      <c r="S1362" s="43" t="str">
        <f t="shared" si="33"/>
        <v>Adventure</v>
      </c>
    </row>
    <row r="1363" spans="1:19" ht="15.75" customHeight="1" x14ac:dyDescent="0.25">
      <c r="A1363" s="6" t="s">
        <v>4787</v>
      </c>
      <c r="B1363" s="6">
        <v>144</v>
      </c>
      <c r="C1363" s="6">
        <v>5542025</v>
      </c>
      <c r="D1363" s="6" t="s">
        <v>140</v>
      </c>
      <c r="E1363" s="6" t="s">
        <v>2517</v>
      </c>
      <c r="F1363" s="6" t="s">
        <v>4788</v>
      </c>
      <c r="G1363" s="6">
        <v>12197</v>
      </c>
      <c r="H1363" s="6" t="s">
        <v>4789</v>
      </c>
      <c r="I1363" s="6">
        <v>150</v>
      </c>
      <c r="J1363" s="6" t="s">
        <v>23</v>
      </c>
      <c r="K1363" s="6" t="s">
        <v>24</v>
      </c>
      <c r="L1363" s="6">
        <v>12000000</v>
      </c>
      <c r="M1363" s="6">
        <v>2006</v>
      </c>
      <c r="N1363" s="6">
        <v>6.3</v>
      </c>
      <c r="O1363" s="4">
        <f ca="1">IFERROR(__xludf.DUMMYFUNCTION("IF(Cost_in_dollars!E1363=""USD"",Cost_in_dollars!B1363,Cost_in_dollars!B1363 * GOOGLEFINANCE(""CURRENCY:"" &amp; Cost_in_dollars!E1363 &amp; ""USD""))
"),12000000)</f>
        <v>12000000</v>
      </c>
      <c r="P1363" s="4">
        <f ca="1">IFERROR(__xludf.DUMMYFUNCTION("IF(Cost_in_dollars!E1363=""USD"",Cost_in_dollars!C1363,Cost_in_dollars!C1363 * GOOGLEFINANCE(""CURRENCY:"" &amp; Cost_in_dollars!E1363 &amp; ""USD""))
"),5542025)</f>
        <v>5542025</v>
      </c>
      <c r="Q1363" s="6">
        <f t="shared" ca="1" si="30"/>
        <v>-6457975</v>
      </c>
      <c r="R1363" s="7" t="str">
        <f t="shared" si="31"/>
        <v>For Your Consideration</v>
      </c>
      <c r="S1363" s="43" t="str">
        <f t="shared" si="33"/>
        <v>Comedy</v>
      </c>
    </row>
    <row r="1364" spans="1:19" ht="15.75" customHeight="1" x14ac:dyDescent="0.25">
      <c r="A1364" s="4" t="s">
        <v>4790</v>
      </c>
      <c r="B1364" s="4">
        <v>95</v>
      </c>
      <c r="C1364" s="4">
        <v>5664251</v>
      </c>
      <c r="D1364" s="4" t="s">
        <v>4791</v>
      </c>
      <c r="E1364" s="4" t="s">
        <v>4792</v>
      </c>
      <c r="F1364" s="4" t="s">
        <v>4793</v>
      </c>
      <c r="G1364" s="4">
        <v>22309</v>
      </c>
      <c r="H1364" s="4" t="s">
        <v>4794</v>
      </c>
      <c r="I1364" s="4">
        <v>102</v>
      </c>
      <c r="J1364" s="4" t="s">
        <v>23</v>
      </c>
      <c r="K1364" s="4" t="s">
        <v>1005</v>
      </c>
      <c r="L1364" s="4">
        <v>45000000</v>
      </c>
      <c r="M1364" s="4">
        <v>2010</v>
      </c>
      <c r="N1364" s="4">
        <v>6.3</v>
      </c>
      <c r="O1364" s="4">
        <f ca="1">IFERROR(__xludf.DUMMYFUNCTION("IF(Cost_in_dollars!E1364=""USD"",Cost_in_dollars!B1364,Cost_in_dollars!B1364 * GOOGLEFINANCE(""CURRENCY:"" &amp; Cost_in_dollars!E1364 &amp; ""USD""))
"),26493525)</f>
        <v>26493525</v>
      </c>
      <c r="P1364" s="4">
        <f ca="1">IFERROR(__xludf.DUMMYFUNCTION("IF(Cost_in_dollars!E1364=""USD"",Cost_in_dollars!C1364,Cost_in_dollars!C1364 * GOOGLEFINANCE(""CURRENCY:"" &amp; Cost_in_dollars!E1364 &amp; ""USD""))
"),3334799.454995)</f>
        <v>3334799.4549949998</v>
      </c>
      <c r="Q1364" s="4">
        <f t="shared" ca="1" si="30"/>
        <v>-23158725.545005001</v>
      </c>
      <c r="R1364" s="5" t="str">
        <f t="shared" si="31"/>
        <v>The Warrior's Way</v>
      </c>
      <c r="S1364" s="43" t="str">
        <f t="shared" si="33"/>
        <v>Action</v>
      </c>
    </row>
    <row r="1365" spans="1:19" ht="15.75" customHeight="1" x14ac:dyDescent="0.25">
      <c r="A1365" s="6" t="s">
        <v>4795</v>
      </c>
      <c r="B1365" s="6">
        <v>99</v>
      </c>
      <c r="C1365" s="6">
        <v>48546578</v>
      </c>
      <c r="D1365" s="6" t="s">
        <v>88</v>
      </c>
      <c r="E1365" s="6" t="s">
        <v>3892</v>
      </c>
      <c r="F1365" s="6" t="s">
        <v>4796</v>
      </c>
      <c r="G1365" s="6">
        <v>50415</v>
      </c>
      <c r="H1365" s="6" t="s">
        <v>4797</v>
      </c>
      <c r="I1365" s="6">
        <v>613</v>
      </c>
      <c r="J1365" s="6" t="s">
        <v>23</v>
      </c>
      <c r="K1365" s="6" t="s">
        <v>24</v>
      </c>
      <c r="L1365" s="6">
        <v>20000000</v>
      </c>
      <c r="M1365" s="6">
        <v>2006</v>
      </c>
      <c r="N1365" s="6">
        <v>2.7</v>
      </c>
      <c r="O1365" s="4">
        <f ca="1">IFERROR(__xludf.DUMMYFUNCTION("IF(Cost_in_dollars!E1365=""USD"",Cost_in_dollars!B1365,Cost_in_dollars!B1365 * GOOGLEFINANCE(""CURRENCY:"" &amp; Cost_in_dollars!E1365 &amp; ""USD""))
"),20000000)</f>
        <v>20000000</v>
      </c>
      <c r="P1365" s="4">
        <f ca="1">IFERROR(__xludf.DUMMYFUNCTION("IF(Cost_in_dollars!E1365=""USD"",Cost_in_dollars!C1365,Cost_in_dollars!C1365 * GOOGLEFINANCE(""CURRENCY:"" &amp; Cost_in_dollars!E1365 &amp; ""USD""))
"),48546578)</f>
        <v>48546578</v>
      </c>
      <c r="Q1365" s="6">
        <f t="shared" ca="1" si="30"/>
        <v>28546578</v>
      </c>
      <c r="R1365" s="7" t="str">
        <f t="shared" si="31"/>
        <v>Date Movie</v>
      </c>
      <c r="S1365" s="43" t="str">
        <f t="shared" si="33"/>
        <v>Comedy</v>
      </c>
    </row>
    <row r="1366" spans="1:19" ht="15.75" customHeight="1" x14ac:dyDescent="0.25">
      <c r="A1366" s="4" t="s">
        <v>1667</v>
      </c>
      <c r="B1366" s="4">
        <v>180</v>
      </c>
      <c r="C1366" s="4">
        <v>11100000</v>
      </c>
      <c r="D1366" s="4" t="s">
        <v>145</v>
      </c>
      <c r="E1366" s="4" t="s">
        <v>3393</v>
      </c>
      <c r="F1366" s="4" t="s">
        <v>4798</v>
      </c>
      <c r="G1366" s="4">
        <v>92464</v>
      </c>
      <c r="H1366" s="4" t="s">
        <v>4799</v>
      </c>
      <c r="I1366" s="4">
        <v>331</v>
      </c>
      <c r="J1366" s="4" t="s">
        <v>23</v>
      </c>
      <c r="K1366" s="4" t="s">
        <v>24</v>
      </c>
      <c r="L1366" s="4">
        <v>25000000</v>
      </c>
      <c r="M1366" s="4">
        <v>1986</v>
      </c>
      <c r="N1366" s="4">
        <v>7.3</v>
      </c>
      <c r="O1366" s="4">
        <f ca="1">IFERROR(__xludf.DUMMYFUNCTION("IF(Cost_in_dollars!E1366=""USD"",Cost_in_dollars!B1366,Cost_in_dollars!B1366 * GOOGLEFINANCE(""CURRENCY:"" &amp; Cost_in_dollars!E1366 &amp; ""USD""))
"),25000000)</f>
        <v>25000000</v>
      </c>
      <c r="P1366" s="4">
        <f ca="1">IFERROR(__xludf.DUMMYFUNCTION("IF(Cost_in_dollars!E1366=""USD"",Cost_in_dollars!C1366,Cost_in_dollars!C1366 * GOOGLEFINANCE(""CURRENCY:"" &amp; Cost_in_dollars!E1366 &amp; ""USD""))
"),11100000)</f>
        <v>11100000</v>
      </c>
      <c r="Q1366" s="4">
        <f t="shared" ca="1" si="30"/>
        <v>-13900000</v>
      </c>
      <c r="R1366" s="5" t="str">
        <f t="shared" si="31"/>
        <v>Big Trouble in Little China</v>
      </c>
      <c r="S1366" s="43" t="str">
        <f t="shared" si="33"/>
        <v>Action</v>
      </c>
    </row>
    <row r="1367" spans="1:19" ht="15.75" customHeight="1" x14ac:dyDescent="0.25">
      <c r="A1367" s="6" t="s">
        <v>3825</v>
      </c>
      <c r="B1367" s="6">
        <v>418</v>
      </c>
      <c r="C1367" s="6">
        <v>141319195</v>
      </c>
      <c r="D1367" s="6" t="s">
        <v>235</v>
      </c>
      <c r="E1367" s="6" t="s">
        <v>4800</v>
      </c>
      <c r="F1367" s="6" t="s">
        <v>4801</v>
      </c>
      <c r="G1367" s="6">
        <v>641997</v>
      </c>
      <c r="H1367" s="6" t="s">
        <v>4802</v>
      </c>
      <c r="I1367" s="6">
        <v>1017</v>
      </c>
      <c r="J1367" s="6" t="s">
        <v>23</v>
      </c>
      <c r="K1367" s="6" t="s">
        <v>133</v>
      </c>
      <c r="L1367" s="6">
        <v>15000000</v>
      </c>
      <c r="M1367" s="6">
        <v>2008</v>
      </c>
      <c r="N1367" s="6">
        <v>8</v>
      </c>
      <c r="O1367" s="4">
        <f ca="1">IFERROR(__xludf.DUMMYFUNCTION("IF(Cost_in_dollars!E1367=""USD"",Cost_in_dollars!B1367,Cost_in_dollars!B1367 * GOOGLEFINANCE(""CURRENCY:"" &amp; Cost_in_dollars!E1367 &amp; ""USD""))
"),19281000)</f>
        <v>19281000</v>
      </c>
      <c r="P1367" s="4">
        <f ca="1">IFERROR(__xludf.DUMMYFUNCTION("IF(Cost_in_dollars!E1367=""USD"",Cost_in_dollars!C1367,Cost_in_dollars!C1367 * GOOGLEFINANCE(""CURRENCY:"" &amp; Cost_in_dollars!E1367 &amp; ""USD""))
"),181651693.253)</f>
        <v>181651693.25299999</v>
      </c>
      <c r="Q1367" s="6">
        <f t="shared" ca="1" si="30"/>
        <v>162370693.25299999</v>
      </c>
      <c r="R1367" s="7" t="str">
        <f t="shared" si="31"/>
        <v>Slumdog Millionaire</v>
      </c>
      <c r="S1367" s="43" t="str">
        <f t="shared" si="33"/>
        <v>Drama</v>
      </c>
    </row>
    <row r="1368" spans="1:19" ht="15.75" customHeight="1" x14ac:dyDescent="0.25">
      <c r="A1368" s="4" t="s">
        <v>4803</v>
      </c>
      <c r="B1368" s="4">
        <v>220</v>
      </c>
      <c r="C1368" s="4">
        <v>17508670</v>
      </c>
      <c r="D1368" s="4" t="s">
        <v>813</v>
      </c>
      <c r="E1368" s="4" t="s">
        <v>4804</v>
      </c>
      <c r="F1368" s="4" t="s">
        <v>4805</v>
      </c>
      <c r="G1368" s="4">
        <v>64625</v>
      </c>
      <c r="H1368" s="4" t="s">
        <v>4806</v>
      </c>
      <c r="I1368" s="4">
        <v>281</v>
      </c>
      <c r="J1368" s="4" t="s">
        <v>23</v>
      </c>
      <c r="K1368" s="4" t="s">
        <v>133</v>
      </c>
      <c r="L1368" s="4">
        <v>15000000</v>
      </c>
      <c r="M1368" s="4">
        <v>2006</v>
      </c>
      <c r="N1368" s="4">
        <v>7.4</v>
      </c>
      <c r="O1368" s="4">
        <f ca="1">IFERROR(__xludf.DUMMYFUNCTION("IF(Cost_in_dollars!E1368=""USD"",Cost_in_dollars!B1368,Cost_in_dollars!B1368 * GOOGLEFINANCE(""CURRENCY:"" &amp; Cost_in_dollars!E1368 &amp; ""USD""))
"),19281000)</f>
        <v>19281000</v>
      </c>
      <c r="P1368" s="4">
        <f ca="1">IFERROR(__xludf.DUMMYFUNCTION("IF(Cost_in_dollars!E1368=""USD"",Cost_in_dollars!C1368,Cost_in_dollars!C1368 * GOOGLEFINANCE(""CURRENCY:"" &amp; Cost_in_dollars!E1368 &amp; ""USD""))
"),22505644.4179999)</f>
        <v>22505644.417999901</v>
      </c>
      <c r="Q1368" s="4">
        <f t="shared" ca="1" si="30"/>
        <v>3224644.4179999009</v>
      </c>
      <c r="R1368" s="5" t="str">
        <f t="shared" si="31"/>
        <v>Notes on a Scandal</v>
      </c>
      <c r="S1368" s="43" t="str">
        <f t="shared" si="33"/>
        <v>Crime</v>
      </c>
    </row>
    <row r="1369" spans="1:19" ht="15.75" customHeight="1" x14ac:dyDescent="0.25">
      <c r="A1369" s="6" t="s">
        <v>4807</v>
      </c>
      <c r="B1369" s="6">
        <v>608</v>
      </c>
      <c r="C1369" s="6">
        <v>408992272</v>
      </c>
      <c r="D1369" s="6" t="s">
        <v>188</v>
      </c>
      <c r="E1369" s="6" t="s">
        <v>330</v>
      </c>
      <c r="F1369" s="6" t="s">
        <v>4808</v>
      </c>
      <c r="G1369" s="6">
        <v>557489</v>
      </c>
      <c r="H1369" s="6" t="s">
        <v>4809</v>
      </c>
      <c r="I1369" s="6">
        <v>1187</v>
      </c>
      <c r="J1369" s="6" t="s">
        <v>23</v>
      </c>
      <c r="K1369" s="6" t="s">
        <v>24</v>
      </c>
      <c r="L1369" s="6">
        <v>200000000</v>
      </c>
      <c r="M1369" s="6">
        <v>2013</v>
      </c>
      <c r="N1369" s="6">
        <v>7.2</v>
      </c>
      <c r="O1369" s="4">
        <f ca="1">IFERROR(__xludf.DUMMYFUNCTION("IF(Cost_in_dollars!E1369=""USD"",Cost_in_dollars!B1369,Cost_in_dollars!B1369 * GOOGLEFINANCE(""CURRENCY:"" &amp; Cost_in_dollars!E1369 &amp; ""USD""))
"),200000000)</f>
        <v>200000000</v>
      </c>
      <c r="P1369" s="4">
        <f ca="1">IFERROR(__xludf.DUMMYFUNCTION("IF(Cost_in_dollars!E1369=""USD"",Cost_in_dollars!C1369,Cost_in_dollars!C1369 * GOOGLEFINANCE(""CURRENCY:"" &amp; Cost_in_dollars!E1369 &amp; ""USD""))
"),408992272)</f>
        <v>408992272</v>
      </c>
      <c r="Q1369" s="6">
        <f t="shared" ca="1" si="30"/>
        <v>208992272</v>
      </c>
      <c r="R1369" s="7" t="str">
        <f t="shared" si="31"/>
        <v>Iron Man 3</v>
      </c>
      <c r="S1369" s="43" t="str">
        <f t="shared" si="33"/>
        <v>Action</v>
      </c>
    </row>
    <row r="1370" spans="1:19" ht="15.75" customHeight="1" x14ac:dyDescent="0.25">
      <c r="A1370" s="4" t="s">
        <v>4692</v>
      </c>
      <c r="B1370" s="4">
        <v>160</v>
      </c>
      <c r="C1370" s="4">
        <v>59699513</v>
      </c>
      <c r="D1370" s="4" t="s">
        <v>4810</v>
      </c>
      <c r="E1370" s="4" t="s">
        <v>478</v>
      </c>
      <c r="F1370" s="4" t="s">
        <v>4811</v>
      </c>
      <c r="G1370" s="4">
        <v>20827</v>
      </c>
      <c r="H1370" s="4" t="s">
        <v>4812</v>
      </c>
      <c r="I1370" s="4">
        <v>136</v>
      </c>
      <c r="J1370" s="4" t="s">
        <v>23</v>
      </c>
      <c r="K1370" s="4" t="s">
        <v>24</v>
      </c>
      <c r="L1370" s="4">
        <v>35000000</v>
      </c>
      <c r="M1370" s="4">
        <v>2010</v>
      </c>
      <c r="N1370" s="4">
        <v>7.2</v>
      </c>
      <c r="O1370" s="4">
        <f ca="1">IFERROR(__xludf.DUMMYFUNCTION("IF(Cost_in_dollars!E1370=""USD"",Cost_in_dollars!B1370,Cost_in_dollars!B1370 * GOOGLEFINANCE(""CURRENCY:"" &amp; Cost_in_dollars!E1370 &amp; ""USD""))
"),35000000)</f>
        <v>35000000</v>
      </c>
      <c r="P1370" s="4">
        <f ca="1">IFERROR(__xludf.DUMMYFUNCTION("IF(Cost_in_dollars!E1370=""USD"",Cost_in_dollars!C1370,Cost_in_dollars!C1370 * GOOGLEFINANCE(""CURRENCY:"" &amp; Cost_in_dollars!E1370 &amp; ""USD""))
"),59699513)</f>
        <v>59699513</v>
      </c>
      <c r="Q1370" s="4">
        <f t="shared" ca="1" si="30"/>
        <v>24699513</v>
      </c>
      <c r="R1370" s="5" t="str">
        <f t="shared" si="31"/>
        <v>Secretariat</v>
      </c>
      <c r="S1370" s="43" t="str">
        <f t="shared" si="33"/>
        <v>Biography</v>
      </c>
    </row>
    <row r="1371" spans="1:19" ht="15.75" customHeight="1" x14ac:dyDescent="0.25">
      <c r="A1371" s="6" t="s">
        <v>4813</v>
      </c>
      <c r="B1371" s="6">
        <v>327</v>
      </c>
      <c r="C1371" s="6">
        <v>16097842</v>
      </c>
      <c r="D1371" s="6" t="s">
        <v>890</v>
      </c>
      <c r="E1371" s="6" t="s">
        <v>4814</v>
      </c>
      <c r="F1371" s="6" t="s">
        <v>4815</v>
      </c>
      <c r="G1371" s="6">
        <v>53919</v>
      </c>
      <c r="H1371" s="6" t="s">
        <v>4816</v>
      </c>
      <c r="I1371" s="6">
        <v>168</v>
      </c>
      <c r="J1371" s="6" t="s">
        <v>23</v>
      </c>
      <c r="K1371" s="6" t="s">
        <v>24</v>
      </c>
      <c r="L1371" s="6">
        <v>900000</v>
      </c>
      <c r="M1371" s="6">
        <v>2013</v>
      </c>
      <c r="N1371" s="6">
        <v>7.5</v>
      </c>
      <c r="O1371" s="4">
        <f ca="1">IFERROR(__xludf.DUMMYFUNCTION("IF(Cost_in_dollars!E1371=""USD"",Cost_in_dollars!B1371,Cost_in_dollars!B1371 * GOOGLEFINANCE(""CURRENCY:"" &amp; Cost_in_dollars!E1371 &amp; ""USD""))
"),900000)</f>
        <v>900000</v>
      </c>
      <c r="P1371" s="4">
        <f ca="1">IFERROR(__xludf.DUMMYFUNCTION("IF(Cost_in_dollars!E1371=""USD"",Cost_in_dollars!C1371,Cost_in_dollars!C1371 * GOOGLEFINANCE(""CURRENCY:"" &amp; Cost_in_dollars!E1371 &amp; ""USD""))
"),16097842)</f>
        <v>16097842</v>
      </c>
      <c r="Q1371" s="6">
        <f t="shared" ca="1" si="30"/>
        <v>15197842</v>
      </c>
      <c r="R1371" s="7" t="str">
        <f t="shared" si="31"/>
        <v>Fruitvale Station</v>
      </c>
      <c r="S1371" s="43" t="str">
        <f t="shared" si="33"/>
        <v>Biography</v>
      </c>
    </row>
    <row r="1372" spans="1:19" ht="15.75" customHeight="1" x14ac:dyDescent="0.25">
      <c r="A1372" s="4" t="s">
        <v>4817</v>
      </c>
      <c r="B1372" s="4">
        <v>175</v>
      </c>
      <c r="C1372" s="4">
        <v>52320979</v>
      </c>
      <c r="D1372" s="4" t="s">
        <v>3272</v>
      </c>
      <c r="E1372" s="4" t="s">
        <v>1173</v>
      </c>
      <c r="F1372" s="4" t="s">
        <v>4818</v>
      </c>
      <c r="G1372" s="4">
        <v>114321</v>
      </c>
      <c r="H1372" s="4" t="s">
        <v>4819</v>
      </c>
      <c r="I1372" s="4">
        <v>548</v>
      </c>
      <c r="J1372" s="4" t="s">
        <v>23</v>
      </c>
      <c r="K1372" s="4" t="s">
        <v>24</v>
      </c>
      <c r="L1372" s="4">
        <v>40000000</v>
      </c>
      <c r="M1372" s="4">
        <v>2006</v>
      </c>
      <c r="N1372" s="4">
        <v>6.8</v>
      </c>
      <c r="O1372" s="4">
        <f ca="1">IFERROR(__xludf.DUMMYFUNCTION("IF(Cost_in_dollars!E1372=""USD"",Cost_in_dollars!B1372,Cost_in_dollars!B1372 * GOOGLEFINANCE(""CURRENCY:"" &amp; Cost_in_dollars!E1372 &amp; ""USD""))
"),40000000)</f>
        <v>40000000</v>
      </c>
      <c r="P1372" s="4">
        <f ca="1">IFERROR(__xludf.DUMMYFUNCTION("IF(Cost_in_dollars!E1372=""USD"",Cost_in_dollars!C1372,Cost_in_dollars!C1372 * GOOGLEFINANCE(""CURRENCY:"" &amp; Cost_in_dollars!E1372 &amp; ""USD""))
"),52320979)</f>
        <v>52320979</v>
      </c>
      <c r="Q1372" s="4">
        <f t="shared" ca="1" si="30"/>
        <v>12320979</v>
      </c>
      <c r="R1372" s="5" t="str">
        <f t="shared" si="31"/>
        <v>The Lake House</v>
      </c>
      <c r="S1372" s="43" t="str">
        <f t="shared" si="33"/>
        <v>Drama</v>
      </c>
    </row>
    <row r="1373" spans="1:19" ht="15.75" customHeight="1" x14ac:dyDescent="0.25">
      <c r="A1373" s="6" t="s">
        <v>4820</v>
      </c>
      <c r="B1373" s="6">
        <v>325</v>
      </c>
      <c r="C1373" s="6">
        <v>94822707</v>
      </c>
      <c r="D1373" s="6" t="s">
        <v>928</v>
      </c>
      <c r="E1373" s="6" t="s">
        <v>69</v>
      </c>
      <c r="F1373" s="6" t="s">
        <v>4821</v>
      </c>
      <c r="G1373" s="6">
        <v>227072</v>
      </c>
      <c r="H1373" s="6" t="s">
        <v>4822</v>
      </c>
      <c r="I1373" s="6">
        <v>560</v>
      </c>
      <c r="J1373" s="6" t="s">
        <v>23</v>
      </c>
      <c r="K1373" s="6" t="s">
        <v>24</v>
      </c>
      <c r="L1373" s="6">
        <v>80000000</v>
      </c>
      <c r="M1373" s="6">
        <v>2010</v>
      </c>
      <c r="N1373" s="6">
        <v>6.9</v>
      </c>
      <c r="O1373" s="4">
        <f ca="1">IFERROR(__xludf.DUMMYFUNCTION("IF(Cost_in_dollars!E1373=""USD"",Cost_in_dollars!B1373,Cost_in_dollars!B1373 * GOOGLEFINANCE(""CURRENCY:"" &amp; Cost_in_dollars!E1373 &amp; ""USD""))
"),80000000)</f>
        <v>80000000</v>
      </c>
      <c r="P1373" s="4">
        <f ca="1">IFERROR(__xludf.DUMMYFUNCTION("IF(Cost_in_dollars!E1373=""USD"",Cost_in_dollars!C1373,Cost_in_dollars!C1373 * GOOGLEFINANCE(""CURRENCY:"" &amp; Cost_in_dollars!E1373 &amp; ""USD""))
"),94822707)</f>
        <v>94822707</v>
      </c>
      <c r="Q1373" s="6">
        <f t="shared" ca="1" si="30"/>
        <v>14822707</v>
      </c>
      <c r="R1373" s="7" t="str">
        <f t="shared" si="31"/>
        <v>The Book of Eli</v>
      </c>
      <c r="S1373" s="43" t="str">
        <f t="shared" si="33"/>
        <v>Action</v>
      </c>
    </row>
    <row r="1374" spans="1:19" ht="15.75" customHeight="1" x14ac:dyDescent="0.25">
      <c r="A1374" s="4" t="s">
        <v>2421</v>
      </c>
      <c r="B1374" s="4">
        <v>51</v>
      </c>
      <c r="C1374" s="4">
        <v>34700000</v>
      </c>
      <c r="D1374" s="4" t="s">
        <v>235</v>
      </c>
      <c r="E1374" s="4" t="s">
        <v>1173</v>
      </c>
      <c r="F1374" s="4" t="s">
        <v>4823</v>
      </c>
      <c r="G1374" s="4">
        <v>52846</v>
      </c>
      <c r="H1374" s="4" t="s">
        <v>4824</v>
      </c>
      <c r="I1374" s="4">
        <v>143</v>
      </c>
      <c r="J1374" s="4" t="s">
        <v>23</v>
      </c>
      <c r="K1374" s="4" t="s">
        <v>24</v>
      </c>
      <c r="L1374" s="4">
        <v>14000000</v>
      </c>
      <c r="M1374" s="4">
        <v>1988</v>
      </c>
      <c r="N1374" s="4">
        <v>7.7</v>
      </c>
      <c r="O1374" s="4">
        <f ca="1">IFERROR(__xludf.DUMMYFUNCTION("IF(Cost_in_dollars!E1374=""USD"",Cost_in_dollars!B1374,Cost_in_dollars!B1374 * GOOGLEFINANCE(""CURRENCY:"" &amp; Cost_in_dollars!E1374 &amp; ""USD""))
"),14000000)</f>
        <v>14000000</v>
      </c>
      <c r="P1374" s="4">
        <f ca="1">IFERROR(__xludf.DUMMYFUNCTION("IF(Cost_in_dollars!E1374=""USD"",Cost_in_dollars!C1374,Cost_in_dollars!C1374 * GOOGLEFINANCE(""CURRENCY:"" &amp; Cost_in_dollars!E1374 &amp; ""USD""))
"),34700000)</f>
        <v>34700000</v>
      </c>
      <c r="Q1374" s="4">
        <f t="shared" ca="1" si="30"/>
        <v>20700000</v>
      </c>
      <c r="R1374" s="5" t="str">
        <f t="shared" si="31"/>
        <v>Dangerous Liaisons</v>
      </c>
      <c r="S1374" s="43" t="str">
        <f t="shared" si="33"/>
        <v>Drama</v>
      </c>
    </row>
    <row r="1375" spans="1:19" ht="15.75" customHeight="1" x14ac:dyDescent="0.25">
      <c r="A1375" s="6" t="s">
        <v>1723</v>
      </c>
      <c r="B1375" s="6">
        <v>206</v>
      </c>
      <c r="C1375" s="6">
        <v>25040293</v>
      </c>
      <c r="D1375" s="6" t="s">
        <v>281</v>
      </c>
      <c r="E1375" s="6" t="s">
        <v>1571</v>
      </c>
      <c r="F1375" s="6" t="s">
        <v>4825</v>
      </c>
      <c r="G1375" s="6">
        <v>88049</v>
      </c>
      <c r="H1375" s="6" t="s">
        <v>4826</v>
      </c>
      <c r="I1375" s="6">
        <v>279</v>
      </c>
      <c r="J1375" s="6" t="s">
        <v>23</v>
      </c>
      <c r="K1375" s="6" t="s">
        <v>24</v>
      </c>
      <c r="L1375" s="6">
        <v>55000000</v>
      </c>
      <c r="M1375" s="6">
        <v>2008</v>
      </c>
      <c r="N1375" s="6">
        <v>6.6</v>
      </c>
      <c r="O1375" s="4">
        <f ca="1">IFERROR(__xludf.DUMMYFUNCTION("IF(Cost_in_dollars!E1375=""USD"",Cost_in_dollars!B1375,Cost_in_dollars!B1375 * GOOGLEFINANCE(""CURRENCY:"" &amp; Cost_in_dollars!E1375 &amp; ""USD""))
"),55000000)</f>
        <v>55000000</v>
      </c>
      <c r="P1375" s="4">
        <f ca="1">IFERROR(__xludf.DUMMYFUNCTION("IF(Cost_in_dollars!E1375=""USD"",Cost_in_dollars!C1375,Cost_in_dollars!C1375 * GOOGLEFINANCE(""CURRENCY:"" &amp; Cost_in_dollars!E1375 &amp; ""USD""))
"),25040293)</f>
        <v>25040293</v>
      </c>
      <c r="Q1375" s="6">
        <f t="shared" ca="1" si="30"/>
        <v>-29959707</v>
      </c>
      <c r="R1375" s="7" t="str">
        <f t="shared" si="31"/>
        <v>The Forbidden Kingdom</v>
      </c>
      <c r="S1375" s="43" t="str">
        <f t="shared" si="33"/>
        <v>Action</v>
      </c>
    </row>
    <row r="1376" spans="1:19" ht="15.75" customHeight="1" x14ac:dyDescent="0.25">
      <c r="A1376" s="4" t="s">
        <v>1495</v>
      </c>
      <c r="B1376" s="4">
        <v>93</v>
      </c>
      <c r="C1376" s="4">
        <v>67155742</v>
      </c>
      <c r="D1376" s="4" t="s">
        <v>477</v>
      </c>
      <c r="E1376" s="4" t="s">
        <v>4827</v>
      </c>
      <c r="F1376" s="4" t="s">
        <v>4828</v>
      </c>
      <c r="G1376" s="4">
        <v>62271</v>
      </c>
      <c r="H1376" s="4" t="s">
        <v>4829</v>
      </c>
      <c r="I1376" s="4">
        <v>277</v>
      </c>
      <c r="J1376" s="4" t="s">
        <v>23</v>
      </c>
      <c r="K1376" s="4" t="s">
        <v>24</v>
      </c>
      <c r="L1376" s="4">
        <v>116000000</v>
      </c>
      <c r="M1376" s="4">
        <v>1997</v>
      </c>
      <c r="N1376" s="4">
        <v>5.8</v>
      </c>
      <c r="O1376" s="4">
        <f ca="1">IFERROR(__xludf.DUMMYFUNCTION("IF(Cost_in_dollars!E1376=""USD"",Cost_in_dollars!B1376,Cost_in_dollars!B1376 * GOOGLEFINANCE(""CURRENCY:"" &amp; Cost_in_dollars!E1376 &amp; ""USD""))
"),116000000)</f>
        <v>116000000</v>
      </c>
      <c r="P1376" s="4">
        <f ca="1">IFERROR(__xludf.DUMMYFUNCTION("IF(Cost_in_dollars!E1376=""USD"",Cost_in_dollars!C1376,Cost_in_dollars!C1376 * GOOGLEFINANCE(""CURRENCY:"" &amp; Cost_in_dollars!E1376 &amp; ""USD""))
"),67155742)</f>
        <v>67155742</v>
      </c>
      <c r="Q1376" s="4">
        <f t="shared" ca="1" si="30"/>
        <v>-48844258</v>
      </c>
      <c r="R1376" s="5" t="str">
        <f t="shared" si="31"/>
        <v>Dante's Peak</v>
      </c>
      <c r="S1376" s="43" t="str">
        <f t="shared" si="33"/>
        <v>Action</v>
      </c>
    </row>
    <row r="1377" spans="1:19" ht="15.75" customHeight="1" x14ac:dyDescent="0.25">
      <c r="A1377" s="6" t="s">
        <v>726</v>
      </c>
      <c r="B1377" s="6">
        <v>178</v>
      </c>
      <c r="C1377" s="6">
        <v>55845943</v>
      </c>
      <c r="D1377" s="6" t="s">
        <v>155</v>
      </c>
      <c r="E1377" s="6" t="s">
        <v>84</v>
      </c>
      <c r="F1377" s="6" t="s">
        <v>4830</v>
      </c>
      <c r="G1377" s="6">
        <v>130094</v>
      </c>
      <c r="H1377" s="6" t="s">
        <v>4831</v>
      </c>
      <c r="I1377" s="6">
        <v>471</v>
      </c>
      <c r="J1377" s="6" t="s">
        <v>23</v>
      </c>
      <c r="K1377" s="6" t="s">
        <v>24</v>
      </c>
      <c r="L1377" s="6">
        <v>29000000</v>
      </c>
      <c r="M1377" s="6">
        <v>2003</v>
      </c>
      <c r="N1377" s="6">
        <v>6.4</v>
      </c>
      <c r="O1377" s="4">
        <f ca="1">IFERROR(__xludf.DUMMYFUNCTION("IF(Cost_in_dollars!E1377=""USD"",Cost_in_dollars!B1377,Cost_in_dollars!B1377 * GOOGLEFINANCE(""CURRENCY:"" &amp; Cost_in_dollars!E1377 &amp; ""USD""))
"),29000000)</f>
        <v>29000000</v>
      </c>
      <c r="P1377" s="4">
        <f ca="1">IFERROR(__xludf.DUMMYFUNCTION("IF(Cost_in_dollars!E1377=""USD"",Cost_in_dollars!C1377,Cost_in_dollars!C1377 * GOOGLEFINANCE(""CURRENCY:"" &amp; Cost_in_dollars!E1377 &amp; ""USD""))
"),55845943)</f>
        <v>55845943</v>
      </c>
      <c r="Q1377" s="6">
        <f t="shared" ca="1" si="30"/>
        <v>26845943</v>
      </c>
      <c r="R1377" s="7" t="str">
        <f t="shared" si="31"/>
        <v>Once Upon a Time in Mexico</v>
      </c>
      <c r="S1377" s="43" t="str">
        <f t="shared" si="33"/>
        <v>Action</v>
      </c>
    </row>
    <row r="1378" spans="1:19" ht="15.75" customHeight="1" x14ac:dyDescent="0.25">
      <c r="A1378" s="4" t="s">
        <v>4832</v>
      </c>
      <c r="B1378" s="4">
        <v>411</v>
      </c>
      <c r="C1378" s="4">
        <v>71897215</v>
      </c>
      <c r="D1378" s="4" t="s">
        <v>4833</v>
      </c>
      <c r="E1378" s="4" t="s">
        <v>1916</v>
      </c>
      <c r="F1378" s="4" t="s">
        <v>4834</v>
      </c>
      <c r="G1378" s="4">
        <v>126893</v>
      </c>
      <c r="H1378" s="4" t="s">
        <v>4835</v>
      </c>
      <c r="I1378" s="4">
        <v>440</v>
      </c>
      <c r="J1378" s="4" t="s">
        <v>23</v>
      </c>
      <c r="K1378" s="4" t="s">
        <v>24</v>
      </c>
      <c r="L1378" s="4">
        <v>15000000</v>
      </c>
      <c r="M1378" s="4">
        <v>2016</v>
      </c>
      <c r="N1378" s="4">
        <v>7.3</v>
      </c>
      <c r="O1378" s="4">
        <f ca="1">IFERROR(__xludf.DUMMYFUNCTION("IF(Cost_in_dollars!E1378=""USD"",Cost_in_dollars!B1378,Cost_in_dollars!B1378 * GOOGLEFINANCE(""CURRENCY:"" &amp; Cost_in_dollars!E1378 &amp; ""USD""))
"),15000000)</f>
        <v>15000000</v>
      </c>
      <c r="P1378" s="4">
        <f ca="1">IFERROR(__xludf.DUMMYFUNCTION("IF(Cost_in_dollars!E1378=""USD"",Cost_in_dollars!C1378,Cost_in_dollars!C1378 * GOOGLEFINANCE(""CURRENCY:"" &amp; Cost_in_dollars!E1378 &amp; ""USD""))
"),71897215)</f>
        <v>71897215</v>
      </c>
      <c r="Q1378" s="4">
        <f t="shared" ca="1" si="30"/>
        <v>56897215</v>
      </c>
      <c r="R1378" s="5" t="str">
        <f t="shared" si="31"/>
        <v>10 Cloverfield Lane</v>
      </c>
      <c r="S1378" s="43" t="str">
        <f t="shared" si="33"/>
        <v>Drama</v>
      </c>
    </row>
    <row r="1379" spans="1:19" ht="15.75" customHeight="1" x14ac:dyDescent="0.25">
      <c r="A1379" s="6" t="s">
        <v>3601</v>
      </c>
      <c r="B1379" s="6">
        <v>191</v>
      </c>
      <c r="C1379" s="6">
        <v>31990064</v>
      </c>
      <c r="D1379" s="6" t="s">
        <v>3436</v>
      </c>
      <c r="E1379" s="6" t="s">
        <v>4836</v>
      </c>
      <c r="F1379" s="6" t="s">
        <v>4837</v>
      </c>
      <c r="G1379" s="6">
        <v>63390</v>
      </c>
      <c r="H1379" s="6" t="s">
        <v>4838</v>
      </c>
      <c r="I1379" s="6">
        <v>160</v>
      </c>
      <c r="J1379" s="6" t="s">
        <v>23</v>
      </c>
      <c r="K1379" s="6" t="s">
        <v>24</v>
      </c>
      <c r="L1379" s="6">
        <v>12000000</v>
      </c>
      <c r="M1379" s="6">
        <v>2015</v>
      </c>
      <c r="N1379" s="6">
        <v>6.4</v>
      </c>
      <c r="O1379" s="4">
        <f ca="1">IFERROR(__xludf.DUMMYFUNCTION("IF(Cost_in_dollars!E1379=""USD"",Cost_in_dollars!B1379,Cost_in_dollars!B1379 * GOOGLEFINANCE(""CURRENCY:"" &amp; Cost_in_dollars!E1379 &amp; ""USD""))
"),12000000)</f>
        <v>12000000</v>
      </c>
      <c r="P1379" s="4">
        <f ca="1">IFERROR(__xludf.DUMMYFUNCTION("IF(Cost_in_dollars!E1379=""USD"",Cost_in_dollars!C1379,Cost_in_dollars!C1379 * GOOGLEFINANCE(""CURRENCY:"" &amp; Cost_in_dollars!E1379 &amp; ""USD""))
"),31990064)</f>
        <v>31990064</v>
      </c>
      <c r="Q1379" s="6">
        <f t="shared" ca="1" si="30"/>
        <v>19990064</v>
      </c>
      <c r="R1379" s="7" t="str">
        <f t="shared" si="31"/>
        <v>Paper Towns</v>
      </c>
      <c r="S1379" s="43" t="str">
        <f t="shared" si="33"/>
        <v>Drama</v>
      </c>
    </row>
    <row r="1380" spans="1:19" ht="15.75" customHeight="1" x14ac:dyDescent="0.25">
      <c r="A1380" s="4" t="s">
        <v>1667</v>
      </c>
      <c r="B1380" s="4">
        <v>318</v>
      </c>
      <c r="C1380" s="4">
        <v>47000000</v>
      </c>
      <c r="D1380" s="4" t="s">
        <v>309</v>
      </c>
      <c r="E1380" s="4" t="s">
        <v>393</v>
      </c>
      <c r="F1380" s="4" t="s">
        <v>4018</v>
      </c>
      <c r="G1380" s="4">
        <v>157857</v>
      </c>
      <c r="H1380" s="4" t="s">
        <v>4019</v>
      </c>
      <c r="I1380" s="4">
        <v>1191</v>
      </c>
      <c r="J1380" s="4" t="s">
        <v>23</v>
      </c>
      <c r="K1380" s="4" t="s">
        <v>24</v>
      </c>
      <c r="L1380" s="4">
        <v>300000</v>
      </c>
      <c r="M1380" s="4">
        <v>1978</v>
      </c>
      <c r="N1380" s="4">
        <v>7.9</v>
      </c>
      <c r="O1380" s="4">
        <f ca="1">IFERROR(__xludf.DUMMYFUNCTION("IF(Cost_in_dollars!E1380=""USD"",Cost_in_dollars!B1380,Cost_in_dollars!B1380 * GOOGLEFINANCE(""CURRENCY:"" &amp; Cost_in_dollars!E1380 &amp; ""USD""))
"),300000)</f>
        <v>300000</v>
      </c>
      <c r="P1380" s="4">
        <f ca="1">IFERROR(__xludf.DUMMYFUNCTION("IF(Cost_in_dollars!E1380=""USD"",Cost_in_dollars!C1380,Cost_in_dollars!C1380 * GOOGLEFINANCE(""CURRENCY:"" &amp; Cost_in_dollars!E1380 &amp; ""USD""))
"),47000000)</f>
        <v>47000000</v>
      </c>
      <c r="Q1380" s="4">
        <f t="shared" ca="1" si="30"/>
        <v>46700000</v>
      </c>
      <c r="R1380" s="5" t="str">
        <f t="shared" si="31"/>
        <v>Halloween</v>
      </c>
      <c r="S1380" s="43" t="str">
        <f t="shared" si="33"/>
        <v>Horror</v>
      </c>
    </row>
    <row r="1381" spans="1:19" ht="15.75" customHeight="1" x14ac:dyDescent="0.25">
      <c r="A1381" s="6" t="s">
        <v>1604</v>
      </c>
      <c r="B1381" s="6">
        <v>169</v>
      </c>
      <c r="C1381" s="6">
        <v>59475623</v>
      </c>
      <c r="D1381" s="6" t="s">
        <v>4839</v>
      </c>
      <c r="E1381" s="6" t="s">
        <v>1764</v>
      </c>
      <c r="F1381" s="6" t="s">
        <v>4840</v>
      </c>
      <c r="G1381" s="6">
        <v>49739</v>
      </c>
      <c r="H1381" s="6" t="s">
        <v>4841</v>
      </c>
      <c r="I1381" s="6">
        <v>407</v>
      </c>
      <c r="J1381" s="6" t="s">
        <v>23</v>
      </c>
      <c r="K1381" s="6" t="s">
        <v>24</v>
      </c>
      <c r="L1381" s="6">
        <v>90000000</v>
      </c>
      <c r="M1381" s="6">
        <v>2004</v>
      </c>
      <c r="N1381" s="6">
        <v>5.2</v>
      </c>
      <c r="O1381" s="4">
        <f ca="1">IFERROR(__xludf.DUMMYFUNCTION("IF(Cost_in_dollars!E1381=""USD"",Cost_in_dollars!B1381,Cost_in_dollars!B1381 * GOOGLEFINANCE(""CURRENCY:"" &amp; Cost_in_dollars!E1381 &amp; ""USD""))
"),90000000)</f>
        <v>90000000</v>
      </c>
      <c r="P1381" s="4">
        <f ca="1">IFERROR(__xludf.DUMMYFUNCTION("IF(Cost_in_dollars!E1381=""USD"",Cost_in_dollars!C1381,Cost_in_dollars!C1381 * GOOGLEFINANCE(""CURRENCY:"" &amp; Cost_in_dollars!E1381 &amp; ""USD""))
"),59475623)</f>
        <v>59475623</v>
      </c>
      <c r="Q1381" s="6">
        <f t="shared" ca="1" si="30"/>
        <v>-30524377</v>
      </c>
      <c r="R1381" s="7" t="str">
        <f t="shared" si="31"/>
        <v>The Stepford Wives</v>
      </c>
      <c r="S1381" s="43" t="str">
        <f t="shared" si="33"/>
        <v>Comedy</v>
      </c>
    </row>
    <row r="1382" spans="1:19" ht="15.75" customHeight="1" x14ac:dyDescent="0.25">
      <c r="A1382" s="4" t="s">
        <v>4842</v>
      </c>
      <c r="B1382" s="4">
        <v>69</v>
      </c>
      <c r="C1382" s="4">
        <v>2353728</v>
      </c>
      <c r="D1382" s="4" t="s">
        <v>4843</v>
      </c>
      <c r="E1382" s="4" t="s">
        <v>4844</v>
      </c>
      <c r="F1382" s="4" t="s">
        <v>4845</v>
      </c>
      <c r="G1382" s="4">
        <v>4293</v>
      </c>
      <c r="H1382" s="4" t="s">
        <v>4846</v>
      </c>
      <c r="I1382" s="4">
        <v>53</v>
      </c>
      <c r="J1382" s="4" t="s">
        <v>661</v>
      </c>
      <c r="K1382" s="4" t="s">
        <v>611</v>
      </c>
      <c r="L1382" s="4">
        <v>20000000</v>
      </c>
      <c r="M1382" s="4">
        <v>2003</v>
      </c>
      <c r="N1382" s="4">
        <v>6.9</v>
      </c>
      <c r="O1382" s="4">
        <f ca="1">IFERROR(__xludf.DUMMYFUNCTION("IF(Cost_in_dollars!E1382=""USD"",Cost_in_dollars!B1382,Cost_in_dollars!B1382 * GOOGLEFINANCE(""CURRENCY:"" &amp; Cost_in_dollars!E1382 &amp; ""USD""))
"),21694800)</f>
        <v>21694800</v>
      </c>
      <c r="P1382" s="4">
        <f ca="1">IFERROR(__xludf.DUMMYFUNCTION("IF(Cost_in_dollars!E1382=""USD"",Cost_in_dollars!C1382,Cost_in_dollars!C1382 * GOOGLEFINANCE(""CURRENCY:"" &amp; Cost_in_dollars!E1382 &amp; ""USD""))
"),2553182.91072)</f>
        <v>2553182.91072</v>
      </c>
      <c r="Q1382" s="4">
        <f t="shared" ca="1" si="30"/>
        <v>-19141617.089280002</v>
      </c>
      <c r="R1382" s="5" t="str">
        <f t="shared" si="31"/>
        <v>Bon voyage</v>
      </c>
      <c r="S1382" s="43" t="str">
        <f t="shared" si="33"/>
        <v>Comedy</v>
      </c>
    </row>
    <row r="1383" spans="1:19" ht="15.75" customHeight="1" x14ac:dyDescent="0.25">
      <c r="A1383" s="6" t="s">
        <v>4847</v>
      </c>
      <c r="B1383" s="6">
        <v>162</v>
      </c>
      <c r="C1383" s="6">
        <v>6712241</v>
      </c>
      <c r="D1383" s="6" t="s">
        <v>53</v>
      </c>
      <c r="E1383" s="6" t="s">
        <v>2797</v>
      </c>
      <c r="F1383" s="6" t="s">
        <v>4848</v>
      </c>
      <c r="G1383" s="6">
        <v>782437</v>
      </c>
      <c r="H1383" s="6" t="s">
        <v>4849</v>
      </c>
      <c r="I1383" s="6">
        <v>1420</v>
      </c>
      <c r="J1383" s="6" t="s">
        <v>23</v>
      </c>
      <c r="K1383" s="6" t="s">
        <v>24</v>
      </c>
      <c r="L1383" s="6">
        <v>7500000</v>
      </c>
      <c r="M1383" s="6">
        <v>1998</v>
      </c>
      <c r="N1383" s="6">
        <v>8.6</v>
      </c>
      <c r="O1383" s="4">
        <f ca="1">IFERROR(__xludf.DUMMYFUNCTION("IF(Cost_in_dollars!E1383=""USD"",Cost_in_dollars!B1383,Cost_in_dollars!B1383 * GOOGLEFINANCE(""CURRENCY:"" &amp; Cost_in_dollars!E1383 &amp; ""USD""))
"),7500000)</f>
        <v>7500000</v>
      </c>
      <c r="P1383" s="4">
        <f ca="1">IFERROR(__xludf.DUMMYFUNCTION("IF(Cost_in_dollars!E1383=""USD"",Cost_in_dollars!C1383,Cost_in_dollars!C1383 * GOOGLEFINANCE(""CURRENCY:"" &amp; Cost_in_dollars!E1383 &amp; ""USD""))
"),6712241)</f>
        <v>6712241</v>
      </c>
      <c r="Q1383" s="6">
        <f t="shared" ca="1" si="30"/>
        <v>-787759</v>
      </c>
      <c r="R1383" s="7" t="str">
        <f t="shared" si="31"/>
        <v>American History X</v>
      </c>
      <c r="S1383" s="43" t="str">
        <f t="shared" si="33"/>
        <v>Crime</v>
      </c>
    </row>
    <row r="1384" spans="1:19" ht="15.75" customHeight="1" x14ac:dyDescent="0.25">
      <c r="A1384" s="4" t="s">
        <v>1967</v>
      </c>
      <c r="B1384" s="4">
        <v>127</v>
      </c>
      <c r="C1384" s="4">
        <v>32003620</v>
      </c>
      <c r="D1384" s="4" t="s">
        <v>155</v>
      </c>
      <c r="E1384" s="4" t="s">
        <v>4850</v>
      </c>
      <c r="F1384" s="4" t="s">
        <v>4851</v>
      </c>
      <c r="G1384" s="4">
        <v>79141</v>
      </c>
      <c r="H1384" s="4" t="s">
        <v>4852</v>
      </c>
      <c r="I1384" s="4">
        <v>355</v>
      </c>
      <c r="J1384" s="4" t="s">
        <v>23</v>
      </c>
      <c r="K1384" s="4" t="s">
        <v>24</v>
      </c>
      <c r="L1384" s="4">
        <v>25000000</v>
      </c>
      <c r="M1384" s="4">
        <v>2004</v>
      </c>
      <c r="N1384" s="4">
        <v>6.5</v>
      </c>
      <c r="O1384" s="4">
        <f ca="1">IFERROR(__xludf.DUMMYFUNCTION("IF(Cost_in_dollars!E1384=""USD"",Cost_in_dollars!B1384,Cost_in_dollars!B1384 * GOOGLEFINANCE(""CURRENCY:"" &amp; Cost_in_dollars!E1384 &amp; ""USD""))
"),25000000)</f>
        <v>25000000</v>
      </c>
      <c r="P1384" s="4">
        <f ca="1">IFERROR(__xludf.DUMMYFUNCTION("IF(Cost_in_dollars!E1384=""USD"",Cost_in_dollars!C1384,Cost_in_dollars!C1384 * GOOGLEFINANCE(""CURRENCY:"" &amp; Cost_in_dollars!E1384 &amp; ""USD""))
"),32003620)</f>
        <v>32003620</v>
      </c>
      <c r="Q1384" s="4">
        <f t="shared" ca="1" si="30"/>
        <v>7003620</v>
      </c>
      <c r="R1384" s="5" t="str">
        <f t="shared" si="31"/>
        <v>Cellular</v>
      </c>
      <c r="S1384" s="43" t="str">
        <f t="shared" si="33"/>
        <v>Action</v>
      </c>
    </row>
    <row r="1385" spans="1:19" ht="15.75" customHeight="1" x14ac:dyDescent="0.25">
      <c r="A1385" s="6" t="s">
        <v>4853</v>
      </c>
      <c r="B1385" s="6">
        <v>138</v>
      </c>
      <c r="C1385" s="6">
        <v>1183354</v>
      </c>
      <c r="D1385" s="6" t="s">
        <v>4854</v>
      </c>
      <c r="E1385" s="6" t="s">
        <v>4855</v>
      </c>
      <c r="F1385" s="6" t="s">
        <v>4856</v>
      </c>
      <c r="G1385" s="6">
        <v>13026</v>
      </c>
      <c r="H1385" s="6" t="s">
        <v>4857</v>
      </c>
      <c r="I1385" s="6">
        <v>75</v>
      </c>
      <c r="J1385" s="6" t="s">
        <v>23</v>
      </c>
      <c r="K1385" s="6" t="s">
        <v>24</v>
      </c>
      <c r="L1385" s="6">
        <v>20000000</v>
      </c>
      <c r="M1385" s="6">
        <v>2010</v>
      </c>
      <c r="N1385" s="6">
        <v>5.0999999999999996</v>
      </c>
      <c r="O1385" s="4">
        <f ca="1">IFERROR(__xludf.DUMMYFUNCTION("IF(Cost_in_dollars!E1385=""USD"",Cost_in_dollars!B1385,Cost_in_dollars!B1385 * GOOGLEFINANCE(""CURRENCY:"" &amp; Cost_in_dollars!E1385 &amp; ""USD""))
"),20000000)</f>
        <v>20000000</v>
      </c>
      <c r="P1385" s="4">
        <f ca="1">IFERROR(__xludf.DUMMYFUNCTION("IF(Cost_in_dollars!E1385=""USD"",Cost_in_dollars!C1385,Cost_in_dollars!C1385 * GOOGLEFINANCE(""CURRENCY:"" &amp; Cost_in_dollars!E1385 &amp; ""USD""))
"),1183354)</f>
        <v>1183354</v>
      </c>
      <c r="Q1385" s="6">
        <f t="shared" ca="1" si="30"/>
        <v>-18816646</v>
      </c>
      <c r="R1385" s="7" t="str">
        <f t="shared" si="31"/>
        <v>Dylan Dog: Dead of Night</v>
      </c>
      <c r="S1385" s="43" t="str">
        <f t="shared" si="33"/>
        <v>Action</v>
      </c>
    </row>
    <row r="1386" spans="1:19" ht="15.75" customHeight="1" x14ac:dyDescent="0.25">
      <c r="A1386" s="4" t="s">
        <v>177</v>
      </c>
      <c r="B1386" s="4">
        <v>288</v>
      </c>
      <c r="C1386" s="4">
        <v>4463292</v>
      </c>
      <c r="D1386" s="4" t="s">
        <v>963</v>
      </c>
      <c r="E1386" s="4" t="s">
        <v>2925</v>
      </c>
      <c r="F1386" s="4" t="s">
        <v>4858</v>
      </c>
      <c r="G1386" s="4">
        <v>34488</v>
      </c>
      <c r="H1386" s="4" t="s">
        <v>4859</v>
      </c>
      <c r="I1386" s="4">
        <v>136</v>
      </c>
      <c r="J1386" s="4" t="s">
        <v>23</v>
      </c>
      <c r="K1386" s="4" t="s">
        <v>133</v>
      </c>
      <c r="L1386" s="4">
        <v>30000000</v>
      </c>
      <c r="M1386" s="4">
        <v>2011</v>
      </c>
      <c r="N1386" s="4">
        <v>6.9</v>
      </c>
      <c r="O1386" s="4">
        <f ca="1">IFERROR(__xludf.DUMMYFUNCTION("IF(Cost_in_dollars!E1386=""USD"",Cost_in_dollars!B1386,Cost_in_dollars!B1386 * GOOGLEFINANCE(""CURRENCY:"" &amp; Cost_in_dollars!E1386 &amp; ""USD""))
"),38562000)</f>
        <v>38562000</v>
      </c>
      <c r="P1386" s="4">
        <f ca="1">IFERROR(__xludf.DUMMYFUNCTION("IF(Cost_in_dollars!E1386=""USD"",Cost_in_dollars!C1386,Cost_in_dollars!C1386 * GOOGLEFINANCE(""CURRENCY:"" &amp; Cost_in_dollars!E1386 &amp; ""USD""))
"),5737115.5368)</f>
        <v>5737115.5367999999</v>
      </c>
      <c r="Q1386" s="4">
        <f t="shared" ca="1" si="30"/>
        <v>-32824884.463199999</v>
      </c>
      <c r="R1386" s="5" t="str">
        <f t="shared" si="31"/>
        <v>Anonymous</v>
      </c>
      <c r="S1386" s="43" t="str">
        <f t="shared" si="33"/>
        <v>Drama</v>
      </c>
    </row>
    <row r="1387" spans="1:19" ht="15.75" customHeight="1" x14ac:dyDescent="0.25">
      <c r="A1387" s="6" t="s">
        <v>962</v>
      </c>
      <c r="B1387" s="6">
        <v>40</v>
      </c>
      <c r="C1387" s="6">
        <v>3468572</v>
      </c>
      <c r="D1387" s="6" t="s">
        <v>102</v>
      </c>
      <c r="E1387" s="6" t="s">
        <v>3851</v>
      </c>
      <c r="F1387" s="6" t="s">
        <v>4860</v>
      </c>
      <c r="G1387" s="6">
        <v>10073</v>
      </c>
      <c r="H1387" s="6" t="s">
        <v>4861</v>
      </c>
      <c r="I1387" s="6">
        <v>78</v>
      </c>
      <c r="J1387" s="6" t="s">
        <v>23</v>
      </c>
      <c r="K1387" s="6" t="s">
        <v>24</v>
      </c>
      <c r="L1387" s="6">
        <v>4000000</v>
      </c>
      <c r="M1387" s="6">
        <v>1988</v>
      </c>
      <c r="N1387" s="6">
        <v>7.3</v>
      </c>
      <c r="O1387" s="4">
        <f ca="1">IFERROR(__xludf.DUMMYFUNCTION("IF(Cost_in_dollars!E1387=""USD"",Cost_in_dollars!B1387,Cost_in_dollars!B1387 * GOOGLEFINANCE(""CURRENCY:"" &amp; Cost_in_dollars!E1387 &amp; ""USD""))
"),4000000)</f>
        <v>4000000</v>
      </c>
      <c r="P1387" s="4">
        <f ca="1">IFERROR(__xludf.DUMMYFUNCTION("IF(Cost_in_dollars!E1387=""USD"",Cost_in_dollars!C1387,Cost_in_dollars!C1387 * GOOGLEFINANCE(""CURRENCY:"" &amp; Cost_in_dollars!E1387 &amp; ""USD""))
"),3468572)</f>
        <v>3468572</v>
      </c>
      <c r="Q1387" s="6">
        <f t="shared" ca="1" si="30"/>
        <v>-531428</v>
      </c>
      <c r="R1387" s="7" t="str">
        <f t="shared" si="31"/>
        <v>Talk Radio</v>
      </c>
      <c r="S1387" s="43" t="str">
        <f t="shared" si="33"/>
        <v>Drama</v>
      </c>
    </row>
    <row r="1388" spans="1:19" ht="15.75" customHeight="1" x14ac:dyDescent="0.25">
      <c r="A1388" s="4" t="s">
        <v>4862</v>
      </c>
      <c r="B1388" s="4">
        <v>40</v>
      </c>
      <c r="C1388" s="4">
        <v>7017178</v>
      </c>
      <c r="D1388" s="4" t="s">
        <v>4863</v>
      </c>
      <c r="E1388" s="4" t="s">
        <v>4864</v>
      </c>
      <c r="F1388" s="4" t="s">
        <v>4865</v>
      </c>
      <c r="G1388" s="4">
        <v>1633</v>
      </c>
      <c r="H1388" s="4" t="s">
        <v>4866</v>
      </c>
      <c r="I1388" s="4">
        <v>17</v>
      </c>
      <c r="J1388" s="4" t="s">
        <v>23</v>
      </c>
      <c r="K1388" s="4" t="s">
        <v>24</v>
      </c>
      <c r="L1388" s="4">
        <v>17500000</v>
      </c>
      <c r="M1388" s="4">
        <v>2013</v>
      </c>
      <c r="N1388" s="4">
        <v>4.4000000000000004</v>
      </c>
      <c r="O1388" s="4">
        <f ca="1">IFERROR(__xludf.DUMMYFUNCTION("IF(Cost_in_dollars!E1388=""USD"",Cost_in_dollars!B1388,Cost_in_dollars!B1388 * GOOGLEFINANCE(""CURRENCY:"" &amp; Cost_in_dollars!E1388 &amp; ""USD""))
"),17500000)</f>
        <v>17500000</v>
      </c>
      <c r="P1388" s="4">
        <f ca="1">IFERROR(__xludf.DUMMYFUNCTION("IF(Cost_in_dollars!E1388=""USD"",Cost_in_dollars!C1388,Cost_in_dollars!C1388 * GOOGLEFINANCE(""CURRENCY:"" &amp; Cost_in_dollars!E1388 &amp; ""USD""))
"),7017178)</f>
        <v>7017178</v>
      </c>
      <c r="Q1388" s="4">
        <f t="shared" ca="1" si="30"/>
        <v>-10482822</v>
      </c>
      <c r="R1388" s="5" t="str">
        <f t="shared" si="31"/>
        <v>Black Nativity</v>
      </c>
      <c r="S1388" s="43" t="str">
        <f t="shared" si="33"/>
        <v>Drama</v>
      </c>
    </row>
    <row r="1389" spans="1:19" ht="15.75" customHeight="1" x14ac:dyDescent="0.25">
      <c r="A1389" s="6" t="s">
        <v>4225</v>
      </c>
      <c r="B1389" s="6">
        <v>103</v>
      </c>
      <c r="C1389" s="6">
        <v>38119483</v>
      </c>
      <c r="D1389" s="6" t="s">
        <v>649</v>
      </c>
      <c r="E1389" s="6" t="s">
        <v>4867</v>
      </c>
      <c r="F1389" s="6" t="s">
        <v>4868</v>
      </c>
      <c r="G1389" s="6">
        <v>136667</v>
      </c>
      <c r="H1389" s="6" t="s">
        <v>4869</v>
      </c>
      <c r="I1389" s="6">
        <v>273</v>
      </c>
      <c r="J1389" s="6" t="s">
        <v>23</v>
      </c>
      <c r="K1389" s="6" t="s">
        <v>24</v>
      </c>
      <c r="L1389" s="6">
        <v>22700000</v>
      </c>
      <c r="M1389" s="6">
        <v>1987</v>
      </c>
      <c r="N1389" s="6">
        <v>7.1</v>
      </c>
      <c r="O1389" s="4">
        <f ca="1">IFERROR(__xludf.DUMMYFUNCTION("IF(Cost_in_dollars!E1389=""USD"",Cost_in_dollars!B1389,Cost_in_dollars!B1389 * GOOGLEFINANCE(""CURRENCY:"" &amp; Cost_in_dollars!E1389 &amp; ""USD""))
"),22700000)</f>
        <v>22700000</v>
      </c>
      <c r="P1389" s="4">
        <f ca="1">IFERROR(__xludf.DUMMYFUNCTION("IF(Cost_in_dollars!E1389=""USD"",Cost_in_dollars!C1389,Cost_in_dollars!C1389 * GOOGLEFINANCE(""CURRENCY:"" &amp; Cost_in_dollars!E1389 &amp; ""USD""))
"),38119483)</f>
        <v>38119483</v>
      </c>
      <c r="Q1389" s="6">
        <f t="shared" ca="1" si="30"/>
        <v>15419483</v>
      </c>
      <c r="R1389" s="7" t="str">
        <f t="shared" si="31"/>
        <v>Spaceballs</v>
      </c>
      <c r="S1389" s="43" t="str">
        <f t="shared" si="33"/>
        <v>Adventure</v>
      </c>
    </row>
    <row r="1390" spans="1:19" ht="15.75" customHeight="1" x14ac:dyDescent="0.25">
      <c r="A1390" s="4" t="s">
        <v>4870</v>
      </c>
      <c r="B1390" s="4">
        <v>25</v>
      </c>
      <c r="C1390" s="4">
        <v>2301777</v>
      </c>
      <c r="D1390" s="4" t="s">
        <v>140</v>
      </c>
      <c r="E1390" s="4" t="s">
        <v>4871</v>
      </c>
      <c r="F1390" s="4" t="s">
        <v>4872</v>
      </c>
      <c r="G1390" s="4">
        <v>819</v>
      </c>
      <c r="H1390" s="4" t="s">
        <v>4873</v>
      </c>
      <c r="I1390" s="4">
        <v>36</v>
      </c>
      <c r="J1390" s="4" t="s">
        <v>23</v>
      </c>
      <c r="K1390" s="4" t="s">
        <v>24</v>
      </c>
      <c r="L1390" s="4">
        <v>650000</v>
      </c>
      <c r="M1390" s="4">
        <v>1997</v>
      </c>
      <c r="N1390" s="4">
        <v>6.5</v>
      </c>
      <c r="O1390" s="4">
        <f ca="1">IFERROR(__xludf.DUMMYFUNCTION("IF(Cost_in_dollars!E1390=""USD"",Cost_in_dollars!B1390,Cost_in_dollars!B1390 * GOOGLEFINANCE(""CURRENCY:"" &amp; Cost_in_dollars!E1390 &amp; ""USD""))
"),650000)</f>
        <v>650000</v>
      </c>
      <c r="P1390" s="4">
        <f ca="1">IFERROR(__xludf.DUMMYFUNCTION("IF(Cost_in_dollars!E1390=""USD"",Cost_in_dollars!C1390,Cost_in_dollars!C1390 * GOOGLEFINANCE(""CURRENCY:"" &amp; Cost_in_dollars!E1390 &amp; ""USD""))
"),2301777)</f>
        <v>2301777</v>
      </c>
      <c r="Q1390" s="4">
        <f t="shared" ca="1" si="30"/>
        <v>1651777</v>
      </c>
      <c r="R1390" s="5" t="str">
        <f t="shared" si="31"/>
        <v>Hav Plenty</v>
      </c>
      <c r="S1390" s="43" t="str">
        <f t="shared" si="33"/>
        <v>Comedy</v>
      </c>
    </row>
    <row r="1391" spans="1:19" ht="15.75" customHeight="1" x14ac:dyDescent="0.25">
      <c r="A1391" s="6" t="s">
        <v>1635</v>
      </c>
      <c r="B1391" s="6">
        <v>51</v>
      </c>
      <c r="C1391" s="6">
        <v>4301331</v>
      </c>
      <c r="D1391" s="6" t="s">
        <v>618</v>
      </c>
      <c r="E1391" s="6" t="s">
        <v>4874</v>
      </c>
      <c r="F1391" s="6" t="s">
        <v>4875</v>
      </c>
      <c r="G1391" s="6">
        <v>78241</v>
      </c>
      <c r="H1391" s="6" t="s">
        <v>4876</v>
      </c>
      <c r="I1391" s="6">
        <v>177</v>
      </c>
      <c r="J1391" s="6" t="s">
        <v>23</v>
      </c>
      <c r="K1391" s="6" t="s">
        <v>24</v>
      </c>
      <c r="L1391" s="6">
        <v>4000000</v>
      </c>
      <c r="M1391" s="6">
        <v>1995</v>
      </c>
      <c r="N1391" s="6">
        <v>6.7</v>
      </c>
      <c r="O1391" s="4">
        <f ca="1">IFERROR(__xludf.DUMMYFUNCTION("IF(Cost_in_dollars!E1391=""USD"",Cost_in_dollars!B1391,Cost_in_dollars!B1391 * GOOGLEFINANCE(""CURRENCY:"" &amp; Cost_in_dollars!E1391 &amp; ""USD""))
"),4000000)</f>
        <v>4000000</v>
      </c>
      <c r="P1391" s="4">
        <f ca="1">IFERROR(__xludf.DUMMYFUNCTION("IF(Cost_in_dollars!E1391=""USD"",Cost_in_dollars!C1391,Cost_in_dollars!C1391 * GOOGLEFINANCE(""CURRENCY:"" &amp; Cost_in_dollars!E1391 &amp; ""USD""))
"),4301331)</f>
        <v>4301331</v>
      </c>
      <c r="Q1391" s="6">
        <f t="shared" ca="1" si="30"/>
        <v>301331</v>
      </c>
      <c r="R1391" s="7" t="str">
        <f t="shared" si="31"/>
        <v>Four Rooms</v>
      </c>
      <c r="S1391" s="43" t="str">
        <f t="shared" si="33"/>
        <v>Comedy</v>
      </c>
    </row>
    <row r="1392" spans="1:19" ht="15.75" customHeight="1" x14ac:dyDescent="0.25">
      <c r="A1392" s="4" t="s">
        <v>597</v>
      </c>
      <c r="B1392" s="4">
        <v>375</v>
      </c>
      <c r="C1392" s="4">
        <v>138447667</v>
      </c>
      <c r="D1392" s="4" t="s">
        <v>268</v>
      </c>
      <c r="E1392" s="4" t="s">
        <v>179</v>
      </c>
      <c r="F1392" s="4" t="s">
        <v>4877</v>
      </c>
      <c r="G1392" s="4">
        <v>408302</v>
      </c>
      <c r="H1392" s="4" t="s">
        <v>4878</v>
      </c>
      <c r="I1392" s="4">
        <v>345</v>
      </c>
      <c r="J1392" s="4" t="s">
        <v>23</v>
      </c>
      <c r="K1392" s="4" t="s">
        <v>24</v>
      </c>
      <c r="L1392" s="4">
        <v>42000000</v>
      </c>
      <c r="M1392" s="4">
        <v>2012</v>
      </c>
      <c r="N1392" s="4">
        <v>7.2</v>
      </c>
      <c r="O1392" s="4">
        <f ca="1">IFERROR(__xludf.DUMMYFUNCTION("IF(Cost_in_dollars!E1392=""USD"",Cost_in_dollars!B1392,Cost_in_dollars!B1392 * GOOGLEFINANCE(""CURRENCY:"" &amp; Cost_in_dollars!E1392 &amp; ""USD""))
"),42000000)</f>
        <v>42000000</v>
      </c>
      <c r="P1392" s="4">
        <f ca="1">IFERROR(__xludf.DUMMYFUNCTION("IF(Cost_in_dollars!E1392=""USD"",Cost_in_dollars!C1392,Cost_in_dollars!C1392 * GOOGLEFINANCE(""CURRENCY:"" &amp; Cost_in_dollars!E1392 &amp; ""USD""))
"),138447667)</f>
        <v>138447667</v>
      </c>
      <c r="Q1392" s="4">
        <f t="shared" ca="1" si="30"/>
        <v>96447667</v>
      </c>
      <c r="R1392" s="5" t="str">
        <f t="shared" si="31"/>
        <v>21 Jump Street</v>
      </c>
      <c r="S1392" s="43" t="str">
        <f t="shared" si="33"/>
        <v>Action</v>
      </c>
    </row>
    <row r="1393" spans="1:19" ht="15.75" customHeight="1" x14ac:dyDescent="0.25">
      <c r="A1393" s="6" t="s">
        <v>695</v>
      </c>
      <c r="B1393" s="6">
        <v>265</v>
      </c>
      <c r="C1393" s="6">
        <v>130313314</v>
      </c>
      <c r="D1393" s="6" t="s">
        <v>1893</v>
      </c>
      <c r="E1393" s="6" t="s">
        <v>473</v>
      </c>
      <c r="F1393" s="6" t="s">
        <v>4879</v>
      </c>
      <c r="G1393" s="6">
        <v>168172</v>
      </c>
      <c r="H1393" s="6" t="s">
        <v>4880</v>
      </c>
      <c r="I1393" s="6">
        <v>380</v>
      </c>
      <c r="J1393" s="6" t="s">
        <v>23</v>
      </c>
      <c r="K1393" s="6" t="s">
        <v>24</v>
      </c>
      <c r="L1393" s="6">
        <v>80000000</v>
      </c>
      <c r="M1393" s="6">
        <v>2008</v>
      </c>
      <c r="N1393" s="6">
        <v>6.5</v>
      </c>
      <c r="O1393" s="4">
        <f ca="1">IFERROR(__xludf.DUMMYFUNCTION("IF(Cost_in_dollars!E1393=""USD"",Cost_in_dollars!B1393,Cost_in_dollars!B1393 * GOOGLEFINANCE(""CURRENCY:"" &amp; Cost_in_dollars!E1393 &amp; ""USD""))
"),80000000)</f>
        <v>80000000</v>
      </c>
      <c r="P1393" s="4">
        <f ca="1">IFERROR(__xludf.DUMMYFUNCTION("IF(Cost_in_dollars!E1393=""USD"",Cost_in_dollars!C1393,Cost_in_dollars!C1393 * GOOGLEFINANCE(""CURRENCY:"" &amp; Cost_in_dollars!E1393 &amp; ""USD""))
"),130313314)</f>
        <v>130313314</v>
      </c>
      <c r="Q1393" s="6">
        <f t="shared" ca="1" si="30"/>
        <v>50313314</v>
      </c>
      <c r="R1393" s="7" t="str">
        <f t="shared" si="31"/>
        <v>Get Smart</v>
      </c>
      <c r="S1393" s="43" t="str">
        <f t="shared" si="33"/>
        <v>Action</v>
      </c>
    </row>
    <row r="1394" spans="1:19" ht="15.75" customHeight="1" x14ac:dyDescent="0.25">
      <c r="A1394" s="4" t="s">
        <v>4881</v>
      </c>
      <c r="B1394" s="4">
        <v>66</v>
      </c>
      <c r="C1394" s="4">
        <v>4814244</v>
      </c>
      <c r="D1394" s="4" t="s">
        <v>88</v>
      </c>
      <c r="E1394" s="4" t="s">
        <v>4882</v>
      </c>
      <c r="F1394" s="4" t="s">
        <v>4883</v>
      </c>
      <c r="G1394" s="4">
        <v>12437</v>
      </c>
      <c r="H1394" s="4" t="s">
        <v>4884</v>
      </c>
      <c r="I1394" s="4">
        <v>107</v>
      </c>
      <c r="J1394" s="4" t="s">
        <v>23</v>
      </c>
      <c r="K1394" s="4" t="s">
        <v>627</v>
      </c>
      <c r="L1394" s="4">
        <v>11000000</v>
      </c>
      <c r="M1394" s="4">
        <v>2002</v>
      </c>
      <c r="N1394" s="4">
        <v>5.3</v>
      </c>
      <c r="O1394" s="4">
        <f ca="1">IFERROR(__xludf.DUMMYFUNCTION("IF(Cost_in_dollars!E1394=""USD"",Cost_in_dollars!B1394,Cost_in_dollars!B1394 * GOOGLEFINANCE(""CURRENCY:"" &amp; Cost_in_dollars!E1394 &amp; ""USD""))
"),7957455)</f>
        <v>7957455</v>
      </c>
      <c r="P1394" s="4">
        <f ca="1">IFERROR(__xludf.DUMMYFUNCTION("IF(Cost_in_dollars!E1394=""USD"",Cost_in_dollars!C1394,Cost_in_dollars!C1394 * GOOGLEFINANCE(""CURRENCY:"" &amp; Cost_in_dollars!E1394 &amp; ""USD""))
"),3482648.18082)</f>
        <v>3482648.1808199999</v>
      </c>
      <c r="Q1394" s="4">
        <f t="shared" ca="1" si="30"/>
        <v>-4474806.8191800006</v>
      </c>
      <c r="R1394" s="5" t="str">
        <f t="shared" si="31"/>
        <v>Slackers</v>
      </c>
      <c r="S1394" s="43" t="str">
        <f t="shared" si="33"/>
        <v>Comedy</v>
      </c>
    </row>
    <row r="1395" spans="1:19" ht="15.75" customHeight="1" x14ac:dyDescent="0.25">
      <c r="A1395" s="6" t="s">
        <v>3838</v>
      </c>
      <c r="B1395" s="6">
        <v>263</v>
      </c>
      <c r="C1395" s="6">
        <v>3707794</v>
      </c>
      <c r="D1395" s="6" t="s">
        <v>631</v>
      </c>
      <c r="E1395" s="6" t="s">
        <v>954</v>
      </c>
      <c r="F1395" s="6" t="s">
        <v>4885</v>
      </c>
      <c r="G1395" s="6">
        <v>31359</v>
      </c>
      <c r="H1395" s="6" t="s">
        <v>4886</v>
      </c>
      <c r="I1395" s="6">
        <v>156</v>
      </c>
      <c r="J1395" s="6" t="s">
        <v>23</v>
      </c>
      <c r="K1395" s="6" t="s">
        <v>4887</v>
      </c>
      <c r="L1395" s="6">
        <v>18000000</v>
      </c>
      <c r="M1395" s="6">
        <v>2016</v>
      </c>
      <c r="N1395" s="6">
        <v>6.7</v>
      </c>
      <c r="O1395" s="4">
        <f ca="1">IFERROR(__xludf.DUMMYFUNCTION("IF(Cost_in_dollars!E1395=""USD"",Cost_in_dollars!B1395,Cost_in_dollars!B1395 * GOOGLEFINANCE(""CURRENCY:"" &amp; Cost_in_dollars!E1395 &amp; ""USD""))
"),19525320)</f>
        <v>19525320</v>
      </c>
      <c r="P1395" s="4">
        <f ca="1">IFERROR(__xludf.DUMMYFUNCTION("IF(Cost_in_dollars!E1395=""USD"",Cost_in_dollars!C1395,Cost_in_dollars!C1395 * GOOGLEFINANCE(""CURRENCY:"" &amp; Cost_in_dollars!E1395 &amp; ""USD""))
"),4021992.46356)</f>
        <v>4021992.4635600001</v>
      </c>
      <c r="Q1395" s="6">
        <f t="shared" ca="1" si="30"/>
        <v>-15503327.53644</v>
      </c>
      <c r="R1395" s="7" t="str">
        <f t="shared" si="31"/>
        <v>Midnight Special</v>
      </c>
      <c r="S1395" s="43" t="str">
        <f t="shared" si="33"/>
        <v>Adventure</v>
      </c>
    </row>
    <row r="1396" spans="1:19" ht="15.75" customHeight="1" x14ac:dyDescent="0.25">
      <c r="A1396" s="4" t="s">
        <v>215</v>
      </c>
      <c r="B1396" s="4">
        <v>36</v>
      </c>
      <c r="C1396" s="4">
        <v>18653615</v>
      </c>
      <c r="D1396" s="4" t="s">
        <v>457</v>
      </c>
      <c r="E1396" s="4" t="s">
        <v>1091</v>
      </c>
      <c r="F1396" s="4" t="s">
        <v>4888</v>
      </c>
      <c r="G1396" s="4">
        <v>14786</v>
      </c>
      <c r="H1396" s="4" t="s">
        <v>4889</v>
      </c>
      <c r="I1396" s="4">
        <v>103</v>
      </c>
      <c r="J1396" s="4" t="s">
        <v>23</v>
      </c>
      <c r="K1396" s="4" t="s">
        <v>24</v>
      </c>
      <c r="L1396" s="4">
        <v>23000000</v>
      </c>
      <c r="M1396" s="4">
        <v>1999</v>
      </c>
      <c r="N1396" s="4">
        <v>6.1</v>
      </c>
      <c r="O1396" s="4">
        <f ca="1">IFERROR(__xludf.DUMMYFUNCTION("IF(Cost_in_dollars!E1396=""USD"",Cost_in_dollars!B1396,Cost_in_dollars!B1396 * GOOGLEFINANCE(""CURRENCY:"" &amp; Cost_in_dollars!E1396 &amp; ""USD""))
"),23000000)</f>
        <v>23000000</v>
      </c>
      <c r="P1396" s="4">
        <f ca="1">IFERROR(__xludf.DUMMYFUNCTION("IF(Cost_in_dollars!E1396=""USD"",Cost_in_dollars!C1396,Cost_in_dollars!C1396 * GOOGLEFINANCE(""CURRENCY:"" &amp; Cost_in_dollars!E1396 &amp; ""USD""))
"),18653615)</f>
        <v>18653615</v>
      </c>
      <c r="Q1396" s="4">
        <f t="shared" ca="1" si="30"/>
        <v>-4346385</v>
      </c>
      <c r="R1396" s="5" t="str">
        <f t="shared" si="31"/>
        <v>Anywhere But Here</v>
      </c>
      <c r="S1396" s="43" t="str">
        <f t="shared" si="33"/>
        <v>Comedy</v>
      </c>
    </row>
    <row r="1397" spans="1:19" ht="15.75" customHeight="1" x14ac:dyDescent="0.25">
      <c r="A1397" s="6" t="s">
        <v>4890</v>
      </c>
      <c r="B1397" s="6">
        <v>39</v>
      </c>
      <c r="C1397" s="6">
        <v>20400913</v>
      </c>
      <c r="D1397" s="6" t="s">
        <v>2190</v>
      </c>
      <c r="E1397" s="6" t="s">
        <v>2392</v>
      </c>
      <c r="F1397" s="6" t="s">
        <v>4891</v>
      </c>
      <c r="G1397" s="6">
        <v>15455</v>
      </c>
      <c r="H1397" s="6" t="s">
        <v>4892</v>
      </c>
      <c r="I1397" s="6">
        <v>80</v>
      </c>
      <c r="J1397" s="6" t="s">
        <v>23</v>
      </c>
      <c r="K1397" s="6" t="s">
        <v>24</v>
      </c>
      <c r="L1397" s="6">
        <v>45000000</v>
      </c>
      <c r="M1397" s="6">
        <v>1996</v>
      </c>
      <c r="N1397" s="6">
        <v>5.3</v>
      </c>
      <c r="O1397" s="4">
        <f ca="1">IFERROR(__xludf.DUMMYFUNCTION("IF(Cost_in_dollars!E1397=""USD"",Cost_in_dollars!B1397,Cost_in_dollars!B1397 * GOOGLEFINANCE(""CURRENCY:"" &amp; Cost_in_dollars!E1397 &amp; ""USD""))
"),45000000)</f>
        <v>45000000</v>
      </c>
      <c r="P1397" s="4">
        <f ca="1">IFERROR(__xludf.DUMMYFUNCTION("IF(Cost_in_dollars!E1397=""USD"",Cost_in_dollars!C1397,Cost_in_dollars!C1397 * GOOGLEFINANCE(""CURRENCY:"" &amp; Cost_in_dollars!E1397 &amp; ""USD""))
"),20400913)</f>
        <v>20400913</v>
      </c>
      <c r="Q1397" s="6">
        <f t="shared" ca="1" si="30"/>
        <v>-24599087</v>
      </c>
      <c r="R1397" s="7" t="str">
        <f t="shared" si="31"/>
        <v>The Glimmer Man</v>
      </c>
      <c r="S1397" s="43" t="str">
        <f t="shared" si="33"/>
        <v>Action</v>
      </c>
    </row>
    <row r="1398" spans="1:19" ht="15.75" customHeight="1" x14ac:dyDescent="0.25">
      <c r="A1398" s="4" t="s">
        <v>4893</v>
      </c>
      <c r="B1398" s="4">
        <v>52</v>
      </c>
      <c r="C1398" s="4">
        <v>21564616</v>
      </c>
      <c r="D1398" s="4" t="s">
        <v>140</v>
      </c>
      <c r="E1398" s="4" t="s">
        <v>2800</v>
      </c>
      <c r="F1398" s="4" t="s">
        <v>4894</v>
      </c>
      <c r="G1398" s="4">
        <v>7098</v>
      </c>
      <c r="H1398" s="4" t="s">
        <v>4895</v>
      </c>
      <c r="I1398" s="4">
        <v>41</v>
      </c>
      <c r="J1398" s="4" t="s">
        <v>23</v>
      </c>
      <c r="K1398" s="4" t="s">
        <v>24</v>
      </c>
      <c r="L1398" s="4">
        <v>8500000</v>
      </c>
      <c r="M1398" s="4">
        <v>2013</v>
      </c>
      <c r="N1398" s="4">
        <v>5</v>
      </c>
      <c r="O1398" s="4">
        <f ca="1">IFERROR(__xludf.DUMMYFUNCTION("IF(Cost_in_dollars!E1398=""USD"",Cost_in_dollars!B1398,Cost_in_dollars!B1398 * GOOGLEFINANCE(""CURRENCY:"" &amp; Cost_in_dollars!E1398 &amp; ""USD""))
"),8500000)</f>
        <v>8500000</v>
      </c>
      <c r="P1398" s="4">
        <f ca="1">IFERROR(__xludf.DUMMYFUNCTION("IF(Cost_in_dollars!E1398=""USD"",Cost_in_dollars!C1398,Cost_in_dollars!C1398 * GOOGLEFINANCE(""CURRENCY:"" &amp; Cost_in_dollars!E1398 &amp; ""USD""))
"),21564616)</f>
        <v>21564616</v>
      </c>
      <c r="Q1398" s="4">
        <f t="shared" ca="1" si="30"/>
        <v>13064616</v>
      </c>
      <c r="R1398" s="5" t="str">
        <f t="shared" si="31"/>
        <v>Baggage Claim</v>
      </c>
      <c r="S1398" s="43" t="str">
        <f t="shared" si="33"/>
        <v>Comedy</v>
      </c>
    </row>
    <row r="1399" spans="1:19" ht="15.75" customHeight="1" x14ac:dyDescent="0.25">
      <c r="A1399" s="6" t="s">
        <v>1094</v>
      </c>
      <c r="B1399" s="6">
        <v>97</v>
      </c>
      <c r="C1399" s="6">
        <v>24268828</v>
      </c>
      <c r="D1399" s="6" t="s">
        <v>4896</v>
      </c>
      <c r="E1399" s="6" t="s">
        <v>518</v>
      </c>
      <c r="F1399" s="6" t="s">
        <v>4897</v>
      </c>
      <c r="G1399" s="6">
        <v>29971</v>
      </c>
      <c r="H1399" s="6" t="s">
        <v>4898</v>
      </c>
      <c r="I1399" s="6">
        <v>71</v>
      </c>
      <c r="J1399" s="6" t="s">
        <v>23</v>
      </c>
      <c r="K1399" s="6" t="s">
        <v>24</v>
      </c>
      <c r="L1399" s="6">
        <v>28000000</v>
      </c>
      <c r="M1399" s="6">
        <v>2010</v>
      </c>
      <c r="N1399" s="6">
        <v>5.4</v>
      </c>
      <c r="O1399" s="4">
        <f ca="1">IFERROR(__xludf.DUMMYFUNCTION("IF(Cost_in_dollars!E1399=""USD"",Cost_in_dollars!B1399,Cost_in_dollars!B1399 * GOOGLEFINANCE(""CURRENCY:"" &amp; Cost_in_dollars!E1399 &amp; ""USD""))
"),28000000)</f>
        <v>28000000</v>
      </c>
      <c r="P1399" s="4">
        <f ca="1">IFERROR(__xludf.DUMMYFUNCTION("IF(Cost_in_dollars!E1399=""USD"",Cost_in_dollars!C1399,Cost_in_dollars!C1399 * GOOGLEFINANCE(""CURRENCY:"" &amp; Cost_in_dollars!E1399 &amp; ""USD""))
"),24268828)</f>
        <v>24268828</v>
      </c>
      <c r="Q1399" s="6">
        <f t="shared" ca="1" si="30"/>
        <v>-3731172</v>
      </c>
      <c r="R1399" s="7" t="str">
        <f t="shared" si="31"/>
        <v>The Spy Next Door</v>
      </c>
      <c r="S1399" s="43" t="str">
        <f t="shared" si="33"/>
        <v>Action</v>
      </c>
    </row>
    <row r="1400" spans="1:19" ht="15.75" customHeight="1" x14ac:dyDescent="0.25">
      <c r="A1400" s="4" t="s">
        <v>1748</v>
      </c>
      <c r="B1400" s="4">
        <v>170</v>
      </c>
      <c r="C1400" s="4">
        <v>27829874</v>
      </c>
      <c r="D1400" s="4" t="s">
        <v>155</v>
      </c>
      <c r="E1400" s="4" t="s">
        <v>818</v>
      </c>
      <c r="F1400" s="4" t="s">
        <v>4899</v>
      </c>
      <c r="G1400" s="4">
        <v>196422</v>
      </c>
      <c r="H1400" s="4" t="s">
        <v>4900</v>
      </c>
      <c r="I1400" s="4">
        <v>444</v>
      </c>
      <c r="J1400" s="4" t="s">
        <v>23</v>
      </c>
      <c r="K1400" s="4" t="s">
        <v>24</v>
      </c>
      <c r="L1400" s="4">
        <v>12000000</v>
      </c>
      <c r="M1400" s="4">
        <v>2006</v>
      </c>
      <c r="N1400" s="4">
        <v>7</v>
      </c>
      <c r="O1400" s="4">
        <f ca="1">IFERROR(__xludf.DUMMYFUNCTION("IF(Cost_in_dollars!E1400=""USD"",Cost_in_dollars!B1400,Cost_in_dollars!B1400 * GOOGLEFINANCE(""CURRENCY:"" &amp; Cost_in_dollars!E1400 &amp; ""USD""))
"),12000000)</f>
        <v>12000000</v>
      </c>
      <c r="P1400" s="4">
        <f ca="1">IFERROR(__xludf.DUMMYFUNCTION("IF(Cost_in_dollars!E1400=""USD"",Cost_in_dollars!C1400,Cost_in_dollars!C1400 * GOOGLEFINANCE(""CURRENCY:"" &amp; Cost_in_dollars!E1400 &amp; ""USD""))
"),27829874)</f>
        <v>27829874</v>
      </c>
      <c r="Q1400" s="4">
        <f t="shared" ca="1" si="30"/>
        <v>15829874</v>
      </c>
      <c r="R1400" s="5" t="str">
        <f t="shared" si="31"/>
        <v>Crank</v>
      </c>
      <c r="S1400" s="43" t="str">
        <f t="shared" si="33"/>
        <v>Action</v>
      </c>
    </row>
    <row r="1401" spans="1:19" ht="15.75" customHeight="1" x14ac:dyDescent="0.25">
      <c r="A1401" s="6" t="s">
        <v>4901</v>
      </c>
      <c r="B1401" s="6">
        <v>17</v>
      </c>
      <c r="C1401" s="6">
        <v>3273588</v>
      </c>
      <c r="D1401" s="6" t="s">
        <v>211</v>
      </c>
      <c r="E1401" s="6" t="s">
        <v>4902</v>
      </c>
      <c r="F1401" s="6" t="s">
        <v>4903</v>
      </c>
      <c r="G1401" s="6">
        <v>4195</v>
      </c>
      <c r="H1401" s="6" t="s">
        <v>4904</v>
      </c>
      <c r="I1401" s="6">
        <v>50</v>
      </c>
      <c r="J1401" s="6" t="s">
        <v>23</v>
      </c>
      <c r="K1401" s="6" t="s">
        <v>24</v>
      </c>
      <c r="L1401" s="6">
        <v>6000000</v>
      </c>
      <c r="M1401" s="6">
        <v>1993</v>
      </c>
      <c r="N1401" s="6">
        <v>6.7</v>
      </c>
      <c r="O1401" s="4">
        <f ca="1">IFERROR(__xludf.DUMMYFUNCTION("IF(Cost_in_dollars!E1401=""USD"",Cost_in_dollars!B1401,Cost_in_dollars!B1401 * GOOGLEFINANCE(""CURRENCY:"" &amp; Cost_in_dollars!E1401 &amp; ""USD""))
"),6000000)</f>
        <v>6000000</v>
      </c>
      <c r="P1401" s="4">
        <f ca="1">IFERROR(__xludf.DUMMYFUNCTION("IF(Cost_in_dollars!E1401=""USD"",Cost_in_dollars!C1401,Cost_in_dollars!C1401 * GOOGLEFINANCE(""CURRENCY:"" &amp; Cost_in_dollars!E1401 &amp; ""USD""))
"),3273588)</f>
        <v>3273588</v>
      </c>
      <c r="Q1401" s="6">
        <f t="shared" ca="1" si="30"/>
        <v>-2726412</v>
      </c>
      <c r="R1401" s="7" t="str">
        <f t="shared" si="31"/>
        <v>Only the Strong</v>
      </c>
      <c r="S1401" s="43" t="str">
        <f t="shared" si="33"/>
        <v>Action</v>
      </c>
    </row>
    <row r="1402" spans="1:19" ht="15.75" customHeight="1" x14ac:dyDescent="0.25">
      <c r="A1402" s="4" t="s">
        <v>3177</v>
      </c>
      <c r="B1402" s="4">
        <v>323</v>
      </c>
      <c r="C1402" s="4">
        <v>256386216</v>
      </c>
      <c r="D1402" s="4" t="s">
        <v>4905</v>
      </c>
      <c r="E1402" s="4" t="s">
        <v>2732</v>
      </c>
      <c r="F1402" s="4" t="s">
        <v>4906</v>
      </c>
      <c r="G1402" s="4">
        <v>530870</v>
      </c>
      <c r="H1402" s="4" t="s">
        <v>4907</v>
      </c>
      <c r="I1402" s="4">
        <v>1413</v>
      </c>
      <c r="J1402" s="4" t="s">
        <v>23</v>
      </c>
      <c r="K1402" s="4" t="s">
        <v>24</v>
      </c>
      <c r="L1402" s="4">
        <v>150000000</v>
      </c>
      <c r="M1402" s="4">
        <v>2007</v>
      </c>
      <c r="N1402" s="4">
        <v>7.2</v>
      </c>
      <c r="O1402" s="4">
        <f ca="1">IFERROR(__xludf.DUMMYFUNCTION("IF(Cost_in_dollars!E1402=""USD"",Cost_in_dollars!B1402,Cost_in_dollars!B1402 * GOOGLEFINANCE(""CURRENCY:"" &amp; Cost_in_dollars!E1402 &amp; ""USD""))
"),150000000)</f>
        <v>150000000</v>
      </c>
      <c r="P1402" s="4">
        <f ca="1">IFERROR(__xludf.DUMMYFUNCTION("IF(Cost_in_dollars!E1402=""USD"",Cost_in_dollars!C1402,Cost_in_dollars!C1402 * GOOGLEFINANCE(""CURRENCY:"" &amp; Cost_in_dollars!E1402 &amp; ""USD""))
"),256386216)</f>
        <v>256386216</v>
      </c>
      <c r="Q1402" s="4">
        <f t="shared" ca="1" si="30"/>
        <v>106386216</v>
      </c>
      <c r="R1402" s="5" t="str">
        <f t="shared" si="31"/>
        <v>I Am Legend</v>
      </c>
      <c r="S1402" s="43" t="str">
        <f t="shared" si="33"/>
        <v>Drama</v>
      </c>
    </row>
    <row r="1403" spans="1:19" ht="15.75" customHeight="1" x14ac:dyDescent="0.25">
      <c r="A1403" s="6" t="s">
        <v>4908</v>
      </c>
      <c r="B1403" s="6">
        <v>246</v>
      </c>
      <c r="C1403" s="6">
        <v>10049886</v>
      </c>
      <c r="D1403" s="6" t="s">
        <v>868</v>
      </c>
      <c r="E1403" s="6" t="s">
        <v>4909</v>
      </c>
      <c r="F1403" s="6" t="s">
        <v>4910</v>
      </c>
      <c r="G1403" s="6">
        <v>417971</v>
      </c>
      <c r="H1403" s="6" t="s">
        <v>4911</v>
      </c>
      <c r="I1403" s="6">
        <v>902</v>
      </c>
      <c r="J1403" s="6" t="s">
        <v>1550</v>
      </c>
      <c r="K1403" s="6" t="s">
        <v>1551</v>
      </c>
      <c r="L1403" s="6">
        <v>19000000</v>
      </c>
      <c r="M1403" s="6">
        <v>2001</v>
      </c>
      <c r="N1403" s="6">
        <v>8.6</v>
      </c>
      <c r="O1403" s="4">
        <f ca="1">IFERROR(__xludf.DUMMYFUNCTION("IF(Cost_in_dollars!E1403=""USD"",Cost_in_dollars!B1403,Cost_in_dollars!B1403 * GOOGLEFINANCE(""CURRENCY:"" &amp; Cost_in_dollars!E1403 &amp; ""USD""))
"),123435.4)</f>
        <v>123435.4</v>
      </c>
      <c r="P1403" s="4">
        <f ca="1">IFERROR(__xludf.DUMMYFUNCTION("IF(Cost_in_dollars!E1403=""USD"",Cost_in_dollars!C1403,Cost_in_dollars!C1403 * GOOGLEFINANCE(""CURRENCY:"" &amp; Cost_in_dollars!E1403 &amp; ""USD""))
"),65290.0893876)</f>
        <v>65290.089387599997</v>
      </c>
      <c r="Q1403" s="6">
        <f t="shared" ca="1" si="30"/>
        <v>-58145.310612399997</v>
      </c>
      <c r="R1403" s="7" t="str">
        <f t="shared" si="31"/>
        <v>Spirited Away</v>
      </c>
      <c r="S1403" s="43" t="str">
        <f t="shared" si="33"/>
        <v>Adventure</v>
      </c>
    </row>
    <row r="1404" spans="1:19" ht="15.75" customHeight="1" x14ac:dyDescent="0.25">
      <c r="A1404" s="4" t="s">
        <v>1339</v>
      </c>
      <c r="B1404" s="4">
        <v>128</v>
      </c>
      <c r="C1404" s="4">
        <v>47124400</v>
      </c>
      <c r="D1404" s="4" t="s">
        <v>517</v>
      </c>
      <c r="E1404" s="4" t="s">
        <v>545</v>
      </c>
      <c r="F1404" s="4" t="s">
        <v>4912</v>
      </c>
      <c r="G1404" s="4">
        <v>49676</v>
      </c>
      <c r="H1404" s="4" t="s">
        <v>4913</v>
      </c>
      <c r="I1404" s="4">
        <v>181</v>
      </c>
      <c r="J1404" s="4" t="s">
        <v>23</v>
      </c>
      <c r="K1404" s="4" t="s">
        <v>24</v>
      </c>
      <c r="L1404" s="4">
        <v>25000000</v>
      </c>
      <c r="M1404" s="4">
        <v>2005</v>
      </c>
      <c r="N1404" s="4">
        <v>6.6</v>
      </c>
      <c r="O1404" s="4">
        <f ca="1">IFERROR(__xludf.DUMMYFUNCTION("IF(Cost_in_dollars!E1404=""USD"",Cost_in_dollars!B1404,Cost_in_dollars!B1404 * GOOGLEFINANCE(""CURRENCY:"" &amp; Cost_in_dollars!E1404 &amp; ""USD""))
"),25000000)</f>
        <v>25000000</v>
      </c>
      <c r="P1404" s="4">
        <f ca="1">IFERROR(__xludf.DUMMYFUNCTION("IF(Cost_in_dollars!E1404=""USD"",Cost_in_dollars!C1404,Cost_in_dollars!C1404 * GOOGLEFINANCE(""CURRENCY:"" &amp; Cost_in_dollars!E1404 &amp; ""USD""))
"),47124400)</f>
        <v>47124400</v>
      </c>
      <c r="Q1404" s="4">
        <f t="shared" ca="1" si="30"/>
        <v>22124400</v>
      </c>
      <c r="R1404" s="5" t="str">
        <f t="shared" si="31"/>
        <v>Nanny McPhee</v>
      </c>
      <c r="S1404" s="43" t="str">
        <f t="shared" si="33"/>
        <v>Comedy</v>
      </c>
    </row>
    <row r="1405" spans="1:19" ht="15.75" customHeight="1" x14ac:dyDescent="0.25">
      <c r="A1405" s="6" t="s">
        <v>931</v>
      </c>
      <c r="B1405" s="6">
        <v>229</v>
      </c>
      <c r="C1405" s="6">
        <v>57010853</v>
      </c>
      <c r="D1405" s="6" t="s">
        <v>235</v>
      </c>
      <c r="E1405" s="6" t="s">
        <v>3981</v>
      </c>
      <c r="F1405" s="6" t="s">
        <v>4914</v>
      </c>
      <c r="G1405" s="6">
        <v>119286</v>
      </c>
      <c r="H1405" s="6" t="s">
        <v>4915</v>
      </c>
      <c r="I1405" s="6">
        <v>548</v>
      </c>
      <c r="J1405" s="6" t="s">
        <v>23</v>
      </c>
      <c r="K1405" s="6" t="s">
        <v>24</v>
      </c>
      <c r="L1405" s="6">
        <v>85000000</v>
      </c>
      <c r="M1405" s="6">
        <v>2005</v>
      </c>
      <c r="N1405" s="6">
        <v>7.3</v>
      </c>
      <c r="O1405" s="4">
        <f ca="1">IFERROR(__xludf.DUMMYFUNCTION("IF(Cost_in_dollars!E1405=""USD"",Cost_in_dollars!B1405,Cost_in_dollars!B1405 * GOOGLEFINANCE(""CURRENCY:"" &amp; Cost_in_dollars!E1405 &amp; ""USD""))
"),85000000)</f>
        <v>85000000</v>
      </c>
      <c r="P1405" s="4">
        <f ca="1">IFERROR(__xludf.DUMMYFUNCTION("IF(Cost_in_dollars!E1405=""USD"",Cost_in_dollars!C1405,Cost_in_dollars!C1405 * GOOGLEFINANCE(""CURRENCY:"" &amp; Cost_in_dollars!E1405 &amp; ""USD""))
"),57010853)</f>
        <v>57010853</v>
      </c>
      <c r="Q1405" s="6">
        <f t="shared" ca="1" si="30"/>
        <v>-27989147</v>
      </c>
      <c r="R1405" s="7" t="str">
        <f t="shared" si="31"/>
        <v>Memoirs of a Geisha</v>
      </c>
      <c r="S1405" s="43" t="str">
        <f t="shared" si="33"/>
        <v>Drama</v>
      </c>
    </row>
    <row r="1406" spans="1:19" ht="15.75" customHeight="1" x14ac:dyDescent="0.25">
      <c r="A1406" s="4" t="s">
        <v>863</v>
      </c>
      <c r="B1406" s="4">
        <v>257</v>
      </c>
      <c r="C1406" s="4">
        <v>35799026</v>
      </c>
      <c r="D1406" s="4" t="s">
        <v>4916</v>
      </c>
      <c r="E1406" s="4" t="s">
        <v>439</v>
      </c>
      <c r="F1406" s="4" t="s">
        <v>4917</v>
      </c>
      <c r="G1406" s="4">
        <v>263329</v>
      </c>
      <c r="H1406" s="4" t="s">
        <v>4918</v>
      </c>
      <c r="I1406" s="4">
        <v>899</v>
      </c>
      <c r="J1406" s="4" t="s">
        <v>23</v>
      </c>
      <c r="K1406" s="4" t="s">
        <v>24</v>
      </c>
      <c r="L1406" s="4">
        <v>126000000</v>
      </c>
      <c r="M1406" s="4">
        <v>2005</v>
      </c>
      <c r="N1406" s="4">
        <v>6.9</v>
      </c>
      <c r="O1406" s="4">
        <f ca="1">IFERROR(__xludf.DUMMYFUNCTION("IF(Cost_in_dollars!E1406=""USD"",Cost_in_dollars!B1406,Cost_in_dollars!B1406 * GOOGLEFINANCE(""CURRENCY:"" &amp; Cost_in_dollars!E1406 &amp; ""USD""))
"),126000000)</f>
        <v>126000000</v>
      </c>
      <c r="P1406" s="4">
        <f ca="1">IFERROR(__xludf.DUMMYFUNCTION("IF(Cost_in_dollars!E1406=""USD"",Cost_in_dollars!C1406,Cost_in_dollars!C1406 * GOOGLEFINANCE(""CURRENCY:"" &amp; Cost_in_dollars!E1406 &amp; ""USD""))
"),35799026)</f>
        <v>35799026</v>
      </c>
      <c r="Q1406" s="4">
        <f t="shared" ca="1" si="30"/>
        <v>-90200974</v>
      </c>
      <c r="R1406" s="5" t="str">
        <f t="shared" si="31"/>
        <v>The Island</v>
      </c>
      <c r="S1406" s="43" t="str">
        <f t="shared" si="33"/>
        <v>Action</v>
      </c>
    </row>
    <row r="1407" spans="1:19" ht="15.75" customHeight="1" x14ac:dyDescent="0.25">
      <c r="A1407" s="6" t="s">
        <v>1201</v>
      </c>
      <c r="B1407" s="6">
        <v>166</v>
      </c>
      <c r="C1407" s="6">
        <v>155019340</v>
      </c>
      <c r="D1407" s="6" t="s">
        <v>1827</v>
      </c>
      <c r="E1407" s="6" t="s">
        <v>54</v>
      </c>
      <c r="F1407" s="6" t="s">
        <v>4919</v>
      </c>
      <c r="G1407" s="6">
        <v>127345</v>
      </c>
      <c r="H1407" s="6" t="s">
        <v>4920</v>
      </c>
      <c r="I1407" s="6">
        <v>250</v>
      </c>
      <c r="J1407" s="6" t="s">
        <v>23</v>
      </c>
      <c r="K1407" s="6" t="s">
        <v>24</v>
      </c>
      <c r="L1407" s="6">
        <v>80000000</v>
      </c>
      <c r="M1407" s="6">
        <v>2006</v>
      </c>
      <c r="N1407" s="6">
        <v>6.8</v>
      </c>
      <c r="O1407" s="4">
        <f ca="1">IFERROR(__xludf.DUMMYFUNCTION("IF(Cost_in_dollars!E1407=""USD"",Cost_in_dollars!B1407,Cost_in_dollars!B1407 * GOOGLEFINANCE(""CURRENCY:"" &amp; Cost_in_dollars!E1407 &amp; ""USD""))
"),80000000)</f>
        <v>80000000</v>
      </c>
      <c r="P1407" s="4">
        <f ca="1">IFERROR(__xludf.DUMMYFUNCTION("IF(Cost_in_dollars!E1407=""USD"",Cost_in_dollars!C1407,Cost_in_dollars!C1407 * GOOGLEFINANCE(""CURRENCY:"" &amp; Cost_in_dollars!E1407 &amp; ""USD""))
"),155019340)</f>
        <v>155019340</v>
      </c>
      <c r="Q1407" s="6">
        <f t="shared" ca="1" si="30"/>
        <v>75019340</v>
      </c>
      <c r="R1407" s="7" t="str">
        <f t="shared" si="31"/>
        <v>Over the Hedge</v>
      </c>
      <c r="S1407" s="43" t="str">
        <f t="shared" si="33"/>
        <v>Adventure</v>
      </c>
    </row>
    <row r="1408" spans="1:19" ht="15.75" customHeight="1" x14ac:dyDescent="0.25">
      <c r="A1408" s="4" t="s">
        <v>486</v>
      </c>
      <c r="B1408" s="4">
        <v>113</v>
      </c>
      <c r="C1408" s="4">
        <v>6144806</v>
      </c>
      <c r="D1408" s="4" t="s">
        <v>2448</v>
      </c>
      <c r="E1408" s="4" t="s">
        <v>486</v>
      </c>
      <c r="F1408" s="4" t="s">
        <v>4921</v>
      </c>
      <c r="G1408" s="4">
        <v>12821</v>
      </c>
      <c r="H1408" s="4" t="s">
        <v>4922</v>
      </c>
      <c r="I1408" s="4">
        <v>248</v>
      </c>
      <c r="J1408" s="4" t="s">
        <v>23</v>
      </c>
      <c r="K1408" s="4" t="s">
        <v>24</v>
      </c>
      <c r="L1408" s="4">
        <v>23000000</v>
      </c>
      <c r="M1408" s="4">
        <v>2004</v>
      </c>
      <c r="N1408" s="4">
        <v>6.7</v>
      </c>
      <c r="O1408" s="4">
        <f ca="1">IFERROR(__xludf.DUMMYFUNCTION("IF(Cost_in_dollars!E1408=""USD"",Cost_in_dollars!B1408,Cost_in_dollars!B1408 * GOOGLEFINANCE(""CURRENCY:"" &amp; Cost_in_dollars!E1408 &amp; ""USD""))
"),23000000)</f>
        <v>23000000</v>
      </c>
      <c r="P1408" s="4">
        <f ca="1">IFERROR(__xludf.DUMMYFUNCTION("IF(Cost_in_dollars!E1408=""USD"",Cost_in_dollars!C1408,Cost_in_dollars!C1408 * GOOGLEFINANCE(""CURRENCY:"" &amp; Cost_in_dollars!E1408 &amp; ""USD""))
"),6144806)</f>
        <v>6144806</v>
      </c>
      <c r="Q1408" s="4">
        <f t="shared" ca="1" si="30"/>
        <v>-16855194</v>
      </c>
      <c r="R1408" s="5" t="str">
        <f t="shared" si="31"/>
        <v>Beyond the Sea</v>
      </c>
      <c r="S1408" s="43" t="str">
        <f t="shared" si="33"/>
        <v>Biography</v>
      </c>
    </row>
    <row r="1409" spans="1:19" ht="15.75" customHeight="1" x14ac:dyDescent="0.25">
      <c r="A1409" s="6" t="s">
        <v>1755</v>
      </c>
      <c r="B1409" s="6">
        <v>116</v>
      </c>
      <c r="C1409" s="6">
        <v>7496522</v>
      </c>
      <c r="D1409" s="6" t="s">
        <v>4923</v>
      </c>
      <c r="E1409" s="6" t="s">
        <v>1755</v>
      </c>
      <c r="F1409" s="6" t="s">
        <v>4924</v>
      </c>
      <c r="G1409" s="6">
        <v>31798</v>
      </c>
      <c r="H1409" s="6" t="s">
        <v>4925</v>
      </c>
      <c r="I1409" s="6">
        <v>178</v>
      </c>
      <c r="J1409" s="6" t="s">
        <v>23</v>
      </c>
      <c r="K1409" s="6" t="s">
        <v>24</v>
      </c>
      <c r="L1409" s="6">
        <v>26000000</v>
      </c>
      <c r="M1409" s="6">
        <v>2001</v>
      </c>
      <c r="N1409" s="6">
        <v>6.8</v>
      </c>
      <c r="O1409" s="4">
        <f ca="1">IFERROR(__xludf.DUMMYFUNCTION("IF(Cost_in_dollars!E1409=""USD"",Cost_in_dollars!B1409,Cost_in_dollars!B1409 * GOOGLEFINANCE(""CURRENCY:"" &amp; Cost_in_dollars!E1409 &amp; ""USD""))
"),26000000)</f>
        <v>26000000</v>
      </c>
      <c r="P1409" s="4">
        <f ca="1">IFERROR(__xludf.DUMMYFUNCTION("IF(Cost_in_dollars!E1409=""USD"",Cost_in_dollars!C1409,Cost_in_dollars!C1409 * GOOGLEFINANCE(""CURRENCY:"" &amp; Cost_in_dollars!E1409 &amp; ""USD""))
"),7496522)</f>
        <v>7496522</v>
      </c>
      <c r="Q1409" s="6">
        <f t="shared" ca="1" si="30"/>
        <v>-18503478</v>
      </c>
      <c r="R1409" s="7" t="str">
        <f t="shared" si="31"/>
        <v>The Curse of the Jade Scorpion</v>
      </c>
      <c r="S1409" s="43" t="str">
        <f t="shared" si="33"/>
        <v>Comedy</v>
      </c>
    </row>
    <row r="1410" spans="1:19" ht="15.75" customHeight="1" x14ac:dyDescent="0.25">
      <c r="A1410" s="4" t="s">
        <v>1882</v>
      </c>
      <c r="B1410" s="4">
        <v>236</v>
      </c>
      <c r="C1410" s="4">
        <v>78009155</v>
      </c>
      <c r="D1410" s="4" t="s">
        <v>268</v>
      </c>
      <c r="E1410" s="4" t="s">
        <v>2205</v>
      </c>
      <c r="F1410" s="4" t="s">
        <v>4926</v>
      </c>
      <c r="G1410" s="4">
        <v>110073</v>
      </c>
      <c r="H1410" s="4" t="s">
        <v>4927</v>
      </c>
      <c r="I1410" s="4">
        <v>194</v>
      </c>
      <c r="J1410" s="4" t="s">
        <v>23</v>
      </c>
      <c r="K1410" s="4" t="s">
        <v>24</v>
      </c>
      <c r="L1410" s="4">
        <v>75000000</v>
      </c>
      <c r="M1410" s="4">
        <v>2011</v>
      </c>
      <c r="N1410" s="4">
        <v>6.2</v>
      </c>
      <c r="O1410" s="4">
        <f ca="1">IFERROR(__xludf.DUMMYFUNCTION("IF(Cost_in_dollars!E1410=""USD"",Cost_in_dollars!B1410,Cost_in_dollars!B1410 * GOOGLEFINANCE(""CURRENCY:"" &amp; Cost_in_dollars!E1410 &amp; ""USD""))
"),75000000)</f>
        <v>75000000</v>
      </c>
      <c r="P1410" s="4">
        <f ca="1">IFERROR(__xludf.DUMMYFUNCTION("IF(Cost_in_dollars!E1410=""USD"",Cost_in_dollars!C1410,Cost_in_dollars!C1410 * GOOGLEFINANCE(""CURRENCY:"" &amp; Cost_in_dollars!E1410 &amp; ""USD""))
"),78009155)</f>
        <v>78009155</v>
      </c>
      <c r="Q1410" s="4">
        <f t="shared" ca="1" si="30"/>
        <v>3009155</v>
      </c>
      <c r="R1410" s="5" t="str">
        <f t="shared" si="31"/>
        <v>Tower Heist</v>
      </c>
      <c r="S1410" s="43" t="str">
        <f t="shared" ref="S1410:S1473" si="34">IF(ISNUMBER(FIND("|", D1410)), LEFT(D1410, FIND("|", D1410) - 1), D1410)</f>
        <v>Action</v>
      </c>
    </row>
    <row r="1411" spans="1:19" ht="15.75" customHeight="1" x14ac:dyDescent="0.25">
      <c r="A1411" s="6" t="s">
        <v>4928</v>
      </c>
      <c r="B1411" s="6">
        <v>8</v>
      </c>
      <c r="C1411" s="6">
        <v>2712293</v>
      </c>
      <c r="D1411" s="6" t="s">
        <v>53</v>
      </c>
      <c r="E1411" s="6" t="s">
        <v>4929</v>
      </c>
      <c r="F1411" s="6" t="s">
        <v>4930</v>
      </c>
      <c r="G1411" s="6">
        <v>475</v>
      </c>
      <c r="H1411" s="6" t="s">
        <v>4931</v>
      </c>
      <c r="I1411" s="6">
        <v>11</v>
      </c>
      <c r="J1411" s="6" t="s">
        <v>23</v>
      </c>
      <c r="K1411" s="6" t="s">
        <v>24</v>
      </c>
      <c r="L1411" s="6">
        <v>450000</v>
      </c>
      <c r="M1411" s="6">
        <v>1991</v>
      </c>
      <c r="N1411" s="6">
        <v>5.9</v>
      </c>
      <c r="O1411" s="4">
        <f ca="1">IFERROR(__xludf.DUMMYFUNCTION("IF(Cost_in_dollars!E1411=""USD"",Cost_in_dollars!B1411,Cost_in_dollars!B1411 * GOOGLEFINANCE(""CURRENCY:"" &amp; Cost_in_dollars!E1411 &amp; ""USD""))
"),450000)</f>
        <v>450000</v>
      </c>
      <c r="P1411" s="4">
        <f ca="1">IFERROR(__xludf.DUMMYFUNCTION("IF(Cost_in_dollars!E1411=""USD"",Cost_in_dollars!C1411,Cost_in_dollars!C1411 * GOOGLEFINANCE(""CURRENCY:"" &amp; Cost_in_dollars!E1411 &amp; ""USD""))
"),2712293)</f>
        <v>2712293</v>
      </c>
      <c r="Q1411" s="6">
        <f t="shared" ca="1" si="30"/>
        <v>2262293</v>
      </c>
      <c r="R1411" s="7" t="str">
        <f t="shared" si="31"/>
        <v>Straight Out of Brooklyn</v>
      </c>
      <c r="S1411" s="43" t="str">
        <f t="shared" si="34"/>
        <v>Crime</v>
      </c>
    </row>
    <row r="1412" spans="1:19" ht="15.75" customHeight="1" x14ac:dyDescent="0.25">
      <c r="A1412" s="4" t="s">
        <v>1019</v>
      </c>
      <c r="B1412" s="4">
        <v>273</v>
      </c>
      <c r="C1412" s="4">
        <v>33583175</v>
      </c>
      <c r="D1412" s="4" t="s">
        <v>93</v>
      </c>
      <c r="E1412" s="4" t="s">
        <v>4932</v>
      </c>
      <c r="F1412" s="4" t="s">
        <v>4933</v>
      </c>
      <c r="G1412" s="4">
        <v>104089</v>
      </c>
      <c r="H1412" s="4" t="s">
        <v>4934</v>
      </c>
      <c r="I1412" s="4">
        <v>319</v>
      </c>
      <c r="J1412" s="4" t="s">
        <v>23</v>
      </c>
      <c r="K1412" s="4" t="s">
        <v>24</v>
      </c>
      <c r="L1412" s="4">
        <v>10000000</v>
      </c>
      <c r="M1412" s="4">
        <v>2010</v>
      </c>
      <c r="N1412" s="4">
        <v>6.3</v>
      </c>
      <c r="O1412" s="4">
        <f ca="1">IFERROR(__xludf.DUMMYFUNCTION("IF(Cost_in_dollars!E1412=""USD"",Cost_in_dollars!B1412,Cost_in_dollars!B1412 * GOOGLEFINANCE(""CURRENCY:"" &amp; Cost_in_dollars!E1412 &amp; ""USD""))
"),10000000)</f>
        <v>10000000</v>
      </c>
      <c r="P1412" s="4">
        <f ca="1">IFERROR(__xludf.DUMMYFUNCTION("IF(Cost_in_dollars!E1412=""USD"",Cost_in_dollars!C1412,Cost_in_dollars!C1412 * GOOGLEFINANCE(""CURRENCY:"" &amp; Cost_in_dollars!E1412 &amp; ""USD""))
"),33583175)</f>
        <v>33583175</v>
      </c>
      <c r="Q1412" s="4">
        <f t="shared" ca="1" si="30"/>
        <v>23583175</v>
      </c>
      <c r="R1412" s="5" t="str">
        <f t="shared" si="31"/>
        <v>Devil</v>
      </c>
      <c r="S1412" s="43" t="str">
        <f t="shared" si="34"/>
        <v>Horror</v>
      </c>
    </row>
    <row r="1413" spans="1:19" ht="15.75" customHeight="1" x14ac:dyDescent="0.25">
      <c r="A1413" s="6" t="s">
        <v>4935</v>
      </c>
      <c r="B1413" s="6">
        <v>113</v>
      </c>
      <c r="C1413" s="6">
        <v>389804</v>
      </c>
      <c r="D1413" s="6" t="s">
        <v>162</v>
      </c>
      <c r="E1413" s="6" t="s">
        <v>4935</v>
      </c>
      <c r="F1413" s="6" t="s">
        <v>4936</v>
      </c>
      <c r="G1413" s="6">
        <v>11816</v>
      </c>
      <c r="H1413" s="6" t="s">
        <v>4937</v>
      </c>
      <c r="I1413" s="6">
        <v>35</v>
      </c>
      <c r="J1413" s="6" t="s">
        <v>23</v>
      </c>
      <c r="K1413" s="6" t="s">
        <v>24</v>
      </c>
      <c r="L1413" s="6">
        <v>65000</v>
      </c>
      <c r="M1413" s="6">
        <v>2010</v>
      </c>
      <c r="N1413" s="6">
        <v>6.3</v>
      </c>
      <c r="O1413" s="4">
        <f ca="1">IFERROR(__xludf.DUMMYFUNCTION("IF(Cost_in_dollars!E1413=""USD"",Cost_in_dollars!B1413,Cost_in_dollars!B1413 * GOOGLEFINANCE(""CURRENCY:"" &amp; Cost_in_dollars!E1413 &amp; ""USD""))
"),65000)</f>
        <v>65000</v>
      </c>
      <c r="P1413" s="4">
        <f ca="1">IFERROR(__xludf.DUMMYFUNCTION("IF(Cost_in_dollars!E1413=""USD"",Cost_in_dollars!C1413,Cost_in_dollars!C1413 * GOOGLEFINANCE(""CURRENCY:"" &amp; Cost_in_dollars!E1413 &amp; ""USD""))
"),389804)</f>
        <v>389804</v>
      </c>
      <c r="Q1413" s="6">
        <f t="shared" ca="1" si="30"/>
        <v>324804</v>
      </c>
      <c r="R1413" s="7" t="str">
        <f t="shared" si="31"/>
        <v>Tiny Furniture</v>
      </c>
      <c r="S1413" s="43" t="str">
        <f t="shared" si="34"/>
        <v>Comedy</v>
      </c>
    </row>
    <row r="1414" spans="1:19" ht="15.75" customHeight="1" x14ac:dyDescent="0.25">
      <c r="A1414" s="4" t="s">
        <v>4938</v>
      </c>
      <c r="B1414" s="4">
        <v>84</v>
      </c>
      <c r="C1414" s="4">
        <v>406035</v>
      </c>
      <c r="D1414" s="4" t="s">
        <v>102</v>
      </c>
      <c r="E1414" s="4" t="s">
        <v>227</v>
      </c>
      <c r="F1414" s="4" t="s">
        <v>4939</v>
      </c>
      <c r="G1414" s="4">
        <v>30314</v>
      </c>
      <c r="H1414" s="4" t="s">
        <v>4940</v>
      </c>
      <c r="I1414" s="4">
        <v>159</v>
      </c>
      <c r="J1414" s="4" t="s">
        <v>23</v>
      </c>
      <c r="K1414" s="4" t="s">
        <v>24</v>
      </c>
      <c r="L1414" s="4">
        <v>1500000</v>
      </c>
      <c r="M1414" s="4">
        <v>2001</v>
      </c>
      <c r="N1414" s="4">
        <v>7.2</v>
      </c>
      <c r="O1414" s="4">
        <f ca="1">IFERROR(__xludf.DUMMYFUNCTION("IF(Cost_in_dollars!E1414=""USD"",Cost_in_dollars!B1414,Cost_in_dollars!B1414 * GOOGLEFINANCE(""CURRENCY:"" &amp; Cost_in_dollars!E1414 &amp; ""USD""))
"),1500000)</f>
        <v>1500000</v>
      </c>
      <c r="P1414" s="4">
        <f ca="1">IFERROR(__xludf.DUMMYFUNCTION("IF(Cost_in_dollars!E1414=""USD"",Cost_in_dollars!C1414,Cost_in_dollars!C1414 * GOOGLEFINANCE(""CURRENCY:"" &amp; Cost_in_dollars!E1414 &amp; ""USD""))
"),406035)</f>
        <v>406035</v>
      </c>
      <c r="Q1414" s="4">
        <f t="shared" ca="1" si="30"/>
        <v>-1093965</v>
      </c>
      <c r="R1414" s="5" t="str">
        <f t="shared" si="31"/>
        <v>The Believer</v>
      </c>
      <c r="S1414" s="43" t="str">
        <f t="shared" si="34"/>
        <v>Drama</v>
      </c>
    </row>
    <row r="1415" spans="1:19" ht="15.75" customHeight="1" x14ac:dyDescent="0.25">
      <c r="A1415" s="6" t="s">
        <v>313</v>
      </c>
      <c r="B1415" s="6">
        <v>288</v>
      </c>
      <c r="C1415" s="6">
        <v>55092830</v>
      </c>
      <c r="D1415" s="6" t="s">
        <v>797</v>
      </c>
      <c r="E1415" s="6" t="s">
        <v>4044</v>
      </c>
      <c r="F1415" s="6" t="s">
        <v>4941</v>
      </c>
      <c r="G1415" s="6">
        <v>195043</v>
      </c>
      <c r="H1415" s="6" t="s">
        <v>4942</v>
      </c>
      <c r="I1415" s="6">
        <v>329</v>
      </c>
      <c r="J1415" s="6" t="s">
        <v>23</v>
      </c>
      <c r="K1415" s="6" t="s">
        <v>24</v>
      </c>
      <c r="L1415" s="6">
        <v>60000000</v>
      </c>
      <c r="M1415" s="6">
        <v>2011</v>
      </c>
      <c r="N1415" s="6">
        <v>6.1</v>
      </c>
      <c r="O1415" s="4">
        <f ca="1">IFERROR(__xludf.DUMMYFUNCTION("IF(Cost_in_dollars!E1415=""USD"",Cost_in_dollars!B1415,Cost_in_dollars!B1415 * GOOGLEFINANCE(""CURRENCY:"" &amp; Cost_in_dollars!E1415 &amp; ""USD""))
"),60000000)</f>
        <v>60000000</v>
      </c>
      <c r="P1415" s="4">
        <f ca="1">IFERROR(__xludf.DUMMYFUNCTION("IF(Cost_in_dollars!E1415=""USD"",Cost_in_dollars!C1415,Cost_in_dollars!C1415 * GOOGLEFINANCE(""CURRENCY:"" &amp; Cost_in_dollars!E1415 &amp; ""USD""))
"),55092830)</f>
        <v>55092830</v>
      </c>
      <c r="Q1415" s="6">
        <f t="shared" ca="1" si="30"/>
        <v>-4907170</v>
      </c>
      <c r="R1415" s="7" t="str">
        <f t="shared" si="31"/>
        <v>I Am Number Four</v>
      </c>
      <c r="S1415" s="43" t="str">
        <f t="shared" si="34"/>
        <v>Action</v>
      </c>
    </row>
    <row r="1416" spans="1:19" ht="15.75" customHeight="1" x14ac:dyDescent="0.25">
      <c r="A1416" s="4" t="s">
        <v>4943</v>
      </c>
      <c r="B1416" s="4">
        <v>115</v>
      </c>
      <c r="C1416" s="4">
        <v>8596914</v>
      </c>
      <c r="D1416" s="4" t="s">
        <v>362</v>
      </c>
      <c r="E1416" s="4" t="s">
        <v>4944</v>
      </c>
      <c r="F1416" s="4" t="s">
        <v>4945</v>
      </c>
      <c r="G1416" s="4">
        <v>23023</v>
      </c>
      <c r="H1416" s="4" t="s">
        <v>4946</v>
      </c>
      <c r="I1416" s="4">
        <v>148</v>
      </c>
      <c r="J1416" s="4" t="s">
        <v>23</v>
      </c>
      <c r="K1416" s="4" t="s">
        <v>24</v>
      </c>
      <c r="L1416" s="4">
        <v>6000000</v>
      </c>
      <c r="M1416" s="4">
        <v>2000</v>
      </c>
      <c r="N1416" s="4">
        <v>7</v>
      </c>
      <c r="O1416" s="4">
        <f ca="1">IFERROR(__xludf.DUMMYFUNCTION("IF(Cost_in_dollars!E1416=""USD"",Cost_in_dollars!B1416,Cost_in_dollars!B1416 * GOOGLEFINANCE(""CURRENCY:"" &amp; Cost_in_dollars!E1416 &amp; ""USD""))
"),6000000)</f>
        <v>6000000</v>
      </c>
      <c r="P1416" s="4">
        <f ca="1">IFERROR(__xludf.DUMMYFUNCTION("IF(Cost_in_dollars!E1416=""USD"",Cost_in_dollars!C1416,Cost_in_dollars!C1416 * GOOGLEFINANCE(""CURRENCY:"" &amp; Cost_in_dollars!E1416 &amp; ""USD""))
"),8596914)</f>
        <v>8596914</v>
      </c>
      <c r="Q1416" s="4">
        <f t="shared" ca="1" si="30"/>
        <v>2596914</v>
      </c>
      <c r="R1416" s="5" t="str">
        <f t="shared" si="31"/>
        <v>Pollock</v>
      </c>
      <c r="S1416" s="43" t="str">
        <f t="shared" si="34"/>
        <v>Biography</v>
      </c>
    </row>
    <row r="1417" spans="1:19" ht="15.75" customHeight="1" x14ac:dyDescent="0.25">
      <c r="A1417" s="6" t="s">
        <v>4071</v>
      </c>
      <c r="B1417" s="6">
        <v>63</v>
      </c>
      <c r="C1417" s="6">
        <v>16033556</v>
      </c>
      <c r="D1417" s="6" t="s">
        <v>971</v>
      </c>
      <c r="E1417" s="6" t="s">
        <v>4071</v>
      </c>
      <c r="F1417" s="6" t="s">
        <v>4947</v>
      </c>
      <c r="G1417" s="6">
        <v>37901</v>
      </c>
      <c r="H1417" s="6" t="s">
        <v>4948</v>
      </c>
      <c r="I1417" s="6">
        <v>518</v>
      </c>
      <c r="J1417" s="6" t="s">
        <v>23</v>
      </c>
      <c r="K1417" s="6" t="s">
        <v>24</v>
      </c>
      <c r="L1417" s="6">
        <v>10000000</v>
      </c>
      <c r="M1417" s="6">
        <v>2002</v>
      </c>
      <c r="N1417" s="6">
        <v>6.2</v>
      </c>
      <c r="O1417" s="4">
        <f ca="1">IFERROR(__xludf.DUMMYFUNCTION("IF(Cost_in_dollars!E1417=""USD"",Cost_in_dollars!B1417,Cost_in_dollars!B1417 * GOOGLEFINANCE(""CURRENCY:"" &amp; Cost_in_dollars!E1417 &amp; ""USD""))
"),10000000)</f>
        <v>10000000</v>
      </c>
      <c r="P1417" s="4">
        <f ca="1">IFERROR(__xludf.DUMMYFUNCTION("IF(Cost_in_dollars!E1417=""USD"",Cost_in_dollars!C1417,Cost_in_dollars!C1417 * GOOGLEFINANCE(""CURRENCY:"" &amp; Cost_in_dollars!E1417 &amp; ""USD""))
"),16033556)</f>
        <v>16033556</v>
      </c>
      <c r="Q1417" s="6">
        <f t="shared" ca="1" si="30"/>
        <v>6033556</v>
      </c>
      <c r="R1417" s="7" t="str">
        <f t="shared" si="31"/>
        <v>Kung Pow: Enter the Fist</v>
      </c>
      <c r="S1417" s="43" t="str">
        <f t="shared" si="34"/>
        <v>Action</v>
      </c>
    </row>
    <row r="1418" spans="1:19" ht="15.75" customHeight="1" x14ac:dyDescent="0.25">
      <c r="A1418" s="4" t="s">
        <v>3439</v>
      </c>
      <c r="B1418" s="4">
        <v>114</v>
      </c>
      <c r="C1418" s="4">
        <v>41543207</v>
      </c>
      <c r="D1418" s="4" t="s">
        <v>438</v>
      </c>
      <c r="E1418" s="4" t="s">
        <v>173</v>
      </c>
      <c r="F1418" s="4" t="s">
        <v>4949</v>
      </c>
      <c r="G1418" s="4">
        <v>30077</v>
      </c>
      <c r="H1418" s="4" t="s">
        <v>4950</v>
      </c>
      <c r="I1418" s="4">
        <v>175</v>
      </c>
      <c r="J1418" s="4" t="s">
        <v>23</v>
      </c>
      <c r="K1418" s="4" t="s">
        <v>24</v>
      </c>
      <c r="L1418" s="4">
        <v>42000000</v>
      </c>
      <c r="M1418" s="4">
        <v>2002</v>
      </c>
      <c r="N1418" s="4">
        <v>6.3</v>
      </c>
      <c r="O1418" s="4">
        <f ca="1">IFERROR(__xludf.DUMMYFUNCTION("IF(Cost_in_dollars!E1418=""USD"",Cost_in_dollars!B1418,Cost_in_dollars!B1418 * GOOGLEFINANCE(""CURRENCY:"" &amp; Cost_in_dollars!E1418 &amp; ""USD""))
"),42000000)</f>
        <v>42000000</v>
      </c>
      <c r="P1418" s="4">
        <f ca="1">IFERROR(__xludf.DUMMYFUNCTION("IF(Cost_in_dollars!E1418=""USD"",Cost_in_dollars!C1418,Cost_in_dollars!C1418 * GOOGLEFINANCE(""CURRENCY:"" &amp; Cost_in_dollars!E1418 &amp; ""USD""))
"),41543207)</f>
        <v>41543207</v>
      </c>
      <c r="Q1418" s="4">
        <f t="shared" ca="1" si="30"/>
        <v>-456793</v>
      </c>
      <c r="R1418" s="5" t="str">
        <f t="shared" si="31"/>
        <v>High Crimes</v>
      </c>
      <c r="S1418" s="43" t="str">
        <f t="shared" si="34"/>
        <v>Crime</v>
      </c>
    </row>
    <row r="1419" spans="1:19" ht="15.75" customHeight="1" x14ac:dyDescent="0.25">
      <c r="A1419" s="6" t="s">
        <v>4951</v>
      </c>
      <c r="B1419" s="6">
        <v>129</v>
      </c>
      <c r="C1419" s="6">
        <v>82389560</v>
      </c>
      <c r="D1419" s="6" t="s">
        <v>140</v>
      </c>
      <c r="E1419" s="6" t="s">
        <v>1519</v>
      </c>
      <c r="F1419" s="6" t="s">
        <v>4952</v>
      </c>
      <c r="G1419" s="6">
        <v>106820</v>
      </c>
      <c r="H1419" s="6" t="s">
        <v>4953</v>
      </c>
      <c r="I1419" s="6">
        <v>147</v>
      </c>
      <c r="J1419" s="6" t="s">
        <v>23</v>
      </c>
      <c r="K1419" s="6" t="s">
        <v>24</v>
      </c>
      <c r="L1419" s="6">
        <v>17000000</v>
      </c>
      <c r="M1419" s="6">
        <v>2014</v>
      </c>
      <c r="N1419" s="6">
        <v>6.5</v>
      </c>
      <c r="O1419" s="4">
        <f ca="1">IFERROR(__xludf.DUMMYFUNCTION("IF(Cost_in_dollars!E1419=""USD"",Cost_in_dollars!B1419,Cost_in_dollars!B1419 * GOOGLEFINANCE(""CURRENCY:"" &amp; Cost_in_dollars!E1419 &amp; ""USD""))
"),17000000)</f>
        <v>17000000</v>
      </c>
      <c r="P1419" s="4">
        <f ca="1">IFERROR(__xludf.DUMMYFUNCTION("IF(Cost_in_dollars!E1419=""USD"",Cost_in_dollars!C1419,Cost_in_dollars!C1419 * GOOGLEFINANCE(""CURRENCY:"" &amp; Cost_in_dollars!E1419 &amp; ""USD""))
"),82389560)</f>
        <v>82389560</v>
      </c>
      <c r="Q1419" s="6">
        <f t="shared" ca="1" si="30"/>
        <v>65389560</v>
      </c>
      <c r="R1419" s="7" t="str">
        <f t="shared" si="31"/>
        <v>Let's Be Cops</v>
      </c>
      <c r="S1419" s="43" t="str">
        <f t="shared" si="34"/>
        <v>Comedy</v>
      </c>
    </row>
    <row r="1420" spans="1:19" ht="15.75" customHeight="1" x14ac:dyDescent="0.25">
      <c r="A1420" s="4" t="s">
        <v>3127</v>
      </c>
      <c r="B1420" s="4">
        <v>190</v>
      </c>
      <c r="C1420" s="4">
        <v>37470017</v>
      </c>
      <c r="D1420" s="4" t="s">
        <v>568</v>
      </c>
      <c r="E1420" s="4" t="s">
        <v>2064</v>
      </c>
      <c r="F1420" s="4" t="s">
        <v>4954</v>
      </c>
      <c r="G1420" s="4">
        <v>86890</v>
      </c>
      <c r="H1420" s="4" t="s">
        <v>4955</v>
      </c>
      <c r="I1420" s="4">
        <v>985</v>
      </c>
      <c r="J1420" s="4" t="s">
        <v>23</v>
      </c>
      <c r="K1420" s="4" t="s">
        <v>176</v>
      </c>
      <c r="L1420" s="4">
        <v>10000000</v>
      </c>
      <c r="M1420" s="4">
        <v>2001</v>
      </c>
      <c r="N1420" s="4">
        <v>6.1</v>
      </c>
      <c r="O1420" s="4">
        <f ca="1">IFERROR(__xludf.DUMMYFUNCTION("IF(Cost_in_dollars!E1420=""USD"",Cost_in_dollars!B1420,Cost_in_dollars!B1420 * GOOGLEFINANCE(""CURRENCY:"" &amp; Cost_in_dollars!E1420 &amp; ""USD""))
"),10847400)</f>
        <v>10847400</v>
      </c>
      <c r="P1420" s="4">
        <f ca="1">IFERROR(__xludf.DUMMYFUNCTION("IF(Cost_in_dollars!E1420=""USD"",Cost_in_dollars!C1420,Cost_in_dollars!C1420 * GOOGLEFINANCE(""CURRENCY:"" &amp; Cost_in_dollars!E1420 &amp; ""USD""))
"),40645226.24058)</f>
        <v>40645226.24058</v>
      </c>
      <c r="Q1420" s="4">
        <f t="shared" ca="1" si="30"/>
        <v>29797826.24058</v>
      </c>
      <c r="R1420" s="5" t="str">
        <f t="shared" si="31"/>
        <v>Jeepers Creepers</v>
      </c>
      <c r="S1420" s="43" t="str">
        <f t="shared" si="34"/>
        <v>Horror</v>
      </c>
    </row>
    <row r="1421" spans="1:19" ht="15.75" customHeight="1" x14ac:dyDescent="0.25">
      <c r="A1421" s="6" t="s">
        <v>3311</v>
      </c>
      <c r="B1421" s="6">
        <v>373</v>
      </c>
      <c r="C1421" s="6">
        <v>169705587</v>
      </c>
      <c r="D1421" s="6" t="s">
        <v>102</v>
      </c>
      <c r="E1421" s="6" t="s">
        <v>500</v>
      </c>
      <c r="F1421" s="6" t="s">
        <v>4956</v>
      </c>
      <c r="G1421" s="6">
        <v>318955</v>
      </c>
      <c r="H1421" s="6" t="s">
        <v>4957</v>
      </c>
      <c r="I1421" s="6">
        <v>460</v>
      </c>
      <c r="J1421" s="6" t="s">
        <v>23</v>
      </c>
      <c r="K1421" s="6" t="s">
        <v>24</v>
      </c>
      <c r="L1421" s="6">
        <v>25000000</v>
      </c>
      <c r="M1421" s="6">
        <v>2011</v>
      </c>
      <c r="N1421" s="6">
        <v>8.1</v>
      </c>
      <c r="O1421" s="4">
        <f ca="1">IFERROR(__xludf.DUMMYFUNCTION("IF(Cost_in_dollars!E1421=""USD"",Cost_in_dollars!B1421,Cost_in_dollars!B1421 * GOOGLEFINANCE(""CURRENCY:"" &amp; Cost_in_dollars!E1421 &amp; ""USD""))
"),25000000)</f>
        <v>25000000</v>
      </c>
      <c r="P1421" s="4">
        <f ca="1">IFERROR(__xludf.DUMMYFUNCTION("IF(Cost_in_dollars!E1421=""USD"",Cost_in_dollars!C1421,Cost_in_dollars!C1421 * GOOGLEFINANCE(""CURRENCY:"" &amp; Cost_in_dollars!E1421 &amp; ""USD""))
"),169705587)</f>
        <v>169705587</v>
      </c>
      <c r="Q1421" s="6">
        <f t="shared" ca="1" si="30"/>
        <v>144705587</v>
      </c>
      <c r="R1421" s="7" t="str">
        <f t="shared" si="31"/>
        <v>The Help</v>
      </c>
      <c r="S1421" s="43" t="str">
        <f t="shared" si="34"/>
        <v>Drama</v>
      </c>
    </row>
    <row r="1422" spans="1:19" ht="15.75" customHeight="1" x14ac:dyDescent="0.25">
      <c r="A1422" s="4" t="s">
        <v>4958</v>
      </c>
      <c r="B1422" s="4">
        <v>175</v>
      </c>
      <c r="C1422" s="4">
        <v>18381787</v>
      </c>
      <c r="D1422" s="4" t="s">
        <v>457</v>
      </c>
      <c r="E1422" s="4" t="s">
        <v>4959</v>
      </c>
      <c r="F1422" s="4" t="s">
        <v>4960</v>
      </c>
      <c r="G1422" s="4">
        <v>15684</v>
      </c>
      <c r="H1422" s="4" t="s">
        <v>4961</v>
      </c>
      <c r="I1422" s="4">
        <v>126</v>
      </c>
      <c r="J1422" s="4" t="s">
        <v>23</v>
      </c>
      <c r="K1422" s="4" t="s">
        <v>133</v>
      </c>
      <c r="L1422" s="4">
        <v>11000000</v>
      </c>
      <c r="M1422" s="4">
        <v>2012</v>
      </c>
      <c r="N1422" s="4">
        <v>6.8</v>
      </c>
      <c r="O1422" s="4">
        <f ca="1">IFERROR(__xludf.DUMMYFUNCTION("IF(Cost_in_dollars!E1422=""USD"",Cost_in_dollars!B1422,Cost_in_dollars!B1422 * GOOGLEFINANCE(""CURRENCY:"" &amp; Cost_in_dollars!E1422 &amp; ""USD""))
"),14139399.9999999)</f>
        <v>14139399.999999899</v>
      </c>
      <c r="P1422" s="4">
        <f ca="1">IFERROR(__xludf.DUMMYFUNCTION("IF(Cost_in_dollars!E1422=""USD"",Cost_in_dollars!C1422,Cost_in_dollars!C1422 * GOOGLEFINANCE(""CURRENCY:"" &amp; Cost_in_dollars!E1422 &amp; ""USD""))
"),23627949.0098)</f>
        <v>23627949.009799998</v>
      </c>
      <c r="Q1422" s="4">
        <f t="shared" ca="1" si="30"/>
        <v>9488549.0098000988</v>
      </c>
      <c r="R1422" s="5" t="str">
        <f t="shared" si="31"/>
        <v>Quartet</v>
      </c>
      <c r="S1422" s="43" t="str">
        <f t="shared" si="34"/>
        <v>Comedy</v>
      </c>
    </row>
    <row r="1423" spans="1:19" ht="15.75" customHeight="1" x14ac:dyDescent="0.25">
      <c r="A1423" s="6" t="s">
        <v>4962</v>
      </c>
      <c r="B1423" s="6">
        <v>27</v>
      </c>
      <c r="C1423" s="6">
        <v>4720371</v>
      </c>
      <c r="D1423" s="6" t="s">
        <v>4963</v>
      </c>
      <c r="E1423" s="6" t="s">
        <v>422</v>
      </c>
      <c r="F1423" s="6" t="s">
        <v>4964</v>
      </c>
      <c r="G1423" s="6">
        <v>3203</v>
      </c>
      <c r="H1423" s="6" t="s">
        <v>4965</v>
      </c>
      <c r="I1423" s="6">
        <v>85</v>
      </c>
      <c r="J1423" s="6" t="s">
        <v>23</v>
      </c>
      <c r="K1423" s="6" t="s">
        <v>24</v>
      </c>
      <c r="L1423" s="6">
        <v>7000000</v>
      </c>
      <c r="M1423" s="6">
        <v>2001</v>
      </c>
      <c r="N1423" s="6">
        <v>6.5</v>
      </c>
      <c r="O1423" s="4">
        <f ca="1">IFERROR(__xludf.DUMMYFUNCTION("IF(Cost_in_dollars!E1423=""USD"",Cost_in_dollars!B1423,Cost_in_dollars!B1423 * GOOGLEFINANCE(""CURRENCY:"" &amp; Cost_in_dollars!E1423 &amp; ""USD""))
"),7000000)</f>
        <v>7000000</v>
      </c>
      <c r="P1423" s="4">
        <f ca="1">IFERROR(__xludf.DUMMYFUNCTION("IF(Cost_in_dollars!E1423=""USD"",Cost_in_dollars!C1423,Cost_in_dollars!C1423 * GOOGLEFINANCE(""CURRENCY:"" &amp; Cost_in_dollars!E1423 &amp; ""USD""))
"),4720371)</f>
        <v>4720371</v>
      </c>
      <c r="Q1423" s="6">
        <f t="shared" ca="1" si="30"/>
        <v>-2279629</v>
      </c>
      <c r="R1423" s="7" t="str">
        <f t="shared" si="31"/>
        <v>The Other Side of Heaven</v>
      </c>
      <c r="S1423" s="43" t="str">
        <f t="shared" si="34"/>
        <v>Adventure</v>
      </c>
    </row>
    <row r="1424" spans="1:19" ht="15.75" customHeight="1" x14ac:dyDescent="0.25">
      <c r="A1424" s="4" t="s">
        <v>1094</v>
      </c>
      <c r="B1424" s="4">
        <v>35</v>
      </c>
      <c r="C1424" s="4">
        <v>130512915</v>
      </c>
      <c r="D1424" s="4" t="s">
        <v>517</v>
      </c>
      <c r="E1424" s="4" t="s">
        <v>1273</v>
      </c>
      <c r="F1424" s="4" t="s">
        <v>4966</v>
      </c>
      <c r="G1424" s="4">
        <v>60884</v>
      </c>
      <c r="H1424" s="4" t="s">
        <v>4967</v>
      </c>
      <c r="I1424" s="4">
        <v>85</v>
      </c>
      <c r="J1424" s="4" t="s">
        <v>23</v>
      </c>
      <c r="K1424" s="4" t="s">
        <v>24</v>
      </c>
      <c r="L1424" s="4">
        <v>45000000</v>
      </c>
      <c r="M1424" s="4">
        <v>1994</v>
      </c>
      <c r="N1424" s="4">
        <v>4.8</v>
      </c>
      <c r="O1424" s="4">
        <f ca="1">IFERROR(__xludf.DUMMYFUNCTION("IF(Cost_in_dollars!E1424=""USD"",Cost_in_dollars!B1424,Cost_in_dollars!B1424 * GOOGLEFINANCE(""CURRENCY:"" &amp; Cost_in_dollars!E1424 &amp; ""USD""))
"),45000000)</f>
        <v>45000000</v>
      </c>
      <c r="P1424" s="4">
        <f ca="1">IFERROR(__xludf.DUMMYFUNCTION("IF(Cost_in_dollars!E1424=""USD"",Cost_in_dollars!C1424,Cost_in_dollars!C1424 * GOOGLEFINANCE(""CURRENCY:"" &amp; Cost_in_dollars!E1424 &amp; ""USD""))
"),130512915)</f>
        <v>130512915</v>
      </c>
      <c r="Q1424" s="4">
        <f t="shared" ca="1" si="30"/>
        <v>85512915</v>
      </c>
      <c r="R1424" s="5" t="str">
        <f t="shared" si="31"/>
        <v>The Flintstones</v>
      </c>
      <c r="S1424" s="43" t="str">
        <f t="shared" si="34"/>
        <v>Comedy</v>
      </c>
    </row>
    <row r="1425" spans="1:19" ht="15.75" customHeight="1" x14ac:dyDescent="0.25">
      <c r="A1425" s="6" t="s">
        <v>472</v>
      </c>
      <c r="B1425" s="6">
        <v>487</v>
      </c>
      <c r="C1425" s="6">
        <v>45507053</v>
      </c>
      <c r="D1425" s="6" t="s">
        <v>4783</v>
      </c>
      <c r="E1425" s="6" t="s">
        <v>54</v>
      </c>
      <c r="F1425" s="6" t="s">
        <v>4968</v>
      </c>
      <c r="G1425" s="6">
        <v>237848</v>
      </c>
      <c r="H1425" s="6" t="s">
        <v>4969</v>
      </c>
      <c r="I1425" s="6">
        <v>377</v>
      </c>
      <c r="J1425" s="6" t="s">
        <v>23</v>
      </c>
      <c r="K1425" s="6" t="s">
        <v>24</v>
      </c>
      <c r="L1425" s="6">
        <v>16000000</v>
      </c>
      <c r="M1425" s="6">
        <v>2012</v>
      </c>
      <c r="N1425" s="6">
        <v>7.8</v>
      </c>
      <c r="O1425" s="4">
        <f ca="1">IFERROR(__xludf.DUMMYFUNCTION("IF(Cost_in_dollars!E1425=""USD"",Cost_in_dollars!B1425,Cost_in_dollars!B1425 * GOOGLEFINANCE(""CURRENCY:"" &amp; Cost_in_dollars!E1425 &amp; ""USD""))
"),16000000)</f>
        <v>16000000</v>
      </c>
      <c r="P1425" s="4">
        <f ca="1">IFERROR(__xludf.DUMMYFUNCTION("IF(Cost_in_dollars!E1425=""USD"",Cost_in_dollars!C1425,Cost_in_dollars!C1425 * GOOGLEFINANCE(""CURRENCY:"" &amp; Cost_in_dollars!E1425 &amp; ""USD""))
"),45507053)</f>
        <v>45507053</v>
      </c>
      <c r="Q1425" s="6">
        <f t="shared" ca="1" si="30"/>
        <v>29507053</v>
      </c>
      <c r="R1425" s="7" t="str">
        <f t="shared" si="31"/>
        <v>Moonrise Kingdom</v>
      </c>
      <c r="S1425" s="43" t="str">
        <f t="shared" si="34"/>
        <v>Adventure</v>
      </c>
    </row>
    <row r="1426" spans="1:19" ht="15.75" customHeight="1" x14ac:dyDescent="0.25">
      <c r="A1426" s="4" t="s">
        <v>2242</v>
      </c>
      <c r="B1426" s="4">
        <v>50</v>
      </c>
      <c r="C1426" s="4">
        <v>20300000</v>
      </c>
      <c r="D1426" s="4" t="s">
        <v>372</v>
      </c>
      <c r="E1426" s="4" t="s">
        <v>320</v>
      </c>
      <c r="F1426" s="4" t="s">
        <v>4970</v>
      </c>
      <c r="G1426" s="4">
        <v>16741</v>
      </c>
      <c r="H1426" s="4" t="s">
        <v>4971</v>
      </c>
      <c r="I1426" s="4">
        <v>60</v>
      </c>
      <c r="J1426" s="4" t="s">
        <v>23</v>
      </c>
      <c r="K1426" s="4" t="s">
        <v>24</v>
      </c>
      <c r="L1426" s="4">
        <v>40000000</v>
      </c>
      <c r="M1426" s="4">
        <v>1996</v>
      </c>
      <c r="N1426" s="4">
        <v>6.2</v>
      </c>
      <c r="O1426" s="4">
        <f ca="1">IFERROR(__xludf.DUMMYFUNCTION("IF(Cost_in_dollars!E1426=""USD"",Cost_in_dollars!B1426,Cost_in_dollars!B1426 * GOOGLEFINANCE(""CURRENCY:"" &amp; Cost_in_dollars!E1426 &amp; ""USD""))
"),40000000)</f>
        <v>40000000</v>
      </c>
      <c r="P1426" s="4">
        <f ca="1">IFERROR(__xludf.DUMMYFUNCTION("IF(Cost_in_dollars!E1426=""USD"",Cost_in_dollars!C1426,Cost_in_dollars!C1426 * GOOGLEFINANCE(""CURRENCY:"" &amp; Cost_in_dollars!E1426 &amp; ""USD""))
"),20300000)</f>
        <v>20300000</v>
      </c>
      <c r="Q1426" s="4">
        <f t="shared" ca="1" si="30"/>
        <v>-19700000</v>
      </c>
      <c r="R1426" s="5" t="str">
        <f t="shared" si="31"/>
        <v>City Hall</v>
      </c>
      <c r="S1426" s="43" t="str">
        <f t="shared" si="34"/>
        <v>Drama</v>
      </c>
    </row>
    <row r="1427" spans="1:19" ht="15.75" customHeight="1" x14ac:dyDescent="0.25">
      <c r="A1427" s="6" t="s">
        <v>4972</v>
      </c>
      <c r="B1427" s="6">
        <v>194</v>
      </c>
      <c r="C1427" s="6">
        <v>2957978</v>
      </c>
      <c r="D1427" s="6" t="s">
        <v>4973</v>
      </c>
      <c r="E1427" s="6" t="s">
        <v>4974</v>
      </c>
      <c r="F1427" s="6" t="s">
        <v>4975</v>
      </c>
      <c r="G1427" s="6">
        <v>40481</v>
      </c>
      <c r="H1427" s="6" t="s">
        <v>4976</v>
      </c>
      <c r="I1427" s="6">
        <v>134</v>
      </c>
      <c r="J1427" s="6" t="s">
        <v>23</v>
      </c>
      <c r="K1427" s="6" t="s">
        <v>133</v>
      </c>
      <c r="L1427" s="6">
        <v>1000000</v>
      </c>
      <c r="M1427" s="6">
        <v>2008</v>
      </c>
      <c r="N1427" s="6">
        <v>7.8</v>
      </c>
      <c r="O1427" s="4">
        <f ca="1">IFERROR(__xludf.DUMMYFUNCTION("IF(Cost_in_dollars!E1427=""USD"",Cost_in_dollars!B1427,Cost_in_dollars!B1427 * GOOGLEFINANCE(""CURRENCY:"" &amp; Cost_in_dollars!E1427 &amp; ""USD""))
"),1285399.99999999)</f>
        <v>1285399.99999999</v>
      </c>
      <c r="P1427" s="4">
        <f ca="1">IFERROR(__xludf.DUMMYFUNCTION("IF(Cost_in_dollars!E1427=""USD"",Cost_in_dollars!C1427,Cost_in_dollars!C1427 * GOOGLEFINANCE(""CURRENCY:"" &amp; Cost_in_dollars!E1427 &amp; ""USD""))
"),3802184.92119999)</f>
        <v>3802184.92119999</v>
      </c>
      <c r="Q1427" s="6">
        <f t="shared" ca="1" si="30"/>
        <v>2516784.9211999997</v>
      </c>
      <c r="R1427" s="7" t="str">
        <f t="shared" si="31"/>
        <v>Man on Wire</v>
      </c>
      <c r="S1427" s="43" t="str">
        <f t="shared" si="34"/>
        <v>Biography</v>
      </c>
    </row>
    <row r="1428" spans="1:19" ht="15.75" customHeight="1" x14ac:dyDescent="0.25">
      <c r="A1428" s="4" t="s">
        <v>4977</v>
      </c>
      <c r="B1428" s="4">
        <v>78</v>
      </c>
      <c r="C1428" s="4">
        <v>94596</v>
      </c>
      <c r="D1428" s="4" t="s">
        <v>3420</v>
      </c>
      <c r="E1428" s="4" t="s">
        <v>4978</v>
      </c>
      <c r="F1428" s="4" t="s">
        <v>4979</v>
      </c>
      <c r="G1428" s="4">
        <v>6318</v>
      </c>
      <c r="H1428" s="4" t="s">
        <v>4980</v>
      </c>
      <c r="I1428" s="4">
        <v>50</v>
      </c>
      <c r="J1428" s="4" t="s">
        <v>1550</v>
      </c>
      <c r="K1428" s="4" t="s">
        <v>1551</v>
      </c>
      <c r="L1428" s="4">
        <v>1000000</v>
      </c>
      <c r="M1428" s="4">
        <v>1997</v>
      </c>
      <c r="N1428" s="4">
        <v>7.4</v>
      </c>
      <c r="O1428" s="4">
        <f ca="1">IFERROR(__xludf.DUMMYFUNCTION("IF(Cost_in_dollars!E1428=""USD"",Cost_in_dollars!B1428,Cost_in_dollars!B1428 * GOOGLEFINANCE(""CURRENCY:"" &amp; Cost_in_dollars!E1428 &amp; ""USD""))
"),6496.6)</f>
        <v>6496.6</v>
      </c>
      <c r="P1428" s="4">
        <f ca="1">IFERROR(__xludf.DUMMYFUNCTION("IF(Cost_in_dollars!E1428=""USD"",Cost_in_dollars!C1428,Cost_in_dollars!C1428 * GOOGLEFINANCE(""CURRENCY:"" &amp; Cost_in_dollars!E1428 &amp; ""USD""))
"),614.5523736)</f>
        <v>614.55237360000001</v>
      </c>
      <c r="Q1428" s="4">
        <f t="shared" ca="1" si="30"/>
        <v>-5882.0476264000008</v>
      </c>
      <c r="R1428" s="5" t="str">
        <f t="shared" si="31"/>
        <v>The Cure</v>
      </c>
      <c r="S1428" s="43" t="str">
        <f t="shared" si="34"/>
        <v>Crime</v>
      </c>
    </row>
    <row r="1429" spans="1:19" ht="15.75" customHeight="1" x14ac:dyDescent="0.25">
      <c r="A1429" s="6" t="s">
        <v>889</v>
      </c>
      <c r="B1429" s="6">
        <v>85</v>
      </c>
      <c r="C1429" s="6">
        <v>26761283</v>
      </c>
      <c r="D1429" s="6" t="s">
        <v>235</v>
      </c>
      <c r="E1429" s="6" t="s">
        <v>4981</v>
      </c>
      <c r="F1429" s="6" t="s">
        <v>4982</v>
      </c>
      <c r="G1429" s="6">
        <v>43084</v>
      </c>
      <c r="H1429" s="6" t="s">
        <v>4983</v>
      </c>
      <c r="I1429" s="6">
        <v>99</v>
      </c>
      <c r="J1429" s="6" t="s">
        <v>23</v>
      </c>
      <c r="K1429" s="6" t="s">
        <v>24</v>
      </c>
      <c r="L1429" s="6">
        <v>26000000</v>
      </c>
      <c r="M1429" s="6">
        <v>2014</v>
      </c>
      <c r="N1429" s="6">
        <v>6.7</v>
      </c>
      <c r="O1429" s="4">
        <f ca="1">IFERROR(__xludf.DUMMYFUNCTION("IF(Cost_in_dollars!E1429=""USD"",Cost_in_dollars!B1429,Cost_in_dollars!B1429 * GOOGLEFINANCE(""CURRENCY:"" &amp; Cost_in_dollars!E1429 &amp; ""USD""))
"),26000000)</f>
        <v>26000000</v>
      </c>
      <c r="P1429" s="4">
        <f ca="1">IFERROR(__xludf.DUMMYFUNCTION("IF(Cost_in_dollars!E1429=""USD"",Cost_in_dollars!C1429,Cost_in_dollars!C1429 * GOOGLEFINANCE(""CURRENCY:"" &amp; Cost_in_dollars!E1429 &amp; ""USD""))
"),26761283)</f>
        <v>26761283</v>
      </c>
      <c r="Q1429" s="6">
        <f t="shared" ca="1" si="30"/>
        <v>761283</v>
      </c>
      <c r="R1429" s="7" t="str">
        <f t="shared" si="31"/>
        <v>The Best of Me</v>
      </c>
      <c r="S1429" s="43" t="str">
        <f t="shared" si="34"/>
        <v>Drama</v>
      </c>
    </row>
    <row r="1430" spans="1:19" ht="15.75" customHeight="1" x14ac:dyDescent="0.25">
      <c r="A1430" s="4" t="s">
        <v>1826</v>
      </c>
      <c r="B1430" s="4">
        <v>208</v>
      </c>
      <c r="C1430" s="4">
        <v>130174897</v>
      </c>
      <c r="D1430" s="4" t="s">
        <v>1827</v>
      </c>
      <c r="E1430" s="4" t="s">
        <v>4984</v>
      </c>
      <c r="F1430" s="4" t="s">
        <v>4985</v>
      </c>
      <c r="G1430" s="4">
        <v>27918</v>
      </c>
      <c r="H1430" s="4" t="s">
        <v>4986</v>
      </c>
      <c r="I1430" s="4">
        <v>155</v>
      </c>
      <c r="J1430" s="4" t="s">
        <v>23</v>
      </c>
      <c r="K1430" s="4" t="s">
        <v>24</v>
      </c>
      <c r="L1430" s="4">
        <v>99000000</v>
      </c>
      <c r="M1430" s="4">
        <v>2015</v>
      </c>
      <c r="N1430" s="4">
        <v>7.2</v>
      </c>
      <c r="O1430" s="4">
        <f ca="1">IFERROR(__xludf.DUMMYFUNCTION("IF(Cost_in_dollars!E1430=""USD"",Cost_in_dollars!B1430,Cost_in_dollars!B1430 * GOOGLEFINANCE(""CURRENCY:"" &amp; Cost_in_dollars!E1430 &amp; ""USD""))
"),99000000)</f>
        <v>99000000</v>
      </c>
      <c r="P1430" s="4">
        <f ca="1">IFERROR(__xludf.DUMMYFUNCTION("IF(Cost_in_dollars!E1430=""USD"",Cost_in_dollars!C1430,Cost_in_dollars!C1430 * GOOGLEFINANCE(""CURRENCY:"" &amp; Cost_in_dollars!E1430 &amp; ""USD""))
"),130174897)</f>
        <v>130174897</v>
      </c>
      <c r="Q1430" s="4">
        <f t="shared" ca="1" si="30"/>
        <v>31174897</v>
      </c>
      <c r="R1430" s="5" t="str">
        <f t="shared" si="31"/>
        <v>The Peanuts Movie</v>
      </c>
      <c r="S1430" s="43" t="str">
        <f t="shared" si="34"/>
        <v>Adventure</v>
      </c>
    </row>
    <row r="1431" spans="1:19" ht="15.75" customHeight="1" x14ac:dyDescent="0.25">
      <c r="A1431" s="6" t="s">
        <v>1667</v>
      </c>
      <c r="B1431" s="6">
        <v>212</v>
      </c>
      <c r="C1431" s="6">
        <v>21378000</v>
      </c>
      <c r="D1431" s="6" t="s">
        <v>1242</v>
      </c>
      <c r="E1431" s="6" t="s">
        <v>393</v>
      </c>
      <c r="F1431" s="6" t="s">
        <v>4987</v>
      </c>
      <c r="G1431" s="6">
        <v>46493</v>
      </c>
      <c r="H1431" s="6" t="s">
        <v>4988</v>
      </c>
      <c r="I1431" s="6">
        <v>335</v>
      </c>
      <c r="J1431" s="6" t="s">
        <v>23</v>
      </c>
      <c r="K1431" s="6" t="s">
        <v>24</v>
      </c>
      <c r="L1431" s="6">
        <v>1000000</v>
      </c>
      <c r="M1431" s="6">
        <v>1980</v>
      </c>
      <c r="N1431" s="6">
        <v>6.8</v>
      </c>
      <c r="O1431" s="4">
        <f ca="1">IFERROR(__xludf.DUMMYFUNCTION("IF(Cost_in_dollars!E1431=""USD"",Cost_in_dollars!B1431,Cost_in_dollars!B1431 * GOOGLEFINANCE(""CURRENCY:"" &amp; Cost_in_dollars!E1431 &amp; ""USD""))
"),1000000)</f>
        <v>1000000</v>
      </c>
      <c r="P1431" s="4">
        <f ca="1">IFERROR(__xludf.DUMMYFUNCTION("IF(Cost_in_dollars!E1431=""USD"",Cost_in_dollars!C1431,Cost_in_dollars!C1431 * GOOGLEFINANCE(""CURRENCY:"" &amp; Cost_in_dollars!E1431 &amp; ""USD""))
"),21378000)</f>
        <v>21378000</v>
      </c>
      <c r="Q1431" s="6">
        <f t="shared" ca="1" si="30"/>
        <v>20378000</v>
      </c>
      <c r="R1431" s="7" t="str">
        <f t="shared" si="31"/>
        <v>The Fog</v>
      </c>
      <c r="S1431" s="43" t="str">
        <f t="shared" si="34"/>
        <v>Fantasy</v>
      </c>
    </row>
    <row r="1432" spans="1:19" ht="15.75" customHeight="1" x14ac:dyDescent="0.25">
      <c r="A1432" s="4" t="s">
        <v>4989</v>
      </c>
      <c r="B1432" s="4">
        <v>293</v>
      </c>
      <c r="C1432" s="4">
        <v>33422556</v>
      </c>
      <c r="D1432" s="4" t="s">
        <v>78</v>
      </c>
      <c r="E1432" s="4" t="s">
        <v>1347</v>
      </c>
      <c r="F1432" s="4" t="s">
        <v>4990</v>
      </c>
      <c r="G1432" s="4">
        <v>99236</v>
      </c>
      <c r="H1432" s="4" t="s">
        <v>4991</v>
      </c>
      <c r="I1432" s="4">
        <v>321</v>
      </c>
      <c r="J1432" s="4" t="s">
        <v>23</v>
      </c>
      <c r="K1432" s="4" t="s">
        <v>24</v>
      </c>
      <c r="L1432" s="4">
        <v>20000000</v>
      </c>
      <c r="M1432" s="4">
        <v>2008</v>
      </c>
      <c r="N1432" s="4">
        <v>7.5</v>
      </c>
      <c r="O1432" s="4">
        <f ca="1">IFERROR(__xludf.DUMMYFUNCTION("IF(Cost_in_dollars!E1432=""USD"",Cost_in_dollars!B1432,Cost_in_dollars!B1432 * GOOGLEFINANCE(""CURRENCY:"" &amp; Cost_in_dollars!E1432 &amp; ""USD""))
"),20000000)</f>
        <v>20000000</v>
      </c>
      <c r="P1432" s="4">
        <f ca="1">IFERROR(__xludf.DUMMYFUNCTION("IF(Cost_in_dollars!E1432=""USD"",Cost_in_dollars!C1432,Cost_in_dollars!C1432 * GOOGLEFINANCE(""CURRENCY:"" &amp; Cost_in_dollars!E1432 &amp; ""USD""))
"),33422556)</f>
        <v>33422556</v>
      </c>
      <c r="Q1432" s="4">
        <f t="shared" ca="1" si="30"/>
        <v>13422556</v>
      </c>
      <c r="R1432" s="5" t="str">
        <f t="shared" si="31"/>
        <v>Doubt</v>
      </c>
      <c r="S1432" s="43" t="str">
        <f t="shared" si="34"/>
        <v>Drama</v>
      </c>
    </row>
    <row r="1433" spans="1:19" ht="15.75" customHeight="1" x14ac:dyDescent="0.25">
      <c r="A1433" s="6" t="s">
        <v>2796</v>
      </c>
      <c r="B1433" s="6">
        <v>17</v>
      </c>
      <c r="C1433" s="6">
        <v>334041</v>
      </c>
      <c r="D1433" s="6" t="s">
        <v>4992</v>
      </c>
      <c r="E1433" s="6" t="s">
        <v>4993</v>
      </c>
      <c r="F1433" s="6" t="s">
        <v>4994</v>
      </c>
      <c r="G1433" s="6">
        <v>1038</v>
      </c>
      <c r="H1433" s="6" t="s">
        <v>4995</v>
      </c>
      <c r="I1433" s="6">
        <v>21</v>
      </c>
      <c r="J1433" s="6" t="s">
        <v>23</v>
      </c>
      <c r="K1433" s="6" t="s">
        <v>24</v>
      </c>
      <c r="L1433" s="6">
        <v>500000</v>
      </c>
      <c r="M1433" s="6">
        <v>1997</v>
      </c>
      <c r="N1433" s="6">
        <v>6.5</v>
      </c>
      <c r="O1433" s="4">
        <f ca="1">IFERROR(__xludf.DUMMYFUNCTION("IF(Cost_in_dollars!E1433=""USD"",Cost_in_dollars!B1433,Cost_in_dollars!B1433 * GOOGLEFINANCE(""CURRENCY:"" &amp; Cost_in_dollars!E1433 &amp; ""USD""))
"),500000)</f>
        <v>500000</v>
      </c>
      <c r="P1433" s="4">
        <f ca="1">IFERROR(__xludf.DUMMYFUNCTION("IF(Cost_in_dollars!E1433=""USD"",Cost_in_dollars!C1433,Cost_in_dollars!C1433 * GOOGLEFINANCE(""CURRENCY:"" &amp; Cost_in_dollars!E1433 &amp; ""USD""))
"),334041)</f>
        <v>334041</v>
      </c>
      <c r="Q1433" s="6">
        <f t="shared" ca="1" si="30"/>
        <v>-165959</v>
      </c>
      <c r="R1433" s="7" t="str">
        <f t="shared" si="31"/>
        <v>Hurricane Streets</v>
      </c>
      <c r="S1433" s="43" t="str">
        <f t="shared" si="34"/>
        <v>Crime</v>
      </c>
    </row>
    <row r="1434" spans="1:19" ht="15.75" customHeight="1" x14ac:dyDescent="0.25">
      <c r="A1434" s="4" t="s">
        <v>139</v>
      </c>
      <c r="B1434" s="4">
        <v>95</v>
      </c>
      <c r="C1434" s="4">
        <v>26494611</v>
      </c>
      <c r="D1434" s="4" t="s">
        <v>4996</v>
      </c>
      <c r="E1434" s="4" t="s">
        <v>20</v>
      </c>
      <c r="F1434" s="4" t="s">
        <v>4997</v>
      </c>
      <c r="G1434" s="4">
        <v>48621</v>
      </c>
      <c r="H1434" s="4" t="s">
        <v>4998</v>
      </c>
      <c r="I1434" s="4">
        <v>239</v>
      </c>
      <c r="J1434" s="4" t="s">
        <v>23</v>
      </c>
      <c r="K1434" s="4" t="s">
        <v>24</v>
      </c>
      <c r="L1434" s="4">
        <v>35000000</v>
      </c>
      <c r="M1434" s="4">
        <v>1999</v>
      </c>
      <c r="N1434" s="4">
        <v>6.6</v>
      </c>
      <c r="O1434" s="4">
        <f ca="1">IFERROR(__xludf.DUMMYFUNCTION("IF(Cost_in_dollars!E1434=""USD"",Cost_in_dollars!B1434,Cost_in_dollars!B1434 * GOOGLEFINANCE(""CURRENCY:"" &amp; Cost_in_dollars!E1434 &amp; ""USD""))
"),35000000)</f>
        <v>35000000</v>
      </c>
      <c r="P1434" s="4">
        <f ca="1">IFERROR(__xludf.DUMMYFUNCTION("IF(Cost_in_dollars!E1434=""USD"",Cost_in_dollars!C1434,Cost_in_dollars!C1434 * GOOGLEFINANCE(""CURRENCY:"" &amp; Cost_in_dollars!E1434 &amp; ""USD""))
"),26494611)</f>
        <v>26494611</v>
      </c>
      <c r="Q1434" s="4">
        <f t="shared" ca="1" si="30"/>
        <v>-8505389</v>
      </c>
      <c r="R1434" s="5" t="str">
        <f t="shared" si="31"/>
        <v>Blast from the Past</v>
      </c>
      <c r="S1434" s="43" t="str">
        <f t="shared" si="34"/>
        <v>Comedy</v>
      </c>
    </row>
    <row r="1435" spans="1:19" ht="15.75" customHeight="1" x14ac:dyDescent="0.25">
      <c r="A1435" s="6" t="s">
        <v>4999</v>
      </c>
      <c r="B1435" s="6">
        <v>342</v>
      </c>
      <c r="C1435" s="6">
        <v>209805005</v>
      </c>
      <c r="D1435" s="6" t="s">
        <v>155</v>
      </c>
      <c r="E1435" s="6" t="s">
        <v>805</v>
      </c>
      <c r="F1435" s="6" t="s">
        <v>5000</v>
      </c>
      <c r="G1435" s="6">
        <v>284792</v>
      </c>
      <c r="H1435" s="6" t="s">
        <v>5001</v>
      </c>
      <c r="I1435" s="6">
        <v>366</v>
      </c>
      <c r="J1435" s="6" t="s">
        <v>23</v>
      </c>
      <c r="K1435" s="6" t="s">
        <v>24</v>
      </c>
      <c r="L1435" s="6">
        <v>125000000</v>
      </c>
      <c r="M1435" s="6">
        <v>2011</v>
      </c>
      <c r="N1435" s="6">
        <v>7.3</v>
      </c>
      <c r="O1435" s="4">
        <f ca="1">IFERROR(__xludf.DUMMYFUNCTION("IF(Cost_in_dollars!E1435=""USD"",Cost_in_dollars!B1435,Cost_in_dollars!B1435 * GOOGLEFINANCE(""CURRENCY:"" &amp; Cost_in_dollars!E1435 &amp; ""USD""))
"),125000000)</f>
        <v>125000000</v>
      </c>
      <c r="P1435" s="4">
        <f ca="1">IFERROR(__xludf.DUMMYFUNCTION("IF(Cost_in_dollars!E1435=""USD"",Cost_in_dollars!C1435,Cost_in_dollars!C1435 * GOOGLEFINANCE(""CURRENCY:"" &amp; Cost_in_dollars!E1435 &amp; ""USD""))
"),209805005)</f>
        <v>209805005</v>
      </c>
      <c r="Q1435" s="6">
        <f t="shared" ca="1" si="30"/>
        <v>84805005</v>
      </c>
      <c r="R1435" s="7" t="str">
        <f t="shared" si="31"/>
        <v>Fast Five</v>
      </c>
      <c r="S1435" s="43" t="str">
        <f t="shared" si="34"/>
        <v>Action</v>
      </c>
    </row>
    <row r="1436" spans="1:19" ht="15.75" customHeight="1" x14ac:dyDescent="0.25">
      <c r="A1436" s="4" t="s">
        <v>5002</v>
      </c>
      <c r="B1436" s="4">
        <v>12</v>
      </c>
      <c r="C1436" s="4">
        <v>24332324</v>
      </c>
      <c r="D1436" s="4" t="s">
        <v>457</v>
      </c>
      <c r="E1436" s="4" t="s">
        <v>250</v>
      </c>
      <c r="F1436" s="4" t="s">
        <v>5003</v>
      </c>
      <c r="G1436" s="4">
        <v>13830</v>
      </c>
      <c r="H1436" s="4" t="s">
        <v>5004</v>
      </c>
      <c r="I1436" s="4">
        <v>61</v>
      </c>
      <c r="J1436" s="4" t="s">
        <v>23</v>
      </c>
      <c r="K1436" s="4" t="s">
        <v>24</v>
      </c>
      <c r="L1436" s="4">
        <v>40000000</v>
      </c>
      <c r="M1436" s="4">
        <v>1994</v>
      </c>
      <c r="N1436" s="4">
        <v>6.1</v>
      </c>
      <c r="O1436" s="4">
        <f ca="1">IFERROR(__xludf.DUMMYFUNCTION("IF(Cost_in_dollars!E1436=""USD"",Cost_in_dollars!B1436,Cost_in_dollars!B1436 * GOOGLEFINANCE(""CURRENCY:"" &amp; Cost_in_dollars!E1436 &amp; ""USD""))
"),40000000)</f>
        <v>40000000</v>
      </c>
      <c r="P1436" s="4">
        <f ca="1">IFERROR(__xludf.DUMMYFUNCTION("IF(Cost_in_dollars!E1436=""USD"",Cost_in_dollars!C1436,Cost_in_dollars!C1436 * GOOGLEFINANCE(""CURRENCY:"" &amp; Cost_in_dollars!E1436 &amp; ""USD""))
"),24332324)</f>
        <v>24332324</v>
      </c>
      <c r="Q1436" s="4">
        <f t="shared" ca="1" si="30"/>
        <v>-15667676</v>
      </c>
      <c r="R1436" s="5" t="str">
        <f t="shared" si="31"/>
        <v>Renaissance Man</v>
      </c>
      <c r="S1436" s="43" t="str">
        <f t="shared" si="34"/>
        <v>Comedy</v>
      </c>
    </row>
    <row r="1437" spans="1:19" ht="15.75" customHeight="1" x14ac:dyDescent="0.25">
      <c r="A1437" s="6" t="s">
        <v>5005</v>
      </c>
      <c r="B1437" s="6">
        <v>71</v>
      </c>
      <c r="C1437" s="6">
        <v>3607</v>
      </c>
      <c r="D1437" s="6" t="s">
        <v>578</v>
      </c>
      <c r="E1437" s="6" t="s">
        <v>5006</v>
      </c>
      <c r="F1437" s="6" t="s">
        <v>5007</v>
      </c>
      <c r="G1437" s="6">
        <v>22753</v>
      </c>
      <c r="H1437" s="6" t="s">
        <v>5008</v>
      </c>
      <c r="I1437" s="6">
        <v>94</v>
      </c>
      <c r="J1437" s="6" t="s">
        <v>23</v>
      </c>
      <c r="K1437" s="6" t="s">
        <v>1111</v>
      </c>
      <c r="L1437" s="6">
        <v>10000000</v>
      </c>
      <c r="M1437" s="6">
        <v>2008</v>
      </c>
      <c r="N1437" s="6">
        <v>6.1</v>
      </c>
      <c r="O1437" s="4">
        <f ca="1">IFERROR(__xludf.DUMMYFUNCTION("IF(Cost_in_dollars!E1437=""USD"",Cost_in_dollars!B1437,Cost_in_dollars!B1437 * GOOGLEFINANCE(""CURRENCY:"" &amp; Cost_in_dollars!E1437 &amp; ""USD""))
"),10847400)</f>
        <v>10847400</v>
      </c>
      <c r="P1437" s="4">
        <f ca="1">IFERROR(__xludf.DUMMYFUNCTION("IF(Cost_in_dollars!E1437=""USD"",Cost_in_dollars!C1437,Cost_in_dollars!C1437 * GOOGLEFINANCE(""CURRENCY:"" &amp; Cost_in_dollars!E1437 &amp; ""USD""))
"),3912.65718)</f>
        <v>3912.6571800000002</v>
      </c>
      <c r="Q1437" s="6">
        <f t="shared" ca="1" si="30"/>
        <v>-10843487.34282</v>
      </c>
      <c r="R1437" s="7" t="str">
        <f t="shared" si="31"/>
        <v>The Oxford Murders</v>
      </c>
      <c r="S1437" s="43" t="str">
        <f t="shared" si="34"/>
        <v>Crime</v>
      </c>
    </row>
    <row r="1438" spans="1:19" ht="15.75" customHeight="1" x14ac:dyDescent="0.25">
      <c r="A1438" s="4" t="s">
        <v>3014</v>
      </c>
      <c r="B1438" s="4">
        <v>107</v>
      </c>
      <c r="C1438" s="4">
        <v>14793904</v>
      </c>
      <c r="D1438" s="4" t="s">
        <v>88</v>
      </c>
      <c r="E1438" s="4" t="s">
        <v>5009</v>
      </c>
      <c r="F1438" s="4" t="s">
        <v>5010</v>
      </c>
      <c r="G1438" s="4">
        <v>28209</v>
      </c>
      <c r="H1438" s="4" t="s">
        <v>5011</v>
      </c>
      <c r="I1438" s="4">
        <v>80</v>
      </c>
      <c r="J1438" s="4" t="s">
        <v>23</v>
      </c>
      <c r="K1438" s="4" t="s">
        <v>627</v>
      </c>
      <c r="L1438" s="4">
        <v>18000000</v>
      </c>
      <c r="M1438" s="4">
        <v>2009</v>
      </c>
      <c r="N1438" s="4">
        <v>5.3</v>
      </c>
      <c r="O1438" s="4">
        <f ca="1">IFERROR(__xludf.DUMMYFUNCTION("IF(Cost_in_dollars!E1438=""USD"",Cost_in_dollars!B1438,Cost_in_dollars!B1438 * GOOGLEFINANCE(""CURRENCY:"" &amp; Cost_in_dollars!E1438 &amp; ""USD""))
"),13021290)</f>
        <v>13021290</v>
      </c>
      <c r="P1438" s="4">
        <f ca="1">IFERROR(__xludf.DUMMYFUNCTION("IF(Cost_in_dollars!E1438=""USD"",Cost_in_dollars!C1438,Cost_in_dollars!C1438 * GOOGLEFINANCE(""CURRENCY:"" &amp; Cost_in_dollars!E1438 &amp; ""USD""))
"),10701984.1231199)</f>
        <v>10701984.1231199</v>
      </c>
      <c r="Q1438" s="4">
        <f t="shared" ca="1" si="30"/>
        <v>-2319305.8768801</v>
      </c>
      <c r="R1438" s="5" t="str">
        <f t="shared" si="31"/>
        <v>I Love You, Beth Cooper</v>
      </c>
      <c r="S1438" s="43" t="str">
        <f t="shared" si="34"/>
        <v>Comedy</v>
      </c>
    </row>
    <row r="1439" spans="1:19" ht="15.75" customHeight="1" x14ac:dyDescent="0.25">
      <c r="A1439" s="6" t="s">
        <v>1495</v>
      </c>
      <c r="B1439" s="6">
        <v>126</v>
      </c>
      <c r="C1439" s="6">
        <v>5128124</v>
      </c>
      <c r="D1439" s="6" t="s">
        <v>1127</v>
      </c>
      <c r="E1439" s="6" t="s">
        <v>240</v>
      </c>
      <c r="F1439" s="6" t="s">
        <v>5012</v>
      </c>
      <c r="G1439" s="6">
        <v>44198</v>
      </c>
      <c r="H1439" s="6" t="s">
        <v>5013</v>
      </c>
      <c r="I1439" s="6">
        <v>251</v>
      </c>
      <c r="J1439" s="6" t="s">
        <v>23</v>
      </c>
      <c r="K1439" s="6" t="s">
        <v>1005</v>
      </c>
      <c r="L1439" s="6">
        <v>25000000</v>
      </c>
      <c r="M1439" s="6">
        <v>2005</v>
      </c>
      <c r="N1439" s="6">
        <v>7.9</v>
      </c>
      <c r="O1439" s="4">
        <f ca="1">IFERROR(__xludf.DUMMYFUNCTION("IF(Cost_in_dollars!E1439=""USD"",Cost_in_dollars!B1439,Cost_in_dollars!B1439 * GOOGLEFINANCE(""CURRENCY:"" &amp; Cost_in_dollars!E1439 &amp; ""USD""))
"),14718625)</f>
        <v>14718625</v>
      </c>
      <c r="P1439" s="4">
        <f ca="1">IFERROR(__xludf.DUMMYFUNCTION("IF(Cost_in_dollars!E1439=""USD"",Cost_in_dollars!C1439,Cost_in_dollars!C1439 * GOOGLEFINANCE(""CURRENCY:"" &amp; Cost_in_dollars!E1439 &amp; ""USD""))
"),3019157.36437999)</f>
        <v>3019157.3643799899</v>
      </c>
      <c r="Q1439" s="6">
        <f t="shared" ca="1" si="30"/>
        <v>-11699467.635620009</v>
      </c>
      <c r="R1439" s="7" t="str">
        <f t="shared" si="31"/>
        <v>The World's Fastest Indian</v>
      </c>
      <c r="S1439" s="43" t="str">
        <f t="shared" si="34"/>
        <v>Biography</v>
      </c>
    </row>
    <row r="1440" spans="1:19" ht="15.75" customHeight="1" x14ac:dyDescent="0.25">
      <c r="A1440" s="4" t="s">
        <v>5014</v>
      </c>
      <c r="B1440" s="4">
        <v>77</v>
      </c>
      <c r="C1440" s="4">
        <v>15712072</v>
      </c>
      <c r="D1440" s="4" t="s">
        <v>504</v>
      </c>
      <c r="E1440" s="4" t="s">
        <v>5015</v>
      </c>
      <c r="F1440" s="4" t="s">
        <v>5016</v>
      </c>
      <c r="G1440" s="4">
        <v>13210</v>
      </c>
      <c r="H1440" s="4" t="s">
        <v>5017</v>
      </c>
      <c r="I1440" s="4">
        <v>138</v>
      </c>
      <c r="J1440" s="4" t="s">
        <v>23</v>
      </c>
      <c r="K1440" s="4" t="s">
        <v>24</v>
      </c>
      <c r="L1440" s="4">
        <v>20000000</v>
      </c>
      <c r="M1440" s="4">
        <v>2004</v>
      </c>
      <c r="N1440" s="4">
        <v>5.8</v>
      </c>
      <c r="O1440" s="4">
        <f ca="1">IFERROR(__xludf.DUMMYFUNCTION("IF(Cost_in_dollars!E1440=""USD"",Cost_in_dollars!B1440,Cost_in_dollars!B1440 * GOOGLEFINANCE(""CURRENCY:"" &amp; Cost_in_dollars!E1440 &amp; ""USD""))
"),20000000)</f>
        <v>20000000</v>
      </c>
      <c r="P1440" s="4">
        <f ca="1">IFERROR(__xludf.DUMMYFUNCTION("IF(Cost_in_dollars!E1440=""USD"",Cost_in_dollars!C1440,Cost_in_dollars!C1440 * GOOGLEFINANCE(""CURRENCY:"" &amp; Cost_in_dollars!E1440 &amp; ""USD""))
"),15712072)</f>
        <v>15712072</v>
      </c>
      <c r="Q1440" s="4">
        <f t="shared" ca="1" si="30"/>
        <v>-4287928</v>
      </c>
      <c r="R1440" s="5" t="str">
        <f t="shared" si="31"/>
        <v>Paparazzi</v>
      </c>
      <c r="S1440" s="43" t="str">
        <f t="shared" si="34"/>
        <v>Action</v>
      </c>
    </row>
    <row r="1441" spans="1:19" ht="15.75" customHeight="1" x14ac:dyDescent="0.25">
      <c r="A1441" s="6" t="s">
        <v>3854</v>
      </c>
      <c r="B1441" s="6">
        <v>249</v>
      </c>
      <c r="C1441" s="6">
        <v>121468960</v>
      </c>
      <c r="D1441" s="6" t="s">
        <v>1158</v>
      </c>
      <c r="E1441" s="6" t="s">
        <v>588</v>
      </c>
      <c r="F1441" s="6" t="s">
        <v>5018</v>
      </c>
      <c r="G1441" s="6">
        <v>407601</v>
      </c>
      <c r="H1441" s="6" t="s">
        <v>5019</v>
      </c>
      <c r="I1441" s="6">
        <v>849</v>
      </c>
      <c r="J1441" s="6" t="s">
        <v>23</v>
      </c>
      <c r="K1441" s="6" t="s">
        <v>24</v>
      </c>
      <c r="L1441" s="6">
        <v>60000000</v>
      </c>
      <c r="M1441" s="6">
        <v>2002</v>
      </c>
      <c r="N1441" s="6">
        <v>7.9</v>
      </c>
      <c r="O1441" s="4">
        <f ca="1">IFERROR(__xludf.DUMMYFUNCTION("IF(Cost_in_dollars!E1441=""USD"",Cost_in_dollars!B1441,Cost_in_dollars!B1441 * GOOGLEFINANCE(""CURRENCY:"" &amp; Cost_in_dollars!E1441 &amp; ""USD""))
"),60000000)</f>
        <v>60000000</v>
      </c>
      <c r="P1441" s="4">
        <f ca="1">IFERROR(__xludf.DUMMYFUNCTION("IF(Cost_in_dollars!E1441=""USD"",Cost_in_dollars!C1441,Cost_in_dollars!C1441 * GOOGLEFINANCE(""CURRENCY:"" &amp; Cost_in_dollars!E1441 &amp; ""USD""))
"),121468960)</f>
        <v>121468960</v>
      </c>
      <c r="Q1441" s="6">
        <f t="shared" ca="1" si="30"/>
        <v>61468960</v>
      </c>
      <c r="R1441" s="7" t="str">
        <f t="shared" si="31"/>
        <v>The Bourne Identity</v>
      </c>
      <c r="S1441" s="43" t="str">
        <f t="shared" si="34"/>
        <v>Action</v>
      </c>
    </row>
    <row r="1442" spans="1:19" ht="15.75" customHeight="1" x14ac:dyDescent="0.25">
      <c r="A1442" s="4" t="s">
        <v>166</v>
      </c>
      <c r="B1442" s="4">
        <v>20</v>
      </c>
      <c r="C1442" s="4">
        <v>27900000</v>
      </c>
      <c r="D1442" s="4" t="s">
        <v>457</v>
      </c>
      <c r="E1442" s="4" t="s">
        <v>1222</v>
      </c>
      <c r="F1442" s="4" t="s">
        <v>5020</v>
      </c>
      <c r="G1442" s="4">
        <v>74626</v>
      </c>
      <c r="H1442" s="4" t="s">
        <v>5021</v>
      </c>
      <c r="I1442" s="4">
        <v>157</v>
      </c>
      <c r="J1442" s="4" t="s">
        <v>23</v>
      </c>
      <c r="K1442" s="4" t="s">
        <v>24</v>
      </c>
      <c r="L1442" s="4">
        <v>3500000</v>
      </c>
      <c r="M1442" s="4">
        <v>1995</v>
      </c>
      <c r="N1442" s="4">
        <v>7.3</v>
      </c>
      <c r="O1442" s="4">
        <f ca="1">IFERROR(__xludf.DUMMYFUNCTION("IF(Cost_in_dollars!E1442=""USD"",Cost_in_dollars!B1442,Cost_in_dollars!B1442 * GOOGLEFINANCE(""CURRENCY:"" &amp; Cost_in_dollars!E1442 &amp; ""USD""))
"),3500000)</f>
        <v>3500000</v>
      </c>
      <c r="P1442" s="4">
        <f ca="1">IFERROR(__xludf.DUMMYFUNCTION("IF(Cost_in_dollars!E1442=""USD"",Cost_in_dollars!C1442,Cost_in_dollars!C1442 * GOOGLEFINANCE(""CURRENCY:"" &amp; Cost_in_dollars!E1442 &amp; ""USD""))
"),27900000)</f>
        <v>27900000</v>
      </c>
      <c r="Q1442" s="4">
        <f t="shared" ca="1" si="30"/>
        <v>24400000</v>
      </c>
      <c r="R1442" s="5" t="str">
        <f t="shared" si="31"/>
        <v>Friday</v>
      </c>
      <c r="S1442" s="43" t="str">
        <f t="shared" si="34"/>
        <v>Comedy</v>
      </c>
    </row>
    <row r="1443" spans="1:19" ht="15.75" customHeight="1" x14ac:dyDescent="0.25">
      <c r="A1443" s="6" t="s">
        <v>863</v>
      </c>
      <c r="B1443" s="6">
        <v>378</v>
      </c>
      <c r="C1443" s="6">
        <v>245428137</v>
      </c>
      <c r="D1443" s="6" t="s">
        <v>188</v>
      </c>
      <c r="E1443" s="6" t="s">
        <v>217</v>
      </c>
      <c r="F1443" s="6" t="s">
        <v>5022</v>
      </c>
      <c r="G1443" s="6">
        <v>242420</v>
      </c>
      <c r="H1443" s="6" t="s">
        <v>5023</v>
      </c>
      <c r="I1443" s="6">
        <v>918</v>
      </c>
      <c r="J1443" s="6" t="s">
        <v>23</v>
      </c>
      <c r="K1443" s="6" t="s">
        <v>24</v>
      </c>
      <c r="L1443" s="6">
        <v>210000000</v>
      </c>
      <c r="M1443" s="6">
        <v>2014</v>
      </c>
      <c r="N1443" s="6">
        <v>5.7</v>
      </c>
      <c r="O1443" s="4">
        <f ca="1">IFERROR(__xludf.DUMMYFUNCTION("IF(Cost_in_dollars!E1443=""USD"",Cost_in_dollars!B1443,Cost_in_dollars!B1443 * GOOGLEFINANCE(""CURRENCY:"" &amp; Cost_in_dollars!E1443 &amp; ""USD""))
"),210000000)</f>
        <v>210000000</v>
      </c>
      <c r="P1443" s="4">
        <f ca="1">IFERROR(__xludf.DUMMYFUNCTION("IF(Cost_in_dollars!E1443=""USD"",Cost_in_dollars!C1443,Cost_in_dollars!C1443 * GOOGLEFINANCE(""CURRENCY:"" &amp; Cost_in_dollars!E1443 &amp; ""USD""))
"),245428137)</f>
        <v>245428137</v>
      </c>
      <c r="Q1443" s="6">
        <f t="shared" ca="1" si="30"/>
        <v>35428137</v>
      </c>
      <c r="R1443" s="7" t="str">
        <f t="shared" si="31"/>
        <v>Transformers: Age of Extinction</v>
      </c>
      <c r="S1443" s="43" t="str">
        <f t="shared" si="34"/>
        <v>Action</v>
      </c>
    </row>
    <row r="1444" spans="1:19" ht="15.75" customHeight="1" x14ac:dyDescent="0.25">
      <c r="A1444" s="4" t="s">
        <v>5024</v>
      </c>
      <c r="B1444" s="4">
        <v>177</v>
      </c>
      <c r="C1444" s="4">
        <v>73548</v>
      </c>
      <c r="D1444" s="4" t="s">
        <v>5025</v>
      </c>
      <c r="E1444" s="4" t="s">
        <v>1916</v>
      </c>
      <c r="F1444" s="4" t="s">
        <v>5026</v>
      </c>
      <c r="G1444" s="4">
        <v>47574</v>
      </c>
      <c r="H1444" s="4" t="s">
        <v>5027</v>
      </c>
      <c r="I1444" s="4">
        <v>209</v>
      </c>
      <c r="J1444" s="4" t="s">
        <v>23</v>
      </c>
      <c r="K1444" s="4" t="s">
        <v>24</v>
      </c>
      <c r="L1444" s="4">
        <v>15000000</v>
      </c>
      <c r="M1444" s="4">
        <v>2008</v>
      </c>
      <c r="N1444" s="4">
        <v>6.1</v>
      </c>
      <c r="O1444" s="4">
        <f ca="1">IFERROR(__xludf.DUMMYFUNCTION("IF(Cost_in_dollars!E1444=""USD"",Cost_in_dollars!B1444,Cost_in_dollars!B1444 * GOOGLEFINANCE(""CURRENCY:"" &amp; Cost_in_dollars!E1444 &amp; ""USD""))
"),15000000)</f>
        <v>15000000</v>
      </c>
      <c r="P1444" s="4">
        <f ca="1">IFERROR(__xludf.DUMMYFUNCTION("IF(Cost_in_dollars!E1444=""USD"",Cost_in_dollars!C1444,Cost_in_dollars!C1444 * GOOGLEFINANCE(""CURRENCY:"" &amp; Cost_in_dollars!E1444 &amp; ""USD""))
"),73548)</f>
        <v>73548</v>
      </c>
      <c r="Q1444" s="4">
        <f t="shared" ca="1" si="30"/>
        <v>-14926452</v>
      </c>
      <c r="R1444" s="5" t="str">
        <f t="shared" si="31"/>
        <v>The Midnight Meat Train</v>
      </c>
      <c r="S1444" s="43" t="str">
        <f t="shared" si="34"/>
        <v>Fantasy</v>
      </c>
    </row>
    <row r="1445" spans="1:19" ht="15.75" customHeight="1" x14ac:dyDescent="0.25">
      <c r="A1445" s="6" t="s">
        <v>5028</v>
      </c>
      <c r="B1445" s="6">
        <v>77</v>
      </c>
      <c r="C1445" s="6">
        <v>2869369</v>
      </c>
      <c r="D1445" s="6" t="s">
        <v>618</v>
      </c>
      <c r="E1445" s="6" t="s">
        <v>5029</v>
      </c>
      <c r="F1445" s="6" t="s">
        <v>5030</v>
      </c>
      <c r="G1445" s="6">
        <v>65474</v>
      </c>
      <c r="H1445" s="6" t="s">
        <v>5031</v>
      </c>
      <c r="I1445" s="6">
        <v>211</v>
      </c>
      <c r="J1445" s="6" t="s">
        <v>23</v>
      </c>
      <c r="K1445" s="6" t="s">
        <v>133</v>
      </c>
      <c r="L1445" s="6">
        <v>30000000</v>
      </c>
      <c r="M1445" s="6">
        <v>1994</v>
      </c>
      <c r="N1445" s="6">
        <v>7.3</v>
      </c>
      <c r="O1445" s="4">
        <f ca="1">IFERROR(__xludf.DUMMYFUNCTION("IF(Cost_in_dollars!E1445=""USD"",Cost_in_dollars!B1445,Cost_in_dollars!B1445 * GOOGLEFINANCE(""CURRENCY:"" &amp; Cost_in_dollars!E1445 &amp; ""USD""))
"),38562000)</f>
        <v>38562000</v>
      </c>
      <c r="P1445" s="4">
        <f ca="1">IFERROR(__xludf.DUMMYFUNCTION("IF(Cost_in_dollars!E1445=""USD"",Cost_in_dollars!C1445,Cost_in_dollars!C1445 * GOOGLEFINANCE(""CURRENCY:"" &amp; Cost_in_dollars!E1445 &amp; ""USD""))
"),3688286.91259999)</f>
        <v>3688286.9125999901</v>
      </c>
      <c r="Q1445" s="6">
        <f t="shared" ca="1" si="30"/>
        <v>-34873713.087400012</v>
      </c>
      <c r="R1445" s="7" t="str">
        <f t="shared" si="31"/>
        <v>The Hudsucker Proxy</v>
      </c>
      <c r="S1445" s="43" t="str">
        <f t="shared" si="34"/>
        <v>Comedy</v>
      </c>
    </row>
    <row r="1446" spans="1:19" ht="15.75" customHeight="1" x14ac:dyDescent="0.25">
      <c r="A1446" s="4" t="s">
        <v>2730</v>
      </c>
      <c r="B1446" s="4">
        <v>175</v>
      </c>
      <c r="C1446" s="4">
        <v>250147615</v>
      </c>
      <c r="D1446" s="4" t="s">
        <v>5032</v>
      </c>
      <c r="E1446" s="4" t="s">
        <v>2732</v>
      </c>
      <c r="F1446" s="4" t="s">
        <v>5033</v>
      </c>
      <c r="G1446" s="4">
        <v>403014</v>
      </c>
      <c r="H1446" s="4" t="s">
        <v>5034</v>
      </c>
      <c r="I1446" s="4">
        <v>289</v>
      </c>
      <c r="J1446" s="4" t="s">
        <v>23</v>
      </c>
      <c r="K1446" s="4" t="s">
        <v>24</v>
      </c>
      <c r="L1446" s="4">
        <v>90000000</v>
      </c>
      <c r="M1446" s="4">
        <v>1997</v>
      </c>
      <c r="N1446" s="4">
        <v>7.3</v>
      </c>
      <c r="O1446" s="4">
        <f ca="1">IFERROR(__xludf.DUMMYFUNCTION("IF(Cost_in_dollars!E1446=""USD"",Cost_in_dollars!B1446,Cost_in_dollars!B1446 * GOOGLEFINANCE(""CURRENCY:"" &amp; Cost_in_dollars!E1446 &amp; ""USD""))
"),90000000)</f>
        <v>90000000</v>
      </c>
      <c r="P1446" s="4">
        <f ca="1">IFERROR(__xludf.DUMMYFUNCTION("IF(Cost_in_dollars!E1446=""USD"",Cost_in_dollars!C1446,Cost_in_dollars!C1446 * GOOGLEFINANCE(""CURRENCY:"" &amp; Cost_in_dollars!E1446 &amp; ""USD""))
"),250147615)</f>
        <v>250147615</v>
      </c>
      <c r="Q1446" s="4">
        <f t="shared" ca="1" si="30"/>
        <v>160147615</v>
      </c>
      <c r="R1446" s="5" t="str">
        <f t="shared" si="31"/>
        <v>Men in Black</v>
      </c>
      <c r="S1446" s="43" t="str">
        <f t="shared" si="34"/>
        <v>Adventure</v>
      </c>
    </row>
    <row r="1447" spans="1:19" ht="15.75" customHeight="1" x14ac:dyDescent="0.25">
      <c r="A1447" s="6" t="s">
        <v>5035</v>
      </c>
      <c r="B1447" s="6">
        <v>158</v>
      </c>
      <c r="C1447" s="6">
        <v>35537564</v>
      </c>
      <c r="D1447" s="6" t="s">
        <v>140</v>
      </c>
      <c r="E1447" s="6" t="s">
        <v>886</v>
      </c>
      <c r="F1447" s="6" t="s">
        <v>5036</v>
      </c>
      <c r="G1447" s="6">
        <v>49671</v>
      </c>
      <c r="H1447" s="6" t="s">
        <v>5037</v>
      </c>
      <c r="I1447" s="6">
        <v>166</v>
      </c>
      <c r="J1447" s="6" t="s">
        <v>23</v>
      </c>
      <c r="K1447" s="6" t="s">
        <v>24</v>
      </c>
      <c r="L1447" s="6">
        <v>11500000</v>
      </c>
      <c r="M1447" s="6">
        <v>2016</v>
      </c>
      <c r="N1447" s="6">
        <v>6</v>
      </c>
      <c r="O1447" s="4">
        <f ca="1">IFERROR(__xludf.DUMMYFUNCTION("IF(Cost_in_dollars!E1447=""USD"",Cost_in_dollars!B1447,Cost_in_dollars!B1447 * GOOGLEFINANCE(""CURRENCY:"" &amp; Cost_in_dollars!E1447 &amp; ""USD""))
"),11500000)</f>
        <v>11500000</v>
      </c>
      <c r="P1447" s="4">
        <f ca="1">IFERROR(__xludf.DUMMYFUNCTION("IF(Cost_in_dollars!E1447=""USD"",Cost_in_dollars!C1447,Cost_in_dollars!C1447 * GOOGLEFINANCE(""CURRENCY:"" &amp; Cost_in_dollars!E1447 &amp; ""USD""))
"),35537564)</f>
        <v>35537564</v>
      </c>
      <c r="Q1447" s="6">
        <f t="shared" ca="1" si="30"/>
        <v>24037564</v>
      </c>
      <c r="R1447" s="7" t="str">
        <f t="shared" si="31"/>
        <v>Dirty Grandpa</v>
      </c>
      <c r="S1447" s="43" t="str">
        <f t="shared" si="34"/>
        <v>Comedy</v>
      </c>
    </row>
    <row r="1448" spans="1:19" ht="15.75" customHeight="1" x14ac:dyDescent="0.25">
      <c r="A1448" s="4" t="s">
        <v>4377</v>
      </c>
      <c r="B1448" s="4">
        <v>81</v>
      </c>
      <c r="C1448" s="4">
        <v>136007</v>
      </c>
      <c r="D1448" s="4" t="s">
        <v>737</v>
      </c>
      <c r="E1448" s="4" t="s">
        <v>5038</v>
      </c>
      <c r="F1448" s="4" t="s">
        <v>5039</v>
      </c>
      <c r="G1448" s="4">
        <v>3924</v>
      </c>
      <c r="H1448" s="4" t="s">
        <v>5040</v>
      </c>
      <c r="I1448" s="4">
        <v>39</v>
      </c>
      <c r="J1448" s="4" t="s">
        <v>661</v>
      </c>
      <c r="K1448" s="4" t="s">
        <v>611</v>
      </c>
      <c r="L1448" s="4">
        <v>4500</v>
      </c>
      <c r="M1448" s="4">
        <v>2004</v>
      </c>
      <c r="N1448" s="4">
        <v>6.9</v>
      </c>
      <c r="O1448" s="4">
        <f ca="1">IFERROR(__xludf.DUMMYFUNCTION("IF(Cost_in_dollars!E1448=""USD"",Cost_in_dollars!B1448,Cost_in_dollars!B1448 * GOOGLEFINANCE(""CURRENCY:"" &amp; Cost_in_dollars!E1448 &amp; ""USD""))
"),4881.33)</f>
        <v>4881.33</v>
      </c>
      <c r="P1448" s="4">
        <f ca="1">IFERROR(__xludf.DUMMYFUNCTION("IF(Cost_in_dollars!E1448=""USD"",Cost_in_dollars!C1448,Cost_in_dollars!C1448 * GOOGLEFINANCE(""CURRENCY:"" &amp; Cost_in_dollars!E1448 &amp; ""USD""))
"),147532.23318)</f>
        <v>147532.23318000001</v>
      </c>
      <c r="Q1448" s="4">
        <f t="shared" ca="1" si="30"/>
        <v>142650.90318000002</v>
      </c>
      <c r="R1448" s="5" t="str">
        <f t="shared" si="31"/>
        <v>Clean</v>
      </c>
      <c r="S1448" s="43" t="str">
        <f t="shared" si="34"/>
        <v>Drama</v>
      </c>
    </row>
    <row r="1449" spans="1:19" ht="15.75" customHeight="1" x14ac:dyDescent="0.25">
      <c r="A1449" s="6" t="s">
        <v>5041</v>
      </c>
      <c r="B1449" s="6">
        <v>242</v>
      </c>
      <c r="C1449" s="6">
        <v>62321039</v>
      </c>
      <c r="D1449" s="6" t="s">
        <v>482</v>
      </c>
      <c r="E1449" s="6" t="s">
        <v>5042</v>
      </c>
      <c r="F1449" s="6" t="s">
        <v>5043</v>
      </c>
      <c r="G1449" s="6">
        <v>117096</v>
      </c>
      <c r="H1449" s="6" t="s">
        <v>5044</v>
      </c>
      <c r="I1449" s="6">
        <v>271</v>
      </c>
      <c r="J1449" s="6" t="s">
        <v>23</v>
      </c>
      <c r="K1449" s="6" t="s">
        <v>24</v>
      </c>
      <c r="L1449" s="6">
        <v>70000000</v>
      </c>
      <c r="M1449" s="6">
        <v>2012</v>
      </c>
      <c r="N1449" s="6">
        <v>6.4</v>
      </c>
      <c r="O1449" s="4">
        <f ca="1">IFERROR(__xludf.DUMMYFUNCTION("IF(Cost_in_dollars!E1449=""USD"",Cost_in_dollars!B1449,Cost_in_dollars!B1449 * GOOGLEFINANCE(""CURRENCY:"" &amp; Cost_in_dollars!E1449 &amp; ""USD""))
"),70000000)</f>
        <v>70000000</v>
      </c>
      <c r="P1449" s="4">
        <f ca="1">IFERROR(__xludf.DUMMYFUNCTION("IF(Cost_in_dollars!E1449=""USD"",Cost_in_dollars!C1449,Cost_in_dollars!C1449 * GOOGLEFINANCE(""CURRENCY:"" &amp; Cost_in_dollars!E1449 &amp; ""USD""))
"),62321039)</f>
        <v>62321039</v>
      </c>
      <c r="Q1449" s="6">
        <f t="shared" ca="1" si="30"/>
        <v>-7678961</v>
      </c>
      <c r="R1449" s="7" t="str">
        <f t="shared" si="31"/>
        <v>Underworld: Awakening</v>
      </c>
      <c r="S1449" s="43" t="str">
        <f t="shared" si="34"/>
        <v>Action</v>
      </c>
    </row>
    <row r="1450" spans="1:19" ht="15.75" customHeight="1" x14ac:dyDescent="0.25">
      <c r="A1450" s="4" t="s">
        <v>5045</v>
      </c>
      <c r="B1450" s="4">
        <v>13</v>
      </c>
      <c r="C1450" s="4">
        <v>16066</v>
      </c>
      <c r="D1450" s="4" t="s">
        <v>5046</v>
      </c>
      <c r="E1450" s="4" t="s">
        <v>4160</v>
      </c>
      <c r="F1450" s="4" t="s">
        <v>5047</v>
      </c>
      <c r="G1450" s="4">
        <v>1207</v>
      </c>
      <c r="H1450" s="4" t="s">
        <v>5048</v>
      </c>
      <c r="I1450" s="4">
        <v>44</v>
      </c>
      <c r="J1450" s="4" t="s">
        <v>23</v>
      </c>
      <c r="K1450" s="4" t="s">
        <v>176</v>
      </c>
      <c r="L1450" s="4">
        <v>5000000</v>
      </c>
      <c r="M1450" s="4">
        <v>2004</v>
      </c>
      <c r="N1450" s="4">
        <v>3.3</v>
      </c>
      <c r="O1450" s="4">
        <f ca="1">IFERROR(__xludf.DUMMYFUNCTION("IF(Cost_in_dollars!E1450=""USD"",Cost_in_dollars!B1450,Cost_in_dollars!B1450 * GOOGLEFINANCE(""CURRENCY:"" &amp; Cost_in_dollars!E1450 &amp; ""USD""))
"),5423700)</f>
        <v>5423700</v>
      </c>
      <c r="P1450" s="4">
        <f ca="1">IFERROR(__xludf.DUMMYFUNCTION("IF(Cost_in_dollars!E1450=""USD"",Cost_in_dollars!C1450,Cost_in_dollars!C1450 * GOOGLEFINANCE(""CURRENCY:"" &amp; Cost_in_dollars!E1450 &amp; ""USD""))
"),17427.43284)</f>
        <v>17427.432840000001</v>
      </c>
      <c r="Q1450" s="4">
        <f t="shared" ca="1" si="30"/>
        <v>-5406272.5671600001</v>
      </c>
      <c r="R1450" s="5" t="str">
        <f t="shared" si="31"/>
        <v>Fascination</v>
      </c>
      <c r="S1450" s="43" t="str">
        <f t="shared" si="34"/>
        <v>Mystery</v>
      </c>
    </row>
    <row r="1451" spans="1:19" ht="15.75" customHeight="1" x14ac:dyDescent="0.25">
      <c r="A1451" s="6" t="s">
        <v>2770</v>
      </c>
      <c r="B1451" s="6">
        <v>152</v>
      </c>
      <c r="C1451" s="6">
        <v>169692572</v>
      </c>
      <c r="D1451" s="6" t="s">
        <v>2771</v>
      </c>
      <c r="E1451" s="6" t="s">
        <v>456</v>
      </c>
      <c r="F1451" s="6" t="s">
        <v>5049</v>
      </c>
      <c r="G1451" s="6">
        <v>56501</v>
      </c>
      <c r="H1451" s="6" t="s">
        <v>5050</v>
      </c>
      <c r="I1451" s="6">
        <v>97</v>
      </c>
      <c r="J1451" s="6" t="s">
        <v>23</v>
      </c>
      <c r="K1451" s="6" t="s">
        <v>24</v>
      </c>
      <c r="L1451" s="6">
        <v>80000000</v>
      </c>
      <c r="M1451" s="6">
        <v>2015</v>
      </c>
      <c r="N1451" s="6">
        <v>6.7</v>
      </c>
      <c r="O1451" s="4">
        <f ca="1">IFERROR(__xludf.DUMMYFUNCTION("IF(Cost_in_dollars!E1451=""USD"",Cost_in_dollars!B1451,Cost_in_dollars!B1451 * GOOGLEFINANCE(""CURRENCY:"" &amp; Cost_in_dollars!E1451 &amp; ""USD""))
"),80000000)</f>
        <v>80000000</v>
      </c>
      <c r="P1451" s="4">
        <f ca="1">IFERROR(__xludf.DUMMYFUNCTION("IF(Cost_in_dollars!E1451=""USD"",Cost_in_dollars!C1451,Cost_in_dollars!C1451 * GOOGLEFINANCE(""CURRENCY:"" &amp; Cost_in_dollars!E1451 &amp; ""USD""))
"),169692572)</f>
        <v>169692572</v>
      </c>
      <c r="Q1451" s="6">
        <f t="shared" ca="1" si="30"/>
        <v>89692572</v>
      </c>
      <c r="R1451" s="7" t="str">
        <f t="shared" si="31"/>
        <v>Hotel Transylvania 2</v>
      </c>
      <c r="S1451" s="43" t="str">
        <f t="shared" si="34"/>
        <v>Animation</v>
      </c>
    </row>
    <row r="1452" spans="1:19" ht="15.75" customHeight="1" x14ac:dyDescent="0.25">
      <c r="A1452" s="4" t="s">
        <v>110</v>
      </c>
      <c r="B1452" s="4">
        <v>242</v>
      </c>
      <c r="C1452" s="4">
        <v>19100000</v>
      </c>
      <c r="D1452" s="4" t="s">
        <v>93</v>
      </c>
      <c r="E1452" s="4" t="s">
        <v>5051</v>
      </c>
      <c r="F1452" s="4" t="s">
        <v>5052</v>
      </c>
      <c r="G1452" s="4">
        <v>39690</v>
      </c>
      <c r="H1452" s="4" t="s">
        <v>5053</v>
      </c>
      <c r="I1452" s="4">
        <v>394</v>
      </c>
      <c r="J1452" s="4" t="s">
        <v>23</v>
      </c>
      <c r="K1452" s="4" t="s">
        <v>24</v>
      </c>
      <c r="L1452" s="4">
        <v>1250000</v>
      </c>
      <c r="M1452" s="4">
        <v>1981</v>
      </c>
      <c r="N1452" s="4">
        <v>6.1</v>
      </c>
      <c r="O1452" s="4">
        <f ca="1">IFERROR(__xludf.DUMMYFUNCTION("IF(Cost_in_dollars!E1452=""USD"",Cost_in_dollars!B1452,Cost_in_dollars!B1452 * GOOGLEFINANCE(""CURRENCY:"" &amp; Cost_in_dollars!E1452 &amp; ""USD""))
"),1250000)</f>
        <v>1250000</v>
      </c>
      <c r="P1452" s="4">
        <f ca="1">IFERROR(__xludf.DUMMYFUNCTION("IF(Cost_in_dollars!E1452=""USD"",Cost_in_dollars!C1452,Cost_in_dollars!C1452 * GOOGLEFINANCE(""CURRENCY:"" &amp; Cost_in_dollars!E1452 &amp; ""USD""))
"),19100000)</f>
        <v>19100000</v>
      </c>
      <c r="Q1452" s="4">
        <f t="shared" ca="1" si="30"/>
        <v>17850000</v>
      </c>
      <c r="R1452" s="5" t="str">
        <f t="shared" si="31"/>
        <v>Friday the 13th Part 2</v>
      </c>
      <c r="S1452" s="43" t="str">
        <f t="shared" si="34"/>
        <v>Horror</v>
      </c>
    </row>
    <row r="1453" spans="1:19" ht="15.75" customHeight="1" x14ac:dyDescent="0.25">
      <c r="A1453" s="6" t="s">
        <v>4281</v>
      </c>
      <c r="B1453" s="6">
        <v>98</v>
      </c>
      <c r="C1453" s="6">
        <v>39177215</v>
      </c>
      <c r="D1453" s="6" t="s">
        <v>116</v>
      </c>
      <c r="E1453" s="6" t="s">
        <v>945</v>
      </c>
      <c r="F1453" s="6" t="s">
        <v>5054</v>
      </c>
      <c r="G1453" s="6">
        <v>30667</v>
      </c>
      <c r="H1453" s="6" t="s">
        <v>5055</v>
      </c>
      <c r="I1453" s="6">
        <v>234</v>
      </c>
      <c r="J1453" s="6" t="s">
        <v>23</v>
      </c>
      <c r="K1453" s="6" t="s">
        <v>24</v>
      </c>
      <c r="L1453" s="6">
        <v>38000000</v>
      </c>
      <c r="M1453" s="6">
        <v>2002</v>
      </c>
      <c r="N1453" s="6">
        <v>5.6</v>
      </c>
      <c r="O1453" s="4">
        <f ca="1">IFERROR(__xludf.DUMMYFUNCTION("IF(Cost_in_dollars!E1453=""USD"",Cost_in_dollars!B1453,Cost_in_dollars!B1453 * GOOGLEFINANCE(""CURRENCY:"" &amp; Cost_in_dollars!E1453 &amp; ""USD""))
"),38000000)</f>
        <v>38000000</v>
      </c>
      <c r="P1453" s="4">
        <f ca="1">IFERROR(__xludf.DUMMYFUNCTION("IF(Cost_in_dollars!E1453=""USD"",Cost_in_dollars!C1453,Cost_in_dollars!C1453 * GOOGLEFINANCE(""CURRENCY:"" &amp; Cost_in_dollars!E1453 &amp; ""USD""))
"),39177215)</f>
        <v>39177215</v>
      </c>
      <c r="Q1453" s="6">
        <f t="shared" ca="1" si="30"/>
        <v>1177215</v>
      </c>
      <c r="R1453" s="7" t="str">
        <f t="shared" si="31"/>
        <v>Enough</v>
      </c>
      <c r="S1453" s="43" t="str">
        <f t="shared" si="34"/>
        <v>Crime</v>
      </c>
    </row>
    <row r="1454" spans="1:19" ht="15.75" customHeight="1" x14ac:dyDescent="0.25">
      <c r="A1454" s="4" t="s">
        <v>1578</v>
      </c>
      <c r="B1454" s="4">
        <v>185</v>
      </c>
      <c r="C1454" s="4">
        <v>52397389</v>
      </c>
      <c r="D1454" s="4" t="s">
        <v>5056</v>
      </c>
      <c r="E1454" s="4" t="s">
        <v>2466</v>
      </c>
      <c r="F1454" s="4" t="s">
        <v>5057</v>
      </c>
      <c r="G1454" s="4">
        <v>132954</v>
      </c>
      <c r="H1454" s="4" t="s">
        <v>5058</v>
      </c>
      <c r="I1454" s="4">
        <v>514</v>
      </c>
      <c r="J1454" s="4" t="s">
        <v>23</v>
      </c>
      <c r="K1454" s="4" t="s">
        <v>24</v>
      </c>
      <c r="L1454" s="4">
        <v>65000000</v>
      </c>
      <c r="M1454" s="4">
        <v>2004</v>
      </c>
      <c r="N1454" s="4">
        <v>5.9</v>
      </c>
      <c r="O1454" s="4">
        <f ca="1">IFERROR(__xludf.DUMMYFUNCTION("IF(Cost_in_dollars!E1454=""USD"",Cost_in_dollars!B1454,Cost_in_dollars!B1454 * GOOGLEFINANCE(""CURRENCY:"" &amp; Cost_in_dollars!E1454 &amp; ""USD""))
"),65000000)</f>
        <v>65000000</v>
      </c>
      <c r="P1454" s="4">
        <f ca="1">IFERROR(__xludf.DUMMYFUNCTION("IF(Cost_in_dollars!E1454=""USD"",Cost_in_dollars!C1454,Cost_in_dollars!C1454 * GOOGLEFINANCE(""CURRENCY:"" &amp; Cost_in_dollars!E1454 &amp; ""USD""))
"),52397389)</f>
        <v>52397389</v>
      </c>
      <c r="Q1454" s="4">
        <f t="shared" ca="1" si="30"/>
        <v>-12602611</v>
      </c>
      <c r="R1454" s="5" t="str">
        <f t="shared" si="31"/>
        <v>Blade: Trinity</v>
      </c>
      <c r="S1454" s="43" t="str">
        <f t="shared" si="34"/>
        <v>Action</v>
      </c>
    </row>
    <row r="1455" spans="1:19" ht="15.75" customHeight="1" x14ac:dyDescent="0.25">
      <c r="A1455" s="6" t="s">
        <v>5059</v>
      </c>
      <c r="B1455" s="6">
        <v>418</v>
      </c>
      <c r="C1455" s="6">
        <v>101470202</v>
      </c>
      <c r="D1455" s="6" t="s">
        <v>618</v>
      </c>
      <c r="E1455" s="6" t="s">
        <v>179</v>
      </c>
      <c r="F1455" s="6" t="s">
        <v>5060</v>
      </c>
      <c r="G1455" s="6">
        <v>310540</v>
      </c>
      <c r="H1455" s="6" t="s">
        <v>5061</v>
      </c>
      <c r="I1455" s="6">
        <v>669</v>
      </c>
      <c r="J1455" s="6" t="s">
        <v>23</v>
      </c>
      <c r="K1455" s="6" t="s">
        <v>24</v>
      </c>
      <c r="L1455" s="6">
        <v>32000000</v>
      </c>
      <c r="M1455" s="6">
        <v>2013</v>
      </c>
      <c r="N1455" s="6">
        <v>6.7</v>
      </c>
      <c r="O1455" s="4">
        <f ca="1">IFERROR(__xludf.DUMMYFUNCTION("IF(Cost_in_dollars!E1455=""USD"",Cost_in_dollars!B1455,Cost_in_dollars!B1455 * GOOGLEFINANCE(""CURRENCY:"" &amp; Cost_in_dollars!E1455 &amp; ""USD""))
"),32000000)</f>
        <v>32000000</v>
      </c>
      <c r="P1455" s="4">
        <f ca="1">IFERROR(__xludf.DUMMYFUNCTION("IF(Cost_in_dollars!E1455=""USD"",Cost_in_dollars!C1455,Cost_in_dollars!C1455 * GOOGLEFINANCE(""CURRENCY:"" &amp; Cost_in_dollars!E1455 &amp; ""USD""))
"),101470202)</f>
        <v>101470202</v>
      </c>
      <c r="Q1455" s="6">
        <f t="shared" ca="1" si="30"/>
        <v>69470202</v>
      </c>
      <c r="R1455" s="7" t="str">
        <f t="shared" si="31"/>
        <v>This Is the End</v>
      </c>
      <c r="S1455" s="43" t="str">
        <f t="shared" si="34"/>
        <v>Comedy</v>
      </c>
    </row>
    <row r="1456" spans="1:19" ht="15.75" customHeight="1" x14ac:dyDescent="0.25">
      <c r="A1456" s="4" t="s">
        <v>2738</v>
      </c>
      <c r="B1456" s="4">
        <v>22</v>
      </c>
      <c r="C1456" s="4">
        <v>16671505</v>
      </c>
      <c r="D1456" s="4" t="s">
        <v>5062</v>
      </c>
      <c r="E1456" s="4" t="s">
        <v>1994</v>
      </c>
      <c r="F1456" s="4" t="s">
        <v>5063</v>
      </c>
      <c r="G1456" s="4">
        <v>33186</v>
      </c>
      <c r="H1456" s="4" t="s">
        <v>5064</v>
      </c>
      <c r="I1456" s="4">
        <v>78</v>
      </c>
      <c r="J1456" s="4" t="s">
        <v>23</v>
      </c>
      <c r="K1456" s="4" t="s">
        <v>24</v>
      </c>
      <c r="L1456" s="4">
        <v>50000000</v>
      </c>
      <c r="M1456" s="4">
        <v>1994</v>
      </c>
      <c r="N1456" s="4">
        <v>5.9</v>
      </c>
      <c r="O1456" s="4">
        <f ca="1">IFERROR(__xludf.DUMMYFUNCTION("IF(Cost_in_dollars!E1456=""USD"",Cost_in_dollars!B1456,Cost_in_dollars!B1456 * GOOGLEFINANCE(""CURRENCY:"" &amp; Cost_in_dollars!E1456 &amp; ""USD""))
"),50000000)</f>
        <v>50000000</v>
      </c>
      <c r="P1456" s="4">
        <f ca="1">IFERROR(__xludf.DUMMYFUNCTION("IF(Cost_in_dollars!E1456=""USD"",Cost_in_dollars!C1456,Cost_in_dollars!C1456 * GOOGLEFINANCE(""CURRENCY:"" &amp; Cost_in_dollars!E1456 &amp; ""USD""))
"),16671505)</f>
        <v>16671505</v>
      </c>
      <c r="Q1456" s="4">
        <f t="shared" ca="1" si="30"/>
        <v>-33328495</v>
      </c>
      <c r="R1456" s="5" t="str">
        <f t="shared" si="31"/>
        <v>Baby's Day Out</v>
      </c>
      <c r="S1456" s="43" t="str">
        <f t="shared" si="34"/>
        <v>Adventure</v>
      </c>
    </row>
    <row r="1457" spans="1:19" ht="15.75" customHeight="1" x14ac:dyDescent="0.25">
      <c r="A1457" s="6" t="s">
        <v>1090</v>
      </c>
      <c r="B1457" s="6">
        <v>174</v>
      </c>
      <c r="C1457" s="6">
        <v>21283440</v>
      </c>
      <c r="D1457" s="6" t="s">
        <v>314</v>
      </c>
      <c r="E1457" s="6" t="s">
        <v>877</v>
      </c>
      <c r="F1457" s="6" t="s">
        <v>5065</v>
      </c>
      <c r="G1457" s="6">
        <v>46239</v>
      </c>
      <c r="H1457" s="6" t="s">
        <v>5066</v>
      </c>
      <c r="I1457" s="6">
        <v>137</v>
      </c>
      <c r="J1457" s="6" t="s">
        <v>23</v>
      </c>
      <c r="K1457" s="6" t="s">
        <v>24</v>
      </c>
      <c r="L1457" s="6">
        <v>55000000</v>
      </c>
      <c r="M1457" s="6">
        <v>2011</v>
      </c>
      <c r="N1457" s="6">
        <v>6</v>
      </c>
      <c r="O1457" s="4">
        <f ca="1">IFERROR(__xludf.DUMMYFUNCTION("IF(Cost_in_dollars!E1457=""USD"",Cost_in_dollars!B1457,Cost_in_dollars!B1457 * GOOGLEFINANCE(""CURRENCY:"" &amp; Cost_in_dollars!E1457 &amp; ""USD""))
"),55000000)</f>
        <v>55000000</v>
      </c>
      <c r="P1457" s="4">
        <f ca="1">IFERROR(__xludf.DUMMYFUNCTION("IF(Cost_in_dollars!E1457=""USD"",Cost_in_dollars!C1457,Cost_in_dollars!C1457 * GOOGLEFINANCE(""CURRENCY:"" &amp; Cost_in_dollars!E1457 &amp; ""USD""))
"),21283440)</f>
        <v>21283440</v>
      </c>
      <c r="Q1457" s="6">
        <f t="shared" ca="1" si="30"/>
        <v>-33716560</v>
      </c>
      <c r="R1457" s="7" t="str">
        <f t="shared" si="31"/>
        <v>Dream House</v>
      </c>
      <c r="S1457" s="43" t="str">
        <f t="shared" si="34"/>
        <v>Drama</v>
      </c>
    </row>
    <row r="1458" spans="1:19" ht="15.75" customHeight="1" x14ac:dyDescent="0.25">
      <c r="A1458" s="4" t="s">
        <v>5067</v>
      </c>
      <c r="B1458" s="4">
        <v>102</v>
      </c>
      <c r="C1458" s="4">
        <v>14967182</v>
      </c>
      <c r="D1458" s="4" t="s">
        <v>504</v>
      </c>
      <c r="E1458" s="4" t="s">
        <v>2547</v>
      </c>
      <c r="F1458" s="4" t="s">
        <v>5068</v>
      </c>
      <c r="G1458" s="4">
        <v>27305</v>
      </c>
      <c r="H1458" s="4" t="s">
        <v>5069</v>
      </c>
      <c r="I1458" s="4">
        <v>284</v>
      </c>
      <c r="J1458" s="4" t="s">
        <v>23</v>
      </c>
      <c r="K1458" s="4" t="s">
        <v>24</v>
      </c>
      <c r="L1458" s="4">
        <v>40000000</v>
      </c>
      <c r="M1458" s="4">
        <v>2000</v>
      </c>
      <c r="N1458" s="4">
        <v>5.0999999999999996</v>
      </c>
      <c r="O1458" s="4">
        <f ca="1">IFERROR(__xludf.DUMMYFUNCTION("IF(Cost_in_dollars!E1458=""USD"",Cost_in_dollars!B1458,Cost_in_dollars!B1458 * GOOGLEFINANCE(""CURRENCY:"" &amp; Cost_in_dollars!E1458 &amp; ""USD""))
"),40000000)</f>
        <v>40000000</v>
      </c>
      <c r="P1458" s="4">
        <f ca="1">IFERROR(__xludf.DUMMYFUNCTION("IF(Cost_in_dollars!E1458=""USD"",Cost_in_dollars!C1458,Cost_in_dollars!C1458 * GOOGLEFINANCE(""CURRENCY:"" &amp; Cost_in_dollars!E1458 &amp; ""USD""))
"),14967182)</f>
        <v>14967182</v>
      </c>
      <c r="Q1458" s="4">
        <f t="shared" ca="1" si="30"/>
        <v>-25032818</v>
      </c>
      <c r="R1458" s="5" t="str">
        <f t="shared" si="31"/>
        <v>Get Carter</v>
      </c>
      <c r="S1458" s="43" t="str">
        <f t="shared" si="34"/>
        <v>Action</v>
      </c>
    </row>
    <row r="1459" spans="1:19" ht="15.75" customHeight="1" x14ac:dyDescent="0.25">
      <c r="A1459" s="6" t="s">
        <v>5070</v>
      </c>
      <c r="B1459" s="6">
        <v>186</v>
      </c>
      <c r="C1459" s="6">
        <v>422783777</v>
      </c>
      <c r="D1459" s="6" t="s">
        <v>5071</v>
      </c>
      <c r="E1459" s="6" t="s">
        <v>2205</v>
      </c>
      <c r="F1459" s="6" t="s">
        <v>5072</v>
      </c>
      <c r="G1459" s="6">
        <v>644348</v>
      </c>
      <c r="H1459" s="6" t="s">
        <v>5073</v>
      </c>
      <c r="I1459" s="6">
        <v>656</v>
      </c>
      <c r="J1459" s="6" t="s">
        <v>23</v>
      </c>
      <c r="K1459" s="6" t="s">
        <v>24</v>
      </c>
      <c r="L1459" s="6">
        <v>45000000</v>
      </c>
      <c r="M1459" s="6">
        <v>1994</v>
      </c>
      <c r="N1459" s="6">
        <v>8.5</v>
      </c>
      <c r="O1459" s="4">
        <f ca="1">IFERROR(__xludf.DUMMYFUNCTION("IF(Cost_in_dollars!E1459=""USD"",Cost_in_dollars!B1459,Cost_in_dollars!B1459 * GOOGLEFINANCE(""CURRENCY:"" &amp; Cost_in_dollars!E1459 &amp; ""USD""))
"),45000000)</f>
        <v>45000000</v>
      </c>
      <c r="P1459" s="4">
        <f ca="1">IFERROR(__xludf.DUMMYFUNCTION("IF(Cost_in_dollars!E1459=""USD"",Cost_in_dollars!C1459,Cost_in_dollars!C1459 * GOOGLEFINANCE(""CURRENCY:"" &amp; Cost_in_dollars!E1459 &amp; ""USD""))
"),422783777)</f>
        <v>422783777</v>
      </c>
      <c r="Q1459" s="6">
        <f t="shared" ca="1" si="30"/>
        <v>377783777</v>
      </c>
      <c r="R1459" s="7" t="str">
        <f t="shared" si="31"/>
        <v>The Lion King</v>
      </c>
      <c r="S1459" s="43" t="str">
        <f t="shared" si="34"/>
        <v>Adventure</v>
      </c>
    </row>
    <row r="1460" spans="1:19" ht="15.75" customHeight="1" x14ac:dyDescent="0.25">
      <c r="A1460" s="4" t="s">
        <v>447</v>
      </c>
      <c r="B1460" s="4">
        <v>133</v>
      </c>
      <c r="C1460" s="4">
        <v>197148</v>
      </c>
      <c r="D1460" s="4" t="s">
        <v>4184</v>
      </c>
      <c r="E1460" s="4" t="s">
        <v>300</v>
      </c>
      <c r="F1460" s="4" t="s">
        <v>5074</v>
      </c>
      <c r="G1460" s="4">
        <v>18109</v>
      </c>
      <c r="H1460" s="4" t="s">
        <v>5075</v>
      </c>
      <c r="I1460" s="4">
        <v>150</v>
      </c>
      <c r="J1460" s="4" t="s">
        <v>23</v>
      </c>
      <c r="K1460" s="4" t="s">
        <v>133</v>
      </c>
      <c r="L1460" s="4">
        <v>7500000</v>
      </c>
      <c r="M1460" s="4">
        <v>2003</v>
      </c>
      <c r="N1460" s="4">
        <v>6.3</v>
      </c>
      <c r="O1460" s="4">
        <f ca="1">IFERROR(__xludf.DUMMYFUNCTION("IF(Cost_in_dollars!E1460=""USD"",Cost_in_dollars!B1460,Cost_in_dollars!B1460 * GOOGLEFINANCE(""CURRENCY:"" &amp; Cost_in_dollars!E1460 &amp; ""USD""))
"),9640500)</f>
        <v>9640500</v>
      </c>
      <c r="P1460" s="4">
        <f ca="1">IFERROR(__xludf.DUMMYFUNCTION("IF(Cost_in_dollars!E1460=""USD"",Cost_in_dollars!C1460,Cost_in_dollars!C1460 * GOOGLEFINANCE(""CURRENCY:"" &amp; Cost_in_dollars!E1460 &amp; ""USD""))
"),253414.039199999)</f>
        <v>253414.03919999901</v>
      </c>
      <c r="Q1460" s="4">
        <f t="shared" ca="1" si="30"/>
        <v>-9387085.9608000014</v>
      </c>
      <c r="R1460" s="5" t="str">
        <f t="shared" si="31"/>
        <v>Code 46</v>
      </c>
      <c r="S1460" s="43" t="str">
        <f t="shared" si="34"/>
        <v>Drama</v>
      </c>
    </row>
    <row r="1461" spans="1:19" ht="15.75" customHeight="1" x14ac:dyDescent="0.25">
      <c r="A1461" s="6" t="s">
        <v>1396</v>
      </c>
      <c r="B1461" s="6">
        <v>310</v>
      </c>
      <c r="C1461" s="6">
        <v>83640426</v>
      </c>
      <c r="D1461" s="6" t="s">
        <v>281</v>
      </c>
      <c r="E1461" s="6" t="s">
        <v>608</v>
      </c>
      <c r="F1461" s="6" t="s">
        <v>5076</v>
      </c>
      <c r="G1461" s="6">
        <v>152826</v>
      </c>
      <c r="H1461" s="6" t="s">
        <v>5077</v>
      </c>
      <c r="I1461" s="6">
        <v>253</v>
      </c>
      <c r="J1461" s="6" t="s">
        <v>23</v>
      </c>
      <c r="K1461" s="6" t="s">
        <v>24</v>
      </c>
      <c r="L1461" s="6">
        <v>150000000</v>
      </c>
      <c r="M1461" s="6">
        <v>2012</v>
      </c>
      <c r="N1461" s="6">
        <v>5.8</v>
      </c>
      <c r="O1461" s="4">
        <f ca="1">IFERROR(__xludf.DUMMYFUNCTION("IF(Cost_in_dollars!E1461=""USD"",Cost_in_dollars!B1461,Cost_in_dollars!B1461 * GOOGLEFINANCE(""CURRENCY:"" &amp; Cost_in_dollars!E1461 &amp; ""USD""))
"),150000000)</f>
        <v>150000000</v>
      </c>
      <c r="P1461" s="4">
        <f ca="1">IFERROR(__xludf.DUMMYFUNCTION("IF(Cost_in_dollars!E1461=""USD"",Cost_in_dollars!C1461,Cost_in_dollars!C1461 * GOOGLEFINANCE(""CURRENCY:"" &amp; Cost_in_dollars!E1461 &amp; ""USD""))
"),83640426)</f>
        <v>83640426</v>
      </c>
      <c r="Q1461" s="6">
        <f t="shared" ca="1" si="30"/>
        <v>-66359574</v>
      </c>
      <c r="R1461" s="7" t="str">
        <f t="shared" si="31"/>
        <v>Wrath of the Titans</v>
      </c>
      <c r="S1461" s="43" t="str">
        <f t="shared" si="34"/>
        <v>Action</v>
      </c>
    </row>
    <row r="1462" spans="1:19" ht="15.75" customHeight="1" x14ac:dyDescent="0.25">
      <c r="A1462" s="4" t="s">
        <v>5078</v>
      </c>
      <c r="B1462" s="4">
        <v>45</v>
      </c>
      <c r="C1462" s="4">
        <v>15100000</v>
      </c>
      <c r="D1462" s="4" t="s">
        <v>63</v>
      </c>
      <c r="E1462" s="4" t="s">
        <v>4424</v>
      </c>
      <c r="F1462" s="4" t="s">
        <v>5079</v>
      </c>
      <c r="G1462" s="4">
        <v>22797</v>
      </c>
      <c r="H1462" s="4" t="s">
        <v>5080</v>
      </c>
      <c r="I1462" s="4">
        <v>96</v>
      </c>
      <c r="J1462" s="4" t="s">
        <v>23</v>
      </c>
      <c r="K1462" s="4" t="s">
        <v>24</v>
      </c>
      <c r="L1462" s="4">
        <v>15000000</v>
      </c>
      <c r="M1462" s="4">
        <v>1984</v>
      </c>
      <c r="N1462" s="4">
        <v>6</v>
      </c>
      <c r="O1462" s="4">
        <f ca="1">IFERROR(__xludf.DUMMYFUNCTION("IF(Cost_in_dollars!E1462=""USD"",Cost_in_dollars!B1462,Cost_in_dollars!B1462 * GOOGLEFINANCE(""CURRENCY:"" &amp; Cost_in_dollars!E1462 &amp; ""USD""))
"),15000000)</f>
        <v>15000000</v>
      </c>
      <c r="P1462" s="4">
        <f ca="1">IFERROR(__xludf.DUMMYFUNCTION("IF(Cost_in_dollars!E1462=""USD"",Cost_in_dollars!C1462,Cost_in_dollars!C1462 * GOOGLEFINANCE(""CURRENCY:"" &amp; Cost_in_dollars!E1462 &amp; ""USD""))
"),15100000)</f>
        <v>15100000</v>
      </c>
      <c r="Q1462" s="4">
        <f t="shared" ca="1" si="30"/>
        <v>100000</v>
      </c>
      <c r="R1462" s="5" t="str">
        <f t="shared" si="31"/>
        <v>Firestarter</v>
      </c>
      <c r="S1462" s="43" t="str">
        <f t="shared" si="34"/>
        <v>Action</v>
      </c>
    </row>
    <row r="1463" spans="1:19" ht="15.75" customHeight="1" x14ac:dyDescent="0.25">
      <c r="A1463" s="6" t="s">
        <v>1114</v>
      </c>
      <c r="B1463" s="6">
        <v>167</v>
      </c>
      <c r="C1463" s="6">
        <v>91188905</v>
      </c>
      <c r="D1463" s="6" t="s">
        <v>822</v>
      </c>
      <c r="E1463" s="6" t="s">
        <v>608</v>
      </c>
      <c r="F1463" s="6" t="s">
        <v>5081</v>
      </c>
      <c r="G1463" s="6">
        <v>58184</v>
      </c>
      <c r="H1463" s="6" t="s">
        <v>5082</v>
      </c>
      <c r="I1463" s="6">
        <v>805</v>
      </c>
      <c r="J1463" s="6" t="s">
        <v>23</v>
      </c>
      <c r="K1463" s="6" t="s">
        <v>24</v>
      </c>
      <c r="L1463" s="6">
        <v>80000000</v>
      </c>
      <c r="M1463" s="6">
        <v>1999</v>
      </c>
      <c r="N1463" s="6">
        <v>4.9000000000000004</v>
      </c>
      <c r="O1463" s="4">
        <f ca="1">IFERROR(__xludf.DUMMYFUNCTION("IF(Cost_in_dollars!E1463=""USD"",Cost_in_dollars!B1463,Cost_in_dollars!B1463 * GOOGLEFINANCE(""CURRENCY:"" &amp; Cost_in_dollars!E1463 &amp; ""USD""))
"),80000000)</f>
        <v>80000000</v>
      </c>
      <c r="P1463" s="4">
        <f ca="1">IFERROR(__xludf.DUMMYFUNCTION("IF(Cost_in_dollars!E1463=""USD"",Cost_in_dollars!C1463,Cost_in_dollars!C1463 * GOOGLEFINANCE(""CURRENCY:"" &amp; Cost_in_dollars!E1463 &amp; ""USD""))
"),91188905)</f>
        <v>91188905</v>
      </c>
      <c r="Q1463" s="6">
        <f t="shared" ca="1" si="30"/>
        <v>11188905</v>
      </c>
      <c r="R1463" s="7" t="str">
        <f t="shared" si="31"/>
        <v>The Haunting</v>
      </c>
      <c r="S1463" s="43" t="str">
        <f t="shared" si="34"/>
        <v>Fantasy</v>
      </c>
    </row>
    <row r="1464" spans="1:19" ht="15.75" customHeight="1" x14ac:dyDescent="0.25">
      <c r="A1464" s="4" t="s">
        <v>3136</v>
      </c>
      <c r="B1464" s="4">
        <v>61</v>
      </c>
      <c r="C1464" s="4">
        <v>4777007</v>
      </c>
      <c r="D1464" s="4" t="s">
        <v>3137</v>
      </c>
      <c r="E1464" s="4" t="s">
        <v>5083</v>
      </c>
      <c r="F1464" s="4" t="s">
        <v>5084</v>
      </c>
      <c r="G1464" s="4">
        <v>15130</v>
      </c>
      <c r="H1464" s="4" t="s">
        <v>5085</v>
      </c>
      <c r="I1464" s="4">
        <v>98</v>
      </c>
      <c r="J1464" s="4" t="s">
        <v>23</v>
      </c>
      <c r="K1464" s="4" t="s">
        <v>611</v>
      </c>
      <c r="L1464" s="4">
        <v>40000000</v>
      </c>
      <c r="M1464" s="4">
        <v>2001</v>
      </c>
      <c r="N1464" s="4">
        <v>5.8</v>
      </c>
      <c r="O1464" s="4">
        <f ca="1">IFERROR(__xludf.DUMMYFUNCTION("IF(Cost_in_dollars!E1464=""USD"",Cost_in_dollars!B1464,Cost_in_dollars!B1464 * GOOGLEFINANCE(""CURRENCY:"" &amp; Cost_in_dollars!E1464 &amp; ""USD""))
"),43389600)</f>
        <v>43389600</v>
      </c>
      <c r="P1464" s="4">
        <f ca="1">IFERROR(__xludf.DUMMYFUNCTION("IF(Cost_in_dollars!E1464=""USD"",Cost_in_dollars!C1464,Cost_in_dollars!C1464 * GOOGLEFINANCE(""CURRENCY:"" &amp; Cost_in_dollars!E1464 &amp; ""USD""))
"),5181810.57318)</f>
        <v>5181810.5731800003</v>
      </c>
      <c r="Q1464" s="4">
        <f t="shared" ca="1" si="30"/>
        <v>-38207789.426820002</v>
      </c>
      <c r="R1464" s="5" t="str">
        <f t="shared" si="31"/>
        <v>Just Visiting</v>
      </c>
      <c r="S1464" s="43" t="str">
        <f t="shared" si="34"/>
        <v>Comedy</v>
      </c>
    </row>
    <row r="1465" spans="1:19" ht="15.75" customHeight="1" x14ac:dyDescent="0.25">
      <c r="A1465" s="6" t="s">
        <v>1545</v>
      </c>
      <c r="B1465" s="6">
        <v>105</v>
      </c>
      <c r="C1465" s="6">
        <v>410388</v>
      </c>
      <c r="D1465" s="6" t="s">
        <v>5086</v>
      </c>
      <c r="E1465" s="6" t="s">
        <v>5087</v>
      </c>
      <c r="F1465" s="6" t="s">
        <v>5088</v>
      </c>
      <c r="G1465" s="6">
        <v>13727</v>
      </c>
      <c r="H1465" s="6" t="s">
        <v>5089</v>
      </c>
      <c r="I1465" s="6">
        <v>79</v>
      </c>
      <c r="J1465" s="6" t="s">
        <v>1550</v>
      </c>
      <c r="K1465" s="6" t="s">
        <v>1551</v>
      </c>
      <c r="L1465" s="6">
        <v>2127519898</v>
      </c>
      <c r="M1465" s="6">
        <v>2004</v>
      </c>
      <c r="N1465" s="6">
        <v>6.9</v>
      </c>
      <c r="O1465" s="4">
        <f ca="1">IFERROR(__xludf.DUMMYFUNCTION("IF(Cost_in_dollars!E1465=""USD"",Cost_in_dollars!B1465,Cost_in_dollars!B1465 * GOOGLEFINANCE(""CURRENCY:"" &amp; Cost_in_dollars!E1465 &amp; ""USD""))
"),13821645.7693468)</f>
        <v>13821645.7693468</v>
      </c>
      <c r="P1465" s="4">
        <f ca="1">IFERROR(__xludf.DUMMYFUNCTION("IF(Cost_in_dollars!E1465=""USD"",Cost_in_dollars!C1465,Cost_in_dollars!C1465 * GOOGLEFINANCE(""CURRENCY:"" &amp; Cost_in_dollars!E1465 &amp; ""USD""))
"),2666.1266808)</f>
        <v>2666.1266808</v>
      </c>
      <c r="Q1465" s="6">
        <f t="shared" ca="1" si="30"/>
        <v>-13818979.642665999</v>
      </c>
      <c r="R1465" s="7" t="str">
        <f t="shared" si="31"/>
        <v>Steamboy</v>
      </c>
      <c r="S1465" s="43" t="str">
        <f t="shared" si="34"/>
        <v>Action</v>
      </c>
    </row>
    <row r="1466" spans="1:19" ht="15.75" customHeight="1" x14ac:dyDescent="0.25">
      <c r="A1466" s="4" t="s">
        <v>4782</v>
      </c>
      <c r="B1466" s="4">
        <v>589</v>
      </c>
      <c r="C1466" s="4">
        <v>66468315</v>
      </c>
      <c r="D1466" s="4" t="s">
        <v>5090</v>
      </c>
      <c r="E1466" s="4" t="s">
        <v>767</v>
      </c>
      <c r="F1466" s="4" t="s">
        <v>5091</v>
      </c>
      <c r="G1466" s="4">
        <v>428916</v>
      </c>
      <c r="H1466" s="4" t="s">
        <v>5092</v>
      </c>
      <c r="I1466" s="4">
        <v>667</v>
      </c>
      <c r="J1466" s="4" t="s">
        <v>23</v>
      </c>
      <c r="K1466" s="4" t="s">
        <v>24</v>
      </c>
      <c r="L1466" s="4">
        <v>30000000</v>
      </c>
      <c r="M1466" s="4">
        <v>2012</v>
      </c>
      <c r="N1466" s="4">
        <v>7.4</v>
      </c>
      <c r="O1466" s="4">
        <f ca="1">IFERROR(__xludf.DUMMYFUNCTION("IF(Cost_in_dollars!E1466=""USD"",Cost_in_dollars!B1466,Cost_in_dollars!B1466 * GOOGLEFINANCE(""CURRENCY:"" &amp; Cost_in_dollars!E1466 &amp; ""USD""))
"),30000000)</f>
        <v>30000000</v>
      </c>
      <c r="P1466" s="4">
        <f ca="1">IFERROR(__xludf.DUMMYFUNCTION("IF(Cost_in_dollars!E1466=""USD"",Cost_in_dollars!C1466,Cost_in_dollars!C1466 * GOOGLEFINANCE(""CURRENCY:"" &amp; Cost_in_dollars!E1466 &amp; ""USD""))
"),66468315)</f>
        <v>66468315</v>
      </c>
      <c r="Q1466" s="4">
        <f t="shared" ca="1" si="30"/>
        <v>36468315</v>
      </c>
      <c r="R1466" s="5" t="str">
        <f t="shared" si="31"/>
        <v>Looper</v>
      </c>
      <c r="S1466" s="43" t="str">
        <f t="shared" si="34"/>
        <v>Action</v>
      </c>
    </row>
    <row r="1467" spans="1:19" ht="15.75" customHeight="1" x14ac:dyDescent="0.25">
      <c r="A1467" s="6" t="s">
        <v>5093</v>
      </c>
      <c r="B1467" s="6">
        <v>32</v>
      </c>
      <c r="C1467" s="6">
        <v>13000000</v>
      </c>
      <c r="D1467" s="6" t="s">
        <v>5094</v>
      </c>
      <c r="E1467" s="6" t="s">
        <v>5095</v>
      </c>
      <c r="F1467" s="6" t="s">
        <v>5096</v>
      </c>
      <c r="G1467" s="6">
        <v>10895</v>
      </c>
      <c r="H1467" s="6" t="s">
        <v>5097</v>
      </c>
      <c r="I1467" s="6">
        <v>150</v>
      </c>
      <c r="J1467" s="6" t="s">
        <v>23</v>
      </c>
      <c r="K1467" s="6" t="s">
        <v>24</v>
      </c>
      <c r="L1467" s="6">
        <v>24000000</v>
      </c>
      <c r="M1467" s="6">
        <v>1978</v>
      </c>
      <c r="N1467" s="6">
        <v>5.2</v>
      </c>
      <c r="O1467" s="4">
        <f ca="1">IFERROR(__xludf.DUMMYFUNCTION("IF(Cost_in_dollars!E1467=""USD"",Cost_in_dollars!B1467,Cost_in_dollars!B1467 * GOOGLEFINANCE(""CURRENCY:"" &amp; Cost_in_dollars!E1467 &amp; ""USD""))
"),24000000)</f>
        <v>24000000</v>
      </c>
      <c r="P1467" s="4">
        <f ca="1">IFERROR(__xludf.DUMMYFUNCTION("IF(Cost_in_dollars!E1467=""USD"",Cost_in_dollars!C1467,Cost_in_dollars!C1467 * GOOGLEFINANCE(""CURRENCY:"" &amp; Cost_in_dollars!E1467 &amp; ""USD""))
"),13000000)</f>
        <v>13000000</v>
      </c>
      <c r="Q1467" s="6">
        <f t="shared" ca="1" si="30"/>
        <v>-11000000</v>
      </c>
      <c r="R1467" s="7" t="str">
        <f t="shared" si="31"/>
        <v>The Wiz</v>
      </c>
      <c r="S1467" s="43" t="str">
        <f t="shared" si="34"/>
        <v>Adventure</v>
      </c>
    </row>
    <row r="1468" spans="1:19" ht="15.75" customHeight="1" x14ac:dyDescent="0.25">
      <c r="A1468" s="4" t="s">
        <v>5098</v>
      </c>
      <c r="B1468" s="4">
        <v>162</v>
      </c>
      <c r="C1468" s="4">
        <v>14400000</v>
      </c>
      <c r="D1468" s="4" t="s">
        <v>727</v>
      </c>
      <c r="E1468" s="4" t="s">
        <v>5099</v>
      </c>
      <c r="F1468" s="4" t="s">
        <v>5100</v>
      </c>
      <c r="G1468" s="4">
        <v>28589</v>
      </c>
      <c r="H1468" s="4" t="s">
        <v>5101</v>
      </c>
      <c r="I1468" s="4">
        <v>532</v>
      </c>
      <c r="J1468" s="4" t="s">
        <v>23</v>
      </c>
      <c r="K1468" s="4" t="s">
        <v>24</v>
      </c>
      <c r="L1468" s="4">
        <v>2500000</v>
      </c>
      <c r="M1468" s="4">
        <v>1982</v>
      </c>
      <c r="N1468" s="4">
        <v>4.5999999999999996</v>
      </c>
      <c r="O1468" s="4">
        <f ca="1">IFERROR(__xludf.DUMMYFUNCTION("IF(Cost_in_dollars!E1468=""USD"",Cost_in_dollars!B1468,Cost_in_dollars!B1468 * GOOGLEFINANCE(""CURRENCY:"" &amp; Cost_in_dollars!E1468 &amp; ""USD""))
"),2500000)</f>
        <v>2500000</v>
      </c>
      <c r="P1468" s="4">
        <f ca="1">IFERROR(__xludf.DUMMYFUNCTION("IF(Cost_in_dollars!E1468=""USD"",Cost_in_dollars!C1468,Cost_in_dollars!C1468 * GOOGLEFINANCE(""CURRENCY:"" &amp; Cost_in_dollars!E1468 &amp; ""USD""))
"),14400000)</f>
        <v>14400000</v>
      </c>
      <c r="Q1468" s="4">
        <f t="shared" ca="1" si="30"/>
        <v>11900000</v>
      </c>
      <c r="R1468" s="5" t="str">
        <f t="shared" si="31"/>
        <v>Halloween III: Season of the Witch</v>
      </c>
      <c r="S1468" s="43" t="str">
        <f t="shared" si="34"/>
        <v>Horror</v>
      </c>
    </row>
    <row r="1469" spans="1:19" ht="15.75" customHeight="1" x14ac:dyDescent="0.25">
      <c r="A1469" s="6" t="s">
        <v>5102</v>
      </c>
      <c r="B1469" s="6">
        <v>289</v>
      </c>
      <c r="C1469" s="6">
        <v>14291570</v>
      </c>
      <c r="D1469" s="6" t="s">
        <v>797</v>
      </c>
      <c r="E1469" s="6" t="s">
        <v>4349</v>
      </c>
      <c r="F1469" s="6" t="s">
        <v>5103</v>
      </c>
      <c r="G1469" s="6">
        <v>82082</v>
      </c>
      <c r="H1469" s="6" t="s">
        <v>5104</v>
      </c>
      <c r="I1469" s="6">
        <v>236</v>
      </c>
      <c r="J1469" s="6" t="s">
        <v>23</v>
      </c>
      <c r="K1469" s="6" t="s">
        <v>611</v>
      </c>
      <c r="L1469" s="6">
        <v>20000000</v>
      </c>
      <c r="M1469" s="6">
        <v>2012</v>
      </c>
      <c r="N1469" s="6">
        <v>6.1</v>
      </c>
      <c r="O1469" s="4">
        <f ca="1">IFERROR(__xludf.DUMMYFUNCTION("IF(Cost_in_dollars!E1469=""USD"",Cost_in_dollars!B1469,Cost_in_dollars!B1469 * GOOGLEFINANCE(""CURRENCY:"" &amp; Cost_in_dollars!E1469 &amp; ""USD""))
"),21694800)</f>
        <v>21694800</v>
      </c>
      <c r="P1469" s="4">
        <f ca="1">IFERROR(__xludf.DUMMYFUNCTION("IF(Cost_in_dollars!E1469=""USD"",Cost_in_dollars!C1469,Cost_in_dollars!C1469 * GOOGLEFINANCE(""CURRENCY:"" &amp; Cost_in_dollars!E1469 &amp; ""USD""))
"),15502637.6418)</f>
        <v>15502637.641799999</v>
      </c>
      <c r="Q1469" s="6">
        <f t="shared" ca="1" si="30"/>
        <v>-6192162.3582000006</v>
      </c>
      <c r="R1469" s="7" t="str">
        <f t="shared" si="31"/>
        <v>Lockout</v>
      </c>
      <c r="S1469" s="43" t="str">
        <f t="shared" si="34"/>
        <v>Action</v>
      </c>
    </row>
    <row r="1470" spans="1:19" ht="15.75" customHeight="1" x14ac:dyDescent="0.25">
      <c r="A1470" s="4" t="s">
        <v>5105</v>
      </c>
      <c r="B1470" s="4">
        <v>35</v>
      </c>
      <c r="C1470" s="4">
        <v>4131640</v>
      </c>
      <c r="D1470" s="4" t="s">
        <v>443</v>
      </c>
      <c r="E1470" s="4" t="s">
        <v>4004</v>
      </c>
      <c r="F1470" s="4" t="s">
        <v>5106</v>
      </c>
      <c r="G1470" s="4">
        <v>5463</v>
      </c>
      <c r="H1470" s="4" t="s">
        <v>5107</v>
      </c>
      <c r="I1470" s="4">
        <v>20</v>
      </c>
      <c r="J1470" s="4" t="s">
        <v>23</v>
      </c>
      <c r="K1470" s="4" t="s">
        <v>24</v>
      </c>
      <c r="L1470" s="4">
        <v>7500000</v>
      </c>
      <c r="M1470" s="4">
        <v>2008</v>
      </c>
      <c r="N1470" s="4">
        <v>3.1</v>
      </c>
      <c r="O1470" s="4">
        <f ca="1">IFERROR(__xludf.DUMMYFUNCTION("IF(Cost_in_dollars!E1470=""USD"",Cost_in_dollars!B1470,Cost_in_dollars!B1470 * GOOGLEFINANCE(""CURRENCY:"" &amp; Cost_in_dollars!E1470 &amp; ""USD""))
"),7500000)</f>
        <v>7500000</v>
      </c>
      <c r="P1470" s="4">
        <f ca="1">IFERROR(__xludf.DUMMYFUNCTION("IF(Cost_in_dollars!E1470=""USD"",Cost_in_dollars!C1470,Cost_in_dollars!C1470 * GOOGLEFINANCE(""CURRENCY:"" &amp; Cost_in_dollars!E1470 &amp; ""USD""))
"),4131640)</f>
        <v>4131640</v>
      </c>
      <c r="Q1470" s="4">
        <f t="shared" ca="1" si="30"/>
        <v>-3368360</v>
      </c>
      <c r="R1470" s="5" t="str">
        <f t="shared" si="31"/>
        <v>Witless Protection</v>
      </c>
      <c r="S1470" s="43" t="str">
        <f t="shared" si="34"/>
        <v>Comedy</v>
      </c>
    </row>
    <row r="1471" spans="1:19" ht="15.75" customHeight="1" x14ac:dyDescent="0.25">
      <c r="A1471" s="6" t="s">
        <v>5108</v>
      </c>
      <c r="B1471" s="6">
        <v>511</v>
      </c>
      <c r="C1471" s="6">
        <v>137387272</v>
      </c>
      <c r="D1471" s="6" t="s">
        <v>93</v>
      </c>
      <c r="E1471" s="6" t="s">
        <v>5109</v>
      </c>
      <c r="F1471" s="6" t="s">
        <v>5110</v>
      </c>
      <c r="G1471" s="6">
        <v>300110</v>
      </c>
      <c r="H1471" s="6" t="s">
        <v>5111</v>
      </c>
      <c r="I1471" s="6">
        <v>807</v>
      </c>
      <c r="J1471" s="6" t="s">
        <v>23</v>
      </c>
      <c r="K1471" s="6" t="s">
        <v>24</v>
      </c>
      <c r="L1471" s="6">
        <v>20000000</v>
      </c>
      <c r="M1471" s="6">
        <v>2013</v>
      </c>
      <c r="N1471" s="6">
        <v>7.5</v>
      </c>
      <c r="O1471" s="4">
        <f ca="1">IFERROR(__xludf.DUMMYFUNCTION("IF(Cost_in_dollars!E1471=""USD"",Cost_in_dollars!B1471,Cost_in_dollars!B1471 * GOOGLEFINANCE(""CURRENCY:"" &amp; Cost_in_dollars!E1471 &amp; ""USD""))
"),20000000)</f>
        <v>20000000</v>
      </c>
      <c r="P1471" s="4">
        <f ca="1">IFERROR(__xludf.DUMMYFUNCTION("IF(Cost_in_dollars!E1471=""USD"",Cost_in_dollars!C1471,Cost_in_dollars!C1471 * GOOGLEFINANCE(""CURRENCY:"" &amp; Cost_in_dollars!E1471 &amp; ""USD""))
"),137387272)</f>
        <v>137387272</v>
      </c>
      <c r="Q1471" s="6">
        <f t="shared" ca="1" si="30"/>
        <v>117387272</v>
      </c>
      <c r="R1471" s="7" t="str">
        <f t="shared" si="31"/>
        <v>The Conjuring</v>
      </c>
      <c r="S1471" s="43" t="str">
        <f t="shared" si="34"/>
        <v>Horror</v>
      </c>
    </row>
    <row r="1472" spans="1:19" ht="15.75" customHeight="1" x14ac:dyDescent="0.25">
      <c r="A1472" s="4" t="s">
        <v>5112</v>
      </c>
      <c r="B1472" s="4">
        <v>73</v>
      </c>
      <c r="C1472" s="4">
        <v>17655201</v>
      </c>
      <c r="D1472" s="4" t="s">
        <v>2179</v>
      </c>
      <c r="E1472" s="4" t="s">
        <v>5113</v>
      </c>
      <c r="F1472" s="4" t="s">
        <v>5114</v>
      </c>
      <c r="G1472" s="4">
        <v>4719</v>
      </c>
      <c r="H1472" s="4" t="s">
        <v>5115</v>
      </c>
      <c r="I1472" s="4">
        <v>24</v>
      </c>
      <c r="J1472" s="4" t="s">
        <v>23</v>
      </c>
      <c r="K1472" s="4" t="s">
        <v>24</v>
      </c>
      <c r="L1472" s="4">
        <v>10000000</v>
      </c>
      <c r="M1472" s="4">
        <v>2008</v>
      </c>
      <c r="N1472" s="4">
        <v>6.7</v>
      </c>
      <c r="O1472" s="4">
        <f ca="1">IFERROR(__xludf.DUMMYFUNCTION("IF(Cost_in_dollars!E1472=""USD"",Cost_in_dollars!B1472,Cost_in_dollars!B1472 * GOOGLEFINANCE(""CURRENCY:"" &amp; Cost_in_dollars!E1472 &amp; ""USD""))
"),10000000)</f>
        <v>10000000</v>
      </c>
      <c r="P1472" s="4">
        <f ca="1">IFERROR(__xludf.DUMMYFUNCTION("IF(Cost_in_dollars!E1472=""USD"",Cost_in_dollars!C1472,Cost_in_dollars!C1472 * GOOGLEFINANCE(""CURRENCY:"" &amp; Cost_in_dollars!E1472 &amp; ""USD""))
"),17655201)</f>
        <v>17655201</v>
      </c>
      <c r="Q1472" s="4">
        <f t="shared" ca="1" si="30"/>
        <v>7655201</v>
      </c>
      <c r="R1472" s="5" t="str">
        <f t="shared" si="31"/>
        <v>Kit Kittredge: An American Girl</v>
      </c>
      <c r="S1472" s="43" t="str">
        <f t="shared" si="34"/>
        <v>Drama</v>
      </c>
    </row>
    <row r="1473" spans="1:19" ht="15.75" customHeight="1" x14ac:dyDescent="0.25">
      <c r="A1473" s="6" t="s">
        <v>5116</v>
      </c>
      <c r="B1473" s="6">
        <v>9</v>
      </c>
      <c r="C1473" s="6">
        <v>902835</v>
      </c>
      <c r="D1473" s="6" t="s">
        <v>162</v>
      </c>
      <c r="E1473" s="6" t="s">
        <v>5117</v>
      </c>
      <c r="F1473" s="6" t="s">
        <v>5118</v>
      </c>
      <c r="G1473" s="6">
        <v>1489</v>
      </c>
      <c r="H1473" s="6" t="s">
        <v>5119</v>
      </c>
      <c r="I1473" s="6">
        <v>40</v>
      </c>
      <c r="J1473" s="6" t="s">
        <v>23</v>
      </c>
      <c r="K1473" s="6" t="s">
        <v>24</v>
      </c>
      <c r="L1473" s="6">
        <v>250000</v>
      </c>
      <c r="M1473" s="6">
        <v>2001</v>
      </c>
      <c r="N1473" s="6">
        <v>6.7</v>
      </c>
      <c r="O1473" s="4">
        <f ca="1">IFERROR(__xludf.DUMMYFUNCTION("IF(Cost_in_dollars!E1473=""USD"",Cost_in_dollars!B1473,Cost_in_dollars!B1473 * GOOGLEFINANCE(""CURRENCY:"" &amp; Cost_in_dollars!E1473 &amp; ""USD""))
"),250000)</f>
        <v>250000</v>
      </c>
      <c r="P1473" s="4">
        <f ca="1">IFERROR(__xludf.DUMMYFUNCTION("IF(Cost_in_dollars!E1473=""USD"",Cost_in_dollars!C1473,Cost_in_dollars!C1473 * GOOGLEFINANCE(""CURRENCY:"" &amp; Cost_in_dollars!E1473 &amp; ""USD""))
"),902835)</f>
        <v>902835</v>
      </c>
      <c r="Q1473" s="6">
        <f t="shared" ca="1" si="30"/>
        <v>652835</v>
      </c>
      <c r="R1473" s="7" t="str">
        <f t="shared" si="31"/>
        <v>American Desi</v>
      </c>
      <c r="S1473" s="43" t="str">
        <f t="shared" si="34"/>
        <v>Comedy</v>
      </c>
    </row>
    <row r="1474" spans="1:19" ht="15.75" customHeight="1" x14ac:dyDescent="0.25">
      <c r="A1474" s="4" t="s">
        <v>3033</v>
      </c>
      <c r="B1474" s="4">
        <v>288</v>
      </c>
      <c r="C1474" s="4">
        <v>217387997</v>
      </c>
      <c r="D1474" s="4" t="s">
        <v>868</v>
      </c>
      <c r="E1474" s="4" t="s">
        <v>833</v>
      </c>
      <c r="F1474" s="4" t="s">
        <v>5120</v>
      </c>
      <c r="G1474" s="4">
        <v>485430</v>
      </c>
      <c r="H1474" s="4" t="s">
        <v>5121</v>
      </c>
      <c r="I1474" s="4">
        <v>492</v>
      </c>
      <c r="J1474" s="4" t="s">
        <v>23</v>
      </c>
      <c r="K1474" s="4" t="s">
        <v>24</v>
      </c>
      <c r="L1474" s="4">
        <v>165000000</v>
      </c>
      <c r="M1474" s="4">
        <v>2010</v>
      </c>
      <c r="N1474" s="4">
        <v>8.1999999999999993</v>
      </c>
      <c r="O1474" s="4">
        <f ca="1">IFERROR(__xludf.DUMMYFUNCTION("IF(Cost_in_dollars!E1474=""USD"",Cost_in_dollars!B1474,Cost_in_dollars!B1474 * GOOGLEFINANCE(""CURRENCY:"" &amp; Cost_in_dollars!E1474 &amp; ""USD""))
"),165000000)</f>
        <v>165000000</v>
      </c>
      <c r="P1474" s="4">
        <f ca="1">IFERROR(__xludf.DUMMYFUNCTION("IF(Cost_in_dollars!E1474=""USD"",Cost_in_dollars!C1474,Cost_in_dollars!C1474 * GOOGLEFINANCE(""CURRENCY:"" &amp; Cost_in_dollars!E1474 &amp; ""USD""))
"),217387997)</f>
        <v>217387997</v>
      </c>
      <c r="Q1474" s="4">
        <f t="shared" ca="1" si="30"/>
        <v>52387997</v>
      </c>
      <c r="R1474" s="5" t="str">
        <f t="shared" si="31"/>
        <v>How to Train Your Dragon</v>
      </c>
      <c r="S1474" s="43" t="str">
        <f t="shared" ref="S1474:S1537" si="35">IF(ISNUMBER(FIND("|", D1474)), LEFT(D1474, FIND("|", D1474) - 1), D1474)</f>
        <v>Adventure</v>
      </c>
    </row>
    <row r="1475" spans="1:19" ht="15.75" customHeight="1" x14ac:dyDescent="0.25">
      <c r="A1475" s="6" t="s">
        <v>5122</v>
      </c>
      <c r="B1475" s="6">
        <v>167</v>
      </c>
      <c r="C1475" s="6">
        <v>5005883</v>
      </c>
      <c r="D1475" s="6" t="s">
        <v>1028</v>
      </c>
      <c r="E1475" s="6" t="s">
        <v>5123</v>
      </c>
      <c r="F1475" s="6" t="s">
        <v>5124</v>
      </c>
      <c r="G1475" s="6">
        <v>29649</v>
      </c>
      <c r="H1475" s="6" t="s">
        <v>5125</v>
      </c>
      <c r="I1475" s="6">
        <v>361</v>
      </c>
      <c r="J1475" s="6" t="s">
        <v>23</v>
      </c>
      <c r="K1475" s="6" t="s">
        <v>24</v>
      </c>
      <c r="L1475" s="6">
        <v>20000000</v>
      </c>
      <c r="M1475" s="6">
        <v>2004</v>
      </c>
      <c r="N1475" s="6">
        <v>6.1</v>
      </c>
      <c r="O1475" s="4">
        <f ca="1">IFERROR(__xludf.DUMMYFUNCTION("IF(Cost_in_dollars!E1475=""USD"",Cost_in_dollars!B1475,Cost_in_dollars!B1475 * GOOGLEFINANCE(""CURRENCY:"" &amp; Cost_in_dollars!E1475 &amp; ""USD""))
"),20000000)</f>
        <v>20000000</v>
      </c>
      <c r="P1475" s="4">
        <f ca="1">IFERROR(__xludf.DUMMYFUNCTION("IF(Cost_in_dollars!E1475=""USD"",Cost_in_dollars!C1475,Cost_in_dollars!C1475 * GOOGLEFINANCE(""CURRENCY:"" &amp; Cost_in_dollars!E1475 &amp; ""USD""))
"),5005883)</f>
        <v>5005883</v>
      </c>
      <c r="Q1475" s="6">
        <f t="shared" ca="1" si="30"/>
        <v>-14994117</v>
      </c>
      <c r="R1475" s="7" t="str">
        <f t="shared" si="31"/>
        <v>Birth</v>
      </c>
      <c r="S1475" s="43" t="str">
        <f t="shared" si="35"/>
        <v>Drama</v>
      </c>
    </row>
    <row r="1476" spans="1:19" ht="15.75" customHeight="1" x14ac:dyDescent="0.25">
      <c r="A1476" s="4" t="s">
        <v>5126</v>
      </c>
      <c r="B1476" s="4">
        <v>158</v>
      </c>
      <c r="C1476" s="4">
        <v>3590010</v>
      </c>
      <c r="D1476" s="4" t="s">
        <v>737</v>
      </c>
      <c r="E1476" s="4" t="s">
        <v>5127</v>
      </c>
      <c r="F1476" s="4" t="s">
        <v>5128</v>
      </c>
      <c r="G1476" s="4">
        <v>20885</v>
      </c>
      <c r="H1476" s="4" t="s">
        <v>5129</v>
      </c>
      <c r="I1476" s="4">
        <v>60</v>
      </c>
      <c r="J1476" s="4" t="s">
        <v>23</v>
      </c>
      <c r="K1476" s="4" t="s">
        <v>133</v>
      </c>
      <c r="L1476" s="4">
        <v>2000000</v>
      </c>
      <c r="M1476" s="4">
        <v>2015</v>
      </c>
      <c r="N1476" s="4">
        <v>6.1</v>
      </c>
      <c r="O1476" s="4">
        <f ca="1">IFERROR(__xludf.DUMMYFUNCTION("IF(Cost_in_dollars!E1476=""USD"",Cost_in_dollars!B1476,Cost_in_dollars!B1476 * GOOGLEFINANCE(""CURRENCY:"" &amp; Cost_in_dollars!E1476 &amp; ""USD""))
"),2570799.99999999)</f>
        <v>2570799.9999999902</v>
      </c>
      <c r="P1476" s="4">
        <f ca="1">IFERROR(__xludf.DUMMYFUNCTION("IF(Cost_in_dollars!E1476=""USD"",Cost_in_dollars!C1476,Cost_in_dollars!C1476 * GOOGLEFINANCE(""CURRENCY:"" &amp; Cost_in_dollars!E1476 &amp; ""USD""))
"),4614598.85399999)</f>
        <v>4614598.85399999</v>
      </c>
      <c r="Q1476" s="4">
        <f t="shared" ca="1" si="30"/>
        <v>2043798.8539999998</v>
      </c>
      <c r="R1476" s="5" t="str">
        <f t="shared" si="31"/>
        <v>We Are Your Friends</v>
      </c>
      <c r="S1476" s="43" t="str">
        <f t="shared" si="35"/>
        <v>Drama</v>
      </c>
    </row>
    <row r="1477" spans="1:19" ht="15.75" customHeight="1" x14ac:dyDescent="0.25">
      <c r="A1477" s="6" t="s">
        <v>3423</v>
      </c>
      <c r="B1477" s="6">
        <v>120</v>
      </c>
      <c r="C1477" s="6">
        <v>105264608</v>
      </c>
      <c r="D1477" s="6" t="s">
        <v>5130</v>
      </c>
      <c r="E1477" s="6" t="s">
        <v>1436</v>
      </c>
      <c r="F1477" s="6" t="s">
        <v>5131</v>
      </c>
      <c r="G1477" s="6">
        <v>239752</v>
      </c>
      <c r="H1477" s="6" t="s">
        <v>5132</v>
      </c>
      <c r="I1477" s="6">
        <v>406</v>
      </c>
      <c r="J1477" s="6" t="s">
        <v>23</v>
      </c>
      <c r="K1477" s="6" t="s">
        <v>24</v>
      </c>
      <c r="L1477" s="6">
        <v>60000000</v>
      </c>
      <c r="M1477" s="6">
        <v>1994</v>
      </c>
      <c r="N1477" s="6">
        <v>7.6</v>
      </c>
      <c r="O1477" s="4">
        <f ca="1">IFERROR(__xludf.DUMMYFUNCTION("IF(Cost_in_dollars!E1477=""USD"",Cost_in_dollars!B1477,Cost_in_dollars!B1477 * GOOGLEFINANCE(""CURRENCY:"" &amp; Cost_in_dollars!E1477 &amp; ""USD""))
"),60000000)</f>
        <v>60000000</v>
      </c>
      <c r="P1477" s="4">
        <f ca="1">IFERROR(__xludf.DUMMYFUNCTION("IF(Cost_in_dollars!E1477=""USD"",Cost_in_dollars!C1477,Cost_in_dollars!C1477 * GOOGLEFINANCE(""CURRENCY:"" &amp; Cost_in_dollars!E1477 &amp; ""USD""))
"),105264608)</f>
        <v>105264608</v>
      </c>
      <c r="Q1477" s="6">
        <f t="shared" ca="1" si="30"/>
        <v>45264608</v>
      </c>
      <c r="R1477" s="7" t="str">
        <f t="shared" si="31"/>
        <v>Interview with the Vampire: The Vampire Chronicles</v>
      </c>
      <c r="S1477" s="43" t="str">
        <f t="shared" si="35"/>
        <v>Drama</v>
      </c>
    </row>
    <row r="1478" spans="1:19" ht="15.75" customHeight="1" x14ac:dyDescent="0.25">
      <c r="A1478" s="4" t="s">
        <v>5133</v>
      </c>
      <c r="B1478" s="4">
        <v>47</v>
      </c>
      <c r="C1478" s="4">
        <v>11703287</v>
      </c>
      <c r="D1478" s="4" t="s">
        <v>895</v>
      </c>
      <c r="E1478" s="4" t="s">
        <v>5134</v>
      </c>
      <c r="F1478" s="4" t="s">
        <v>5135</v>
      </c>
      <c r="G1478" s="4">
        <v>4360</v>
      </c>
      <c r="H1478" s="4" t="s">
        <v>5136</v>
      </c>
      <c r="I1478" s="4">
        <v>148</v>
      </c>
      <c r="J1478" s="4" t="s">
        <v>23</v>
      </c>
      <c r="K1478" s="4" t="s">
        <v>24</v>
      </c>
      <c r="L1478" s="4">
        <v>10000000</v>
      </c>
      <c r="M1478" s="4">
        <v>2005</v>
      </c>
      <c r="N1478" s="4">
        <v>7</v>
      </c>
      <c r="O1478" s="4">
        <f ca="1">IFERROR(__xludf.DUMMYFUNCTION("IF(Cost_in_dollars!E1478=""USD"",Cost_in_dollars!B1478,Cost_in_dollars!B1478 * GOOGLEFINANCE(""CURRENCY:"" &amp; Cost_in_dollars!E1478 &amp; ""USD""))
"),10000000)</f>
        <v>10000000</v>
      </c>
      <c r="P1478" s="4">
        <f ca="1">IFERROR(__xludf.DUMMYFUNCTION("IF(Cost_in_dollars!E1478=""USD"",Cost_in_dollars!C1478,Cost_in_dollars!C1478 * GOOGLEFINANCE(""CURRENCY:"" &amp; Cost_in_dollars!E1478 &amp; ""USD""))
"),11703287)</f>
        <v>11703287</v>
      </c>
      <c r="Q1478" s="4">
        <f t="shared" ca="1" si="30"/>
        <v>1703287</v>
      </c>
      <c r="R1478" s="5" t="str">
        <f t="shared" si="31"/>
        <v>End of the Spear</v>
      </c>
      <c r="S1478" s="43" t="str">
        <f t="shared" si="35"/>
        <v>Adventure</v>
      </c>
    </row>
    <row r="1479" spans="1:19" ht="15.75" customHeight="1" x14ac:dyDescent="0.25">
      <c r="A1479" s="6" t="s">
        <v>5137</v>
      </c>
      <c r="B1479" s="6">
        <v>417</v>
      </c>
      <c r="C1479" s="6">
        <v>21383298</v>
      </c>
      <c r="D1479" s="6" t="s">
        <v>116</v>
      </c>
      <c r="E1479" s="6" t="s">
        <v>227</v>
      </c>
      <c r="F1479" s="6" t="s">
        <v>5138</v>
      </c>
      <c r="G1479" s="6">
        <v>187170</v>
      </c>
      <c r="H1479" s="6" t="s">
        <v>5139</v>
      </c>
      <c r="I1479" s="6">
        <v>376</v>
      </c>
      <c r="J1479" s="6" t="s">
        <v>23</v>
      </c>
      <c r="K1479" s="6" t="s">
        <v>24</v>
      </c>
      <c r="L1479" s="6">
        <v>15000000</v>
      </c>
      <c r="M1479" s="6">
        <v>2012</v>
      </c>
      <c r="N1479" s="6">
        <v>7.3</v>
      </c>
      <c r="O1479" s="4">
        <f ca="1">IFERROR(__xludf.DUMMYFUNCTION("IF(Cost_in_dollars!E1479=""USD"",Cost_in_dollars!B1479,Cost_in_dollars!B1479 * GOOGLEFINANCE(""CURRENCY:"" &amp; Cost_in_dollars!E1479 &amp; ""USD""))
"),15000000)</f>
        <v>15000000</v>
      </c>
      <c r="P1479" s="4">
        <f ca="1">IFERROR(__xludf.DUMMYFUNCTION("IF(Cost_in_dollars!E1479=""USD"",Cost_in_dollars!C1479,Cost_in_dollars!C1479 * GOOGLEFINANCE(""CURRENCY:"" &amp; Cost_in_dollars!E1479 &amp; ""USD""))
"),21383298)</f>
        <v>21383298</v>
      </c>
      <c r="Q1479" s="6">
        <f t="shared" ca="1" si="30"/>
        <v>6383298</v>
      </c>
      <c r="R1479" s="7" t="str">
        <f t="shared" si="31"/>
        <v>The Place Beyond the Pines</v>
      </c>
      <c r="S1479" s="43" t="str">
        <f t="shared" si="35"/>
        <v>Crime</v>
      </c>
    </row>
    <row r="1480" spans="1:19" ht="15.75" customHeight="1" x14ac:dyDescent="0.25">
      <c r="A1480" s="4" t="s">
        <v>3229</v>
      </c>
      <c r="B1480" s="4">
        <v>25</v>
      </c>
      <c r="C1480" s="4">
        <v>7009668</v>
      </c>
      <c r="D1480" s="4" t="s">
        <v>5140</v>
      </c>
      <c r="E1480" s="4" t="s">
        <v>5141</v>
      </c>
      <c r="F1480" s="4" t="s">
        <v>5142</v>
      </c>
      <c r="G1480" s="4">
        <v>8707</v>
      </c>
      <c r="H1480" s="4" t="s">
        <v>5143</v>
      </c>
      <c r="I1480" s="4">
        <v>36</v>
      </c>
      <c r="J1480" s="4" t="s">
        <v>23</v>
      </c>
      <c r="K1480" s="4" t="s">
        <v>24</v>
      </c>
      <c r="L1480" s="4">
        <v>5600000</v>
      </c>
      <c r="M1480" s="4">
        <v>2006</v>
      </c>
      <c r="N1480" s="4">
        <v>2.1</v>
      </c>
      <c r="O1480" s="4">
        <f ca="1">IFERROR(__xludf.DUMMYFUNCTION("IF(Cost_in_dollars!E1480=""USD"",Cost_in_dollars!B1480,Cost_in_dollars!B1480 * GOOGLEFINANCE(""CURRENCY:"" &amp; Cost_in_dollars!E1480 &amp; ""USD""))
"),5600000)</f>
        <v>5600000</v>
      </c>
      <c r="P1480" s="4">
        <f ca="1">IFERROR(__xludf.DUMMYFUNCTION("IF(Cost_in_dollars!E1480=""USD"",Cost_in_dollars!C1480,Cost_in_dollars!C1480 * GOOGLEFINANCE(""CURRENCY:"" &amp; Cost_in_dollars!E1480 &amp; ""USD""))
"),7009668)</f>
        <v>7009668</v>
      </c>
      <c r="Q1480" s="4">
        <f t="shared" ca="1" si="30"/>
        <v>1409668</v>
      </c>
      <c r="R1480" s="5" t="str">
        <f t="shared" si="31"/>
        <v>Crossover</v>
      </c>
      <c r="S1480" s="43" t="str">
        <f t="shared" si="35"/>
        <v>Action</v>
      </c>
    </row>
    <row r="1481" spans="1:19" ht="15.75" customHeight="1" x14ac:dyDescent="0.25">
      <c r="A1481" s="6" t="s">
        <v>884</v>
      </c>
      <c r="B1481" s="6">
        <v>292</v>
      </c>
      <c r="C1481" s="6">
        <v>7689458</v>
      </c>
      <c r="D1481" s="6" t="s">
        <v>5144</v>
      </c>
      <c r="E1481" s="6" t="s">
        <v>5145</v>
      </c>
      <c r="F1481" s="6" t="s">
        <v>5146</v>
      </c>
      <c r="G1481" s="6">
        <v>126307</v>
      </c>
      <c r="H1481" s="6" t="s">
        <v>5147</v>
      </c>
      <c r="I1481" s="6">
        <v>210</v>
      </c>
      <c r="J1481" s="6" t="s">
        <v>23</v>
      </c>
      <c r="K1481" s="6" t="s">
        <v>133</v>
      </c>
      <c r="L1481" s="6">
        <v>40000000</v>
      </c>
      <c r="M1481" s="6">
        <v>2009</v>
      </c>
      <c r="N1481" s="6">
        <v>6.8</v>
      </c>
      <c r="O1481" s="4">
        <f ca="1">IFERROR(__xludf.DUMMYFUNCTION("IF(Cost_in_dollars!E1481=""USD"",Cost_in_dollars!B1481,Cost_in_dollars!B1481 * GOOGLEFINANCE(""CURRENCY:"" &amp; Cost_in_dollars!E1481 &amp; ""USD""))
"),51415999.9999999)</f>
        <v>51415999.999999903</v>
      </c>
      <c r="P1481" s="4">
        <f ca="1">IFERROR(__xludf.DUMMYFUNCTION("IF(Cost_in_dollars!E1481=""USD"",Cost_in_dollars!C1481,Cost_in_dollars!C1481 * GOOGLEFINANCE(""CURRENCY:"" &amp; Cost_in_dollars!E1481 &amp; ""USD""))
"),9884029.31319999)</f>
        <v>9884029.3131999895</v>
      </c>
      <c r="Q1481" s="6">
        <f t="shared" ca="1" si="30"/>
        <v>-41531970.686799914</v>
      </c>
      <c r="R1481" s="7" t="str">
        <f t="shared" si="31"/>
        <v>The Imaginarium of Doctor Parnassus</v>
      </c>
      <c r="S1481" s="43" t="str">
        <f t="shared" si="35"/>
        <v>Adventure</v>
      </c>
    </row>
    <row r="1482" spans="1:19" ht="15.75" customHeight="1" x14ac:dyDescent="0.25">
      <c r="A1482" s="4" t="s">
        <v>5148</v>
      </c>
      <c r="B1482" s="4">
        <v>195</v>
      </c>
      <c r="C1482" s="4">
        <v>3950029</v>
      </c>
      <c r="D1482" s="4" t="s">
        <v>102</v>
      </c>
      <c r="E1482" s="4" t="s">
        <v>5149</v>
      </c>
      <c r="F1482" s="4" t="s">
        <v>5150</v>
      </c>
      <c r="G1482" s="4">
        <v>12411</v>
      </c>
      <c r="H1482" s="4" t="s">
        <v>5151</v>
      </c>
      <c r="I1482" s="4">
        <v>89</v>
      </c>
      <c r="J1482" s="4" t="s">
        <v>661</v>
      </c>
      <c r="K1482" s="4" t="s">
        <v>611</v>
      </c>
      <c r="L1482" s="4">
        <v>4000000</v>
      </c>
      <c r="M1482" s="4">
        <v>2010</v>
      </c>
      <c r="N1482" s="4">
        <v>7.2</v>
      </c>
      <c r="O1482" s="4">
        <f ca="1">IFERROR(__xludf.DUMMYFUNCTION("IF(Cost_in_dollars!E1482=""USD"",Cost_in_dollars!B1482,Cost_in_dollars!B1482 * GOOGLEFINANCE(""CURRENCY:"" &amp; Cost_in_dollars!E1482 &amp; ""USD""))
"),4338960)</f>
        <v>4338960</v>
      </c>
      <c r="P1482" s="4">
        <f ca="1">IFERROR(__xludf.DUMMYFUNCTION("IF(Cost_in_dollars!E1482=""USD"",Cost_in_dollars!C1482,Cost_in_dollars!C1482 * GOOGLEFINANCE(""CURRENCY:"" &amp; Cost_in_dollars!E1482 &amp; ""USD""))
"),4284754.45746)</f>
        <v>4284754.4574600002</v>
      </c>
      <c r="Q1482" s="4">
        <f t="shared" ca="1" si="30"/>
        <v>-54205.54253999982</v>
      </c>
      <c r="R1482" s="5" t="str">
        <f t="shared" si="31"/>
        <v>Of Gods and Men</v>
      </c>
      <c r="S1482" s="43" t="str">
        <f t="shared" si="35"/>
        <v>Drama</v>
      </c>
    </row>
    <row r="1483" spans="1:19" ht="15.75" customHeight="1" x14ac:dyDescent="0.25">
      <c r="A1483" s="6" t="s">
        <v>1697</v>
      </c>
      <c r="B1483" s="6">
        <v>226</v>
      </c>
      <c r="C1483" s="6">
        <v>39532308</v>
      </c>
      <c r="D1483" s="6" t="s">
        <v>2429</v>
      </c>
      <c r="E1483" s="6" t="s">
        <v>64</v>
      </c>
      <c r="F1483" s="6" t="s">
        <v>5152</v>
      </c>
      <c r="G1483" s="6">
        <v>198701</v>
      </c>
      <c r="H1483" s="6" t="s">
        <v>5153</v>
      </c>
      <c r="I1483" s="6">
        <v>1138</v>
      </c>
      <c r="J1483" s="6" t="s">
        <v>23</v>
      </c>
      <c r="K1483" s="6" t="s">
        <v>133</v>
      </c>
      <c r="L1483" s="6">
        <v>33000000</v>
      </c>
      <c r="M1483" s="6">
        <v>2002</v>
      </c>
      <c r="N1483" s="6">
        <v>6.7</v>
      </c>
      <c r="O1483" s="4">
        <f ca="1">IFERROR(__xludf.DUMMYFUNCTION("IF(Cost_in_dollars!E1483=""USD"",Cost_in_dollars!B1483,Cost_in_dollars!B1483 * GOOGLEFINANCE(""CURRENCY:"" &amp; Cost_in_dollars!E1483 &amp; ""USD""))
"),42418199.9999999)</f>
        <v>42418199.999999903</v>
      </c>
      <c r="P1483" s="4">
        <f ca="1">IFERROR(__xludf.DUMMYFUNCTION("IF(Cost_in_dollars!E1483=""USD"",Cost_in_dollars!C1483,Cost_in_dollars!C1483 * GOOGLEFINANCE(""CURRENCY:"" &amp; Cost_in_dollars!E1483 &amp; ""USD""))
"),50814828.7032)</f>
        <v>50814828.703199998</v>
      </c>
      <c r="Q1483" s="6">
        <f t="shared" ca="1" si="30"/>
        <v>8396628.7032000944</v>
      </c>
      <c r="R1483" s="7" t="str">
        <f t="shared" si="31"/>
        <v>Resident Evil</v>
      </c>
      <c r="S1483" s="43" t="str">
        <f t="shared" si="35"/>
        <v>Action</v>
      </c>
    </row>
    <row r="1484" spans="1:19" ht="15.75" customHeight="1" x14ac:dyDescent="0.25">
      <c r="A1484" s="4" t="s">
        <v>759</v>
      </c>
      <c r="B1484" s="4">
        <v>121</v>
      </c>
      <c r="C1484" s="4">
        <v>132541238</v>
      </c>
      <c r="D1484" s="4" t="s">
        <v>140</v>
      </c>
      <c r="E1484" s="4" t="s">
        <v>5154</v>
      </c>
      <c r="F1484" s="4" t="s">
        <v>5155</v>
      </c>
      <c r="G1484" s="4">
        <v>30058</v>
      </c>
      <c r="H1484" s="4" t="s">
        <v>5156</v>
      </c>
      <c r="I1484" s="4">
        <v>236</v>
      </c>
      <c r="J1484" s="4" t="s">
        <v>23</v>
      </c>
      <c r="K1484" s="4" t="s">
        <v>24</v>
      </c>
      <c r="L1484" s="4">
        <v>33000000</v>
      </c>
      <c r="M1484" s="4">
        <v>2003</v>
      </c>
      <c r="N1484" s="4">
        <v>5.5</v>
      </c>
      <c r="O1484" s="4">
        <f ca="1">IFERROR(__xludf.DUMMYFUNCTION("IF(Cost_in_dollars!E1484=""USD"",Cost_in_dollars!B1484,Cost_in_dollars!B1484 * GOOGLEFINANCE(""CURRENCY:"" &amp; Cost_in_dollars!E1484 &amp; ""USD""))
"),33000000)</f>
        <v>33000000</v>
      </c>
      <c r="P1484" s="4">
        <f ca="1">IFERROR(__xludf.DUMMYFUNCTION("IF(Cost_in_dollars!E1484=""USD"",Cost_in_dollars!C1484,Cost_in_dollars!C1484 * GOOGLEFINANCE(""CURRENCY:"" &amp; Cost_in_dollars!E1484 &amp; ""USD""))
"),132541238)</f>
        <v>132541238</v>
      </c>
      <c r="Q1484" s="4">
        <f t="shared" ca="1" si="30"/>
        <v>99541238</v>
      </c>
      <c r="R1484" s="5" t="str">
        <f t="shared" si="31"/>
        <v>Bringing Down the House</v>
      </c>
      <c r="S1484" s="43" t="str">
        <f t="shared" si="35"/>
        <v>Comedy</v>
      </c>
    </row>
    <row r="1485" spans="1:19" ht="15.75" customHeight="1" x14ac:dyDescent="0.25">
      <c r="A1485" s="6" t="s">
        <v>5157</v>
      </c>
      <c r="B1485" s="6">
        <v>161</v>
      </c>
      <c r="C1485" s="6">
        <v>36279230</v>
      </c>
      <c r="D1485" s="6" t="s">
        <v>155</v>
      </c>
      <c r="E1485" s="6" t="s">
        <v>5158</v>
      </c>
      <c r="F1485" s="6" t="s">
        <v>5159</v>
      </c>
      <c r="G1485" s="6">
        <v>42144</v>
      </c>
      <c r="H1485" s="6" t="s">
        <v>5160</v>
      </c>
      <c r="I1485" s="6">
        <v>213</v>
      </c>
      <c r="J1485" s="6" t="s">
        <v>23</v>
      </c>
      <c r="K1485" s="6" t="s">
        <v>24</v>
      </c>
      <c r="L1485" s="6">
        <v>60000000</v>
      </c>
      <c r="M1485" s="6">
        <v>2006</v>
      </c>
      <c r="N1485" s="6">
        <v>6.1</v>
      </c>
      <c r="O1485" s="4">
        <f ca="1">IFERROR(__xludf.DUMMYFUNCTION("IF(Cost_in_dollars!E1485=""USD"",Cost_in_dollars!B1485,Cost_in_dollars!B1485 * GOOGLEFINANCE(""CURRENCY:"" &amp; Cost_in_dollars!E1485 &amp; ""USD""))
"),60000000)</f>
        <v>60000000</v>
      </c>
      <c r="P1485" s="4">
        <f ca="1">IFERROR(__xludf.DUMMYFUNCTION("IF(Cost_in_dollars!E1485=""USD"",Cost_in_dollars!C1485,Cost_in_dollars!C1485 * GOOGLEFINANCE(""CURRENCY:"" &amp; Cost_in_dollars!E1485 &amp; ""USD""))
"),36279230)</f>
        <v>36279230</v>
      </c>
      <c r="Q1485" s="6">
        <f t="shared" ca="1" si="30"/>
        <v>-23720770</v>
      </c>
      <c r="R1485" s="7" t="str">
        <f t="shared" si="31"/>
        <v>The Sentinel</v>
      </c>
      <c r="S1485" s="43" t="str">
        <f t="shared" si="35"/>
        <v>Action</v>
      </c>
    </row>
    <row r="1486" spans="1:19" ht="15.75" customHeight="1" x14ac:dyDescent="0.25">
      <c r="A1486" s="4" t="s">
        <v>2505</v>
      </c>
      <c r="B1486" s="4">
        <v>208</v>
      </c>
      <c r="C1486" s="4">
        <v>124732962</v>
      </c>
      <c r="D1486" s="4" t="s">
        <v>162</v>
      </c>
      <c r="E1486" s="4" t="s">
        <v>1954</v>
      </c>
      <c r="F1486" s="4" t="s">
        <v>5161</v>
      </c>
      <c r="G1486" s="4">
        <v>286178</v>
      </c>
      <c r="H1486" s="4" t="s">
        <v>5162</v>
      </c>
      <c r="I1486" s="4">
        <v>631</v>
      </c>
      <c r="J1486" s="4" t="s">
        <v>23</v>
      </c>
      <c r="K1486" s="4" t="s">
        <v>24</v>
      </c>
      <c r="L1486" s="4">
        <v>35000000</v>
      </c>
      <c r="M1486" s="4">
        <v>2006</v>
      </c>
      <c r="N1486" s="4">
        <v>6.8</v>
      </c>
      <c r="O1486" s="4">
        <f ca="1">IFERROR(__xludf.DUMMYFUNCTION("IF(Cost_in_dollars!E1486=""USD"",Cost_in_dollars!B1486,Cost_in_dollars!B1486 * GOOGLEFINANCE(""CURRENCY:"" &amp; Cost_in_dollars!E1486 &amp; ""USD""))
"),35000000)</f>
        <v>35000000</v>
      </c>
      <c r="P1486" s="4">
        <f ca="1">IFERROR(__xludf.DUMMYFUNCTION("IF(Cost_in_dollars!E1486=""USD"",Cost_in_dollars!C1486,Cost_in_dollars!C1486 * GOOGLEFINANCE(""CURRENCY:"" &amp; Cost_in_dollars!E1486 &amp; ""USD""))
"),124732962)</f>
        <v>124732962</v>
      </c>
      <c r="Q1486" s="4">
        <f t="shared" ca="1" si="30"/>
        <v>89732962</v>
      </c>
      <c r="R1486" s="5" t="str">
        <f t="shared" si="31"/>
        <v>The Devil Wears Prada</v>
      </c>
      <c r="S1486" s="43" t="str">
        <f t="shared" si="35"/>
        <v>Comedy</v>
      </c>
    </row>
    <row r="1487" spans="1:19" ht="15.75" customHeight="1" x14ac:dyDescent="0.25">
      <c r="A1487" s="6" t="s">
        <v>5163</v>
      </c>
      <c r="B1487" s="6">
        <v>337</v>
      </c>
      <c r="C1487" s="6">
        <v>252652</v>
      </c>
      <c r="D1487" s="6" t="s">
        <v>5164</v>
      </c>
      <c r="E1487" s="6" t="s">
        <v>5165</v>
      </c>
      <c r="F1487" s="6" t="s">
        <v>5166</v>
      </c>
      <c r="G1487" s="6">
        <v>54104</v>
      </c>
      <c r="H1487" s="6" t="s">
        <v>5167</v>
      </c>
      <c r="I1487" s="6">
        <v>199</v>
      </c>
      <c r="J1487" s="6" t="s">
        <v>5168</v>
      </c>
      <c r="K1487" s="6" t="s">
        <v>5169</v>
      </c>
      <c r="L1487" s="6">
        <v>19900000</v>
      </c>
      <c r="M1487" s="6">
        <v>2010</v>
      </c>
      <c r="N1487" s="6">
        <v>7</v>
      </c>
      <c r="O1487" s="4">
        <f ca="1">IFERROR(__xludf.DUMMYFUNCTION("IF(Cost_in_dollars!E1487=""USD"",Cost_in_dollars!B1487,Cost_in_dollars!B1487 * GOOGLEFINANCE(""CURRENCY:"" &amp; Cost_in_dollars!E1487 &amp; ""USD""))
"),1803915.1)</f>
        <v>1803915.1</v>
      </c>
      <c r="P1487" s="4">
        <f ca="1">IFERROR(__xludf.DUMMYFUNCTION("IF(Cost_in_dollars!E1487=""USD"",Cost_in_dollars!C1487,Cost_in_dollars!C1487 * GOOGLEFINANCE(""CURRENCY:"" &amp; Cost_in_dollars!E1487 &amp; ""USD""))
"),22902.651148)</f>
        <v>22902.651148000001</v>
      </c>
      <c r="Q1487" s="6">
        <f t="shared" ca="1" si="30"/>
        <v>-1781012.4488520001</v>
      </c>
      <c r="R1487" s="7" t="str">
        <f t="shared" si="31"/>
        <v>Trollhunter</v>
      </c>
      <c r="S1487" s="43" t="str">
        <f t="shared" si="35"/>
        <v>Comedy</v>
      </c>
    </row>
    <row r="1488" spans="1:19" ht="15.75" customHeight="1" x14ac:dyDescent="0.25">
      <c r="A1488" s="4" t="s">
        <v>2110</v>
      </c>
      <c r="B1488" s="4">
        <v>156</v>
      </c>
      <c r="C1488" s="4">
        <v>74158157</v>
      </c>
      <c r="D1488" s="4" t="s">
        <v>140</v>
      </c>
      <c r="E1488" s="4" t="s">
        <v>320</v>
      </c>
      <c r="F1488" s="4" t="s">
        <v>5170</v>
      </c>
      <c r="G1488" s="4">
        <v>60370</v>
      </c>
      <c r="H1488" s="4" t="s">
        <v>5171</v>
      </c>
      <c r="I1488" s="4">
        <v>264</v>
      </c>
      <c r="J1488" s="4" t="s">
        <v>23</v>
      </c>
      <c r="K1488" s="4" t="s">
        <v>24</v>
      </c>
      <c r="L1488" s="4">
        <v>79000000</v>
      </c>
      <c r="M1488" s="4">
        <v>2011</v>
      </c>
      <c r="N1488" s="4">
        <v>3.4</v>
      </c>
      <c r="O1488" s="4">
        <f ca="1">IFERROR(__xludf.DUMMYFUNCTION("IF(Cost_in_dollars!E1488=""USD"",Cost_in_dollars!B1488,Cost_in_dollars!B1488 * GOOGLEFINANCE(""CURRENCY:"" &amp; Cost_in_dollars!E1488 &amp; ""USD""))
"),79000000)</f>
        <v>79000000</v>
      </c>
      <c r="P1488" s="4">
        <f ca="1">IFERROR(__xludf.DUMMYFUNCTION("IF(Cost_in_dollars!E1488=""USD"",Cost_in_dollars!C1488,Cost_in_dollars!C1488 * GOOGLEFINANCE(""CURRENCY:"" &amp; Cost_in_dollars!E1488 &amp; ""USD""))
"),74158157)</f>
        <v>74158157</v>
      </c>
      <c r="Q1488" s="4">
        <f t="shared" ca="1" si="30"/>
        <v>-4841843</v>
      </c>
      <c r="R1488" s="5" t="str">
        <f t="shared" si="31"/>
        <v>Jack and Jill</v>
      </c>
      <c r="S1488" s="43" t="str">
        <f t="shared" si="35"/>
        <v>Comedy</v>
      </c>
    </row>
    <row r="1489" spans="1:19" ht="15.75" customHeight="1" x14ac:dyDescent="0.25">
      <c r="A1489" s="6" t="s">
        <v>5172</v>
      </c>
      <c r="B1489" s="6">
        <v>142</v>
      </c>
      <c r="C1489" s="6">
        <v>51053787</v>
      </c>
      <c r="D1489" s="6" t="s">
        <v>5173</v>
      </c>
      <c r="E1489" s="6" t="s">
        <v>422</v>
      </c>
      <c r="F1489" s="6" t="s">
        <v>5174</v>
      </c>
      <c r="G1489" s="6">
        <v>45900</v>
      </c>
      <c r="H1489" s="6" t="s">
        <v>5175</v>
      </c>
      <c r="I1489" s="6">
        <v>247</v>
      </c>
      <c r="J1489" s="6" t="s">
        <v>23</v>
      </c>
      <c r="K1489" s="6" t="s">
        <v>24</v>
      </c>
      <c r="L1489" s="6">
        <v>17500000</v>
      </c>
      <c r="M1489" s="6">
        <v>2005</v>
      </c>
      <c r="N1489" s="6">
        <v>6.5</v>
      </c>
      <c r="O1489" s="4">
        <f ca="1">IFERROR(__xludf.DUMMYFUNCTION("IF(Cost_in_dollars!E1489=""USD"",Cost_in_dollars!B1489,Cost_in_dollars!B1489 * GOOGLEFINANCE(""CURRENCY:"" &amp; Cost_in_dollars!E1489 &amp; ""USD""))
"),17500000)</f>
        <v>17500000</v>
      </c>
      <c r="P1489" s="4">
        <f ca="1">IFERROR(__xludf.DUMMYFUNCTION("IF(Cost_in_dollars!E1489=""USD"",Cost_in_dollars!C1489,Cost_in_dollars!C1489 * GOOGLEFINANCE(""CURRENCY:"" &amp; Cost_in_dollars!E1489 &amp; ""USD""))
"),51053787)</f>
        <v>51053787</v>
      </c>
      <c r="Q1489" s="6">
        <f t="shared" ca="1" si="30"/>
        <v>33553787</v>
      </c>
      <c r="R1489" s="7" t="str">
        <f t="shared" si="31"/>
        <v>Hoodwinked!</v>
      </c>
      <c r="S1489" s="43" t="str">
        <f t="shared" si="35"/>
        <v>Action</v>
      </c>
    </row>
    <row r="1490" spans="1:19" ht="15.75" customHeight="1" x14ac:dyDescent="0.25">
      <c r="A1490" s="4" t="s">
        <v>3486</v>
      </c>
      <c r="B1490" s="4">
        <v>184</v>
      </c>
      <c r="C1490" s="4">
        <v>71346930</v>
      </c>
      <c r="D1490" s="4" t="s">
        <v>1868</v>
      </c>
      <c r="E1490" s="4" t="s">
        <v>5176</v>
      </c>
      <c r="F1490" s="4" t="s">
        <v>5177</v>
      </c>
      <c r="G1490" s="4">
        <v>78008</v>
      </c>
      <c r="H1490" s="4" t="s">
        <v>5178</v>
      </c>
      <c r="I1490" s="4">
        <v>160</v>
      </c>
      <c r="J1490" s="4" t="s">
        <v>23</v>
      </c>
      <c r="K1490" s="4" t="s">
        <v>24</v>
      </c>
      <c r="L1490" s="4">
        <v>28000000</v>
      </c>
      <c r="M1490" s="4">
        <v>2013</v>
      </c>
      <c r="N1490" s="4">
        <v>6.7</v>
      </c>
      <c r="O1490" s="4">
        <f ca="1">IFERROR(__xludf.DUMMYFUNCTION("IF(Cost_in_dollars!E1490=""USD"",Cost_in_dollars!B1490,Cost_in_dollars!B1490 * GOOGLEFINANCE(""CURRENCY:"" &amp; Cost_in_dollars!E1490 &amp; ""USD""))
"),28000000)</f>
        <v>28000000</v>
      </c>
      <c r="P1490" s="4">
        <f ca="1">IFERROR(__xludf.DUMMYFUNCTION("IF(Cost_in_dollars!E1490=""USD"",Cost_in_dollars!C1490,Cost_in_dollars!C1490 * GOOGLEFINANCE(""CURRENCY:"" &amp; Cost_in_dollars!E1490 &amp; ""USD""))
"),71346930)</f>
        <v>71346930</v>
      </c>
      <c r="Q1490" s="4">
        <f t="shared" ca="1" si="30"/>
        <v>43346930</v>
      </c>
      <c r="R1490" s="5" t="str">
        <f t="shared" si="31"/>
        <v>Safe Haven</v>
      </c>
      <c r="S1490" s="43" t="str">
        <f t="shared" si="35"/>
        <v>Drama</v>
      </c>
    </row>
    <row r="1491" spans="1:19" ht="15.75" customHeight="1" x14ac:dyDescent="0.25">
      <c r="A1491" s="6" t="s">
        <v>5179</v>
      </c>
      <c r="B1491" s="6">
        <v>91</v>
      </c>
      <c r="C1491" s="6">
        <v>41229</v>
      </c>
      <c r="D1491" s="6" t="s">
        <v>116</v>
      </c>
      <c r="E1491" s="6" t="s">
        <v>4779</v>
      </c>
      <c r="F1491" s="6" t="s">
        <v>5180</v>
      </c>
      <c r="G1491" s="6">
        <v>14612</v>
      </c>
      <c r="H1491" s="6" t="s">
        <v>5181</v>
      </c>
      <c r="I1491" s="6">
        <v>41</v>
      </c>
      <c r="J1491" s="6" t="s">
        <v>23</v>
      </c>
      <c r="K1491" s="6" t="s">
        <v>611</v>
      </c>
      <c r="L1491" s="6">
        <v>25500000</v>
      </c>
      <c r="M1491" s="6">
        <v>2013</v>
      </c>
      <c r="N1491" s="6">
        <v>6.5</v>
      </c>
      <c r="O1491" s="4">
        <f ca="1">IFERROR(__xludf.DUMMYFUNCTION("IF(Cost_in_dollars!E1491=""USD"",Cost_in_dollars!B1491,Cost_in_dollars!B1491 * GOOGLEFINANCE(""CURRENCY:"" &amp; Cost_in_dollars!E1491 &amp; ""USD""))
"),27660870)</f>
        <v>27660870</v>
      </c>
      <c r="P1491" s="4">
        <f ca="1">IFERROR(__xludf.DUMMYFUNCTION("IF(Cost_in_dollars!E1491=""USD"",Cost_in_dollars!C1491,Cost_in_dollars!C1491 * GOOGLEFINANCE(""CURRENCY:"" &amp; Cost_in_dollars!E1491 &amp; ""USD""))
"),44722.74546)</f>
        <v>44722.745459999998</v>
      </c>
      <c r="Q1491" s="6">
        <f t="shared" ca="1" si="30"/>
        <v>-27616147.25454</v>
      </c>
      <c r="R1491" s="7" t="str">
        <f t="shared" si="31"/>
        <v>Blood Ties</v>
      </c>
      <c r="S1491" s="43" t="str">
        <f t="shared" si="35"/>
        <v>Crime</v>
      </c>
    </row>
    <row r="1492" spans="1:19" ht="15.75" customHeight="1" x14ac:dyDescent="0.25">
      <c r="A1492" s="4" t="s">
        <v>2826</v>
      </c>
      <c r="B1492" s="4">
        <v>181</v>
      </c>
      <c r="C1492" s="4">
        <v>20302961</v>
      </c>
      <c r="D1492" s="4" t="s">
        <v>102</v>
      </c>
      <c r="E1492" s="4" t="s">
        <v>5182</v>
      </c>
      <c r="F1492" s="4" t="s">
        <v>5183</v>
      </c>
      <c r="G1492" s="4">
        <v>49874</v>
      </c>
      <c r="H1492" s="4" t="s">
        <v>5184</v>
      </c>
      <c r="I1492" s="4">
        <v>450</v>
      </c>
      <c r="J1492" s="4" t="s">
        <v>23</v>
      </c>
      <c r="K1492" s="4" t="s">
        <v>611</v>
      </c>
      <c r="L1492" s="4">
        <v>45000000</v>
      </c>
      <c r="M1492" s="4">
        <v>1995</v>
      </c>
      <c r="N1492" s="4">
        <v>4.5999999999999996</v>
      </c>
      <c r="O1492" s="4">
        <f ca="1">IFERROR(__xludf.DUMMYFUNCTION("IF(Cost_in_dollars!E1492=""USD"",Cost_in_dollars!B1492,Cost_in_dollars!B1492 * GOOGLEFINANCE(""CURRENCY:"" &amp; Cost_in_dollars!E1492 &amp; ""USD""))
"),48813300)</f>
        <v>48813300</v>
      </c>
      <c r="P1492" s="4">
        <f ca="1">IFERROR(__xludf.DUMMYFUNCTION("IF(Cost_in_dollars!E1492=""USD"",Cost_in_dollars!C1492,Cost_in_dollars!C1492 * GOOGLEFINANCE(""CURRENCY:"" &amp; Cost_in_dollars!E1492 &amp; ""USD""))
"),22023433.91514)</f>
        <v>22023433.915139999</v>
      </c>
      <c r="Q1492" s="4">
        <f t="shared" ca="1" si="30"/>
        <v>-26789866.084860001</v>
      </c>
      <c r="R1492" s="5" t="str">
        <f t="shared" si="31"/>
        <v>Showgirls</v>
      </c>
      <c r="S1492" s="43" t="str">
        <f t="shared" si="35"/>
        <v>Drama</v>
      </c>
    </row>
    <row r="1493" spans="1:19" ht="15.75" customHeight="1" x14ac:dyDescent="0.25">
      <c r="A1493" s="6" t="s">
        <v>5185</v>
      </c>
      <c r="B1493" s="6">
        <v>34</v>
      </c>
      <c r="C1493" s="6">
        <v>10400000</v>
      </c>
      <c r="D1493" s="6" t="s">
        <v>235</v>
      </c>
      <c r="E1493" s="6" t="s">
        <v>775</v>
      </c>
      <c r="F1493" s="6" t="s">
        <v>5186</v>
      </c>
      <c r="G1493" s="6">
        <v>12037</v>
      </c>
      <c r="H1493" s="6" t="s">
        <v>5187</v>
      </c>
      <c r="I1493" s="6">
        <v>90</v>
      </c>
      <c r="J1493" s="6" t="s">
        <v>23</v>
      </c>
      <c r="K1493" s="6" t="s">
        <v>24</v>
      </c>
      <c r="L1493" s="6">
        <v>50000000</v>
      </c>
      <c r="M1493" s="6">
        <v>1995</v>
      </c>
      <c r="N1493" s="6">
        <v>5.0999999999999996</v>
      </c>
      <c r="O1493" s="4">
        <f ca="1">IFERROR(__xludf.DUMMYFUNCTION("IF(Cost_in_dollars!E1493=""USD"",Cost_in_dollars!B1493,Cost_in_dollars!B1493 * GOOGLEFINANCE(""CURRENCY:"" &amp; Cost_in_dollars!E1493 &amp; ""USD""))
"),50000000)</f>
        <v>50000000</v>
      </c>
      <c r="P1493" s="4">
        <f ca="1">IFERROR(__xludf.DUMMYFUNCTION("IF(Cost_in_dollars!E1493=""USD"",Cost_in_dollars!C1493,Cost_in_dollars!C1493 * GOOGLEFINANCE(""CURRENCY:"" &amp; Cost_in_dollars!E1493 &amp; ""USD""))
"),10400000)</f>
        <v>10400000</v>
      </c>
      <c r="Q1493" s="6">
        <f t="shared" ca="1" si="30"/>
        <v>-39600000</v>
      </c>
      <c r="R1493" s="7" t="str">
        <f t="shared" si="31"/>
        <v>The Scarlet Letter</v>
      </c>
      <c r="S1493" s="43" t="str">
        <f t="shared" si="35"/>
        <v>Drama</v>
      </c>
    </row>
    <row r="1494" spans="1:19" ht="15.75" customHeight="1" x14ac:dyDescent="0.25">
      <c r="A1494" s="4" t="s">
        <v>3762</v>
      </c>
      <c r="B1494" s="4">
        <v>217</v>
      </c>
      <c r="C1494" s="4">
        <v>9430988</v>
      </c>
      <c r="D1494" s="4" t="s">
        <v>162</v>
      </c>
      <c r="E1494" s="4" t="s">
        <v>5188</v>
      </c>
      <c r="F1494" s="4" t="s">
        <v>5189</v>
      </c>
      <c r="G1494" s="4">
        <v>45992</v>
      </c>
      <c r="H1494" s="4" t="s">
        <v>5190</v>
      </c>
      <c r="I1494" s="4">
        <v>115</v>
      </c>
      <c r="J1494" s="4" t="s">
        <v>23</v>
      </c>
      <c r="K1494" s="4" t="s">
        <v>24</v>
      </c>
      <c r="L1494" s="4">
        <v>17000000</v>
      </c>
      <c r="M1494" s="4">
        <v>2009</v>
      </c>
      <c r="N1494" s="4">
        <v>7.1</v>
      </c>
      <c r="O1494" s="4">
        <f ca="1">IFERROR(__xludf.DUMMYFUNCTION("IF(Cost_in_dollars!E1494=""USD"",Cost_in_dollars!B1494,Cost_in_dollars!B1494 * GOOGLEFINANCE(""CURRENCY:"" &amp; Cost_in_dollars!E1494 &amp; ""USD""))
"),17000000)</f>
        <v>17000000</v>
      </c>
      <c r="P1494" s="4">
        <f ca="1">IFERROR(__xludf.DUMMYFUNCTION("IF(Cost_in_dollars!E1494=""USD"",Cost_in_dollars!C1494,Cost_in_dollars!C1494 * GOOGLEFINANCE(""CURRENCY:"" &amp; Cost_in_dollars!E1494 &amp; ""USD""))
"),9430988)</f>
        <v>9430988</v>
      </c>
      <c r="Q1494" s="4">
        <f t="shared" ca="1" si="30"/>
        <v>-7569012</v>
      </c>
      <c r="R1494" s="5" t="str">
        <f t="shared" si="31"/>
        <v>Away We Go</v>
      </c>
      <c r="S1494" s="43" t="str">
        <f t="shared" si="35"/>
        <v>Comedy</v>
      </c>
    </row>
    <row r="1495" spans="1:19" ht="15.75" customHeight="1" x14ac:dyDescent="0.25">
      <c r="A1495" s="6" t="s">
        <v>4010</v>
      </c>
      <c r="B1495" s="6">
        <v>31</v>
      </c>
      <c r="C1495" s="6">
        <v>13052741</v>
      </c>
      <c r="D1495" s="6" t="s">
        <v>216</v>
      </c>
      <c r="E1495" s="6" t="s">
        <v>2392</v>
      </c>
      <c r="F1495" s="6" t="s">
        <v>5191</v>
      </c>
      <c r="G1495" s="6">
        <v>8531</v>
      </c>
      <c r="H1495" s="6" t="s">
        <v>5192</v>
      </c>
      <c r="I1495" s="6">
        <v>57</v>
      </c>
      <c r="J1495" s="6" t="s">
        <v>23</v>
      </c>
      <c r="K1495" s="6" t="s">
        <v>24</v>
      </c>
      <c r="L1495" s="6">
        <v>36000000</v>
      </c>
      <c r="M1495" s="6">
        <v>1996</v>
      </c>
      <c r="N1495" s="6">
        <v>6.7</v>
      </c>
      <c r="O1495" s="4">
        <f ca="1">IFERROR(__xludf.DUMMYFUNCTION("IF(Cost_in_dollars!E1495=""USD"",Cost_in_dollars!B1495,Cost_in_dollars!B1495 * GOOGLEFINANCE(""CURRENCY:"" &amp; Cost_in_dollars!E1495 &amp; ""USD""))
"),36000000)</f>
        <v>36000000</v>
      </c>
      <c r="P1495" s="4">
        <f ca="1">IFERROR(__xludf.DUMMYFUNCTION("IF(Cost_in_dollars!E1495=""USD"",Cost_in_dollars!C1495,Cost_in_dollars!C1495 * GOOGLEFINANCE(""CURRENCY:"" &amp; Cost_in_dollars!E1495 &amp; ""USD""))
"),13052741)</f>
        <v>13052741</v>
      </c>
      <c r="Q1495" s="6">
        <f t="shared" ca="1" si="30"/>
        <v>-22947259</v>
      </c>
      <c r="R1495" s="7" t="str">
        <f t="shared" si="31"/>
        <v>Ghosts of Mississippi</v>
      </c>
      <c r="S1495" s="43" t="str">
        <f t="shared" si="35"/>
        <v>Drama</v>
      </c>
    </row>
    <row r="1496" spans="1:19" ht="15.75" customHeight="1" x14ac:dyDescent="0.25">
      <c r="A1496" s="4" t="s">
        <v>1231</v>
      </c>
      <c r="B1496" s="4">
        <v>54</v>
      </c>
      <c r="C1496" s="4">
        <v>763044</v>
      </c>
      <c r="D1496" s="4" t="s">
        <v>372</v>
      </c>
      <c r="E1496" s="4" t="s">
        <v>5193</v>
      </c>
      <c r="F1496" s="4" t="s">
        <v>5194</v>
      </c>
      <c r="G1496" s="4">
        <v>4257</v>
      </c>
      <c r="H1496" s="4" t="s">
        <v>5195</v>
      </c>
      <c r="I1496" s="4">
        <v>52</v>
      </c>
      <c r="J1496" s="4" t="s">
        <v>23</v>
      </c>
      <c r="K1496" s="4" t="s">
        <v>627</v>
      </c>
      <c r="L1496" s="4">
        <v>23000000</v>
      </c>
      <c r="M1496" s="4">
        <v>2003</v>
      </c>
      <c r="N1496" s="4">
        <v>6.2</v>
      </c>
      <c r="O1496" s="4">
        <f ca="1">IFERROR(__xludf.DUMMYFUNCTION("IF(Cost_in_dollars!E1496=""USD"",Cost_in_dollars!B1496,Cost_in_dollars!B1496 * GOOGLEFINANCE(""CURRENCY:"" &amp; Cost_in_dollars!E1496 &amp; ""USD""))
"),16638315)</f>
        <v>16638315</v>
      </c>
      <c r="P1496" s="4">
        <f ca="1">IFERROR(__xludf.DUMMYFUNCTION("IF(Cost_in_dollars!E1496=""USD"",Cost_in_dollars!C1496,Cost_in_dollars!C1496 * GOOGLEFINANCE(""CURRENCY:"" &amp; Cost_in_dollars!E1496 &amp; ""USD""))
"),551989.84482)</f>
        <v>551989.84482</v>
      </c>
      <c r="Q1496" s="4">
        <f t="shared" ca="1" si="30"/>
        <v>-16086325.15518</v>
      </c>
      <c r="R1496" s="5" t="str">
        <f t="shared" si="31"/>
        <v>The Statement</v>
      </c>
      <c r="S1496" s="43" t="str">
        <f t="shared" si="35"/>
        <v>Drama</v>
      </c>
    </row>
    <row r="1497" spans="1:19" ht="15.75" customHeight="1" x14ac:dyDescent="0.25">
      <c r="A1497" s="6" t="s">
        <v>5196</v>
      </c>
      <c r="B1497" s="6">
        <v>219</v>
      </c>
      <c r="C1497" s="6">
        <v>10326062</v>
      </c>
      <c r="D1497" s="6" t="s">
        <v>5197</v>
      </c>
      <c r="E1497" s="6" t="s">
        <v>1680</v>
      </c>
      <c r="F1497" s="6" t="s">
        <v>5198</v>
      </c>
      <c r="G1497" s="6">
        <v>121432</v>
      </c>
      <c r="H1497" s="6" t="s">
        <v>5199</v>
      </c>
      <c r="I1497" s="6">
        <v>310</v>
      </c>
      <c r="J1497" s="6" t="s">
        <v>23</v>
      </c>
      <c r="K1497" s="6" t="s">
        <v>176</v>
      </c>
      <c r="L1497" s="6">
        <v>33000000</v>
      </c>
      <c r="M1497" s="6">
        <v>2009</v>
      </c>
      <c r="N1497" s="6">
        <v>6.8</v>
      </c>
      <c r="O1497" s="4">
        <f ca="1">IFERROR(__xludf.DUMMYFUNCTION("IF(Cost_in_dollars!E1497=""USD"",Cost_in_dollars!B1497,Cost_in_dollars!B1497 * GOOGLEFINANCE(""CURRENCY:"" &amp; Cost_in_dollars!E1497 &amp; ""USD""))
"),35796420)</f>
        <v>35796420</v>
      </c>
      <c r="P1497" s="4">
        <f ca="1">IFERROR(__xludf.DUMMYFUNCTION("IF(Cost_in_dollars!E1497=""USD"",Cost_in_dollars!C1497,Cost_in_dollars!C1497 * GOOGLEFINANCE(""CURRENCY:"" &amp; Cost_in_dollars!E1497 &amp; ""USD""))
"),11201092.49388)</f>
        <v>11201092.49388</v>
      </c>
      <c r="Q1497" s="6">
        <f t="shared" ca="1" si="30"/>
        <v>-24595327.50612</v>
      </c>
      <c r="R1497" s="7" t="str">
        <f t="shared" si="31"/>
        <v>Pandorum</v>
      </c>
      <c r="S1497" s="43" t="str">
        <f t="shared" si="35"/>
        <v>Action</v>
      </c>
    </row>
    <row r="1498" spans="1:19" ht="15.75" customHeight="1" x14ac:dyDescent="0.25">
      <c r="A1498" s="4" t="s">
        <v>476</v>
      </c>
      <c r="B1498" s="4">
        <v>152</v>
      </c>
      <c r="C1498" s="4">
        <v>69304264</v>
      </c>
      <c r="D1498" s="4" t="s">
        <v>5200</v>
      </c>
      <c r="E1498" s="4" t="s">
        <v>5201</v>
      </c>
      <c r="F1498" s="4" t="s">
        <v>5202</v>
      </c>
      <c r="G1498" s="4">
        <v>73068</v>
      </c>
      <c r="H1498" s="4" t="s">
        <v>5203</v>
      </c>
      <c r="I1498" s="4">
        <v>419</v>
      </c>
      <c r="J1498" s="4" t="s">
        <v>23</v>
      </c>
      <c r="K1498" s="4" t="s">
        <v>24</v>
      </c>
      <c r="L1498" s="4">
        <v>48000000</v>
      </c>
      <c r="M1498" s="4">
        <v>1999</v>
      </c>
      <c r="N1498" s="4">
        <v>6.8</v>
      </c>
      <c r="O1498" s="4">
        <f ca="1">IFERROR(__xludf.DUMMYFUNCTION("IF(Cost_in_dollars!E1498=""USD"",Cost_in_dollars!B1498,Cost_in_dollars!B1498 * GOOGLEFINANCE(""CURRENCY:"" &amp; Cost_in_dollars!E1498 &amp; ""USD""))
"),48000000)</f>
        <v>48000000</v>
      </c>
      <c r="P1498" s="4">
        <f ca="1">IFERROR(__xludf.DUMMYFUNCTION("IF(Cost_in_dollars!E1498=""USD"",Cost_in_dollars!C1498,Cost_in_dollars!C1498 * GOOGLEFINANCE(""CURRENCY:"" &amp; Cost_in_dollars!E1498 &amp; ""USD""))
"),69304264)</f>
        <v>69304264</v>
      </c>
      <c r="Q1498" s="4">
        <f t="shared" ca="1" si="30"/>
        <v>21304264</v>
      </c>
      <c r="R1498" s="5" t="str">
        <f t="shared" si="31"/>
        <v>The Thomas Crown Affair</v>
      </c>
      <c r="S1498" s="43" t="str">
        <f t="shared" si="35"/>
        <v>Crime</v>
      </c>
    </row>
    <row r="1499" spans="1:19" ht="15.75" customHeight="1" x14ac:dyDescent="0.25">
      <c r="A1499" s="6" t="s">
        <v>4787</v>
      </c>
      <c r="B1499" s="6">
        <v>119</v>
      </c>
      <c r="C1499" s="6">
        <v>18621249</v>
      </c>
      <c r="D1499" s="6" t="s">
        <v>140</v>
      </c>
      <c r="E1499" s="6" t="s">
        <v>2517</v>
      </c>
      <c r="F1499" s="6" t="s">
        <v>5204</v>
      </c>
      <c r="G1499" s="6">
        <v>45859</v>
      </c>
      <c r="H1499" s="6" t="s">
        <v>5205</v>
      </c>
      <c r="I1499" s="6">
        <v>340</v>
      </c>
      <c r="J1499" s="6" t="s">
        <v>23</v>
      </c>
      <c r="K1499" s="6" t="s">
        <v>24</v>
      </c>
      <c r="L1499" s="6">
        <v>6000000</v>
      </c>
      <c r="M1499" s="6">
        <v>2000</v>
      </c>
      <c r="N1499" s="6">
        <v>7.5</v>
      </c>
      <c r="O1499" s="4">
        <f ca="1">IFERROR(__xludf.DUMMYFUNCTION("IF(Cost_in_dollars!E1499=""USD"",Cost_in_dollars!B1499,Cost_in_dollars!B1499 * GOOGLEFINANCE(""CURRENCY:"" &amp; Cost_in_dollars!E1499 &amp; ""USD""))
"),6000000)</f>
        <v>6000000</v>
      </c>
      <c r="P1499" s="4">
        <f ca="1">IFERROR(__xludf.DUMMYFUNCTION("IF(Cost_in_dollars!E1499=""USD"",Cost_in_dollars!C1499,Cost_in_dollars!C1499 * GOOGLEFINANCE(""CURRENCY:"" &amp; Cost_in_dollars!E1499 &amp; ""USD""))
"),18621249)</f>
        <v>18621249</v>
      </c>
      <c r="Q1499" s="6">
        <f t="shared" ca="1" si="30"/>
        <v>12621249</v>
      </c>
      <c r="R1499" s="7" t="str">
        <f t="shared" si="31"/>
        <v>Best in Show</v>
      </c>
      <c r="S1499" s="43" t="str">
        <f t="shared" si="35"/>
        <v>Comedy</v>
      </c>
    </row>
    <row r="1500" spans="1:19" ht="15.75" customHeight="1" x14ac:dyDescent="0.25">
      <c r="A1500" s="4" t="s">
        <v>1255</v>
      </c>
      <c r="B1500" s="4">
        <v>150</v>
      </c>
      <c r="C1500" s="4">
        <v>18004225</v>
      </c>
      <c r="D1500" s="4" t="s">
        <v>162</v>
      </c>
      <c r="E1500" s="4" t="s">
        <v>3386</v>
      </c>
      <c r="F1500" s="4" t="s">
        <v>5206</v>
      </c>
      <c r="G1500" s="4">
        <v>28573</v>
      </c>
      <c r="H1500" s="4" t="s">
        <v>5207</v>
      </c>
      <c r="I1500" s="4">
        <v>87</v>
      </c>
      <c r="J1500" s="4" t="s">
        <v>23</v>
      </c>
      <c r="K1500" s="4" t="s">
        <v>24</v>
      </c>
      <c r="L1500" s="4">
        <v>13000000</v>
      </c>
      <c r="M1500" s="4">
        <v>2013</v>
      </c>
      <c r="N1500" s="4">
        <v>5.7</v>
      </c>
      <c r="O1500" s="4">
        <f ca="1">IFERROR(__xludf.DUMMYFUNCTION("IF(Cost_in_dollars!E1500=""USD"",Cost_in_dollars!B1500,Cost_in_dollars!B1500 * GOOGLEFINANCE(""CURRENCY:"" &amp; Cost_in_dollars!E1500 &amp; ""USD""))
"),13000000)</f>
        <v>13000000</v>
      </c>
      <c r="P1500" s="4">
        <f ca="1">IFERROR(__xludf.DUMMYFUNCTION("IF(Cost_in_dollars!E1500=""USD"",Cost_in_dollars!C1500,Cost_in_dollars!C1500 * GOOGLEFINANCE(""CURRENCY:"" &amp; Cost_in_dollars!E1500 &amp; ""USD""))
"),18004225)</f>
        <v>18004225</v>
      </c>
      <c r="Q1500" s="4">
        <f t="shared" ca="1" si="30"/>
        <v>5004225</v>
      </c>
      <c r="R1500" s="5" t="str">
        <f t="shared" si="31"/>
        <v>Admission</v>
      </c>
      <c r="S1500" s="43" t="str">
        <f t="shared" si="35"/>
        <v>Comedy</v>
      </c>
    </row>
    <row r="1501" spans="1:19" ht="15.75" customHeight="1" x14ac:dyDescent="0.25">
      <c r="A1501" s="6" t="s">
        <v>516</v>
      </c>
      <c r="B1501" s="6">
        <v>129</v>
      </c>
      <c r="C1501" s="6">
        <v>110222438</v>
      </c>
      <c r="D1501" s="6" t="s">
        <v>5208</v>
      </c>
      <c r="E1501" s="6" t="s">
        <v>393</v>
      </c>
      <c r="F1501" s="6" t="s">
        <v>5209</v>
      </c>
      <c r="G1501" s="6">
        <v>96693</v>
      </c>
      <c r="H1501" s="6" t="s">
        <v>5210</v>
      </c>
      <c r="I1501" s="6">
        <v>271</v>
      </c>
      <c r="J1501" s="6" t="s">
        <v>23</v>
      </c>
      <c r="K1501" s="6" t="s">
        <v>24</v>
      </c>
      <c r="L1501" s="6">
        <v>26000000</v>
      </c>
      <c r="M1501" s="6">
        <v>2003</v>
      </c>
      <c r="N1501" s="6">
        <v>6.1</v>
      </c>
      <c r="O1501" s="4">
        <f ca="1">IFERROR(__xludf.DUMMYFUNCTION("IF(Cost_in_dollars!E1501=""USD"",Cost_in_dollars!B1501,Cost_in_dollars!B1501 * GOOGLEFINANCE(""CURRENCY:"" &amp; Cost_in_dollars!E1501 &amp; ""USD""))
"),26000000)</f>
        <v>26000000</v>
      </c>
      <c r="P1501" s="4">
        <f ca="1">IFERROR(__xludf.DUMMYFUNCTION("IF(Cost_in_dollars!E1501=""USD"",Cost_in_dollars!C1501,Cost_in_dollars!C1501 * GOOGLEFINANCE(""CURRENCY:"" &amp; Cost_in_dollars!E1501 &amp; ""USD""))
"),110222438)</f>
        <v>110222438</v>
      </c>
      <c r="Q1501" s="6">
        <f t="shared" ca="1" si="30"/>
        <v>84222438</v>
      </c>
      <c r="R1501" s="7" t="str">
        <f t="shared" si="31"/>
        <v>Freaky Friday</v>
      </c>
      <c r="S1501" s="43" t="str">
        <f t="shared" si="35"/>
        <v>Comedy</v>
      </c>
    </row>
    <row r="1502" spans="1:19" ht="15.75" customHeight="1" x14ac:dyDescent="0.25">
      <c r="A1502" s="4" t="s">
        <v>3829</v>
      </c>
      <c r="B1502" s="4">
        <v>114</v>
      </c>
      <c r="C1502" s="4">
        <v>32368960</v>
      </c>
      <c r="D1502" s="4" t="s">
        <v>5211</v>
      </c>
      <c r="E1502" s="4" t="s">
        <v>5212</v>
      </c>
      <c r="F1502" s="4" t="s">
        <v>5213</v>
      </c>
      <c r="G1502" s="4">
        <v>39768</v>
      </c>
      <c r="H1502" s="4" t="s">
        <v>5214</v>
      </c>
      <c r="I1502" s="4">
        <v>292</v>
      </c>
      <c r="J1502" s="4" t="s">
        <v>23</v>
      </c>
      <c r="K1502" s="4" t="s">
        <v>627</v>
      </c>
      <c r="L1502" s="4">
        <v>25000000</v>
      </c>
      <c r="M1502" s="4">
        <v>1998</v>
      </c>
      <c r="N1502" s="4">
        <v>5.3</v>
      </c>
      <c r="O1502" s="4">
        <f ca="1">IFERROR(__xludf.DUMMYFUNCTION("IF(Cost_in_dollars!E1502=""USD"",Cost_in_dollars!B1502,Cost_in_dollars!B1502 * GOOGLEFINANCE(""CURRENCY:"" &amp; Cost_in_dollars!E1502 &amp; ""USD""))
"),18085125)</f>
        <v>18085125</v>
      </c>
      <c r="P1502" s="4">
        <f ca="1">IFERROR(__xludf.DUMMYFUNCTION("IF(Cost_in_dollars!E1502=""USD"",Cost_in_dollars!C1502,Cost_in_dollars!C1502 * GOOGLEFINANCE(""CURRENCY:"" &amp; Cost_in_dollars!E1502 &amp; ""USD""))
"),23415867.5088)</f>
        <v>23415867.5088</v>
      </c>
      <c r="Q1502" s="4">
        <f t="shared" ca="1" si="30"/>
        <v>5330742.5088</v>
      </c>
      <c r="R1502" s="5" t="str">
        <f t="shared" si="31"/>
        <v>Bride of Chucky</v>
      </c>
      <c r="S1502" s="43" t="str">
        <f t="shared" si="35"/>
        <v>Comedy</v>
      </c>
    </row>
    <row r="1503" spans="1:19" ht="15.75" customHeight="1" x14ac:dyDescent="0.25">
      <c r="A1503" s="6" t="s">
        <v>884</v>
      </c>
      <c r="B1503" s="6">
        <v>156</v>
      </c>
      <c r="C1503" s="6">
        <v>10562387</v>
      </c>
      <c r="D1503" s="6" t="s">
        <v>5215</v>
      </c>
      <c r="E1503" s="6" t="s">
        <v>84</v>
      </c>
      <c r="F1503" s="6" t="s">
        <v>5216</v>
      </c>
      <c r="G1503" s="6">
        <v>213226</v>
      </c>
      <c r="H1503" s="6" t="s">
        <v>5217</v>
      </c>
      <c r="I1503" s="6">
        <v>648</v>
      </c>
      <c r="J1503" s="6" t="s">
        <v>23</v>
      </c>
      <c r="K1503" s="6" t="s">
        <v>24</v>
      </c>
      <c r="L1503" s="6">
        <v>18500000</v>
      </c>
      <c r="M1503" s="6">
        <v>1998</v>
      </c>
      <c r="N1503" s="6">
        <v>7.7</v>
      </c>
      <c r="O1503" s="4">
        <f ca="1">IFERROR(__xludf.DUMMYFUNCTION("IF(Cost_in_dollars!E1503=""USD"",Cost_in_dollars!B1503,Cost_in_dollars!B1503 * GOOGLEFINANCE(""CURRENCY:"" &amp; Cost_in_dollars!E1503 &amp; ""USD""))
"),18500000)</f>
        <v>18500000</v>
      </c>
      <c r="P1503" s="4">
        <f ca="1">IFERROR(__xludf.DUMMYFUNCTION("IF(Cost_in_dollars!E1503=""USD"",Cost_in_dollars!C1503,Cost_in_dollars!C1503 * GOOGLEFINANCE(""CURRENCY:"" &amp; Cost_in_dollars!E1503 &amp; ""USD""))
"),10562387)</f>
        <v>10562387</v>
      </c>
      <c r="Q1503" s="6">
        <f t="shared" ca="1" si="30"/>
        <v>-7937613</v>
      </c>
      <c r="R1503" s="7" t="str">
        <f t="shared" si="31"/>
        <v>Fear and Loathing in Las Vegas</v>
      </c>
      <c r="S1503" s="43" t="str">
        <f t="shared" si="35"/>
        <v>Adventure</v>
      </c>
    </row>
    <row r="1504" spans="1:19" ht="15.75" customHeight="1" x14ac:dyDescent="0.25">
      <c r="A1504" s="4" t="s">
        <v>3136</v>
      </c>
      <c r="B1504" s="4">
        <v>8</v>
      </c>
      <c r="C1504" s="4">
        <v>146072</v>
      </c>
      <c r="D1504" s="4" t="s">
        <v>5218</v>
      </c>
      <c r="E1504" s="4" t="s">
        <v>3138</v>
      </c>
      <c r="F1504" s="4" t="s">
        <v>5219</v>
      </c>
      <c r="G1504" s="4">
        <v>7147</v>
      </c>
      <c r="H1504" s="4" t="s">
        <v>5220</v>
      </c>
      <c r="I1504" s="4">
        <v>16</v>
      </c>
      <c r="J1504" s="4" t="s">
        <v>661</v>
      </c>
      <c r="K1504" s="4" t="s">
        <v>611</v>
      </c>
      <c r="L1504" s="4">
        <v>140000000</v>
      </c>
      <c r="M1504" s="4">
        <v>1998</v>
      </c>
      <c r="N1504" s="4">
        <v>6</v>
      </c>
      <c r="O1504" s="4">
        <f ca="1">IFERROR(__xludf.DUMMYFUNCTION("IF(Cost_in_dollars!E1504=""USD"",Cost_in_dollars!B1504,Cost_in_dollars!B1504 * GOOGLEFINANCE(""CURRENCY:"" &amp; Cost_in_dollars!E1504 &amp; ""USD""))
"),151863600)</f>
        <v>151863600</v>
      </c>
      <c r="P1504" s="4">
        <f ca="1">IFERROR(__xludf.DUMMYFUNCTION("IF(Cost_in_dollars!E1504=""USD"",Cost_in_dollars!C1504,Cost_in_dollars!C1504 * GOOGLEFINANCE(""CURRENCY:"" &amp; Cost_in_dollars!E1504 &amp; ""USD""))
"),158450.14128)</f>
        <v>158450.14128000001</v>
      </c>
      <c r="Q1504" s="4">
        <f t="shared" ca="1" si="30"/>
        <v>-151705149.85872</v>
      </c>
      <c r="R1504" s="5" t="str">
        <f t="shared" si="31"/>
        <v>Les couloirs du temps: Les visiteurs II</v>
      </c>
      <c r="S1504" s="43" t="str">
        <f t="shared" si="35"/>
        <v>Comedy</v>
      </c>
    </row>
    <row r="1505" spans="1:19" ht="15.75" customHeight="1" x14ac:dyDescent="0.25">
      <c r="A1505" s="6" t="s">
        <v>3117</v>
      </c>
      <c r="B1505" s="6">
        <v>166</v>
      </c>
      <c r="C1505" s="6">
        <v>37567440</v>
      </c>
      <c r="D1505" s="6" t="s">
        <v>3118</v>
      </c>
      <c r="E1505" s="6" t="s">
        <v>3119</v>
      </c>
      <c r="F1505" s="6" t="s">
        <v>3120</v>
      </c>
      <c r="G1505" s="6">
        <v>113065</v>
      </c>
      <c r="H1505" s="6" t="s">
        <v>3121</v>
      </c>
      <c r="I1505" s="6">
        <v>337</v>
      </c>
      <c r="J1505" s="6" t="s">
        <v>23</v>
      </c>
      <c r="K1505" s="6" t="s">
        <v>24</v>
      </c>
      <c r="L1505" s="6">
        <v>20000000</v>
      </c>
      <c r="M1505" s="6">
        <v>1982</v>
      </c>
      <c r="N1505" s="6">
        <v>6.9</v>
      </c>
      <c r="O1505" s="4">
        <f ca="1">IFERROR(__xludf.DUMMYFUNCTION("IF(Cost_in_dollars!E1505=""USD"",Cost_in_dollars!B1505,Cost_in_dollars!B1505 * GOOGLEFINANCE(""CURRENCY:"" &amp; Cost_in_dollars!E1505 &amp; ""USD""))
"),20000000)</f>
        <v>20000000</v>
      </c>
      <c r="P1505" s="4">
        <f ca="1">IFERROR(__xludf.DUMMYFUNCTION("IF(Cost_in_dollars!E1505=""USD"",Cost_in_dollars!C1505,Cost_in_dollars!C1505 * GOOGLEFINANCE(""CURRENCY:"" &amp; Cost_in_dollars!E1505 &amp; ""USD""))
"),37567440)</f>
        <v>37567440</v>
      </c>
      <c r="Q1505" s="6">
        <f t="shared" ca="1" si="30"/>
        <v>17567440</v>
      </c>
      <c r="R1505" s="7" t="str">
        <f t="shared" si="31"/>
        <v>Conan the Barbarian</v>
      </c>
      <c r="S1505" s="43" t="str">
        <f t="shared" si="35"/>
        <v>Adventure</v>
      </c>
    </row>
    <row r="1506" spans="1:19" ht="15.75" customHeight="1" x14ac:dyDescent="0.25">
      <c r="A1506" s="4" t="s">
        <v>5221</v>
      </c>
      <c r="B1506" s="4">
        <v>462</v>
      </c>
      <c r="C1506" s="4">
        <v>54322273</v>
      </c>
      <c r="D1506" s="4" t="s">
        <v>2403</v>
      </c>
      <c r="E1506" s="4" t="s">
        <v>2107</v>
      </c>
      <c r="F1506" s="4" t="s">
        <v>5222</v>
      </c>
      <c r="G1506" s="4">
        <v>139749</v>
      </c>
      <c r="H1506" s="4" t="s">
        <v>5223</v>
      </c>
      <c r="I1506" s="4">
        <v>509</v>
      </c>
      <c r="J1506" s="4" t="s">
        <v>23</v>
      </c>
      <c r="K1506" s="4" t="s">
        <v>133</v>
      </c>
      <c r="L1506" s="4">
        <v>17000000</v>
      </c>
      <c r="M1506" s="4">
        <v>2012</v>
      </c>
      <c r="N1506" s="4">
        <v>6.4</v>
      </c>
      <c r="O1506" s="4">
        <f ca="1">IFERROR(__xludf.DUMMYFUNCTION("IF(Cost_in_dollars!E1506=""USD"",Cost_in_dollars!B1506,Cost_in_dollars!B1506 * GOOGLEFINANCE(""CURRENCY:"" &amp; Cost_in_dollars!E1506 &amp; ""USD""))
"),21851799.9999999)</f>
        <v>21851799.999999899</v>
      </c>
      <c r="P1506" s="4">
        <f ca="1">IFERROR(__xludf.DUMMYFUNCTION("IF(Cost_in_dollars!E1506=""USD"",Cost_in_dollars!C1506,Cost_in_dollars!C1506 * GOOGLEFINANCE(""CURRENCY:"" &amp; Cost_in_dollars!E1506 &amp; ""USD""))
"),69825849.7141999)</f>
        <v>69825849.714199901</v>
      </c>
      <c r="Q1506" s="4">
        <f t="shared" ca="1" si="30"/>
        <v>47974049.714200005</v>
      </c>
      <c r="R1506" s="5" t="str">
        <f t="shared" si="31"/>
        <v>The Woman in Black</v>
      </c>
      <c r="S1506" s="43" t="str">
        <f t="shared" si="35"/>
        <v>Drama</v>
      </c>
    </row>
    <row r="1507" spans="1:19" ht="15.75" customHeight="1" x14ac:dyDescent="0.25">
      <c r="A1507" s="6" t="s">
        <v>850</v>
      </c>
      <c r="B1507" s="6">
        <v>284</v>
      </c>
      <c r="C1507" s="6">
        <v>43929341</v>
      </c>
      <c r="D1507" s="6" t="s">
        <v>5224</v>
      </c>
      <c r="E1507" s="6" t="s">
        <v>5225</v>
      </c>
      <c r="F1507" s="6" t="s">
        <v>5226</v>
      </c>
      <c r="G1507" s="6">
        <v>57873</v>
      </c>
      <c r="H1507" s="6" t="s">
        <v>5227</v>
      </c>
      <c r="I1507" s="6">
        <v>414</v>
      </c>
      <c r="J1507" s="6" t="s">
        <v>23</v>
      </c>
      <c r="K1507" s="6" t="s">
        <v>24</v>
      </c>
      <c r="L1507" s="6">
        <v>120000000</v>
      </c>
      <c r="M1507" s="6">
        <v>2008</v>
      </c>
      <c r="N1507" s="6">
        <v>6.1</v>
      </c>
      <c r="O1507" s="4">
        <f ca="1">IFERROR(__xludf.DUMMYFUNCTION("IF(Cost_in_dollars!E1507=""USD"",Cost_in_dollars!B1507,Cost_in_dollars!B1507 * GOOGLEFINANCE(""CURRENCY:"" &amp; Cost_in_dollars!E1507 &amp; ""USD""))
"),120000000)</f>
        <v>120000000</v>
      </c>
      <c r="P1507" s="4">
        <f ca="1">IFERROR(__xludf.DUMMYFUNCTION("IF(Cost_in_dollars!E1507=""USD"",Cost_in_dollars!C1507,Cost_in_dollars!C1507 * GOOGLEFINANCE(""CURRENCY:"" &amp; Cost_in_dollars!E1507 &amp; ""USD""))
"),43929341)</f>
        <v>43929341</v>
      </c>
      <c r="Q1507" s="6">
        <f t="shared" ca="1" si="30"/>
        <v>-76070659</v>
      </c>
      <c r="R1507" s="7" t="str">
        <f t="shared" si="31"/>
        <v>Speed Racer</v>
      </c>
      <c r="S1507" s="43" t="str">
        <f t="shared" si="35"/>
        <v>Action</v>
      </c>
    </row>
    <row r="1508" spans="1:19" ht="15.75" customHeight="1" x14ac:dyDescent="0.25">
      <c r="A1508" s="4" t="s">
        <v>5228</v>
      </c>
      <c r="B1508" s="4">
        <v>56</v>
      </c>
      <c r="C1508" s="4">
        <v>16800000</v>
      </c>
      <c r="D1508" s="4" t="s">
        <v>5229</v>
      </c>
      <c r="E1508" s="4" t="s">
        <v>5230</v>
      </c>
      <c r="F1508" s="4" t="s">
        <v>5231</v>
      </c>
      <c r="G1508" s="4">
        <v>25303</v>
      </c>
      <c r="H1508" s="4" t="s">
        <v>5232</v>
      </c>
      <c r="I1508" s="4">
        <v>138</v>
      </c>
      <c r="J1508" s="4" t="s">
        <v>23</v>
      </c>
      <c r="K1508" s="4" t="s">
        <v>133</v>
      </c>
      <c r="L1508" s="4">
        <v>10000000</v>
      </c>
      <c r="M1508" s="4">
        <v>1968</v>
      </c>
      <c r="N1508" s="4">
        <v>7.5</v>
      </c>
      <c r="O1508" s="4">
        <f ca="1">IFERROR(__xludf.DUMMYFUNCTION("IF(Cost_in_dollars!E1508=""USD"",Cost_in_dollars!B1508,Cost_in_dollars!B1508 * GOOGLEFINANCE(""CURRENCY:"" &amp; Cost_in_dollars!E1508 &amp; ""USD""))
"),12853999.9999999)</f>
        <v>12853999.999999899</v>
      </c>
      <c r="P1508" s="4">
        <f ca="1">IFERROR(__xludf.DUMMYFUNCTION("IF(Cost_in_dollars!E1508=""USD"",Cost_in_dollars!C1508,Cost_in_dollars!C1508 * GOOGLEFINANCE(""CURRENCY:"" &amp; Cost_in_dollars!E1508 &amp; ""USD""))
"),21594719.9999999)</f>
        <v>21594719.999999899</v>
      </c>
      <c r="Q1508" s="4">
        <f t="shared" ca="1" si="30"/>
        <v>8740720</v>
      </c>
      <c r="R1508" s="5" t="str">
        <f t="shared" si="31"/>
        <v>Oliver!</v>
      </c>
      <c r="S1508" s="43" t="str">
        <f t="shared" si="35"/>
        <v>Drama</v>
      </c>
    </row>
    <row r="1509" spans="1:19" ht="15.75" customHeight="1" x14ac:dyDescent="0.25">
      <c r="A1509" s="6" t="s">
        <v>2689</v>
      </c>
      <c r="B1509" s="6">
        <v>209</v>
      </c>
      <c r="C1509" s="6">
        <v>28965197</v>
      </c>
      <c r="D1509" s="6" t="s">
        <v>434</v>
      </c>
      <c r="E1509" s="6" t="s">
        <v>320</v>
      </c>
      <c r="F1509" s="6" t="s">
        <v>5233</v>
      </c>
      <c r="G1509" s="6">
        <v>133526</v>
      </c>
      <c r="H1509" s="6" t="s">
        <v>5234</v>
      </c>
      <c r="I1509" s="6">
        <v>521</v>
      </c>
      <c r="J1509" s="6" t="s">
        <v>23</v>
      </c>
      <c r="K1509" s="6" t="s">
        <v>24</v>
      </c>
      <c r="L1509" s="6">
        <v>68000000</v>
      </c>
      <c r="M1509" s="6">
        <v>1999</v>
      </c>
      <c r="N1509" s="6">
        <v>7.9</v>
      </c>
      <c r="O1509" s="4">
        <f ca="1">IFERROR(__xludf.DUMMYFUNCTION("IF(Cost_in_dollars!E1509=""USD"",Cost_in_dollars!B1509,Cost_in_dollars!B1509 * GOOGLEFINANCE(""CURRENCY:"" &amp; Cost_in_dollars!E1509 &amp; ""USD""))
"),68000000)</f>
        <v>68000000</v>
      </c>
      <c r="P1509" s="4">
        <f ca="1">IFERROR(__xludf.DUMMYFUNCTION("IF(Cost_in_dollars!E1509=""USD"",Cost_in_dollars!C1509,Cost_in_dollars!C1509 * GOOGLEFINANCE(""CURRENCY:"" &amp; Cost_in_dollars!E1509 &amp; ""USD""))
"),28965197)</f>
        <v>28965197</v>
      </c>
      <c r="Q1509" s="6">
        <f t="shared" ca="1" si="30"/>
        <v>-39034803</v>
      </c>
      <c r="R1509" s="7" t="str">
        <f t="shared" si="31"/>
        <v>The Insider</v>
      </c>
      <c r="S1509" s="43" t="str">
        <f t="shared" si="35"/>
        <v>Biography</v>
      </c>
    </row>
    <row r="1510" spans="1:19" ht="15.75" customHeight="1" x14ac:dyDescent="0.25">
      <c r="A1510" s="4" t="s">
        <v>5235</v>
      </c>
      <c r="B1510" s="4">
        <v>156</v>
      </c>
      <c r="C1510" s="4">
        <v>418268</v>
      </c>
      <c r="D1510" s="4" t="s">
        <v>88</v>
      </c>
      <c r="E1510" s="4" t="s">
        <v>954</v>
      </c>
      <c r="F1510" s="4" t="s">
        <v>5236</v>
      </c>
      <c r="G1510" s="4">
        <v>37156</v>
      </c>
      <c r="H1510" s="4" t="s">
        <v>5237</v>
      </c>
      <c r="I1510" s="4">
        <v>129</v>
      </c>
      <c r="J1510" s="4" t="s">
        <v>23</v>
      </c>
      <c r="K1510" s="4" t="s">
        <v>24</v>
      </c>
      <c r="L1510" s="4">
        <v>3000000</v>
      </c>
      <c r="M1510" s="4">
        <v>2012</v>
      </c>
      <c r="N1510" s="4">
        <v>5.3</v>
      </c>
      <c r="O1510" s="4">
        <f ca="1">IFERROR(__xludf.DUMMYFUNCTION("IF(Cost_in_dollars!E1510=""USD"",Cost_in_dollars!B1510,Cost_in_dollars!B1510 * GOOGLEFINANCE(""CURRENCY:"" &amp; Cost_in_dollars!E1510 &amp; ""USD""))
"),3000000)</f>
        <v>3000000</v>
      </c>
      <c r="P1510" s="4">
        <f ca="1">IFERROR(__xludf.DUMMYFUNCTION("IF(Cost_in_dollars!E1510=""USD"",Cost_in_dollars!C1510,Cost_in_dollars!C1510 * GOOGLEFINANCE(""CURRENCY:"" &amp; Cost_in_dollars!E1510 &amp; ""USD""))
"),418268)</f>
        <v>418268</v>
      </c>
      <c r="Q1510" s="4">
        <f t="shared" ca="1" si="30"/>
        <v>-2581732</v>
      </c>
      <c r="R1510" s="5" t="str">
        <f t="shared" si="31"/>
        <v>Bachelorette</v>
      </c>
      <c r="S1510" s="43" t="str">
        <f t="shared" si="35"/>
        <v>Comedy</v>
      </c>
    </row>
    <row r="1511" spans="1:19" ht="15.75" customHeight="1" x14ac:dyDescent="0.25">
      <c r="A1511" s="6" t="s">
        <v>539</v>
      </c>
      <c r="B1511" s="6">
        <v>449</v>
      </c>
      <c r="C1511" s="6">
        <v>93749203</v>
      </c>
      <c r="D1511" s="6" t="s">
        <v>372</v>
      </c>
      <c r="E1511" s="6" t="s">
        <v>69</v>
      </c>
      <c r="F1511" s="6" t="s">
        <v>5238</v>
      </c>
      <c r="G1511" s="6">
        <v>264047</v>
      </c>
      <c r="H1511" s="6" t="s">
        <v>5239</v>
      </c>
      <c r="I1511" s="6">
        <v>491</v>
      </c>
      <c r="J1511" s="6" t="s">
        <v>23</v>
      </c>
      <c r="K1511" s="6" t="s">
        <v>24</v>
      </c>
      <c r="L1511" s="6">
        <v>31000000</v>
      </c>
      <c r="M1511" s="6">
        <v>2012</v>
      </c>
      <c r="N1511" s="6">
        <v>7.3</v>
      </c>
      <c r="O1511" s="4">
        <f ca="1">IFERROR(__xludf.DUMMYFUNCTION("IF(Cost_in_dollars!E1511=""USD"",Cost_in_dollars!B1511,Cost_in_dollars!B1511 * GOOGLEFINANCE(""CURRENCY:"" &amp; Cost_in_dollars!E1511 &amp; ""USD""))
"),31000000)</f>
        <v>31000000</v>
      </c>
      <c r="P1511" s="4">
        <f ca="1">IFERROR(__xludf.DUMMYFUNCTION("IF(Cost_in_dollars!E1511=""USD"",Cost_in_dollars!C1511,Cost_in_dollars!C1511 * GOOGLEFINANCE(""CURRENCY:"" &amp; Cost_in_dollars!E1511 &amp; ""USD""))
"),93749203)</f>
        <v>93749203</v>
      </c>
      <c r="Q1511" s="6">
        <f t="shared" ca="1" si="30"/>
        <v>62749203</v>
      </c>
      <c r="R1511" s="7" t="str">
        <f t="shared" si="31"/>
        <v>Flight</v>
      </c>
      <c r="S1511" s="43" t="str">
        <f t="shared" si="35"/>
        <v>Drama</v>
      </c>
    </row>
    <row r="1512" spans="1:19" ht="15.75" customHeight="1" x14ac:dyDescent="0.25">
      <c r="A1512" s="4" t="s">
        <v>508</v>
      </c>
      <c r="B1512" s="4">
        <v>136</v>
      </c>
      <c r="C1512" s="4">
        <v>28045540</v>
      </c>
      <c r="D1512" s="4" t="s">
        <v>2731</v>
      </c>
      <c r="E1512" s="4" t="s">
        <v>1982</v>
      </c>
      <c r="F1512" s="4" t="s">
        <v>5240</v>
      </c>
      <c r="G1512" s="4">
        <v>67707</v>
      </c>
      <c r="H1512" s="4" t="s">
        <v>5241</v>
      </c>
      <c r="I1512" s="4">
        <v>202</v>
      </c>
      <c r="J1512" s="4" t="s">
        <v>23</v>
      </c>
      <c r="K1512" s="4" t="s">
        <v>24</v>
      </c>
      <c r="L1512" s="4">
        <v>65000000</v>
      </c>
      <c r="M1512" s="4">
        <v>2005</v>
      </c>
      <c r="N1512" s="4">
        <v>6.1</v>
      </c>
      <c r="O1512" s="4">
        <f ca="1">IFERROR(__xludf.DUMMYFUNCTION("IF(Cost_in_dollars!E1512=""USD"",Cost_in_dollars!B1512,Cost_in_dollars!B1512 * GOOGLEFINANCE(""CURRENCY:"" &amp; Cost_in_dollars!E1512 &amp; ""USD""))
"),65000000)</f>
        <v>65000000</v>
      </c>
      <c r="P1512" s="4">
        <f ca="1">IFERROR(__xludf.DUMMYFUNCTION("IF(Cost_in_dollars!E1512=""USD"",Cost_in_dollars!C1512,Cost_in_dollars!C1512 * GOOGLEFINANCE(""CURRENCY:"" &amp; Cost_in_dollars!E1512 &amp; ""USD""))
"),28045540)</f>
        <v>28045540</v>
      </c>
      <c r="Q1512" s="4">
        <f t="shared" ca="1" si="30"/>
        <v>-36954460</v>
      </c>
      <c r="R1512" s="5" t="str">
        <f t="shared" si="31"/>
        <v>Zathura: A Space Adventure</v>
      </c>
      <c r="S1512" s="43" t="str">
        <f t="shared" si="35"/>
        <v>Action</v>
      </c>
    </row>
    <row r="1513" spans="1:19" ht="15.75" customHeight="1" x14ac:dyDescent="0.25">
      <c r="A1513" s="6" t="s">
        <v>5242</v>
      </c>
      <c r="B1513" s="6">
        <v>168</v>
      </c>
      <c r="C1513" s="6">
        <v>1900725</v>
      </c>
      <c r="D1513" s="6" t="s">
        <v>5243</v>
      </c>
      <c r="E1513" s="6" t="s">
        <v>27</v>
      </c>
      <c r="F1513" s="6" t="s">
        <v>5244</v>
      </c>
      <c r="G1513" s="6">
        <v>43205</v>
      </c>
      <c r="H1513" s="6" t="s">
        <v>5245</v>
      </c>
      <c r="I1513" s="6">
        <v>232</v>
      </c>
      <c r="J1513" s="6" t="s">
        <v>23</v>
      </c>
      <c r="K1513" s="6" t="s">
        <v>149</v>
      </c>
      <c r="L1513" s="6">
        <v>2000000</v>
      </c>
      <c r="M1513" s="6">
        <v>2005</v>
      </c>
      <c r="N1513" s="6">
        <v>7.4</v>
      </c>
      <c r="O1513" s="4">
        <f ca="1">IFERROR(__xludf.DUMMYFUNCTION("IF(Cost_in_dollars!E1513=""USD"",Cost_in_dollars!B1513,Cost_in_dollars!B1513 * GOOGLEFINANCE(""CURRENCY:"" &amp; Cost_in_dollars!E1513 &amp; ""USD""))
"),1307760)</f>
        <v>1307760</v>
      </c>
      <c r="P1513" s="4">
        <f ca="1">IFERROR(__xludf.DUMMYFUNCTION("IF(Cost_in_dollars!E1513=""USD"",Cost_in_dollars!C1513,Cost_in_dollars!C1513 * GOOGLEFINANCE(""CURRENCY:"" &amp; Cost_in_dollars!E1513 &amp; ""USD""))
"),1242846.063)</f>
        <v>1242846.0630000001</v>
      </c>
      <c r="Q1513" s="6">
        <f t="shared" ca="1" si="30"/>
        <v>-64913.936999999918</v>
      </c>
      <c r="R1513" s="7" t="str">
        <f t="shared" si="31"/>
        <v>The Proposition</v>
      </c>
      <c r="S1513" s="43" t="str">
        <f t="shared" si="35"/>
        <v>Crime</v>
      </c>
    </row>
    <row r="1514" spans="1:19" ht="15.75" customHeight="1" x14ac:dyDescent="0.25">
      <c r="A1514" s="4" t="s">
        <v>5246</v>
      </c>
      <c r="B1514" s="4">
        <v>49</v>
      </c>
      <c r="C1514" s="4">
        <v>14375181</v>
      </c>
      <c r="D1514" s="4" t="s">
        <v>5247</v>
      </c>
      <c r="E1514" s="4" t="s">
        <v>5248</v>
      </c>
      <c r="F1514" s="4" t="s">
        <v>5249</v>
      </c>
      <c r="G1514" s="4">
        <v>8692</v>
      </c>
      <c r="H1514" s="4" t="s">
        <v>5250</v>
      </c>
      <c r="I1514" s="4">
        <v>126</v>
      </c>
      <c r="J1514" s="4" t="s">
        <v>23</v>
      </c>
      <c r="K1514" s="4" t="s">
        <v>24</v>
      </c>
      <c r="L1514" s="4">
        <v>51000000</v>
      </c>
      <c r="M1514" s="4">
        <v>1987</v>
      </c>
      <c r="N1514" s="4">
        <v>4.2</v>
      </c>
      <c r="O1514" s="4">
        <f ca="1">IFERROR(__xludf.DUMMYFUNCTION("IF(Cost_in_dollars!E1514=""USD"",Cost_in_dollars!B1514,Cost_in_dollars!B1514 * GOOGLEFINANCE(""CURRENCY:"" &amp; Cost_in_dollars!E1514 &amp; ""USD""))
"),51000000)</f>
        <v>51000000</v>
      </c>
      <c r="P1514" s="4">
        <f ca="1">IFERROR(__xludf.DUMMYFUNCTION("IF(Cost_in_dollars!E1514=""USD"",Cost_in_dollars!C1514,Cost_in_dollars!C1514 * GOOGLEFINANCE(""CURRENCY:"" &amp; Cost_in_dollars!E1514 &amp; ""USD""))
"),14375181)</f>
        <v>14375181</v>
      </c>
      <c r="Q1514" s="4">
        <f t="shared" ca="1" si="30"/>
        <v>-36624819</v>
      </c>
      <c r="R1514" s="5" t="str">
        <f t="shared" si="31"/>
        <v>Ishtar</v>
      </c>
      <c r="S1514" s="43" t="str">
        <f t="shared" si="35"/>
        <v>Action</v>
      </c>
    </row>
    <row r="1515" spans="1:19" ht="15.75" customHeight="1" x14ac:dyDescent="0.25">
      <c r="A1515" s="6" t="s">
        <v>5251</v>
      </c>
      <c r="B1515" s="6">
        <v>9</v>
      </c>
      <c r="C1515" s="6">
        <v>5100000</v>
      </c>
      <c r="D1515" s="6" t="s">
        <v>162</v>
      </c>
      <c r="E1515" s="6" t="s">
        <v>5252</v>
      </c>
      <c r="F1515" s="6" t="s">
        <v>5253</v>
      </c>
      <c r="G1515" s="6">
        <v>6595</v>
      </c>
      <c r="H1515" s="6" t="s">
        <v>5254</v>
      </c>
      <c r="I1515" s="6">
        <v>61</v>
      </c>
      <c r="J1515" s="6" t="s">
        <v>23</v>
      </c>
      <c r="K1515" s="6" t="s">
        <v>133</v>
      </c>
      <c r="L1515" s="6">
        <v>7500000</v>
      </c>
      <c r="M1515" s="6">
        <v>1984</v>
      </c>
      <c r="N1515" s="6">
        <v>6</v>
      </c>
      <c r="O1515" s="4">
        <f ca="1">IFERROR(__xludf.DUMMYFUNCTION("IF(Cost_in_dollars!E1515=""USD"",Cost_in_dollars!B1515,Cost_in_dollars!B1515 * GOOGLEFINANCE(""CURRENCY:"" &amp; Cost_in_dollars!E1515 &amp; ""USD""))
"),9640500)</f>
        <v>9640500</v>
      </c>
      <c r="P1515" s="4">
        <f ca="1">IFERROR(__xludf.DUMMYFUNCTION("IF(Cost_in_dollars!E1515=""USD"",Cost_in_dollars!C1515,Cost_in_dollars!C1515 * GOOGLEFINANCE(""CURRENCY:"" &amp; Cost_in_dollars!E1515 &amp; ""USD""))
"),6555539.99999999)</f>
        <v>6555539.9999999898</v>
      </c>
      <c r="Q1515" s="6">
        <f t="shared" ca="1" si="30"/>
        <v>-3084960.0000000102</v>
      </c>
      <c r="R1515" s="7" t="str">
        <f t="shared" si="31"/>
        <v>The Hotel New Hampshire</v>
      </c>
      <c r="S1515" s="43" t="str">
        <f t="shared" si="35"/>
        <v>Comedy</v>
      </c>
    </row>
    <row r="1516" spans="1:19" ht="15.75" customHeight="1" x14ac:dyDescent="0.25">
      <c r="A1516" s="4" t="s">
        <v>3541</v>
      </c>
      <c r="B1516" s="4">
        <v>107</v>
      </c>
      <c r="C1516" s="4">
        <v>27053815</v>
      </c>
      <c r="D1516" s="4" t="s">
        <v>1354</v>
      </c>
      <c r="E1516" s="4" t="s">
        <v>574</v>
      </c>
      <c r="F1516" s="4" t="s">
        <v>5255</v>
      </c>
      <c r="G1516" s="4">
        <v>12856</v>
      </c>
      <c r="H1516" s="4" t="s">
        <v>5256</v>
      </c>
      <c r="I1516" s="4">
        <v>291</v>
      </c>
      <c r="J1516" s="4" t="s">
        <v>23</v>
      </c>
      <c r="K1516" s="4" t="s">
        <v>176</v>
      </c>
      <c r="L1516" s="4">
        <v>40000000</v>
      </c>
      <c r="M1516" s="4">
        <v>2001</v>
      </c>
      <c r="N1516" s="4">
        <v>4.7</v>
      </c>
      <c r="O1516" s="4">
        <f ca="1">IFERROR(__xludf.DUMMYFUNCTION("IF(Cost_in_dollars!E1516=""USD"",Cost_in_dollars!B1516,Cost_in_dollars!B1516 * GOOGLEFINANCE(""CURRENCY:"" &amp; Cost_in_dollars!E1516 &amp; ""USD""))
"),43389600)</f>
        <v>43389600</v>
      </c>
      <c r="P1516" s="4">
        <f ca="1">IFERROR(__xludf.DUMMYFUNCTION("IF(Cost_in_dollars!E1516=""USD"",Cost_in_dollars!C1516,Cost_in_dollars!C1516 * GOOGLEFINANCE(""CURRENCY:"" &amp; Cost_in_dollars!E1516 &amp; ""USD""))
"),29346355.2831)</f>
        <v>29346355.283100002</v>
      </c>
      <c r="Q1516" s="4">
        <f t="shared" ca="1" si="30"/>
        <v>-14043244.716899998</v>
      </c>
      <c r="R1516" s="5" t="str">
        <f t="shared" si="31"/>
        <v>The Musketeer</v>
      </c>
      <c r="S1516" s="43" t="str">
        <f t="shared" si="35"/>
        <v>Action</v>
      </c>
    </row>
    <row r="1517" spans="1:19" ht="15.75" customHeight="1" x14ac:dyDescent="0.25">
      <c r="A1517" s="6" t="s">
        <v>1755</v>
      </c>
      <c r="B1517" s="6">
        <v>223</v>
      </c>
      <c r="C1517" s="6">
        <v>3247816</v>
      </c>
      <c r="D1517" s="6" t="s">
        <v>162</v>
      </c>
      <c r="E1517" s="6" t="s">
        <v>240</v>
      </c>
      <c r="F1517" s="6" t="s">
        <v>5257</v>
      </c>
      <c r="G1517" s="6">
        <v>36145</v>
      </c>
      <c r="H1517" s="6" t="s">
        <v>5258</v>
      </c>
      <c r="I1517" s="6">
        <v>108</v>
      </c>
      <c r="J1517" s="6" t="s">
        <v>23</v>
      </c>
      <c r="K1517" s="6" t="s">
        <v>24</v>
      </c>
      <c r="L1517" s="6">
        <v>22000000</v>
      </c>
      <c r="M1517" s="6">
        <v>2010</v>
      </c>
      <c r="N1517" s="6">
        <v>6.3</v>
      </c>
      <c r="O1517" s="4">
        <f ca="1">IFERROR(__xludf.DUMMYFUNCTION("IF(Cost_in_dollars!E1517=""USD"",Cost_in_dollars!B1517,Cost_in_dollars!B1517 * GOOGLEFINANCE(""CURRENCY:"" &amp; Cost_in_dollars!E1517 &amp; ""USD""))
"),22000000)</f>
        <v>22000000</v>
      </c>
      <c r="P1517" s="4">
        <f ca="1">IFERROR(__xludf.DUMMYFUNCTION("IF(Cost_in_dollars!E1517=""USD"",Cost_in_dollars!C1517,Cost_in_dollars!C1517 * GOOGLEFINANCE(""CURRENCY:"" &amp; Cost_in_dollars!E1517 &amp; ""USD""))
"),3247816)</f>
        <v>3247816</v>
      </c>
      <c r="Q1517" s="6">
        <f t="shared" ca="1" si="30"/>
        <v>-18752184</v>
      </c>
      <c r="R1517" s="7" t="str">
        <f t="shared" si="31"/>
        <v>You Will Meet a Tall Dark Stranger</v>
      </c>
      <c r="S1517" s="43" t="str">
        <f t="shared" si="35"/>
        <v>Comedy</v>
      </c>
    </row>
    <row r="1518" spans="1:19" ht="15.75" customHeight="1" x14ac:dyDescent="0.25">
      <c r="A1518" s="4" t="s">
        <v>4358</v>
      </c>
      <c r="B1518" s="4">
        <v>111</v>
      </c>
      <c r="C1518" s="4">
        <v>38232624</v>
      </c>
      <c r="D1518" s="4" t="s">
        <v>140</v>
      </c>
      <c r="E1518" s="4" t="s">
        <v>2009</v>
      </c>
      <c r="F1518" s="4" t="s">
        <v>5259</v>
      </c>
      <c r="G1518" s="4">
        <v>88518</v>
      </c>
      <c r="H1518" s="4" t="s">
        <v>5260</v>
      </c>
      <c r="I1518" s="4">
        <v>409</v>
      </c>
      <c r="J1518" s="4" t="s">
        <v>23</v>
      </c>
      <c r="K1518" s="4" t="s">
        <v>24</v>
      </c>
      <c r="L1518" s="4">
        <v>30000000</v>
      </c>
      <c r="M1518" s="4">
        <v>2008</v>
      </c>
      <c r="N1518" s="4">
        <v>2.7</v>
      </c>
      <c r="O1518" s="4">
        <f ca="1">IFERROR(__xludf.DUMMYFUNCTION("IF(Cost_in_dollars!E1518=""USD"",Cost_in_dollars!B1518,Cost_in_dollars!B1518 * GOOGLEFINANCE(""CURRENCY:"" &amp; Cost_in_dollars!E1518 &amp; ""USD""))
"),30000000)</f>
        <v>30000000</v>
      </c>
      <c r="P1518" s="4">
        <f ca="1">IFERROR(__xludf.DUMMYFUNCTION("IF(Cost_in_dollars!E1518=""USD"",Cost_in_dollars!C1518,Cost_in_dollars!C1518 * GOOGLEFINANCE(""CURRENCY:"" &amp; Cost_in_dollars!E1518 &amp; ""USD""))
"),38232624)</f>
        <v>38232624</v>
      </c>
      <c r="Q1518" s="4">
        <f t="shared" ca="1" si="30"/>
        <v>8232624</v>
      </c>
      <c r="R1518" s="5" t="str">
        <f t="shared" si="31"/>
        <v>Meet the Spartans</v>
      </c>
      <c r="S1518" s="43" t="str">
        <f t="shared" si="35"/>
        <v>Comedy</v>
      </c>
    </row>
    <row r="1519" spans="1:19" ht="15.75" customHeight="1" x14ac:dyDescent="0.25">
      <c r="A1519" s="6" t="s">
        <v>3200</v>
      </c>
      <c r="B1519" s="6">
        <v>116</v>
      </c>
      <c r="C1519" s="6">
        <v>3650677</v>
      </c>
      <c r="D1519" s="6" t="s">
        <v>443</v>
      </c>
      <c r="E1519" s="6" t="s">
        <v>818</v>
      </c>
      <c r="F1519" s="6" t="s">
        <v>5261</v>
      </c>
      <c r="G1519" s="6">
        <v>414976</v>
      </c>
      <c r="H1519" s="6" t="s">
        <v>5262</v>
      </c>
      <c r="I1519" s="6">
        <v>523</v>
      </c>
      <c r="J1519" s="6" t="s">
        <v>23</v>
      </c>
      <c r="K1519" s="6" t="s">
        <v>133</v>
      </c>
      <c r="L1519" s="6">
        <v>960000</v>
      </c>
      <c r="M1519" s="6">
        <v>1998</v>
      </c>
      <c r="N1519" s="6">
        <v>8.1999999999999993</v>
      </c>
      <c r="O1519" s="4">
        <f ca="1">IFERROR(__xludf.DUMMYFUNCTION("IF(Cost_in_dollars!E1519=""USD"",Cost_in_dollars!B1519,Cost_in_dollars!B1519 * GOOGLEFINANCE(""CURRENCY:"" &amp; Cost_in_dollars!E1519 &amp; ""USD""))
"),1233983.99999999)</f>
        <v>1233983.99999999</v>
      </c>
      <c r="P1519" s="4">
        <f ca="1">IFERROR(__xludf.DUMMYFUNCTION("IF(Cost_in_dollars!E1519=""USD"",Cost_in_dollars!C1519,Cost_in_dollars!C1519 * GOOGLEFINANCE(""CURRENCY:"" &amp; Cost_in_dollars!E1519 &amp; ""USD""))
"),4692580.21579999)</f>
        <v>4692580.2157999901</v>
      </c>
      <c r="Q1519" s="6">
        <f t="shared" ca="1" si="30"/>
        <v>3458596.2158000004</v>
      </c>
      <c r="R1519" s="7" t="str">
        <f t="shared" si="31"/>
        <v>Lock, Stock and Two Smoking Barrels</v>
      </c>
      <c r="S1519" s="43" t="str">
        <f t="shared" si="35"/>
        <v>Comedy</v>
      </c>
    </row>
    <row r="1520" spans="1:19" ht="15.75" customHeight="1" x14ac:dyDescent="0.25">
      <c r="A1520" s="4" t="s">
        <v>5263</v>
      </c>
      <c r="B1520" s="4">
        <v>31</v>
      </c>
      <c r="C1520" s="4">
        <v>454255</v>
      </c>
      <c r="D1520" s="4" t="s">
        <v>1492</v>
      </c>
      <c r="E1520" s="4" t="s">
        <v>5264</v>
      </c>
      <c r="F1520" s="4" t="s">
        <v>5265</v>
      </c>
      <c r="G1520" s="4">
        <v>1666</v>
      </c>
      <c r="H1520" s="4" t="s">
        <v>5266</v>
      </c>
      <c r="I1520" s="4">
        <v>47</v>
      </c>
      <c r="J1520" s="4" t="s">
        <v>5267</v>
      </c>
      <c r="K1520" s="4" t="s">
        <v>5268</v>
      </c>
      <c r="L1520" s="4">
        <v>400000000</v>
      </c>
      <c r="M1520" s="4">
        <v>2001</v>
      </c>
      <c r="N1520" s="4">
        <v>6.6</v>
      </c>
      <c r="O1520" s="4">
        <f ca="1">IFERROR(__xludf.DUMMYFUNCTION("IF(Cost_in_dollars!E1520=""USD"",Cost_in_dollars!B1520,Cost_in_dollars!B1520 * GOOGLEFINANCE(""CURRENCY:"" &amp; Cost_in_dollars!E1520 &amp; ""USD""))
"),11037528)</f>
        <v>11037528</v>
      </c>
      <c r="P1520" s="4">
        <f ca="1">IFERROR(__xludf.DUMMYFUNCTION("IF(Cost_in_dollars!E1520=""USD"",Cost_in_dollars!C1520,Cost_in_dollars!C1520 * GOOGLEFINANCE(""CURRENCY:"" &amp; Cost_in_dollars!E1520 &amp; ""USD""))
"),12534.6307041)</f>
        <v>12534.6307041</v>
      </c>
      <c r="Q1520" s="4">
        <f t="shared" ca="1" si="30"/>
        <v>-11024993.369295901</v>
      </c>
      <c r="R1520" s="5" t="str">
        <f t="shared" si="31"/>
        <v>The Legend of Suriyothai</v>
      </c>
      <c r="S1520" s="43" t="str">
        <f t="shared" si="35"/>
        <v>Action</v>
      </c>
    </row>
    <row r="1521" spans="1:19" ht="15.75" customHeight="1" x14ac:dyDescent="0.25">
      <c r="A1521" s="6" t="s">
        <v>3204</v>
      </c>
      <c r="B1521" s="6">
        <v>387</v>
      </c>
      <c r="C1521" s="6">
        <v>143492840</v>
      </c>
      <c r="D1521" s="6" t="s">
        <v>162</v>
      </c>
      <c r="E1521" s="6" t="s">
        <v>881</v>
      </c>
      <c r="F1521" s="6" t="s">
        <v>5269</v>
      </c>
      <c r="G1521" s="6">
        <v>414345</v>
      </c>
      <c r="H1521" s="6" t="s">
        <v>5270</v>
      </c>
      <c r="I1521" s="6">
        <v>881</v>
      </c>
      <c r="J1521" s="6" t="s">
        <v>23</v>
      </c>
      <c r="K1521" s="6" t="s">
        <v>24</v>
      </c>
      <c r="L1521" s="6">
        <v>7500000</v>
      </c>
      <c r="M1521" s="6">
        <v>2007</v>
      </c>
      <c r="N1521" s="6">
        <v>7.5</v>
      </c>
      <c r="O1521" s="4">
        <f ca="1">IFERROR(__xludf.DUMMYFUNCTION("IF(Cost_in_dollars!E1521=""USD"",Cost_in_dollars!B1521,Cost_in_dollars!B1521 * GOOGLEFINANCE(""CURRENCY:"" &amp; Cost_in_dollars!E1521 &amp; ""USD""))
"),7500000)</f>
        <v>7500000</v>
      </c>
      <c r="P1521" s="4">
        <f ca="1">IFERROR(__xludf.DUMMYFUNCTION("IF(Cost_in_dollars!E1521=""USD"",Cost_in_dollars!C1521,Cost_in_dollars!C1521 * GOOGLEFINANCE(""CURRENCY:"" &amp; Cost_in_dollars!E1521 &amp; ""USD""))
"),143492840)</f>
        <v>143492840</v>
      </c>
      <c r="Q1521" s="6">
        <f t="shared" ca="1" si="30"/>
        <v>135992840</v>
      </c>
      <c r="R1521" s="7" t="str">
        <f t="shared" si="31"/>
        <v>Juno</v>
      </c>
      <c r="S1521" s="43" t="str">
        <f t="shared" si="35"/>
        <v>Comedy</v>
      </c>
    </row>
    <row r="1522" spans="1:19" ht="15.75" customHeight="1" x14ac:dyDescent="0.25">
      <c r="A1522" s="4" t="s">
        <v>2288</v>
      </c>
      <c r="B1522" s="4">
        <v>191</v>
      </c>
      <c r="C1522" s="4">
        <v>245823397</v>
      </c>
      <c r="D1522" s="4" t="s">
        <v>304</v>
      </c>
      <c r="E1522" s="4" t="s">
        <v>464</v>
      </c>
      <c r="F1522" s="4" t="s">
        <v>5271</v>
      </c>
      <c r="G1522" s="4">
        <v>385871</v>
      </c>
      <c r="H1522" s="4" t="s">
        <v>5272</v>
      </c>
      <c r="I1522" s="4">
        <v>515</v>
      </c>
      <c r="J1522" s="4" t="s">
        <v>23</v>
      </c>
      <c r="K1522" s="4" t="s">
        <v>24</v>
      </c>
      <c r="L1522" s="4">
        <v>90000000</v>
      </c>
      <c r="M1522" s="4">
        <v>1999</v>
      </c>
      <c r="N1522" s="4">
        <v>7.9</v>
      </c>
      <c r="O1522" s="4">
        <f ca="1">IFERROR(__xludf.DUMMYFUNCTION("IF(Cost_in_dollars!E1522=""USD"",Cost_in_dollars!B1522,Cost_in_dollars!B1522 * GOOGLEFINANCE(""CURRENCY:"" &amp; Cost_in_dollars!E1522 &amp; ""USD""))
"),90000000)</f>
        <v>90000000</v>
      </c>
      <c r="P1522" s="4">
        <f ca="1">IFERROR(__xludf.DUMMYFUNCTION("IF(Cost_in_dollars!E1522=""USD"",Cost_in_dollars!C1522,Cost_in_dollars!C1522 * GOOGLEFINANCE(""CURRENCY:"" &amp; Cost_in_dollars!E1522 &amp; ""USD""))
"),245823397)</f>
        <v>245823397</v>
      </c>
      <c r="Q1522" s="4">
        <f t="shared" ca="1" si="30"/>
        <v>155823397</v>
      </c>
      <c r="R1522" s="5" t="str">
        <f t="shared" si="31"/>
        <v>Toy Story 2</v>
      </c>
      <c r="S1522" s="43" t="str">
        <f t="shared" si="35"/>
        <v>Adventure</v>
      </c>
    </row>
    <row r="1523" spans="1:19" ht="15.75" customHeight="1" x14ac:dyDescent="0.25">
      <c r="A1523" s="6" t="s">
        <v>2514</v>
      </c>
      <c r="B1523" s="6">
        <v>210</v>
      </c>
      <c r="C1523" s="6">
        <v>31670931</v>
      </c>
      <c r="D1523" s="6" t="s">
        <v>2238</v>
      </c>
      <c r="E1523" s="6" t="s">
        <v>330</v>
      </c>
      <c r="F1523" s="6" t="s">
        <v>5273</v>
      </c>
      <c r="G1523" s="6">
        <v>44099</v>
      </c>
      <c r="H1523" s="6" t="s">
        <v>5274</v>
      </c>
      <c r="I1523" s="6">
        <v>143</v>
      </c>
      <c r="J1523" s="6" t="s">
        <v>23</v>
      </c>
      <c r="K1523" s="6" t="s">
        <v>133</v>
      </c>
      <c r="L1523" s="6">
        <v>60000000</v>
      </c>
      <c r="M1523" s="6">
        <v>2009</v>
      </c>
      <c r="N1523" s="6">
        <v>6.7</v>
      </c>
      <c r="O1523" s="4">
        <f ca="1">IFERROR(__xludf.DUMMYFUNCTION("IF(Cost_in_dollars!E1523=""USD"",Cost_in_dollars!B1523,Cost_in_dollars!B1523 * GOOGLEFINANCE(""CURRENCY:"" &amp; Cost_in_dollars!E1523 &amp; ""USD""))
"),77124000)</f>
        <v>77124000</v>
      </c>
      <c r="P1523" s="4">
        <f ca="1">IFERROR(__xludf.DUMMYFUNCTION("IF(Cost_in_dollars!E1523=""USD"",Cost_in_dollars!C1523,Cost_in_dollars!C1523 * GOOGLEFINANCE(""CURRENCY:"" &amp; Cost_in_dollars!E1523 &amp; ""USD""))
"),40709814.7073999)</f>
        <v>40709814.707399897</v>
      </c>
      <c r="Q1523" s="6">
        <f t="shared" ca="1" si="30"/>
        <v>-36414185.292600103</v>
      </c>
      <c r="R1523" s="7" t="str">
        <f t="shared" si="31"/>
        <v>The Soloist</v>
      </c>
      <c r="S1523" s="43" t="str">
        <f t="shared" si="35"/>
        <v>Biography</v>
      </c>
    </row>
    <row r="1524" spans="1:19" ht="15.75" customHeight="1" x14ac:dyDescent="0.25">
      <c r="A1524" s="4" t="s">
        <v>5275</v>
      </c>
      <c r="B1524" s="4">
        <v>63</v>
      </c>
      <c r="C1524" s="4">
        <v>21800302</v>
      </c>
      <c r="D1524" s="4" t="s">
        <v>1041</v>
      </c>
      <c r="E1524" s="4" t="s">
        <v>198</v>
      </c>
      <c r="F1524" s="4" t="s">
        <v>5276</v>
      </c>
      <c r="G1524" s="4">
        <v>12164</v>
      </c>
      <c r="H1524" s="4" t="s">
        <v>5277</v>
      </c>
      <c r="I1524" s="4">
        <v>63</v>
      </c>
      <c r="J1524" s="4" t="s">
        <v>23</v>
      </c>
      <c r="K1524" s="4" t="s">
        <v>24</v>
      </c>
      <c r="L1524" s="4">
        <v>30000000</v>
      </c>
      <c r="M1524" s="4">
        <v>2004</v>
      </c>
      <c r="N1524" s="4">
        <v>5.5</v>
      </c>
      <c r="O1524" s="4">
        <f ca="1">IFERROR(__xludf.DUMMYFUNCTION("IF(Cost_in_dollars!E1524=""USD"",Cost_in_dollars!B1524,Cost_in_dollars!B1524 * GOOGLEFINANCE(""CURRENCY:"" &amp; Cost_in_dollars!E1524 &amp; ""USD""))
"),30000000)</f>
        <v>30000000</v>
      </c>
      <c r="P1524" s="4">
        <f ca="1">IFERROR(__xludf.DUMMYFUNCTION("IF(Cost_in_dollars!E1524=""USD"",Cost_in_dollars!C1524,Cost_in_dollars!C1524 * GOOGLEFINANCE(""CURRENCY:"" &amp; Cost_in_dollars!E1524 &amp; ""USD""))
"),21800302)</f>
        <v>21800302</v>
      </c>
      <c r="Q1524" s="4">
        <f t="shared" ca="1" si="30"/>
        <v>-8199698</v>
      </c>
      <c r="R1524" s="5" t="str">
        <f t="shared" si="31"/>
        <v>Mr 3000</v>
      </c>
      <c r="S1524" s="43" t="str">
        <f t="shared" si="35"/>
        <v>Comedy</v>
      </c>
    </row>
    <row r="1525" spans="1:19" ht="15.75" customHeight="1" x14ac:dyDescent="0.25">
      <c r="A1525" s="6" t="s">
        <v>1967</v>
      </c>
      <c r="B1525" s="6">
        <v>285</v>
      </c>
      <c r="C1525" s="6">
        <v>34014398</v>
      </c>
      <c r="D1525" s="6" t="s">
        <v>1968</v>
      </c>
      <c r="E1525" s="6" t="s">
        <v>1728</v>
      </c>
      <c r="F1525" s="6" t="s">
        <v>1969</v>
      </c>
      <c r="G1525" s="6">
        <v>115649</v>
      </c>
      <c r="H1525" s="6" t="s">
        <v>1970</v>
      </c>
      <c r="I1525" s="6">
        <v>1033</v>
      </c>
      <c r="J1525" s="6" t="s">
        <v>23</v>
      </c>
      <c r="K1525" s="6" t="s">
        <v>176</v>
      </c>
      <c r="L1525" s="6">
        <v>33000000</v>
      </c>
      <c r="M1525" s="6">
        <v>2006</v>
      </c>
      <c r="N1525" s="6">
        <v>5.6</v>
      </c>
      <c r="O1525" s="4">
        <f ca="1">IFERROR(__xludf.DUMMYFUNCTION("IF(Cost_in_dollars!E1525=""USD"",Cost_in_dollars!B1525,Cost_in_dollars!B1525 * GOOGLEFINANCE(""CURRENCY:"" &amp; Cost_in_dollars!E1525 &amp; ""USD""))
"),35796420)</f>
        <v>35796420</v>
      </c>
      <c r="P1525" s="4">
        <f ca="1">IFERROR(__xludf.DUMMYFUNCTION("IF(Cost_in_dollars!E1525=""USD"",Cost_in_dollars!C1525,Cost_in_dollars!C1525 * GOOGLEFINANCE(""CURRENCY:"" &amp; Cost_in_dollars!E1525 &amp; ""USD""))
"),36896778.08652)</f>
        <v>36896778.086520001</v>
      </c>
      <c r="Q1525" s="6">
        <f t="shared" ca="1" si="30"/>
        <v>1100358.0865200013</v>
      </c>
      <c r="R1525" s="7" t="str">
        <f t="shared" si="31"/>
        <v>Snakes on a Plane</v>
      </c>
      <c r="S1525" s="43" t="str">
        <f t="shared" si="35"/>
        <v>Action</v>
      </c>
    </row>
    <row r="1526" spans="1:19" ht="15.75" customHeight="1" x14ac:dyDescent="0.25">
      <c r="A1526" s="4" t="s">
        <v>808</v>
      </c>
      <c r="B1526" s="4">
        <v>136</v>
      </c>
      <c r="C1526" s="4">
        <v>17804273</v>
      </c>
      <c r="D1526" s="4" t="s">
        <v>372</v>
      </c>
      <c r="E1526" s="4" t="s">
        <v>1410</v>
      </c>
      <c r="F1526" s="4" t="s">
        <v>5278</v>
      </c>
      <c r="G1526" s="4">
        <v>20449</v>
      </c>
      <c r="H1526" s="4" t="s">
        <v>5279</v>
      </c>
      <c r="I1526" s="4">
        <v>370</v>
      </c>
      <c r="J1526" s="4" t="s">
        <v>23</v>
      </c>
      <c r="K1526" s="4" t="s">
        <v>24</v>
      </c>
      <c r="L1526" s="4">
        <v>20000000</v>
      </c>
      <c r="M1526" s="4">
        <v>2000</v>
      </c>
      <c r="N1526" s="4">
        <v>7</v>
      </c>
      <c r="O1526" s="4">
        <f ca="1">IFERROR(__xludf.DUMMYFUNCTION("IF(Cost_in_dollars!E1526=""USD"",Cost_in_dollars!B1526,Cost_in_dollars!B1526 * GOOGLEFINANCE(""CURRENCY:"" &amp; Cost_in_dollars!E1526 &amp; ""USD""))
"),20000000)</f>
        <v>20000000</v>
      </c>
      <c r="P1526" s="4">
        <f ca="1">IFERROR(__xludf.DUMMYFUNCTION("IF(Cost_in_dollars!E1526=""USD"",Cost_in_dollars!C1526,Cost_in_dollars!C1526 * GOOGLEFINANCE(""CURRENCY:"" &amp; Cost_in_dollars!E1526 &amp; ""USD""))
"),17804273)</f>
        <v>17804273</v>
      </c>
      <c r="Q1526" s="4">
        <f t="shared" ca="1" si="30"/>
        <v>-2195727</v>
      </c>
      <c r="R1526" s="5" t="str">
        <f t="shared" si="31"/>
        <v>The Contender</v>
      </c>
      <c r="S1526" s="43" t="str">
        <f t="shared" si="35"/>
        <v>Drama</v>
      </c>
    </row>
    <row r="1527" spans="1:19" ht="15.75" customHeight="1" x14ac:dyDescent="0.25">
      <c r="A1527" s="6" t="s">
        <v>5280</v>
      </c>
      <c r="B1527" s="6">
        <v>371</v>
      </c>
      <c r="C1527" s="6">
        <v>31569268</v>
      </c>
      <c r="D1527" s="6" t="s">
        <v>5090</v>
      </c>
      <c r="E1527" s="6" t="s">
        <v>977</v>
      </c>
      <c r="F1527" s="6" t="s">
        <v>5281</v>
      </c>
      <c r="G1527" s="6">
        <v>172965</v>
      </c>
      <c r="H1527" s="6" t="s">
        <v>5282</v>
      </c>
      <c r="I1527" s="6">
        <v>627</v>
      </c>
      <c r="J1527" s="6" t="s">
        <v>23</v>
      </c>
      <c r="K1527" s="6" t="s">
        <v>24</v>
      </c>
      <c r="L1527" s="6">
        <v>49000000</v>
      </c>
      <c r="M1527" s="6">
        <v>2015</v>
      </c>
      <c r="N1527" s="6">
        <v>6.9</v>
      </c>
      <c r="O1527" s="4">
        <f ca="1">IFERROR(__xludf.DUMMYFUNCTION("IF(Cost_in_dollars!E1527=""USD"",Cost_in_dollars!B1527,Cost_in_dollars!B1527 * GOOGLEFINANCE(""CURRENCY:"" &amp; Cost_in_dollars!E1527 &amp; ""USD""))
"),49000000)</f>
        <v>49000000</v>
      </c>
      <c r="P1527" s="4">
        <f ca="1">IFERROR(__xludf.DUMMYFUNCTION("IF(Cost_in_dollars!E1527=""USD"",Cost_in_dollars!C1527,Cost_in_dollars!C1527 * GOOGLEFINANCE(""CURRENCY:"" &amp; Cost_in_dollars!E1527 &amp; ""USD""))
"),31569268)</f>
        <v>31569268</v>
      </c>
      <c r="Q1527" s="6">
        <f t="shared" ca="1" si="30"/>
        <v>-17430732</v>
      </c>
      <c r="R1527" s="7" t="str">
        <f t="shared" si="31"/>
        <v>Chappie</v>
      </c>
      <c r="S1527" s="43" t="str">
        <f t="shared" si="35"/>
        <v>Action</v>
      </c>
    </row>
    <row r="1528" spans="1:19" ht="15.75" customHeight="1" x14ac:dyDescent="0.25">
      <c r="A1528" s="4" t="s">
        <v>884</v>
      </c>
      <c r="B1528" s="4">
        <v>139</v>
      </c>
      <c r="C1528" s="4">
        <v>42365600</v>
      </c>
      <c r="D1528" s="4" t="s">
        <v>5283</v>
      </c>
      <c r="E1528" s="4" t="s">
        <v>5284</v>
      </c>
      <c r="F1528" s="4" t="s">
        <v>5285</v>
      </c>
      <c r="G1528" s="4">
        <v>45890</v>
      </c>
      <c r="H1528" s="4" t="s">
        <v>5286</v>
      </c>
      <c r="I1528" s="4">
        <v>177</v>
      </c>
      <c r="J1528" s="4" t="s">
        <v>23</v>
      </c>
      <c r="K1528" s="4" t="s">
        <v>133</v>
      </c>
      <c r="L1528" s="4">
        <v>5000000</v>
      </c>
      <c r="M1528" s="4">
        <v>1981</v>
      </c>
      <c r="N1528" s="4">
        <v>7</v>
      </c>
      <c r="O1528" s="4">
        <f ca="1">IFERROR(__xludf.DUMMYFUNCTION("IF(Cost_in_dollars!E1528=""USD"",Cost_in_dollars!B1528,Cost_in_dollars!B1528 * GOOGLEFINANCE(""CURRENCY:"" &amp; Cost_in_dollars!E1528 &amp; ""USD""))
"),6426999.99999999)</f>
        <v>6426999.9999999898</v>
      </c>
      <c r="P1528" s="4">
        <f ca="1">IFERROR(__xludf.DUMMYFUNCTION("IF(Cost_in_dollars!E1528=""USD"",Cost_in_dollars!C1528,Cost_in_dollars!C1528 * GOOGLEFINANCE(""CURRENCY:"" &amp; Cost_in_dollars!E1528 &amp; ""USD""))
"),54456742.2399999)</f>
        <v>54456742.239999898</v>
      </c>
      <c r="Q1528" s="4">
        <f t="shared" ca="1" si="30"/>
        <v>48029742.239999905</v>
      </c>
      <c r="R1528" s="5" t="str">
        <f t="shared" si="31"/>
        <v>Time Bandits</v>
      </c>
      <c r="S1528" s="43" t="str">
        <f t="shared" si="35"/>
        <v>Adventure</v>
      </c>
    </row>
    <row r="1529" spans="1:19" ht="15.75" customHeight="1" x14ac:dyDescent="0.25">
      <c r="A1529" s="6" t="s">
        <v>5108</v>
      </c>
      <c r="B1529" s="6">
        <v>300</v>
      </c>
      <c r="C1529" s="6">
        <v>102310175</v>
      </c>
      <c r="D1529" s="6" t="s">
        <v>93</v>
      </c>
      <c r="E1529" s="6" t="s">
        <v>5287</v>
      </c>
      <c r="F1529" s="6" t="s">
        <v>5288</v>
      </c>
      <c r="G1529" s="6">
        <v>64989</v>
      </c>
      <c r="H1529" s="6" t="s">
        <v>5289</v>
      </c>
      <c r="I1529" s="6">
        <v>279</v>
      </c>
      <c r="J1529" s="6" t="s">
        <v>23</v>
      </c>
      <c r="K1529" s="6" t="s">
        <v>24</v>
      </c>
      <c r="L1529" s="6">
        <v>40000000</v>
      </c>
      <c r="M1529" s="6">
        <v>2016</v>
      </c>
      <c r="N1529" s="6">
        <v>7.8</v>
      </c>
      <c r="O1529" s="4">
        <f ca="1">IFERROR(__xludf.DUMMYFUNCTION("IF(Cost_in_dollars!E1529=""USD"",Cost_in_dollars!B1529,Cost_in_dollars!B1529 * GOOGLEFINANCE(""CURRENCY:"" &amp; Cost_in_dollars!E1529 &amp; ""USD""))
"),40000000)</f>
        <v>40000000</v>
      </c>
      <c r="P1529" s="4">
        <f ca="1">IFERROR(__xludf.DUMMYFUNCTION("IF(Cost_in_dollars!E1529=""USD"",Cost_in_dollars!C1529,Cost_in_dollars!C1529 * GOOGLEFINANCE(""CURRENCY:"" &amp; Cost_in_dollars!E1529 &amp; ""USD""))
"),102310175)</f>
        <v>102310175</v>
      </c>
      <c r="Q1529" s="6">
        <f t="shared" ca="1" si="30"/>
        <v>62310175</v>
      </c>
      <c r="R1529" s="7" t="str">
        <f t="shared" si="31"/>
        <v>The Conjuring 2</v>
      </c>
      <c r="S1529" s="43" t="str">
        <f t="shared" si="35"/>
        <v>Horror</v>
      </c>
    </row>
    <row r="1530" spans="1:19" ht="15.75" customHeight="1" x14ac:dyDescent="0.25">
      <c r="A1530" s="4" t="s">
        <v>634</v>
      </c>
      <c r="B1530" s="4">
        <v>80</v>
      </c>
      <c r="C1530" s="4">
        <v>76081498</v>
      </c>
      <c r="D1530" s="4" t="s">
        <v>5290</v>
      </c>
      <c r="E1530" s="4" t="s">
        <v>536</v>
      </c>
      <c r="F1530" s="4" t="s">
        <v>5291</v>
      </c>
      <c r="G1530" s="4">
        <v>76099</v>
      </c>
      <c r="H1530" s="4" t="s">
        <v>5292</v>
      </c>
      <c r="I1530" s="4">
        <v>162</v>
      </c>
      <c r="J1530" s="4" t="s">
        <v>23</v>
      </c>
      <c r="K1530" s="4" t="s">
        <v>24</v>
      </c>
      <c r="L1530" s="4">
        <v>75000000</v>
      </c>
      <c r="M1530" s="4">
        <v>1997</v>
      </c>
      <c r="N1530" s="4">
        <v>6.7</v>
      </c>
      <c r="O1530" s="4">
        <f ca="1">IFERROR(__xludf.DUMMYFUNCTION("IF(Cost_in_dollars!E1530=""USD"",Cost_in_dollars!B1530,Cost_in_dollars!B1530 * GOOGLEFINANCE(""CURRENCY:"" &amp; Cost_in_dollars!E1530 &amp; ""USD""))
"),75000000)</f>
        <v>75000000</v>
      </c>
      <c r="P1530" s="4">
        <f ca="1">IFERROR(__xludf.DUMMYFUNCTION("IF(Cost_in_dollars!E1530=""USD"",Cost_in_dollars!C1530,Cost_in_dollars!C1530 * GOOGLEFINANCE(""CURRENCY:"" &amp; Cost_in_dollars!E1530 &amp; ""USD""))
"),76081498)</f>
        <v>76081498</v>
      </c>
      <c r="Q1530" s="4">
        <f t="shared" ca="1" si="30"/>
        <v>1081498</v>
      </c>
      <c r="R1530" s="5" t="str">
        <f t="shared" si="31"/>
        <v>Conspiracy Theory</v>
      </c>
      <c r="S1530" s="43" t="str">
        <f t="shared" si="35"/>
        <v>Action</v>
      </c>
    </row>
    <row r="1531" spans="1:19" ht="15.75" customHeight="1" x14ac:dyDescent="0.25">
      <c r="A1531" s="6" t="s">
        <v>5293</v>
      </c>
      <c r="B1531" s="6">
        <v>286</v>
      </c>
      <c r="C1531" s="6">
        <v>100292856</v>
      </c>
      <c r="D1531" s="6" t="s">
        <v>140</v>
      </c>
      <c r="E1531" s="6" t="s">
        <v>305</v>
      </c>
      <c r="F1531" s="6" t="s">
        <v>5294</v>
      </c>
      <c r="G1531" s="6">
        <v>160418</v>
      </c>
      <c r="H1531" s="6" t="s">
        <v>5295</v>
      </c>
      <c r="I1531" s="6">
        <v>296</v>
      </c>
      <c r="J1531" s="6" t="s">
        <v>23</v>
      </c>
      <c r="K1531" s="6" t="s">
        <v>24</v>
      </c>
      <c r="L1531" s="6">
        <v>20000000</v>
      </c>
      <c r="M1531" s="6">
        <v>2011</v>
      </c>
      <c r="N1531" s="6">
        <v>5.7</v>
      </c>
      <c r="O1531" s="4">
        <f ca="1">IFERROR(__xludf.DUMMYFUNCTION("IF(Cost_in_dollars!E1531=""USD"",Cost_in_dollars!B1531,Cost_in_dollars!B1531 * GOOGLEFINANCE(""CURRENCY:"" &amp; Cost_in_dollars!E1531 &amp; ""USD""))
"),20000000)</f>
        <v>20000000</v>
      </c>
      <c r="P1531" s="4">
        <f ca="1">IFERROR(__xludf.DUMMYFUNCTION("IF(Cost_in_dollars!E1531=""USD"",Cost_in_dollars!C1531,Cost_in_dollars!C1531 * GOOGLEFINANCE(""CURRENCY:"" &amp; Cost_in_dollars!E1531 &amp; ""USD""))
"),100292856)</f>
        <v>100292856</v>
      </c>
      <c r="Q1531" s="6">
        <f t="shared" ca="1" si="30"/>
        <v>80292856</v>
      </c>
      <c r="R1531" s="7" t="str">
        <f t="shared" si="31"/>
        <v>Bad Teacher</v>
      </c>
      <c r="S1531" s="43" t="str">
        <f t="shared" si="35"/>
        <v>Comedy</v>
      </c>
    </row>
    <row r="1532" spans="1:19" ht="15.75" customHeight="1" x14ac:dyDescent="0.25">
      <c r="A1532" s="4" t="s">
        <v>5157</v>
      </c>
      <c r="B1532" s="4">
        <v>144</v>
      </c>
      <c r="C1532" s="4">
        <v>116643346</v>
      </c>
      <c r="D1532" s="4" t="s">
        <v>714</v>
      </c>
      <c r="E1532" s="4" t="s">
        <v>483</v>
      </c>
      <c r="F1532" s="4" t="s">
        <v>5296</v>
      </c>
      <c r="G1532" s="4">
        <v>119807</v>
      </c>
      <c r="H1532" s="4" t="s">
        <v>5297</v>
      </c>
      <c r="I1532" s="4">
        <v>340</v>
      </c>
      <c r="J1532" s="4" t="s">
        <v>23</v>
      </c>
      <c r="K1532" s="4" t="s">
        <v>24</v>
      </c>
      <c r="L1532" s="4">
        <v>80000000</v>
      </c>
      <c r="M1532" s="4">
        <v>2003</v>
      </c>
      <c r="N1532" s="4">
        <v>6</v>
      </c>
      <c r="O1532" s="4">
        <f ca="1">IFERROR(__xludf.DUMMYFUNCTION("IF(Cost_in_dollars!E1532=""USD"",Cost_in_dollars!B1532,Cost_in_dollars!B1532 * GOOGLEFINANCE(""CURRENCY:"" &amp; Cost_in_dollars!E1532 &amp; ""USD""))
"),80000000)</f>
        <v>80000000</v>
      </c>
      <c r="P1532" s="4">
        <f ca="1">IFERROR(__xludf.DUMMYFUNCTION("IF(Cost_in_dollars!E1532=""USD"",Cost_in_dollars!C1532,Cost_in_dollars!C1532 * GOOGLEFINANCE(""CURRENCY:"" &amp; Cost_in_dollars!E1532 &amp; ""USD""))
"),116643346)</f>
        <v>116643346</v>
      </c>
      <c r="Q1532" s="4">
        <f t="shared" ref="Q1532:Q1786" ca="1" si="36">P1532-O1532</f>
        <v>36643346</v>
      </c>
      <c r="R1532" s="5" t="str">
        <f t="shared" ref="R1532:R1786" si="37">LEFT(F1532,LEN(F1532)-2)</f>
        <v>S.W.A.T.</v>
      </c>
      <c r="S1532" s="43" t="str">
        <f t="shared" si="35"/>
        <v>Action</v>
      </c>
    </row>
    <row r="1533" spans="1:19" ht="15.75" customHeight="1" x14ac:dyDescent="0.25">
      <c r="A1533" s="6" t="s">
        <v>4176</v>
      </c>
      <c r="B1533" s="6">
        <v>154</v>
      </c>
      <c r="C1533" s="6">
        <v>45290318</v>
      </c>
      <c r="D1533" s="6" t="s">
        <v>5298</v>
      </c>
      <c r="E1533" s="6" t="s">
        <v>4874</v>
      </c>
      <c r="F1533" s="6" t="s">
        <v>5299</v>
      </c>
      <c r="G1533" s="6">
        <v>74169</v>
      </c>
      <c r="H1533" s="6" t="s">
        <v>5300</v>
      </c>
      <c r="I1533" s="6">
        <v>112</v>
      </c>
      <c r="J1533" s="6" t="s">
        <v>23</v>
      </c>
      <c r="K1533" s="6" t="s">
        <v>24</v>
      </c>
      <c r="L1533" s="6">
        <v>42000000</v>
      </c>
      <c r="M1533" s="6">
        <v>2012</v>
      </c>
      <c r="N1533" s="6">
        <v>6.5</v>
      </c>
      <c r="O1533" s="4">
        <f ca="1">IFERROR(__xludf.DUMMYFUNCTION("IF(Cost_in_dollars!E1533=""USD"",Cost_in_dollars!B1533,Cost_in_dollars!B1533 * GOOGLEFINANCE(""CURRENCY:"" &amp; Cost_in_dollars!E1533 &amp; ""USD""))
"),42000000)</f>
        <v>42000000</v>
      </c>
      <c r="P1533" s="4">
        <f ca="1">IFERROR(__xludf.DUMMYFUNCTION("IF(Cost_in_dollars!E1533=""USD"",Cost_in_dollars!C1533,Cost_in_dollars!C1533 * GOOGLEFINANCE(""CURRENCY:"" &amp; Cost_in_dollars!E1533 &amp; ""USD""))
"),45290318)</f>
        <v>45290318</v>
      </c>
      <c r="Q1533" s="6">
        <f t="shared" ca="1" si="36"/>
        <v>3290318</v>
      </c>
      <c r="R1533" s="7" t="str">
        <f t="shared" si="37"/>
        <v>Here Comes the Boom</v>
      </c>
      <c r="S1533" s="43" t="str">
        <f t="shared" si="35"/>
        <v>Action</v>
      </c>
    </row>
    <row r="1534" spans="1:19" ht="15.75" customHeight="1" x14ac:dyDescent="0.25">
      <c r="A1534" s="4" t="s">
        <v>1528</v>
      </c>
      <c r="B1534" s="4">
        <v>253</v>
      </c>
      <c r="C1534" s="4">
        <v>40137776</v>
      </c>
      <c r="D1534" s="4" t="s">
        <v>58</v>
      </c>
      <c r="E1534" s="4" t="s">
        <v>444</v>
      </c>
      <c r="F1534" s="4" t="s">
        <v>5301</v>
      </c>
      <c r="G1534" s="4">
        <v>186977</v>
      </c>
      <c r="H1534" s="4" t="s">
        <v>5302</v>
      </c>
      <c r="I1534" s="4">
        <v>529</v>
      </c>
      <c r="J1534" s="4" t="s">
        <v>23</v>
      </c>
      <c r="K1534" s="4" t="s">
        <v>24</v>
      </c>
      <c r="L1534" s="4">
        <v>38000000</v>
      </c>
      <c r="M1534" s="4">
        <v>2006</v>
      </c>
      <c r="N1534" s="4">
        <v>7.6</v>
      </c>
      <c r="O1534" s="4">
        <f ca="1">IFERROR(__xludf.DUMMYFUNCTION("IF(Cost_in_dollars!E1534=""USD"",Cost_in_dollars!B1534,Cost_in_dollars!B1534 * GOOGLEFINANCE(""CURRENCY:"" &amp; Cost_in_dollars!E1534 &amp; ""USD""))
"),38000000)</f>
        <v>38000000</v>
      </c>
      <c r="P1534" s="4">
        <f ca="1">IFERROR(__xludf.DUMMYFUNCTION("IF(Cost_in_dollars!E1534=""USD"",Cost_in_dollars!C1534,Cost_in_dollars!C1534 * GOOGLEFINANCE(""CURRENCY:"" &amp; Cost_in_dollars!E1534 &amp; ""USD""))
"),40137776)</f>
        <v>40137776</v>
      </c>
      <c r="Q1534" s="4">
        <f t="shared" ca="1" si="36"/>
        <v>2137776</v>
      </c>
      <c r="R1534" s="5" t="str">
        <f t="shared" si="37"/>
        <v>Stranger Than Fiction</v>
      </c>
      <c r="S1534" s="43" t="str">
        <f t="shared" si="35"/>
        <v>Comedy</v>
      </c>
    </row>
    <row r="1535" spans="1:19" ht="15.75" customHeight="1" x14ac:dyDescent="0.25">
      <c r="A1535" s="6" t="s">
        <v>2520</v>
      </c>
      <c r="B1535" s="6">
        <v>267</v>
      </c>
      <c r="C1535" s="6">
        <v>65452312</v>
      </c>
      <c r="D1535" s="6" t="s">
        <v>155</v>
      </c>
      <c r="E1535" s="6" t="s">
        <v>69</v>
      </c>
      <c r="F1535" s="6" t="s">
        <v>5303</v>
      </c>
      <c r="G1535" s="6">
        <v>149998</v>
      </c>
      <c r="H1535" s="6" t="s">
        <v>5304</v>
      </c>
      <c r="I1535" s="6">
        <v>285</v>
      </c>
      <c r="J1535" s="6" t="s">
        <v>23</v>
      </c>
      <c r="K1535" s="6" t="s">
        <v>24</v>
      </c>
      <c r="L1535" s="6">
        <v>100000000</v>
      </c>
      <c r="M1535" s="6">
        <v>2009</v>
      </c>
      <c r="N1535" s="6">
        <v>6.4</v>
      </c>
      <c r="O1535" s="4">
        <f ca="1">IFERROR(__xludf.DUMMYFUNCTION("IF(Cost_in_dollars!E1535=""USD"",Cost_in_dollars!B1535,Cost_in_dollars!B1535 * GOOGLEFINANCE(""CURRENCY:"" &amp; Cost_in_dollars!E1535 &amp; ""USD""))
"),100000000)</f>
        <v>100000000</v>
      </c>
      <c r="P1535" s="4">
        <f ca="1">IFERROR(__xludf.DUMMYFUNCTION("IF(Cost_in_dollars!E1535=""USD"",Cost_in_dollars!C1535,Cost_in_dollars!C1535 * GOOGLEFINANCE(""CURRENCY:"" &amp; Cost_in_dollars!E1535 &amp; ""USD""))
"),65452312)</f>
        <v>65452312</v>
      </c>
      <c r="Q1535" s="6">
        <f t="shared" ca="1" si="36"/>
        <v>-34547688</v>
      </c>
      <c r="R1535" s="7" t="str">
        <f t="shared" si="37"/>
        <v>The Taking of Pelham 1 2 3</v>
      </c>
      <c r="S1535" s="43" t="str">
        <f t="shared" si="35"/>
        <v>Action</v>
      </c>
    </row>
    <row r="1536" spans="1:19" ht="15.75" customHeight="1" x14ac:dyDescent="0.25">
      <c r="A1536" s="4" t="s">
        <v>4999</v>
      </c>
      <c r="B1536" s="4">
        <v>51</v>
      </c>
      <c r="C1536" s="4">
        <v>3799339</v>
      </c>
      <c r="D1536" s="4" t="s">
        <v>4992</v>
      </c>
      <c r="E1536" s="4" t="s">
        <v>5305</v>
      </c>
      <c r="F1536" s="4" t="s">
        <v>5306</v>
      </c>
      <c r="G1536" s="4">
        <v>8000</v>
      </c>
      <c r="H1536" s="4" t="s">
        <v>5307</v>
      </c>
      <c r="I1536" s="4">
        <v>138</v>
      </c>
      <c r="J1536" s="4" t="s">
        <v>23</v>
      </c>
      <c r="K1536" s="4" t="s">
        <v>24</v>
      </c>
      <c r="L1536" s="4">
        <v>250000</v>
      </c>
      <c r="M1536" s="4">
        <v>2002</v>
      </c>
      <c r="N1536" s="4">
        <v>7.2</v>
      </c>
      <c r="O1536" s="4">
        <f ca="1">IFERROR(__xludf.DUMMYFUNCTION("IF(Cost_in_dollars!E1536=""USD"",Cost_in_dollars!B1536,Cost_in_dollars!B1536 * GOOGLEFINANCE(""CURRENCY:"" &amp; Cost_in_dollars!E1536 &amp; ""USD""))
"),250000)</f>
        <v>250000</v>
      </c>
      <c r="P1536" s="4">
        <f ca="1">IFERROR(__xludf.DUMMYFUNCTION("IF(Cost_in_dollars!E1536=""USD"",Cost_in_dollars!C1536,Cost_in_dollars!C1536 * GOOGLEFINANCE(""CURRENCY:"" &amp; Cost_in_dollars!E1536 &amp; ""USD""))
"),3799339)</f>
        <v>3799339</v>
      </c>
      <c r="Q1536" s="4">
        <f t="shared" ca="1" si="36"/>
        <v>3549339</v>
      </c>
      <c r="R1536" s="5" t="str">
        <f t="shared" si="37"/>
        <v>Better Luck Tomorrow</v>
      </c>
      <c r="S1536" s="43" t="str">
        <f t="shared" si="35"/>
        <v>Crime</v>
      </c>
    </row>
    <row r="1537" spans="1:19" ht="15.75" customHeight="1" x14ac:dyDescent="0.25">
      <c r="A1537" s="6" t="s">
        <v>5308</v>
      </c>
      <c r="B1537" s="6">
        <v>25</v>
      </c>
      <c r="C1537" s="6">
        <v>26539321</v>
      </c>
      <c r="D1537" s="6" t="s">
        <v>1499</v>
      </c>
      <c r="E1537" s="6" t="s">
        <v>3886</v>
      </c>
      <c r="F1537" s="6" t="s">
        <v>5309</v>
      </c>
      <c r="G1537" s="6">
        <v>7984</v>
      </c>
      <c r="H1537" s="6" t="s">
        <v>5310</v>
      </c>
      <c r="I1537" s="6">
        <v>42</v>
      </c>
      <c r="J1537" s="6" t="s">
        <v>23</v>
      </c>
      <c r="K1537" s="6" t="s">
        <v>24</v>
      </c>
      <c r="L1537" s="6">
        <v>13000000</v>
      </c>
      <c r="M1537" s="6">
        <v>1996</v>
      </c>
      <c r="N1537" s="6">
        <v>5.9</v>
      </c>
      <c r="O1537" s="4">
        <f ca="1">IFERROR(__xludf.DUMMYFUNCTION("IF(Cost_in_dollars!E1537=""USD"",Cost_in_dollars!B1537,Cost_in_dollars!B1537 * GOOGLEFINANCE(""CURRENCY:"" &amp; Cost_in_dollars!E1537 &amp; ""USD""))
"),13000000)</f>
        <v>13000000</v>
      </c>
      <c r="P1537" s="4">
        <f ca="1">IFERROR(__xludf.DUMMYFUNCTION("IF(Cost_in_dollars!E1537=""USD"",Cost_in_dollars!C1537,Cost_in_dollars!C1537 * GOOGLEFINANCE(""CURRENCY:"" &amp; Cost_in_dollars!E1537 &amp; ""USD""))
"),26539321)</f>
        <v>26539321</v>
      </c>
      <c r="Q1537" s="6">
        <f t="shared" ca="1" si="36"/>
        <v>13539321</v>
      </c>
      <c r="R1537" s="7" t="str">
        <f t="shared" si="37"/>
        <v>Harriet the Spy</v>
      </c>
      <c r="S1537" s="43" t="str">
        <f t="shared" si="35"/>
        <v>Comedy</v>
      </c>
    </row>
    <row r="1538" spans="1:19" ht="15.75" customHeight="1" x14ac:dyDescent="0.25">
      <c r="A1538" s="4" t="s">
        <v>5311</v>
      </c>
      <c r="B1538" s="4">
        <v>66</v>
      </c>
      <c r="C1538" s="4">
        <v>40557</v>
      </c>
      <c r="D1538" s="4" t="s">
        <v>140</v>
      </c>
      <c r="E1538" s="4" t="s">
        <v>809</v>
      </c>
      <c r="F1538" s="4" t="s">
        <v>5312</v>
      </c>
      <c r="G1538" s="4">
        <v>1389</v>
      </c>
      <c r="H1538" s="4" t="s">
        <v>5313</v>
      </c>
      <c r="I1538" s="4">
        <v>22</v>
      </c>
      <c r="J1538" s="4" t="s">
        <v>23</v>
      </c>
      <c r="K1538" s="4" t="s">
        <v>24</v>
      </c>
      <c r="L1538" s="4">
        <v>60000</v>
      </c>
      <c r="M1538" s="4">
        <v>2011</v>
      </c>
      <c r="N1538" s="4">
        <v>5.6</v>
      </c>
      <c r="O1538" s="4">
        <f ca="1">IFERROR(__xludf.DUMMYFUNCTION("IF(Cost_in_dollars!E1538=""USD"",Cost_in_dollars!B1538,Cost_in_dollars!B1538 * GOOGLEFINANCE(""CURRENCY:"" &amp; Cost_in_dollars!E1538 &amp; ""USD""))
"),60000)</f>
        <v>60000</v>
      </c>
      <c r="P1538" s="4">
        <f ca="1">IFERROR(__xludf.DUMMYFUNCTION("IF(Cost_in_dollars!E1538=""USD"",Cost_in_dollars!C1538,Cost_in_dollars!C1538 * GOOGLEFINANCE(""CURRENCY:"" &amp; Cost_in_dollars!E1538 &amp; ""USD""))
"),40557)</f>
        <v>40557</v>
      </c>
      <c r="Q1538" s="4">
        <f t="shared" ca="1" si="36"/>
        <v>-19443</v>
      </c>
      <c r="R1538" s="5" t="str">
        <f t="shared" si="37"/>
        <v>The FP</v>
      </c>
      <c r="S1538" s="43" t="str">
        <f t="shared" ref="S1538:S1601" si="38">IF(ISNUMBER(FIND("|", D1538)), LEFT(D1538, FIND("|", D1538) - 1), D1538)</f>
        <v>Comedy</v>
      </c>
    </row>
    <row r="1539" spans="1:19" ht="15.75" customHeight="1" x14ac:dyDescent="0.25">
      <c r="A1539" s="6" t="s">
        <v>5314</v>
      </c>
      <c r="B1539" s="6">
        <v>32</v>
      </c>
      <c r="C1539" s="6">
        <v>9109322</v>
      </c>
      <c r="D1539" s="6" t="s">
        <v>5315</v>
      </c>
      <c r="E1539" s="6" t="s">
        <v>5316</v>
      </c>
      <c r="F1539" s="6" t="s">
        <v>5317</v>
      </c>
      <c r="G1539" s="6">
        <v>25371</v>
      </c>
      <c r="H1539" s="6" t="s">
        <v>5318</v>
      </c>
      <c r="I1539" s="6">
        <v>129</v>
      </c>
      <c r="J1539" s="6" t="s">
        <v>23</v>
      </c>
      <c r="K1539" s="6" t="s">
        <v>176</v>
      </c>
      <c r="L1539" s="6">
        <v>20000000</v>
      </c>
      <c r="M1539" s="6">
        <v>2004</v>
      </c>
      <c r="N1539" s="6">
        <v>1.9</v>
      </c>
      <c r="O1539" s="4">
        <f ca="1">IFERROR(__xludf.DUMMYFUNCTION("IF(Cost_in_dollars!E1539=""USD"",Cost_in_dollars!B1539,Cost_in_dollars!B1539 * GOOGLEFINANCE(""CURRENCY:"" &amp; Cost_in_dollars!E1539 &amp; ""USD""))
"),21694800)</f>
        <v>21694800</v>
      </c>
      <c r="P1539" s="4">
        <f ca="1">IFERROR(__xludf.DUMMYFUNCTION("IF(Cost_in_dollars!E1539=""USD"",Cost_in_dollars!C1539,Cost_in_dollars!C1539 * GOOGLEFINANCE(""CURRENCY:"" &amp; Cost_in_dollars!E1539 &amp; ""USD""))
"),9881245.94628)</f>
        <v>9881245.9462800007</v>
      </c>
      <c r="Q1539" s="6">
        <f t="shared" ca="1" si="36"/>
        <v>-11813554.053719999</v>
      </c>
      <c r="R1539" s="7" t="str">
        <f t="shared" si="37"/>
        <v>Superbabies: Baby Geniuses 2</v>
      </c>
      <c r="S1539" s="43" t="str">
        <f t="shared" si="38"/>
        <v>Comedy</v>
      </c>
    </row>
    <row r="1540" spans="1:19" ht="15.75" customHeight="1" x14ac:dyDescent="0.25">
      <c r="A1540" s="4" t="s">
        <v>2707</v>
      </c>
      <c r="B1540" s="4">
        <v>117</v>
      </c>
      <c r="C1540" s="4">
        <v>60984028</v>
      </c>
      <c r="D1540" s="4" t="s">
        <v>314</v>
      </c>
      <c r="E1540" s="4" t="s">
        <v>1173</v>
      </c>
      <c r="F1540" s="4" t="s">
        <v>5319</v>
      </c>
      <c r="G1540" s="4">
        <v>259519</v>
      </c>
      <c r="H1540" s="4" t="s">
        <v>5320</v>
      </c>
      <c r="I1540" s="4">
        <v>431</v>
      </c>
      <c r="J1540" s="4" t="s">
        <v>23</v>
      </c>
      <c r="K1540" s="4" t="s">
        <v>24</v>
      </c>
      <c r="L1540" s="4">
        <v>57000000</v>
      </c>
      <c r="M1540" s="4">
        <v>1997</v>
      </c>
      <c r="N1540" s="4">
        <v>7.5</v>
      </c>
      <c r="O1540" s="4">
        <f ca="1">IFERROR(__xludf.DUMMYFUNCTION("IF(Cost_in_dollars!E1540=""USD"",Cost_in_dollars!B1540,Cost_in_dollars!B1540 * GOOGLEFINANCE(""CURRENCY:"" &amp; Cost_in_dollars!E1540 &amp; ""USD""))
"),57000000)</f>
        <v>57000000</v>
      </c>
      <c r="P1540" s="4">
        <f ca="1">IFERROR(__xludf.DUMMYFUNCTION("IF(Cost_in_dollars!E1540=""USD"",Cost_in_dollars!C1540,Cost_in_dollars!C1540 * GOOGLEFINANCE(""CURRENCY:"" &amp; Cost_in_dollars!E1540 &amp; ""USD""))
"),60984028)</f>
        <v>60984028</v>
      </c>
      <c r="Q1540" s="4">
        <f t="shared" ca="1" si="36"/>
        <v>3984028</v>
      </c>
      <c r="R1540" s="5" t="str">
        <f t="shared" si="37"/>
        <v>The Devil's Advocate</v>
      </c>
      <c r="S1540" s="43" t="str">
        <f t="shared" si="38"/>
        <v>Drama</v>
      </c>
    </row>
    <row r="1541" spans="1:19" ht="15.75" customHeight="1" x14ac:dyDescent="0.25">
      <c r="A1541" s="6" t="s">
        <v>5321</v>
      </c>
      <c r="B1541" s="6">
        <v>252</v>
      </c>
      <c r="C1541" s="6">
        <v>17605861</v>
      </c>
      <c r="D1541" s="6" t="s">
        <v>5322</v>
      </c>
      <c r="E1541" s="6" t="s">
        <v>3269</v>
      </c>
      <c r="F1541" s="6" t="s">
        <v>5323</v>
      </c>
      <c r="G1541" s="6">
        <v>145580</v>
      </c>
      <c r="H1541" s="6" t="s">
        <v>5324</v>
      </c>
      <c r="I1541" s="6">
        <v>351</v>
      </c>
      <c r="J1541" s="6" t="s">
        <v>23</v>
      </c>
      <c r="K1541" s="6" t="s">
        <v>133</v>
      </c>
      <c r="L1541" s="6">
        <v>6000000</v>
      </c>
      <c r="M1541" s="6">
        <v>2006</v>
      </c>
      <c r="N1541" s="6">
        <v>7.7</v>
      </c>
      <c r="O1541" s="4">
        <f ca="1">IFERROR(__xludf.DUMMYFUNCTION("IF(Cost_in_dollars!E1541=""USD"",Cost_in_dollars!B1541,Cost_in_dollars!B1541 * GOOGLEFINANCE(""CURRENCY:"" &amp; Cost_in_dollars!E1541 &amp; ""USD""))
"),7712399.99999999)</f>
        <v>7712399.9999999898</v>
      </c>
      <c r="P1541" s="4">
        <f ca="1">IFERROR(__xludf.DUMMYFUNCTION("IF(Cost_in_dollars!E1541=""USD"",Cost_in_dollars!C1541,Cost_in_dollars!C1541 * GOOGLEFINANCE(""CURRENCY:"" &amp; Cost_in_dollars!E1541 &amp; ""USD""))
"),22630573.7293999)</f>
        <v>22630573.729399901</v>
      </c>
      <c r="Q1541" s="6">
        <f t="shared" ca="1" si="36"/>
        <v>14918173.729399912</v>
      </c>
      <c r="R1541" s="7" t="str">
        <f t="shared" si="37"/>
        <v>The Last King of Scotland</v>
      </c>
      <c r="S1541" s="43" t="str">
        <f t="shared" si="38"/>
        <v>Biography</v>
      </c>
    </row>
    <row r="1542" spans="1:19" ht="15.75" customHeight="1" x14ac:dyDescent="0.25">
      <c r="A1542" s="4" t="s">
        <v>3190</v>
      </c>
      <c r="B1542" s="4">
        <v>277</v>
      </c>
      <c r="C1542" s="4">
        <v>42575718</v>
      </c>
      <c r="D1542" s="4" t="s">
        <v>151</v>
      </c>
      <c r="E1542" s="4" t="s">
        <v>5325</v>
      </c>
      <c r="F1542" s="4" t="s">
        <v>5326</v>
      </c>
      <c r="G1542" s="4">
        <v>83788</v>
      </c>
      <c r="H1542" s="4" t="s">
        <v>5327</v>
      </c>
      <c r="I1542" s="4">
        <v>227</v>
      </c>
      <c r="J1542" s="4" t="s">
        <v>23</v>
      </c>
      <c r="K1542" s="4" t="s">
        <v>24</v>
      </c>
      <c r="L1542" s="4">
        <v>40000000</v>
      </c>
      <c r="M1542" s="4">
        <v>2011</v>
      </c>
      <c r="N1542" s="4">
        <v>5.9</v>
      </c>
      <c r="O1542" s="4">
        <f ca="1">IFERROR(__xludf.DUMMYFUNCTION("IF(Cost_in_dollars!E1542=""USD"",Cost_in_dollars!B1542,Cost_in_dollars!B1542 * GOOGLEFINANCE(""CURRENCY:"" &amp; Cost_in_dollars!E1542 &amp; ""USD""))
"),40000000)</f>
        <v>40000000</v>
      </c>
      <c r="P1542" s="4">
        <f ca="1">IFERROR(__xludf.DUMMYFUNCTION("IF(Cost_in_dollars!E1542=""USD"",Cost_in_dollars!C1542,Cost_in_dollars!C1542 * GOOGLEFINANCE(""CURRENCY:"" &amp; Cost_in_dollars!E1542 &amp; ""USD""))
"),42575718)</f>
        <v>42575718</v>
      </c>
      <c r="Q1542" s="4">
        <f t="shared" ca="1" si="36"/>
        <v>2575718</v>
      </c>
      <c r="R1542" s="5" t="str">
        <f t="shared" si="37"/>
        <v>Final Destination 5</v>
      </c>
      <c r="S1542" s="43" t="str">
        <f t="shared" si="38"/>
        <v>Horror</v>
      </c>
    </row>
    <row r="1543" spans="1:19" ht="15.75" customHeight="1" x14ac:dyDescent="0.25">
      <c r="A1543" s="6" t="s">
        <v>5328</v>
      </c>
      <c r="B1543" s="6">
        <v>161</v>
      </c>
      <c r="C1543" s="6">
        <v>6301131</v>
      </c>
      <c r="D1543" s="6" t="s">
        <v>1608</v>
      </c>
      <c r="E1543" s="6" t="s">
        <v>5029</v>
      </c>
      <c r="F1543" s="6" t="s">
        <v>5329</v>
      </c>
      <c r="G1543" s="6">
        <v>92850</v>
      </c>
      <c r="H1543" s="6" t="s">
        <v>5330</v>
      </c>
      <c r="I1543" s="6">
        <v>263</v>
      </c>
      <c r="J1543" s="6" t="s">
        <v>23</v>
      </c>
      <c r="K1543" s="6" t="s">
        <v>24</v>
      </c>
      <c r="L1543" s="6">
        <v>29000000</v>
      </c>
      <c r="M1543" s="6">
        <v>2005</v>
      </c>
      <c r="N1543" s="6">
        <v>7.1</v>
      </c>
      <c r="O1543" s="4">
        <f ca="1">IFERROR(__xludf.DUMMYFUNCTION("IF(Cost_in_dollars!E1543=""USD"",Cost_in_dollars!B1543,Cost_in_dollars!B1543 * GOOGLEFINANCE(""CURRENCY:"" &amp; Cost_in_dollars!E1543 &amp; ""USD""))
"),29000000)</f>
        <v>29000000</v>
      </c>
      <c r="P1543" s="4">
        <f ca="1">IFERROR(__xludf.DUMMYFUNCTION("IF(Cost_in_dollars!E1543=""USD"",Cost_in_dollars!C1543,Cost_in_dollars!C1543 * GOOGLEFINANCE(""CURRENCY:"" &amp; Cost_in_dollars!E1543 &amp; ""USD""))
"),6301131)</f>
        <v>6301131</v>
      </c>
      <c r="Q1543" s="6">
        <f t="shared" ca="1" si="36"/>
        <v>-22698869</v>
      </c>
      <c r="R1543" s="7" t="str">
        <f t="shared" si="37"/>
        <v>The Jacket</v>
      </c>
      <c r="S1543" s="43" t="str">
        <f t="shared" si="38"/>
        <v>Drama</v>
      </c>
    </row>
    <row r="1544" spans="1:19" ht="15.75" customHeight="1" x14ac:dyDescent="0.25">
      <c r="A1544" s="4" t="s">
        <v>4332</v>
      </c>
      <c r="B1544" s="4">
        <v>391</v>
      </c>
      <c r="C1544" s="4">
        <v>62563543</v>
      </c>
      <c r="D1544" s="4" t="s">
        <v>1788</v>
      </c>
      <c r="E1544" s="4" t="s">
        <v>84</v>
      </c>
      <c r="F1544" s="4" t="s">
        <v>5331</v>
      </c>
      <c r="G1544" s="4">
        <v>115216</v>
      </c>
      <c r="H1544" s="4" t="s">
        <v>5332</v>
      </c>
      <c r="I1544" s="4">
        <v>289</v>
      </c>
      <c r="J1544" s="4" t="s">
        <v>23</v>
      </c>
      <c r="K1544" s="4" t="s">
        <v>24</v>
      </c>
      <c r="L1544" s="4">
        <v>53000000</v>
      </c>
      <c r="M1544" s="4">
        <v>2015</v>
      </c>
      <c r="N1544" s="4">
        <v>7</v>
      </c>
      <c r="O1544" s="4">
        <f ca="1">IFERROR(__xludf.DUMMYFUNCTION("IF(Cost_in_dollars!E1544=""USD"",Cost_in_dollars!B1544,Cost_in_dollars!B1544 * GOOGLEFINANCE(""CURRENCY:"" &amp; Cost_in_dollars!E1544 &amp; ""USD""))
"),53000000)</f>
        <v>53000000</v>
      </c>
      <c r="P1544" s="4">
        <f ca="1">IFERROR(__xludf.DUMMYFUNCTION("IF(Cost_in_dollars!E1544=""USD"",Cost_in_dollars!C1544,Cost_in_dollars!C1544 * GOOGLEFINANCE(""CURRENCY:"" &amp; Cost_in_dollars!E1544 &amp; ""USD""))
"),62563543)</f>
        <v>62563543</v>
      </c>
      <c r="Q1544" s="4">
        <f t="shared" ca="1" si="36"/>
        <v>9563543</v>
      </c>
      <c r="R1544" s="5" t="str">
        <f t="shared" si="37"/>
        <v>Black Mass</v>
      </c>
      <c r="S1544" s="43" t="str">
        <f t="shared" si="38"/>
        <v>Biography</v>
      </c>
    </row>
    <row r="1545" spans="1:19" ht="15.75" customHeight="1" x14ac:dyDescent="0.25">
      <c r="A1545" s="6" t="s">
        <v>5333</v>
      </c>
      <c r="B1545" s="6">
        <v>147</v>
      </c>
      <c r="C1545" s="6">
        <v>6842058</v>
      </c>
      <c r="D1545" s="6" t="s">
        <v>2760</v>
      </c>
      <c r="E1545" s="6" t="s">
        <v>5334</v>
      </c>
      <c r="F1545" s="6" t="s">
        <v>5335</v>
      </c>
      <c r="G1545" s="6">
        <v>36029</v>
      </c>
      <c r="H1545" s="6" t="s">
        <v>5336</v>
      </c>
      <c r="I1545" s="6">
        <v>99</v>
      </c>
      <c r="J1545" s="6" t="s">
        <v>23</v>
      </c>
      <c r="K1545" s="6" t="s">
        <v>24</v>
      </c>
      <c r="L1545" s="6">
        <v>10000000</v>
      </c>
      <c r="M1545" s="6">
        <v>2012</v>
      </c>
      <c r="N1545" s="6">
        <v>6.1</v>
      </c>
      <c r="O1545" s="4">
        <f ca="1">IFERROR(__xludf.DUMMYFUNCTION("IF(Cost_in_dollars!E1545=""USD"",Cost_in_dollars!B1545,Cost_in_dollars!B1545 * GOOGLEFINANCE(""CURRENCY:"" &amp; Cost_in_dollars!E1545 &amp; ""USD""))
"),10000000)</f>
        <v>10000000</v>
      </c>
      <c r="P1545" s="4">
        <f ca="1">IFERROR(__xludf.DUMMYFUNCTION("IF(Cost_in_dollars!E1545=""USD"",Cost_in_dollars!C1545,Cost_in_dollars!C1545 * GOOGLEFINANCE(""CURRENCY:"" &amp; Cost_in_dollars!E1545 &amp; ""USD""))
"),6842058)</f>
        <v>6842058</v>
      </c>
      <c r="Q1545" s="6">
        <f t="shared" ca="1" si="36"/>
        <v>-3157942</v>
      </c>
      <c r="R1545" s="7" t="str">
        <f t="shared" si="37"/>
        <v>The Collection</v>
      </c>
      <c r="S1545" s="43" t="str">
        <f t="shared" si="38"/>
        <v>Action</v>
      </c>
    </row>
    <row r="1546" spans="1:19" ht="15.75" customHeight="1" x14ac:dyDescent="0.25">
      <c r="A1546" s="4" t="s">
        <v>4908</v>
      </c>
      <c r="B1546" s="4">
        <v>256</v>
      </c>
      <c r="C1546" s="4">
        <v>15081783</v>
      </c>
      <c r="D1546" s="4" t="s">
        <v>868</v>
      </c>
      <c r="E1546" s="4" t="s">
        <v>5337</v>
      </c>
      <c r="F1546" s="4" t="s">
        <v>5338</v>
      </c>
      <c r="G1546" s="4">
        <v>85589</v>
      </c>
      <c r="H1546" s="4" t="s">
        <v>5339</v>
      </c>
      <c r="I1546" s="4">
        <v>144</v>
      </c>
      <c r="J1546" s="4" t="s">
        <v>1550</v>
      </c>
      <c r="K1546" s="4" t="s">
        <v>1551</v>
      </c>
      <c r="L1546" s="4">
        <v>34000000</v>
      </c>
      <c r="M1546" s="4">
        <v>2008</v>
      </c>
      <c r="N1546" s="4">
        <v>7.7</v>
      </c>
      <c r="O1546" s="4">
        <f ca="1">IFERROR(__xludf.DUMMYFUNCTION("IF(Cost_in_dollars!E1546=""USD"",Cost_in_dollars!B1546,Cost_in_dollars!B1546 * GOOGLEFINANCE(""CURRENCY:"" &amp; Cost_in_dollars!E1546 &amp; ""USD""))
"),220884.4)</f>
        <v>220884.4</v>
      </c>
      <c r="P1546" s="4">
        <f ca="1">IFERROR(__xludf.DUMMYFUNCTION("IF(Cost_in_dollars!E1546=""USD"",Cost_in_dollars!C1546,Cost_in_dollars!C1546 * GOOGLEFINANCE(""CURRENCY:"" &amp; Cost_in_dollars!E1546 &amp; ""USD""))
"),97980.3114378)</f>
        <v>97980.311437800003</v>
      </c>
      <c r="Q1546" s="4">
        <f t="shared" ca="1" si="36"/>
        <v>-122904.08856219999</v>
      </c>
      <c r="R1546" s="5" t="str">
        <f t="shared" si="37"/>
        <v>Ponyo</v>
      </c>
      <c r="S1546" s="43" t="str">
        <f t="shared" si="38"/>
        <v>Adventure</v>
      </c>
    </row>
    <row r="1547" spans="1:19" ht="15.75" customHeight="1" x14ac:dyDescent="0.25">
      <c r="A1547" s="6" t="s">
        <v>3001</v>
      </c>
      <c r="B1547" s="6">
        <v>97</v>
      </c>
      <c r="C1547" s="6">
        <v>10200000</v>
      </c>
      <c r="D1547" s="6" t="s">
        <v>314</v>
      </c>
      <c r="E1547" s="6" t="s">
        <v>5340</v>
      </c>
      <c r="F1547" s="6" t="s">
        <v>5341</v>
      </c>
      <c r="G1547" s="6">
        <v>18697</v>
      </c>
      <c r="H1547" s="6" t="s">
        <v>5342</v>
      </c>
      <c r="I1547" s="6">
        <v>263</v>
      </c>
      <c r="J1547" s="6" t="s">
        <v>23</v>
      </c>
      <c r="K1547" s="6" t="s">
        <v>24</v>
      </c>
      <c r="L1547" s="6">
        <v>10000000</v>
      </c>
      <c r="M1547" s="6">
        <v>1997</v>
      </c>
      <c r="N1547" s="6">
        <v>7.3</v>
      </c>
      <c r="O1547" s="4">
        <f ca="1">IFERROR(__xludf.DUMMYFUNCTION("IF(Cost_in_dollars!E1547=""USD"",Cost_in_dollars!B1547,Cost_in_dollars!B1547 * GOOGLEFINANCE(""CURRENCY:"" &amp; Cost_in_dollars!E1547 &amp; ""USD""))
"),10000000)</f>
        <v>10000000</v>
      </c>
      <c r="P1547" s="4">
        <f ca="1">IFERROR(__xludf.DUMMYFUNCTION("IF(Cost_in_dollars!E1547=""USD"",Cost_in_dollars!C1547,Cost_in_dollars!C1547 * GOOGLEFINANCE(""CURRENCY:"" &amp; Cost_in_dollars!E1547 &amp; ""USD""))
"),10200000)</f>
        <v>10200000</v>
      </c>
      <c r="Q1547" s="6">
        <f t="shared" ca="1" si="36"/>
        <v>200000</v>
      </c>
      <c r="R1547" s="7" t="str">
        <f t="shared" si="37"/>
        <v>The Spanish Prisoner</v>
      </c>
      <c r="S1547" s="43" t="str">
        <f t="shared" si="38"/>
        <v>Drama</v>
      </c>
    </row>
    <row r="1548" spans="1:19" ht="15.75" customHeight="1" x14ac:dyDescent="0.25">
      <c r="A1548" s="4" t="s">
        <v>5343</v>
      </c>
      <c r="B1548" s="4">
        <v>440</v>
      </c>
      <c r="C1548" s="4">
        <v>778565</v>
      </c>
      <c r="D1548" s="4" t="s">
        <v>53</v>
      </c>
      <c r="E1548" s="4" t="s">
        <v>227</v>
      </c>
      <c r="F1548" s="4" t="s">
        <v>5344</v>
      </c>
      <c r="G1548" s="4">
        <v>83234</v>
      </c>
      <c r="H1548" s="4" t="s">
        <v>5345</v>
      </c>
      <c r="I1548" s="4">
        <v>475</v>
      </c>
      <c r="J1548" s="4" t="s">
        <v>23</v>
      </c>
      <c r="K1548" s="4" t="s">
        <v>4041</v>
      </c>
      <c r="L1548" s="4">
        <v>4800000</v>
      </c>
      <c r="M1548" s="4">
        <v>2013</v>
      </c>
      <c r="N1548" s="4">
        <v>5.7</v>
      </c>
      <c r="O1548" s="4">
        <f ca="1">IFERROR(__xludf.DUMMYFUNCTION("IF(Cost_in_dollars!E1548=""USD"",Cost_in_dollars!B1548,Cost_in_dollars!B1548 * GOOGLEFINANCE(""CURRENCY:"" &amp; Cost_in_dollars!E1548 &amp; ""USD""))
"),697643.999999999)</f>
        <v>697643.99999999895</v>
      </c>
      <c r="P1548" s="4">
        <f ca="1">IFERROR(__xludf.DUMMYFUNCTION("IF(Cost_in_dollars!E1548=""USD"",Cost_in_dollars!C1548,Cost_in_dollars!C1548 * GOOGLEFINANCE(""CURRENCY:"" &amp; Cost_in_dollars!E1548 &amp; ""USD""))
"),113158.583512499)</f>
        <v>113158.583512499</v>
      </c>
      <c r="Q1548" s="4">
        <f t="shared" ca="1" si="36"/>
        <v>-584485.41648749996</v>
      </c>
      <c r="R1548" s="5" t="str">
        <f t="shared" si="37"/>
        <v>Only God Forgives</v>
      </c>
      <c r="S1548" s="43" t="str">
        <f t="shared" si="38"/>
        <v>Crime</v>
      </c>
    </row>
    <row r="1549" spans="1:19" ht="15.75" customHeight="1" x14ac:dyDescent="0.25">
      <c r="A1549" s="6" t="s">
        <v>1258</v>
      </c>
      <c r="B1549" s="6">
        <v>61</v>
      </c>
      <c r="C1549" s="6">
        <v>64172251</v>
      </c>
      <c r="D1549" s="6" t="s">
        <v>618</v>
      </c>
      <c r="E1549" s="6" t="s">
        <v>1889</v>
      </c>
      <c r="F1549" s="6" t="s">
        <v>5346</v>
      </c>
      <c r="G1549" s="6">
        <v>19079</v>
      </c>
      <c r="H1549" s="6" t="s">
        <v>5347</v>
      </c>
      <c r="I1549" s="6">
        <v>122</v>
      </c>
      <c r="J1549" s="6" t="s">
        <v>23</v>
      </c>
      <c r="K1549" s="6" t="s">
        <v>24</v>
      </c>
      <c r="L1549" s="6">
        <v>30000000</v>
      </c>
      <c r="M1549" s="6">
        <v>2001</v>
      </c>
      <c r="N1549" s="6">
        <v>5.4</v>
      </c>
      <c r="O1549" s="4">
        <f ca="1">IFERROR(__xludf.DUMMYFUNCTION("IF(Cost_in_dollars!E1549=""USD"",Cost_in_dollars!B1549,Cost_in_dollars!B1549 * GOOGLEFINANCE(""CURRENCY:"" &amp; Cost_in_dollars!E1549 &amp; ""USD""))
"),30000000)</f>
        <v>30000000</v>
      </c>
      <c r="P1549" s="4">
        <f ca="1">IFERROR(__xludf.DUMMYFUNCTION("IF(Cost_in_dollars!E1549=""USD"",Cost_in_dollars!C1549,Cost_in_dollars!C1549 * GOOGLEFINANCE(""CURRENCY:"" &amp; Cost_in_dollars!E1549 &amp; ""USD""))
"),64172251)</f>
        <v>64172251</v>
      </c>
      <c r="Q1549" s="6">
        <f t="shared" ca="1" si="36"/>
        <v>34172251</v>
      </c>
      <c r="R1549" s="7" t="str">
        <f t="shared" si="37"/>
        <v>Down to Earth</v>
      </c>
      <c r="S1549" s="43" t="str">
        <f t="shared" si="38"/>
        <v>Comedy</v>
      </c>
    </row>
    <row r="1550" spans="1:19" ht="15.75" customHeight="1" x14ac:dyDescent="0.25">
      <c r="A1550" s="4" t="s">
        <v>30</v>
      </c>
      <c r="B1550" s="4">
        <v>317</v>
      </c>
      <c r="C1550" s="4">
        <v>13651662</v>
      </c>
      <c r="D1550" s="4" t="s">
        <v>135</v>
      </c>
      <c r="E1550" s="4" t="s">
        <v>1649</v>
      </c>
      <c r="F1550" s="4" t="s">
        <v>5348</v>
      </c>
      <c r="G1550" s="4">
        <v>332276</v>
      </c>
      <c r="H1550" s="4" t="s">
        <v>5349</v>
      </c>
      <c r="I1550" s="4">
        <v>514</v>
      </c>
      <c r="J1550" s="4" t="s">
        <v>23</v>
      </c>
      <c r="K1550" s="4" t="s">
        <v>24</v>
      </c>
      <c r="L1550" s="4">
        <v>25000000</v>
      </c>
      <c r="M1550" s="4">
        <v>2011</v>
      </c>
      <c r="N1550" s="4">
        <v>8.1999999999999993</v>
      </c>
      <c r="O1550" s="4">
        <f ca="1">IFERROR(__xludf.DUMMYFUNCTION("IF(Cost_in_dollars!E1550=""USD"",Cost_in_dollars!B1550,Cost_in_dollars!B1550 * GOOGLEFINANCE(""CURRENCY:"" &amp; Cost_in_dollars!E1550 &amp; ""USD""))
"),25000000)</f>
        <v>25000000</v>
      </c>
      <c r="P1550" s="4">
        <f ca="1">IFERROR(__xludf.DUMMYFUNCTION("IF(Cost_in_dollars!E1550=""USD"",Cost_in_dollars!C1550,Cost_in_dollars!C1550 * GOOGLEFINANCE(""CURRENCY:"" &amp; Cost_in_dollars!E1550 &amp; ""USD""))
"),13651662)</f>
        <v>13651662</v>
      </c>
      <c r="Q1550" s="4">
        <f t="shared" ca="1" si="36"/>
        <v>-11348338</v>
      </c>
      <c r="R1550" s="5" t="str">
        <f t="shared" si="37"/>
        <v>Warrior</v>
      </c>
      <c r="S1550" s="43" t="str">
        <f t="shared" si="38"/>
        <v>Drama</v>
      </c>
    </row>
    <row r="1551" spans="1:19" ht="15.75" customHeight="1" x14ac:dyDescent="0.25">
      <c r="A1551" s="6" t="s">
        <v>3030</v>
      </c>
      <c r="B1551" s="6">
        <v>349</v>
      </c>
      <c r="C1551" s="6">
        <v>37877959</v>
      </c>
      <c r="D1551" s="6" t="s">
        <v>4963</v>
      </c>
      <c r="E1551" s="6" t="s">
        <v>5350</v>
      </c>
      <c r="F1551" s="6" t="s">
        <v>5351</v>
      </c>
      <c r="G1551" s="6">
        <v>86664</v>
      </c>
      <c r="H1551" s="6" t="s">
        <v>5352</v>
      </c>
      <c r="I1551" s="6">
        <v>252</v>
      </c>
      <c r="J1551" s="6" t="s">
        <v>23</v>
      </c>
      <c r="K1551" s="6" t="s">
        <v>24</v>
      </c>
      <c r="L1551" s="6">
        <v>15000000</v>
      </c>
      <c r="M1551" s="6">
        <v>2014</v>
      </c>
      <c r="N1551" s="6">
        <v>7.1</v>
      </c>
      <c r="O1551" s="4">
        <f ca="1">IFERROR(__xludf.DUMMYFUNCTION("IF(Cost_in_dollars!E1551=""USD"",Cost_in_dollars!B1551,Cost_in_dollars!B1551 * GOOGLEFINANCE(""CURRENCY:"" &amp; Cost_in_dollars!E1551 &amp; ""USD""))
"),15000000)</f>
        <v>15000000</v>
      </c>
      <c r="P1551" s="4">
        <f ca="1">IFERROR(__xludf.DUMMYFUNCTION("IF(Cost_in_dollars!E1551=""USD"",Cost_in_dollars!C1551,Cost_in_dollars!C1551 * GOOGLEFINANCE(""CURRENCY:"" &amp; Cost_in_dollars!E1551 &amp; ""USD""))
"),37877959)</f>
        <v>37877959</v>
      </c>
      <c r="Q1551" s="6">
        <f t="shared" ca="1" si="36"/>
        <v>22877959</v>
      </c>
      <c r="R1551" s="7" t="str">
        <f t="shared" si="37"/>
        <v>Wild</v>
      </c>
      <c r="S1551" s="43" t="str">
        <f t="shared" si="38"/>
        <v>Adventure</v>
      </c>
    </row>
    <row r="1552" spans="1:19" ht="15.75" customHeight="1" x14ac:dyDescent="0.25">
      <c r="A1552" s="4" t="s">
        <v>1830</v>
      </c>
      <c r="B1552" s="4">
        <v>62</v>
      </c>
      <c r="C1552" s="4">
        <v>54800000</v>
      </c>
      <c r="D1552" s="4" t="s">
        <v>102</v>
      </c>
      <c r="E1552" s="4" t="s">
        <v>5353</v>
      </c>
      <c r="F1552" s="4" t="s">
        <v>5354</v>
      </c>
      <c r="G1552" s="4">
        <v>35130</v>
      </c>
      <c r="H1552" s="4" t="s">
        <v>5355</v>
      </c>
      <c r="I1552" s="4">
        <v>283</v>
      </c>
      <c r="J1552" s="4" t="s">
        <v>23</v>
      </c>
      <c r="K1552" s="4" t="s">
        <v>24</v>
      </c>
      <c r="L1552" s="4">
        <v>6000000</v>
      </c>
      <c r="M1552" s="4">
        <v>1980</v>
      </c>
      <c r="N1552" s="4">
        <v>7.8</v>
      </c>
      <c r="O1552" s="4">
        <f ca="1">IFERROR(__xludf.DUMMYFUNCTION("IF(Cost_in_dollars!E1552=""USD"",Cost_in_dollars!B1552,Cost_in_dollars!B1552 * GOOGLEFINANCE(""CURRENCY:"" &amp; Cost_in_dollars!E1552 &amp; ""USD""))
"),6000000)</f>
        <v>6000000</v>
      </c>
      <c r="P1552" s="4">
        <f ca="1">IFERROR(__xludf.DUMMYFUNCTION("IF(Cost_in_dollars!E1552=""USD"",Cost_in_dollars!C1552,Cost_in_dollars!C1552 * GOOGLEFINANCE(""CURRENCY:"" &amp; Cost_in_dollars!E1552 &amp; ""USD""))
"),54800000)</f>
        <v>54800000</v>
      </c>
      <c r="Q1552" s="4">
        <f t="shared" ca="1" si="36"/>
        <v>48800000</v>
      </c>
      <c r="R1552" s="5" t="str">
        <f t="shared" si="37"/>
        <v>Ordinary People</v>
      </c>
      <c r="S1552" s="43" t="str">
        <f t="shared" si="38"/>
        <v>Drama</v>
      </c>
    </row>
    <row r="1553" spans="1:19" ht="15.75" customHeight="1" x14ac:dyDescent="0.25">
      <c r="A1553" s="6" t="s">
        <v>5356</v>
      </c>
      <c r="B1553" s="6">
        <v>192</v>
      </c>
      <c r="C1553" s="6">
        <v>33682273</v>
      </c>
      <c r="D1553" s="6" t="s">
        <v>504</v>
      </c>
      <c r="E1553" s="6" t="s">
        <v>5357</v>
      </c>
      <c r="F1553" s="6" t="s">
        <v>5358</v>
      </c>
      <c r="G1553" s="6">
        <v>124242</v>
      </c>
      <c r="H1553" s="6" t="s">
        <v>5359</v>
      </c>
      <c r="I1553" s="6">
        <v>622</v>
      </c>
      <c r="J1553" s="6" t="s">
        <v>23</v>
      </c>
      <c r="K1553" s="6" t="s">
        <v>24</v>
      </c>
      <c r="L1553" s="6">
        <v>33000000</v>
      </c>
      <c r="M1553" s="6">
        <v>2004</v>
      </c>
      <c r="N1553" s="6">
        <v>6.5</v>
      </c>
      <c r="O1553" s="4">
        <f ca="1">IFERROR(__xludf.DUMMYFUNCTION("IF(Cost_in_dollars!E1553=""USD"",Cost_in_dollars!B1553,Cost_in_dollars!B1553 * GOOGLEFINANCE(""CURRENCY:"" &amp; Cost_in_dollars!E1553 &amp; ""USD""))
"),33000000)</f>
        <v>33000000</v>
      </c>
      <c r="P1553" s="4">
        <f ca="1">IFERROR(__xludf.DUMMYFUNCTION("IF(Cost_in_dollars!E1553=""USD"",Cost_in_dollars!C1553,Cost_in_dollars!C1553 * GOOGLEFINANCE(""CURRENCY:"" &amp; Cost_in_dollars!E1553 &amp; ""USD""))
"),33682273)</f>
        <v>33682273</v>
      </c>
      <c r="Q1553" s="6">
        <f t="shared" ca="1" si="36"/>
        <v>682273</v>
      </c>
      <c r="R1553" s="7" t="str">
        <f t="shared" si="37"/>
        <v>The Punisher</v>
      </c>
      <c r="S1553" s="43" t="str">
        <f t="shared" si="38"/>
        <v>Action</v>
      </c>
    </row>
    <row r="1554" spans="1:19" ht="15.75" customHeight="1" x14ac:dyDescent="0.25">
      <c r="A1554" s="4" t="s">
        <v>5360</v>
      </c>
      <c r="B1554" s="4">
        <v>111</v>
      </c>
      <c r="C1554" s="4">
        <v>28014536</v>
      </c>
      <c r="D1554" s="4" t="s">
        <v>1309</v>
      </c>
      <c r="E1554" s="4" t="s">
        <v>1407</v>
      </c>
      <c r="F1554" s="4" t="s">
        <v>5361</v>
      </c>
      <c r="G1554" s="4">
        <v>73347</v>
      </c>
      <c r="H1554" s="4" t="s">
        <v>5362</v>
      </c>
      <c r="I1554" s="4">
        <v>296</v>
      </c>
      <c r="J1554" s="4" t="s">
        <v>23</v>
      </c>
      <c r="K1554" s="4" t="s">
        <v>24</v>
      </c>
      <c r="L1554" s="4">
        <v>15000000</v>
      </c>
      <c r="M1554" s="4">
        <v>1997</v>
      </c>
      <c r="N1554" s="4">
        <v>7.4</v>
      </c>
      <c r="O1554" s="4">
        <f ca="1">IFERROR(__xludf.DUMMYFUNCTION("IF(Cost_in_dollars!E1554=""USD"",Cost_in_dollars!B1554,Cost_in_dollars!B1554 * GOOGLEFINANCE(""CURRENCY:"" &amp; Cost_in_dollars!E1554 &amp; ""USD""))
"),15000000)</f>
        <v>15000000</v>
      </c>
      <c r="P1554" s="4">
        <f ca="1">IFERROR(__xludf.DUMMYFUNCTION("IF(Cost_in_dollars!E1554=""USD"",Cost_in_dollars!C1554,Cost_in_dollars!C1554 * GOOGLEFINANCE(""CURRENCY:"" &amp; Cost_in_dollars!E1554 &amp; ""USD""))
"),28014536)</f>
        <v>28014536</v>
      </c>
      <c r="Q1554" s="4">
        <f t="shared" ca="1" si="36"/>
        <v>13014536</v>
      </c>
      <c r="R1554" s="5" t="str">
        <f t="shared" si="37"/>
        <v>Grosse Pointe Blank</v>
      </c>
      <c r="S1554" s="43" t="str">
        <f t="shared" si="38"/>
        <v>Action</v>
      </c>
    </row>
    <row r="1555" spans="1:19" ht="15.75" customHeight="1" x14ac:dyDescent="0.25">
      <c r="A1555" s="6" t="s">
        <v>4820</v>
      </c>
      <c r="B1555" s="6">
        <v>28</v>
      </c>
      <c r="C1555" s="6">
        <v>27900000</v>
      </c>
      <c r="D1555" s="6" t="s">
        <v>116</v>
      </c>
      <c r="E1555" s="6" t="s">
        <v>269</v>
      </c>
      <c r="F1555" s="6" t="s">
        <v>5363</v>
      </c>
      <c r="G1555" s="6">
        <v>39508</v>
      </c>
      <c r="H1555" s="6" t="s">
        <v>5364</v>
      </c>
      <c r="I1555" s="6">
        <v>96</v>
      </c>
      <c r="J1555" s="6" t="s">
        <v>23</v>
      </c>
      <c r="K1555" s="6" t="s">
        <v>24</v>
      </c>
      <c r="L1555" s="6">
        <v>3500000</v>
      </c>
      <c r="M1555" s="6">
        <v>1993</v>
      </c>
      <c r="N1555" s="6">
        <v>7.5</v>
      </c>
      <c r="O1555" s="4">
        <f ca="1">IFERROR(__xludf.DUMMYFUNCTION("IF(Cost_in_dollars!E1555=""USD"",Cost_in_dollars!B1555,Cost_in_dollars!B1555 * GOOGLEFINANCE(""CURRENCY:"" &amp; Cost_in_dollars!E1555 &amp; ""USD""))
"),3500000)</f>
        <v>3500000</v>
      </c>
      <c r="P1555" s="4">
        <f ca="1">IFERROR(__xludf.DUMMYFUNCTION("IF(Cost_in_dollars!E1555=""USD"",Cost_in_dollars!C1555,Cost_in_dollars!C1555 * GOOGLEFINANCE(""CURRENCY:"" &amp; Cost_in_dollars!E1555 &amp; ""USD""))
"),27900000)</f>
        <v>27900000</v>
      </c>
      <c r="Q1555" s="6">
        <f t="shared" ca="1" si="36"/>
        <v>24400000</v>
      </c>
      <c r="R1555" s="7" t="str">
        <f t="shared" si="37"/>
        <v>Menace II Society</v>
      </c>
      <c r="S1555" s="43" t="str">
        <f t="shared" si="38"/>
        <v>Crime</v>
      </c>
    </row>
    <row r="1556" spans="1:19" ht="15.75" customHeight="1" x14ac:dyDescent="0.25">
      <c r="A1556" s="4" t="s">
        <v>5365</v>
      </c>
      <c r="B1556" s="4">
        <v>125</v>
      </c>
      <c r="C1556" s="4">
        <v>15279680</v>
      </c>
      <c r="D1556" s="4" t="s">
        <v>155</v>
      </c>
      <c r="E1556" s="4" t="s">
        <v>461</v>
      </c>
      <c r="F1556" s="4" t="s">
        <v>5366</v>
      </c>
      <c r="G1556" s="4">
        <v>48245</v>
      </c>
      <c r="H1556" s="4" t="s">
        <v>5367</v>
      </c>
      <c r="I1556" s="4">
        <v>154</v>
      </c>
      <c r="J1556" s="4" t="s">
        <v>23</v>
      </c>
      <c r="K1556" s="4" t="s">
        <v>24</v>
      </c>
      <c r="L1556" s="4">
        <v>40000000</v>
      </c>
      <c r="M1556" s="4">
        <v>2008</v>
      </c>
      <c r="N1556" s="4">
        <v>5.4</v>
      </c>
      <c r="O1556" s="4">
        <f ca="1">IFERROR(__xludf.DUMMYFUNCTION("IF(Cost_in_dollars!E1556=""USD"",Cost_in_dollars!B1556,Cost_in_dollars!B1556 * GOOGLEFINANCE(""CURRENCY:"" &amp; Cost_in_dollars!E1556 &amp; ""USD""))
"),40000000)</f>
        <v>40000000</v>
      </c>
      <c r="P1556" s="4">
        <f ca="1">IFERROR(__xludf.DUMMYFUNCTION("IF(Cost_in_dollars!E1556=""USD"",Cost_in_dollars!C1556,Cost_in_dollars!C1556 * GOOGLEFINANCE(""CURRENCY:"" &amp; Cost_in_dollars!E1556 &amp; ""USD""))
"),15279680)</f>
        <v>15279680</v>
      </c>
      <c r="Q1556" s="4">
        <f t="shared" ca="1" si="36"/>
        <v>-24720320</v>
      </c>
      <c r="R1556" s="5" t="str">
        <f t="shared" si="37"/>
        <v>Bangkok Dangerous</v>
      </c>
      <c r="S1556" s="43" t="str">
        <f t="shared" si="38"/>
        <v>Action</v>
      </c>
    </row>
    <row r="1557" spans="1:19" ht="15.75" customHeight="1" x14ac:dyDescent="0.25">
      <c r="A1557" s="6" t="s">
        <v>5368</v>
      </c>
      <c r="B1557" s="6">
        <v>94</v>
      </c>
      <c r="C1557" s="6">
        <v>1221261</v>
      </c>
      <c r="D1557" s="6" t="s">
        <v>116</v>
      </c>
      <c r="E1557" s="6" t="s">
        <v>2233</v>
      </c>
      <c r="F1557" s="6" t="s">
        <v>5369</v>
      </c>
      <c r="G1557" s="6">
        <v>38215</v>
      </c>
      <c r="H1557" s="6" t="s">
        <v>5370</v>
      </c>
      <c r="I1557" s="6">
        <v>125</v>
      </c>
      <c r="J1557" s="6" t="s">
        <v>1569</v>
      </c>
      <c r="K1557" s="6" t="s">
        <v>2236</v>
      </c>
      <c r="L1557" s="6">
        <v>1500000</v>
      </c>
      <c r="M1557" s="6">
        <v>2000</v>
      </c>
      <c r="N1557" s="6">
        <v>7.9</v>
      </c>
      <c r="O1557" s="4">
        <f ca="1">IFERROR(__xludf.DUMMYFUNCTION("IF(Cost_in_dollars!E1557=""USD"",Cost_in_dollars!B1557,Cost_in_dollars!B1557 * GOOGLEFINANCE(""CURRENCY:"" &amp; Cost_in_dollars!E1557 &amp; ""USD""))
"),1613.7855)</f>
        <v>1613.7855</v>
      </c>
      <c r="P1557" s="4">
        <f ca="1">IFERROR(__xludf.DUMMYFUNCTION("IF(Cost_in_dollars!E1557=""USD"",Cost_in_dollars!C1557,Cost_in_dollars!C1557 * GOOGLEFINANCE(""CURRENCY:"" &amp; Cost_in_dollars!E1557 &amp; ""USD""))
"),1313.902195677)</f>
        <v>1313.902195677</v>
      </c>
      <c r="Q1557" s="6">
        <f t="shared" ca="1" si="36"/>
        <v>-299.88330432299995</v>
      </c>
      <c r="R1557" s="7" t="str">
        <f t="shared" si="37"/>
        <v>Nine Queens</v>
      </c>
      <c r="S1557" s="43" t="str">
        <f t="shared" si="38"/>
        <v>Crime</v>
      </c>
    </row>
    <row r="1558" spans="1:19" ht="15.75" customHeight="1" x14ac:dyDescent="0.25">
      <c r="A1558" s="4" t="s">
        <v>124</v>
      </c>
      <c r="B1558" s="4">
        <v>142</v>
      </c>
      <c r="C1558" s="4">
        <v>145096820</v>
      </c>
      <c r="D1558" s="4" t="s">
        <v>140</v>
      </c>
      <c r="E1558" s="4" t="s">
        <v>3892</v>
      </c>
      <c r="F1558" s="4" t="s">
        <v>5371</v>
      </c>
      <c r="G1558" s="4">
        <v>200260</v>
      </c>
      <c r="H1558" s="4" t="s">
        <v>5372</v>
      </c>
      <c r="I1558" s="4">
        <v>431</v>
      </c>
      <c r="J1558" s="4" t="s">
        <v>23</v>
      </c>
      <c r="K1558" s="4" t="s">
        <v>24</v>
      </c>
      <c r="L1558" s="4">
        <v>30000000</v>
      </c>
      <c r="M1558" s="4">
        <v>2001</v>
      </c>
      <c r="N1558" s="4">
        <v>6.4</v>
      </c>
      <c r="O1558" s="4">
        <f ca="1">IFERROR(__xludf.DUMMYFUNCTION("IF(Cost_in_dollars!E1558=""USD"",Cost_in_dollars!B1558,Cost_in_dollars!B1558 * GOOGLEFINANCE(""CURRENCY:"" &amp; Cost_in_dollars!E1558 &amp; ""USD""))
"),30000000)</f>
        <v>30000000</v>
      </c>
      <c r="P1558" s="4">
        <f ca="1">IFERROR(__xludf.DUMMYFUNCTION("IF(Cost_in_dollars!E1558=""USD"",Cost_in_dollars!C1558,Cost_in_dollars!C1558 * GOOGLEFINANCE(""CURRENCY:"" &amp; Cost_in_dollars!E1558 &amp; ""USD""))
"),145096820)</f>
        <v>145096820</v>
      </c>
      <c r="Q1558" s="4">
        <f t="shared" ca="1" si="36"/>
        <v>115096820</v>
      </c>
      <c r="R1558" s="5" t="str">
        <f t="shared" si="37"/>
        <v>American Pie 2</v>
      </c>
      <c r="S1558" s="43" t="str">
        <f t="shared" si="38"/>
        <v>Comedy</v>
      </c>
    </row>
    <row r="1559" spans="1:19" ht="15.75" customHeight="1" x14ac:dyDescent="0.25">
      <c r="A1559" s="6" t="s">
        <v>5373</v>
      </c>
      <c r="B1559" s="6">
        <v>180</v>
      </c>
      <c r="C1559" s="6">
        <v>617840</v>
      </c>
      <c r="D1559" s="6" t="s">
        <v>5374</v>
      </c>
      <c r="E1559" s="6" t="s">
        <v>5375</v>
      </c>
      <c r="F1559" s="6" t="s">
        <v>5376</v>
      </c>
      <c r="G1559" s="6">
        <v>52496</v>
      </c>
      <c r="H1559" s="6" t="s">
        <v>5377</v>
      </c>
      <c r="I1559" s="6">
        <v>172</v>
      </c>
      <c r="J1559" s="6" t="s">
        <v>23</v>
      </c>
      <c r="K1559" s="6" t="s">
        <v>1111</v>
      </c>
      <c r="L1559" s="6">
        <v>70000000</v>
      </c>
      <c r="M1559" s="6">
        <v>2009</v>
      </c>
      <c r="N1559" s="6">
        <v>7.2</v>
      </c>
      <c r="O1559" s="4">
        <f ca="1">IFERROR(__xludf.DUMMYFUNCTION("IF(Cost_in_dollars!E1559=""USD"",Cost_in_dollars!B1559,Cost_in_dollars!B1559 * GOOGLEFINANCE(""CURRENCY:"" &amp; Cost_in_dollars!E1559 &amp; ""USD""))
"),75931800)</f>
        <v>75931800</v>
      </c>
      <c r="P1559" s="4">
        <f ca="1">IFERROR(__xludf.DUMMYFUNCTION("IF(Cost_in_dollars!E1559=""USD"",Cost_in_dollars!C1559,Cost_in_dollars!C1559 * GOOGLEFINANCE(""CURRENCY:"" &amp; Cost_in_dollars!E1559 &amp; ""USD""))
"),670195.7616)</f>
        <v>670195.76159999997</v>
      </c>
      <c r="Q1559" s="6">
        <f t="shared" ca="1" si="36"/>
        <v>-75261604.238399997</v>
      </c>
      <c r="R1559" s="7" t="str">
        <f t="shared" si="37"/>
        <v>Agora</v>
      </c>
      <c r="S1559" s="43" t="str">
        <f t="shared" si="38"/>
        <v>Adventure</v>
      </c>
    </row>
    <row r="1560" spans="1:19" ht="15.75" customHeight="1" x14ac:dyDescent="0.25">
      <c r="A1560" s="4" t="s">
        <v>2008</v>
      </c>
      <c r="B1560" s="4">
        <v>45</v>
      </c>
      <c r="C1560" s="4">
        <v>7001720</v>
      </c>
      <c r="D1560" s="4" t="s">
        <v>618</v>
      </c>
      <c r="E1560" s="4" t="s">
        <v>5378</v>
      </c>
      <c r="F1560" s="4" t="s">
        <v>5379</v>
      </c>
      <c r="G1560" s="4">
        <v>8560</v>
      </c>
      <c r="H1560" s="4" t="s">
        <v>5380</v>
      </c>
      <c r="I1560" s="4">
        <v>205</v>
      </c>
      <c r="J1560" s="4" t="s">
        <v>23</v>
      </c>
      <c r="K1560" s="4" t="s">
        <v>24</v>
      </c>
      <c r="L1560" s="4">
        <v>12000000</v>
      </c>
      <c r="M1560" s="4">
        <v>2008</v>
      </c>
      <c r="N1560" s="4">
        <v>4.3</v>
      </c>
      <c r="O1560" s="4">
        <f ca="1">IFERROR(__xludf.DUMMYFUNCTION("IF(Cost_in_dollars!E1560=""USD"",Cost_in_dollars!B1560,Cost_in_dollars!B1560 * GOOGLEFINANCE(""CURRENCY:"" &amp; Cost_in_dollars!E1560 &amp; ""USD""))
"),12000000)</f>
        <v>12000000</v>
      </c>
      <c r="P1560" s="4">
        <f ca="1">IFERROR(__xludf.DUMMYFUNCTION("IF(Cost_in_dollars!E1560=""USD"",Cost_in_dollars!C1560,Cost_in_dollars!C1560 * GOOGLEFINANCE(""CURRENCY:"" &amp; Cost_in_dollars!E1560 &amp; ""USD""))
"),7001720)</f>
        <v>7001720</v>
      </c>
      <c r="Q1560" s="4">
        <f t="shared" ca="1" si="36"/>
        <v>-4998280</v>
      </c>
      <c r="R1560" s="5" t="str">
        <f t="shared" si="37"/>
        <v>An American Carol</v>
      </c>
      <c r="S1560" s="43" t="str">
        <f t="shared" si="38"/>
        <v>Comedy</v>
      </c>
    </row>
    <row r="1561" spans="1:19" ht="15.75" customHeight="1" x14ac:dyDescent="0.25">
      <c r="A1561" s="6" t="s">
        <v>5381</v>
      </c>
      <c r="B1561" s="6">
        <v>138</v>
      </c>
      <c r="C1561" s="6">
        <v>30000000</v>
      </c>
      <c r="D1561" s="6" t="s">
        <v>1242</v>
      </c>
      <c r="E1561" s="6" t="s">
        <v>5382</v>
      </c>
      <c r="F1561" s="6" t="s">
        <v>5383</v>
      </c>
      <c r="G1561" s="6">
        <v>43485</v>
      </c>
      <c r="H1561" s="6" t="s">
        <v>5384</v>
      </c>
      <c r="I1561" s="6">
        <v>327</v>
      </c>
      <c r="J1561" s="6" t="s">
        <v>23</v>
      </c>
      <c r="K1561" s="6" t="s">
        <v>24</v>
      </c>
      <c r="L1561" s="6">
        <v>2200000</v>
      </c>
      <c r="M1561" s="6">
        <v>1985</v>
      </c>
      <c r="N1561" s="6">
        <v>5.4</v>
      </c>
      <c r="O1561" s="4">
        <f ca="1">IFERROR(__xludf.DUMMYFUNCTION("IF(Cost_in_dollars!E1561=""USD"",Cost_in_dollars!B1561,Cost_in_dollars!B1561 * GOOGLEFINANCE(""CURRENCY:"" &amp; Cost_in_dollars!E1561 &amp; ""USD""))
"),2200000)</f>
        <v>2200000</v>
      </c>
      <c r="P1561" s="4">
        <f ca="1">IFERROR(__xludf.DUMMYFUNCTION("IF(Cost_in_dollars!E1561=""USD"",Cost_in_dollars!C1561,Cost_in_dollars!C1561 * GOOGLEFINANCE(""CURRENCY:"" &amp; Cost_in_dollars!E1561 &amp; ""USD""))
"),30000000)</f>
        <v>30000000</v>
      </c>
      <c r="Q1561" s="6">
        <f t="shared" ca="1" si="36"/>
        <v>27800000</v>
      </c>
      <c r="R1561" s="7" t="str">
        <f t="shared" si="37"/>
        <v>A Nightmare on Elm Street 2: Freddy's Revenge</v>
      </c>
      <c r="S1561" s="43" t="str">
        <f t="shared" si="38"/>
        <v>Fantasy</v>
      </c>
    </row>
    <row r="1562" spans="1:19" ht="15.75" customHeight="1" x14ac:dyDescent="0.25">
      <c r="A1562" s="4" t="s">
        <v>2291</v>
      </c>
      <c r="B1562" s="4">
        <v>323</v>
      </c>
      <c r="C1562" s="4">
        <v>47536959</v>
      </c>
      <c r="D1562" s="4" t="s">
        <v>102</v>
      </c>
      <c r="E1562" s="4" t="s">
        <v>2292</v>
      </c>
      <c r="F1562" s="4" t="s">
        <v>2293</v>
      </c>
      <c r="G1562" s="4">
        <v>86955</v>
      </c>
      <c r="H1562" s="4" t="s">
        <v>2294</v>
      </c>
      <c r="I1562" s="4">
        <v>275</v>
      </c>
      <c r="J1562" s="4" t="s">
        <v>23</v>
      </c>
      <c r="K1562" s="4" t="s">
        <v>24</v>
      </c>
      <c r="L1562" s="4">
        <v>10000000</v>
      </c>
      <c r="M1562" s="4">
        <v>2009</v>
      </c>
      <c r="N1562" s="4">
        <v>7.3</v>
      </c>
      <c r="O1562" s="4">
        <f ca="1">IFERROR(__xludf.DUMMYFUNCTION("IF(Cost_in_dollars!E1562=""USD"",Cost_in_dollars!B1562,Cost_in_dollars!B1562 * GOOGLEFINANCE(""CURRENCY:"" &amp; Cost_in_dollars!E1562 &amp; ""USD""))
"),10000000)</f>
        <v>10000000</v>
      </c>
      <c r="P1562" s="4">
        <f ca="1">IFERROR(__xludf.DUMMYFUNCTION("IF(Cost_in_dollars!E1562=""USD"",Cost_in_dollars!C1562,Cost_in_dollars!C1562 * GOOGLEFINANCE(""CURRENCY:"" &amp; Cost_in_dollars!E1562 &amp; ""USD""))
"),47536959)</f>
        <v>47536959</v>
      </c>
      <c r="Q1562" s="4">
        <f t="shared" ca="1" si="36"/>
        <v>37536959</v>
      </c>
      <c r="R1562" s="5" t="str">
        <f t="shared" si="37"/>
        <v>Precious</v>
      </c>
      <c r="S1562" s="43" t="str">
        <f t="shared" si="38"/>
        <v>Drama</v>
      </c>
    </row>
    <row r="1563" spans="1:19" ht="15.75" customHeight="1" x14ac:dyDescent="0.25">
      <c r="A1563" s="6" t="s">
        <v>5385</v>
      </c>
      <c r="B1563" s="6">
        <v>242</v>
      </c>
      <c r="C1563" s="6">
        <v>22858926</v>
      </c>
      <c r="D1563" s="6" t="s">
        <v>2452</v>
      </c>
      <c r="E1563" s="6" t="s">
        <v>5386</v>
      </c>
      <c r="F1563" s="6" t="s">
        <v>5387</v>
      </c>
      <c r="G1563" s="6">
        <v>254404</v>
      </c>
      <c r="H1563" s="6" t="s">
        <v>5388</v>
      </c>
      <c r="I1563" s="6">
        <v>840</v>
      </c>
      <c r="J1563" s="6" t="s">
        <v>23</v>
      </c>
      <c r="K1563" s="6" t="s">
        <v>24</v>
      </c>
      <c r="L1563" s="6">
        <v>13000000</v>
      </c>
      <c r="M1563" s="6">
        <v>1999</v>
      </c>
      <c r="N1563" s="6">
        <v>7.8</v>
      </c>
      <c r="O1563" s="4">
        <f ca="1">IFERROR(__xludf.DUMMYFUNCTION("IF(Cost_in_dollars!E1563=""USD"",Cost_in_dollars!B1563,Cost_in_dollars!B1563 * GOOGLEFINANCE(""CURRENCY:"" &amp; Cost_in_dollars!E1563 &amp; ""USD""))
"),13000000)</f>
        <v>13000000</v>
      </c>
      <c r="P1563" s="4">
        <f ca="1">IFERROR(__xludf.DUMMYFUNCTION("IF(Cost_in_dollars!E1563=""USD"",Cost_in_dollars!C1563,Cost_in_dollars!C1563 * GOOGLEFINANCE(""CURRENCY:"" &amp; Cost_in_dollars!E1563 &amp; ""USD""))
"),22858926)</f>
        <v>22858926</v>
      </c>
      <c r="Q1563" s="6">
        <f t="shared" ca="1" si="36"/>
        <v>9858926</v>
      </c>
      <c r="R1563" s="7" t="str">
        <f t="shared" si="37"/>
        <v>Being John Malkovich</v>
      </c>
      <c r="S1563" s="43" t="str">
        <f t="shared" si="38"/>
        <v>Comedy</v>
      </c>
    </row>
    <row r="1564" spans="1:19" ht="15.75" customHeight="1" x14ac:dyDescent="0.25">
      <c r="A1564" s="4" t="s">
        <v>5389</v>
      </c>
      <c r="B1564" s="4">
        <v>23</v>
      </c>
      <c r="C1564" s="4">
        <v>532190</v>
      </c>
      <c r="D1564" s="4" t="s">
        <v>5390</v>
      </c>
      <c r="E1564" s="4" t="s">
        <v>5391</v>
      </c>
      <c r="F1564" s="4" t="s">
        <v>5392</v>
      </c>
      <c r="G1564" s="4">
        <v>5673</v>
      </c>
      <c r="H1564" s="4" t="s">
        <v>5393</v>
      </c>
      <c r="I1564" s="4">
        <v>37</v>
      </c>
      <c r="J1564" s="4" t="s">
        <v>23</v>
      </c>
      <c r="K1564" s="4" t="s">
        <v>24</v>
      </c>
      <c r="L1564" s="4">
        <v>8000000</v>
      </c>
      <c r="M1564" s="4">
        <v>1997</v>
      </c>
      <c r="N1564" s="4">
        <v>6.8</v>
      </c>
      <c r="O1564" s="4">
        <f ca="1">IFERROR(__xludf.DUMMYFUNCTION("IF(Cost_in_dollars!E1564=""USD"",Cost_in_dollars!B1564,Cost_in_dollars!B1564 * GOOGLEFINANCE(""CURRENCY:"" &amp; Cost_in_dollars!E1564 &amp; ""USD""))
"),8000000)</f>
        <v>8000000</v>
      </c>
      <c r="P1564" s="4">
        <f ca="1">IFERROR(__xludf.DUMMYFUNCTION("IF(Cost_in_dollars!E1564=""USD"",Cost_in_dollars!C1564,Cost_in_dollars!C1564 * GOOGLEFINANCE(""CURRENCY:"" &amp; Cost_in_dollars!E1564 &amp; ""USD""))
"),532190)</f>
        <v>532190</v>
      </c>
      <c r="Q1564" s="4">
        <f t="shared" ca="1" si="36"/>
        <v>-7467810</v>
      </c>
      <c r="R1564" s="5" t="str">
        <f t="shared" si="37"/>
        <v>Prefontaine</v>
      </c>
      <c r="S1564" s="43" t="str">
        <f t="shared" si="38"/>
        <v>Biography</v>
      </c>
    </row>
    <row r="1565" spans="1:19" ht="15.75" customHeight="1" x14ac:dyDescent="0.25">
      <c r="A1565" s="6" t="s">
        <v>975</v>
      </c>
      <c r="B1565" s="6">
        <v>246</v>
      </c>
      <c r="C1565" s="6">
        <v>44665963</v>
      </c>
      <c r="D1565" s="6" t="s">
        <v>140</v>
      </c>
      <c r="E1565" s="6" t="s">
        <v>3963</v>
      </c>
      <c r="F1565" s="6" t="s">
        <v>5394</v>
      </c>
      <c r="G1565" s="6">
        <v>159931</v>
      </c>
      <c r="H1565" s="6" t="s">
        <v>5395</v>
      </c>
      <c r="I1565" s="6">
        <v>281</v>
      </c>
      <c r="J1565" s="6" t="s">
        <v>23</v>
      </c>
      <c r="K1565" s="6" t="s">
        <v>24</v>
      </c>
      <c r="L1565" s="6">
        <v>58000000</v>
      </c>
      <c r="M1565" s="6">
        <v>2013</v>
      </c>
      <c r="N1565" s="6">
        <v>6.3</v>
      </c>
      <c r="O1565" s="4">
        <f ca="1">IFERROR(__xludf.DUMMYFUNCTION("IF(Cost_in_dollars!E1565=""USD"",Cost_in_dollars!B1565,Cost_in_dollars!B1565 * GOOGLEFINANCE(""CURRENCY:"" &amp; Cost_in_dollars!E1565 &amp; ""USD""))
"),58000000)</f>
        <v>58000000</v>
      </c>
      <c r="P1565" s="4">
        <f ca="1">IFERROR(__xludf.DUMMYFUNCTION("IF(Cost_in_dollars!E1565=""USD"",Cost_in_dollars!C1565,Cost_in_dollars!C1565 * GOOGLEFINANCE(""CURRENCY:"" &amp; Cost_in_dollars!E1565 &amp; ""USD""))
"),44665963)</f>
        <v>44665963</v>
      </c>
      <c r="Q1565" s="6">
        <f t="shared" ca="1" si="36"/>
        <v>-13334037</v>
      </c>
      <c r="R1565" s="7" t="str">
        <f t="shared" si="37"/>
        <v>The Internship</v>
      </c>
      <c r="S1565" s="43" t="str">
        <f t="shared" si="38"/>
        <v>Comedy</v>
      </c>
    </row>
    <row r="1566" spans="1:19" ht="15.75" customHeight="1" x14ac:dyDescent="0.25">
      <c r="A1566" s="4" t="s">
        <v>371</v>
      </c>
      <c r="B1566" s="4">
        <v>193</v>
      </c>
      <c r="C1566" s="4">
        <v>173005002</v>
      </c>
      <c r="D1566" s="4" t="s">
        <v>5396</v>
      </c>
      <c r="E1566" s="4" t="s">
        <v>461</v>
      </c>
      <c r="F1566" s="4" t="s">
        <v>5397</v>
      </c>
      <c r="G1566" s="4">
        <v>255447</v>
      </c>
      <c r="H1566" s="4" t="s">
        <v>5398</v>
      </c>
      <c r="I1566" s="4">
        <v>692</v>
      </c>
      <c r="J1566" s="4" t="s">
        <v>23</v>
      </c>
      <c r="K1566" s="4" t="s">
        <v>24</v>
      </c>
      <c r="L1566" s="4">
        <v>100000000</v>
      </c>
      <c r="M1566" s="4">
        <v>2004</v>
      </c>
      <c r="N1566" s="4">
        <v>6.9</v>
      </c>
      <c r="O1566" s="4">
        <f ca="1">IFERROR(__xludf.DUMMYFUNCTION("IF(Cost_in_dollars!E1566=""USD"",Cost_in_dollars!B1566,Cost_in_dollars!B1566 * GOOGLEFINANCE(""CURRENCY:"" &amp; Cost_in_dollars!E1566 &amp; ""USD""))
"),100000000)</f>
        <v>100000000</v>
      </c>
      <c r="P1566" s="4">
        <f ca="1">IFERROR(__xludf.DUMMYFUNCTION("IF(Cost_in_dollars!E1566=""USD"",Cost_in_dollars!C1566,Cost_in_dollars!C1566 * GOOGLEFINANCE(""CURRENCY:"" &amp; Cost_in_dollars!E1566 &amp; ""USD""))
"),173005002)</f>
        <v>173005002</v>
      </c>
      <c r="Q1566" s="4">
        <f t="shared" ca="1" si="36"/>
        <v>73005002</v>
      </c>
      <c r="R1566" s="5" t="str">
        <f t="shared" si="37"/>
        <v>National Treasure</v>
      </c>
      <c r="S1566" s="43" t="str">
        <f t="shared" si="38"/>
        <v>Action</v>
      </c>
    </row>
    <row r="1567" spans="1:19" ht="15.75" customHeight="1" x14ac:dyDescent="0.25">
      <c r="A1567" s="6" t="s">
        <v>5399</v>
      </c>
      <c r="B1567" s="6">
        <v>49</v>
      </c>
      <c r="C1567" s="6">
        <v>1631839</v>
      </c>
      <c r="D1567" s="6" t="s">
        <v>244</v>
      </c>
      <c r="E1567" s="6" t="s">
        <v>608</v>
      </c>
      <c r="F1567" s="6" t="s">
        <v>5400</v>
      </c>
      <c r="G1567" s="6">
        <v>5936</v>
      </c>
      <c r="H1567" s="6" t="s">
        <v>5401</v>
      </c>
      <c r="I1567" s="6">
        <v>91</v>
      </c>
      <c r="J1567" s="6" t="s">
        <v>23</v>
      </c>
      <c r="K1567" s="6" t="s">
        <v>24</v>
      </c>
      <c r="L1567" s="6">
        <v>10000000</v>
      </c>
      <c r="M1567" s="6">
        <v>2000</v>
      </c>
      <c r="N1567" s="6">
        <v>5.7</v>
      </c>
      <c r="O1567" s="4">
        <f ca="1">IFERROR(__xludf.DUMMYFUNCTION("IF(Cost_in_dollars!E1567=""USD"",Cost_in_dollars!B1567,Cost_in_dollars!B1567 * GOOGLEFINANCE(""CURRENCY:"" &amp; Cost_in_dollars!E1567 &amp; ""USD""))
"),10000000)</f>
        <v>10000000</v>
      </c>
      <c r="P1567" s="4">
        <f ca="1">IFERROR(__xludf.DUMMYFUNCTION("IF(Cost_in_dollars!E1567=""USD"",Cost_in_dollars!C1567,Cost_in_dollars!C1567 * GOOGLEFINANCE(""CURRENCY:"" &amp; Cost_in_dollars!E1567 &amp; ""USD""))
"),1631839)</f>
        <v>1631839</v>
      </c>
      <c r="Q1567" s="6">
        <f t="shared" ca="1" si="36"/>
        <v>-8368161</v>
      </c>
      <c r="R1567" s="7" t="str">
        <f t="shared" si="37"/>
        <v>Gun Shy</v>
      </c>
      <c r="S1567" s="43" t="str">
        <f t="shared" si="38"/>
        <v>Comedy</v>
      </c>
    </row>
    <row r="1568" spans="1:19" ht="15.75" customHeight="1" x14ac:dyDescent="0.25">
      <c r="A1568" s="4" t="s">
        <v>5402</v>
      </c>
      <c r="B1568" s="4">
        <v>27</v>
      </c>
      <c r="C1568" s="4">
        <v>3060858</v>
      </c>
      <c r="D1568" s="4" t="s">
        <v>178</v>
      </c>
      <c r="E1568" s="4" t="s">
        <v>5403</v>
      </c>
      <c r="F1568" s="4" t="s">
        <v>5404</v>
      </c>
      <c r="G1568" s="4">
        <v>1768</v>
      </c>
      <c r="H1568" s="4" t="s">
        <v>5405</v>
      </c>
      <c r="I1568" s="4">
        <v>37</v>
      </c>
      <c r="J1568" s="4" t="s">
        <v>23</v>
      </c>
      <c r="K1568" s="4" t="s">
        <v>24</v>
      </c>
      <c r="L1568" s="4">
        <v>10000000</v>
      </c>
      <c r="M1568" s="4">
        <v>1987</v>
      </c>
      <c r="N1568" s="4">
        <v>5.6</v>
      </c>
      <c r="O1568" s="4">
        <f ca="1">IFERROR(__xludf.DUMMYFUNCTION("IF(Cost_in_dollars!E1568=""USD"",Cost_in_dollars!B1568,Cost_in_dollars!B1568 * GOOGLEFINANCE(""CURRENCY:"" &amp; Cost_in_dollars!E1568 &amp; ""USD""))
"),10000000)</f>
        <v>10000000</v>
      </c>
      <c r="P1568" s="4">
        <f ca="1">IFERROR(__xludf.DUMMYFUNCTION("IF(Cost_in_dollars!E1568=""USD"",Cost_in_dollars!C1568,Cost_in_dollars!C1568 * GOOGLEFINANCE(""CURRENCY:"" &amp; Cost_in_dollars!E1568 &amp; ""USD""))
"),3060858)</f>
        <v>3060858</v>
      </c>
      <c r="Q1568" s="4">
        <f t="shared" ca="1" si="36"/>
        <v>-6939142</v>
      </c>
      <c r="R1568" s="5" t="str">
        <f t="shared" si="37"/>
        <v>Malone</v>
      </c>
      <c r="S1568" s="43" t="str">
        <f t="shared" si="38"/>
        <v>Action</v>
      </c>
    </row>
    <row r="1569" spans="1:19" ht="15.75" customHeight="1" x14ac:dyDescent="0.25">
      <c r="A1569" s="6" t="s">
        <v>5406</v>
      </c>
      <c r="B1569" s="6">
        <v>37</v>
      </c>
      <c r="C1569" s="6">
        <v>35422828</v>
      </c>
      <c r="D1569" s="6" t="s">
        <v>2238</v>
      </c>
      <c r="E1569" s="6" t="s">
        <v>5407</v>
      </c>
      <c r="F1569" s="6" t="s">
        <v>5408</v>
      </c>
      <c r="G1569" s="6">
        <v>19126</v>
      </c>
      <c r="H1569" s="6" t="s">
        <v>5409</v>
      </c>
      <c r="I1569" s="6">
        <v>155</v>
      </c>
      <c r="J1569" s="6" t="s">
        <v>23</v>
      </c>
      <c r="K1569" s="6" t="s">
        <v>24</v>
      </c>
      <c r="L1569" s="6">
        <v>20000000</v>
      </c>
      <c r="M1569" s="6">
        <v>1997</v>
      </c>
      <c r="N1569" s="6">
        <v>6.7</v>
      </c>
      <c r="O1569" s="4">
        <f ca="1">IFERROR(__xludf.DUMMYFUNCTION("IF(Cost_in_dollars!E1569=""USD"",Cost_in_dollars!B1569,Cost_in_dollars!B1569 * GOOGLEFINANCE(""CURRENCY:"" &amp; Cost_in_dollars!E1569 &amp; ""USD""))
"),20000000)</f>
        <v>20000000</v>
      </c>
      <c r="P1569" s="4">
        <f ca="1">IFERROR(__xludf.DUMMYFUNCTION("IF(Cost_in_dollars!E1569=""USD"",Cost_in_dollars!C1569,Cost_in_dollars!C1569 * GOOGLEFINANCE(""CURRENCY:"" &amp; Cost_in_dollars!E1569 &amp; ""USD""))
"),35422828)</f>
        <v>35422828</v>
      </c>
      <c r="Q1569" s="6">
        <f t="shared" ca="1" si="36"/>
        <v>15422828</v>
      </c>
      <c r="R1569" s="7" t="str">
        <f t="shared" si="37"/>
        <v>Selena</v>
      </c>
      <c r="S1569" s="43" t="str">
        <f t="shared" si="38"/>
        <v>Biography</v>
      </c>
    </row>
    <row r="1570" spans="1:19" ht="15.75" customHeight="1" x14ac:dyDescent="0.25">
      <c r="A1570" s="4" t="s">
        <v>3579</v>
      </c>
      <c r="B1570" s="4">
        <v>62</v>
      </c>
      <c r="C1570" s="4">
        <v>28535768</v>
      </c>
      <c r="D1570" s="4" t="s">
        <v>140</v>
      </c>
      <c r="E1570" s="4" t="s">
        <v>5410</v>
      </c>
      <c r="F1570" s="4" t="s">
        <v>5411</v>
      </c>
      <c r="G1570" s="4">
        <v>10446</v>
      </c>
      <c r="H1570" s="4" t="s">
        <v>5412</v>
      </c>
      <c r="I1570" s="4">
        <v>105</v>
      </c>
      <c r="J1570" s="4" t="s">
        <v>23</v>
      </c>
      <c r="K1570" s="4" t="s">
        <v>24</v>
      </c>
      <c r="L1570" s="4">
        <v>40000000</v>
      </c>
      <c r="M1570" s="4">
        <v>1999</v>
      </c>
      <c r="N1570" s="4">
        <v>5.3</v>
      </c>
      <c r="O1570" s="4">
        <f ca="1">IFERROR(__xludf.DUMMYFUNCTION("IF(Cost_in_dollars!E1570=""USD"",Cost_in_dollars!B1570,Cost_in_dollars!B1570 * GOOGLEFINANCE(""CURRENCY:"" &amp; Cost_in_dollars!E1570 &amp; ""USD""))
"),40000000)</f>
        <v>40000000</v>
      </c>
      <c r="P1570" s="4">
        <f ca="1">IFERROR(__xludf.DUMMYFUNCTION("IF(Cost_in_dollars!E1570=""USD"",Cost_in_dollars!C1570,Cost_in_dollars!C1570 * GOOGLEFINANCE(""CURRENCY:"" &amp; Cost_in_dollars!E1570 &amp; ""USD""))
"),28535768)</f>
        <v>28535768</v>
      </c>
      <c r="Q1570" s="4">
        <f t="shared" ca="1" si="36"/>
        <v>-11464232</v>
      </c>
      <c r="R1570" s="5" t="str">
        <f t="shared" si="37"/>
        <v>The Out-of-Towners</v>
      </c>
      <c r="S1570" s="43" t="str">
        <f t="shared" si="38"/>
        <v>Comedy</v>
      </c>
    </row>
    <row r="1571" spans="1:19" ht="15.75" customHeight="1" x14ac:dyDescent="0.25">
      <c r="A1571" s="6" t="s">
        <v>5413</v>
      </c>
      <c r="B1571" s="6">
        <v>656</v>
      </c>
      <c r="C1571" s="6">
        <v>136019448</v>
      </c>
      <c r="D1571" s="6" t="s">
        <v>5322</v>
      </c>
      <c r="E1571" s="6" t="s">
        <v>5414</v>
      </c>
      <c r="F1571" s="6" t="s">
        <v>5415</v>
      </c>
      <c r="G1571" s="6">
        <v>452465</v>
      </c>
      <c r="H1571" s="6" t="s">
        <v>5416</v>
      </c>
      <c r="I1571" s="6">
        <v>695</v>
      </c>
      <c r="J1571" s="6" t="s">
        <v>23</v>
      </c>
      <c r="K1571" s="6" t="s">
        <v>24</v>
      </c>
      <c r="L1571" s="6">
        <v>44500000</v>
      </c>
      <c r="M1571" s="6">
        <v>2012</v>
      </c>
      <c r="N1571" s="6">
        <v>7.7</v>
      </c>
      <c r="O1571" s="4">
        <f ca="1">IFERROR(__xludf.DUMMYFUNCTION("IF(Cost_in_dollars!E1571=""USD"",Cost_in_dollars!B1571,Cost_in_dollars!B1571 * GOOGLEFINANCE(""CURRENCY:"" &amp; Cost_in_dollars!E1571 &amp; ""USD""))
"),44500000)</f>
        <v>44500000</v>
      </c>
      <c r="P1571" s="4">
        <f ca="1">IFERROR(__xludf.DUMMYFUNCTION("IF(Cost_in_dollars!E1571=""USD"",Cost_in_dollars!C1571,Cost_in_dollars!C1571 * GOOGLEFINANCE(""CURRENCY:"" &amp; Cost_in_dollars!E1571 &amp; ""USD""))
"),136019448)</f>
        <v>136019448</v>
      </c>
      <c r="Q1571" s="6">
        <f t="shared" ca="1" si="36"/>
        <v>91519448</v>
      </c>
      <c r="R1571" s="7" t="str">
        <f t="shared" si="37"/>
        <v>Argo</v>
      </c>
      <c r="S1571" s="43" t="str">
        <f t="shared" si="38"/>
        <v>Biography</v>
      </c>
    </row>
    <row r="1572" spans="1:19" ht="15.75" customHeight="1" x14ac:dyDescent="0.25">
      <c r="A1572" s="4" t="s">
        <v>5417</v>
      </c>
      <c r="B1572" s="4">
        <v>12</v>
      </c>
      <c r="C1572" s="4">
        <v>798341</v>
      </c>
      <c r="D1572" s="4" t="s">
        <v>1277</v>
      </c>
      <c r="E1572" s="4" t="s">
        <v>697</v>
      </c>
      <c r="F1572" s="4" t="s">
        <v>5418</v>
      </c>
      <c r="G1572" s="4">
        <v>983</v>
      </c>
      <c r="H1572" s="4" t="s">
        <v>5419</v>
      </c>
      <c r="I1572" s="4">
        <v>63</v>
      </c>
      <c r="J1572" s="4" t="s">
        <v>23</v>
      </c>
      <c r="K1572" s="4" t="s">
        <v>24</v>
      </c>
      <c r="L1572" s="4">
        <v>1000000</v>
      </c>
      <c r="M1572" s="4">
        <v>2001</v>
      </c>
      <c r="N1572" s="4">
        <v>7.2</v>
      </c>
      <c r="O1572" s="4">
        <f ca="1">IFERROR(__xludf.DUMMYFUNCTION("IF(Cost_in_dollars!E1572=""USD"",Cost_in_dollars!B1572,Cost_in_dollars!B1572 * GOOGLEFINANCE(""CURRENCY:"" &amp; Cost_in_dollars!E1572 &amp; ""USD""))
"),1000000)</f>
        <v>1000000</v>
      </c>
      <c r="P1572" s="4">
        <f ca="1">IFERROR(__xludf.DUMMYFUNCTION("IF(Cost_in_dollars!E1572=""USD"",Cost_in_dollars!C1572,Cost_in_dollars!C1572 * GOOGLEFINANCE(""CURRENCY:"" &amp; Cost_in_dollars!E1572 &amp; ""USD""))
"),798341)</f>
        <v>798341</v>
      </c>
      <c r="Q1572" s="4">
        <f t="shared" ca="1" si="36"/>
        <v>-201659</v>
      </c>
      <c r="R1572" s="5" t="str">
        <f t="shared" si="37"/>
        <v>Brigham City</v>
      </c>
      <c r="S1572" s="43" t="str">
        <f t="shared" si="38"/>
        <v>Crime</v>
      </c>
    </row>
    <row r="1573" spans="1:19" ht="15.75" customHeight="1" x14ac:dyDescent="0.25">
      <c r="A1573" s="6" t="s">
        <v>456</v>
      </c>
      <c r="B1573" s="6">
        <v>81</v>
      </c>
      <c r="C1573" s="6">
        <v>154077</v>
      </c>
      <c r="D1573" s="6" t="s">
        <v>457</v>
      </c>
      <c r="E1573" s="6" t="s">
        <v>5420</v>
      </c>
      <c r="F1573" s="6" t="s">
        <v>5421</v>
      </c>
      <c r="G1573" s="6">
        <v>6884</v>
      </c>
      <c r="H1573" s="6" t="s">
        <v>5422</v>
      </c>
      <c r="I1573" s="6">
        <v>53</v>
      </c>
      <c r="J1573" s="6" t="s">
        <v>23</v>
      </c>
      <c r="K1573" s="6" t="s">
        <v>24</v>
      </c>
      <c r="L1573" s="6">
        <v>500000</v>
      </c>
      <c r="M1573" s="6">
        <v>2005</v>
      </c>
      <c r="N1573" s="6">
        <v>6.6</v>
      </c>
      <c r="O1573" s="4">
        <f ca="1">IFERROR(__xludf.DUMMYFUNCTION("IF(Cost_in_dollars!E1573=""USD"",Cost_in_dollars!B1573,Cost_in_dollars!B1573 * GOOGLEFINANCE(""CURRENCY:"" &amp; Cost_in_dollars!E1573 &amp; ""USD""))
"),500000)</f>
        <v>500000</v>
      </c>
      <c r="P1573" s="4">
        <f ca="1">IFERROR(__xludf.DUMMYFUNCTION("IF(Cost_in_dollars!E1573=""USD"",Cost_in_dollars!C1573,Cost_in_dollars!C1573 * GOOGLEFINANCE(""CURRENCY:"" &amp; Cost_in_dollars!E1573 &amp; ""USD""))
"),154077)</f>
        <v>154077</v>
      </c>
      <c r="Q1573" s="6">
        <f t="shared" ca="1" si="36"/>
        <v>-345923</v>
      </c>
      <c r="R1573" s="7" t="str">
        <f t="shared" si="37"/>
        <v>Lonesome Jim</v>
      </c>
      <c r="S1573" s="43" t="str">
        <f t="shared" si="38"/>
        <v>Comedy</v>
      </c>
    </row>
    <row r="1574" spans="1:19" ht="15.75" customHeight="1" x14ac:dyDescent="0.25">
      <c r="A1574" s="4" t="s">
        <v>358</v>
      </c>
      <c r="B1574" s="4">
        <v>358</v>
      </c>
      <c r="C1574" s="4">
        <v>98895417</v>
      </c>
      <c r="D1574" s="4" t="s">
        <v>1099</v>
      </c>
      <c r="E1574" s="4" t="s">
        <v>833</v>
      </c>
      <c r="F1574" s="4" t="s">
        <v>5423</v>
      </c>
      <c r="G1574" s="4">
        <v>203154</v>
      </c>
      <c r="H1574" s="4" t="s">
        <v>5424</v>
      </c>
      <c r="I1574" s="4">
        <v>698</v>
      </c>
      <c r="J1574" s="4" t="s">
        <v>23</v>
      </c>
      <c r="K1574" s="4" t="s">
        <v>24</v>
      </c>
      <c r="L1574" s="4">
        <v>70000000</v>
      </c>
      <c r="M1574" s="4">
        <v>2013</v>
      </c>
      <c r="N1574" s="4">
        <v>6.5</v>
      </c>
      <c r="O1574" s="4">
        <f ca="1">IFERROR(__xludf.DUMMYFUNCTION("IF(Cost_in_dollars!E1574=""USD"",Cost_in_dollars!B1574,Cost_in_dollars!B1574 * GOOGLEFINANCE(""CURRENCY:"" &amp; Cost_in_dollars!E1574 &amp; ""USD""))
"),70000000)</f>
        <v>70000000</v>
      </c>
      <c r="P1574" s="4">
        <f ca="1">IFERROR(__xludf.DUMMYFUNCTION("IF(Cost_in_dollars!E1574=""USD"",Cost_in_dollars!C1574,Cost_in_dollars!C1574 * GOOGLEFINANCE(""CURRENCY:"" &amp; Cost_in_dollars!E1574 &amp; ""USD""))
"),98895417)</f>
        <v>98895417</v>
      </c>
      <c r="Q1574" s="4">
        <f t="shared" ca="1" si="36"/>
        <v>28895417</v>
      </c>
      <c r="R1574" s="5" t="str">
        <f t="shared" si="37"/>
        <v>Olympus Has Fallen</v>
      </c>
      <c r="S1574" s="43" t="str">
        <f t="shared" si="38"/>
        <v>Action</v>
      </c>
    </row>
    <row r="1575" spans="1:19" ht="15.75" customHeight="1" x14ac:dyDescent="0.25">
      <c r="A1575" s="6" t="s">
        <v>5425</v>
      </c>
      <c r="B1575" s="6">
        <v>84</v>
      </c>
      <c r="C1575" s="6">
        <v>12870569</v>
      </c>
      <c r="D1575" s="6" t="s">
        <v>73</v>
      </c>
      <c r="E1575" s="6" t="s">
        <v>5426</v>
      </c>
      <c r="F1575" s="6" t="s">
        <v>5427</v>
      </c>
      <c r="G1575" s="6">
        <v>13215</v>
      </c>
      <c r="H1575" s="6" t="s">
        <v>5428</v>
      </c>
      <c r="I1575" s="6">
        <v>497</v>
      </c>
      <c r="J1575" s="6" t="s">
        <v>23</v>
      </c>
      <c r="K1575" s="6" t="s">
        <v>24</v>
      </c>
      <c r="L1575" s="6">
        <v>56000000</v>
      </c>
      <c r="M1575" s="6">
        <v>2003</v>
      </c>
      <c r="N1575" s="6">
        <v>6.3</v>
      </c>
      <c r="O1575" s="4">
        <f ca="1">IFERROR(__xludf.DUMMYFUNCTION("IF(Cost_in_dollars!E1575=""USD"",Cost_in_dollars!B1575,Cost_in_dollars!B1575 * GOOGLEFINANCE(""CURRENCY:"" &amp; Cost_in_dollars!E1575 &amp; ""USD""))
"),56000000)</f>
        <v>56000000</v>
      </c>
      <c r="P1575" s="4">
        <f ca="1">IFERROR(__xludf.DUMMYFUNCTION("IF(Cost_in_dollars!E1575=""USD"",Cost_in_dollars!C1575,Cost_in_dollars!C1575 * GOOGLEFINANCE(""CURRENCY:"" &amp; Cost_in_dollars!E1575 &amp; ""USD""))
"),12870569)</f>
        <v>12870569</v>
      </c>
      <c r="Q1575" s="6">
        <f t="shared" ca="1" si="36"/>
        <v>-43129431</v>
      </c>
      <c r="R1575" s="7" t="str">
        <f t="shared" si="37"/>
        <v>Gods and Generals</v>
      </c>
      <c r="S1575" s="43" t="str">
        <f t="shared" si="38"/>
        <v>Drama</v>
      </c>
    </row>
    <row r="1576" spans="1:19" ht="15.75" customHeight="1" x14ac:dyDescent="0.25">
      <c r="A1576" s="4" t="s">
        <v>555</v>
      </c>
      <c r="B1576" s="4">
        <v>153</v>
      </c>
      <c r="C1576" s="4">
        <v>100614858</v>
      </c>
      <c r="D1576" s="4" t="s">
        <v>5429</v>
      </c>
      <c r="E1576" s="4" t="s">
        <v>223</v>
      </c>
      <c r="F1576" s="4" t="s">
        <v>5430</v>
      </c>
      <c r="G1576" s="4">
        <v>206776</v>
      </c>
      <c r="H1576" s="4" t="s">
        <v>5431</v>
      </c>
      <c r="I1576" s="4">
        <v>1248</v>
      </c>
      <c r="J1576" s="4" t="s">
        <v>23</v>
      </c>
      <c r="K1576" s="4" t="s">
        <v>24</v>
      </c>
      <c r="L1576" s="4">
        <v>68000000</v>
      </c>
      <c r="M1576" s="4">
        <v>2001</v>
      </c>
      <c r="N1576" s="4">
        <v>6.9</v>
      </c>
      <c r="O1576" s="4">
        <f ca="1">IFERROR(__xludf.DUMMYFUNCTION("IF(Cost_in_dollars!E1576=""USD"",Cost_in_dollars!B1576,Cost_in_dollars!B1576 * GOOGLEFINANCE(""CURRENCY:"" &amp; Cost_in_dollars!E1576 &amp; ""USD""))
"),68000000)</f>
        <v>68000000</v>
      </c>
      <c r="P1576" s="4">
        <f ca="1">IFERROR(__xludf.DUMMYFUNCTION("IF(Cost_in_dollars!E1576=""USD"",Cost_in_dollars!C1576,Cost_in_dollars!C1576 * GOOGLEFINANCE(""CURRENCY:"" &amp; Cost_in_dollars!E1576 &amp; ""USD""))
"),100614858)</f>
        <v>100614858</v>
      </c>
      <c r="Q1576" s="4">
        <f t="shared" ca="1" si="36"/>
        <v>32614858</v>
      </c>
      <c r="R1576" s="5" t="str">
        <f t="shared" si="37"/>
        <v>Vanilla Sky</v>
      </c>
      <c r="S1576" s="43" t="str">
        <f t="shared" si="38"/>
        <v>Fantasy</v>
      </c>
    </row>
    <row r="1577" spans="1:19" ht="15.75" customHeight="1" x14ac:dyDescent="0.25">
      <c r="A1577" s="6" t="s">
        <v>2520</v>
      </c>
      <c r="B1577" s="6">
        <v>60</v>
      </c>
      <c r="C1577" s="6">
        <v>82670733</v>
      </c>
      <c r="D1577" s="6" t="s">
        <v>5432</v>
      </c>
      <c r="E1577" s="6" t="s">
        <v>223</v>
      </c>
      <c r="F1577" s="6" t="s">
        <v>5433</v>
      </c>
      <c r="G1577" s="6">
        <v>60476</v>
      </c>
      <c r="H1577" s="6" t="s">
        <v>5434</v>
      </c>
      <c r="I1577" s="6">
        <v>97</v>
      </c>
      <c r="J1577" s="6" t="s">
        <v>23</v>
      </c>
      <c r="K1577" s="6" t="s">
        <v>24</v>
      </c>
      <c r="L1577" s="6">
        <v>60000000</v>
      </c>
      <c r="M1577" s="6">
        <v>1990</v>
      </c>
      <c r="N1577" s="6">
        <v>5.9</v>
      </c>
      <c r="O1577" s="4">
        <f ca="1">IFERROR(__xludf.DUMMYFUNCTION("IF(Cost_in_dollars!E1577=""USD"",Cost_in_dollars!B1577,Cost_in_dollars!B1577 * GOOGLEFINANCE(""CURRENCY:"" &amp; Cost_in_dollars!E1577 &amp; ""USD""))
"),60000000)</f>
        <v>60000000</v>
      </c>
      <c r="P1577" s="4">
        <f ca="1">IFERROR(__xludf.DUMMYFUNCTION("IF(Cost_in_dollars!E1577=""USD"",Cost_in_dollars!C1577,Cost_in_dollars!C1577 * GOOGLEFINANCE(""CURRENCY:"" &amp; Cost_in_dollars!E1577 &amp; ""USD""))
"),82670733)</f>
        <v>82670733</v>
      </c>
      <c r="Q1577" s="6">
        <f t="shared" ca="1" si="36"/>
        <v>22670733</v>
      </c>
      <c r="R1577" s="7" t="str">
        <f t="shared" si="37"/>
        <v>Days of Thunder</v>
      </c>
      <c r="S1577" s="43" t="str">
        <f t="shared" si="38"/>
        <v>Action</v>
      </c>
    </row>
    <row r="1578" spans="1:19" ht="15.75" customHeight="1" x14ac:dyDescent="0.25">
      <c r="A1578" s="4" t="s">
        <v>5435</v>
      </c>
      <c r="B1578" s="4">
        <v>75</v>
      </c>
      <c r="C1578" s="4">
        <v>5844929</v>
      </c>
      <c r="D1578" s="4" t="s">
        <v>457</v>
      </c>
      <c r="E1578" s="4" t="s">
        <v>5436</v>
      </c>
      <c r="F1578" s="4" t="s">
        <v>5437</v>
      </c>
      <c r="G1578" s="4">
        <v>6000</v>
      </c>
      <c r="H1578" s="4" t="s">
        <v>5438</v>
      </c>
      <c r="I1578" s="4">
        <v>109</v>
      </c>
      <c r="J1578" s="4" t="s">
        <v>23</v>
      </c>
      <c r="K1578" s="4" t="s">
        <v>24</v>
      </c>
      <c r="L1578" s="4">
        <v>3000000</v>
      </c>
      <c r="M1578" s="4">
        <v>2002</v>
      </c>
      <c r="N1578" s="4">
        <v>7</v>
      </c>
      <c r="O1578" s="4">
        <f ca="1">IFERROR(__xludf.DUMMYFUNCTION("IF(Cost_in_dollars!E1578=""USD"",Cost_in_dollars!B1578,Cost_in_dollars!B1578 * GOOGLEFINANCE(""CURRENCY:"" &amp; Cost_in_dollars!E1578 &amp; ""USD""))
"),3000000)</f>
        <v>3000000</v>
      </c>
      <c r="P1578" s="4">
        <f ca="1">IFERROR(__xludf.DUMMYFUNCTION("IF(Cost_in_dollars!E1578=""USD"",Cost_in_dollars!C1578,Cost_in_dollars!C1578 * GOOGLEFINANCE(""CURRENCY:"" &amp; Cost_in_dollars!E1578 &amp; ""USD""))
"),5844929)</f>
        <v>5844929</v>
      </c>
      <c r="Q1578" s="4">
        <f t="shared" ca="1" si="36"/>
        <v>2844929</v>
      </c>
      <c r="R1578" s="5" t="str">
        <f t="shared" si="37"/>
        <v>Real Women Have Curves</v>
      </c>
      <c r="S1578" s="43" t="str">
        <f t="shared" si="38"/>
        <v>Comedy</v>
      </c>
    </row>
    <row r="1579" spans="1:19" ht="15.75" customHeight="1" x14ac:dyDescent="0.25">
      <c r="A1579" s="6" t="s">
        <v>1385</v>
      </c>
      <c r="B1579" s="6">
        <v>249</v>
      </c>
      <c r="C1579" s="6">
        <v>81687587</v>
      </c>
      <c r="D1579" s="6" t="s">
        <v>1749</v>
      </c>
      <c r="E1579" s="6" t="s">
        <v>1386</v>
      </c>
      <c r="F1579" s="6" t="s">
        <v>5439</v>
      </c>
      <c r="G1579" s="6">
        <v>138246</v>
      </c>
      <c r="H1579" s="6" t="s">
        <v>5440</v>
      </c>
      <c r="I1579" s="6">
        <v>360</v>
      </c>
      <c r="J1579" s="6" t="s">
        <v>23</v>
      </c>
      <c r="K1579" s="6" t="s">
        <v>24</v>
      </c>
      <c r="L1579" s="6">
        <v>61000000</v>
      </c>
      <c r="M1579" s="6">
        <v>2015</v>
      </c>
      <c r="N1579" s="6">
        <v>6.4</v>
      </c>
      <c r="O1579" s="4">
        <f ca="1">IFERROR(__xludf.DUMMYFUNCTION("IF(Cost_in_dollars!E1579=""USD"",Cost_in_dollars!B1579,Cost_in_dollars!B1579 * GOOGLEFINANCE(""CURRENCY:"" &amp; Cost_in_dollars!E1579 &amp; ""USD""))
"),61000000)</f>
        <v>61000000</v>
      </c>
      <c r="P1579" s="4">
        <f ca="1">IFERROR(__xludf.DUMMYFUNCTION("IF(Cost_in_dollars!E1579=""USD"",Cost_in_dollars!C1579,Cost_in_dollars!C1579 * GOOGLEFINANCE(""CURRENCY:"" &amp; Cost_in_dollars!E1579 &amp; ""USD""))
"),81687587)</f>
        <v>81687587</v>
      </c>
      <c r="Q1579" s="6">
        <f t="shared" ca="1" si="36"/>
        <v>20687587</v>
      </c>
      <c r="R1579" s="7" t="str">
        <f t="shared" si="37"/>
        <v>The Scorch Trials</v>
      </c>
      <c r="S1579" s="43" t="str">
        <f t="shared" si="38"/>
        <v>Action</v>
      </c>
    </row>
    <row r="1580" spans="1:19" ht="15.75" customHeight="1" x14ac:dyDescent="0.25">
      <c r="A1580" s="4" t="s">
        <v>303</v>
      </c>
      <c r="B1580" s="4">
        <v>246</v>
      </c>
      <c r="C1580" s="4">
        <v>149234747</v>
      </c>
      <c r="D1580" s="4" t="s">
        <v>5441</v>
      </c>
      <c r="E1580" s="4" t="s">
        <v>4874</v>
      </c>
      <c r="F1580" s="4" t="s">
        <v>5442</v>
      </c>
      <c r="G1580" s="4">
        <v>114287</v>
      </c>
      <c r="H1580" s="4" t="s">
        <v>5443</v>
      </c>
      <c r="I1580" s="4">
        <v>137</v>
      </c>
      <c r="J1580" s="4" t="s">
        <v>23</v>
      </c>
      <c r="K1580" s="4" t="s">
        <v>24</v>
      </c>
      <c r="L1580" s="4">
        <v>130000000</v>
      </c>
      <c r="M1580" s="4">
        <v>2011</v>
      </c>
      <c r="N1580" s="4">
        <v>6.7</v>
      </c>
      <c r="O1580" s="4">
        <f ca="1">IFERROR(__xludf.DUMMYFUNCTION("IF(Cost_in_dollars!E1580=""USD"",Cost_in_dollars!B1580,Cost_in_dollars!B1580 * GOOGLEFINANCE(""CURRENCY:"" &amp; Cost_in_dollars!E1580 &amp; ""USD""))
"),130000000)</f>
        <v>130000000</v>
      </c>
      <c r="P1580" s="4">
        <f ca="1">IFERROR(__xludf.DUMMYFUNCTION("IF(Cost_in_dollars!E1580=""USD"",Cost_in_dollars!C1580,Cost_in_dollars!C1580 * GOOGLEFINANCE(""CURRENCY:"" &amp; Cost_in_dollars!E1580 &amp; ""USD""))
"),149234747)</f>
        <v>149234747</v>
      </c>
      <c r="Q1580" s="4">
        <f t="shared" ca="1" si="36"/>
        <v>19234747</v>
      </c>
      <c r="R1580" s="5" t="str">
        <f t="shared" si="37"/>
        <v>Puss in Boots</v>
      </c>
      <c r="S1580" s="43" t="str">
        <f t="shared" si="38"/>
        <v>Action</v>
      </c>
    </row>
    <row r="1581" spans="1:19" ht="15.75" customHeight="1" x14ac:dyDescent="0.25">
      <c r="A1581" s="6" t="s">
        <v>638</v>
      </c>
      <c r="B1581" s="6">
        <v>234</v>
      </c>
      <c r="C1581" s="6">
        <v>242374454</v>
      </c>
      <c r="D1581" s="6" t="s">
        <v>639</v>
      </c>
      <c r="E1581" s="6" t="s">
        <v>640</v>
      </c>
      <c r="F1581" s="6" t="s">
        <v>5444</v>
      </c>
      <c r="G1581" s="6">
        <v>661017</v>
      </c>
      <c r="H1581" s="6" t="s">
        <v>5445</v>
      </c>
      <c r="I1581" s="6">
        <v>771</v>
      </c>
      <c r="J1581" s="6" t="s">
        <v>23</v>
      </c>
      <c r="K1581" s="6" t="s">
        <v>24</v>
      </c>
      <c r="L1581" s="6">
        <v>18000000</v>
      </c>
      <c r="M1581" s="6">
        <v>1981</v>
      </c>
      <c r="N1581" s="6">
        <v>8.5</v>
      </c>
      <c r="O1581" s="4">
        <f ca="1">IFERROR(__xludf.DUMMYFUNCTION("IF(Cost_in_dollars!E1581=""USD"",Cost_in_dollars!B1581,Cost_in_dollars!B1581 * GOOGLEFINANCE(""CURRENCY:"" &amp; Cost_in_dollars!E1581 &amp; ""USD""))
"),18000000)</f>
        <v>18000000</v>
      </c>
      <c r="P1581" s="4">
        <f ca="1">IFERROR(__xludf.DUMMYFUNCTION("IF(Cost_in_dollars!E1581=""USD"",Cost_in_dollars!C1581,Cost_in_dollars!C1581 * GOOGLEFINANCE(""CURRENCY:"" &amp; Cost_in_dollars!E1581 &amp; ""USD""))
"),242374454)</f>
        <v>242374454</v>
      </c>
      <c r="Q1581" s="6">
        <f t="shared" ca="1" si="36"/>
        <v>224374454</v>
      </c>
      <c r="R1581" s="7" t="str">
        <f t="shared" si="37"/>
        <v>Raiders of the Lost Ark</v>
      </c>
      <c r="S1581" s="43" t="str">
        <f t="shared" si="38"/>
        <v>Action</v>
      </c>
    </row>
    <row r="1582" spans="1:19" ht="15.75" customHeight="1" x14ac:dyDescent="0.25">
      <c r="A1582" s="4" t="s">
        <v>2492</v>
      </c>
      <c r="B1582" s="4">
        <v>415</v>
      </c>
      <c r="C1582" s="4">
        <v>5009677</v>
      </c>
      <c r="D1582" s="4" t="s">
        <v>2995</v>
      </c>
      <c r="E1582" s="4" t="s">
        <v>486</v>
      </c>
      <c r="F1582" s="4" t="s">
        <v>5446</v>
      </c>
      <c r="G1582" s="4">
        <v>260607</v>
      </c>
      <c r="H1582" s="4" t="s">
        <v>5447</v>
      </c>
      <c r="I1582" s="4">
        <v>485</v>
      </c>
      <c r="J1582" s="4" t="s">
        <v>23</v>
      </c>
      <c r="K1582" s="4" t="s">
        <v>133</v>
      </c>
      <c r="L1582" s="4">
        <v>5000000</v>
      </c>
      <c r="M1582" s="4">
        <v>2009</v>
      </c>
      <c r="N1582" s="4">
        <v>7.9</v>
      </c>
      <c r="O1582" s="4">
        <f ca="1">IFERROR(__xludf.DUMMYFUNCTION("IF(Cost_in_dollars!E1582=""USD"",Cost_in_dollars!B1582,Cost_in_dollars!B1582 * GOOGLEFINANCE(""CURRENCY:"" &amp; Cost_in_dollars!E1582 &amp; ""USD""))
"),6426999.99999999)</f>
        <v>6426999.9999999898</v>
      </c>
      <c r="P1582" s="4">
        <f ca="1">IFERROR(__xludf.DUMMYFUNCTION("IF(Cost_in_dollars!E1582=""USD"",Cost_in_dollars!C1582,Cost_in_dollars!C1582 * GOOGLEFINANCE(""CURRENCY:"" &amp; Cost_in_dollars!E1582 &amp; ""USD""))
"),6439438.81579999)</f>
        <v>6439438.8157999897</v>
      </c>
      <c r="Q1582" s="4">
        <f t="shared" ca="1" si="36"/>
        <v>12438.815799999982</v>
      </c>
      <c r="R1582" s="5" t="str">
        <f t="shared" si="37"/>
        <v>Moon</v>
      </c>
      <c r="S1582" s="43" t="str">
        <f t="shared" si="38"/>
        <v>Drama</v>
      </c>
    </row>
    <row r="1583" spans="1:19" ht="15.75" customHeight="1" x14ac:dyDescent="0.25">
      <c r="A1583" s="6" t="s">
        <v>5242</v>
      </c>
      <c r="B1583" s="6">
        <v>214</v>
      </c>
      <c r="C1583" s="6">
        <v>12626905</v>
      </c>
      <c r="D1583" s="6" t="s">
        <v>504</v>
      </c>
      <c r="E1583" s="6" t="s">
        <v>780</v>
      </c>
      <c r="F1583" s="6" t="s">
        <v>5448</v>
      </c>
      <c r="G1583" s="6">
        <v>32567</v>
      </c>
      <c r="H1583" s="6" t="s">
        <v>5449</v>
      </c>
      <c r="I1583" s="6">
        <v>106</v>
      </c>
      <c r="J1583" s="6" t="s">
        <v>23</v>
      </c>
      <c r="K1583" s="6" t="s">
        <v>24</v>
      </c>
      <c r="L1583" s="6">
        <v>20000000</v>
      </c>
      <c r="M1583" s="6">
        <v>2016</v>
      </c>
      <c r="N1583" s="6">
        <v>6.3</v>
      </c>
      <c r="O1583" s="4">
        <f ca="1">IFERROR(__xludf.DUMMYFUNCTION("IF(Cost_in_dollars!E1583=""USD"",Cost_in_dollars!B1583,Cost_in_dollars!B1583 * GOOGLEFINANCE(""CURRENCY:"" &amp; Cost_in_dollars!E1583 &amp; ""USD""))
"),20000000)</f>
        <v>20000000</v>
      </c>
      <c r="P1583" s="4">
        <f ca="1">IFERROR(__xludf.DUMMYFUNCTION("IF(Cost_in_dollars!E1583=""USD"",Cost_in_dollars!C1583,Cost_in_dollars!C1583 * GOOGLEFINANCE(""CURRENCY:"" &amp; Cost_in_dollars!E1583 &amp; ""USD""))
"),12626905)</f>
        <v>12626905</v>
      </c>
      <c r="Q1583" s="6">
        <f t="shared" ca="1" si="36"/>
        <v>-7373095</v>
      </c>
      <c r="R1583" s="7" t="str">
        <f t="shared" si="37"/>
        <v>Triple 9</v>
      </c>
      <c r="S1583" s="43" t="str">
        <f t="shared" si="38"/>
        <v>Action</v>
      </c>
    </row>
    <row r="1584" spans="1:19" ht="15.75" customHeight="1" x14ac:dyDescent="0.25">
      <c r="A1584" s="4" t="s">
        <v>2018</v>
      </c>
      <c r="B1584" s="4">
        <v>529</v>
      </c>
      <c r="C1584" s="4">
        <v>176740650</v>
      </c>
      <c r="D1584" s="4" t="s">
        <v>1562</v>
      </c>
      <c r="E1584" s="4" t="s">
        <v>407</v>
      </c>
      <c r="F1584" s="4" t="s">
        <v>5450</v>
      </c>
      <c r="G1584" s="4">
        <v>403836</v>
      </c>
      <c r="H1584" s="4" t="s">
        <v>5451</v>
      </c>
      <c r="I1584" s="4">
        <v>646</v>
      </c>
      <c r="J1584" s="4" t="s">
        <v>23</v>
      </c>
      <c r="K1584" s="4" t="s">
        <v>24</v>
      </c>
      <c r="L1584" s="4">
        <v>93000000</v>
      </c>
      <c r="M1584" s="4">
        <v>2011</v>
      </c>
      <c r="N1584" s="4">
        <v>7.6</v>
      </c>
      <c r="O1584" s="4">
        <f ca="1">IFERROR(__xludf.DUMMYFUNCTION("IF(Cost_in_dollars!E1584=""USD"",Cost_in_dollars!B1584,Cost_in_dollars!B1584 * GOOGLEFINANCE(""CURRENCY:"" &amp; Cost_in_dollars!E1584 &amp; ""USD""))
"),93000000)</f>
        <v>93000000</v>
      </c>
      <c r="P1584" s="4">
        <f ca="1">IFERROR(__xludf.DUMMYFUNCTION("IF(Cost_in_dollars!E1584=""USD"",Cost_in_dollars!C1584,Cost_in_dollars!C1584 * GOOGLEFINANCE(""CURRENCY:"" &amp; Cost_in_dollars!E1584 &amp; ""USD""))
"),176740650)</f>
        <v>176740650</v>
      </c>
      <c r="Q1584" s="4">
        <f t="shared" ca="1" si="36"/>
        <v>83740650</v>
      </c>
      <c r="R1584" s="5" t="str">
        <f t="shared" si="37"/>
        <v>Rise of the Planet of the Apes</v>
      </c>
      <c r="S1584" s="43" t="str">
        <f t="shared" si="38"/>
        <v>Action</v>
      </c>
    </row>
    <row r="1585" spans="1:19" ht="15.75" customHeight="1" x14ac:dyDescent="0.25">
      <c r="A1585" s="6" t="s">
        <v>2815</v>
      </c>
      <c r="B1585" s="6">
        <v>333</v>
      </c>
      <c r="C1585" s="6">
        <v>35596227</v>
      </c>
      <c r="D1585" s="6" t="s">
        <v>116</v>
      </c>
      <c r="E1585" s="6" t="s">
        <v>5452</v>
      </c>
      <c r="F1585" s="6" t="s">
        <v>5453</v>
      </c>
      <c r="G1585" s="6">
        <v>79461</v>
      </c>
      <c r="H1585" s="6" t="s">
        <v>5454</v>
      </c>
      <c r="I1585" s="6">
        <v>463</v>
      </c>
      <c r="J1585" s="6" t="s">
        <v>23</v>
      </c>
      <c r="K1585" s="6" t="s">
        <v>24</v>
      </c>
      <c r="L1585" s="6">
        <v>20000000</v>
      </c>
      <c r="M1585" s="6">
        <v>2010</v>
      </c>
      <c r="N1585" s="6">
        <v>6.3</v>
      </c>
      <c r="O1585" s="4">
        <f ca="1">IFERROR(__xludf.DUMMYFUNCTION("IF(Cost_in_dollars!E1585=""USD"",Cost_in_dollars!B1585,Cost_in_dollars!B1585 * GOOGLEFINANCE(""CURRENCY:"" &amp; Cost_in_dollars!E1585 &amp; ""USD""))
"),20000000)</f>
        <v>20000000</v>
      </c>
      <c r="P1585" s="4">
        <f ca="1">IFERROR(__xludf.DUMMYFUNCTION("IF(Cost_in_dollars!E1585=""USD"",Cost_in_dollars!C1585,Cost_in_dollars!C1585 * GOOGLEFINANCE(""CURRENCY:"" &amp; Cost_in_dollars!E1585 &amp; ""USD""))
"),35596227)</f>
        <v>35596227</v>
      </c>
      <c r="Q1585" s="6">
        <f t="shared" ca="1" si="36"/>
        <v>15596227</v>
      </c>
      <c r="R1585" s="7" t="str">
        <f t="shared" si="37"/>
        <v>The American</v>
      </c>
      <c r="S1585" s="43" t="str">
        <f t="shared" si="38"/>
        <v>Crime</v>
      </c>
    </row>
    <row r="1586" spans="1:19" ht="15.75" customHeight="1" x14ac:dyDescent="0.25">
      <c r="A1586" s="4" t="s">
        <v>3117</v>
      </c>
      <c r="B1586" s="4">
        <v>13</v>
      </c>
      <c r="C1586" s="4">
        <v>14587732</v>
      </c>
      <c r="D1586" s="4" t="s">
        <v>691</v>
      </c>
      <c r="E1586" s="4" t="s">
        <v>5455</v>
      </c>
      <c r="F1586" s="4" t="s">
        <v>5456</v>
      </c>
      <c r="G1586" s="4">
        <v>4795</v>
      </c>
      <c r="H1586" s="4" t="s">
        <v>5457</v>
      </c>
      <c r="I1586" s="4">
        <v>39</v>
      </c>
      <c r="J1586" s="4" t="s">
        <v>23</v>
      </c>
      <c r="K1586" s="4" t="s">
        <v>24</v>
      </c>
      <c r="L1586" s="4">
        <v>35000000</v>
      </c>
      <c r="M1586" s="4">
        <v>1991</v>
      </c>
      <c r="N1586" s="4">
        <v>5.7</v>
      </c>
      <c r="O1586" s="4">
        <f ca="1">IFERROR(__xludf.DUMMYFUNCTION("IF(Cost_in_dollars!E1586=""USD"",Cost_in_dollars!B1586,Cost_in_dollars!B1586 * GOOGLEFINANCE(""CURRENCY:"" &amp; Cost_in_dollars!E1586 &amp; ""USD""))
"),35000000)</f>
        <v>35000000</v>
      </c>
      <c r="P1586" s="4">
        <f ca="1">IFERROR(__xludf.DUMMYFUNCTION("IF(Cost_in_dollars!E1586=""USD"",Cost_in_dollars!C1586,Cost_in_dollars!C1586 * GOOGLEFINANCE(""CURRENCY:"" &amp; Cost_in_dollars!E1586 &amp; ""USD""))
"),14587732)</f>
        <v>14587732</v>
      </c>
      <c r="Q1586" s="4">
        <f t="shared" ca="1" si="36"/>
        <v>-20412268</v>
      </c>
      <c r="R1586" s="5" t="str">
        <f t="shared" si="37"/>
        <v>Flight of the Intruder</v>
      </c>
      <c r="S1586" s="43" t="str">
        <f t="shared" si="38"/>
        <v>Action</v>
      </c>
    </row>
    <row r="1587" spans="1:19" ht="15.75" customHeight="1" x14ac:dyDescent="0.25">
      <c r="A1587" s="6" t="s">
        <v>638</v>
      </c>
      <c r="B1587" s="6">
        <v>75</v>
      </c>
      <c r="C1587" s="6">
        <v>119654900</v>
      </c>
      <c r="D1587" s="6" t="s">
        <v>1888</v>
      </c>
      <c r="E1587" s="6" t="s">
        <v>676</v>
      </c>
      <c r="F1587" s="6" t="s">
        <v>5458</v>
      </c>
      <c r="G1587" s="6">
        <v>182802</v>
      </c>
      <c r="H1587" s="6" t="s">
        <v>5459</v>
      </c>
      <c r="I1587" s="6">
        <v>363</v>
      </c>
      <c r="J1587" s="6" t="s">
        <v>23</v>
      </c>
      <c r="K1587" s="6" t="s">
        <v>24</v>
      </c>
      <c r="L1587" s="6">
        <v>70000000</v>
      </c>
      <c r="M1587" s="6">
        <v>1991</v>
      </c>
      <c r="N1587" s="6">
        <v>6.7</v>
      </c>
      <c r="O1587" s="4">
        <f ca="1">IFERROR(__xludf.DUMMYFUNCTION("IF(Cost_in_dollars!E1587=""USD"",Cost_in_dollars!B1587,Cost_in_dollars!B1587 * GOOGLEFINANCE(""CURRENCY:"" &amp; Cost_in_dollars!E1587 &amp; ""USD""))
"),70000000)</f>
        <v>70000000</v>
      </c>
      <c r="P1587" s="4">
        <f ca="1">IFERROR(__xludf.DUMMYFUNCTION("IF(Cost_in_dollars!E1587=""USD"",Cost_in_dollars!C1587,Cost_in_dollars!C1587 * GOOGLEFINANCE(""CURRENCY:"" &amp; Cost_in_dollars!E1587 &amp; ""USD""))
"),119654900)</f>
        <v>119654900</v>
      </c>
      <c r="Q1587" s="6">
        <f t="shared" ca="1" si="36"/>
        <v>49654900</v>
      </c>
      <c r="R1587" s="7" t="str">
        <f t="shared" si="37"/>
        <v>Hook</v>
      </c>
      <c r="S1587" s="43" t="str">
        <f t="shared" si="38"/>
        <v>Adventure</v>
      </c>
    </row>
    <row r="1588" spans="1:19" ht="15.75" customHeight="1" x14ac:dyDescent="0.25">
      <c r="A1588" s="4" t="s">
        <v>4696</v>
      </c>
      <c r="B1588" s="4">
        <v>224</v>
      </c>
      <c r="C1588" s="4">
        <v>22450975</v>
      </c>
      <c r="D1588" s="4" t="s">
        <v>102</v>
      </c>
      <c r="E1588" s="4" t="s">
        <v>5460</v>
      </c>
      <c r="F1588" s="4" t="s">
        <v>5461</v>
      </c>
      <c r="G1588" s="4">
        <v>241030</v>
      </c>
      <c r="H1588" s="4" t="s">
        <v>5462</v>
      </c>
      <c r="I1588" s="4">
        <v>1437</v>
      </c>
      <c r="J1588" s="4" t="s">
        <v>23</v>
      </c>
      <c r="K1588" s="4" t="s">
        <v>24</v>
      </c>
      <c r="L1588" s="4">
        <v>37000000</v>
      </c>
      <c r="M1588" s="4">
        <v>1999</v>
      </c>
      <c r="N1588" s="4">
        <v>8</v>
      </c>
      <c r="O1588" s="4">
        <f ca="1">IFERROR(__xludf.DUMMYFUNCTION("IF(Cost_in_dollars!E1588=""USD"",Cost_in_dollars!B1588,Cost_in_dollars!B1588 * GOOGLEFINANCE(""CURRENCY:"" &amp; Cost_in_dollars!E1588 &amp; ""USD""))
"),37000000)</f>
        <v>37000000</v>
      </c>
      <c r="P1588" s="4">
        <f ca="1">IFERROR(__xludf.DUMMYFUNCTION("IF(Cost_in_dollars!E1588=""USD"",Cost_in_dollars!C1588,Cost_in_dollars!C1588 * GOOGLEFINANCE(""CURRENCY:"" &amp; Cost_in_dollars!E1588 &amp; ""USD""))
"),22450975)</f>
        <v>22450975</v>
      </c>
      <c r="Q1588" s="4">
        <f t="shared" ca="1" si="36"/>
        <v>-14549025</v>
      </c>
      <c r="R1588" s="5" t="str">
        <f t="shared" si="37"/>
        <v>Magnolia</v>
      </c>
      <c r="S1588" s="43" t="str">
        <f t="shared" si="38"/>
        <v>Drama</v>
      </c>
    </row>
    <row r="1589" spans="1:19" ht="15.75" customHeight="1" x14ac:dyDescent="0.25">
      <c r="A1589" s="6" t="s">
        <v>5463</v>
      </c>
      <c r="B1589" s="6">
        <v>130</v>
      </c>
      <c r="C1589" s="6">
        <v>14268533</v>
      </c>
      <c r="D1589" s="6" t="s">
        <v>5464</v>
      </c>
      <c r="E1589" s="6" t="s">
        <v>775</v>
      </c>
      <c r="F1589" s="6" t="s">
        <v>5465</v>
      </c>
      <c r="G1589" s="6">
        <v>17319</v>
      </c>
      <c r="H1589" s="6" t="s">
        <v>5466</v>
      </c>
      <c r="I1589" s="6">
        <v>100</v>
      </c>
      <c r="J1589" s="6" t="s">
        <v>23</v>
      </c>
      <c r="K1589" s="6" t="s">
        <v>133</v>
      </c>
      <c r="L1589" s="6">
        <v>31500000</v>
      </c>
      <c r="M1589" s="6">
        <v>2016</v>
      </c>
      <c r="N1589" s="6">
        <v>6.3</v>
      </c>
      <c r="O1589" s="4">
        <f ca="1">IFERROR(__xludf.DUMMYFUNCTION("IF(Cost_in_dollars!E1589=""USD"",Cost_in_dollars!B1589,Cost_in_dollars!B1589 * GOOGLEFINANCE(""CURRENCY:"" &amp; Cost_in_dollars!E1589 &amp; ""USD""))
"),40490099.9999999)</f>
        <v>40490099.999999903</v>
      </c>
      <c r="P1589" s="4">
        <f ca="1">IFERROR(__xludf.DUMMYFUNCTION("IF(Cost_in_dollars!E1589=""USD"",Cost_in_dollars!C1589,Cost_in_dollars!C1589 * GOOGLEFINANCE(""CURRENCY:"" &amp; Cost_in_dollars!E1589 &amp; ""USD""))
"),18340772.3182)</f>
        <v>18340772.3182</v>
      </c>
      <c r="Q1589" s="6">
        <f t="shared" ca="1" si="36"/>
        <v>-22149327.681799904</v>
      </c>
      <c r="R1589" s="7" t="str">
        <f t="shared" si="37"/>
        <v>Criminal</v>
      </c>
      <c r="S1589" s="43" t="str">
        <f t="shared" si="38"/>
        <v>Action</v>
      </c>
    </row>
    <row r="1590" spans="1:19" ht="15.75" customHeight="1" x14ac:dyDescent="0.25">
      <c r="A1590" s="4" t="s">
        <v>2442</v>
      </c>
      <c r="B1590" s="4">
        <v>536</v>
      </c>
      <c r="C1590" s="4">
        <v>356454367</v>
      </c>
      <c r="D1590" s="4" t="s">
        <v>5467</v>
      </c>
      <c r="E1590" s="4" t="s">
        <v>2668</v>
      </c>
      <c r="F1590" s="4" t="s">
        <v>5468</v>
      </c>
      <c r="G1590" s="4">
        <v>345198</v>
      </c>
      <c r="H1590" s="4" t="s">
        <v>5469</v>
      </c>
      <c r="I1590" s="4">
        <v>773</v>
      </c>
      <c r="J1590" s="4" t="s">
        <v>23</v>
      </c>
      <c r="K1590" s="4" t="s">
        <v>24</v>
      </c>
      <c r="L1590" s="4">
        <v>175000000</v>
      </c>
      <c r="M1590" s="4">
        <v>2015</v>
      </c>
      <c r="N1590" s="4">
        <v>8.3000000000000007</v>
      </c>
      <c r="O1590" s="4">
        <f ca="1">IFERROR(__xludf.DUMMYFUNCTION("IF(Cost_in_dollars!E1590=""USD"",Cost_in_dollars!B1590,Cost_in_dollars!B1590 * GOOGLEFINANCE(""CURRENCY:"" &amp; Cost_in_dollars!E1590 &amp; ""USD""))
"),175000000)</f>
        <v>175000000</v>
      </c>
      <c r="P1590" s="4">
        <f ca="1">IFERROR(__xludf.DUMMYFUNCTION("IF(Cost_in_dollars!E1590=""USD"",Cost_in_dollars!C1590,Cost_in_dollars!C1590 * GOOGLEFINANCE(""CURRENCY:"" &amp; Cost_in_dollars!E1590 &amp; ""USD""))
"),356454367)</f>
        <v>356454367</v>
      </c>
      <c r="Q1590" s="4">
        <f t="shared" ca="1" si="36"/>
        <v>181454367</v>
      </c>
      <c r="R1590" s="5" t="str">
        <f t="shared" si="37"/>
        <v>Inside Out</v>
      </c>
      <c r="S1590" s="43" t="str">
        <f t="shared" si="38"/>
        <v>Adventure</v>
      </c>
    </row>
    <row r="1591" spans="1:19" ht="15.75" customHeight="1" x14ac:dyDescent="0.25">
      <c r="A1591" s="6" t="s">
        <v>5470</v>
      </c>
      <c r="B1591" s="6">
        <v>74</v>
      </c>
      <c r="C1591" s="6">
        <v>1282084</v>
      </c>
      <c r="D1591" s="6" t="s">
        <v>102</v>
      </c>
      <c r="E1591" s="6" t="s">
        <v>5471</v>
      </c>
      <c r="F1591" s="6" t="s">
        <v>5472</v>
      </c>
      <c r="G1591" s="6">
        <v>6221</v>
      </c>
      <c r="H1591" s="6" t="s">
        <v>5473</v>
      </c>
      <c r="I1591" s="6">
        <v>87</v>
      </c>
      <c r="J1591" s="6" t="s">
        <v>23</v>
      </c>
      <c r="K1591" s="6" t="s">
        <v>24</v>
      </c>
      <c r="L1591" s="6">
        <v>2500000</v>
      </c>
      <c r="M1591" s="6">
        <v>1999</v>
      </c>
      <c r="N1591" s="6">
        <v>7</v>
      </c>
      <c r="O1591" s="4">
        <f ca="1">IFERROR(__xludf.DUMMYFUNCTION("IF(Cost_in_dollars!E1591=""USD"",Cost_in_dollars!B1591,Cost_in_dollars!B1591 * GOOGLEFINANCE(""CURRENCY:"" &amp; Cost_in_dollars!E1591 &amp; ""USD""))
"),2500000)</f>
        <v>2500000</v>
      </c>
      <c r="P1591" s="4">
        <f ca="1">IFERROR(__xludf.DUMMYFUNCTION("IF(Cost_in_dollars!E1591=""USD"",Cost_in_dollars!C1591,Cost_in_dollars!C1591 * GOOGLEFINANCE(""CURRENCY:"" &amp; Cost_in_dollars!E1591 &amp; ""USD""))
"),1282084)</f>
        <v>1282084</v>
      </c>
      <c r="Q1591" s="6">
        <f t="shared" ca="1" si="36"/>
        <v>-1217916</v>
      </c>
      <c r="R1591" s="7" t="str">
        <f t="shared" si="37"/>
        <v>Jesus' Son</v>
      </c>
      <c r="S1591" s="43" t="str">
        <f t="shared" si="38"/>
        <v>Drama</v>
      </c>
    </row>
    <row r="1592" spans="1:19" ht="15.75" customHeight="1" x14ac:dyDescent="0.25">
      <c r="A1592" s="4" t="s">
        <v>1607</v>
      </c>
      <c r="B1592" s="4">
        <v>52</v>
      </c>
      <c r="C1592" s="4">
        <v>529766</v>
      </c>
      <c r="D1592" s="4" t="s">
        <v>53</v>
      </c>
      <c r="E1592" s="4" t="s">
        <v>456</v>
      </c>
      <c r="F1592" s="4" t="s">
        <v>5474</v>
      </c>
      <c r="G1592" s="4">
        <v>22345</v>
      </c>
      <c r="H1592" s="4" t="s">
        <v>5475</v>
      </c>
      <c r="I1592" s="4">
        <v>144</v>
      </c>
      <c r="J1592" s="4" t="s">
        <v>23</v>
      </c>
      <c r="K1592" s="4" t="s">
        <v>24</v>
      </c>
      <c r="L1592" s="4">
        <v>7000000</v>
      </c>
      <c r="M1592" s="4">
        <v>1995</v>
      </c>
      <c r="N1592" s="4">
        <v>6.8</v>
      </c>
      <c r="O1592" s="4">
        <f ca="1">IFERROR(__xludf.DUMMYFUNCTION("IF(Cost_in_dollars!E1592=""USD"",Cost_in_dollars!B1592,Cost_in_dollars!B1592 * GOOGLEFINANCE(""CURRENCY:"" &amp; Cost_in_dollars!E1592 &amp; ""USD""))
"),7000000)</f>
        <v>7000000</v>
      </c>
      <c r="P1592" s="4">
        <f ca="1">IFERROR(__xludf.DUMMYFUNCTION("IF(Cost_in_dollars!E1592=""USD"",Cost_in_dollars!C1592,Cost_in_dollars!C1592 * GOOGLEFINANCE(""CURRENCY:"" &amp; Cost_in_dollars!E1592 &amp; ""USD""))
"),529766)</f>
        <v>529766</v>
      </c>
      <c r="Q1592" s="4">
        <f t="shared" ca="1" si="36"/>
        <v>-6470234</v>
      </c>
      <c r="R1592" s="5" t="str">
        <f t="shared" si="37"/>
        <v>Things to Do in Denver When You're Dead</v>
      </c>
      <c r="S1592" s="43" t="str">
        <f t="shared" si="38"/>
        <v>Crime</v>
      </c>
    </row>
    <row r="1593" spans="1:19" ht="15.75" customHeight="1" x14ac:dyDescent="0.25">
      <c r="A1593" s="6" t="s">
        <v>586</v>
      </c>
      <c r="B1593" s="6">
        <v>242</v>
      </c>
      <c r="C1593" s="6">
        <v>7556708</v>
      </c>
      <c r="D1593" s="6" t="s">
        <v>102</v>
      </c>
      <c r="E1593" s="6" t="s">
        <v>588</v>
      </c>
      <c r="F1593" s="6" t="s">
        <v>5476</v>
      </c>
      <c r="G1593" s="6">
        <v>30284</v>
      </c>
      <c r="H1593" s="6" t="s">
        <v>5477</v>
      </c>
      <c r="I1593" s="6">
        <v>102</v>
      </c>
      <c r="J1593" s="6" t="s">
        <v>23</v>
      </c>
      <c r="K1593" s="6" t="s">
        <v>24</v>
      </c>
      <c r="L1593" s="6">
        <v>15000000</v>
      </c>
      <c r="M1593" s="6">
        <v>2012</v>
      </c>
      <c r="N1593" s="6">
        <v>6.6</v>
      </c>
      <c r="O1593" s="4">
        <f ca="1">IFERROR(__xludf.DUMMYFUNCTION("IF(Cost_in_dollars!E1593=""USD"",Cost_in_dollars!B1593,Cost_in_dollars!B1593 * GOOGLEFINANCE(""CURRENCY:"" &amp; Cost_in_dollars!E1593 &amp; ""USD""))
"),15000000)</f>
        <v>15000000</v>
      </c>
      <c r="P1593" s="4">
        <f ca="1">IFERROR(__xludf.DUMMYFUNCTION("IF(Cost_in_dollars!E1593=""USD"",Cost_in_dollars!C1593,Cost_in_dollars!C1593 * GOOGLEFINANCE(""CURRENCY:"" &amp; Cost_in_dollars!E1593 &amp; ""USD""))
"),7556708)</f>
        <v>7556708</v>
      </c>
      <c r="Q1593" s="6">
        <f t="shared" ca="1" si="36"/>
        <v>-7443292</v>
      </c>
      <c r="R1593" s="7" t="str">
        <f t="shared" si="37"/>
        <v>Promised Land</v>
      </c>
      <c r="S1593" s="43" t="str">
        <f t="shared" si="38"/>
        <v>Drama</v>
      </c>
    </row>
    <row r="1594" spans="1:19" ht="15.75" customHeight="1" x14ac:dyDescent="0.25">
      <c r="A1594" s="4" t="s">
        <v>1775</v>
      </c>
      <c r="B1594" s="4">
        <v>376</v>
      </c>
      <c r="C1594" s="4">
        <v>12026670</v>
      </c>
      <c r="D1594" s="4" t="s">
        <v>155</v>
      </c>
      <c r="E1594" s="4" t="s">
        <v>1642</v>
      </c>
      <c r="F1594" s="4" t="s">
        <v>5478</v>
      </c>
      <c r="G1594" s="4">
        <v>114241</v>
      </c>
      <c r="H1594" s="4" t="s">
        <v>5479</v>
      </c>
      <c r="I1594" s="4">
        <v>258</v>
      </c>
      <c r="J1594" s="4" t="s">
        <v>23</v>
      </c>
      <c r="K1594" s="4" t="s">
        <v>24</v>
      </c>
      <c r="L1594" s="4">
        <v>45000000</v>
      </c>
      <c r="M1594" s="4">
        <v>2013</v>
      </c>
      <c r="N1594" s="4">
        <v>6.4</v>
      </c>
      <c r="O1594" s="4">
        <f ca="1">IFERROR(__xludf.DUMMYFUNCTION("IF(Cost_in_dollars!E1594=""USD"",Cost_in_dollars!B1594,Cost_in_dollars!B1594 * GOOGLEFINANCE(""CURRENCY:"" &amp; Cost_in_dollars!E1594 &amp; ""USD""))
"),45000000)</f>
        <v>45000000</v>
      </c>
      <c r="P1594" s="4">
        <f ca="1">IFERROR(__xludf.DUMMYFUNCTION("IF(Cost_in_dollars!E1594=""USD"",Cost_in_dollars!C1594,Cost_in_dollars!C1594 * GOOGLEFINANCE(""CURRENCY:"" &amp; Cost_in_dollars!E1594 &amp; ""USD""))
"),12026670)</f>
        <v>12026670</v>
      </c>
      <c r="Q1594" s="4">
        <f t="shared" ca="1" si="36"/>
        <v>-32973330</v>
      </c>
      <c r="R1594" s="5" t="str">
        <f t="shared" si="37"/>
        <v>The Last Stand</v>
      </c>
      <c r="S1594" s="43" t="str">
        <f t="shared" si="38"/>
        <v>Action</v>
      </c>
    </row>
    <row r="1595" spans="1:19" ht="15.75" customHeight="1" x14ac:dyDescent="0.25">
      <c r="A1595" s="6" t="s">
        <v>1321</v>
      </c>
      <c r="B1595" s="6">
        <v>338</v>
      </c>
      <c r="C1595" s="6">
        <v>65171860</v>
      </c>
      <c r="D1595" s="6" t="s">
        <v>3118</v>
      </c>
      <c r="E1595" s="6" t="s">
        <v>5480</v>
      </c>
      <c r="F1595" s="6" t="s">
        <v>5481</v>
      </c>
      <c r="G1595" s="6">
        <v>106416</v>
      </c>
      <c r="H1595" s="6" t="s">
        <v>5482</v>
      </c>
      <c r="I1595" s="6">
        <v>205</v>
      </c>
      <c r="J1595" s="6" t="s">
        <v>23</v>
      </c>
      <c r="K1595" s="6" t="s">
        <v>24</v>
      </c>
      <c r="L1595" s="6">
        <v>195000000</v>
      </c>
      <c r="M1595" s="6">
        <v>2013</v>
      </c>
      <c r="N1595" s="6">
        <v>6.3</v>
      </c>
      <c r="O1595" s="4">
        <f ca="1">IFERROR(__xludf.DUMMYFUNCTION("IF(Cost_in_dollars!E1595=""USD"",Cost_in_dollars!B1595,Cost_in_dollars!B1595 * GOOGLEFINANCE(""CURRENCY:"" &amp; Cost_in_dollars!E1595 &amp; ""USD""))
"),195000000)</f>
        <v>195000000</v>
      </c>
      <c r="P1595" s="4">
        <f ca="1">IFERROR(__xludf.DUMMYFUNCTION("IF(Cost_in_dollars!E1595=""USD"",Cost_in_dollars!C1595,Cost_in_dollars!C1595 * GOOGLEFINANCE(""CURRENCY:"" &amp; Cost_in_dollars!E1595 &amp; ""USD""))
"),65171860)</f>
        <v>65171860</v>
      </c>
      <c r="Q1595" s="6">
        <f t="shared" ca="1" si="36"/>
        <v>-129828140</v>
      </c>
      <c r="R1595" s="7" t="str">
        <f t="shared" si="37"/>
        <v>Jack the Giant Slayer</v>
      </c>
      <c r="S1595" s="43" t="str">
        <f t="shared" si="38"/>
        <v>Adventure</v>
      </c>
    </row>
    <row r="1596" spans="1:19" ht="15.75" customHeight="1" x14ac:dyDescent="0.25">
      <c r="A1596" s="4" t="s">
        <v>923</v>
      </c>
      <c r="B1596" s="4">
        <v>213</v>
      </c>
      <c r="C1596" s="4">
        <v>23527955</v>
      </c>
      <c r="D1596" s="4" t="s">
        <v>613</v>
      </c>
      <c r="E1596" s="4" t="s">
        <v>986</v>
      </c>
      <c r="F1596" s="4" t="s">
        <v>5483</v>
      </c>
      <c r="G1596" s="4">
        <v>74691</v>
      </c>
      <c r="H1596" s="4" t="s">
        <v>5484</v>
      </c>
      <c r="I1596" s="4">
        <v>165</v>
      </c>
      <c r="J1596" s="4" t="s">
        <v>23</v>
      </c>
      <c r="K1596" s="4" t="s">
        <v>24</v>
      </c>
      <c r="L1596" s="4">
        <v>25000000</v>
      </c>
      <c r="M1596" s="4">
        <v>2010</v>
      </c>
      <c r="N1596" s="4">
        <v>6.4</v>
      </c>
      <c r="O1596" s="4">
        <f ca="1">IFERROR(__xludf.DUMMYFUNCTION("IF(Cost_in_dollars!E1596=""USD"",Cost_in_dollars!B1596,Cost_in_dollars!B1596 * GOOGLEFINANCE(""CURRENCY:"" &amp; Cost_in_dollars!E1596 &amp; ""USD""))
"),25000000)</f>
        <v>25000000</v>
      </c>
      <c r="P1596" s="4">
        <f ca="1">IFERROR(__xludf.DUMMYFUNCTION("IF(Cost_in_dollars!E1596=""USD"",Cost_in_dollars!C1596,Cost_in_dollars!C1596 * GOOGLEFINANCE(""CURRENCY:"" &amp; Cost_in_dollars!E1596 &amp; ""USD""))
"),23527955)</f>
        <v>23527955</v>
      </c>
      <c r="Q1596" s="4">
        <f t="shared" ca="1" si="36"/>
        <v>-1472045</v>
      </c>
      <c r="R1596" s="5" t="str">
        <f t="shared" si="37"/>
        <v>The Losers</v>
      </c>
      <c r="S1596" s="43" t="str">
        <f t="shared" si="38"/>
        <v>Action</v>
      </c>
    </row>
    <row r="1597" spans="1:19" ht="15.75" customHeight="1" x14ac:dyDescent="0.25">
      <c r="A1597" s="6" t="s">
        <v>5485</v>
      </c>
      <c r="B1597" s="6">
        <v>43</v>
      </c>
      <c r="C1597" s="6">
        <v>617172</v>
      </c>
      <c r="D1597" s="6" t="s">
        <v>254</v>
      </c>
      <c r="E1597" s="6" t="s">
        <v>5486</v>
      </c>
      <c r="F1597" s="6" t="s">
        <v>5487</v>
      </c>
      <c r="G1597" s="6">
        <v>4407</v>
      </c>
      <c r="H1597" s="6" t="s">
        <v>5488</v>
      </c>
      <c r="I1597" s="6">
        <v>75</v>
      </c>
      <c r="J1597" s="6" t="s">
        <v>23</v>
      </c>
      <c r="K1597" s="6" t="s">
        <v>24</v>
      </c>
      <c r="L1597" s="6">
        <v>375000</v>
      </c>
      <c r="M1597" s="6">
        <v>1997</v>
      </c>
      <c r="N1597" s="6">
        <v>7</v>
      </c>
      <c r="O1597" s="4">
        <f ca="1">IFERROR(__xludf.DUMMYFUNCTION("IF(Cost_in_dollars!E1597=""USD"",Cost_in_dollars!B1597,Cost_in_dollars!B1597 * GOOGLEFINANCE(""CURRENCY:"" &amp; Cost_in_dollars!E1597 &amp; ""USD""))
"),375000)</f>
        <v>375000</v>
      </c>
      <c r="P1597" s="4">
        <f ca="1">IFERROR(__xludf.DUMMYFUNCTION("IF(Cost_in_dollars!E1597=""USD"",Cost_in_dollars!C1597,Cost_in_dollars!C1597 * GOOGLEFINANCE(""CURRENCY:"" &amp; Cost_in_dollars!E1597 &amp; ""USD""))
"),617172)</f>
        <v>617172</v>
      </c>
      <c r="Q1597" s="6">
        <f t="shared" ca="1" si="36"/>
        <v>242172</v>
      </c>
      <c r="R1597" s="7" t="str">
        <f t="shared" si="37"/>
        <v>Trekkies</v>
      </c>
      <c r="S1597" s="43" t="str">
        <f t="shared" si="38"/>
        <v>Documentary</v>
      </c>
    </row>
    <row r="1598" spans="1:19" ht="15.75" customHeight="1" x14ac:dyDescent="0.25">
      <c r="A1598" s="4" t="s">
        <v>4210</v>
      </c>
      <c r="B1598" s="4">
        <v>186</v>
      </c>
      <c r="C1598" s="4">
        <v>35635046</v>
      </c>
      <c r="D1598" s="4" t="s">
        <v>504</v>
      </c>
      <c r="E1598" s="4" t="s">
        <v>2466</v>
      </c>
      <c r="F1598" s="4" t="s">
        <v>5489</v>
      </c>
      <c r="G1598" s="4">
        <v>121058</v>
      </c>
      <c r="H1598" s="4" t="s">
        <v>5490</v>
      </c>
      <c r="I1598" s="4">
        <v>482</v>
      </c>
      <c r="J1598" s="4" t="s">
        <v>23</v>
      </c>
      <c r="K1598" s="4" t="s">
        <v>133</v>
      </c>
      <c r="L1598" s="4">
        <v>17000000</v>
      </c>
      <c r="M1598" s="4">
        <v>2006</v>
      </c>
      <c r="N1598" s="4">
        <v>6.7</v>
      </c>
      <c r="O1598" s="4">
        <f ca="1">IFERROR(__xludf.DUMMYFUNCTION("IF(Cost_in_dollars!E1598=""USD"",Cost_in_dollars!B1598,Cost_in_dollars!B1598 * GOOGLEFINANCE(""CURRENCY:"" &amp; Cost_in_dollars!E1598 &amp; ""USD""))
"),21851799.9999999)</f>
        <v>21851799.999999899</v>
      </c>
      <c r="P1598" s="4">
        <f ca="1">IFERROR(__xludf.DUMMYFUNCTION("IF(Cost_in_dollars!E1598=""USD"",Cost_in_dollars!C1598,Cost_in_dollars!C1598 * GOOGLEFINANCE(""CURRENCY:"" &amp; Cost_in_dollars!E1598 &amp; ""USD""))
"),45805288.1284)</f>
        <v>45805288.128399998</v>
      </c>
      <c r="Q1598" s="4">
        <f t="shared" ca="1" si="36"/>
        <v>23953488.128400099</v>
      </c>
      <c r="R1598" s="5" t="str">
        <f t="shared" si="37"/>
        <v>Smokin' Aces</v>
      </c>
      <c r="S1598" s="43" t="str">
        <f t="shared" si="38"/>
        <v>Action</v>
      </c>
    </row>
    <row r="1599" spans="1:19" ht="15.75" customHeight="1" x14ac:dyDescent="0.25">
      <c r="A1599" s="6" t="s">
        <v>5491</v>
      </c>
      <c r="B1599" s="6">
        <v>136</v>
      </c>
      <c r="C1599" s="6">
        <v>35168677</v>
      </c>
      <c r="D1599" s="6" t="s">
        <v>5492</v>
      </c>
      <c r="E1599" s="6" t="s">
        <v>608</v>
      </c>
      <c r="F1599" s="6" t="s">
        <v>5493</v>
      </c>
      <c r="G1599" s="6">
        <v>49311</v>
      </c>
      <c r="H1599" s="6" t="s">
        <v>5494</v>
      </c>
      <c r="I1599" s="6">
        <v>278</v>
      </c>
      <c r="J1599" s="6" t="s">
        <v>23</v>
      </c>
      <c r="K1599" s="6" t="s">
        <v>133</v>
      </c>
      <c r="L1599" s="6">
        <v>100000000</v>
      </c>
      <c r="M1599" s="6">
        <v>2002</v>
      </c>
      <c r="N1599" s="6">
        <v>6.7</v>
      </c>
      <c r="O1599" s="4">
        <f ca="1">IFERROR(__xludf.DUMMYFUNCTION("IF(Cost_in_dollars!E1599=""USD"",Cost_in_dollars!B1599,Cost_in_dollars!B1599 * GOOGLEFINANCE(""CURRENCY:"" &amp; Cost_in_dollars!E1599 &amp; ""USD""))
"),128539999.999999)</f>
        <v>128539999.999999</v>
      </c>
      <c r="P1599" s="4">
        <f ca="1">IFERROR(__xludf.DUMMYFUNCTION("IF(Cost_in_dollars!E1599=""USD"",Cost_in_dollars!C1599,Cost_in_dollars!C1599 * GOOGLEFINANCE(""CURRENCY:"" &amp; Cost_in_dollars!E1599 &amp; ""USD""))
"),45205817.4158)</f>
        <v>45205817.415799998</v>
      </c>
      <c r="Q1599" s="6">
        <f t="shared" ca="1" si="36"/>
        <v>-83334182.584199011</v>
      </c>
      <c r="R1599" s="7" t="str">
        <f t="shared" si="37"/>
        <v>K-19: The Widowmaker</v>
      </c>
      <c r="S1599" s="43" t="str">
        <f t="shared" si="38"/>
        <v>Drama</v>
      </c>
    </row>
    <row r="1600" spans="1:19" ht="15.75" customHeight="1" x14ac:dyDescent="0.25">
      <c r="A1600" s="4" t="s">
        <v>2707</v>
      </c>
      <c r="B1600" s="4">
        <v>209</v>
      </c>
      <c r="C1600" s="4">
        <v>75305995</v>
      </c>
      <c r="D1600" s="4" t="s">
        <v>2238</v>
      </c>
      <c r="E1600" s="4" t="s">
        <v>5495</v>
      </c>
      <c r="F1600" s="4" t="s">
        <v>5496</v>
      </c>
      <c r="G1600" s="4">
        <v>110394</v>
      </c>
      <c r="H1600" s="4" t="s">
        <v>5497</v>
      </c>
      <c r="I1600" s="4">
        <v>433</v>
      </c>
      <c r="J1600" s="4" t="s">
        <v>23</v>
      </c>
      <c r="K1600" s="4" t="s">
        <v>24</v>
      </c>
      <c r="L1600" s="4">
        <v>40000000</v>
      </c>
      <c r="M1600" s="4">
        <v>2004</v>
      </c>
      <c r="N1600" s="4">
        <v>7.7</v>
      </c>
      <c r="O1600" s="4">
        <f ca="1">IFERROR(__xludf.DUMMYFUNCTION("IF(Cost_in_dollars!E1600=""USD"",Cost_in_dollars!B1600,Cost_in_dollars!B1600 * GOOGLEFINANCE(""CURRENCY:"" &amp; Cost_in_dollars!E1600 &amp; ""USD""))
"),40000000)</f>
        <v>40000000</v>
      </c>
      <c r="P1600" s="4">
        <f ca="1">IFERROR(__xludf.DUMMYFUNCTION("IF(Cost_in_dollars!E1600=""USD"",Cost_in_dollars!C1600,Cost_in_dollars!C1600 * GOOGLEFINANCE(""CURRENCY:"" &amp; Cost_in_dollars!E1600 &amp; ""USD""))
"),75305995)</f>
        <v>75305995</v>
      </c>
      <c r="Q1600" s="4">
        <f t="shared" ca="1" si="36"/>
        <v>35305995</v>
      </c>
      <c r="R1600" s="5" t="str">
        <f t="shared" si="37"/>
        <v>Ray</v>
      </c>
      <c r="S1600" s="43" t="str">
        <f t="shared" si="38"/>
        <v>Biography</v>
      </c>
    </row>
    <row r="1601" spans="1:19" ht="15.75" customHeight="1" x14ac:dyDescent="0.25">
      <c r="A1601" s="6" t="s">
        <v>37</v>
      </c>
      <c r="B1601" s="6">
        <v>169</v>
      </c>
      <c r="C1601" s="6">
        <v>90454043</v>
      </c>
      <c r="D1601" s="6" t="s">
        <v>477</v>
      </c>
      <c r="E1601" s="6" t="s">
        <v>37</v>
      </c>
      <c r="F1601" s="6" t="s">
        <v>5498</v>
      </c>
      <c r="G1601" s="6">
        <v>60165</v>
      </c>
      <c r="H1601" s="6" t="s">
        <v>5499</v>
      </c>
      <c r="I1601" s="6">
        <v>326</v>
      </c>
      <c r="J1601" s="6" t="s">
        <v>23</v>
      </c>
      <c r="K1601" s="6" t="s">
        <v>24</v>
      </c>
      <c r="L1601" s="6">
        <v>65000000</v>
      </c>
      <c r="M1601" s="6">
        <v>2000</v>
      </c>
      <c r="N1601" s="6">
        <v>6.4</v>
      </c>
      <c r="O1601" s="4">
        <f ca="1">IFERROR(__xludf.DUMMYFUNCTION("IF(Cost_in_dollars!E1601=""USD"",Cost_in_dollars!B1601,Cost_in_dollars!B1601 * GOOGLEFINANCE(""CURRENCY:"" &amp; Cost_in_dollars!E1601 &amp; ""USD""))
"),65000000)</f>
        <v>65000000</v>
      </c>
      <c r="P1601" s="4">
        <f ca="1">IFERROR(__xludf.DUMMYFUNCTION("IF(Cost_in_dollars!E1601=""USD"",Cost_in_dollars!C1601,Cost_in_dollars!C1601 * GOOGLEFINANCE(""CURRENCY:"" &amp; Cost_in_dollars!E1601 &amp; ""USD""))
"),90454043)</f>
        <v>90454043</v>
      </c>
      <c r="Q1601" s="6">
        <f t="shared" ca="1" si="36"/>
        <v>25454043</v>
      </c>
      <c r="R1601" s="7" t="str">
        <f t="shared" si="37"/>
        <v>Space Cowboys</v>
      </c>
      <c r="S1601" s="43" t="str">
        <f t="shared" si="38"/>
        <v>Action</v>
      </c>
    </row>
    <row r="1602" spans="1:19" ht="15.75" customHeight="1" x14ac:dyDescent="0.25">
      <c r="A1602" s="4" t="s">
        <v>4358</v>
      </c>
      <c r="B1602" s="4">
        <v>111</v>
      </c>
      <c r="C1602" s="4">
        <v>14174654</v>
      </c>
      <c r="D1602" s="4" t="s">
        <v>140</v>
      </c>
      <c r="E1602" s="4" t="s">
        <v>2009</v>
      </c>
      <c r="F1602" s="4" t="s">
        <v>5500</v>
      </c>
      <c r="G1602" s="4">
        <v>74945</v>
      </c>
      <c r="H1602" s="4" t="s">
        <v>5501</v>
      </c>
      <c r="I1602" s="4">
        <v>359</v>
      </c>
      <c r="J1602" s="4" t="s">
        <v>23</v>
      </c>
      <c r="K1602" s="4" t="s">
        <v>24</v>
      </c>
      <c r="L1602" s="4">
        <v>25000000</v>
      </c>
      <c r="M1602" s="4">
        <v>2008</v>
      </c>
      <c r="N1602" s="4">
        <v>1.9</v>
      </c>
      <c r="O1602" s="4">
        <f ca="1">IFERROR(__xludf.DUMMYFUNCTION("IF(Cost_in_dollars!E1602=""USD"",Cost_in_dollars!B1602,Cost_in_dollars!B1602 * GOOGLEFINANCE(""CURRENCY:"" &amp; Cost_in_dollars!E1602 &amp; ""USD""))
"),25000000)</f>
        <v>25000000</v>
      </c>
      <c r="P1602" s="4">
        <f ca="1">IFERROR(__xludf.DUMMYFUNCTION("IF(Cost_in_dollars!E1602=""USD"",Cost_in_dollars!C1602,Cost_in_dollars!C1602 * GOOGLEFINANCE(""CURRENCY:"" &amp; Cost_in_dollars!E1602 &amp; ""USD""))
"),14174654)</f>
        <v>14174654</v>
      </c>
      <c r="Q1602" s="4">
        <f t="shared" ca="1" si="36"/>
        <v>-10825346</v>
      </c>
      <c r="R1602" s="5" t="str">
        <f t="shared" si="37"/>
        <v>Disaster Movie</v>
      </c>
      <c r="S1602" s="43" t="str">
        <f t="shared" ref="S1602:S1665" si="39">IF(ISNUMBER(FIND("|", D1602)), LEFT(D1602, FIND("|", D1602) - 1), D1602)</f>
        <v>Comedy</v>
      </c>
    </row>
    <row r="1603" spans="1:19" ht="15.75" customHeight="1" x14ac:dyDescent="0.25">
      <c r="A1603" s="6" t="s">
        <v>826</v>
      </c>
      <c r="B1603" s="6">
        <v>149</v>
      </c>
      <c r="C1603" s="6">
        <v>31111260</v>
      </c>
      <c r="D1603" s="6" t="s">
        <v>797</v>
      </c>
      <c r="E1603" s="6" t="s">
        <v>4231</v>
      </c>
      <c r="F1603" s="6" t="s">
        <v>5502</v>
      </c>
      <c r="G1603" s="6">
        <v>77029</v>
      </c>
      <c r="H1603" s="6" t="s">
        <v>5503</v>
      </c>
      <c r="I1603" s="6">
        <v>466</v>
      </c>
      <c r="J1603" s="6" t="s">
        <v>23</v>
      </c>
      <c r="K1603" s="6" t="s">
        <v>24</v>
      </c>
      <c r="L1603" s="6">
        <v>60000000</v>
      </c>
      <c r="M1603" s="6">
        <v>2003</v>
      </c>
      <c r="N1603" s="6">
        <v>5.4</v>
      </c>
      <c r="O1603" s="4">
        <f ca="1">IFERROR(__xludf.DUMMYFUNCTION("IF(Cost_in_dollars!E1603=""USD"",Cost_in_dollars!B1603,Cost_in_dollars!B1603 * GOOGLEFINANCE(""CURRENCY:"" &amp; Cost_in_dollars!E1603 &amp; ""USD""))
"),60000000)</f>
        <v>60000000</v>
      </c>
      <c r="P1603" s="4">
        <f ca="1">IFERROR(__xludf.DUMMYFUNCTION("IF(Cost_in_dollars!E1603=""USD"",Cost_in_dollars!C1603,Cost_in_dollars!C1603 * GOOGLEFINANCE(""CURRENCY:"" &amp; Cost_in_dollars!E1603 &amp; ""USD""))
"),31111260)</f>
        <v>31111260</v>
      </c>
      <c r="Q1603" s="6">
        <f t="shared" ca="1" si="36"/>
        <v>-28888740</v>
      </c>
      <c r="R1603" s="7" t="str">
        <f t="shared" si="37"/>
        <v>The Core</v>
      </c>
      <c r="S1603" s="43" t="str">
        <f t="shared" si="39"/>
        <v>Action</v>
      </c>
    </row>
    <row r="1604" spans="1:19" ht="15.75" customHeight="1" x14ac:dyDescent="0.25">
      <c r="A1604" s="4" t="s">
        <v>5504</v>
      </c>
      <c r="B1604" s="4">
        <v>160</v>
      </c>
      <c r="C1604" s="4">
        <v>56729973</v>
      </c>
      <c r="D1604" s="4" t="s">
        <v>568</v>
      </c>
      <c r="E1604" s="4" t="s">
        <v>3610</v>
      </c>
      <c r="F1604" s="4" t="s">
        <v>5505</v>
      </c>
      <c r="G1604" s="4">
        <v>88529</v>
      </c>
      <c r="H1604" s="4" t="s">
        <v>5506</v>
      </c>
      <c r="I1604" s="4">
        <v>262</v>
      </c>
      <c r="J1604" s="4" t="s">
        <v>23</v>
      </c>
      <c r="K1604" s="4" t="s">
        <v>24</v>
      </c>
      <c r="L1604" s="4">
        <v>10800000</v>
      </c>
      <c r="M1604" s="4">
        <v>2008</v>
      </c>
      <c r="N1604" s="4">
        <v>5.8</v>
      </c>
      <c r="O1604" s="4">
        <f ca="1">IFERROR(__xludf.DUMMYFUNCTION("IF(Cost_in_dollars!E1604=""USD"",Cost_in_dollars!B1604,Cost_in_dollars!B1604 * GOOGLEFINANCE(""CURRENCY:"" &amp; Cost_in_dollars!E1604 &amp; ""USD""))
"),10800000)</f>
        <v>10800000</v>
      </c>
      <c r="P1604" s="4">
        <f ca="1">IFERROR(__xludf.DUMMYFUNCTION("IF(Cost_in_dollars!E1604=""USD"",Cost_in_dollars!C1604,Cost_in_dollars!C1604 * GOOGLEFINANCE(""CURRENCY:"" &amp; Cost_in_dollars!E1604 &amp; ""USD""))
"),56729973)</f>
        <v>56729973</v>
      </c>
      <c r="Q1604" s="4">
        <f t="shared" ca="1" si="36"/>
        <v>45929973</v>
      </c>
      <c r="R1604" s="5" t="str">
        <f t="shared" si="37"/>
        <v>Saw V</v>
      </c>
      <c r="S1604" s="43" t="str">
        <f t="shared" si="39"/>
        <v>Horror</v>
      </c>
    </row>
    <row r="1605" spans="1:19" ht="15.75" customHeight="1" x14ac:dyDescent="0.25">
      <c r="A1605" s="6" t="s">
        <v>989</v>
      </c>
      <c r="B1605" s="6">
        <v>199</v>
      </c>
      <c r="C1605" s="6">
        <v>131144183</v>
      </c>
      <c r="D1605" s="6" t="s">
        <v>3674</v>
      </c>
      <c r="E1605" s="6" t="s">
        <v>847</v>
      </c>
      <c r="F1605" s="6" t="s">
        <v>5507</v>
      </c>
      <c r="G1605" s="6">
        <v>157016</v>
      </c>
      <c r="H1605" s="6" t="s">
        <v>5508</v>
      </c>
      <c r="I1605" s="6">
        <v>824</v>
      </c>
      <c r="J1605" s="6" t="s">
        <v>23</v>
      </c>
      <c r="K1605" s="6" t="s">
        <v>24</v>
      </c>
      <c r="L1605" s="6">
        <v>115000000</v>
      </c>
      <c r="M1605" s="6">
        <v>2001</v>
      </c>
      <c r="N1605" s="6">
        <v>5.7</v>
      </c>
      <c r="O1605" s="4">
        <f ca="1">IFERROR(__xludf.DUMMYFUNCTION("IF(Cost_in_dollars!E1605=""USD"",Cost_in_dollars!B1605,Cost_in_dollars!B1605 * GOOGLEFINANCE(""CURRENCY:"" &amp; Cost_in_dollars!E1605 &amp; ""USD""))
"),115000000)</f>
        <v>115000000</v>
      </c>
      <c r="P1605" s="4">
        <f ca="1">IFERROR(__xludf.DUMMYFUNCTION("IF(Cost_in_dollars!E1605=""USD"",Cost_in_dollars!C1605,Cost_in_dollars!C1605 * GOOGLEFINANCE(""CURRENCY:"" &amp; Cost_in_dollars!E1605 &amp; ""USD""))
"),131144183)</f>
        <v>131144183</v>
      </c>
      <c r="Q1605" s="6">
        <f t="shared" ca="1" si="36"/>
        <v>16144183</v>
      </c>
      <c r="R1605" s="7" t="str">
        <f t="shared" si="37"/>
        <v>Lara Croft: Tomb Raider</v>
      </c>
      <c r="S1605" s="43" t="str">
        <f t="shared" si="39"/>
        <v>Action</v>
      </c>
    </row>
    <row r="1606" spans="1:19" ht="15.75" customHeight="1" x14ac:dyDescent="0.25">
      <c r="A1606" s="4" t="s">
        <v>2707</v>
      </c>
      <c r="B1606" s="4">
        <v>12</v>
      </c>
      <c r="C1606" s="4">
        <v>4496583</v>
      </c>
      <c r="D1606" s="4" t="s">
        <v>53</v>
      </c>
      <c r="E1606" s="4" t="s">
        <v>872</v>
      </c>
      <c r="F1606" s="4" t="s">
        <v>5509</v>
      </c>
      <c r="G1606" s="4">
        <v>23181</v>
      </c>
      <c r="H1606" s="4" t="s">
        <v>5510</v>
      </c>
      <c r="I1606" s="4">
        <v>129</v>
      </c>
      <c r="J1606" s="4" t="s">
        <v>23</v>
      </c>
      <c r="K1606" s="4" t="s">
        <v>24</v>
      </c>
      <c r="L1606" s="4">
        <v>35000000</v>
      </c>
      <c r="M1606" s="4">
        <v>1993</v>
      </c>
      <c r="N1606" s="4">
        <v>8</v>
      </c>
      <c r="O1606" s="4">
        <f ca="1">IFERROR(__xludf.DUMMYFUNCTION("IF(Cost_in_dollars!E1606=""USD"",Cost_in_dollars!B1606,Cost_in_dollars!B1606 * GOOGLEFINANCE(""CURRENCY:"" &amp; Cost_in_dollars!E1606 &amp; ""USD""))
"),35000000)</f>
        <v>35000000</v>
      </c>
      <c r="P1606" s="4">
        <f ca="1">IFERROR(__xludf.DUMMYFUNCTION("IF(Cost_in_dollars!E1606=""USD"",Cost_in_dollars!C1606,Cost_in_dollars!C1606 * GOOGLEFINANCE(""CURRENCY:"" &amp; Cost_in_dollars!E1606 &amp; ""USD""))
"),4496583)</f>
        <v>4496583</v>
      </c>
      <c r="Q1606" s="4">
        <f t="shared" ca="1" si="36"/>
        <v>-30503417</v>
      </c>
      <c r="R1606" s="5" t="str">
        <f t="shared" si="37"/>
        <v>Blood In, Blood Out</v>
      </c>
      <c r="S1606" s="43" t="str">
        <f t="shared" si="39"/>
        <v>Crime</v>
      </c>
    </row>
    <row r="1607" spans="1:19" ht="15.75" customHeight="1" x14ac:dyDescent="0.25">
      <c r="A1607" s="6" t="s">
        <v>2008</v>
      </c>
      <c r="B1607" s="6">
        <v>43</v>
      </c>
      <c r="C1607" s="6">
        <v>86930411</v>
      </c>
      <c r="D1607" s="6" t="s">
        <v>443</v>
      </c>
      <c r="E1607" s="6" t="s">
        <v>2019</v>
      </c>
      <c r="F1607" s="6" t="s">
        <v>5511</v>
      </c>
      <c r="G1607" s="6">
        <v>83269</v>
      </c>
      <c r="H1607" s="6" t="s">
        <v>5512</v>
      </c>
      <c r="I1607" s="6">
        <v>87</v>
      </c>
      <c r="J1607" s="6" t="s">
        <v>23</v>
      </c>
      <c r="K1607" s="6" t="s">
        <v>24</v>
      </c>
      <c r="L1607" s="6">
        <v>23000000</v>
      </c>
      <c r="M1607" s="6">
        <v>1991</v>
      </c>
      <c r="N1607" s="6">
        <v>6.8</v>
      </c>
      <c r="O1607" s="4">
        <f ca="1">IFERROR(__xludf.DUMMYFUNCTION("IF(Cost_in_dollars!E1607=""USD"",Cost_in_dollars!B1607,Cost_in_dollars!B1607 * GOOGLEFINANCE(""CURRENCY:"" &amp; Cost_in_dollars!E1607 &amp; ""USD""))
"),23000000)</f>
        <v>23000000</v>
      </c>
      <c r="P1607" s="4">
        <f ca="1">IFERROR(__xludf.DUMMYFUNCTION("IF(Cost_in_dollars!E1607=""USD"",Cost_in_dollars!C1607,Cost_in_dollars!C1607 * GOOGLEFINANCE(""CURRENCY:"" &amp; Cost_in_dollars!E1607 &amp; ""USD""))
"),86930411)</f>
        <v>86930411</v>
      </c>
      <c r="Q1607" s="6">
        <f t="shared" ca="1" si="36"/>
        <v>63930411</v>
      </c>
      <c r="R1607" s="7" t="str">
        <f t="shared" si="37"/>
        <v>The Naked Gun 2Â½: The Smell of Fear</v>
      </c>
      <c r="S1607" s="43" t="str">
        <f t="shared" si="39"/>
        <v>Comedy</v>
      </c>
    </row>
    <row r="1608" spans="1:19" ht="15.75" customHeight="1" x14ac:dyDescent="0.25">
      <c r="A1608" s="4" t="s">
        <v>144</v>
      </c>
      <c r="B1608" s="4">
        <v>30</v>
      </c>
      <c r="C1608" s="4">
        <v>7434726</v>
      </c>
      <c r="D1608" s="4" t="s">
        <v>5513</v>
      </c>
      <c r="E1608" s="4" t="s">
        <v>1184</v>
      </c>
      <c r="F1608" s="4" t="s">
        <v>5514</v>
      </c>
      <c r="G1608" s="4">
        <v>14473</v>
      </c>
      <c r="H1608" s="4" t="s">
        <v>5515</v>
      </c>
      <c r="I1608" s="4">
        <v>81</v>
      </c>
      <c r="J1608" s="4" t="s">
        <v>23</v>
      </c>
      <c r="K1608" s="4" t="s">
        <v>24</v>
      </c>
      <c r="L1608" s="4">
        <v>23000000</v>
      </c>
      <c r="M1608" s="4">
        <v>1991</v>
      </c>
      <c r="N1608" s="4">
        <v>6</v>
      </c>
      <c r="O1608" s="4">
        <f ca="1">IFERROR(__xludf.DUMMYFUNCTION("IF(Cost_in_dollars!E1608=""USD"",Cost_in_dollars!B1608,Cost_in_dollars!B1608 * GOOGLEFINANCE(""CURRENCY:"" &amp; Cost_in_dollars!E1608 &amp; ""USD""))
"),23000000)</f>
        <v>23000000</v>
      </c>
      <c r="P1608" s="4">
        <f ca="1">IFERROR(__xludf.DUMMYFUNCTION("IF(Cost_in_dollars!E1608=""USD"",Cost_in_dollars!C1608,Cost_in_dollars!C1608 * GOOGLEFINANCE(""CURRENCY:"" &amp; Cost_in_dollars!E1608 &amp; ""USD""))
"),7434726)</f>
        <v>7434726</v>
      </c>
      <c r="Q1608" s="4">
        <f t="shared" ca="1" si="36"/>
        <v>-15565274</v>
      </c>
      <c r="R1608" s="5" t="str">
        <f t="shared" si="37"/>
        <v>Harley Davidson and the Marlboro Man</v>
      </c>
      <c r="S1608" s="43" t="str">
        <f t="shared" si="39"/>
        <v>Action</v>
      </c>
    </row>
    <row r="1609" spans="1:19" ht="15.75" customHeight="1" x14ac:dyDescent="0.25">
      <c r="A1609" s="6" t="s">
        <v>5516</v>
      </c>
      <c r="B1609" s="6">
        <v>286</v>
      </c>
      <c r="C1609" s="6">
        <v>318622</v>
      </c>
      <c r="D1609" s="6" t="s">
        <v>5517</v>
      </c>
      <c r="E1609" s="6" t="s">
        <v>5518</v>
      </c>
      <c r="F1609" s="6" t="s">
        <v>5519</v>
      </c>
      <c r="G1609" s="6">
        <v>24668</v>
      </c>
      <c r="H1609" s="6" t="s">
        <v>5520</v>
      </c>
      <c r="I1609" s="6">
        <v>175</v>
      </c>
      <c r="J1609" s="6" t="s">
        <v>23</v>
      </c>
      <c r="K1609" s="6" t="s">
        <v>24</v>
      </c>
      <c r="L1609" s="6">
        <v>270000</v>
      </c>
      <c r="M1609" s="6">
        <v>2012</v>
      </c>
      <c r="N1609" s="6">
        <v>6.4</v>
      </c>
      <c r="O1609" s="4">
        <f ca="1">IFERROR(__xludf.DUMMYFUNCTION("IF(Cost_in_dollars!E1609=""USD"",Cost_in_dollars!B1609,Cost_in_dollars!B1609 * GOOGLEFINANCE(""CURRENCY:"" &amp; Cost_in_dollars!E1609 &amp; ""USD""))
"),270000)</f>
        <v>270000</v>
      </c>
      <c r="P1609" s="4">
        <f ca="1">IFERROR(__xludf.DUMMYFUNCTION("IF(Cost_in_dollars!E1609=""USD"",Cost_in_dollars!C1609,Cost_in_dollars!C1609 * GOOGLEFINANCE(""CURRENCY:"" &amp; Cost_in_dollars!E1609 &amp; ""USD""))
"),318622)</f>
        <v>318622</v>
      </c>
      <c r="Q1609" s="6">
        <f t="shared" ca="1" si="36"/>
        <v>48622</v>
      </c>
      <c r="R1609" s="7" t="str">
        <f t="shared" si="37"/>
        <v>Compliance</v>
      </c>
      <c r="S1609" s="43" t="str">
        <f t="shared" si="39"/>
        <v>Biography</v>
      </c>
    </row>
    <row r="1610" spans="1:19" ht="15.75" customHeight="1" x14ac:dyDescent="0.25">
      <c r="A1610" s="4" t="s">
        <v>726</v>
      </c>
      <c r="B1610" s="4">
        <v>56</v>
      </c>
      <c r="C1610" s="4">
        <v>2040920</v>
      </c>
      <c r="D1610" s="4" t="s">
        <v>167</v>
      </c>
      <c r="E1610" s="4" t="s">
        <v>5521</v>
      </c>
      <c r="F1610" s="4" t="s">
        <v>5522</v>
      </c>
      <c r="G1610" s="4">
        <v>52055</v>
      </c>
      <c r="H1610" s="4" t="s">
        <v>5523</v>
      </c>
      <c r="I1610" s="4">
        <v>130</v>
      </c>
      <c r="J1610" s="4" t="s">
        <v>1569</v>
      </c>
      <c r="K1610" s="4" t="s">
        <v>24</v>
      </c>
      <c r="L1610" s="4">
        <v>7000</v>
      </c>
      <c r="M1610" s="4">
        <v>1992</v>
      </c>
      <c r="N1610" s="4">
        <v>6.9</v>
      </c>
      <c r="O1610" s="4">
        <f ca="1">IFERROR(__xludf.DUMMYFUNCTION("IF(Cost_in_dollars!E1610=""USD"",Cost_in_dollars!B1610,Cost_in_dollars!B1610 * GOOGLEFINANCE(""CURRENCY:"" &amp; Cost_in_dollars!E1610 &amp; ""USD""))
"),7000)</f>
        <v>7000</v>
      </c>
      <c r="P1610" s="4">
        <f ca="1">IFERROR(__xludf.DUMMYFUNCTION("IF(Cost_in_dollars!E1610=""USD"",Cost_in_dollars!C1610,Cost_in_dollars!C1610 * GOOGLEFINANCE(""CURRENCY:"" &amp; Cost_in_dollars!E1610 &amp; ""USD""))
"),2040920)</f>
        <v>2040920</v>
      </c>
      <c r="Q1610" s="4">
        <f t="shared" ca="1" si="36"/>
        <v>2033920</v>
      </c>
      <c r="R1610" s="5" t="str">
        <f t="shared" si="37"/>
        <v>El Mariachi</v>
      </c>
      <c r="S1610" s="43" t="str">
        <f t="shared" si="39"/>
        <v>Action</v>
      </c>
    </row>
    <row r="1611" spans="1:19" ht="15.75" customHeight="1" x14ac:dyDescent="0.25">
      <c r="A1611" s="6" t="s">
        <v>1716</v>
      </c>
      <c r="B1611" s="6">
        <v>326</v>
      </c>
      <c r="C1611" s="6">
        <v>61656849</v>
      </c>
      <c r="D1611" s="6" t="s">
        <v>851</v>
      </c>
      <c r="E1611" s="6" t="s">
        <v>640</v>
      </c>
      <c r="F1611" s="6" t="s">
        <v>5524</v>
      </c>
      <c r="G1611" s="6">
        <v>184561</v>
      </c>
      <c r="H1611" s="6" t="s">
        <v>5525</v>
      </c>
      <c r="I1611" s="6">
        <v>554</v>
      </c>
      <c r="J1611" s="6" t="s">
        <v>23</v>
      </c>
      <c r="K1611" s="6" t="s">
        <v>24</v>
      </c>
      <c r="L1611" s="6">
        <v>110000000</v>
      </c>
      <c r="M1611" s="6">
        <v>2013</v>
      </c>
      <c r="N1611" s="6">
        <v>6.7</v>
      </c>
      <c r="O1611" s="4">
        <f ca="1">IFERROR(__xludf.DUMMYFUNCTION("IF(Cost_in_dollars!E1611=""USD"",Cost_in_dollars!B1611,Cost_in_dollars!B1611 * GOOGLEFINANCE(""CURRENCY:"" &amp; Cost_in_dollars!E1611 &amp; ""USD""))
"),110000000)</f>
        <v>110000000</v>
      </c>
      <c r="P1611" s="4">
        <f ca="1">IFERROR(__xludf.DUMMYFUNCTION("IF(Cost_in_dollars!E1611=""USD"",Cost_in_dollars!C1611,Cost_in_dollars!C1611 * GOOGLEFINANCE(""CURRENCY:"" &amp; Cost_in_dollars!E1611 &amp; ""USD""))
"),61656849)</f>
        <v>61656849</v>
      </c>
      <c r="Q1611" s="6">
        <f t="shared" ca="1" si="36"/>
        <v>-48343151</v>
      </c>
      <c r="R1611" s="7" t="str">
        <f t="shared" si="37"/>
        <v>Ender's Game</v>
      </c>
      <c r="S1611" s="43" t="str">
        <f t="shared" si="39"/>
        <v>Action</v>
      </c>
    </row>
    <row r="1612" spans="1:19" ht="15.75" customHeight="1" x14ac:dyDescent="0.25">
      <c r="A1612" s="4" t="s">
        <v>2614</v>
      </c>
      <c r="B1612" s="4">
        <v>548</v>
      </c>
      <c r="C1612" s="4">
        <v>25359200</v>
      </c>
      <c r="D1612" s="4" t="s">
        <v>102</v>
      </c>
      <c r="E1612" s="4" t="s">
        <v>5526</v>
      </c>
      <c r="F1612" s="4" t="s">
        <v>5527</v>
      </c>
      <c r="G1612" s="4">
        <v>266020</v>
      </c>
      <c r="H1612" s="4" t="s">
        <v>5528</v>
      </c>
      <c r="I1612" s="4">
        <v>836</v>
      </c>
      <c r="J1612" s="4" t="s">
        <v>23</v>
      </c>
      <c r="K1612" s="4" t="s">
        <v>24</v>
      </c>
      <c r="L1612" s="4">
        <v>4000000</v>
      </c>
      <c r="M1612" s="4">
        <v>2014</v>
      </c>
      <c r="N1612" s="4">
        <v>8</v>
      </c>
      <c r="O1612" s="4">
        <f ca="1">IFERROR(__xludf.DUMMYFUNCTION("IF(Cost_in_dollars!E1612=""USD"",Cost_in_dollars!B1612,Cost_in_dollars!B1612 * GOOGLEFINANCE(""CURRENCY:"" &amp; Cost_in_dollars!E1612 &amp; ""USD""))
"),4000000)</f>
        <v>4000000</v>
      </c>
      <c r="P1612" s="4">
        <f ca="1">IFERROR(__xludf.DUMMYFUNCTION("IF(Cost_in_dollars!E1612=""USD"",Cost_in_dollars!C1612,Cost_in_dollars!C1612 * GOOGLEFINANCE(""CURRENCY:"" &amp; Cost_in_dollars!E1612 &amp; ""USD""))
"),25359200)</f>
        <v>25359200</v>
      </c>
      <c r="Q1612" s="4">
        <f t="shared" ca="1" si="36"/>
        <v>21359200</v>
      </c>
      <c r="R1612" s="5" t="str">
        <f t="shared" si="37"/>
        <v>Boyhood</v>
      </c>
      <c r="S1612" s="43" t="str">
        <f t="shared" si="39"/>
        <v>Drama</v>
      </c>
    </row>
    <row r="1613" spans="1:19" ht="15.75" customHeight="1" x14ac:dyDescent="0.25">
      <c r="A1613" s="6" t="s">
        <v>935</v>
      </c>
      <c r="B1613" s="6">
        <v>260</v>
      </c>
      <c r="C1613" s="6">
        <v>15962471</v>
      </c>
      <c r="D1613" s="6" t="s">
        <v>68</v>
      </c>
      <c r="E1613" s="6" t="s">
        <v>954</v>
      </c>
      <c r="F1613" s="6" t="s">
        <v>5529</v>
      </c>
      <c r="G1613" s="6">
        <v>79892</v>
      </c>
      <c r="H1613" s="6" t="s">
        <v>5530</v>
      </c>
      <c r="I1613" s="6">
        <v>619</v>
      </c>
      <c r="J1613" s="6" t="s">
        <v>23</v>
      </c>
      <c r="K1613" s="6" t="s">
        <v>24</v>
      </c>
      <c r="L1613" s="6">
        <v>40000000</v>
      </c>
      <c r="M1613" s="6">
        <v>2006</v>
      </c>
      <c r="N1613" s="6">
        <v>6.4</v>
      </c>
      <c r="O1613" s="4">
        <f ca="1">IFERROR(__xludf.DUMMYFUNCTION("IF(Cost_in_dollars!E1613=""USD"",Cost_in_dollars!B1613,Cost_in_dollars!B1613 * GOOGLEFINANCE(""CURRENCY:"" &amp; Cost_in_dollars!E1613 &amp; ""USD""))
"),40000000)</f>
        <v>40000000</v>
      </c>
      <c r="P1613" s="4">
        <f ca="1">IFERROR(__xludf.DUMMYFUNCTION("IF(Cost_in_dollars!E1613=""USD"",Cost_in_dollars!C1613,Cost_in_dollars!C1613 * GOOGLEFINANCE(""CURRENCY:"" &amp; Cost_in_dollars!E1613 &amp; ""USD""))
"),15962471)</f>
        <v>15962471</v>
      </c>
      <c r="Q1613" s="6">
        <f t="shared" ca="1" si="36"/>
        <v>-24037529</v>
      </c>
      <c r="R1613" s="7" t="str">
        <f t="shared" si="37"/>
        <v>Marie Antoinette</v>
      </c>
      <c r="S1613" s="43" t="str">
        <f t="shared" si="39"/>
        <v>Biography</v>
      </c>
    </row>
    <row r="1614" spans="1:19" ht="15.75" customHeight="1" x14ac:dyDescent="0.25">
      <c r="A1614" s="4" t="s">
        <v>759</v>
      </c>
      <c r="B1614" s="4">
        <v>108</v>
      </c>
      <c r="C1614" s="4">
        <v>60400856</v>
      </c>
      <c r="D1614" s="4" t="s">
        <v>88</v>
      </c>
      <c r="E1614" s="4" t="s">
        <v>79</v>
      </c>
      <c r="F1614" s="4" t="s">
        <v>5531</v>
      </c>
      <c r="G1614" s="4">
        <v>61317</v>
      </c>
      <c r="H1614" s="4" t="s">
        <v>5532</v>
      </c>
      <c r="I1614" s="4">
        <v>229</v>
      </c>
      <c r="J1614" s="4" t="s">
        <v>23</v>
      </c>
      <c r="K1614" s="4" t="s">
        <v>176</v>
      </c>
      <c r="L1614" s="4">
        <v>35000000</v>
      </c>
      <c r="M1614" s="4">
        <v>2001</v>
      </c>
      <c r="N1614" s="4">
        <v>5.2</v>
      </c>
      <c r="O1614" s="4">
        <f ca="1">IFERROR(__xludf.DUMMYFUNCTION("IF(Cost_in_dollars!E1614=""USD"",Cost_in_dollars!B1614,Cost_in_dollars!B1614 * GOOGLEFINANCE(""CURRENCY:"" &amp; Cost_in_dollars!E1614 &amp; ""USD""))
"),37965900)</f>
        <v>37965900</v>
      </c>
      <c r="P1614" s="4">
        <f ca="1">IFERROR(__xludf.DUMMYFUNCTION("IF(Cost_in_dollars!E1614=""USD"",Cost_in_dollars!C1614,Cost_in_dollars!C1614 * GOOGLEFINANCE(""CURRENCY:"" &amp; Cost_in_dollars!E1614 &amp; ""USD""))
"),65519224.53744)</f>
        <v>65519224.537440002</v>
      </c>
      <c r="Q1614" s="4">
        <f t="shared" ca="1" si="36"/>
        <v>27553324.537440002</v>
      </c>
      <c r="R1614" s="5" t="str">
        <f t="shared" si="37"/>
        <v>The Wedding Planner</v>
      </c>
      <c r="S1614" s="43" t="str">
        <f t="shared" si="39"/>
        <v>Comedy</v>
      </c>
    </row>
    <row r="1615" spans="1:19" ht="15.75" customHeight="1" x14ac:dyDescent="0.25">
      <c r="A1615" s="6" t="s">
        <v>5533</v>
      </c>
      <c r="B1615" s="6">
        <v>263</v>
      </c>
      <c r="C1615" s="6">
        <v>31743332</v>
      </c>
      <c r="D1615" s="6" t="s">
        <v>5534</v>
      </c>
      <c r="E1615" s="6" t="s">
        <v>3648</v>
      </c>
      <c r="F1615" s="6" t="s">
        <v>5535</v>
      </c>
      <c r="G1615" s="6">
        <v>111117</v>
      </c>
      <c r="H1615" s="6" t="s">
        <v>5536</v>
      </c>
      <c r="I1615" s="6">
        <v>245</v>
      </c>
      <c r="J1615" s="6" t="s">
        <v>23</v>
      </c>
      <c r="K1615" s="6" t="s">
        <v>24</v>
      </c>
      <c r="L1615" s="6">
        <v>30000000</v>
      </c>
      <c r="M1615" s="6">
        <v>2009</v>
      </c>
      <c r="N1615" s="6">
        <v>7.1</v>
      </c>
      <c r="O1615" s="4">
        <f ca="1">IFERROR(__xludf.DUMMYFUNCTION("IF(Cost_in_dollars!E1615=""USD"",Cost_in_dollars!B1615,Cost_in_dollars!B1615 * GOOGLEFINANCE(""CURRENCY:"" &amp; Cost_in_dollars!E1615 &amp; ""USD""))
"),30000000)</f>
        <v>30000000</v>
      </c>
      <c r="P1615" s="4">
        <f ca="1">IFERROR(__xludf.DUMMYFUNCTION("IF(Cost_in_dollars!E1615=""USD"",Cost_in_dollars!C1615,Cost_in_dollars!C1615 * GOOGLEFINANCE(""CURRENCY:"" &amp; Cost_in_dollars!E1615 &amp; ""USD""))
"),31743332)</f>
        <v>31743332</v>
      </c>
      <c r="Q1615" s="6">
        <f t="shared" ca="1" si="36"/>
        <v>1743332</v>
      </c>
      <c r="R1615" s="7" t="str">
        <f t="shared" si="37"/>
        <v>9</v>
      </c>
      <c r="S1615" s="43" t="str">
        <f t="shared" si="39"/>
        <v>Action</v>
      </c>
    </row>
    <row r="1616" spans="1:19" ht="15.75" customHeight="1" x14ac:dyDescent="0.25">
      <c r="A1616" s="4" t="s">
        <v>5537</v>
      </c>
      <c r="B1616" s="4">
        <v>60</v>
      </c>
      <c r="C1616" s="4">
        <v>6000000</v>
      </c>
      <c r="D1616" s="4" t="s">
        <v>281</v>
      </c>
      <c r="E1616" s="4" t="s">
        <v>5538</v>
      </c>
      <c r="F1616" s="4" t="s">
        <v>5539</v>
      </c>
      <c r="G1616" s="4">
        <v>10832</v>
      </c>
      <c r="H1616" s="4" t="s">
        <v>5540</v>
      </c>
      <c r="I1616" s="4">
        <v>102</v>
      </c>
      <c r="J1616" s="4" t="s">
        <v>23</v>
      </c>
      <c r="K1616" s="4" t="s">
        <v>24</v>
      </c>
      <c r="L1616" s="4">
        <v>18000000</v>
      </c>
      <c r="M1616" s="4">
        <v>1981</v>
      </c>
      <c r="N1616" s="4">
        <v>6.7</v>
      </c>
      <c r="O1616" s="4">
        <f ca="1">IFERROR(__xludf.DUMMYFUNCTION("IF(Cost_in_dollars!E1616=""USD"",Cost_in_dollars!B1616,Cost_in_dollars!B1616 * GOOGLEFINANCE(""CURRENCY:"" &amp; Cost_in_dollars!E1616 &amp; ""USD""))
"),18000000)</f>
        <v>18000000</v>
      </c>
      <c r="P1616" s="4">
        <f ca="1">IFERROR(__xludf.DUMMYFUNCTION("IF(Cost_in_dollars!E1616=""USD"",Cost_in_dollars!C1616,Cost_in_dollars!C1616 * GOOGLEFINANCE(""CURRENCY:"" &amp; Cost_in_dollars!E1616 &amp; ""USD""))
"),6000000)</f>
        <v>6000000</v>
      </c>
      <c r="Q1616" s="4">
        <f t="shared" ca="1" si="36"/>
        <v>-12000000</v>
      </c>
      <c r="R1616" s="5" t="str">
        <f t="shared" si="37"/>
        <v>Dragonslayer</v>
      </c>
      <c r="S1616" s="43" t="str">
        <f t="shared" si="39"/>
        <v>Action</v>
      </c>
    </row>
    <row r="1617" spans="1:19" ht="15.75" customHeight="1" x14ac:dyDescent="0.25">
      <c r="A1617" s="6" t="s">
        <v>2173</v>
      </c>
      <c r="B1617" s="6">
        <v>135</v>
      </c>
      <c r="C1617" s="6">
        <v>64459316</v>
      </c>
      <c r="D1617" s="6" t="s">
        <v>1827</v>
      </c>
      <c r="E1617" s="6" t="s">
        <v>977</v>
      </c>
      <c r="F1617" s="6" t="s">
        <v>5541</v>
      </c>
      <c r="G1617" s="6">
        <v>85086</v>
      </c>
      <c r="H1617" s="6" t="s">
        <v>5542</v>
      </c>
      <c r="I1617" s="6">
        <v>122</v>
      </c>
      <c r="J1617" s="6" t="s">
        <v>23</v>
      </c>
      <c r="K1617" s="6" t="s">
        <v>133</v>
      </c>
      <c r="L1617" s="6">
        <v>149000000</v>
      </c>
      <c r="M1617" s="6">
        <v>2006</v>
      </c>
      <c r="N1617" s="6">
        <v>6.7</v>
      </c>
      <c r="O1617" s="4">
        <f ca="1">IFERROR(__xludf.DUMMYFUNCTION("IF(Cost_in_dollars!E1617=""USD"",Cost_in_dollars!B1617,Cost_in_dollars!B1617 * GOOGLEFINANCE(""CURRENCY:"" &amp; Cost_in_dollars!E1617 &amp; ""USD""))
"),191524599.999999)</f>
        <v>191524599.99999899</v>
      </c>
      <c r="P1617" s="4">
        <f ca="1">IFERROR(__xludf.DUMMYFUNCTION("IF(Cost_in_dollars!E1617=""USD"",Cost_in_dollars!C1617,Cost_in_dollars!C1617 * GOOGLEFINANCE(""CURRENCY:"" &amp; Cost_in_dollars!E1617 &amp; ""USD""))
"),82856004.7863999)</f>
        <v>82856004.786399901</v>
      </c>
      <c r="Q1617" s="6">
        <f t="shared" ca="1" si="36"/>
        <v>-108668595.21359909</v>
      </c>
      <c r="R1617" s="7" t="str">
        <f t="shared" si="37"/>
        <v>Flushed Away</v>
      </c>
      <c r="S1617" s="43" t="str">
        <f t="shared" si="39"/>
        <v>Adventure</v>
      </c>
    </row>
    <row r="1618" spans="1:19" ht="15.75" customHeight="1" x14ac:dyDescent="0.25">
      <c r="A1618" s="4" t="s">
        <v>5002</v>
      </c>
      <c r="B1618" s="4">
        <v>89</v>
      </c>
      <c r="C1618" s="4">
        <v>29781453</v>
      </c>
      <c r="D1618" s="4" t="s">
        <v>1933</v>
      </c>
      <c r="E1618" s="4" t="s">
        <v>5543</v>
      </c>
      <c r="F1618" s="4" t="s">
        <v>5544</v>
      </c>
      <c r="G1618" s="4">
        <v>22447</v>
      </c>
      <c r="H1618" s="4" t="s">
        <v>5545</v>
      </c>
      <c r="I1618" s="4">
        <v>210</v>
      </c>
      <c r="J1618" s="4" t="s">
        <v>23</v>
      </c>
      <c r="K1618" s="4" t="s">
        <v>24</v>
      </c>
      <c r="L1618" s="4">
        <v>48000000</v>
      </c>
      <c r="M1618" s="4">
        <v>2001</v>
      </c>
      <c r="N1618" s="4">
        <v>6.4</v>
      </c>
      <c r="O1618" s="4">
        <f ca="1">IFERROR(__xludf.DUMMYFUNCTION("IF(Cost_in_dollars!E1618=""USD"",Cost_in_dollars!B1618,Cost_in_dollars!B1618 * GOOGLEFINANCE(""CURRENCY:"" &amp; Cost_in_dollars!E1618 &amp; ""USD""))
"),48000000)</f>
        <v>48000000</v>
      </c>
      <c r="P1618" s="4">
        <f ca="1">IFERROR(__xludf.DUMMYFUNCTION("IF(Cost_in_dollars!E1618=""USD"",Cost_in_dollars!C1618,Cost_in_dollars!C1618 * GOOGLEFINANCE(""CURRENCY:"" &amp; Cost_in_dollars!E1618 &amp; ""USD""))
"),29781453)</f>
        <v>29781453</v>
      </c>
      <c r="Q1618" s="4">
        <f t="shared" ca="1" si="36"/>
        <v>-18218547</v>
      </c>
      <c r="R1618" s="5" t="str">
        <f t="shared" si="37"/>
        <v>Riding in Cars with Boys</v>
      </c>
      <c r="S1618" s="43" t="str">
        <f t="shared" si="39"/>
        <v>Biography</v>
      </c>
    </row>
    <row r="1619" spans="1:19" ht="15.75" customHeight="1" x14ac:dyDescent="0.25">
      <c r="A1619" s="6" t="s">
        <v>476</v>
      </c>
      <c r="B1619" s="6">
        <v>233</v>
      </c>
      <c r="C1619" s="6">
        <v>81350242</v>
      </c>
      <c r="D1619" s="6" t="s">
        <v>1099</v>
      </c>
      <c r="E1619" s="6" t="s">
        <v>650</v>
      </c>
      <c r="F1619" s="6" t="s">
        <v>5546</v>
      </c>
      <c r="G1619" s="6">
        <v>592582</v>
      </c>
      <c r="H1619" s="6" t="s">
        <v>5547</v>
      </c>
      <c r="I1619" s="6">
        <v>722</v>
      </c>
      <c r="J1619" s="6" t="s">
        <v>23</v>
      </c>
      <c r="K1619" s="6" t="s">
        <v>24</v>
      </c>
      <c r="L1619" s="6">
        <v>28000000</v>
      </c>
      <c r="M1619" s="6">
        <v>1988</v>
      </c>
      <c r="N1619" s="6">
        <v>8.1999999999999993</v>
      </c>
      <c r="O1619" s="4">
        <f ca="1">IFERROR(__xludf.DUMMYFUNCTION("IF(Cost_in_dollars!E1619=""USD"",Cost_in_dollars!B1619,Cost_in_dollars!B1619 * GOOGLEFINANCE(""CURRENCY:"" &amp; Cost_in_dollars!E1619 &amp; ""USD""))
"),28000000)</f>
        <v>28000000</v>
      </c>
      <c r="P1619" s="4">
        <f ca="1">IFERROR(__xludf.DUMMYFUNCTION("IF(Cost_in_dollars!E1619=""USD"",Cost_in_dollars!C1619,Cost_in_dollars!C1619 * GOOGLEFINANCE(""CURRENCY:"" &amp; Cost_in_dollars!E1619 &amp; ""USD""))
"),81350242)</f>
        <v>81350242</v>
      </c>
      <c r="Q1619" s="6">
        <f t="shared" ca="1" si="36"/>
        <v>53350242</v>
      </c>
      <c r="R1619" s="7" t="str">
        <f t="shared" si="37"/>
        <v>Die Hard</v>
      </c>
      <c r="S1619" s="43" t="str">
        <f t="shared" si="39"/>
        <v>Action</v>
      </c>
    </row>
    <row r="1620" spans="1:19" ht="15.75" customHeight="1" x14ac:dyDescent="0.25">
      <c r="A1620" s="4" t="s">
        <v>5548</v>
      </c>
      <c r="B1620" s="4">
        <v>63</v>
      </c>
      <c r="C1620" s="4">
        <v>143000</v>
      </c>
      <c r="D1620" s="4" t="s">
        <v>309</v>
      </c>
      <c r="E1620" s="4" t="s">
        <v>5549</v>
      </c>
      <c r="F1620" s="4" t="s">
        <v>5550</v>
      </c>
      <c r="G1620" s="4">
        <v>4122</v>
      </c>
      <c r="H1620" s="4" t="s">
        <v>5551</v>
      </c>
      <c r="I1620" s="4">
        <v>48</v>
      </c>
      <c r="J1620" s="4" t="s">
        <v>23</v>
      </c>
      <c r="K1620" s="4" t="s">
        <v>24</v>
      </c>
      <c r="L1620" s="4">
        <v>5000000</v>
      </c>
      <c r="M1620" s="4">
        <v>2009</v>
      </c>
      <c r="N1620" s="4">
        <v>4.0999999999999996</v>
      </c>
      <c r="O1620" s="4">
        <f ca="1">IFERROR(__xludf.DUMMYFUNCTION("IF(Cost_in_dollars!E1620=""USD"",Cost_in_dollars!B1620,Cost_in_dollars!B1620 * GOOGLEFINANCE(""CURRENCY:"" &amp; Cost_in_dollars!E1620 &amp; ""USD""))
"),5000000)</f>
        <v>5000000</v>
      </c>
      <c r="P1620" s="4">
        <f ca="1">IFERROR(__xludf.DUMMYFUNCTION("IF(Cost_in_dollars!E1620=""USD"",Cost_in_dollars!C1620,Cost_in_dollars!C1620 * GOOGLEFINANCE(""CURRENCY:"" &amp; Cost_in_dollars!E1620 &amp; ""USD""))
"),143000)</f>
        <v>143000</v>
      </c>
      <c r="Q1620" s="4">
        <f t="shared" ca="1" si="36"/>
        <v>-4857000</v>
      </c>
      <c r="R1620" s="5" t="str">
        <f t="shared" si="37"/>
        <v>Chain Letter</v>
      </c>
      <c r="S1620" s="43" t="str">
        <f t="shared" si="39"/>
        <v>Horror</v>
      </c>
    </row>
    <row r="1621" spans="1:19" ht="15.75" customHeight="1" x14ac:dyDescent="0.25">
      <c r="A1621" s="6" t="s">
        <v>5552</v>
      </c>
      <c r="B1621" s="6">
        <v>25</v>
      </c>
      <c r="C1621" s="6">
        <v>295468</v>
      </c>
      <c r="D1621" s="6" t="s">
        <v>88</v>
      </c>
      <c r="E1621" s="6" t="s">
        <v>352</v>
      </c>
      <c r="F1621" s="6" t="s">
        <v>5553</v>
      </c>
      <c r="G1621" s="6">
        <v>709</v>
      </c>
      <c r="H1621" s="6" t="s">
        <v>5554</v>
      </c>
      <c r="I1621" s="6">
        <v>34</v>
      </c>
      <c r="J1621" s="6" t="s">
        <v>23</v>
      </c>
      <c r="K1621" s="6" t="s">
        <v>24</v>
      </c>
      <c r="L1621" s="6">
        <v>500000</v>
      </c>
      <c r="M1621" s="6">
        <v>2001</v>
      </c>
      <c r="N1621" s="6">
        <v>6</v>
      </c>
      <c r="O1621" s="4">
        <f ca="1">IFERROR(__xludf.DUMMYFUNCTION("IF(Cost_in_dollars!E1621=""USD"",Cost_in_dollars!B1621,Cost_in_dollars!B1621 * GOOGLEFINANCE(""CURRENCY:"" &amp; Cost_in_dollars!E1621 &amp; ""USD""))
"),500000)</f>
        <v>500000</v>
      </c>
      <c r="P1621" s="4">
        <f ca="1">IFERROR(__xludf.DUMMYFUNCTION("IF(Cost_in_dollars!E1621=""USD"",Cost_in_dollars!C1621,Cost_in_dollars!C1621 * GOOGLEFINANCE(""CURRENCY:"" &amp; Cost_in_dollars!E1621 &amp; ""USD""))
"),295468)</f>
        <v>295468</v>
      </c>
      <c r="Q1621" s="6">
        <f t="shared" ca="1" si="36"/>
        <v>-204532</v>
      </c>
      <c r="R1621" s="7" t="str">
        <f t="shared" si="37"/>
        <v>Never Again</v>
      </c>
      <c r="S1621" s="43" t="str">
        <f t="shared" si="39"/>
        <v>Comedy</v>
      </c>
    </row>
    <row r="1622" spans="1:19" ht="15.75" customHeight="1" x14ac:dyDescent="0.25">
      <c r="A1622" s="4" t="s">
        <v>648</v>
      </c>
      <c r="B1622" s="4">
        <v>234</v>
      </c>
      <c r="C1622" s="4">
        <v>53215979</v>
      </c>
      <c r="D1622" s="4" t="s">
        <v>793</v>
      </c>
      <c r="E1622" s="4" t="s">
        <v>54</v>
      </c>
      <c r="F1622" s="4" t="s">
        <v>5555</v>
      </c>
      <c r="G1622" s="4">
        <v>125036</v>
      </c>
      <c r="H1622" s="4" t="s">
        <v>5556</v>
      </c>
      <c r="I1622" s="4">
        <v>205</v>
      </c>
      <c r="J1622" s="4" t="s">
        <v>23</v>
      </c>
      <c r="K1622" s="4" t="s">
        <v>24</v>
      </c>
      <c r="L1622" s="4">
        <v>84000000</v>
      </c>
      <c r="M1622" s="4">
        <v>2013</v>
      </c>
      <c r="N1622" s="4">
        <v>6.7</v>
      </c>
      <c r="O1622" s="4">
        <f ca="1">IFERROR(__xludf.DUMMYFUNCTION("IF(Cost_in_dollars!E1622=""USD"",Cost_in_dollars!B1622,Cost_in_dollars!B1622 * GOOGLEFINANCE(""CURRENCY:"" &amp; Cost_in_dollars!E1622 &amp; ""USD""))
"),84000000)</f>
        <v>84000000</v>
      </c>
      <c r="P1622" s="4">
        <f ca="1">IFERROR(__xludf.DUMMYFUNCTION("IF(Cost_in_dollars!E1622=""USD"",Cost_in_dollars!C1622,Cost_in_dollars!C1622 * GOOGLEFINANCE(""CURRENCY:"" &amp; Cost_in_dollars!E1622 &amp; ""USD""))
"),53215979)</f>
        <v>53215979</v>
      </c>
      <c r="Q1622" s="4">
        <f t="shared" ca="1" si="36"/>
        <v>-30784021</v>
      </c>
      <c r="R1622" s="5" t="str">
        <f t="shared" si="37"/>
        <v>RED 2</v>
      </c>
      <c r="S1622" s="43" t="str">
        <f t="shared" si="39"/>
        <v>Action</v>
      </c>
    </row>
    <row r="1623" spans="1:19" ht="15.75" customHeight="1" x14ac:dyDescent="0.25">
      <c r="A1623" s="6" t="s">
        <v>2689</v>
      </c>
      <c r="B1623" s="6">
        <v>89</v>
      </c>
      <c r="C1623" s="6">
        <v>72455275</v>
      </c>
      <c r="D1623" s="6" t="s">
        <v>5557</v>
      </c>
      <c r="E1623" s="6" t="s">
        <v>5558</v>
      </c>
      <c r="F1623" s="6" t="s">
        <v>5559</v>
      </c>
      <c r="G1623" s="6">
        <v>113068</v>
      </c>
      <c r="H1623" s="6" t="s">
        <v>5560</v>
      </c>
      <c r="I1623" s="6">
        <v>382</v>
      </c>
      <c r="J1623" s="6" t="s">
        <v>23</v>
      </c>
      <c r="K1623" s="6" t="s">
        <v>24</v>
      </c>
      <c r="L1623" s="6">
        <v>40000000</v>
      </c>
      <c r="M1623" s="6">
        <v>1992</v>
      </c>
      <c r="N1623" s="6">
        <v>7.8</v>
      </c>
      <c r="O1623" s="4">
        <f ca="1">IFERROR(__xludf.DUMMYFUNCTION("IF(Cost_in_dollars!E1623=""USD"",Cost_in_dollars!B1623,Cost_in_dollars!B1623 * GOOGLEFINANCE(""CURRENCY:"" &amp; Cost_in_dollars!E1623 &amp; ""USD""))
"),40000000)</f>
        <v>40000000</v>
      </c>
      <c r="P1623" s="4">
        <f ca="1">IFERROR(__xludf.DUMMYFUNCTION("IF(Cost_in_dollars!E1623=""USD"",Cost_in_dollars!C1623,Cost_in_dollars!C1623 * GOOGLEFINANCE(""CURRENCY:"" &amp; Cost_in_dollars!E1623 &amp; ""USD""))
"),72455275)</f>
        <v>72455275</v>
      </c>
      <c r="Q1623" s="6">
        <f t="shared" ca="1" si="36"/>
        <v>32455275</v>
      </c>
      <c r="R1623" s="7" t="str">
        <f t="shared" si="37"/>
        <v>The Last of the Mohicans</v>
      </c>
      <c r="S1623" s="43" t="str">
        <f t="shared" si="39"/>
        <v>Action</v>
      </c>
    </row>
    <row r="1624" spans="1:19" ht="15.75" customHeight="1" x14ac:dyDescent="0.25">
      <c r="A1624" s="4" t="s">
        <v>5561</v>
      </c>
      <c r="B1624" s="4">
        <v>29</v>
      </c>
      <c r="C1624" s="4">
        <v>906666</v>
      </c>
      <c r="D1624" s="4" t="s">
        <v>254</v>
      </c>
      <c r="E1624" s="4" t="s">
        <v>5562</v>
      </c>
      <c r="F1624" s="4" t="s">
        <v>5563</v>
      </c>
      <c r="G1624" s="4">
        <v>154</v>
      </c>
      <c r="H1624" s="4" t="s">
        <v>5564</v>
      </c>
      <c r="I1624" s="4">
        <v>5</v>
      </c>
      <c r="J1624" s="4" t="s">
        <v>23</v>
      </c>
      <c r="K1624" s="4" t="s">
        <v>24</v>
      </c>
      <c r="L1624" s="4">
        <v>500000</v>
      </c>
      <c r="M1624" s="4">
        <v>2011</v>
      </c>
      <c r="N1624" s="4">
        <v>6.8</v>
      </c>
      <c r="O1624" s="4">
        <f ca="1">IFERROR(__xludf.DUMMYFUNCTION("IF(Cost_in_dollars!E1624=""USD"",Cost_in_dollars!B1624,Cost_in_dollars!B1624 * GOOGLEFINANCE(""CURRENCY:"" &amp; Cost_in_dollars!E1624 &amp; ""USD""))
"),500000)</f>
        <v>500000</v>
      </c>
      <c r="P1624" s="4">
        <f ca="1">IFERROR(__xludf.DUMMYFUNCTION("IF(Cost_in_dollars!E1624=""USD"",Cost_in_dollars!C1624,Cost_in_dollars!C1624 * GOOGLEFINANCE(""CURRENCY:"" &amp; Cost_in_dollars!E1624 &amp; ""USD""))
"),906666)</f>
        <v>906666</v>
      </c>
      <c r="Q1624" s="4">
        <f t="shared" ca="1" si="36"/>
        <v>406666</v>
      </c>
      <c r="R1624" s="5" t="str">
        <f t="shared" si="37"/>
        <v>Sholem Aleichem: Laughing in the Darkness</v>
      </c>
      <c r="S1624" s="43" t="str">
        <f t="shared" si="39"/>
        <v>Documentary</v>
      </c>
    </row>
    <row r="1625" spans="1:19" ht="15.75" customHeight="1" x14ac:dyDescent="0.25">
      <c r="A1625" s="6" t="s">
        <v>5565</v>
      </c>
      <c r="B1625" s="6">
        <v>127</v>
      </c>
      <c r="C1625" s="6">
        <v>67253092</v>
      </c>
      <c r="D1625" s="6" t="s">
        <v>135</v>
      </c>
      <c r="E1625" s="6" t="s">
        <v>179</v>
      </c>
      <c r="F1625" s="6" t="s">
        <v>5566</v>
      </c>
      <c r="G1625" s="6">
        <v>92702</v>
      </c>
      <c r="H1625" s="6" t="s">
        <v>5567</v>
      </c>
      <c r="I1625" s="6">
        <v>209</v>
      </c>
      <c r="J1625" s="6" t="s">
        <v>23</v>
      </c>
      <c r="K1625" s="6" t="s">
        <v>24</v>
      </c>
      <c r="L1625" s="6">
        <v>30000000</v>
      </c>
      <c r="M1625" s="6">
        <v>2005</v>
      </c>
      <c r="N1625" s="6">
        <v>7.2</v>
      </c>
      <c r="O1625" s="4">
        <f ca="1">IFERROR(__xludf.DUMMYFUNCTION("IF(Cost_in_dollars!E1625=""USD"",Cost_in_dollars!B1625,Cost_in_dollars!B1625 * GOOGLEFINANCE(""CURRENCY:"" &amp; Cost_in_dollars!E1625 &amp; ""USD""))
"),30000000)</f>
        <v>30000000</v>
      </c>
      <c r="P1625" s="4">
        <f ca="1">IFERROR(__xludf.DUMMYFUNCTION("IF(Cost_in_dollars!E1625=""USD"",Cost_in_dollars!C1625,Cost_in_dollars!C1625 * GOOGLEFINANCE(""CURRENCY:"" &amp; Cost_in_dollars!E1625 &amp; ""USD""))
"),67253092)</f>
        <v>67253092</v>
      </c>
      <c r="Q1625" s="6">
        <f t="shared" ca="1" si="36"/>
        <v>37253092</v>
      </c>
      <c r="R1625" s="7" t="str">
        <f t="shared" si="37"/>
        <v>Coach Carter</v>
      </c>
      <c r="S1625" s="43" t="str">
        <f t="shared" si="39"/>
        <v>Drama</v>
      </c>
    </row>
    <row r="1626" spans="1:19" ht="15.75" customHeight="1" x14ac:dyDescent="0.25">
      <c r="A1626" s="4" t="s">
        <v>5568</v>
      </c>
      <c r="B1626" s="4">
        <v>79</v>
      </c>
      <c r="C1626" s="4">
        <v>47285499</v>
      </c>
      <c r="D1626" s="4" t="s">
        <v>5569</v>
      </c>
      <c r="E1626" s="4" t="s">
        <v>794</v>
      </c>
      <c r="F1626" s="4" t="s">
        <v>5570</v>
      </c>
      <c r="G1626" s="4">
        <v>26755</v>
      </c>
      <c r="H1626" s="4" t="s">
        <v>5571</v>
      </c>
      <c r="I1626" s="4">
        <v>104</v>
      </c>
      <c r="J1626" s="4" t="s">
        <v>23</v>
      </c>
      <c r="K1626" s="4" t="s">
        <v>24</v>
      </c>
      <c r="L1626" s="4">
        <v>26000000</v>
      </c>
      <c r="M1626" s="4">
        <v>2003</v>
      </c>
      <c r="N1626" s="4">
        <v>5</v>
      </c>
      <c r="O1626" s="4">
        <f ca="1">IFERROR(__xludf.DUMMYFUNCTION("IF(Cost_in_dollars!E1626=""USD"",Cost_in_dollars!B1626,Cost_in_dollars!B1626 * GOOGLEFINANCE(""CURRENCY:"" &amp; Cost_in_dollars!E1626 &amp; ""USD""))
"),26000000)</f>
        <v>26000000</v>
      </c>
      <c r="P1626" s="4">
        <f ca="1">IFERROR(__xludf.DUMMYFUNCTION("IF(Cost_in_dollars!E1626=""USD"",Cost_in_dollars!C1626,Cost_in_dollars!C1626 * GOOGLEFINANCE(""CURRENCY:"" &amp; Cost_in_dollars!E1626 &amp; ""USD""))
"),47285499)</f>
        <v>47285499</v>
      </c>
      <c r="Q1626" s="4">
        <f t="shared" ca="1" si="36"/>
        <v>21285499</v>
      </c>
      <c r="R1626" s="5" t="str">
        <f t="shared" si="37"/>
        <v>Agent Cody Banks</v>
      </c>
      <c r="S1626" s="43" t="str">
        <f t="shared" si="39"/>
        <v>Action</v>
      </c>
    </row>
    <row r="1627" spans="1:19" ht="15.75" customHeight="1" x14ac:dyDescent="0.25">
      <c r="A1627" s="6" t="s">
        <v>5572</v>
      </c>
      <c r="B1627" s="6">
        <v>124</v>
      </c>
      <c r="C1627" s="6">
        <v>26896744</v>
      </c>
      <c r="D1627" s="6" t="s">
        <v>457</v>
      </c>
      <c r="E1627" s="6" t="s">
        <v>269</v>
      </c>
      <c r="F1627" s="6" t="s">
        <v>5573</v>
      </c>
      <c r="G1627" s="6">
        <v>16582</v>
      </c>
      <c r="H1627" s="6" t="s">
        <v>5574</v>
      </c>
      <c r="I1627" s="6">
        <v>125</v>
      </c>
      <c r="J1627" s="6" t="s">
        <v>23</v>
      </c>
      <c r="K1627" s="6" t="s">
        <v>24</v>
      </c>
      <c r="L1627" s="6">
        <v>16500000</v>
      </c>
      <c r="M1627" s="6">
        <v>2008</v>
      </c>
      <c r="N1627" s="6">
        <v>4.9000000000000004</v>
      </c>
      <c r="O1627" s="4">
        <f ca="1">IFERROR(__xludf.DUMMYFUNCTION("IF(Cost_in_dollars!E1627=""USD"",Cost_in_dollars!B1627,Cost_in_dollars!B1627 * GOOGLEFINANCE(""CURRENCY:"" &amp; Cost_in_dollars!E1627 &amp; ""USD""))
"),16500000)</f>
        <v>16500000</v>
      </c>
      <c r="P1627" s="4">
        <f ca="1">IFERROR(__xludf.DUMMYFUNCTION("IF(Cost_in_dollars!E1627=""USD"",Cost_in_dollars!C1627,Cost_in_dollars!C1627 * GOOGLEFINANCE(""CURRENCY:"" &amp; Cost_in_dollars!E1627 &amp; ""USD""))
"),26896744)</f>
        <v>26896744</v>
      </c>
      <c r="Q1627" s="6">
        <f t="shared" ca="1" si="36"/>
        <v>10396744</v>
      </c>
      <c r="R1627" s="7" t="str">
        <f t="shared" si="37"/>
        <v>The Women</v>
      </c>
      <c r="S1627" s="43" t="str">
        <f t="shared" si="39"/>
        <v>Comedy</v>
      </c>
    </row>
    <row r="1628" spans="1:19" ht="15.75" customHeight="1" x14ac:dyDescent="0.25">
      <c r="A1628" s="4" t="s">
        <v>3541</v>
      </c>
      <c r="B1628" s="4">
        <v>62</v>
      </c>
      <c r="C1628" s="4">
        <v>44450000</v>
      </c>
      <c r="D1628" s="4" t="s">
        <v>774</v>
      </c>
      <c r="E1628" s="4" t="s">
        <v>5575</v>
      </c>
      <c r="F1628" s="4" t="s">
        <v>5576</v>
      </c>
      <c r="G1628" s="4">
        <v>44394</v>
      </c>
      <c r="H1628" s="4" t="s">
        <v>5577</v>
      </c>
      <c r="I1628" s="4">
        <v>115</v>
      </c>
      <c r="J1628" s="4" t="s">
        <v>23</v>
      </c>
      <c r="K1628" s="4" t="s">
        <v>627</v>
      </c>
      <c r="L1628" s="4">
        <v>27000000</v>
      </c>
      <c r="M1628" s="4">
        <v>1994</v>
      </c>
      <c r="N1628" s="4">
        <v>5.8</v>
      </c>
      <c r="O1628" s="4">
        <f ca="1">IFERROR(__xludf.DUMMYFUNCTION("IF(Cost_in_dollars!E1628=""USD"",Cost_in_dollars!B1628,Cost_in_dollars!B1628 * GOOGLEFINANCE(""CURRENCY:"" &amp; Cost_in_dollars!E1628 &amp; ""USD""))
"),19531935)</f>
        <v>19531935</v>
      </c>
      <c r="P1628" s="4">
        <f ca="1">IFERROR(__xludf.DUMMYFUNCTION("IF(Cost_in_dollars!E1628=""USD"",Cost_in_dollars!C1628,Cost_in_dollars!C1628 * GOOGLEFINANCE(""CURRENCY:"" &amp; Cost_in_dollars!E1628 &amp; ""USD""))
"),32155352.25)</f>
        <v>32155352.25</v>
      </c>
      <c r="Q1628" s="4">
        <f t="shared" ca="1" si="36"/>
        <v>12623417.25</v>
      </c>
      <c r="R1628" s="5" t="str">
        <f t="shared" si="37"/>
        <v>Timecop</v>
      </c>
      <c r="S1628" s="43" t="str">
        <f t="shared" si="39"/>
        <v>Action</v>
      </c>
    </row>
    <row r="1629" spans="1:19" ht="15.75" customHeight="1" x14ac:dyDescent="0.25">
      <c r="A1629" s="6" t="s">
        <v>1670</v>
      </c>
      <c r="B1629" s="6">
        <v>208</v>
      </c>
      <c r="C1629" s="6">
        <v>134821952</v>
      </c>
      <c r="D1629" s="6" t="s">
        <v>53</v>
      </c>
      <c r="E1629" s="6" t="s">
        <v>320</v>
      </c>
      <c r="F1629" s="6" t="s">
        <v>5578</v>
      </c>
      <c r="G1629" s="6">
        <v>1155770</v>
      </c>
      <c r="H1629" s="6" t="s">
        <v>5579</v>
      </c>
      <c r="I1629" s="6">
        <v>2238</v>
      </c>
      <c r="J1629" s="6" t="s">
        <v>23</v>
      </c>
      <c r="K1629" s="6" t="s">
        <v>24</v>
      </c>
      <c r="L1629" s="6">
        <v>6000000</v>
      </c>
      <c r="M1629" s="6">
        <v>1972</v>
      </c>
      <c r="N1629" s="6">
        <v>9.1999999999999993</v>
      </c>
      <c r="O1629" s="4">
        <f ca="1">IFERROR(__xludf.DUMMYFUNCTION("IF(Cost_in_dollars!E1629=""USD"",Cost_in_dollars!B1629,Cost_in_dollars!B1629 * GOOGLEFINANCE(""CURRENCY:"" &amp; Cost_in_dollars!E1629 &amp; ""USD""))
"),6000000)</f>
        <v>6000000</v>
      </c>
      <c r="P1629" s="4">
        <f ca="1">IFERROR(__xludf.DUMMYFUNCTION("IF(Cost_in_dollars!E1629=""USD"",Cost_in_dollars!C1629,Cost_in_dollars!C1629 * GOOGLEFINANCE(""CURRENCY:"" &amp; Cost_in_dollars!E1629 &amp; ""USD""))
"),134821952)</f>
        <v>134821952</v>
      </c>
      <c r="Q1629" s="6">
        <f t="shared" ca="1" si="36"/>
        <v>128821952</v>
      </c>
      <c r="R1629" s="7" t="str">
        <f t="shared" si="37"/>
        <v>The Godfather</v>
      </c>
      <c r="S1629" s="43" t="str">
        <f t="shared" si="39"/>
        <v>Crime</v>
      </c>
    </row>
    <row r="1630" spans="1:19" ht="15.75" customHeight="1" x14ac:dyDescent="0.25">
      <c r="A1630" s="4" t="s">
        <v>1378</v>
      </c>
      <c r="B1630" s="4">
        <v>539</v>
      </c>
      <c r="C1630" s="4">
        <v>126975169</v>
      </c>
      <c r="D1630" s="4" t="s">
        <v>5580</v>
      </c>
      <c r="E1630" s="4" t="s">
        <v>5581</v>
      </c>
      <c r="F1630" s="4" t="s">
        <v>5582</v>
      </c>
      <c r="G1630" s="4">
        <v>287822</v>
      </c>
      <c r="H1630" s="4" t="s">
        <v>5583</v>
      </c>
      <c r="I1630" s="4">
        <v>849</v>
      </c>
      <c r="J1630" s="4" t="s">
        <v>23</v>
      </c>
      <c r="K1630" s="4" t="s">
        <v>24</v>
      </c>
      <c r="L1630" s="4">
        <v>50000000</v>
      </c>
      <c r="M1630" s="4">
        <v>2011</v>
      </c>
      <c r="N1630" s="4">
        <v>7.1</v>
      </c>
      <c r="O1630" s="4">
        <f ca="1">IFERROR(__xludf.DUMMYFUNCTION("IF(Cost_in_dollars!E1630=""USD"",Cost_in_dollars!B1630,Cost_in_dollars!B1630 * GOOGLEFINANCE(""CURRENCY:"" &amp; Cost_in_dollars!E1630 &amp; ""USD""))
"),50000000)</f>
        <v>50000000</v>
      </c>
      <c r="P1630" s="4">
        <f ca="1">IFERROR(__xludf.DUMMYFUNCTION("IF(Cost_in_dollars!E1630=""USD"",Cost_in_dollars!C1630,Cost_in_dollars!C1630 * GOOGLEFINANCE(""CURRENCY:"" &amp; Cost_in_dollars!E1630 &amp; ""USD""))
"),126975169)</f>
        <v>126975169</v>
      </c>
      <c r="Q1630" s="4">
        <f t="shared" ca="1" si="36"/>
        <v>76975169</v>
      </c>
      <c r="R1630" s="5" t="str">
        <f t="shared" si="37"/>
        <v>Super 8</v>
      </c>
      <c r="S1630" s="43" t="str">
        <f t="shared" si="39"/>
        <v>Mystery</v>
      </c>
    </row>
    <row r="1631" spans="1:19" ht="15.75" customHeight="1" x14ac:dyDescent="0.25">
      <c r="A1631" s="6" t="s">
        <v>115</v>
      </c>
      <c r="B1631" s="6">
        <v>177</v>
      </c>
      <c r="C1631" s="6">
        <v>64286</v>
      </c>
      <c r="D1631" s="6" t="s">
        <v>235</v>
      </c>
      <c r="E1631" s="6" t="s">
        <v>227</v>
      </c>
      <c r="F1631" s="6" t="s">
        <v>5584</v>
      </c>
      <c r="G1631" s="6">
        <v>396396</v>
      </c>
      <c r="H1631" s="6" t="s">
        <v>5585</v>
      </c>
      <c r="I1631" s="6">
        <v>1111</v>
      </c>
      <c r="J1631" s="6" t="s">
        <v>23</v>
      </c>
      <c r="K1631" s="6" t="s">
        <v>24</v>
      </c>
      <c r="L1631" s="6">
        <v>29000000</v>
      </c>
      <c r="M1631" s="6">
        <v>2004</v>
      </c>
      <c r="N1631" s="6">
        <v>7.9</v>
      </c>
      <c r="O1631" s="4">
        <f ca="1">IFERROR(__xludf.DUMMYFUNCTION("IF(Cost_in_dollars!E1631=""USD"",Cost_in_dollars!B1631,Cost_in_dollars!B1631 * GOOGLEFINANCE(""CURRENCY:"" &amp; Cost_in_dollars!E1631 &amp; ""USD""))
"),29000000)</f>
        <v>29000000</v>
      </c>
      <c r="P1631" s="4">
        <f ca="1">IFERROR(__xludf.DUMMYFUNCTION("IF(Cost_in_dollars!E1631=""USD"",Cost_in_dollars!C1631,Cost_in_dollars!C1631 * GOOGLEFINANCE(""CURRENCY:"" &amp; Cost_in_dollars!E1631 &amp; ""USD""))
"),64286)</f>
        <v>64286</v>
      </c>
      <c r="Q1631" s="6">
        <f t="shared" ca="1" si="36"/>
        <v>-28935714</v>
      </c>
      <c r="R1631" s="7" t="str">
        <f t="shared" si="37"/>
        <v>The Notebook</v>
      </c>
      <c r="S1631" s="43" t="str">
        <f t="shared" si="39"/>
        <v>Drama</v>
      </c>
    </row>
    <row r="1632" spans="1:19" ht="15.75" customHeight="1" x14ac:dyDescent="0.25">
      <c r="A1632" s="4" t="s">
        <v>2324</v>
      </c>
      <c r="B1632" s="4">
        <v>160</v>
      </c>
      <c r="C1632" s="4">
        <v>70327868</v>
      </c>
      <c r="D1632" s="4" t="s">
        <v>155</v>
      </c>
      <c r="E1632" s="4" t="s">
        <v>1595</v>
      </c>
      <c r="F1632" s="4" t="s">
        <v>5586</v>
      </c>
      <c r="G1632" s="4">
        <v>58416</v>
      </c>
      <c r="H1632" s="4" t="s">
        <v>5587</v>
      </c>
      <c r="I1632" s="4">
        <v>301</v>
      </c>
      <c r="J1632" s="4" t="s">
        <v>23</v>
      </c>
      <c r="K1632" s="4" t="s">
        <v>176</v>
      </c>
      <c r="L1632" s="4">
        <v>46000000</v>
      </c>
      <c r="M1632" s="4">
        <v>2000</v>
      </c>
      <c r="N1632" s="4">
        <v>5.9</v>
      </c>
      <c r="O1632" s="4">
        <f ca="1">IFERROR(__xludf.DUMMYFUNCTION("IF(Cost_in_dollars!E1632=""USD"",Cost_in_dollars!B1632,Cost_in_dollars!B1632 * GOOGLEFINANCE(""CURRENCY:"" &amp; Cost_in_dollars!E1632 &amp; ""USD""))
"),49898040)</f>
        <v>49898040</v>
      </c>
      <c r="P1632" s="4">
        <f ca="1">IFERROR(__xludf.DUMMYFUNCTION("IF(Cost_in_dollars!E1632=""USD"",Cost_in_dollars!C1632,Cost_in_dollars!C1632 * GOOGLEFINANCE(""CURRENCY:"" &amp; Cost_in_dollars!E1632 &amp; ""USD""))
"),76287451.53432)</f>
        <v>76287451.534319997</v>
      </c>
      <c r="Q1632" s="4">
        <f t="shared" ca="1" si="36"/>
        <v>26389411.534319997</v>
      </c>
      <c r="R1632" s="5" t="str">
        <f t="shared" si="37"/>
        <v>Shaft</v>
      </c>
      <c r="S1632" s="43" t="str">
        <f t="shared" si="39"/>
        <v>Action</v>
      </c>
    </row>
    <row r="1633" spans="1:19" ht="15.75" customHeight="1" x14ac:dyDescent="0.25">
      <c r="A1633" s="6" t="s">
        <v>5588</v>
      </c>
      <c r="B1633" s="6">
        <v>197</v>
      </c>
      <c r="C1633" s="6">
        <v>309125409</v>
      </c>
      <c r="D1633" s="6" t="s">
        <v>1290</v>
      </c>
      <c r="E1633" s="6" t="s">
        <v>640</v>
      </c>
      <c r="F1633" s="6" t="s">
        <v>5589</v>
      </c>
      <c r="G1633" s="6">
        <v>681857</v>
      </c>
      <c r="H1633" s="6" t="s">
        <v>5590</v>
      </c>
      <c r="I1633" s="6">
        <v>647</v>
      </c>
      <c r="J1633" s="6" t="s">
        <v>23</v>
      </c>
      <c r="K1633" s="6" t="s">
        <v>24</v>
      </c>
      <c r="L1633" s="6">
        <v>32500000</v>
      </c>
      <c r="M1633" s="6">
        <v>1983</v>
      </c>
      <c r="N1633" s="6">
        <v>8.4</v>
      </c>
      <c r="O1633" s="4">
        <f ca="1">IFERROR(__xludf.DUMMYFUNCTION("IF(Cost_in_dollars!E1633=""USD"",Cost_in_dollars!B1633,Cost_in_dollars!B1633 * GOOGLEFINANCE(""CURRENCY:"" &amp; Cost_in_dollars!E1633 &amp; ""USD""))
"),32500000)</f>
        <v>32500000</v>
      </c>
      <c r="P1633" s="4">
        <f ca="1">IFERROR(__xludf.DUMMYFUNCTION("IF(Cost_in_dollars!E1633=""USD"",Cost_in_dollars!C1633,Cost_in_dollars!C1633 * GOOGLEFINANCE(""CURRENCY:"" &amp; Cost_in_dollars!E1633 &amp; ""USD""))
"),309125409)</f>
        <v>309125409</v>
      </c>
      <c r="Q1633" s="6">
        <f t="shared" ca="1" si="36"/>
        <v>276625409</v>
      </c>
      <c r="R1633" s="7" t="str">
        <f t="shared" si="37"/>
        <v>Star Wars: Episode VI - Return of the Jedi</v>
      </c>
      <c r="S1633" s="43" t="str">
        <f t="shared" si="39"/>
        <v>Action</v>
      </c>
    </row>
    <row r="1634" spans="1:19" ht="15.75" customHeight="1" x14ac:dyDescent="0.25">
      <c r="A1634" s="4" t="s">
        <v>5591</v>
      </c>
      <c r="B1634" s="4">
        <v>116</v>
      </c>
      <c r="C1634" s="4">
        <v>46495</v>
      </c>
      <c r="D1634" s="4" t="s">
        <v>102</v>
      </c>
      <c r="E1634" s="4" t="s">
        <v>588</v>
      </c>
      <c r="F1634" s="4" t="s">
        <v>5592</v>
      </c>
      <c r="G1634" s="4">
        <v>12053</v>
      </c>
      <c r="H1634" s="4" t="s">
        <v>5593</v>
      </c>
      <c r="I1634" s="4">
        <v>119</v>
      </c>
      <c r="J1634" s="4" t="s">
        <v>23</v>
      </c>
      <c r="K1634" s="4" t="s">
        <v>24</v>
      </c>
      <c r="L1634" s="4">
        <v>14000000</v>
      </c>
      <c r="M1634" s="4">
        <v>2011</v>
      </c>
      <c r="N1634" s="4">
        <v>6.5</v>
      </c>
      <c r="O1634" s="4">
        <f ca="1">IFERROR(__xludf.DUMMYFUNCTION("IF(Cost_in_dollars!E1634=""USD"",Cost_in_dollars!B1634,Cost_in_dollars!B1634 * GOOGLEFINANCE(""CURRENCY:"" &amp; Cost_in_dollars!E1634 &amp; ""USD""))
"),14000000)</f>
        <v>14000000</v>
      </c>
      <c r="P1634" s="4">
        <f ca="1">IFERROR(__xludf.DUMMYFUNCTION("IF(Cost_in_dollars!E1634=""USD"",Cost_in_dollars!C1634,Cost_in_dollars!C1634 * GOOGLEFINANCE(""CURRENCY:"" &amp; Cost_in_dollars!E1634 &amp; ""USD""))
"),46495)</f>
        <v>46495</v>
      </c>
      <c r="Q1634" s="4">
        <f t="shared" ca="1" si="36"/>
        <v>-13953505</v>
      </c>
      <c r="R1634" s="5" t="str">
        <f t="shared" si="37"/>
        <v>Margaret</v>
      </c>
      <c r="S1634" s="43" t="str">
        <f t="shared" si="39"/>
        <v>Drama</v>
      </c>
    </row>
    <row r="1635" spans="1:19" ht="15.75" customHeight="1" x14ac:dyDescent="0.25">
      <c r="A1635" s="6" t="s">
        <v>5594</v>
      </c>
      <c r="B1635" s="6">
        <v>112</v>
      </c>
      <c r="C1635" s="6">
        <v>48430</v>
      </c>
      <c r="D1635" s="6" t="s">
        <v>592</v>
      </c>
      <c r="E1635" s="6" t="s">
        <v>5595</v>
      </c>
      <c r="F1635" s="6" t="s">
        <v>5596</v>
      </c>
      <c r="G1635" s="6">
        <v>20176</v>
      </c>
      <c r="H1635" s="6" t="s">
        <v>5597</v>
      </c>
      <c r="I1635" s="6">
        <v>73</v>
      </c>
      <c r="J1635" s="6" t="s">
        <v>23</v>
      </c>
      <c r="K1635" s="6" t="s">
        <v>24</v>
      </c>
      <c r="L1635" s="6">
        <v>500000</v>
      </c>
      <c r="M1635" s="6">
        <v>2010</v>
      </c>
      <c r="N1635" s="6">
        <v>6.8</v>
      </c>
      <c r="O1635" s="4">
        <f ca="1">IFERROR(__xludf.DUMMYFUNCTION("IF(Cost_in_dollars!E1635=""USD"",Cost_in_dollars!B1635,Cost_in_dollars!B1635 * GOOGLEFINANCE(""CURRENCY:"" &amp; Cost_in_dollars!E1635 &amp; ""USD""))
"),500000)</f>
        <v>500000</v>
      </c>
      <c r="P1635" s="4">
        <f ca="1">IFERROR(__xludf.DUMMYFUNCTION("IF(Cost_in_dollars!E1635=""USD"",Cost_in_dollars!C1635,Cost_in_dollars!C1635 * GOOGLEFINANCE(""CURRENCY:"" &amp; Cost_in_dollars!E1635 &amp; ""USD""))
"),48430)</f>
        <v>48430</v>
      </c>
      <c r="Q1635" s="6">
        <f t="shared" ca="1" si="36"/>
        <v>-451570</v>
      </c>
      <c r="R1635" s="7" t="str">
        <f t="shared" si="37"/>
        <v>The Perfect Host</v>
      </c>
      <c r="S1635" s="43" t="str">
        <f t="shared" si="39"/>
        <v>Comedy</v>
      </c>
    </row>
    <row r="1636" spans="1:19" ht="15.75" customHeight="1" x14ac:dyDescent="0.25">
      <c r="A1636" s="4" t="s">
        <v>1645</v>
      </c>
      <c r="B1636" s="4">
        <v>276</v>
      </c>
      <c r="C1636" s="4">
        <v>25335935</v>
      </c>
      <c r="D1636" s="4" t="s">
        <v>797</v>
      </c>
      <c r="E1636" s="4" t="s">
        <v>5353</v>
      </c>
      <c r="F1636" s="4" t="s">
        <v>5598</v>
      </c>
      <c r="G1636" s="4">
        <v>242599</v>
      </c>
      <c r="H1636" s="4" t="s">
        <v>5599</v>
      </c>
      <c r="I1636" s="4">
        <v>1594</v>
      </c>
      <c r="J1636" s="4" t="s">
        <v>23</v>
      </c>
      <c r="K1636" s="4" t="s">
        <v>24</v>
      </c>
      <c r="L1636" s="4">
        <v>40000000</v>
      </c>
      <c r="M1636" s="4">
        <v>2005</v>
      </c>
      <c r="N1636" s="4">
        <v>8</v>
      </c>
      <c r="O1636" s="4">
        <f ca="1">IFERROR(__xludf.DUMMYFUNCTION("IF(Cost_in_dollars!E1636=""USD"",Cost_in_dollars!B1636,Cost_in_dollars!B1636 * GOOGLEFINANCE(""CURRENCY:"" &amp; Cost_in_dollars!E1636 &amp; ""USD""))
"),40000000)</f>
        <v>40000000</v>
      </c>
      <c r="P1636" s="4">
        <f ca="1">IFERROR(__xludf.DUMMYFUNCTION("IF(Cost_in_dollars!E1636=""USD"",Cost_in_dollars!C1636,Cost_in_dollars!C1636 * GOOGLEFINANCE(""CURRENCY:"" &amp; Cost_in_dollars!E1636 &amp; ""USD""))
"),25335935)</f>
        <v>25335935</v>
      </c>
      <c r="Q1636" s="4">
        <f t="shared" ca="1" si="36"/>
        <v>-14664065</v>
      </c>
      <c r="R1636" s="5" t="str">
        <f t="shared" si="37"/>
        <v>Serenity</v>
      </c>
      <c r="S1636" s="43" t="str">
        <f t="shared" si="39"/>
        <v>Action</v>
      </c>
    </row>
    <row r="1637" spans="1:19" ht="15.75" customHeight="1" x14ac:dyDescent="0.25">
      <c r="A1637" s="6" t="s">
        <v>5600</v>
      </c>
      <c r="B1637" s="6">
        <v>228</v>
      </c>
      <c r="C1637" s="6">
        <v>104374107</v>
      </c>
      <c r="D1637" s="6" t="s">
        <v>5601</v>
      </c>
      <c r="E1637" s="6" t="s">
        <v>2823</v>
      </c>
      <c r="F1637" s="6" t="s">
        <v>5602</v>
      </c>
      <c r="G1637" s="6">
        <v>89351</v>
      </c>
      <c r="H1637" s="6" t="s">
        <v>5603</v>
      </c>
      <c r="I1637" s="6">
        <v>214</v>
      </c>
      <c r="J1637" s="6" t="s">
        <v>23</v>
      </c>
      <c r="K1637" s="6" t="s">
        <v>24</v>
      </c>
      <c r="L1637" s="6">
        <v>105000000</v>
      </c>
      <c r="M1637" s="6">
        <v>2009</v>
      </c>
      <c r="N1637" s="6">
        <v>7.1</v>
      </c>
      <c r="O1637" s="4">
        <f ca="1">IFERROR(__xludf.DUMMYFUNCTION("IF(Cost_in_dollars!E1637=""USD"",Cost_in_dollars!B1637,Cost_in_dollars!B1637 * GOOGLEFINANCE(""CURRENCY:"" &amp; Cost_in_dollars!E1637 &amp; ""USD""))
"),105000000)</f>
        <v>105000000</v>
      </c>
      <c r="P1637" s="4">
        <f ca="1">IFERROR(__xludf.DUMMYFUNCTION("IF(Cost_in_dollars!E1637=""USD"",Cost_in_dollars!C1637,Cost_in_dollars!C1637 * GOOGLEFINANCE(""CURRENCY:"" &amp; Cost_in_dollars!E1637 &amp; ""USD""))
"),104374107)</f>
        <v>104374107</v>
      </c>
      <c r="Q1637" s="6">
        <f t="shared" ca="1" si="36"/>
        <v>-625893</v>
      </c>
      <c r="R1637" s="7" t="str">
        <f t="shared" si="37"/>
        <v>The Princess and the Frog</v>
      </c>
      <c r="S1637" s="43" t="str">
        <f t="shared" si="39"/>
        <v>Animation</v>
      </c>
    </row>
    <row r="1638" spans="1:19" ht="15.75" customHeight="1" x14ac:dyDescent="0.25">
      <c r="A1638" s="4" t="s">
        <v>5604</v>
      </c>
      <c r="B1638" s="4">
        <v>248</v>
      </c>
      <c r="C1638" s="4">
        <v>11041228</v>
      </c>
      <c r="D1638" s="4" t="s">
        <v>1002</v>
      </c>
      <c r="E1638" s="4" t="s">
        <v>5605</v>
      </c>
      <c r="F1638" s="4" t="s">
        <v>5606</v>
      </c>
      <c r="G1638" s="4">
        <v>92295</v>
      </c>
      <c r="H1638" s="4" t="s">
        <v>5607</v>
      </c>
      <c r="I1638" s="4">
        <v>420</v>
      </c>
      <c r="J1638" s="4" t="s">
        <v>3279</v>
      </c>
      <c r="K1638" s="4" t="s">
        <v>220</v>
      </c>
      <c r="L1638" s="4">
        <v>100000000</v>
      </c>
      <c r="M1638" s="4">
        <v>2004</v>
      </c>
      <c r="N1638" s="4">
        <v>7.6</v>
      </c>
      <c r="O1638" s="4">
        <f ca="1">IFERROR(__xludf.DUMMYFUNCTION("IF(Cost_in_dollars!E1638=""USD"",Cost_in_dollars!B1638,Cost_in_dollars!B1638 * GOOGLEFINANCE(""CURRENCY:"" &amp; Cost_in_dollars!E1638 &amp; ""USD""))
"),13828389.9999999)</f>
        <v>13828389.999999899</v>
      </c>
      <c r="P1638" s="4">
        <f ca="1">IFERROR(__xludf.DUMMYFUNCTION("IF(Cost_in_dollars!E1638=""USD"",Cost_in_dollars!C1638,Cost_in_dollars!C1638 * GOOGLEFINANCE(""CURRENCY:"" &amp; Cost_in_dollars!E1638 &amp; ""USD""))
"),1526824.06862919)</f>
        <v>1526824.0686291901</v>
      </c>
      <c r="Q1638" s="4">
        <f t="shared" ca="1" si="36"/>
        <v>-12301565.931370709</v>
      </c>
      <c r="R1638" s="5" t="str">
        <f t="shared" si="37"/>
        <v>House of Flying Daggers</v>
      </c>
      <c r="S1638" s="43" t="str">
        <f t="shared" si="39"/>
        <v>Action</v>
      </c>
    </row>
    <row r="1639" spans="1:19" ht="15.75" customHeight="1" x14ac:dyDescent="0.25">
      <c r="A1639" s="6" t="s">
        <v>5608</v>
      </c>
      <c r="B1639" s="6">
        <v>350</v>
      </c>
      <c r="C1639" s="6">
        <v>28751715</v>
      </c>
      <c r="D1639" s="6" t="s">
        <v>268</v>
      </c>
      <c r="E1639" s="6" t="s">
        <v>2272</v>
      </c>
      <c r="F1639" s="6" t="s">
        <v>5609</v>
      </c>
      <c r="G1639" s="6">
        <v>202967</v>
      </c>
      <c r="H1639" s="6" t="s">
        <v>5610</v>
      </c>
      <c r="I1639" s="6">
        <v>378</v>
      </c>
      <c r="J1639" s="6" t="s">
        <v>23</v>
      </c>
      <c r="K1639" s="6" t="s">
        <v>24</v>
      </c>
      <c r="L1639" s="6">
        <v>28000000</v>
      </c>
      <c r="M1639" s="6">
        <v>2013</v>
      </c>
      <c r="N1639" s="6">
        <v>6.6</v>
      </c>
      <c r="O1639" s="4">
        <f ca="1">IFERROR(__xludf.DUMMYFUNCTION("IF(Cost_in_dollars!E1639=""USD"",Cost_in_dollars!B1639,Cost_in_dollars!B1639 * GOOGLEFINANCE(""CURRENCY:"" &amp; Cost_in_dollars!E1639 &amp; ""USD""))
"),28000000)</f>
        <v>28000000</v>
      </c>
      <c r="P1639" s="4">
        <f ca="1">IFERROR(__xludf.DUMMYFUNCTION("IF(Cost_in_dollars!E1639=""USD"",Cost_in_dollars!C1639,Cost_in_dollars!C1639 * GOOGLEFINANCE(""CURRENCY:"" &amp; Cost_in_dollars!E1639 &amp; ""USD""))
"),28751715)</f>
        <v>28751715</v>
      </c>
      <c r="Q1639" s="6">
        <f t="shared" ca="1" si="36"/>
        <v>751715</v>
      </c>
      <c r="R1639" s="7" t="str">
        <f t="shared" si="37"/>
        <v>Kick-Ass 2</v>
      </c>
      <c r="S1639" s="43" t="str">
        <f t="shared" si="39"/>
        <v>Action</v>
      </c>
    </row>
    <row r="1640" spans="1:19" ht="15.75" customHeight="1" x14ac:dyDescent="0.25">
      <c r="A1640" s="4" t="s">
        <v>1667</v>
      </c>
      <c r="B1640" s="4">
        <v>212</v>
      </c>
      <c r="C1640" s="4">
        <v>21378000</v>
      </c>
      <c r="D1640" s="4" t="s">
        <v>1242</v>
      </c>
      <c r="E1640" s="4" t="s">
        <v>393</v>
      </c>
      <c r="F1640" s="4" t="s">
        <v>4987</v>
      </c>
      <c r="G1640" s="4">
        <v>46492</v>
      </c>
      <c r="H1640" s="4" t="s">
        <v>4988</v>
      </c>
      <c r="I1640" s="4">
        <v>335</v>
      </c>
      <c r="J1640" s="4" t="s">
        <v>23</v>
      </c>
      <c r="K1640" s="4" t="s">
        <v>24</v>
      </c>
      <c r="L1640" s="4">
        <v>1000000</v>
      </c>
      <c r="M1640" s="4">
        <v>1980</v>
      </c>
      <c r="N1640" s="4">
        <v>6.8</v>
      </c>
      <c r="O1640" s="4">
        <f ca="1">IFERROR(__xludf.DUMMYFUNCTION("IF(Cost_in_dollars!E1640=""USD"",Cost_in_dollars!B1640,Cost_in_dollars!B1640 * GOOGLEFINANCE(""CURRENCY:"" &amp; Cost_in_dollars!E1640 &amp; ""USD""))
"),1000000)</f>
        <v>1000000</v>
      </c>
      <c r="P1640" s="4">
        <f ca="1">IFERROR(__xludf.DUMMYFUNCTION("IF(Cost_in_dollars!E1640=""USD"",Cost_in_dollars!C1640,Cost_in_dollars!C1640 * GOOGLEFINANCE(""CURRENCY:"" &amp; Cost_in_dollars!E1640 &amp; ""USD""))
"),21378000)</f>
        <v>21378000</v>
      </c>
      <c r="Q1640" s="4">
        <f t="shared" ca="1" si="36"/>
        <v>20378000</v>
      </c>
      <c r="R1640" s="5" t="str">
        <f t="shared" si="37"/>
        <v>The Fog</v>
      </c>
      <c r="S1640" s="43" t="str">
        <f t="shared" si="39"/>
        <v>Fantasy</v>
      </c>
    </row>
    <row r="1641" spans="1:19" ht="15.75" customHeight="1" x14ac:dyDescent="0.25">
      <c r="A1641" s="6" t="s">
        <v>5611</v>
      </c>
      <c r="B1641" s="6">
        <v>50</v>
      </c>
      <c r="C1641" s="6">
        <v>14095303</v>
      </c>
      <c r="D1641" s="6" t="s">
        <v>5290</v>
      </c>
      <c r="E1641" s="6" t="s">
        <v>5612</v>
      </c>
      <c r="F1641" s="6" t="s">
        <v>5613</v>
      </c>
      <c r="G1641" s="6">
        <v>15814</v>
      </c>
      <c r="H1641" s="6" t="s">
        <v>5614</v>
      </c>
      <c r="I1641" s="6">
        <v>68</v>
      </c>
      <c r="J1641" s="6" t="s">
        <v>23</v>
      </c>
      <c r="K1641" s="6" t="s">
        <v>24</v>
      </c>
      <c r="L1641" s="6">
        <v>25000000</v>
      </c>
      <c r="M1641" s="6">
        <v>1996</v>
      </c>
      <c r="N1641" s="6">
        <v>5.4</v>
      </c>
      <c r="O1641" s="4">
        <f ca="1">IFERROR(__xludf.DUMMYFUNCTION("IF(Cost_in_dollars!E1641=""USD"",Cost_in_dollars!B1641,Cost_in_dollars!B1641 * GOOGLEFINANCE(""CURRENCY:"" &amp; Cost_in_dollars!E1641 &amp; ""USD""))
"),25000000)</f>
        <v>25000000</v>
      </c>
      <c r="P1641" s="4">
        <f ca="1">IFERROR(__xludf.DUMMYFUNCTION("IF(Cost_in_dollars!E1641=""USD"",Cost_in_dollars!C1641,Cost_in_dollars!C1641 * GOOGLEFINANCE(""CURRENCY:"" &amp; Cost_in_dollars!E1641 &amp; ""USD""))
"),14095303)</f>
        <v>14095303</v>
      </c>
      <c r="Q1641" s="6">
        <f t="shared" ca="1" si="36"/>
        <v>-10904697</v>
      </c>
      <c r="R1641" s="7" t="str">
        <f t="shared" si="37"/>
        <v>Maximum Risk</v>
      </c>
      <c r="S1641" s="43" t="str">
        <f t="shared" si="39"/>
        <v>Action</v>
      </c>
    </row>
    <row r="1642" spans="1:19" ht="15.75" customHeight="1" x14ac:dyDescent="0.25">
      <c r="A1642" s="4" t="s">
        <v>3949</v>
      </c>
      <c r="B1642" s="4">
        <v>198</v>
      </c>
      <c r="C1642" s="4">
        <v>95632614</v>
      </c>
      <c r="D1642" s="4" t="s">
        <v>5615</v>
      </c>
      <c r="E1642" s="4" t="s">
        <v>1347</v>
      </c>
      <c r="F1642" s="4" t="s">
        <v>5616</v>
      </c>
      <c r="G1642" s="4">
        <v>118483</v>
      </c>
      <c r="H1642" s="4" t="s">
        <v>5617</v>
      </c>
      <c r="I1642" s="4">
        <v>674</v>
      </c>
      <c r="J1642" s="4" t="s">
        <v>23</v>
      </c>
      <c r="K1642" s="4" t="s">
        <v>24</v>
      </c>
      <c r="L1642" s="4">
        <v>79000000</v>
      </c>
      <c r="M1642" s="4">
        <v>2003</v>
      </c>
      <c r="N1642" s="4">
        <v>7.2</v>
      </c>
      <c r="O1642" s="4">
        <f ca="1">IFERROR(__xludf.DUMMYFUNCTION("IF(Cost_in_dollars!E1642=""USD"",Cost_in_dollars!B1642,Cost_in_dollars!B1642 * GOOGLEFINANCE(""CURRENCY:"" &amp; Cost_in_dollars!E1642 &amp; ""USD""))
"),79000000)</f>
        <v>79000000</v>
      </c>
      <c r="P1642" s="4">
        <f ca="1">IFERROR(__xludf.DUMMYFUNCTION("IF(Cost_in_dollars!E1642=""USD"",Cost_in_dollars!C1642,Cost_in_dollars!C1642 * GOOGLEFINANCE(""CURRENCY:"" &amp; Cost_in_dollars!E1642 &amp; ""USD""))
"),95632614)</f>
        <v>95632614</v>
      </c>
      <c r="Q1642" s="4">
        <f t="shared" ca="1" si="36"/>
        <v>16632614</v>
      </c>
      <c r="R1642" s="5" t="str">
        <f t="shared" si="37"/>
        <v>Cold Mountain</v>
      </c>
      <c r="S1642" s="43" t="str">
        <f t="shared" si="39"/>
        <v>Adventure</v>
      </c>
    </row>
    <row r="1643" spans="1:19" ht="15.75" customHeight="1" x14ac:dyDescent="0.25">
      <c r="A1643" s="6" t="s">
        <v>4479</v>
      </c>
      <c r="B1643" s="6">
        <v>157</v>
      </c>
      <c r="C1643" s="6">
        <v>63224849</v>
      </c>
      <c r="D1643" s="6" t="s">
        <v>88</v>
      </c>
      <c r="E1643" s="6" t="s">
        <v>780</v>
      </c>
      <c r="F1643" s="6" t="s">
        <v>5618</v>
      </c>
      <c r="G1643" s="6">
        <v>182757</v>
      </c>
      <c r="H1643" s="6" t="s">
        <v>5619</v>
      </c>
      <c r="I1643" s="6">
        <v>483</v>
      </c>
      <c r="J1643" s="6" t="s">
        <v>23</v>
      </c>
      <c r="K1643" s="6" t="s">
        <v>24</v>
      </c>
      <c r="L1643" s="6">
        <v>85000000</v>
      </c>
      <c r="M1643" s="6">
        <v>2006</v>
      </c>
      <c r="N1643" s="6">
        <v>6.9</v>
      </c>
      <c r="O1643" s="4">
        <f ca="1">IFERROR(__xludf.DUMMYFUNCTION("IF(Cost_in_dollars!E1643=""USD"",Cost_in_dollars!B1643,Cost_in_dollars!B1643 * GOOGLEFINANCE(""CURRENCY:"" &amp; Cost_in_dollars!E1643 &amp; ""USD""))
"),85000000)</f>
        <v>85000000</v>
      </c>
      <c r="P1643" s="4">
        <f ca="1">IFERROR(__xludf.DUMMYFUNCTION("IF(Cost_in_dollars!E1643=""USD"",Cost_in_dollars!C1643,Cost_in_dollars!C1643 * GOOGLEFINANCE(""CURRENCY:"" &amp; Cost_in_dollars!E1643 &amp; ""USD""))
"),63224849)</f>
        <v>63224849</v>
      </c>
      <c r="Q1643" s="6">
        <f t="shared" ca="1" si="36"/>
        <v>-21775151</v>
      </c>
      <c r="R1643" s="7" t="str">
        <f t="shared" si="37"/>
        <v>The Holiday</v>
      </c>
      <c r="S1643" s="43" t="str">
        <f t="shared" si="39"/>
        <v>Comedy</v>
      </c>
    </row>
    <row r="1644" spans="1:19" ht="15.75" customHeight="1" x14ac:dyDescent="0.25">
      <c r="A1644" s="4" t="s">
        <v>3459</v>
      </c>
      <c r="B1644" s="4">
        <v>100</v>
      </c>
      <c r="C1644" s="4">
        <v>10762178</v>
      </c>
      <c r="D1644" s="4" t="s">
        <v>254</v>
      </c>
      <c r="E1644" s="4" t="s">
        <v>3459</v>
      </c>
      <c r="F1644" s="4" t="s">
        <v>5620</v>
      </c>
      <c r="G1644" s="4">
        <v>10369</v>
      </c>
      <c r="H1644" s="4" t="s">
        <v>5621</v>
      </c>
      <c r="I1644" s="4">
        <v>153</v>
      </c>
      <c r="J1644" s="4" t="s">
        <v>23</v>
      </c>
      <c r="K1644" s="4" t="s">
        <v>611</v>
      </c>
      <c r="L1644" s="4">
        <v>160000000</v>
      </c>
      <c r="M1644" s="4">
        <v>2001</v>
      </c>
      <c r="N1644" s="4">
        <v>8</v>
      </c>
      <c r="O1644" s="4">
        <f ca="1">IFERROR(__xludf.DUMMYFUNCTION("IF(Cost_in_dollars!E1644=""USD"",Cost_in_dollars!B1644,Cost_in_dollars!B1644 * GOOGLEFINANCE(""CURRENCY:"" &amp; Cost_in_dollars!E1644 &amp; ""USD""))
"),173558400)</f>
        <v>173558400</v>
      </c>
      <c r="P1644" s="4">
        <f ca="1">IFERROR(__xludf.DUMMYFUNCTION("IF(Cost_in_dollars!E1644=""USD"",Cost_in_dollars!C1644,Cost_in_dollars!C1644 * GOOGLEFINANCE(""CURRENCY:"" &amp; Cost_in_dollars!E1644 &amp; ""USD""))
"),11674164.96372)</f>
        <v>11674164.963719999</v>
      </c>
      <c r="Q1644" s="4">
        <f t="shared" ca="1" si="36"/>
        <v>-161884235.03628001</v>
      </c>
      <c r="R1644" s="5" t="str">
        <f t="shared" si="37"/>
        <v>Winged Migration</v>
      </c>
      <c r="S1644" s="43" t="str">
        <f t="shared" si="39"/>
        <v>Documentary</v>
      </c>
    </row>
    <row r="1645" spans="1:19" ht="15.75" customHeight="1" x14ac:dyDescent="0.25">
      <c r="A1645" s="6" t="s">
        <v>5622</v>
      </c>
      <c r="B1645" s="6">
        <v>399</v>
      </c>
      <c r="C1645" s="6">
        <v>1024175</v>
      </c>
      <c r="D1645" s="6" t="s">
        <v>1929</v>
      </c>
      <c r="E1645" s="6" t="s">
        <v>5623</v>
      </c>
      <c r="F1645" s="6" t="s">
        <v>5624</v>
      </c>
      <c r="G1645" s="6">
        <v>82331</v>
      </c>
      <c r="H1645" s="6" t="s">
        <v>5625</v>
      </c>
      <c r="I1645" s="6">
        <v>297</v>
      </c>
      <c r="J1645" s="6" t="s">
        <v>23</v>
      </c>
      <c r="K1645" s="6" t="s">
        <v>133</v>
      </c>
      <c r="L1645" s="6">
        <v>13000000</v>
      </c>
      <c r="M1645" s="6">
        <v>2011</v>
      </c>
      <c r="N1645" s="6">
        <v>6.6</v>
      </c>
      <c r="O1645" s="4">
        <f ca="1">IFERROR(__xludf.DUMMYFUNCTION("IF(Cost_in_dollars!E1645=""USD"",Cost_in_dollars!B1645,Cost_in_dollars!B1645 * GOOGLEFINANCE(""CURRENCY:"" &amp; Cost_in_dollars!E1645 &amp; ""USD""))
"),16710199.9999999)</f>
        <v>16710199.999999899</v>
      </c>
      <c r="P1645" s="4">
        <f ca="1">IFERROR(__xludf.DUMMYFUNCTION("IF(Cost_in_dollars!E1645=""USD"",Cost_in_dollars!C1645,Cost_in_dollars!C1645 * GOOGLEFINANCE(""CURRENCY:"" &amp; Cost_in_dollars!E1645 &amp; ""USD""))
"),1316474.545)</f>
        <v>1316474.5449999999</v>
      </c>
      <c r="Q1645" s="6">
        <f t="shared" ca="1" si="36"/>
        <v>-15393725.454999899</v>
      </c>
      <c r="R1645" s="7" t="str">
        <f t="shared" si="37"/>
        <v>Attack the Block</v>
      </c>
      <c r="S1645" s="43" t="str">
        <f t="shared" si="39"/>
        <v>Action</v>
      </c>
    </row>
    <row r="1646" spans="1:19" ht="15.75" customHeight="1" x14ac:dyDescent="0.25">
      <c r="A1646" s="4" t="s">
        <v>4281</v>
      </c>
      <c r="B1646" s="4">
        <v>228</v>
      </c>
      <c r="C1646" s="4">
        <v>104383624</v>
      </c>
      <c r="D1646" s="4" t="s">
        <v>1259</v>
      </c>
      <c r="E1646" s="4" t="s">
        <v>4072</v>
      </c>
      <c r="F1646" s="4" t="s">
        <v>5626</v>
      </c>
      <c r="G1646" s="4">
        <v>106446</v>
      </c>
      <c r="H1646" s="4" t="s">
        <v>5627</v>
      </c>
      <c r="I1646" s="4">
        <v>227</v>
      </c>
      <c r="J1646" s="4" t="s">
        <v>23</v>
      </c>
      <c r="K1646" s="4" t="s">
        <v>24</v>
      </c>
      <c r="L1646" s="4">
        <v>155000000</v>
      </c>
      <c r="M1646" s="4">
        <v>2010</v>
      </c>
      <c r="N1646" s="4">
        <v>6.3</v>
      </c>
      <c r="O1646" s="4">
        <f ca="1">IFERROR(__xludf.DUMMYFUNCTION("IF(Cost_in_dollars!E1646=""USD"",Cost_in_dollars!B1646,Cost_in_dollars!B1646 * GOOGLEFINANCE(""CURRENCY:"" &amp; Cost_in_dollars!E1646 &amp; ""USD""))
"),155000000)</f>
        <v>155000000</v>
      </c>
      <c r="P1646" s="4">
        <f ca="1">IFERROR(__xludf.DUMMYFUNCTION("IF(Cost_in_dollars!E1646=""USD"",Cost_in_dollars!C1646,Cost_in_dollars!C1646 * GOOGLEFINANCE(""CURRENCY:"" &amp; Cost_in_dollars!E1646 &amp; ""USD""))
"),104383624)</f>
        <v>104383624</v>
      </c>
      <c r="Q1646" s="4">
        <f t="shared" ca="1" si="36"/>
        <v>-50616376</v>
      </c>
      <c r="R1646" s="5" t="str">
        <f t="shared" si="37"/>
        <v>The Chronicles of Narnia: The Voyage of the Dawn Treader</v>
      </c>
      <c r="S1646" s="43" t="str">
        <f t="shared" si="39"/>
        <v>Adventure</v>
      </c>
    </row>
    <row r="1647" spans="1:19" ht="15.75" customHeight="1" x14ac:dyDescent="0.25">
      <c r="A1647" s="6" t="s">
        <v>3423</v>
      </c>
      <c r="B1647" s="6">
        <v>105</v>
      </c>
      <c r="C1647" s="6">
        <v>3517797</v>
      </c>
      <c r="D1647" s="6" t="s">
        <v>167</v>
      </c>
      <c r="E1647" s="6" t="s">
        <v>2015</v>
      </c>
      <c r="F1647" s="6" t="s">
        <v>5628</v>
      </c>
      <c r="G1647" s="6">
        <v>9004</v>
      </c>
      <c r="H1647" s="6" t="s">
        <v>5629</v>
      </c>
      <c r="I1647" s="6">
        <v>103</v>
      </c>
      <c r="J1647" s="6" t="s">
        <v>23</v>
      </c>
      <c r="K1647" s="6" t="s">
        <v>611</v>
      </c>
      <c r="L1647" s="6">
        <v>25000000</v>
      </c>
      <c r="M1647" s="6">
        <v>2002</v>
      </c>
      <c r="N1647" s="6">
        <v>6.6</v>
      </c>
      <c r="O1647" s="4">
        <f ca="1">IFERROR(__xludf.DUMMYFUNCTION("IF(Cost_in_dollars!E1647=""USD"",Cost_in_dollars!B1647,Cost_in_dollars!B1647 * GOOGLEFINANCE(""CURRENCY:"" &amp; Cost_in_dollars!E1647 &amp; ""USD""))
"),27118500)</f>
        <v>27118500</v>
      </c>
      <c r="P1647" s="4">
        <f ca="1">IFERROR(__xludf.DUMMYFUNCTION("IF(Cost_in_dollars!E1647=""USD"",Cost_in_dollars!C1647,Cost_in_dollars!C1647 * GOOGLEFINANCE(""CURRENCY:"" &amp; Cost_in_dollars!E1647 &amp; ""USD""))
"),3815895.11778)</f>
        <v>3815895.11778</v>
      </c>
      <c r="Q1647" s="6">
        <f t="shared" ca="1" si="36"/>
        <v>-23302604.88222</v>
      </c>
      <c r="R1647" s="7" t="str">
        <f t="shared" si="37"/>
        <v>The Good Thief</v>
      </c>
      <c r="S1647" s="43" t="str">
        <f t="shared" si="39"/>
        <v>Action</v>
      </c>
    </row>
    <row r="1648" spans="1:19" ht="15.75" customHeight="1" x14ac:dyDescent="0.25">
      <c r="A1648" s="4" t="s">
        <v>4026</v>
      </c>
      <c r="B1648" s="4">
        <v>103</v>
      </c>
      <c r="C1648" s="4">
        <v>152149590</v>
      </c>
      <c r="D1648" s="4" t="s">
        <v>88</v>
      </c>
      <c r="E1648" s="4" t="s">
        <v>536</v>
      </c>
      <c r="F1648" s="4" t="s">
        <v>5630</v>
      </c>
      <c r="G1648" s="4">
        <v>74274</v>
      </c>
      <c r="H1648" s="4" t="s">
        <v>5631</v>
      </c>
      <c r="I1648" s="4">
        <v>255</v>
      </c>
      <c r="J1648" s="4" t="s">
        <v>23</v>
      </c>
      <c r="K1648" s="4" t="s">
        <v>24</v>
      </c>
      <c r="L1648" s="4">
        <v>70000000</v>
      </c>
      <c r="M1648" s="4">
        <v>1999</v>
      </c>
      <c r="N1648" s="4">
        <v>5.5</v>
      </c>
      <c r="O1648" s="4">
        <f ca="1">IFERROR(__xludf.DUMMYFUNCTION("IF(Cost_in_dollars!E1648=""USD"",Cost_in_dollars!B1648,Cost_in_dollars!B1648 * GOOGLEFINANCE(""CURRENCY:"" &amp; Cost_in_dollars!E1648 &amp; ""USD""))
"),70000000)</f>
        <v>70000000</v>
      </c>
      <c r="P1648" s="4">
        <f ca="1">IFERROR(__xludf.DUMMYFUNCTION("IF(Cost_in_dollars!E1648=""USD"",Cost_in_dollars!C1648,Cost_in_dollars!C1648 * GOOGLEFINANCE(""CURRENCY:"" &amp; Cost_in_dollars!E1648 &amp; ""USD""))
"),152149590)</f>
        <v>152149590</v>
      </c>
      <c r="Q1648" s="4">
        <f t="shared" ca="1" si="36"/>
        <v>82149590</v>
      </c>
      <c r="R1648" s="5" t="str">
        <f t="shared" si="37"/>
        <v>Runaway Bride</v>
      </c>
      <c r="S1648" s="43" t="str">
        <f t="shared" si="39"/>
        <v>Comedy</v>
      </c>
    </row>
    <row r="1649" spans="1:19" ht="15.75" customHeight="1" x14ac:dyDescent="0.25">
      <c r="A1649" s="6" t="s">
        <v>3825</v>
      </c>
      <c r="B1649" s="6">
        <v>118</v>
      </c>
      <c r="C1649" s="6">
        <v>39778599</v>
      </c>
      <c r="D1649" s="6" t="s">
        <v>3098</v>
      </c>
      <c r="E1649" s="6" t="s">
        <v>1358</v>
      </c>
      <c r="F1649" s="6" t="s">
        <v>5632</v>
      </c>
      <c r="G1649" s="6">
        <v>176169</v>
      </c>
      <c r="H1649" s="6" t="s">
        <v>5633</v>
      </c>
      <c r="I1649" s="6">
        <v>548</v>
      </c>
      <c r="J1649" s="6" t="s">
        <v>23</v>
      </c>
      <c r="K1649" s="6" t="s">
        <v>24</v>
      </c>
      <c r="L1649" s="6">
        <v>50000000</v>
      </c>
      <c r="M1649" s="6">
        <v>2000</v>
      </c>
      <c r="N1649" s="6">
        <v>6.6</v>
      </c>
      <c r="O1649" s="4">
        <f ca="1">IFERROR(__xludf.DUMMYFUNCTION("IF(Cost_in_dollars!E1649=""USD"",Cost_in_dollars!B1649,Cost_in_dollars!B1649 * GOOGLEFINANCE(""CURRENCY:"" &amp; Cost_in_dollars!E1649 &amp; ""USD""))
"),50000000)</f>
        <v>50000000</v>
      </c>
      <c r="P1649" s="4">
        <f ca="1">IFERROR(__xludf.DUMMYFUNCTION("IF(Cost_in_dollars!E1649=""USD"",Cost_in_dollars!C1649,Cost_in_dollars!C1649 * GOOGLEFINANCE(""CURRENCY:"" &amp; Cost_in_dollars!E1649 &amp; ""USD""))
"),39778599)</f>
        <v>39778599</v>
      </c>
      <c r="Q1649" s="6">
        <f t="shared" ca="1" si="36"/>
        <v>-10221401</v>
      </c>
      <c r="R1649" s="7" t="str">
        <f t="shared" si="37"/>
        <v>The Beach</v>
      </c>
      <c r="S1649" s="43" t="str">
        <f t="shared" si="39"/>
        <v>Adventure</v>
      </c>
    </row>
    <row r="1650" spans="1:19" ht="15.75" customHeight="1" x14ac:dyDescent="0.25">
      <c r="A1650" s="4" t="s">
        <v>4512</v>
      </c>
      <c r="B1650" s="4">
        <v>67</v>
      </c>
      <c r="C1650" s="4">
        <v>11860839</v>
      </c>
      <c r="D1650" s="4" t="s">
        <v>718</v>
      </c>
      <c r="E1650" s="4" t="s">
        <v>802</v>
      </c>
      <c r="F1650" s="4" t="s">
        <v>5634</v>
      </c>
      <c r="G1650" s="4">
        <v>5156</v>
      </c>
      <c r="H1650" s="4" t="s">
        <v>5635</v>
      </c>
      <c r="I1650" s="4">
        <v>21</v>
      </c>
      <c r="J1650" s="4" t="s">
        <v>23</v>
      </c>
      <c r="K1650" s="4" t="s">
        <v>24</v>
      </c>
      <c r="L1650" s="4">
        <v>9000000</v>
      </c>
      <c r="M1650" s="4">
        <v>2011</v>
      </c>
      <c r="N1650" s="4">
        <v>5.4</v>
      </c>
      <c r="O1650" s="4">
        <f ca="1">IFERROR(__xludf.DUMMYFUNCTION("IF(Cost_in_dollars!E1650=""USD"",Cost_in_dollars!B1650,Cost_in_dollars!B1650 * GOOGLEFINANCE(""CURRENCY:"" &amp; Cost_in_dollars!E1650 &amp; ""USD""))
"),9000000)</f>
        <v>9000000</v>
      </c>
      <c r="P1650" s="4">
        <f ca="1">IFERROR(__xludf.DUMMYFUNCTION("IF(Cost_in_dollars!E1650=""USD"",Cost_in_dollars!C1650,Cost_in_dollars!C1650 * GOOGLEFINANCE(""CURRENCY:"" &amp; Cost_in_dollars!E1650 &amp; ""USD""))
"),11860839)</f>
        <v>11860839</v>
      </c>
      <c r="Q1650" s="4">
        <f t="shared" ca="1" si="36"/>
        <v>2860839</v>
      </c>
      <c r="R1650" s="5" t="str">
        <f t="shared" si="37"/>
        <v>Glee: The 3D Concert Movie</v>
      </c>
      <c r="S1650" s="43" t="str">
        <f t="shared" si="39"/>
        <v>Documentary</v>
      </c>
    </row>
    <row r="1651" spans="1:19" ht="15.75" customHeight="1" x14ac:dyDescent="0.25">
      <c r="A1651" s="6" t="s">
        <v>4325</v>
      </c>
      <c r="B1651" s="6">
        <v>67</v>
      </c>
      <c r="C1651" s="6">
        <v>20627372</v>
      </c>
      <c r="D1651" s="6" t="s">
        <v>162</v>
      </c>
      <c r="E1651" s="6" t="s">
        <v>3892</v>
      </c>
      <c r="F1651" s="6" t="s">
        <v>5636</v>
      </c>
      <c r="G1651" s="6">
        <v>13661</v>
      </c>
      <c r="H1651" s="6" t="s">
        <v>5637</v>
      </c>
      <c r="I1651" s="6">
        <v>134</v>
      </c>
      <c r="J1651" s="6" t="s">
        <v>23</v>
      </c>
      <c r="K1651" s="6" t="s">
        <v>24</v>
      </c>
      <c r="L1651" s="6">
        <v>16000000</v>
      </c>
      <c r="M1651" s="6">
        <v>2000</v>
      </c>
      <c r="N1651" s="6">
        <v>5.3</v>
      </c>
      <c r="O1651" s="4">
        <f ca="1">IFERROR(__xludf.DUMMYFUNCTION("IF(Cost_in_dollars!E1651=""USD"",Cost_in_dollars!B1651,Cost_in_dollars!B1651 * GOOGLEFINANCE(""CURRENCY:"" &amp; Cost_in_dollars!E1651 &amp; ""USD""))
"),16000000)</f>
        <v>16000000</v>
      </c>
      <c r="P1651" s="4">
        <f ca="1">IFERROR(__xludf.DUMMYFUNCTION("IF(Cost_in_dollars!E1651=""USD"",Cost_in_dollars!C1651,Cost_in_dollars!C1651 * GOOGLEFINANCE(""CURRENCY:"" &amp; Cost_in_dollars!E1651 &amp; ""USD""))
"),20627372)</f>
        <v>20627372</v>
      </c>
      <c r="Q1651" s="6">
        <f t="shared" ca="1" si="36"/>
        <v>4627372</v>
      </c>
      <c r="R1651" s="7" t="str">
        <f t="shared" si="37"/>
        <v>Boys and Girls</v>
      </c>
      <c r="S1651" s="43" t="str">
        <f t="shared" si="39"/>
        <v>Comedy</v>
      </c>
    </row>
    <row r="1652" spans="1:19" ht="15.75" customHeight="1" x14ac:dyDescent="0.25">
      <c r="A1652" s="4" t="s">
        <v>5638</v>
      </c>
      <c r="B1652" s="4">
        <v>21</v>
      </c>
      <c r="C1652" s="4">
        <v>2104000</v>
      </c>
      <c r="D1652" s="4" t="s">
        <v>172</v>
      </c>
      <c r="E1652" s="4" t="s">
        <v>1889</v>
      </c>
      <c r="F1652" s="4" t="s">
        <v>5639</v>
      </c>
      <c r="G1652" s="4">
        <v>1595</v>
      </c>
      <c r="H1652" s="4" t="s">
        <v>5640</v>
      </c>
      <c r="I1652" s="4">
        <v>19</v>
      </c>
      <c r="J1652" s="4" t="s">
        <v>23</v>
      </c>
      <c r="K1652" s="4" t="s">
        <v>24</v>
      </c>
      <c r="L1652" s="4">
        <v>13000000</v>
      </c>
      <c r="M1652" s="4">
        <v>1996</v>
      </c>
      <c r="N1652" s="4">
        <v>5.9</v>
      </c>
      <c r="O1652" s="4">
        <f ca="1">IFERROR(__xludf.DUMMYFUNCTION("IF(Cost_in_dollars!E1652=""USD"",Cost_in_dollars!B1652,Cost_in_dollars!B1652 * GOOGLEFINANCE(""CURRENCY:"" &amp; Cost_in_dollars!E1652 &amp; ""USD""))
"),13000000)</f>
        <v>13000000</v>
      </c>
      <c r="P1652" s="4">
        <f ca="1">IFERROR(__xludf.DUMMYFUNCTION("IF(Cost_in_dollars!E1652=""USD"",Cost_in_dollars!C1652,Cost_in_dollars!C1652 * GOOGLEFINANCE(""CURRENCY:"" &amp; Cost_in_dollars!E1652 &amp; ""USD""))
"),2104000)</f>
        <v>2104000</v>
      </c>
      <c r="Q1652" s="4">
        <f t="shared" ca="1" si="36"/>
        <v>-10896000</v>
      </c>
      <c r="R1652" s="5" t="str">
        <f t="shared" si="37"/>
        <v>Faithful</v>
      </c>
      <c r="S1652" s="43" t="str">
        <f t="shared" si="39"/>
        <v>Comedy</v>
      </c>
    </row>
    <row r="1653" spans="1:19" ht="15.75" customHeight="1" x14ac:dyDescent="0.25">
      <c r="A1653" s="6" t="s">
        <v>3256</v>
      </c>
      <c r="B1653" s="6">
        <v>184</v>
      </c>
      <c r="C1653" s="6">
        <v>16067035</v>
      </c>
      <c r="D1653" s="6" t="s">
        <v>477</v>
      </c>
      <c r="E1653" s="6" t="s">
        <v>5641</v>
      </c>
      <c r="F1653" s="6" t="s">
        <v>5642</v>
      </c>
      <c r="G1653" s="6">
        <v>116642</v>
      </c>
      <c r="H1653" s="6" t="s">
        <v>5643</v>
      </c>
      <c r="I1653" s="6">
        <v>389</v>
      </c>
      <c r="J1653" s="6" t="s">
        <v>23</v>
      </c>
      <c r="K1653" s="6" t="s">
        <v>133</v>
      </c>
      <c r="L1653" s="6">
        <v>1100000</v>
      </c>
      <c r="M1653" s="6">
        <v>1962</v>
      </c>
      <c r="N1653" s="6">
        <v>7.3</v>
      </c>
      <c r="O1653" s="4">
        <f ca="1">IFERROR(__xludf.DUMMYFUNCTION("IF(Cost_in_dollars!E1653=""USD"",Cost_in_dollars!B1653,Cost_in_dollars!B1653 * GOOGLEFINANCE(""CURRENCY:"" &amp; Cost_in_dollars!E1653 &amp; ""USD""))
"),1413939.99999999)</f>
        <v>1413939.99999999</v>
      </c>
      <c r="P1653" s="4">
        <f ca="1">IFERROR(__xludf.DUMMYFUNCTION("IF(Cost_in_dollars!E1653=""USD"",Cost_in_dollars!C1653,Cost_in_dollars!C1653 * GOOGLEFINANCE(""CURRENCY:"" &amp; Cost_in_dollars!E1653 &amp; ""USD""))
"),20652566.7889999)</f>
        <v>20652566.7889999</v>
      </c>
      <c r="Q1653" s="6">
        <f t="shared" ca="1" si="36"/>
        <v>19238626.788999911</v>
      </c>
      <c r="R1653" s="7" t="str">
        <f t="shared" si="37"/>
        <v>Dr. No</v>
      </c>
      <c r="S1653" s="43" t="str">
        <f t="shared" si="39"/>
        <v>Action</v>
      </c>
    </row>
    <row r="1654" spans="1:19" ht="15.75" customHeight="1" x14ac:dyDescent="0.25">
      <c r="A1654" s="4" t="s">
        <v>5644</v>
      </c>
      <c r="B1654" s="4">
        <v>267</v>
      </c>
      <c r="C1654" s="4">
        <v>33037754</v>
      </c>
      <c r="D1654" s="4" t="s">
        <v>2396</v>
      </c>
      <c r="E1654" s="4" t="s">
        <v>240</v>
      </c>
      <c r="F1654" s="4" t="s">
        <v>5645</v>
      </c>
      <c r="G1654" s="4">
        <v>75864</v>
      </c>
      <c r="H1654" s="4" t="s">
        <v>5646</v>
      </c>
      <c r="I1654" s="4">
        <v>197</v>
      </c>
      <c r="J1654" s="4" t="s">
        <v>23</v>
      </c>
      <c r="K1654" s="4" t="s">
        <v>24</v>
      </c>
      <c r="L1654" s="4">
        <v>37000000</v>
      </c>
      <c r="M1654" s="4">
        <v>2011</v>
      </c>
      <c r="N1654" s="4">
        <v>6</v>
      </c>
      <c r="O1654" s="4">
        <f ca="1">IFERROR(__xludf.DUMMYFUNCTION("IF(Cost_in_dollars!E1654=""USD"",Cost_in_dollars!B1654,Cost_in_dollars!B1654 * GOOGLEFINANCE(""CURRENCY:"" &amp; Cost_in_dollars!E1654 &amp; ""USD""))
"),37000000)</f>
        <v>37000000</v>
      </c>
      <c r="P1654" s="4">
        <f ca="1">IFERROR(__xludf.DUMMYFUNCTION("IF(Cost_in_dollars!E1654=""USD"",Cost_in_dollars!C1654,Cost_in_dollars!C1654 * GOOGLEFINANCE(""CURRENCY:"" &amp; Cost_in_dollars!E1654 &amp; ""USD""))
"),33037754)</f>
        <v>33037754</v>
      </c>
      <c r="Q1654" s="4">
        <f t="shared" ca="1" si="36"/>
        <v>-3962246</v>
      </c>
      <c r="R1654" s="5" t="str">
        <f t="shared" si="37"/>
        <v>The Rite</v>
      </c>
      <c r="S1654" s="43" t="str">
        <f t="shared" si="39"/>
        <v>Drama</v>
      </c>
    </row>
    <row r="1655" spans="1:19" ht="15.75" customHeight="1" x14ac:dyDescent="0.25">
      <c r="A1655" s="6" t="s">
        <v>5647</v>
      </c>
      <c r="B1655" s="6">
        <v>7</v>
      </c>
      <c r="C1655" s="6">
        <v>1098224</v>
      </c>
      <c r="D1655" s="6" t="s">
        <v>5648</v>
      </c>
      <c r="E1655" s="6" t="s">
        <v>5649</v>
      </c>
      <c r="F1655" s="6" t="s">
        <v>5650</v>
      </c>
      <c r="G1655" s="6">
        <v>397</v>
      </c>
      <c r="H1655" s="6" t="s">
        <v>5651</v>
      </c>
      <c r="I1655" s="6">
        <v>30</v>
      </c>
      <c r="J1655" s="6" t="s">
        <v>23</v>
      </c>
      <c r="K1655" s="6" t="s">
        <v>24</v>
      </c>
      <c r="L1655" s="6">
        <v>2000000</v>
      </c>
      <c r="M1655" s="6">
        <v>2003</v>
      </c>
      <c r="N1655" s="6">
        <v>3.3</v>
      </c>
      <c r="O1655" s="4">
        <f ca="1">IFERROR(__xludf.DUMMYFUNCTION("IF(Cost_in_dollars!E1655=""USD"",Cost_in_dollars!B1655,Cost_in_dollars!B1655 * GOOGLEFINANCE(""CURRENCY:"" &amp; Cost_in_dollars!E1655 &amp; ""USD""))
"),2000000)</f>
        <v>2000000</v>
      </c>
      <c r="P1655" s="4">
        <f ca="1">IFERROR(__xludf.DUMMYFUNCTION("IF(Cost_in_dollars!E1655=""USD"",Cost_in_dollars!C1655,Cost_in_dollars!C1655 * GOOGLEFINANCE(""CURRENCY:"" &amp; Cost_in_dollars!E1655 &amp; ""USD""))
"),1098224)</f>
        <v>1098224</v>
      </c>
      <c r="Q1655" s="6">
        <f t="shared" ca="1" si="36"/>
        <v>-901776</v>
      </c>
      <c r="R1655" s="7" t="str">
        <f t="shared" si="37"/>
        <v>The Book of Mormon Movie, Volume 1: The Journey</v>
      </c>
      <c r="S1655" s="43" t="str">
        <f t="shared" si="39"/>
        <v>Adventure</v>
      </c>
    </row>
    <row r="1656" spans="1:19" ht="15.75" customHeight="1" x14ac:dyDescent="0.25">
      <c r="A1656" s="4" t="s">
        <v>5652</v>
      </c>
      <c r="B1656" s="4">
        <v>173</v>
      </c>
      <c r="C1656" s="4">
        <v>19067631</v>
      </c>
      <c r="D1656" s="4" t="s">
        <v>162</v>
      </c>
      <c r="E1656" s="4" t="s">
        <v>5653</v>
      </c>
      <c r="F1656" s="4" t="s">
        <v>5654</v>
      </c>
      <c r="G1656" s="4">
        <v>37714</v>
      </c>
      <c r="H1656" s="4" t="s">
        <v>5655</v>
      </c>
      <c r="I1656" s="4">
        <v>204</v>
      </c>
      <c r="J1656" s="4" t="s">
        <v>23</v>
      </c>
      <c r="K1656" s="4" t="s">
        <v>24</v>
      </c>
      <c r="L1656" s="4">
        <v>2000000</v>
      </c>
      <c r="M1656" s="4">
        <v>2007</v>
      </c>
      <c r="N1656" s="4">
        <v>7.1</v>
      </c>
      <c r="O1656" s="4">
        <f ca="1">IFERROR(__xludf.DUMMYFUNCTION("IF(Cost_in_dollars!E1656=""USD"",Cost_in_dollars!B1656,Cost_in_dollars!B1656 * GOOGLEFINANCE(""CURRENCY:"" &amp; Cost_in_dollars!E1656 &amp; ""USD""))
"),2000000)</f>
        <v>2000000</v>
      </c>
      <c r="P1656" s="4">
        <f ca="1">IFERROR(__xludf.DUMMYFUNCTION("IF(Cost_in_dollars!E1656=""USD"",Cost_in_dollars!C1656,Cost_in_dollars!C1656 * GOOGLEFINANCE(""CURRENCY:"" &amp; Cost_in_dollars!E1656 &amp; ""USD""))
"),19067631)</f>
        <v>19067631</v>
      </c>
      <c r="Q1656" s="4">
        <f t="shared" ca="1" si="36"/>
        <v>17067631</v>
      </c>
      <c r="R1656" s="5" t="str">
        <f t="shared" si="37"/>
        <v>Waitress</v>
      </c>
      <c r="S1656" s="43" t="str">
        <f t="shared" si="39"/>
        <v>Comedy</v>
      </c>
    </row>
    <row r="1657" spans="1:19" ht="15.75" customHeight="1" x14ac:dyDescent="0.25">
      <c r="A1657" s="6" t="s">
        <v>5656</v>
      </c>
      <c r="B1657" s="6">
        <v>29</v>
      </c>
      <c r="C1657" s="6">
        <v>8691</v>
      </c>
      <c r="D1657" s="6" t="s">
        <v>639</v>
      </c>
      <c r="E1657" s="6" t="s">
        <v>2120</v>
      </c>
      <c r="F1657" s="6" t="s">
        <v>5657</v>
      </c>
      <c r="G1657" s="6">
        <v>4952</v>
      </c>
      <c r="H1657" s="6" t="s">
        <v>109</v>
      </c>
      <c r="I1657" s="6">
        <v>32</v>
      </c>
      <c r="J1657" s="6" t="s">
        <v>23</v>
      </c>
      <c r="K1657" s="6" t="s">
        <v>24</v>
      </c>
      <c r="L1657" s="6">
        <v>4500000</v>
      </c>
      <c r="M1657" s="6">
        <v>2014</v>
      </c>
      <c r="N1657" s="6">
        <v>5.8</v>
      </c>
      <c r="O1657" s="4">
        <f ca="1">IFERROR(__xludf.DUMMYFUNCTION("IF(Cost_in_dollars!E1657=""USD"",Cost_in_dollars!B1657,Cost_in_dollars!B1657 * GOOGLEFINANCE(""CURRENCY:"" &amp; Cost_in_dollars!E1657 &amp; ""USD""))
"),4500000)</f>
        <v>4500000</v>
      </c>
      <c r="P1657" s="4">
        <f ca="1">IFERROR(__xludf.DUMMYFUNCTION("IF(Cost_in_dollars!E1657=""USD"",Cost_in_dollars!C1657,Cost_in_dollars!C1657 * GOOGLEFINANCE(""CURRENCY:"" &amp; Cost_in_dollars!E1657 &amp; ""USD""))
"),8691)</f>
        <v>8691</v>
      </c>
      <c r="Q1657" s="6">
        <f t="shared" ca="1" si="36"/>
        <v>-4491309</v>
      </c>
      <c r="R1657" s="7" t="str">
        <f t="shared" si="37"/>
        <v>Falcon Rising</v>
      </c>
      <c r="S1657" s="43" t="str">
        <f t="shared" si="39"/>
        <v>Action</v>
      </c>
    </row>
    <row r="1658" spans="1:19" ht="15.75" customHeight="1" x14ac:dyDescent="0.25">
      <c r="A1658" s="4" t="s">
        <v>5658</v>
      </c>
      <c r="B1658" s="4">
        <v>91</v>
      </c>
      <c r="C1658" s="4">
        <v>33687630</v>
      </c>
      <c r="D1658" s="4" t="s">
        <v>88</v>
      </c>
      <c r="E1658" s="4" t="s">
        <v>179</v>
      </c>
      <c r="F1658" s="4" t="s">
        <v>5659</v>
      </c>
      <c r="G1658" s="4">
        <v>116762</v>
      </c>
      <c r="H1658" s="4" t="s">
        <v>5660</v>
      </c>
      <c r="I1658" s="4">
        <v>261</v>
      </c>
      <c r="J1658" s="4" t="s">
        <v>23</v>
      </c>
      <c r="K1658" s="4" t="s">
        <v>24</v>
      </c>
      <c r="L1658" s="4">
        <v>20000000</v>
      </c>
      <c r="M1658" s="4">
        <v>2006</v>
      </c>
      <c r="N1658" s="4">
        <v>6.4</v>
      </c>
      <c r="O1658" s="4">
        <f ca="1">IFERROR(__xludf.DUMMYFUNCTION("IF(Cost_in_dollars!E1658=""USD"",Cost_in_dollars!B1658,Cost_in_dollars!B1658 * GOOGLEFINANCE(""CURRENCY:"" &amp; Cost_in_dollars!E1658 &amp; ""USD""))
"),20000000)</f>
        <v>20000000</v>
      </c>
      <c r="P1658" s="4">
        <f ca="1">IFERROR(__xludf.DUMMYFUNCTION("IF(Cost_in_dollars!E1658=""USD"",Cost_in_dollars!C1658,Cost_in_dollars!C1658 * GOOGLEFINANCE(""CURRENCY:"" &amp; Cost_in_dollars!E1658 &amp; ""USD""))
"),33687630)</f>
        <v>33687630</v>
      </c>
      <c r="Q1658" s="4">
        <f t="shared" ca="1" si="36"/>
        <v>13687630</v>
      </c>
      <c r="R1658" s="5" t="str">
        <f t="shared" si="37"/>
        <v>She's the Man</v>
      </c>
      <c r="S1658" s="43" t="str">
        <f t="shared" si="39"/>
        <v>Comedy</v>
      </c>
    </row>
    <row r="1659" spans="1:19" ht="15.75" customHeight="1" x14ac:dyDescent="0.25">
      <c r="A1659" s="6" t="s">
        <v>5661</v>
      </c>
      <c r="B1659" s="6">
        <v>151</v>
      </c>
      <c r="C1659" s="6">
        <v>32553210</v>
      </c>
      <c r="D1659" s="6" t="s">
        <v>860</v>
      </c>
      <c r="E1659" s="6" t="s">
        <v>5662</v>
      </c>
      <c r="F1659" s="6" t="s">
        <v>5663</v>
      </c>
      <c r="G1659" s="6">
        <v>88714</v>
      </c>
      <c r="H1659" s="6" t="s">
        <v>5664</v>
      </c>
      <c r="I1659" s="6">
        <v>235</v>
      </c>
      <c r="J1659" s="6" t="s">
        <v>23</v>
      </c>
      <c r="K1659" s="6" t="s">
        <v>133</v>
      </c>
      <c r="L1659" s="6">
        <v>25000000</v>
      </c>
      <c r="M1659" s="6">
        <v>2007</v>
      </c>
      <c r="N1659" s="6">
        <v>6.3</v>
      </c>
      <c r="O1659" s="4">
        <f ca="1">IFERROR(__xludf.DUMMYFUNCTION("IF(Cost_in_dollars!E1659=""USD"",Cost_in_dollars!B1659,Cost_in_dollars!B1659 * GOOGLEFINANCE(""CURRENCY:"" &amp; Cost_in_dollars!E1659 &amp; ""USD""))
"),32134999.9999999)</f>
        <v>32134999.999999899</v>
      </c>
      <c r="P1659" s="4">
        <f ca="1">IFERROR(__xludf.DUMMYFUNCTION("IF(Cost_in_dollars!E1659=""USD"",Cost_in_dollars!C1659,Cost_in_dollars!C1659 * GOOGLEFINANCE(""CURRENCY:"" &amp; Cost_in_dollars!E1659 &amp; ""USD""))
"),41843896.1339999)</f>
        <v>41843896.133999899</v>
      </c>
      <c r="Q1659" s="6">
        <f t="shared" ca="1" si="36"/>
        <v>9708896.1339999996</v>
      </c>
      <c r="R1659" s="7" t="str">
        <f t="shared" si="37"/>
        <v>Mr. Bean's Holiday</v>
      </c>
      <c r="S1659" s="43" t="str">
        <f t="shared" si="39"/>
        <v>Comedy</v>
      </c>
    </row>
    <row r="1660" spans="1:19" ht="15.75" customHeight="1" x14ac:dyDescent="0.25">
      <c r="A1660" s="4" t="s">
        <v>4908</v>
      </c>
      <c r="B1660" s="4">
        <v>212</v>
      </c>
      <c r="C1660" s="4">
        <v>4710455</v>
      </c>
      <c r="D1660" s="4" t="s">
        <v>868</v>
      </c>
      <c r="E1660" s="4" t="s">
        <v>1595</v>
      </c>
      <c r="F1660" s="4" t="s">
        <v>5665</v>
      </c>
      <c r="G1660" s="4">
        <v>214091</v>
      </c>
      <c r="H1660" s="4" t="s">
        <v>5666</v>
      </c>
      <c r="I1660" s="4">
        <v>330</v>
      </c>
      <c r="J1660" s="4" t="s">
        <v>1550</v>
      </c>
      <c r="K1660" s="4" t="s">
        <v>1551</v>
      </c>
      <c r="L1660" s="4">
        <v>24000000</v>
      </c>
      <c r="M1660" s="4">
        <v>2004</v>
      </c>
      <c r="N1660" s="4">
        <v>8.1999999999999993</v>
      </c>
      <c r="O1660" s="4">
        <f ca="1">IFERROR(__xludf.DUMMYFUNCTION("IF(Cost_in_dollars!E1660=""USD"",Cost_in_dollars!B1660,Cost_in_dollars!B1660 * GOOGLEFINANCE(""CURRENCY:"" &amp; Cost_in_dollars!E1660 &amp; ""USD""))
"),155918.4)</f>
        <v>155918.39999999999</v>
      </c>
      <c r="P1660" s="4">
        <f ca="1">IFERROR(__xludf.DUMMYFUNCTION("IF(Cost_in_dollars!E1660=""USD"",Cost_in_dollars!C1660,Cost_in_dollars!C1660 * GOOGLEFINANCE(""CURRENCY:"" &amp; Cost_in_dollars!E1660 &amp; ""USD""))
"),30601.941953)</f>
        <v>30601.941953000001</v>
      </c>
      <c r="Q1660" s="4">
        <f t="shared" ca="1" si="36"/>
        <v>-125316.45804699999</v>
      </c>
      <c r="R1660" s="5" t="str">
        <f t="shared" si="37"/>
        <v>Howl's Moving Castle</v>
      </c>
      <c r="S1660" s="43" t="str">
        <f t="shared" si="39"/>
        <v>Adventure</v>
      </c>
    </row>
    <row r="1661" spans="1:19" ht="15.75" customHeight="1" x14ac:dyDescent="0.25">
      <c r="A1661" s="6" t="s">
        <v>3480</v>
      </c>
      <c r="B1661" s="6">
        <v>72</v>
      </c>
      <c r="C1661" s="6">
        <v>14946229</v>
      </c>
      <c r="D1661" s="6" t="s">
        <v>5517</v>
      </c>
      <c r="E1661" s="6" t="s">
        <v>4349</v>
      </c>
      <c r="F1661" s="6" t="s">
        <v>5667</v>
      </c>
      <c r="G1661" s="6">
        <v>2581</v>
      </c>
      <c r="H1661" s="6" t="s">
        <v>109</v>
      </c>
      <c r="I1661" s="6">
        <v>29</v>
      </c>
      <c r="J1661" s="6" t="s">
        <v>23</v>
      </c>
      <c r="K1661" s="6" t="s">
        <v>133</v>
      </c>
      <c r="L1661" s="6">
        <v>25000000</v>
      </c>
      <c r="M1661" s="6">
        <v>2016</v>
      </c>
      <c r="N1661" s="6">
        <v>7.3</v>
      </c>
      <c r="O1661" s="4">
        <f ca="1">IFERROR(__xludf.DUMMYFUNCTION("IF(Cost_in_dollars!E1661=""USD"",Cost_in_dollars!B1661,Cost_in_dollars!B1661 * GOOGLEFINANCE(""CURRENCY:"" &amp; Cost_in_dollars!E1661 &amp; ""USD""))
"),32134999.9999999)</f>
        <v>32134999.999999899</v>
      </c>
      <c r="P1661" s="4">
        <f ca="1">IFERROR(__xludf.DUMMYFUNCTION("IF(Cost_in_dollars!E1661=""USD"",Cost_in_dollars!C1661,Cost_in_dollars!C1661 * GOOGLEFINANCE(""CURRENCY:"" &amp; Cost_in_dollars!E1661 &amp; ""USD""))
"),19211882.7566)</f>
        <v>19211882.7566</v>
      </c>
      <c r="Q1661" s="6">
        <f t="shared" ca="1" si="36"/>
        <v>-12923117.243399899</v>
      </c>
      <c r="R1661" s="7" t="str">
        <f t="shared" si="37"/>
        <v>The Infiltrator</v>
      </c>
      <c r="S1661" s="43" t="str">
        <f t="shared" si="39"/>
        <v>Biography</v>
      </c>
    </row>
    <row r="1662" spans="1:19" ht="15.75" customHeight="1" x14ac:dyDescent="0.25">
      <c r="A1662" s="4" t="s">
        <v>5668</v>
      </c>
      <c r="B1662" s="4">
        <v>94</v>
      </c>
      <c r="C1662" s="4">
        <v>15681020</v>
      </c>
      <c r="D1662" s="4" t="s">
        <v>3467</v>
      </c>
      <c r="E1662" s="4" t="s">
        <v>1860</v>
      </c>
      <c r="F1662" s="4" t="s">
        <v>5669</v>
      </c>
      <c r="G1662" s="4">
        <v>33570</v>
      </c>
      <c r="H1662" s="4" t="s">
        <v>5670</v>
      </c>
      <c r="I1662" s="4">
        <v>259</v>
      </c>
      <c r="J1662" s="4" t="s">
        <v>23</v>
      </c>
      <c r="K1662" s="4" t="s">
        <v>133</v>
      </c>
      <c r="L1662" s="4">
        <v>17000000</v>
      </c>
      <c r="M1662" s="4">
        <v>1987</v>
      </c>
      <c r="N1662" s="4">
        <v>3.6</v>
      </c>
      <c r="O1662" s="4">
        <f ca="1">IFERROR(__xludf.DUMMYFUNCTION("IF(Cost_in_dollars!E1662=""USD"",Cost_in_dollars!B1662,Cost_in_dollars!B1662 * GOOGLEFINANCE(""CURRENCY:"" &amp; Cost_in_dollars!E1662 &amp; ""USD""))
"),21851799.9999999)</f>
        <v>21851799.999999899</v>
      </c>
      <c r="P1662" s="4">
        <f ca="1">IFERROR(__xludf.DUMMYFUNCTION("IF(Cost_in_dollars!E1662=""USD"",Cost_in_dollars!C1662,Cost_in_dollars!C1662 * GOOGLEFINANCE(""CURRENCY:"" &amp; Cost_in_dollars!E1662 &amp; ""USD""))
"),20156383.108)</f>
        <v>20156383.107999999</v>
      </c>
      <c r="Q1662" s="4">
        <f t="shared" ca="1" si="36"/>
        <v>-1695416.8919999003</v>
      </c>
      <c r="R1662" s="5" t="str">
        <f t="shared" si="37"/>
        <v>Superman IV: The Quest for Peace</v>
      </c>
      <c r="S1662" s="43" t="str">
        <f t="shared" si="39"/>
        <v>Action</v>
      </c>
    </row>
    <row r="1663" spans="1:19" ht="15.75" customHeight="1" x14ac:dyDescent="0.25">
      <c r="A1663" s="6" t="s">
        <v>5671</v>
      </c>
      <c r="B1663" s="6">
        <v>44</v>
      </c>
      <c r="C1663" s="6">
        <v>6498000</v>
      </c>
      <c r="D1663" s="6" t="s">
        <v>5672</v>
      </c>
      <c r="E1663" s="6" t="s">
        <v>5673</v>
      </c>
      <c r="F1663" s="6" t="s">
        <v>5674</v>
      </c>
      <c r="G1663" s="6">
        <v>62756</v>
      </c>
      <c r="H1663" s="6" t="s">
        <v>5675</v>
      </c>
      <c r="I1663" s="6">
        <v>410</v>
      </c>
      <c r="J1663" s="6" t="s">
        <v>5676</v>
      </c>
      <c r="K1663" s="6" t="s">
        <v>674</v>
      </c>
      <c r="L1663" s="6">
        <v>18026148</v>
      </c>
      <c r="M1663" s="6">
        <v>2015</v>
      </c>
      <c r="N1663" s="6">
        <v>8.4</v>
      </c>
      <c r="O1663" s="4">
        <f ca="1">IFERROR(__xludf.DUMMYFUNCTION("IF(Cost_in_dollars!E1663=""USD"",Cost_in_dollars!B1663,Cost_in_dollars!B1663 * GOOGLEFINANCE(""CURRENCY:"" &amp; Cost_in_dollars!E1663 &amp; ""USD""))
"),215258.52529608)</f>
        <v>215258.52529608001</v>
      </c>
      <c r="P1663" s="4">
        <f ca="1">IFERROR(__xludf.DUMMYFUNCTION("IF(Cost_in_dollars!E1663=""USD"",Cost_in_dollars!C1663,Cost_in_dollars!C1663 * GOOGLEFINANCE(""CURRENCY:"" &amp; Cost_in_dollars!E1663 &amp; ""USD""))
"),77595.60708)</f>
        <v>77595.607080000002</v>
      </c>
      <c r="Q1663" s="6">
        <f t="shared" ca="1" si="36"/>
        <v>-137662.91821608</v>
      </c>
      <c r="R1663" s="7" t="str">
        <f t="shared" si="37"/>
        <v>Baahubali: The Beginning</v>
      </c>
      <c r="S1663" s="43" t="str">
        <f t="shared" si="39"/>
        <v>Action</v>
      </c>
    </row>
    <row r="1664" spans="1:19" ht="15.75" customHeight="1" x14ac:dyDescent="0.25">
      <c r="A1664" s="4" t="s">
        <v>1670</v>
      </c>
      <c r="B1664" s="4">
        <v>44</v>
      </c>
      <c r="C1664" s="4">
        <v>41382841</v>
      </c>
      <c r="D1664" s="4" t="s">
        <v>58</v>
      </c>
      <c r="E1664" s="4" t="s">
        <v>461</v>
      </c>
      <c r="F1664" s="4" t="s">
        <v>5677</v>
      </c>
      <c r="G1664" s="4">
        <v>27149</v>
      </c>
      <c r="H1664" s="4" t="s">
        <v>5678</v>
      </c>
      <c r="I1664" s="4">
        <v>96</v>
      </c>
      <c r="J1664" s="4" t="s">
        <v>23</v>
      </c>
      <c r="K1664" s="4" t="s">
        <v>24</v>
      </c>
      <c r="L1664" s="4">
        <v>18000000</v>
      </c>
      <c r="M1664" s="4">
        <v>1986</v>
      </c>
      <c r="N1664" s="4">
        <v>6.3</v>
      </c>
      <c r="O1664" s="4">
        <f ca="1">IFERROR(__xludf.DUMMYFUNCTION("IF(Cost_in_dollars!E1664=""USD"",Cost_in_dollars!B1664,Cost_in_dollars!B1664 * GOOGLEFINANCE(""CURRENCY:"" &amp; Cost_in_dollars!E1664 &amp; ""USD""))
"),18000000)</f>
        <v>18000000</v>
      </c>
      <c r="P1664" s="4">
        <f ca="1">IFERROR(__xludf.DUMMYFUNCTION("IF(Cost_in_dollars!E1664=""USD"",Cost_in_dollars!C1664,Cost_in_dollars!C1664 * GOOGLEFINANCE(""CURRENCY:"" &amp; Cost_in_dollars!E1664 &amp; ""USD""))
"),41382841)</f>
        <v>41382841</v>
      </c>
      <c r="Q1664" s="4">
        <f t="shared" ca="1" si="36"/>
        <v>23382841</v>
      </c>
      <c r="R1664" s="5" t="str">
        <f t="shared" si="37"/>
        <v>Peggy Sue Got Married</v>
      </c>
      <c r="S1664" s="43" t="str">
        <f t="shared" si="39"/>
        <v>Comedy</v>
      </c>
    </row>
    <row r="1665" spans="1:19" ht="15.75" customHeight="1" x14ac:dyDescent="0.25">
      <c r="A1665" s="6" t="s">
        <v>5679</v>
      </c>
      <c r="B1665" s="6">
        <v>109</v>
      </c>
      <c r="C1665" s="6">
        <v>100446895</v>
      </c>
      <c r="D1665" s="6" t="s">
        <v>1888</v>
      </c>
      <c r="E1665" s="6" t="s">
        <v>5680</v>
      </c>
      <c r="F1665" s="6" t="s">
        <v>5681</v>
      </c>
      <c r="G1665" s="6">
        <v>36033</v>
      </c>
      <c r="H1665" s="6" t="s">
        <v>5682</v>
      </c>
      <c r="I1665" s="6">
        <v>456</v>
      </c>
      <c r="J1665" s="6" t="s">
        <v>23</v>
      </c>
      <c r="K1665" s="6" t="s">
        <v>24</v>
      </c>
      <c r="L1665" s="6">
        <v>109000000</v>
      </c>
      <c r="M1665" s="6">
        <v>2003</v>
      </c>
      <c r="N1665" s="6">
        <v>3.8</v>
      </c>
      <c r="O1665" s="4">
        <f ca="1">IFERROR(__xludf.DUMMYFUNCTION("IF(Cost_in_dollars!E1665=""USD"",Cost_in_dollars!B1665,Cost_in_dollars!B1665 * GOOGLEFINANCE(""CURRENCY:"" &amp; Cost_in_dollars!E1665 &amp; ""USD""))
"),109000000)</f>
        <v>109000000</v>
      </c>
      <c r="P1665" s="4">
        <f ca="1">IFERROR(__xludf.DUMMYFUNCTION("IF(Cost_in_dollars!E1665=""USD"",Cost_in_dollars!C1665,Cost_in_dollars!C1665 * GOOGLEFINANCE(""CURRENCY:"" &amp; Cost_in_dollars!E1665 &amp; ""USD""))
"),100446895)</f>
        <v>100446895</v>
      </c>
      <c r="Q1665" s="6">
        <f t="shared" ca="1" si="36"/>
        <v>-8553105</v>
      </c>
      <c r="R1665" s="7" t="str">
        <f t="shared" si="37"/>
        <v>The Cat in the Hat</v>
      </c>
      <c r="S1665" s="43" t="str">
        <f t="shared" si="39"/>
        <v>Adventure</v>
      </c>
    </row>
    <row r="1666" spans="1:19" ht="15.75" customHeight="1" x14ac:dyDescent="0.25">
      <c r="A1666" s="4" t="s">
        <v>5683</v>
      </c>
      <c r="B1666" s="4">
        <v>28</v>
      </c>
      <c r="C1666" s="4">
        <v>1954202</v>
      </c>
      <c r="D1666" s="4" t="s">
        <v>172</v>
      </c>
      <c r="E1666" s="4" t="s">
        <v>5684</v>
      </c>
      <c r="F1666" s="4" t="s">
        <v>5685</v>
      </c>
      <c r="G1666" s="4">
        <v>5917</v>
      </c>
      <c r="H1666" s="4" t="s">
        <v>5686</v>
      </c>
      <c r="I1666" s="4">
        <v>71</v>
      </c>
      <c r="J1666" s="4" t="s">
        <v>23</v>
      </c>
      <c r="K1666" s="4" t="s">
        <v>24</v>
      </c>
      <c r="L1666" s="4">
        <v>15000000</v>
      </c>
      <c r="M1666" s="4">
        <v>1999</v>
      </c>
      <c r="N1666" s="4">
        <v>6.3</v>
      </c>
      <c r="O1666" s="4">
        <f ca="1">IFERROR(__xludf.DUMMYFUNCTION("IF(Cost_in_dollars!E1666=""USD"",Cost_in_dollars!B1666,Cost_in_dollars!B1666 * GOOGLEFINANCE(""CURRENCY:"" &amp; Cost_in_dollars!E1666 &amp; ""USD""))
"),15000000)</f>
        <v>15000000</v>
      </c>
      <c r="P1666" s="4">
        <f ca="1">IFERROR(__xludf.DUMMYFUNCTION("IF(Cost_in_dollars!E1666=""USD"",Cost_in_dollars!C1666,Cost_in_dollars!C1666 * GOOGLEFINANCE(""CURRENCY:"" &amp; Cost_in_dollars!E1666 &amp; ""USD""))
"),1954202)</f>
        <v>1954202</v>
      </c>
      <c r="Q1666" s="4">
        <f t="shared" ca="1" si="36"/>
        <v>-13045798</v>
      </c>
      <c r="R1666" s="5" t="str">
        <f t="shared" si="37"/>
        <v>Crazy in Alabama</v>
      </c>
      <c r="S1666" s="43" t="str">
        <f t="shared" ref="S1666:S1729" si="40">IF(ISNUMBER(FIND("|", D1666)), LEFT(D1666, FIND("|", D1666) - 1), D1666)</f>
        <v>Comedy</v>
      </c>
    </row>
    <row r="1667" spans="1:19" ht="15.75" customHeight="1" x14ac:dyDescent="0.25">
      <c r="A1667" s="6" t="s">
        <v>3204</v>
      </c>
      <c r="B1667" s="6">
        <v>217</v>
      </c>
      <c r="C1667" s="6">
        <v>13362308</v>
      </c>
      <c r="D1667" s="6" t="s">
        <v>102</v>
      </c>
      <c r="E1667" s="6" t="s">
        <v>881</v>
      </c>
      <c r="F1667" s="6" t="s">
        <v>5687</v>
      </c>
      <c r="G1667" s="6">
        <v>31898</v>
      </c>
      <c r="H1667" s="6" t="s">
        <v>5688</v>
      </c>
      <c r="I1667" s="6">
        <v>111</v>
      </c>
      <c r="J1667" s="6" t="s">
        <v>23</v>
      </c>
      <c r="K1667" s="6" t="s">
        <v>24</v>
      </c>
      <c r="L1667" s="6">
        <v>18000000</v>
      </c>
      <c r="M1667" s="6">
        <v>2013</v>
      </c>
      <c r="N1667" s="6">
        <v>6.9</v>
      </c>
      <c r="O1667" s="4">
        <f ca="1">IFERROR(__xludf.DUMMYFUNCTION("IF(Cost_in_dollars!E1667=""USD"",Cost_in_dollars!B1667,Cost_in_dollars!B1667 * GOOGLEFINANCE(""CURRENCY:"" &amp; Cost_in_dollars!E1667 &amp; ""USD""))
"),18000000)</f>
        <v>18000000</v>
      </c>
      <c r="P1667" s="4">
        <f ca="1">IFERROR(__xludf.DUMMYFUNCTION("IF(Cost_in_dollars!E1667=""USD"",Cost_in_dollars!C1667,Cost_in_dollars!C1667 * GOOGLEFINANCE(""CURRENCY:"" &amp; Cost_in_dollars!E1667 &amp; ""USD""))
"),13362308)</f>
        <v>13362308</v>
      </c>
      <c r="Q1667" s="6">
        <f t="shared" ca="1" si="36"/>
        <v>-4637692</v>
      </c>
      <c r="R1667" s="7" t="str">
        <f t="shared" si="37"/>
        <v>Labor Day</v>
      </c>
      <c r="S1667" s="43" t="str">
        <f t="shared" si="40"/>
        <v>Drama</v>
      </c>
    </row>
    <row r="1668" spans="1:19" ht="15.75" customHeight="1" x14ac:dyDescent="0.25">
      <c r="A1668" s="4" t="s">
        <v>5689</v>
      </c>
      <c r="B1668" s="4">
        <v>250</v>
      </c>
      <c r="C1668" s="4">
        <v>87025093</v>
      </c>
      <c r="D1668" s="4" t="s">
        <v>568</v>
      </c>
      <c r="E1668" s="4" t="s">
        <v>5690</v>
      </c>
      <c r="F1668" s="4" t="s">
        <v>5691</v>
      </c>
      <c r="G1668" s="4">
        <v>188679</v>
      </c>
      <c r="H1668" s="4" t="s">
        <v>5692</v>
      </c>
      <c r="I1668" s="4">
        <v>864</v>
      </c>
      <c r="J1668" s="4" t="s">
        <v>23</v>
      </c>
      <c r="K1668" s="4" t="s">
        <v>24</v>
      </c>
      <c r="L1668" s="4">
        <v>4000000</v>
      </c>
      <c r="M1668" s="4">
        <v>2005</v>
      </c>
      <c r="N1668" s="4">
        <v>6.6</v>
      </c>
      <c r="O1668" s="4">
        <f ca="1">IFERROR(__xludf.DUMMYFUNCTION("IF(Cost_in_dollars!E1668=""USD"",Cost_in_dollars!B1668,Cost_in_dollars!B1668 * GOOGLEFINANCE(""CURRENCY:"" &amp; Cost_in_dollars!E1668 &amp; ""USD""))
"),4000000)</f>
        <v>4000000</v>
      </c>
      <c r="P1668" s="4">
        <f ca="1">IFERROR(__xludf.DUMMYFUNCTION("IF(Cost_in_dollars!E1668=""USD"",Cost_in_dollars!C1668,Cost_in_dollars!C1668 * GOOGLEFINANCE(""CURRENCY:"" &amp; Cost_in_dollars!E1668 &amp; ""USD""))
"),87025093)</f>
        <v>87025093</v>
      </c>
      <c r="Q1668" s="4">
        <f t="shared" ca="1" si="36"/>
        <v>83025093</v>
      </c>
      <c r="R1668" s="5" t="str">
        <f t="shared" si="37"/>
        <v>Saw II</v>
      </c>
      <c r="S1668" s="43" t="str">
        <f t="shared" si="40"/>
        <v>Horror</v>
      </c>
    </row>
    <row r="1669" spans="1:19" ht="15.75" customHeight="1" x14ac:dyDescent="0.25">
      <c r="A1669" s="6" t="s">
        <v>2757</v>
      </c>
      <c r="B1669" s="6">
        <v>264</v>
      </c>
      <c r="C1669" s="6">
        <v>51527787</v>
      </c>
      <c r="D1669" s="6" t="s">
        <v>309</v>
      </c>
      <c r="E1669" s="6" t="s">
        <v>5693</v>
      </c>
      <c r="F1669" s="6" t="s">
        <v>5694</v>
      </c>
      <c r="G1669" s="6">
        <v>45603</v>
      </c>
      <c r="H1669" s="6" t="s">
        <v>5695</v>
      </c>
      <c r="I1669" s="6">
        <v>268</v>
      </c>
      <c r="J1669" s="6" t="s">
        <v>23</v>
      </c>
      <c r="K1669" s="6" t="s">
        <v>24</v>
      </c>
      <c r="L1669" s="6">
        <v>15000000</v>
      </c>
      <c r="M1669" s="6">
        <v>2009</v>
      </c>
      <c r="N1669" s="6">
        <v>5.5</v>
      </c>
      <c r="O1669" s="4">
        <f ca="1">IFERROR(__xludf.DUMMYFUNCTION("IF(Cost_in_dollars!E1669=""USD"",Cost_in_dollars!B1669,Cost_in_dollars!B1669 * GOOGLEFINANCE(""CURRENCY:"" &amp; Cost_in_dollars!E1669 &amp; ""USD""))
"),15000000)</f>
        <v>15000000</v>
      </c>
      <c r="P1669" s="4">
        <f ca="1">IFERROR(__xludf.DUMMYFUNCTION("IF(Cost_in_dollars!E1669=""USD"",Cost_in_dollars!C1669,Cost_in_dollars!C1669 * GOOGLEFINANCE(""CURRENCY:"" &amp; Cost_in_dollars!E1669 &amp; ""USD""))
"),51527787)</f>
        <v>51527787</v>
      </c>
      <c r="Q1669" s="6">
        <f t="shared" ca="1" si="36"/>
        <v>36527787</v>
      </c>
      <c r="R1669" s="7" t="str">
        <f t="shared" si="37"/>
        <v>My Bloody Valentine</v>
      </c>
      <c r="S1669" s="43" t="str">
        <f t="shared" si="40"/>
        <v>Horror</v>
      </c>
    </row>
    <row r="1670" spans="1:19" ht="15.75" customHeight="1" x14ac:dyDescent="0.25">
      <c r="A1670" s="4" t="s">
        <v>586</v>
      </c>
      <c r="B1670" s="4">
        <v>59</v>
      </c>
      <c r="C1670" s="4">
        <v>21200000</v>
      </c>
      <c r="D1670" s="4" t="s">
        <v>172</v>
      </c>
      <c r="E1670" s="4" t="s">
        <v>5391</v>
      </c>
      <c r="F1670" s="4" t="s">
        <v>5696</v>
      </c>
      <c r="G1670" s="4">
        <v>34774</v>
      </c>
      <c r="H1670" s="4" t="s">
        <v>5697</v>
      </c>
      <c r="I1670" s="4">
        <v>162</v>
      </c>
      <c r="J1670" s="4" t="s">
        <v>23</v>
      </c>
      <c r="K1670" s="4" t="s">
        <v>24</v>
      </c>
      <c r="L1670" s="4">
        <v>20000000</v>
      </c>
      <c r="M1670" s="4">
        <v>1995</v>
      </c>
      <c r="N1670" s="4">
        <v>6.8</v>
      </c>
      <c r="O1670" s="4">
        <f ca="1">IFERROR(__xludf.DUMMYFUNCTION("IF(Cost_in_dollars!E1670=""USD"",Cost_in_dollars!B1670,Cost_in_dollars!B1670 * GOOGLEFINANCE(""CURRENCY:"" &amp; Cost_in_dollars!E1670 &amp; ""USD""))
"),20000000)</f>
        <v>20000000</v>
      </c>
      <c r="P1670" s="4">
        <f ca="1">IFERROR(__xludf.DUMMYFUNCTION("IF(Cost_in_dollars!E1670=""USD"",Cost_in_dollars!C1670,Cost_in_dollars!C1670 * GOOGLEFINANCE(""CURRENCY:"" &amp; Cost_in_dollars!E1670 &amp; ""USD""))
"),21200000)</f>
        <v>21200000</v>
      </c>
      <c r="Q1670" s="4">
        <f t="shared" ca="1" si="36"/>
        <v>1200000</v>
      </c>
      <c r="R1670" s="5" t="str">
        <f t="shared" si="37"/>
        <v>To Die For</v>
      </c>
      <c r="S1670" s="43" t="str">
        <f t="shared" si="40"/>
        <v>Comedy</v>
      </c>
    </row>
    <row r="1671" spans="1:19" ht="15.75" customHeight="1" x14ac:dyDescent="0.25">
      <c r="A1671" s="6" t="s">
        <v>5698</v>
      </c>
      <c r="B1671" s="6">
        <v>191</v>
      </c>
      <c r="C1671" s="6">
        <v>50740078</v>
      </c>
      <c r="D1671" s="6" t="s">
        <v>63</v>
      </c>
      <c r="E1671" s="6" t="s">
        <v>64</v>
      </c>
      <c r="F1671" s="6" t="s">
        <v>5699</v>
      </c>
      <c r="G1671" s="6">
        <v>151580</v>
      </c>
      <c r="H1671" s="6" t="s">
        <v>5700</v>
      </c>
      <c r="I1671" s="6">
        <v>672</v>
      </c>
      <c r="J1671" s="6" t="s">
        <v>23</v>
      </c>
      <c r="K1671" s="6" t="s">
        <v>176</v>
      </c>
      <c r="L1671" s="6">
        <v>45000000</v>
      </c>
      <c r="M1671" s="6">
        <v>2004</v>
      </c>
      <c r="N1671" s="6">
        <v>6.2</v>
      </c>
      <c r="O1671" s="4">
        <f ca="1">IFERROR(__xludf.DUMMYFUNCTION("IF(Cost_in_dollars!E1671=""USD"",Cost_in_dollars!B1671,Cost_in_dollars!B1671 * GOOGLEFINANCE(""CURRENCY:"" &amp; Cost_in_dollars!E1671 &amp; ""USD""))
"),48813300)</f>
        <v>48813300</v>
      </c>
      <c r="P1671" s="4">
        <f ca="1">IFERROR(__xludf.DUMMYFUNCTION("IF(Cost_in_dollars!E1671=""USD"",Cost_in_dollars!C1671,Cost_in_dollars!C1671 * GOOGLEFINANCE(""CURRENCY:"" &amp; Cost_in_dollars!E1671 &amp; ""USD""))
"),55039792.20972)</f>
        <v>55039792.209720001</v>
      </c>
      <c r="Q1671" s="6">
        <f t="shared" ca="1" si="36"/>
        <v>6226492.2097200006</v>
      </c>
      <c r="R1671" s="7" t="str">
        <f t="shared" si="37"/>
        <v>Resident Evil: Apocalypse</v>
      </c>
      <c r="S1671" s="43" t="str">
        <f t="shared" si="40"/>
        <v>Action</v>
      </c>
    </row>
    <row r="1672" spans="1:19" ht="15.75" customHeight="1" x14ac:dyDescent="0.25">
      <c r="A1672" s="4" t="s">
        <v>5701</v>
      </c>
      <c r="B1672" s="4">
        <v>133</v>
      </c>
      <c r="C1672" s="4">
        <v>21784432</v>
      </c>
      <c r="D1672" s="4" t="s">
        <v>140</v>
      </c>
      <c r="E1672" s="4" t="s">
        <v>676</v>
      </c>
      <c r="F1672" s="4" t="s">
        <v>5702</v>
      </c>
      <c r="G1672" s="4">
        <v>37493</v>
      </c>
      <c r="H1672" s="4" t="s">
        <v>5703</v>
      </c>
      <c r="I1672" s="4">
        <v>108</v>
      </c>
      <c r="J1672" s="4" t="s">
        <v>23</v>
      </c>
      <c r="K1672" s="4" t="s">
        <v>24</v>
      </c>
      <c r="L1672" s="4">
        <v>35000000</v>
      </c>
      <c r="M1672" s="4">
        <v>2013</v>
      </c>
      <c r="N1672" s="4">
        <v>5.6</v>
      </c>
      <c r="O1672" s="4">
        <f ca="1">IFERROR(__xludf.DUMMYFUNCTION("IF(Cost_in_dollars!E1672=""USD"",Cost_in_dollars!B1672,Cost_in_dollars!B1672 * GOOGLEFINANCE(""CURRENCY:"" &amp; Cost_in_dollars!E1672 &amp; ""USD""))
"),35000000)</f>
        <v>35000000</v>
      </c>
      <c r="P1672" s="4">
        <f ca="1">IFERROR(__xludf.DUMMYFUNCTION("IF(Cost_in_dollars!E1672=""USD"",Cost_in_dollars!C1672,Cost_in_dollars!C1672 * GOOGLEFINANCE(""CURRENCY:"" &amp; Cost_in_dollars!E1672 &amp; ""USD""))
"),21784432)</f>
        <v>21784432</v>
      </c>
      <c r="Q1672" s="4">
        <f t="shared" ca="1" si="36"/>
        <v>-13215568</v>
      </c>
      <c r="R1672" s="5" t="str">
        <f t="shared" si="37"/>
        <v>The Big Wedding</v>
      </c>
      <c r="S1672" s="43" t="str">
        <f t="shared" si="40"/>
        <v>Comedy</v>
      </c>
    </row>
    <row r="1673" spans="1:19" ht="15.75" customHeight="1" x14ac:dyDescent="0.25">
      <c r="A1673" s="6" t="s">
        <v>1353</v>
      </c>
      <c r="B1673" s="6">
        <v>221</v>
      </c>
      <c r="C1673" s="6">
        <v>11501093</v>
      </c>
      <c r="D1673" s="6" t="s">
        <v>1102</v>
      </c>
      <c r="E1673" s="6" t="s">
        <v>5704</v>
      </c>
      <c r="F1673" s="6" t="s">
        <v>5705</v>
      </c>
      <c r="G1673" s="6">
        <v>128850</v>
      </c>
      <c r="H1673" s="6" t="s">
        <v>5706</v>
      </c>
      <c r="I1673" s="6">
        <v>604</v>
      </c>
      <c r="J1673" s="6" t="s">
        <v>23</v>
      </c>
      <c r="K1673" s="6" t="s">
        <v>24</v>
      </c>
      <c r="L1673" s="6">
        <v>13000000</v>
      </c>
      <c r="M1673" s="6">
        <v>1992</v>
      </c>
      <c r="N1673" s="6">
        <v>7.6</v>
      </c>
      <c r="O1673" s="4">
        <f ca="1">IFERROR(__xludf.DUMMYFUNCTION("IF(Cost_in_dollars!E1673=""USD"",Cost_in_dollars!B1673,Cost_in_dollars!B1673 * GOOGLEFINANCE(""CURRENCY:"" &amp; Cost_in_dollars!E1673 &amp; ""USD""))
"),13000000)</f>
        <v>13000000</v>
      </c>
      <c r="P1673" s="4">
        <f ca="1">IFERROR(__xludf.DUMMYFUNCTION("IF(Cost_in_dollars!E1673=""USD"",Cost_in_dollars!C1673,Cost_in_dollars!C1673 * GOOGLEFINANCE(""CURRENCY:"" &amp; Cost_in_dollars!E1673 &amp; ""USD""))
"),11501093)</f>
        <v>11501093</v>
      </c>
      <c r="Q1673" s="6">
        <f t="shared" ca="1" si="36"/>
        <v>-1498907</v>
      </c>
      <c r="R1673" s="7" t="str">
        <f t="shared" si="37"/>
        <v>Army of Darkness</v>
      </c>
      <c r="S1673" s="43" t="str">
        <f t="shared" si="40"/>
        <v>Comedy</v>
      </c>
    </row>
    <row r="1674" spans="1:19" ht="15.75" customHeight="1" x14ac:dyDescent="0.25">
      <c r="A1674" s="4" t="s">
        <v>3486</v>
      </c>
      <c r="B1674" s="4">
        <v>80</v>
      </c>
      <c r="C1674" s="4">
        <v>9170214</v>
      </c>
      <c r="D1674" s="4" t="s">
        <v>235</v>
      </c>
      <c r="E1674" s="4" t="s">
        <v>84</v>
      </c>
      <c r="F1674" s="4" t="s">
        <v>5707</v>
      </c>
      <c r="G1674" s="4">
        <v>171882</v>
      </c>
      <c r="H1674" s="4" t="s">
        <v>5708</v>
      </c>
      <c r="I1674" s="4">
        <v>292</v>
      </c>
      <c r="J1674" s="4" t="s">
        <v>23</v>
      </c>
      <c r="K1674" s="4" t="s">
        <v>24</v>
      </c>
      <c r="L1674" s="4">
        <v>11000000</v>
      </c>
      <c r="M1674" s="4">
        <v>1993</v>
      </c>
      <c r="N1674" s="4">
        <v>7.8</v>
      </c>
      <c r="O1674" s="4">
        <f ca="1">IFERROR(__xludf.DUMMYFUNCTION("IF(Cost_in_dollars!E1674=""USD"",Cost_in_dollars!B1674,Cost_in_dollars!B1674 * GOOGLEFINANCE(""CURRENCY:"" &amp; Cost_in_dollars!E1674 &amp; ""USD""))
"),11000000)</f>
        <v>11000000</v>
      </c>
      <c r="P1674" s="4">
        <f ca="1">IFERROR(__xludf.DUMMYFUNCTION("IF(Cost_in_dollars!E1674=""USD"",Cost_in_dollars!C1674,Cost_in_dollars!C1674 * GOOGLEFINANCE(""CURRENCY:"" &amp; Cost_in_dollars!E1674 &amp; ""USD""))
"),9170214)</f>
        <v>9170214</v>
      </c>
      <c r="Q1674" s="4">
        <f t="shared" ca="1" si="36"/>
        <v>-1829786</v>
      </c>
      <c r="R1674" s="5" t="str">
        <f t="shared" si="37"/>
        <v>What's Eating Gilbert Grape</v>
      </c>
      <c r="S1674" s="43" t="str">
        <f t="shared" si="40"/>
        <v>Drama</v>
      </c>
    </row>
    <row r="1675" spans="1:19" ht="15.75" customHeight="1" x14ac:dyDescent="0.25">
      <c r="A1675" s="6" t="s">
        <v>2487</v>
      </c>
      <c r="B1675" s="6">
        <v>78</v>
      </c>
      <c r="C1675" s="6">
        <v>27087695</v>
      </c>
      <c r="D1675" s="6" t="s">
        <v>5215</v>
      </c>
      <c r="E1675" s="6" t="s">
        <v>5709</v>
      </c>
      <c r="F1675" s="6" t="s">
        <v>5710</v>
      </c>
      <c r="G1675" s="6">
        <v>41664</v>
      </c>
      <c r="H1675" s="6" t="s">
        <v>5711</v>
      </c>
      <c r="I1675" s="6">
        <v>205</v>
      </c>
      <c r="J1675" s="6" t="s">
        <v>23</v>
      </c>
      <c r="K1675" s="6" t="s">
        <v>24</v>
      </c>
      <c r="L1675" s="6">
        <v>17700000</v>
      </c>
      <c r="M1675" s="6">
        <v>2001</v>
      </c>
      <c r="N1675" s="6">
        <v>5.9</v>
      </c>
      <c r="O1675" s="4">
        <f ca="1">IFERROR(__xludf.DUMMYFUNCTION("IF(Cost_in_dollars!E1675=""USD"",Cost_in_dollars!B1675,Cost_in_dollars!B1675 * GOOGLEFINANCE(""CURRENCY:"" &amp; Cost_in_dollars!E1675 &amp; ""USD""))
"),17700000)</f>
        <v>17700000</v>
      </c>
      <c r="P1675" s="4">
        <f ca="1">IFERROR(__xludf.DUMMYFUNCTION("IF(Cost_in_dollars!E1675=""USD"",Cost_in_dollars!C1675,Cost_in_dollars!C1675 * GOOGLEFINANCE(""CURRENCY:"" &amp; Cost_in_dollars!E1675 &amp; ""USD""))
"),27087695)</f>
        <v>27087695</v>
      </c>
      <c r="Q1675" s="6">
        <f t="shared" ca="1" si="36"/>
        <v>9387695</v>
      </c>
      <c r="R1675" s="7" t="str">
        <f t="shared" si="37"/>
        <v>Joe Dirt</v>
      </c>
      <c r="S1675" s="43" t="str">
        <f t="shared" si="40"/>
        <v>Adventure</v>
      </c>
    </row>
    <row r="1676" spans="1:19" ht="15.75" customHeight="1" x14ac:dyDescent="0.25">
      <c r="A1676" s="4" t="s">
        <v>5712</v>
      </c>
      <c r="B1676" s="4">
        <v>23</v>
      </c>
      <c r="C1676" s="4">
        <v>20047715</v>
      </c>
      <c r="D1676" s="4" t="s">
        <v>5713</v>
      </c>
      <c r="E1676" s="4" t="s">
        <v>5714</v>
      </c>
      <c r="F1676" s="4" t="s">
        <v>5715</v>
      </c>
      <c r="G1676" s="4">
        <v>8008</v>
      </c>
      <c r="H1676" s="4" t="s">
        <v>5716</v>
      </c>
      <c r="I1676" s="4">
        <v>26</v>
      </c>
      <c r="J1676" s="4" t="s">
        <v>23</v>
      </c>
      <c r="K1676" s="4" t="s">
        <v>24</v>
      </c>
      <c r="L1676" s="4">
        <v>25530000</v>
      </c>
      <c r="M1676" s="4">
        <v>1996</v>
      </c>
      <c r="N1676" s="4">
        <v>5.2</v>
      </c>
      <c r="O1676" s="4">
        <f ca="1">IFERROR(__xludf.DUMMYFUNCTION("IF(Cost_in_dollars!E1676=""USD"",Cost_in_dollars!B1676,Cost_in_dollars!B1676 * GOOGLEFINANCE(""CURRENCY:"" &amp; Cost_in_dollars!E1676 &amp; ""USD""))
"),25530000)</f>
        <v>25530000</v>
      </c>
      <c r="P1676" s="4">
        <f ca="1">IFERROR(__xludf.DUMMYFUNCTION("IF(Cost_in_dollars!E1676=""USD"",Cost_in_dollars!C1676,Cost_in_dollars!C1676 * GOOGLEFINANCE(""CURRENCY:"" &amp; Cost_in_dollars!E1676 &amp; ""USD""))
"),20047715)</f>
        <v>20047715</v>
      </c>
      <c r="Q1676" s="4">
        <f t="shared" ca="1" si="36"/>
        <v>-5482285</v>
      </c>
      <c r="R1676" s="5" t="str">
        <f t="shared" si="37"/>
        <v>Flipper</v>
      </c>
      <c r="S1676" s="43" t="str">
        <f t="shared" si="40"/>
        <v>Adventure</v>
      </c>
    </row>
    <row r="1677" spans="1:19" ht="15.75" customHeight="1" x14ac:dyDescent="0.25">
      <c r="A1677" s="6" t="s">
        <v>612</v>
      </c>
      <c r="B1677" s="6">
        <v>178</v>
      </c>
      <c r="C1677" s="6">
        <v>77086030</v>
      </c>
      <c r="D1677" s="6" t="s">
        <v>5717</v>
      </c>
      <c r="E1677" s="6" t="s">
        <v>79</v>
      </c>
      <c r="F1677" s="6" t="s">
        <v>5718</v>
      </c>
      <c r="G1677" s="6">
        <v>65297</v>
      </c>
      <c r="H1677" s="6" t="s">
        <v>5719</v>
      </c>
      <c r="I1677" s="6">
        <v>602</v>
      </c>
      <c r="J1677" s="6" t="s">
        <v>23</v>
      </c>
      <c r="K1677" s="6" t="s">
        <v>611</v>
      </c>
      <c r="L1677" s="6">
        <v>62000000</v>
      </c>
      <c r="M1677" s="6">
        <v>2000</v>
      </c>
      <c r="N1677" s="6">
        <v>6.6</v>
      </c>
      <c r="O1677" s="4">
        <f ca="1">IFERROR(__xludf.DUMMYFUNCTION("IF(Cost_in_dollars!E1677=""USD"",Cost_in_dollars!B1677,Cost_in_dollars!B1677 * GOOGLEFINANCE(""CURRENCY:"" &amp; Cost_in_dollars!E1677 &amp; ""USD""))
"),67253880)</f>
        <v>67253880</v>
      </c>
      <c r="P1677" s="4">
        <f ca="1">IFERROR(__xludf.DUMMYFUNCTION("IF(Cost_in_dollars!E1677=""USD"",Cost_in_dollars!C1677,Cost_in_dollars!C1677 * GOOGLEFINANCE(""CURRENCY:"" &amp; Cost_in_dollars!E1677 &amp; ""USD""))
"),83618300.1822)</f>
        <v>83618300.1822</v>
      </c>
      <c r="Q1677" s="6">
        <f t="shared" ca="1" si="36"/>
        <v>16364420.1822</v>
      </c>
      <c r="R1677" s="7" t="str">
        <f t="shared" si="37"/>
        <v>U-571</v>
      </c>
      <c r="S1677" s="43" t="str">
        <f t="shared" si="40"/>
        <v>Action</v>
      </c>
    </row>
    <row r="1678" spans="1:19" ht="15.75" customHeight="1" x14ac:dyDescent="0.25">
      <c r="A1678" s="4" t="s">
        <v>5720</v>
      </c>
      <c r="B1678" s="4">
        <v>282</v>
      </c>
      <c r="C1678" s="4">
        <v>34334256</v>
      </c>
      <c r="D1678" s="4" t="s">
        <v>309</v>
      </c>
      <c r="E1678" s="4" t="s">
        <v>5721</v>
      </c>
      <c r="F1678" s="4" t="s">
        <v>5722</v>
      </c>
      <c r="G1678" s="4">
        <v>35131</v>
      </c>
      <c r="H1678" s="4" t="s">
        <v>5723</v>
      </c>
      <c r="I1678" s="4">
        <v>255</v>
      </c>
      <c r="J1678" s="4" t="s">
        <v>23</v>
      </c>
      <c r="K1678" s="4" t="s">
        <v>24</v>
      </c>
      <c r="L1678" s="4">
        <v>11000000</v>
      </c>
      <c r="M1678" s="4">
        <v>2013</v>
      </c>
      <c r="N1678" s="4">
        <v>4.8</v>
      </c>
      <c r="O1678" s="4">
        <f ca="1">IFERROR(__xludf.DUMMYFUNCTION("IF(Cost_in_dollars!E1678=""USD"",Cost_in_dollars!B1678,Cost_in_dollars!B1678 * GOOGLEFINANCE(""CURRENCY:"" &amp; Cost_in_dollars!E1678 &amp; ""USD""))
"),11000000)</f>
        <v>11000000</v>
      </c>
      <c r="P1678" s="4">
        <f ca="1">IFERROR(__xludf.DUMMYFUNCTION("IF(Cost_in_dollars!E1678=""USD"",Cost_in_dollars!C1678,Cost_in_dollars!C1678 * GOOGLEFINANCE(""CURRENCY:"" &amp; Cost_in_dollars!E1678 &amp; ""USD""))
"),34334256)</f>
        <v>34334256</v>
      </c>
      <c r="Q1678" s="4">
        <f t="shared" ca="1" si="36"/>
        <v>23334256</v>
      </c>
      <c r="R1678" s="5" t="str">
        <f t="shared" si="37"/>
        <v>Texas Chainsaw 3D</v>
      </c>
      <c r="S1678" s="43" t="str">
        <f t="shared" si="40"/>
        <v>Horror</v>
      </c>
    </row>
    <row r="1679" spans="1:19" ht="15.75" customHeight="1" x14ac:dyDescent="0.25">
      <c r="A1679" s="6" t="s">
        <v>5491</v>
      </c>
      <c r="B1679" s="6">
        <v>558</v>
      </c>
      <c r="C1679" s="6">
        <v>95720716</v>
      </c>
      <c r="D1679" s="6" t="s">
        <v>963</v>
      </c>
      <c r="E1679" s="6" t="s">
        <v>4322</v>
      </c>
      <c r="F1679" s="6" t="s">
        <v>5724</v>
      </c>
      <c r="G1679" s="6">
        <v>216032</v>
      </c>
      <c r="H1679" s="6" t="s">
        <v>5725</v>
      </c>
      <c r="I1679" s="6">
        <v>640</v>
      </c>
      <c r="J1679" s="6" t="s">
        <v>23</v>
      </c>
      <c r="K1679" s="6" t="s">
        <v>24</v>
      </c>
      <c r="L1679" s="6">
        <v>40000000</v>
      </c>
      <c r="M1679" s="6">
        <v>2012</v>
      </c>
      <c r="N1679" s="6">
        <v>7.4</v>
      </c>
      <c r="O1679" s="4">
        <f ca="1">IFERROR(__xludf.DUMMYFUNCTION("IF(Cost_in_dollars!E1679=""USD"",Cost_in_dollars!B1679,Cost_in_dollars!B1679 * GOOGLEFINANCE(""CURRENCY:"" &amp; Cost_in_dollars!E1679 &amp; ""USD""))
"),40000000)</f>
        <v>40000000</v>
      </c>
      <c r="P1679" s="4">
        <f ca="1">IFERROR(__xludf.DUMMYFUNCTION("IF(Cost_in_dollars!E1679=""USD"",Cost_in_dollars!C1679,Cost_in_dollars!C1679 * GOOGLEFINANCE(""CURRENCY:"" &amp; Cost_in_dollars!E1679 &amp; ""USD""))
"),95720716)</f>
        <v>95720716</v>
      </c>
      <c r="Q1679" s="6">
        <f t="shared" ca="1" si="36"/>
        <v>55720716</v>
      </c>
      <c r="R1679" s="7" t="str">
        <f t="shared" si="37"/>
        <v>Zero Dark Thirty</v>
      </c>
      <c r="S1679" s="43" t="str">
        <f t="shared" si="40"/>
        <v>Drama</v>
      </c>
    </row>
    <row r="1680" spans="1:19" ht="15.75" customHeight="1" x14ac:dyDescent="0.25">
      <c r="A1680" s="4" t="s">
        <v>503</v>
      </c>
      <c r="B1680" s="4">
        <v>167</v>
      </c>
      <c r="C1680" s="4">
        <v>56083966</v>
      </c>
      <c r="D1680" s="4" t="s">
        <v>1354</v>
      </c>
      <c r="E1680" s="4" t="s">
        <v>1159</v>
      </c>
      <c r="F1680" s="4" t="s">
        <v>5726</v>
      </c>
      <c r="G1680" s="4">
        <v>137003</v>
      </c>
      <c r="H1680" s="4" t="s">
        <v>5727</v>
      </c>
      <c r="I1680" s="4">
        <v>658</v>
      </c>
      <c r="J1680" s="4" t="s">
        <v>23</v>
      </c>
      <c r="K1680" s="4" t="s">
        <v>24</v>
      </c>
      <c r="L1680" s="4">
        <v>65000000</v>
      </c>
      <c r="M1680" s="4">
        <v>2001</v>
      </c>
      <c r="N1680" s="4">
        <v>6.9</v>
      </c>
      <c r="O1680" s="4">
        <f ca="1">IFERROR(__xludf.DUMMYFUNCTION("IF(Cost_in_dollars!E1680=""USD"",Cost_in_dollars!B1680,Cost_in_dollars!B1680 * GOOGLEFINANCE(""CURRENCY:"" &amp; Cost_in_dollars!E1680 &amp; ""USD""))
"),65000000)</f>
        <v>65000000</v>
      </c>
      <c r="P1680" s="4">
        <f ca="1">IFERROR(__xludf.DUMMYFUNCTION("IF(Cost_in_dollars!E1680=""USD"",Cost_in_dollars!C1680,Cost_in_dollars!C1680 * GOOGLEFINANCE(""CURRENCY:"" &amp; Cost_in_dollars!E1680 &amp; ""USD""))
"),56083966)</f>
        <v>56083966</v>
      </c>
      <c r="Q1680" s="4">
        <f t="shared" ca="1" si="36"/>
        <v>-8916034</v>
      </c>
      <c r="R1680" s="5" t="str">
        <f t="shared" si="37"/>
        <v>A Knight's Tale</v>
      </c>
      <c r="S1680" s="43" t="str">
        <f t="shared" si="40"/>
        <v>Action</v>
      </c>
    </row>
    <row r="1681" spans="1:19" ht="15.75" customHeight="1" x14ac:dyDescent="0.25">
      <c r="A1681" s="6" t="s">
        <v>4766</v>
      </c>
      <c r="B1681" s="6">
        <v>226</v>
      </c>
      <c r="C1681" s="6">
        <v>238371987</v>
      </c>
      <c r="D1681" s="6" t="s">
        <v>304</v>
      </c>
      <c r="E1681" s="6" t="s">
        <v>1703</v>
      </c>
      <c r="F1681" s="6" t="s">
        <v>5728</v>
      </c>
      <c r="G1681" s="6">
        <v>138661</v>
      </c>
      <c r="H1681" s="6" t="s">
        <v>5729</v>
      </c>
      <c r="I1681" s="6">
        <v>173</v>
      </c>
      <c r="J1681" s="6" t="s">
        <v>23</v>
      </c>
      <c r="K1681" s="6" t="s">
        <v>24</v>
      </c>
      <c r="L1681" s="6">
        <v>165000000</v>
      </c>
      <c r="M1681" s="6">
        <v>2010</v>
      </c>
      <c r="N1681" s="6">
        <v>6.4</v>
      </c>
      <c r="O1681" s="4">
        <f ca="1">IFERROR(__xludf.DUMMYFUNCTION("IF(Cost_in_dollars!E1681=""USD"",Cost_in_dollars!B1681,Cost_in_dollars!B1681 * GOOGLEFINANCE(""CURRENCY:"" &amp; Cost_in_dollars!E1681 &amp; ""USD""))
"),165000000)</f>
        <v>165000000</v>
      </c>
      <c r="P1681" s="4">
        <f ca="1">IFERROR(__xludf.DUMMYFUNCTION("IF(Cost_in_dollars!E1681=""USD"",Cost_in_dollars!C1681,Cost_in_dollars!C1681 * GOOGLEFINANCE(""CURRENCY:"" &amp; Cost_in_dollars!E1681 &amp; ""USD""))
"),238371987)</f>
        <v>238371987</v>
      </c>
      <c r="Q1681" s="6">
        <f t="shared" ca="1" si="36"/>
        <v>73371987</v>
      </c>
      <c r="R1681" s="7" t="str">
        <f t="shared" si="37"/>
        <v>Shrek Forever After</v>
      </c>
      <c r="S1681" s="43" t="str">
        <f t="shared" si="40"/>
        <v>Adventure</v>
      </c>
    </row>
    <row r="1682" spans="1:19" ht="15.75" customHeight="1" x14ac:dyDescent="0.25">
      <c r="A1682" s="4" t="s">
        <v>1598</v>
      </c>
      <c r="B1682" s="4">
        <v>205</v>
      </c>
      <c r="C1682" s="4">
        <v>26781723</v>
      </c>
      <c r="D1682" s="4" t="s">
        <v>162</v>
      </c>
      <c r="E1682" s="4" t="s">
        <v>5730</v>
      </c>
      <c r="F1682" s="4" t="s">
        <v>5731</v>
      </c>
      <c r="G1682" s="4">
        <v>187595</v>
      </c>
      <c r="H1682" s="4" t="s">
        <v>5732</v>
      </c>
      <c r="I1682" s="4">
        <v>978</v>
      </c>
      <c r="J1682" s="4" t="s">
        <v>23</v>
      </c>
      <c r="K1682" s="4" t="s">
        <v>24</v>
      </c>
      <c r="L1682" s="4">
        <v>2500000</v>
      </c>
      <c r="M1682" s="4">
        <v>2004</v>
      </c>
      <c r="N1682" s="4">
        <v>7.6</v>
      </c>
      <c r="O1682" s="4">
        <f ca="1">IFERROR(__xludf.DUMMYFUNCTION("IF(Cost_in_dollars!E1682=""USD"",Cost_in_dollars!B1682,Cost_in_dollars!B1682 * GOOGLEFINANCE(""CURRENCY:"" &amp; Cost_in_dollars!E1682 &amp; ""USD""))
"),2500000)</f>
        <v>2500000</v>
      </c>
      <c r="P1682" s="4">
        <f ca="1">IFERROR(__xludf.DUMMYFUNCTION("IF(Cost_in_dollars!E1682=""USD"",Cost_in_dollars!C1682,Cost_in_dollars!C1682 * GOOGLEFINANCE(""CURRENCY:"" &amp; Cost_in_dollars!E1682 &amp; ""USD""))
"),26781723)</f>
        <v>26781723</v>
      </c>
      <c r="Q1682" s="4">
        <f t="shared" ca="1" si="36"/>
        <v>24281723</v>
      </c>
      <c r="R1682" s="5" t="str">
        <f t="shared" si="37"/>
        <v>Garden State</v>
      </c>
      <c r="S1682" s="43" t="str">
        <f t="shared" si="40"/>
        <v>Comedy</v>
      </c>
    </row>
    <row r="1683" spans="1:19" ht="15.75" customHeight="1" x14ac:dyDescent="0.25">
      <c r="A1683" s="6" t="s">
        <v>567</v>
      </c>
      <c r="B1683" s="6">
        <v>242</v>
      </c>
      <c r="C1683" s="6">
        <v>30523568</v>
      </c>
      <c r="D1683" s="6" t="s">
        <v>93</v>
      </c>
      <c r="E1683" s="6" t="s">
        <v>5733</v>
      </c>
      <c r="F1683" s="6" t="s">
        <v>5734</v>
      </c>
      <c r="G1683" s="6">
        <v>54447</v>
      </c>
      <c r="H1683" s="6" t="s">
        <v>5735</v>
      </c>
      <c r="I1683" s="6">
        <v>201</v>
      </c>
      <c r="J1683" s="6" t="s">
        <v>23</v>
      </c>
      <c r="K1683" s="6" t="s">
        <v>24</v>
      </c>
      <c r="L1683" s="6">
        <v>30000000</v>
      </c>
      <c r="M1683" s="6">
        <v>2014</v>
      </c>
      <c r="N1683" s="6">
        <v>6.2</v>
      </c>
      <c r="O1683" s="4">
        <f ca="1">IFERROR(__xludf.DUMMYFUNCTION("IF(Cost_in_dollars!E1683=""USD"",Cost_in_dollars!B1683,Cost_in_dollars!B1683 * GOOGLEFINANCE(""CURRENCY:"" &amp; Cost_in_dollars!E1683 &amp; ""USD""))
"),30000000)</f>
        <v>30000000</v>
      </c>
      <c r="P1683" s="4">
        <f ca="1">IFERROR(__xludf.DUMMYFUNCTION("IF(Cost_in_dollars!E1683=""USD"",Cost_in_dollars!C1683,Cost_in_dollars!C1683 * GOOGLEFINANCE(""CURRENCY:"" &amp; Cost_in_dollars!E1683 &amp; ""USD""))
"),30523568)</f>
        <v>30523568</v>
      </c>
      <c r="Q1683" s="6">
        <f t="shared" ca="1" si="36"/>
        <v>523568</v>
      </c>
      <c r="R1683" s="7" t="str">
        <f t="shared" si="37"/>
        <v>Deliver Us from Evil</v>
      </c>
      <c r="S1683" s="43" t="str">
        <f t="shared" si="40"/>
        <v>Horror</v>
      </c>
    </row>
    <row r="1684" spans="1:19" ht="15.75" customHeight="1" x14ac:dyDescent="0.25">
      <c r="A1684" s="4" t="s">
        <v>5736</v>
      </c>
      <c r="B1684" s="4">
        <v>103</v>
      </c>
      <c r="C1684" s="4">
        <v>56607223</v>
      </c>
      <c r="D1684" s="4" t="s">
        <v>696</v>
      </c>
      <c r="E1684" s="4" t="s">
        <v>5737</v>
      </c>
      <c r="F1684" s="4" t="s">
        <v>5738</v>
      </c>
      <c r="G1684" s="4">
        <v>93367</v>
      </c>
      <c r="H1684" s="4" t="s">
        <v>5739</v>
      </c>
      <c r="I1684" s="4">
        <v>497</v>
      </c>
      <c r="J1684" s="4" t="s">
        <v>23</v>
      </c>
      <c r="K1684" s="4" t="s">
        <v>627</v>
      </c>
      <c r="L1684" s="4">
        <v>48000000</v>
      </c>
      <c r="M1684" s="4">
        <v>2001</v>
      </c>
      <c r="N1684" s="4">
        <v>6.4</v>
      </c>
      <c r="O1684" s="4">
        <f ca="1">IFERROR(__xludf.DUMMYFUNCTION("IF(Cost_in_dollars!E1684=""USD"",Cost_in_dollars!B1684,Cost_in_dollars!B1684 * GOOGLEFINANCE(""CURRENCY:"" &amp; Cost_in_dollars!E1684 &amp; ""USD""))
"),34723440)</f>
        <v>34723440</v>
      </c>
      <c r="P1684" s="4">
        <f ca="1">IFERROR(__xludf.DUMMYFUNCTION("IF(Cost_in_dollars!E1684=""USD"",Cost_in_dollars!C1684,Cost_in_dollars!C1684 * GOOGLEFINANCE(""CURRENCY:"" &amp; Cost_in_dollars!E1684 &amp; ""USD""))
"),40949948.1543149)</f>
        <v>40949948.154314898</v>
      </c>
      <c r="Q1684" s="4">
        <f t="shared" ca="1" si="36"/>
        <v>6226508.154314898</v>
      </c>
      <c r="R1684" s="5" t="str">
        <f t="shared" si="37"/>
        <v>Rat Race</v>
      </c>
      <c r="S1684" s="43" t="str">
        <f t="shared" si="40"/>
        <v>Adventure</v>
      </c>
    </row>
    <row r="1685" spans="1:19" ht="15.75" customHeight="1" x14ac:dyDescent="0.25">
      <c r="A1685" s="6" t="s">
        <v>5740</v>
      </c>
      <c r="B1685" s="6">
        <v>164</v>
      </c>
      <c r="C1685" s="6">
        <v>26049082</v>
      </c>
      <c r="D1685" s="6" t="s">
        <v>88</v>
      </c>
      <c r="E1685" s="6" t="s">
        <v>5741</v>
      </c>
      <c r="F1685" s="6" t="s">
        <v>5742</v>
      </c>
      <c r="G1685" s="6">
        <v>76791</v>
      </c>
      <c r="H1685" s="6" t="s">
        <v>5743</v>
      </c>
      <c r="I1685" s="6">
        <v>100</v>
      </c>
      <c r="J1685" s="6" t="s">
        <v>23</v>
      </c>
      <c r="K1685" s="6" t="s">
        <v>24</v>
      </c>
      <c r="L1685" s="6">
        <v>8000000</v>
      </c>
      <c r="M1685" s="6">
        <v>2014</v>
      </c>
      <c r="N1685" s="6">
        <v>6.1</v>
      </c>
      <c r="O1685" s="4">
        <f ca="1">IFERROR(__xludf.DUMMYFUNCTION("IF(Cost_in_dollars!E1685=""USD"",Cost_in_dollars!B1685,Cost_in_dollars!B1685 * GOOGLEFINANCE(""CURRENCY:"" &amp; Cost_in_dollars!E1685 &amp; ""USD""))
"),8000000)</f>
        <v>8000000</v>
      </c>
      <c r="P1685" s="4">
        <f ca="1">IFERROR(__xludf.DUMMYFUNCTION("IF(Cost_in_dollars!E1685=""USD"",Cost_in_dollars!C1685,Cost_in_dollars!C1685 * GOOGLEFINANCE(""CURRENCY:"" &amp; Cost_in_dollars!E1685 &amp; ""USD""))
"),26049082)</f>
        <v>26049082</v>
      </c>
      <c r="Q1685" s="6">
        <f t="shared" ca="1" si="36"/>
        <v>18049082</v>
      </c>
      <c r="R1685" s="7" t="str">
        <f t="shared" si="37"/>
        <v>That Awkward Moment</v>
      </c>
      <c r="S1685" s="43" t="str">
        <f t="shared" si="40"/>
        <v>Comedy</v>
      </c>
    </row>
    <row r="1686" spans="1:19" ht="15.75" customHeight="1" x14ac:dyDescent="0.25">
      <c r="A1686" s="4" t="s">
        <v>2614</v>
      </c>
      <c r="B1686" s="4">
        <v>63</v>
      </c>
      <c r="C1686" s="4">
        <v>10297897</v>
      </c>
      <c r="D1686" s="4" t="s">
        <v>5744</v>
      </c>
      <c r="E1686" s="4" t="s">
        <v>79</v>
      </c>
      <c r="F1686" s="4" t="s">
        <v>5745</v>
      </c>
      <c r="G1686" s="4">
        <v>8309</v>
      </c>
      <c r="H1686" s="4" t="s">
        <v>5746</v>
      </c>
      <c r="I1686" s="4">
        <v>39</v>
      </c>
      <c r="J1686" s="4" t="s">
        <v>23</v>
      </c>
      <c r="K1686" s="4" t="s">
        <v>24</v>
      </c>
      <c r="L1686" s="4">
        <v>27000000</v>
      </c>
      <c r="M1686" s="4">
        <v>1998</v>
      </c>
      <c r="N1686" s="4">
        <v>6</v>
      </c>
      <c r="O1686" s="4">
        <f ca="1">IFERROR(__xludf.DUMMYFUNCTION("IF(Cost_in_dollars!E1686=""USD"",Cost_in_dollars!B1686,Cost_in_dollars!B1686 * GOOGLEFINANCE(""CURRENCY:"" &amp; Cost_in_dollars!E1686 &amp; ""USD""))
"),27000000)</f>
        <v>27000000</v>
      </c>
      <c r="P1686" s="4">
        <f ca="1">IFERROR(__xludf.DUMMYFUNCTION("IF(Cost_in_dollars!E1686=""USD"",Cost_in_dollars!C1686,Cost_in_dollars!C1686 * GOOGLEFINANCE(""CURRENCY:"" &amp; Cost_in_dollars!E1686 &amp; ""USD""))
"),10297897)</f>
        <v>10297897</v>
      </c>
      <c r="Q1686" s="4">
        <f t="shared" ca="1" si="36"/>
        <v>-16702103</v>
      </c>
      <c r="R1686" s="5" t="str">
        <f t="shared" si="37"/>
        <v>The Newton Boys</v>
      </c>
      <c r="S1686" s="43" t="str">
        <f t="shared" si="40"/>
        <v>Action</v>
      </c>
    </row>
    <row r="1687" spans="1:19" ht="15.75" customHeight="1" x14ac:dyDescent="0.25">
      <c r="A1687" s="6" t="s">
        <v>5747</v>
      </c>
      <c r="B1687" s="6">
        <v>81</v>
      </c>
      <c r="C1687" s="6">
        <v>10544143</v>
      </c>
      <c r="D1687" s="6" t="s">
        <v>88</v>
      </c>
      <c r="E1687" s="6" t="s">
        <v>5748</v>
      </c>
      <c r="F1687" s="6" t="s">
        <v>5749</v>
      </c>
      <c r="G1687" s="6">
        <v>16372</v>
      </c>
      <c r="H1687" s="6" t="s">
        <v>5750</v>
      </c>
      <c r="I1687" s="6">
        <v>121</v>
      </c>
      <c r="J1687" s="6" t="s">
        <v>23</v>
      </c>
      <c r="K1687" s="6" t="s">
        <v>149</v>
      </c>
      <c r="L1687" s="6">
        <v>20000000</v>
      </c>
      <c r="M1687" s="6">
        <v>1999</v>
      </c>
      <c r="N1687" s="6">
        <v>6.1</v>
      </c>
      <c r="O1687" s="4">
        <f ca="1">IFERROR(__xludf.DUMMYFUNCTION("IF(Cost_in_dollars!E1687=""USD"",Cost_in_dollars!B1687,Cost_in_dollars!B1687 * GOOGLEFINANCE(""CURRENCY:"" &amp; Cost_in_dollars!E1687 &amp; ""USD""))
"),13077600)</f>
        <v>13077600</v>
      </c>
      <c r="P1687" s="4">
        <f ca="1">IFERROR(__xludf.DUMMYFUNCTION("IF(Cost_in_dollars!E1687=""USD"",Cost_in_dollars!C1687,Cost_in_dollars!C1687 * GOOGLEFINANCE(""CURRENCY:"" &amp; Cost_in_dollars!E1687 &amp; ""USD""))
"),6894604.22484)</f>
        <v>6894604.2248400003</v>
      </c>
      <c r="Q1687" s="6">
        <f t="shared" ca="1" si="36"/>
        <v>-6182995.7751599997</v>
      </c>
      <c r="R1687" s="7" t="str">
        <f t="shared" si="37"/>
        <v>Three to Tango</v>
      </c>
      <c r="S1687" s="43" t="str">
        <f t="shared" si="40"/>
        <v>Comedy</v>
      </c>
    </row>
    <row r="1688" spans="1:19" ht="15.75" customHeight="1" x14ac:dyDescent="0.25">
      <c r="A1688" s="4" t="s">
        <v>5751</v>
      </c>
      <c r="B1688" s="4">
        <v>156</v>
      </c>
      <c r="C1688" s="4">
        <v>30079316</v>
      </c>
      <c r="D1688" s="4" t="s">
        <v>151</v>
      </c>
      <c r="E1688" s="4" t="s">
        <v>5752</v>
      </c>
      <c r="F1688" s="4" t="s">
        <v>5753</v>
      </c>
      <c r="G1688" s="4">
        <v>75920</v>
      </c>
      <c r="H1688" s="4" t="s">
        <v>5754</v>
      </c>
      <c r="I1688" s="4">
        <v>474</v>
      </c>
      <c r="J1688" s="4" t="s">
        <v>23</v>
      </c>
      <c r="K1688" s="4" t="s">
        <v>24</v>
      </c>
      <c r="L1688" s="4">
        <v>35000000</v>
      </c>
      <c r="M1688" s="4">
        <v>2002</v>
      </c>
      <c r="N1688" s="4">
        <v>5.5</v>
      </c>
      <c r="O1688" s="4">
        <f ca="1">IFERROR(__xludf.DUMMYFUNCTION("IF(Cost_in_dollars!E1688=""USD"",Cost_in_dollars!B1688,Cost_in_dollars!B1688 * GOOGLEFINANCE(""CURRENCY:"" &amp; Cost_in_dollars!E1688 &amp; ""USD""))
"),35000000)</f>
        <v>35000000</v>
      </c>
      <c r="P1688" s="4">
        <f ca="1">IFERROR(__xludf.DUMMYFUNCTION("IF(Cost_in_dollars!E1688=""USD"",Cost_in_dollars!C1688,Cost_in_dollars!C1688 * GOOGLEFINANCE(""CURRENCY:"" &amp; Cost_in_dollars!E1688 &amp; ""USD""))
"),30079316)</f>
        <v>30079316</v>
      </c>
      <c r="Q1688" s="4">
        <f t="shared" ca="1" si="36"/>
        <v>-4920684</v>
      </c>
      <c r="R1688" s="5" t="str">
        <f t="shared" si="37"/>
        <v>Ghost Ship</v>
      </c>
      <c r="S1688" s="43" t="str">
        <f t="shared" si="40"/>
        <v>Horror</v>
      </c>
    </row>
    <row r="1689" spans="1:19" ht="15.75" customHeight="1" x14ac:dyDescent="0.25">
      <c r="A1689" s="6" t="s">
        <v>1570</v>
      </c>
      <c r="B1689" s="6">
        <v>70</v>
      </c>
      <c r="C1689" s="6">
        <v>55973336</v>
      </c>
      <c r="D1689" s="6" t="s">
        <v>155</v>
      </c>
      <c r="E1689" s="6" t="s">
        <v>1571</v>
      </c>
      <c r="F1689" s="6" t="s">
        <v>5755</v>
      </c>
      <c r="G1689" s="6">
        <v>57040</v>
      </c>
      <c r="H1689" s="6" t="s">
        <v>5756</v>
      </c>
      <c r="I1689" s="6">
        <v>365</v>
      </c>
      <c r="J1689" s="6" t="s">
        <v>23</v>
      </c>
      <c r="K1689" s="6" t="s">
        <v>24</v>
      </c>
      <c r="L1689" s="6">
        <v>25000000</v>
      </c>
      <c r="M1689" s="6">
        <v>2000</v>
      </c>
      <c r="N1689" s="6">
        <v>6.1</v>
      </c>
      <c r="O1689" s="4">
        <f ca="1">IFERROR(__xludf.DUMMYFUNCTION("IF(Cost_in_dollars!E1689=""USD"",Cost_in_dollars!B1689,Cost_in_dollars!B1689 * GOOGLEFINANCE(""CURRENCY:"" &amp; Cost_in_dollars!E1689 &amp; ""USD""))
"),25000000)</f>
        <v>25000000</v>
      </c>
      <c r="P1689" s="4">
        <f ca="1">IFERROR(__xludf.DUMMYFUNCTION("IF(Cost_in_dollars!E1689=""USD"",Cost_in_dollars!C1689,Cost_in_dollars!C1689 * GOOGLEFINANCE(""CURRENCY:"" &amp; Cost_in_dollars!E1689 &amp; ""USD""))
"),55973336)</f>
        <v>55973336</v>
      </c>
      <c r="Q1689" s="6">
        <f t="shared" ca="1" si="36"/>
        <v>30973336</v>
      </c>
      <c r="R1689" s="7" t="str">
        <f t="shared" si="37"/>
        <v>Romeo Must Die</v>
      </c>
      <c r="S1689" s="43" t="str">
        <f t="shared" si="40"/>
        <v>Action</v>
      </c>
    </row>
    <row r="1690" spans="1:19" ht="15.75" customHeight="1" x14ac:dyDescent="0.25">
      <c r="A1690" s="4" t="s">
        <v>5757</v>
      </c>
      <c r="B1690" s="4">
        <v>31</v>
      </c>
      <c r="C1690" s="4">
        <v>119841</v>
      </c>
      <c r="D1690" s="4" t="s">
        <v>102</v>
      </c>
      <c r="E1690" s="4" t="s">
        <v>402</v>
      </c>
      <c r="F1690" s="4" t="s">
        <v>5758</v>
      </c>
      <c r="G1690" s="4">
        <v>2419</v>
      </c>
      <c r="H1690" s="4" t="s">
        <v>5759</v>
      </c>
      <c r="I1690" s="4">
        <v>55</v>
      </c>
      <c r="J1690" s="4" t="s">
        <v>23</v>
      </c>
      <c r="K1690" s="4" t="s">
        <v>24</v>
      </c>
      <c r="L1690" s="4">
        <v>1500000</v>
      </c>
      <c r="M1690" s="4">
        <v>2002</v>
      </c>
      <c r="N1690" s="4">
        <v>6.5</v>
      </c>
      <c r="O1690" s="4">
        <f ca="1">IFERROR(__xludf.DUMMYFUNCTION("IF(Cost_in_dollars!E1690=""USD"",Cost_in_dollars!B1690,Cost_in_dollars!B1690 * GOOGLEFINANCE(""CURRENCY:"" &amp; Cost_in_dollars!E1690 &amp; ""USD""))
"),1500000)</f>
        <v>1500000</v>
      </c>
      <c r="P1690" s="4">
        <f ca="1">IFERROR(__xludf.DUMMYFUNCTION("IF(Cost_in_dollars!E1690=""USD"",Cost_in_dollars!C1690,Cost_in_dollars!C1690 * GOOGLEFINANCE(""CURRENCY:"" &amp; Cost_in_dollars!E1690 &amp; ""USD""))
"),119841)</f>
        <v>119841</v>
      </c>
      <c r="Q1690" s="4">
        <f t="shared" ca="1" si="36"/>
        <v>-1380159</v>
      </c>
      <c r="R1690" s="5" t="str">
        <f t="shared" si="37"/>
        <v>Stolen Summer</v>
      </c>
      <c r="S1690" s="43" t="str">
        <f t="shared" si="40"/>
        <v>Drama</v>
      </c>
    </row>
    <row r="1691" spans="1:19" ht="15.75" customHeight="1" x14ac:dyDescent="0.25">
      <c r="A1691" s="6" t="s">
        <v>5760</v>
      </c>
      <c r="B1691" s="6">
        <v>40</v>
      </c>
      <c r="C1691" s="6">
        <v>35324232</v>
      </c>
      <c r="D1691" s="6" t="s">
        <v>2190</v>
      </c>
      <c r="E1691" s="6" t="s">
        <v>5761</v>
      </c>
      <c r="F1691" s="6" t="s">
        <v>5762</v>
      </c>
      <c r="G1691" s="6">
        <v>32224</v>
      </c>
      <c r="H1691" s="6" t="s">
        <v>5763</v>
      </c>
      <c r="I1691" s="6">
        <v>62</v>
      </c>
      <c r="J1691" s="6" t="s">
        <v>23</v>
      </c>
      <c r="K1691" s="6" t="s">
        <v>24</v>
      </c>
      <c r="L1691" s="6">
        <v>68000000</v>
      </c>
      <c r="M1691" s="6">
        <v>1995</v>
      </c>
      <c r="N1691" s="6">
        <v>5.6</v>
      </c>
      <c r="O1691" s="4">
        <f ca="1">IFERROR(__xludf.DUMMYFUNCTION("IF(Cost_in_dollars!E1691=""USD"",Cost_in_dollars!B1691,Cost_in_dollars!B1691 * GOOGLEFINANCE(""CURRENCY:"" &amp; Cost_in_dollars!E1691 &amp; ""USD""))
"),68000000)</f>
        <v>68000000</v>
      </c>
      <c r="P1691" s="4">
        <f ca="1">IFERROR(__xludf.DUMMYFUNCTION("IF(Cost_in_dollars!E1691=""USD"",Cost_in_dollars!C1691,Cost_in_dollars!C1691 * GOOGLEFINANCE(""CURRENCY:"" &amp; Cost_in_dollars!E1691 &amp; ""USD""))
"),35324232)</f>
        <v>35324232</v>
      </c>
      <c r="Q1691" s="6">
        <f t="shared" ca="1" si="36"/>
        <v>-32675768</v>
      </c>
      <c r="R1691" s="7" t="str">
        <f t="shared" si="37"/>
        <v>Money Train</v>
      </c>
      <c r="S1691" s="43" t="str">
        <f t="shared" si="40"/>
        <v>Action</v>
      </c>
    </row>
    <row r="1692" spans="1:19" ht="15.75" customHeight="1" x14ac:dyDescent="0.25">
      <c r="A1692" s="4" t="s">
        <v>763</v>
      </c>
      <c r="B1692" s="4">
        <v>59</v>
      </c>
      <c r="C1692" s="4">
        <v>52293982</v>
      </c>
      <c r="D1692" s="4" t="s">
        <v>135</v>
      </c>
      <c r="E1692" s="4" t="s">
        <v>223</v>
      </c>
      <c r="F1692" s="4" t="s">
        <v>5764</v>
      </c>
      <c r="G1692" s="4">
        <v>57831</v>
      </c>
      <c r="H1692" s="4" t="s">
        <v>5765</v>
      </c>
      <c r="I1692" s="4">
        <v>115</v>
      </c>
      <c r="J1692" s="4" t="s">
        <v>23</v>
      </c>
      <c r="K1692" s="4" t="s">
        <v>24</v>
      </c>
      <c r="L1692" s="4">
        <v>13800000</v>
      </c>
      <c r="M1692" s="4">
        <v>1986</v>
      </c>
      <c r="N1692" s="4">
        <v>7</v>
      </c>
      <c r="O1692" s="4">
        <f ca="1">IFERROR(__xludf.DUMMYFUNCTION("IF(Cost_in_dollars!E1692=""USD"",Cost_in_dollars!B1692,Cost_in_dollars!B1692 * GOOGLEFINANCE(""CURRENCY:"" &amp; Cost_in_dollars!E1692 &amp; ""USD""))
"),13800000)</f>
        <v>13800000</v>
      </c>
      <c r="P1692" s="4">
        <f ca="1">IFERROR(__xludf.DUMMYFUNCTION("IF(Cost_in_dollars!E1692=""USD"",Cost_in_dollars!C1692,Cost_in_dollars!C1692 * GOOGLEFINANCE(""CURRENCY:"" &amp; Cost_in_dollars!E1692 &amp; ""USD""))
"),52293982)</f>
        <v>52293982</v>
      </c>
      <c r="Q1692" s="4">
        <f t="shared" ca="1" si="36"/>
        <v>38493982</v>
      </c>
      <c r="R1692" s="5" t="str">
        <f t="shared" si="37"/>
        <v>The Color of Money</v>
      </c>
      <c r="S1692" s="43" t="str">
        <f t="shared" si="40"/>
        <v>Drama</v>
      </c>
    </row>
    <row r="1693" spans="1:19" ht="15.75" customHeight="1" x14ac:dyDescent="0.25">
      <c r="A1693" s="6" t="s">
        <v>4298</v>
      </c>
      <c r="B1693" s="6">
        <v>190</v>
      </c>
      <c r="C1693" s="6">
        <v>97680195</v>
      </c>
      <c r="D1693" s="6" t="s">
        <v>88</v>
      </c>
      <c r="E1693" s="6" t="s">
        <v>1916</v>
      </c>
      <c r="F1693" s="6" t="s">
        <v>5766</v>
      </c>
      <c r="G1693" s="6">
        <v>271691</v>
      </c>
      <c r="H1693" s="6" t="s">
        <v>5767</v>
      </c>
      <c r="I1693" s="6">
        <v>243</v>
      </c>
      <c r="J1693" s="6" t="s">
        <v>23</v>
      </c>
      <c r="K1693" s="6" t="s">
        <v>24</v>
      </c>
      <c r="L1693" s="6">
        <v>70000000</v>
      </c>
      <c r="M1693" s="6">
        <v>2008</v>
      </c>
      <c r="N1693" s="6">
        <v>6.8</v>
      </c>
      <c r="O1693" s="4">
        <f ca="1">IFERROR(__xludf.DUMMYFUNCTION("IF(Cost_in_dollars!E1693=""USD"",Cost_in_dollars!B1693,Cost_in_dollars!B1693 * GOOGLEFINANCE(""CURRENCY:"" &amp; Cost_in_dollars!E1693 &amp; ""USD""))
"),70000000)</f>
        <v>70000000</v>
      </c>
      <c r="P1693" s="4">
        <f ca="1">IFERROR(__xludf.DUMMYFUNCTION("IF(Cost_in_dollars!E1693=""USD"",Cost_in_dollars!C1693,Cost_in_dollars!C1693 * GOOGLEFINANCE(""CURRENCY:"" &amp; Cost_in_dollars!E1693 &amp; ""USD""))
"),97680195)</f>
        <v>97680195</v>
      </c>
      <c r="Q1693" s="6">
        <f t="shared" ca="1" si="36"/>
        <v>27680195</v>
      </c>
      <c r="R1693" s="7" t="str">
        <f t="shared" si="37"/>
        <v>Yes Man</v>
      </c>
      <c r="S1693" s="43" t="str">
        <f t="shared" si="40"/>
        <v>Comedy</v>
      </c>
    </row>
    <row r="1694" spans="1:19" ht="15.75" customHeight="1" x14ac:dyDescent="0.25">
      <c r="A1694" s="4" t="s">
        <v>2774</v>
      </c>
      <c r="B1694" s="4">
        <v>71</v>
      </c>
      <c r="C1694" s="4">
        <v>20246959</v>
      </c>
      <c r="D1694" s="4" t="s">
        <v>88</v>
      </c>
      <c r="E1694" s="4" t="s">
        <v>5436</v>
      </c>
      <c r="F1694" s="4" t="s">
        <v>5768</v>
      </c>
      <c r="G1694" s="4">
        <v>5721</v>
      </c>
      <c r="H1694" s="4" t="s">
        <v>5769</v>
      </c>
      <c r="I1694" s="4">
        <v>20</v>
      </c>
      <c r="J1694" s="4" t="s">
        <v>23</v>
      </c>
      <c r="K1694" s="4" t="s">
        <v>24</v>
      </c>
      <c r="L1694" s="4">
        <v>14000000</v>
      </c>
      <c r="M1694" s="4">
        <v>2010</v>
      </c>
      <c r="N1694" s="4">
        <v>4.9000000000000004</v>
      </c>
      <c r="O1694" s="4">
        <f ca="1">IFERROR(__xludf.DUMMYFUNCTION("IF(Cost_in_dollars!E1694=""USD"",Cost_in_dollars!B1694,Cost_in_dollars!B1694 * GOOGLEFINANCE(""CURRENCY:"" &amp; Cost_in_dollars!E1694 &amp; ""USD""))
"),14000000)</f>
        <v>14000000</v>
      </c>
      <c r="P1694" s="4">
        <f ca="1">IFERROR(__xludf.DUMMYFUNCTION("IF(Cost_in_dollars!E1694=""USD"",Cost_in_dollars!C1694,Cost_in_dollars!C1694 * GOOGLEFINANCE(""CURRENCY:"" &amp; Cost_in_dollars!E1694 &amp; ""USD""))
"),20246959)</f>
        <v>20246959</v>
      </c>
      <c r="Q1694" s="4">
        <f t="shared" ca="1" si="36"/>
        <v>6246959</v>
      </c>
      <c r="R1694" s="5" t="str">
        <f t="shared" si="37"/>
        <v>Our Family Wedding</v>
      </c>
      <c r="S1694" s="43" t="str">
        <f t="shared" si="40"/>
        <v>Comedy</v>
      </c>
    </row>
    <row r="1695" spans="1:19" ht="15.75" customHeight="1" x14ac:dyDescent="0.25">
      <c r="A1695" s="6" t="s">
        <v>4536</v>
      </c>
      <c r="B1695" s="6">
        <v>140</v>
      </c>
      <c r="C1695" s="6">
        <v>34580635</v>
      </c>
      <c r="D1695" s="6" t="s">
        <v>1933</v>
      </c>
      <c r="E1695" s="6" t="s">
        <v>5770</v>
      </c>
      <c r="F1695" s="6" t="s">
        <v>5771</v>
      </c>
      <c r="G1695" s="6">
        <v>100743</v>
      </c>
      <c r="H1695" s="6" t="s">
        <v>5772</v>
      </c>
      <c r="I1695" s="6">
        <v>549</v>
      </c>
      <c r="J1695" s="6" t="s">
        <v>23</v>
      </c>
      <c r="K1695" s="6" t="s">
        <v>133</v>
      </c>
      <c r="L1695" s="6">
        <v>52000000</v>
      </c>
      <c r="M1695" s="6">
        <v>1999</v>
      </c>
      <c r="N1695" s="6">
        <v>7.4</v>
      </c>
      <c r="O1695" s="4">
        <f ca="1">IFERROR(__xludf.DUMMYFUNCTION("IF(Cost_in_dollars!E1695=""USD"",Cost_in_dollars!B1695,Cost_in_dollars!B1695 * GOOGLEFINANCE(""CURRENCY:"" &amp; Cost_in_dollars!E1695 &amp; ""USD""))
"),66840799.9999999)</f>
        <v>66840799.999999903</v>
      </c>
      <c r="P1695" s="4">
        <f ca="1">IFERROR(__xludf.DUMMYFUNCTION("IF(Cost_in_dollars!E1695=""USD"",Cost_in_dollars!C1695,Cost_in_dollars!C1695 * GOOGLEFINANCE(""CURRENCY:"" &amp; Cost_in_dollars!E1695 &amp; ""USD""))
"),44449948.2289999)</f>
        <v>44449948.228999898</v>
      </c>
      <c r="Q1695" s="6">
        <f t="shared" ca="1" si="36"/>
        <v>-22390851.771000005</v>
      </c>
      <c r="R1695" s="7" t="str">
        <f t="shared" si="37"/>
        <v>Man on the Moon</v>
      </c>
      <c r="S1695" s="43" t="str">
        <f t="shared" si="40"/>
        <v>Biography</v>
      </c>
    </row>
    <row r="1696" spans="1:19" ht="15.75" customHeight="1" x14ac:dyDescent="0.25">
      <c r="A1696" s="4" t="s">
        <v>5773</v>
      </c>
      <c r="B1696" s="4">
        <v>141</v>
      </c>
      <c r="C1696" s="4">
        <v>107225164</v>
      </c>
      <c r="D1696" s="4" t="s">
        <v>5774</v>
      </c>
      <c r="E1696" s="4" t="s">
        <v>352</v>
      </c>
      <c r="F1696" s="4" t="s">
        <v>5775</v>
      </c>
      <c r="G1696" s="4">
        <v>27130</v>
      </c>
      <c r="H1696" s="4" t="s">
        <v>5776</v>
      </c>
      <c r="I1696" s="4">
        <v>126</v>
      </c>
      <c r="J1696" s="4" t="s">
        <v>23</v>
      </c>
      <c r="K1696" s="4" t="s">
        <v>24</v>
      </c>
      <c r="L1696" s="4">
        <v>73000000</v>
      </c>
      <c r="M1696" s="4">
        <v>2016</v>
      </c>
      <c r="N1696" s="4">
        <v>6.3</v>
      </c>
      <c r="O1696" s="4">
        <f ca="1">IFERROR(__xludf.DUMMYFUNCTION("IF(Cost_in_dollars!E1696=""USD"",Cost_in_dollars!B1696,Cost_in_dollars!B1696 * GOOGLEFINANCE(""CURRENCY:"" &amp; Cost_in_dollars!E1696 &amp; ""USD""))
"),73000000)</f>
        <v>73000000</v>
      </c>
      <c r="P1696" s="4">
        <f ca="1">IFERROR(__xludf.DUMMYFUNCTION("IF(Cost_in_dollars!E1696=""USD"",Cost_in_dollars!C1696,Cost_in_dollars!C1696 * GOOGLEFINANCE(""CURRENCY:"" &amp; Cost_in_dollars!E1696 &amp; ""USD""))
"),107225164)</f>
        <v>107225164</v>
      </c>
      <c r="Q1696" s="4">
        <f t="shared" ca="1" si="36"/>
        <v>34225164</v>
      </c>
      <c r="R1696" s="5" t="str">
        <f t="shared" si="37"/>
        <v>The Angry Birds Movie</v>
      </c>
      <c r="S1696" s="43" t="str">
        <f t="shared" si="40"/>
        <v>Action</v>
      </c>
    </row>
    <row r="1697" spans="1:19" ht="15.75" customHeight="1" x14ac:dyDescent="0.25">
      <c r="A1697" s="6" t="s">
        <v>5777</v>
      </c>
      <c r="B1697" s="6">
        <v>271</v>
      </c>
      <c r="C1697" s="6">
        <v>32416109</v>
      </c>
      <c r="D1697" s="6" t="s">
        <v>5778</v>
      </c>
      <c r="E1697" s="6" t="s">
        <v>486</v>
      </c>
      <c r="F1697" s="6" t="s">
        <v>5779</v>
      </c>
      <c r="G1697" s="6">
        <v>109620</v>
      </c>
      <c r="H1697" s="6" t="s">
        <v>5780</v>
      </c>
      <c r="I1697" s="6">
        <v>268</v>
      </c>
      <c r="J1697" s="6" t="s">
        <v>23</v>
      </c>
      <c r="K1697" s="6" t="s">
        <v>24</v>
      </c>
      <c r="L1697" s="6">
        <v>25000000</v>
      </c>
      <c r="M1697" s="6">
        <v>2009</v>
      </c>
      <c r="N1697" s="6">
        <v>6.2</v>
      </c>
      <c r="O1697" s="4">
        <f ca="1">IFERROR(__xludf.DUMMYFUNCTION("IF(Cost_in_dollars!E1697=""USD"",Cost_in_dollars!B1697,Cost_in_dollars!B1697 * GOOGLEFINANCE(""CURRENCY:"" &amp; Cost_in_dollars!E1697 &amp; ""USD""))
"),25000000)</f>
        <v>25000000</v>
      </c>
      <c r="P1697" s="4">
        <f ca="1">IFERROR(__xludf.DUMMYFUNCTION("IF(Cost_in_dollars!E1697=""USD"",Cost_in_dollars!C1697,Cost_in_dollars!C1697 * GOOGLEFINANCE(""CURRENCY:"" &amp; Cost_in_dollars!E1697 &amp; ""USD""))
"),32416109)</f>
        <v>32416109</v>
      </c>
      <c r="Q1697" s="6">
        <f t="shared" ca="1" si="36"/>
        <v>7416109</v>
      </c>
      <c r="R1697" s="7" t="str">
        <f t="shared" si="37"/>
        <v>The Men Who Stare at Goats</v>
      </c>
      <c r="S1697" s="43" t="str">
        <f t="shared" si="40"/>
        <v>Comedy</v>
      </c>
    </row>
    <row r="1698" spans="1:19" ht="15.75" customHeight="1" x14ac:dyDescent="0.25">
      <c r="A1698" s="4" t="s">
        <v>429</v>
      </c>
      <c r="B1698" s="4">
        <v>54</v>
      </c>
      <c r="C1698" s="4">
        <v>4426297</v>
      </c>
      <c r="D1698" s="4" t="s">
        <v>573</v>
      </c>
      <c r="E1698" s="4" t="s">
        <v>847</v>
      </c>
      <c r="F1698" s="4" t="s">
        <v>5781</v>
      </c>
      <c r="G1698" s="4">
        <v>22570</v>
      </c>
      <c r="H1698" s="4" t="s">
        <v>5782</v>
      </c>
      <c r="I1698" s="4">
        <v>156</v>
      </c>
      <c r="J1698" s="4" t="s">
        <v>23</v>
      </c>
      <c r="K1698" s="4" t="s">
        <v>24</v>
      </c>
      <c r="L1698" s="4">
        <v>35000000</v>
      </c>
      <c r="M1698" s="4">
        <v>2003</v>
      </c>
      <c r="N1698" s="4">
        <v>6.5</v>
      </c>
      <c r="O1698" s="4">
        <f ca="1">IFERROR(__xludf.DUMMYFUNCTION("IF(Cost_in_dollars!E1698=""USD"",Cost_in_dollars!B1698,Cost_in_dollars!B1698 * GOOGLEFINANCE(""CURRENCY:"" &amp; Cost_in_dollars!E1698 &amp; ""USD""))
"),35000000)</f>
        <v>35000000</v>
      </c>
      <c r="P1698" s="4">
        <f ca="1">IFERROR(__xludf.DUMMYFUNCTION("IF(Cost_in_dollars!E1698=""USD"",Cost_in_dollars!C1698,Cost_in_dollars!C1698 * GOOGLEFINANCE(""CURRENCY:"" &amp; Cost_in_dollars!E1698 &amp; ""USD""))
"),4426297)</f>
        <v>4426297</v>
      </c>
      <c r="Q1698" s="4">
        <f t="shared" ca="1" si="36"/>
        <v>-30573703</v>
      </c>
      <c r="R1698" s="5" t="str">
        <f t="shared" si="37"/>
        <v>Beyond Borders</v>
      </c>
      <c r="S1698" s="43" t="str">
        <f t="shared" si="40"/>
        <v>Adventure</v>
      </c>
    </row>
    <row r="1699" spans="1:19" ht="15.75" customHeight="1" x14ac:dyDescent="0.25">
      <c r="A1699" s="6" t="s">
        <v>5783</v>
      </c>
      <c r="B1699" s="6">
        <v>22</v>
      </c>
      <c r="C1699" s="6">
        <v>3902679</v>
      </c>
      <c r="D1699" s="6" t="s">
        <v>1242</v>
      </c>
      <c r="E1699" s="6" t="s">
        <v>1037</v>
      </c>
      <c r="F1699" s="6" t="s">
        <v>5784</v>
      </c>
      <c r="G1699" s="6">
        <v>3943</v>
      </c>
      <c r="H1699" s="6" t="s">
        <v>5785</v>
      </c>
      <c r="I1699" s="6">
        <v>49</v>
      </c>
      <c r="J1699" s="6" t="s">
        <v>23</v>
      </c>
      <c r="K1699" s="6" t="s">
        <v>24</v>
      </c>
      <c r="L1699" s="6">
        <v>3000000</v>
      </c>
      <c r="M1699" s="6">
        <v>1993</v>
      </c>
      <c r="N1699" s="6">
        <v>5.3</v>
      </c>
      <c r="O1699" s="4">
        <f ca="1">IFERROR(__xludf.DUMMYFUNCTION("IF(Cost_in_dollars!E1699=""USD"",Cost_in_dollars!B1699,Cost_in_dollars!B1699 * GOOGLEFINANCE(""CURRENCY:"" &amp; Cost_in_dollars!E1699 &amp; ""USD""))
"),3000000)</f>
        <v>3000000</v>
      </c>
      <c r="P1699" s="4">
        <f ca="1">IFERROR(__xludf.DUMMYFUNCTION("IF(Cost_in_dollars!E1699=""USD"",Cost_in_dollars!C1699,Cost_in_dollars!C1699 * GOOGLEFINANCE(""CURRENCY:"" &amp; Cost_in_dollars!E1699 &amp; ""USD""))
"),3902679)</f>
        <v>3902679</v>
      </c>
      <c r="Q1699" s="6">
        <f t="shared" ca="1" si="36"/>
        <v>902679</v>
      </c>
      <c r="R1699" s="7" t="str">
        <f t="shared" si="37"/>
        <v>Warlock: The Armageddon</v>
      </c>
      <c r="S1699" s="43" t="str">
        <f t="shared" si="40"/>
        <v>Fantasy</v>
      </c>
    </row>
    <row r="1700" spans="1:19" ht="15.75" customHeight="1" x14ac:dyDescent="0.25">
      <c r="A1700" s="4" t="s">
        <v>935</v>
      </c>
      <c r="B1700" s="4">
        <v>301</v>
      </c>
      <c r="C1700" s="4">
        <v>1768416</v>
      </c>
      <c r="D1700" s="4" t="s">
        <v>457</v>
      </c>
      <c r="E1700" s="4" t="s">
        <v>5786</v>
      </c>
      <c r="F1700" s="4" t="s">
        <v>5787</v>
      </c>
      <c r="G1700" s="4">
        <v>35848</v>
      </c>
      <c r="H1700" s="4" t="s">
        <v>5788</v>
      </c>
      <c r="I1700" s="4">
        <v>198</v>
      </c>
      <c r="J1700" s="4" t="s">
        <v>23</v>
      </c>
      <c r="K1700" s="4" t="s">
        <v>24</v>
      </c>
      <c r="L1700" s="4">
        <v>7000000</v>
      </c>
      <c r="M1700" s="4">
        <v>2010</v>
      </c>
      <c r="N1700" s="4">
        <v>6.3</v>
      </c>
      <c r="O1700" s="4">
        <f ca="1">IFERROR(__xludf.DUMMYFUNCTION("IF(Cost_in_dollars!E1700=""USD"",Cost_in_dollars!B1700,Cost_in_dollars!B1700 * GOOGLEFINANCE(""CURRENCY:"" &amp; Cost_in_dollars!E1700 &amp; ""USD""))
"),7000000)</f>
        <v>7000000</v>
      </c>
      <c r="P1700" s="4">
        <f ca="1">IFERROR(__xludf.DUMMYFUNCTION("IF(Cost_in_dollars!E1700=""USD"",Cost_in_dollars!C1700,Cost_in_dollars!C1700 * GOOGLEFINANCE(""CURRENCY:"" &amp; Cost_in_dollars!E1700 &amp; ""USD""))
"),1768416)</f>
        <v>1768416</v>
      </c>
      <c r="Q1700" s="4">
        <f t="shared" ca="1" si="36"/>
        <v>-5231584</v>
      </c>
      <c r="R1700" s="5" t="str">
        <f t="shared" si="37"/>
        <v>Somewhere</v>
      </c>
      <c r="S1700" s="43" t="str">
        <f t="shared" si="40"/>
        <v>Comedy</v>
      </c>
    </row>
    <row r="1701" spans="1:19" ht="15.75" customHeight="1" x14ac:dyDescent="0.25">
      <c r="A1701" s="6" t="s">
        <v>5789</v>
      </c>
      <c r="B1701" s="6">
        <v>80</v>
      </c>
      <c r="C1701" s="6">
        <v>21500000</v>
      </c>
      <c r="D1701" s="6" t="s">
        <v>5790</v>
      </c>
      <c r="E1701" s="6" t="s">
        <v>44</v>
      </c>
      <c r="F1701" s="6" t="s">
        <v>5791</v>
      </c>
      <c r="G1701" s="6">
        <v>45271</v>
      </c>
      <c r="H1701" s="6" t="s">
        <v>5792</v>
      </c>
      <c r="I1701" s="6">
        <v>170</v>
      </c>
      <c r="J1701" s="6" t="s">
        <v>23</v>
      </c>
      <c r="K1701" s="6" t="s">
        <v>24</v>
      </c>
      <c r="L1701" s="6">
        <v>27000000</v>
      </c>
      <c r="M1701" s="6">
        <v>1983</v>
      </c>
      <c r="N1701" s="6">
        <v>7.9</v>
      </c>
      <c r="O1701" s="4">
        <f ca="1">IFERROR(__xludf.DUMMYFUNCTION("IF(Cost_in_dollars!E1701=""USD"",Cost_in_dollars!B1701,Cost_in_dollars!B1701 * GOOGLEFINANCE(""CURRENCY:"" &amp; Cost_in_dollars!E1701 &amp; ""USD""))
"),27000000)</f>
        <v>27000000</v>
      </c>
      <c r="P1701" s="4">
        <f ca="1">IFERROR(__xludf.DUMMYFUNCTION("IF(Cost_in_dollars!E1701=""USD"",Cost_in_dollars!C1701,Cost_in_dollars!C1701 * GOOGLEFINANCE(""CURRENCY:"" &amp; Cost_in_dollars!E1701 &amp; ""USD""))
"),21500000)</f>
        <v>21500000</v>
      </c>
      <c r="Q1701" s="6">
        <f t="shared" ca="1" si="36"/>
        <v>-5500000</v>
      </c>
      <c r="R1701" s="7" t="str">
        <f t="shared" si="37"/>
        <v>The Right Stuff</v>
      </c>
      <c r="S1701" s="43" t="str">
        <f t="shared" si="40"/>
        <v>Adventure</v>
      </c>
    </row>
    <row r="1702" spans="1:19" ht="15.75" customHeight="1" x14ac:dyDescent="0.25">
      <c r="A1702" s="4" t="s">
        <v>726</v>
      </c>
      <c r="B1702" s="4">
        <v>122</v>
      </c>
      <c r="C1702" s="4">
        <v>112692062</v>
      </c>
      <c r="D1702" s="4" t="s">
        <v>3324</v>
      </c>
      <c r="E1702" s="4" t="s">
        <v>2392</v>
      </c>
      <c r="F1702" s="4" t="s">
        <v>5793</v>
      </c>
      <c r="G1702" s="4">
        <v>84325</v>
      </c>
      <c r="H1702" s="4" t="s">
        <v>5794</v>
      </c>
      <c r="I1702" s="4">
        <v>205</v>
      </c>
      <c r="J1702" s="4" t="s">
        <v>23</v>
      </c>
      <c r="K1702" s="4" t="s">
        <v>24</v>
      </c>
      <c r="L1702" s="4">
        <v>35000000</v>
      </c>
      <c r="M1702" s="4">
        <v>2001</v>
      </c>
      <c r="N1702" s="4">
        <v>5.4</v>
      </c>
      <c r="O1702" s="4">
        <f ca="1">IFERROR(__xludf.DUMMYFUNCTION("IF(Cost_in_dollars!E1702=""USD"",Cost_in_dollars!B1702,Cost_in_dollars!B1702 * GOOGLEFINANCE(""CURRENCY:"" &amp; Cost_in_dollars!E1702 &amp; ""USD""))
"),35000000)</f>
        <v>35000000</v>
      </c>
      <c r="P1702" s="4">
        <f ca="1">IFERROR(__xludf.DUMMYFUNCTION("IF(Cost_in_dollars!E1702=""USD"",Cost_in_dollars!C1702,Cost_in_dollars!C1702 * GOOGLEFINANCE(""CURRENCY:"" &amp; Cost_in_dollars!E1702 &amp; ""USD""))
"),112692062)</f>
        <v>112692062</v>
      </c>
      <c r="Q1702" s="4">
        <f t="shared" ca="1" si="36"/>
        <v>77692062</v>
      </c>
      <c r="R1702" s="5" t="str">
        <f t="shared" si="37"/>
        <v>Spy Kids</v>
      </c>
      <c r="S1702" s="43" t="str">
        <f t="shared" si="40"/>
        <v>Action</v>
      </c>
    </row>
    <row r="1703" spans="1:19" ht="15.75" customHeight="1" x14ac:dyDescent="0.25">
      <c r="A1703" s="6" t="s">
        <v>726</v>
      </c>
      <c r="B1703" s="6">
        <v>103</v>
      </c>
      <c r="C1703" s="6">
        <v>20916309</v>
      </c>
      <c r="D1703" s="6" t="s">
        <v>517</v>
      </c>
      <c r="E1703" s="6" t="s">
        <v>469</v>
      </c>
      <c r="F1703" s="6" t="s">
        <v>5795</v>
      </c>
      <c r="G1703" s="6">
        <v>5332</v>
      </c>
      <c r="H1703" s="6" t="s">
        <v>5796</v>
      </c>
      <c r="I1703" s="6">
        <v>37</v>
      </c>
      <c r="J1703" s="6" t="s">
        <v>23</v>
      </c>
      <c r="K1703" s="6" t="s">
        <v>24</v>
      </c>
      <c r="L1703" s="6">
        <v>40000000</v>
      </c>
      <c r="M1703" s="6">
        <v>2009</v>
      </c>
      <c r="N1703" s="6">
        <v>4.9000000000000004</v>
      </c>
      <c r="O1703" s="4">
        <f ca="1">IFERROR(__xludf.DUMMYFUNCTION("IF(Cost_in_dollars!E1703=""USD"",Cost_in_dollars!B1703,Cost_in_dollars!B1703 * GOOGLEFINANCE(""CURRENCY:"" &amp; Cost_in_dollars!E1703 &amp; ""USD""))
"),40000000)</f>
        <v>40000000</v>
      </c>
      <c r="P1703" s="4">
        <f ca="1">IFERROR(__xludf.DUMMYFUNCTION("IF(Cost_in_dollars!E1703=""USD"",Cost_in_dollars!C1703,Cost_in_dollars!C1703 * GOOGLEFINANCE(""CURRENCY:"" &amp; Cost_in_dollars!E1703 &amp; ""USD""))
"),20916309)</f>
        <v>20916309</v>
      </c>
      <c r="Q1703" s="6">
        <f t="shared" ca="1" si="36"/>
        <v>-19083691</v>
      </c>
      <c r="R1703" s="7" t="str">
        <f t="shared" si="37"/>
        <v>Shorts</v>
      </c>
      <c r="S1703" s="43" t="str">
        <f t="shared" si="40"/>
        <v>Comedy</v>
      </c>
    </row>
    <row r="1704" spans="1:19" ht="15.75" customHeight="1" x14ac:dyDescent="0.25">
      <c r="A1704" s="4" t="s">
        <v>5797</v>
      </c>
      <c r="B1704" s="4">
        <v>160</v>
      </c>
      <c r="C1704" s="4">
        <v>21300000</v>
      </c>
      <c r="D1704" s="4" t="s">
        <v>93</v>
      </c>
      <c r="E1704" s="4" t="s">
        <v>5798</v>
      </c>
      <c r="F1704" s="4" t="s">
        <v>5799</v>
      </c>
      <c r="G1704" s="4">
        <v>22521</v>
      </c>
      <c r="H1704" s="4" t="s">
        <v>5800</v>
      </c>
      <c r="I1704" s="4">
        <v>342</v>
      </c>
      <c r="J1704" s="4" t="s">
        <v>23</v>
      </c>
      <c r="K1704" s="4" t="s">
        <v>24</v>
      </c>
      <c r="L1704" s="4">
        <v>2200000</v>
      </c>
      <c r="M1704" s="4">
        <v>1985</v>
      </c>
      <c r="N1704" s="4">
        <v>4.7</v>
      </c>
      <c r="O1704" s="4">
        <f ca="1">IFERROR(__xludf.DUMMYFUNCTION("IF(Cost_in_dollars!E1704=""USD"",Cost_in_dollars!B1704,Cost_in_dollars!B1704 * GOOGLEFINANCE(""CURRENCY:"" &amp; Cost_in_dollars!E1704 &amp; ""USD""))
"),2200000)</f>
        <v>2200000</v>
      </c>
      <c r="P1704" s="4">
        <f ca="1">IFERROR(__xludf.DUMMYFUNCTION("IF(Cost_in_dollars!E1704=""USD"",Cost_in_dollars!C1704,Cost_in_dollars!C1704 * GOOGLEFINANCE(""CURRENCY:"" &amp; Cost_in_dollars!E1704 &amp; ""USD""))
"),21300000)</f>
        <v>21300000</v>
      </c>
      <c r="Q1704" s="4">
        <f t="shared" ca="1" si="36"/>
        <v>19100000</v>
      </c>
      <c r="R1704" s="5" t="str">
        <f t="shared" si="37"/>
        <v>Friday the 13th: A New Beginning</v>
      </c>
      <c r="S1704" s="43" t="str">
        <f t="shared" si="40"/>
        <v>Horror</v>
      </c>
    </row>
    <row r="1705" spans="1:19" ht="15.75" customHeight="1" x14ac:dyDescent="0.25">
      <c r="A1705" s="6" t="s">
        <v>110</v>
      </c>
      <c r="B1705" s="6">
        <v>235</v>
      </c>
      <c r="C1705" s="6">
        <v>36200000</v>
      </c>
      <c r="D1705" s="6" t="s">
        <v>309</v>
      </c>
      <c r="E1705" s="6" t="s">
        <v>5801</v>
      </c>
      <c r="F1705" s="6" t="s">
        <v>5802</v>
      </c>
      <c r="G1705" s="6">
        <v>31952</v>
      </c>
      <c r="H1705" s="6" t="s">
        <v>5803</v>
      </c>
      <c r="I1705" s="6">
        <v>372</v>
      </c>
      <c r="J1705" s="6" t="s">
        <v>23</v>
      </c>
      <c r="K1705" s="6" t="s">
        <v>24</v>
      </c>
      <c r="L1705" s="6">
        <v>4000000</v>
      </c>
      <c r="M1705" s="6">
        <v>1982</v>
      </c>
      <c r="N1705" s="6">
        <v>5.7</v>
      </c>
      <c r="O1705" s="4">
        <f ca="1">IFERROR(__xludf.DUMMYFUNCTION("IF(Cost_in_dollars!E1705=""USD"",Cost_in_dollars!B1705,Cost_in_dollars!B1705 * GOOGLEFINANCE(""CURRENCY:"" &amp; Cost_in_dollars!E1705 &amp; ""USD""))
"),4000000)</f>
        <v>4000000</v>
      </c>
      <c r="P1705" s="4">
        <f ca="1">IFERROR(__xludf.DUMMYFUNCTION("IF(Cost_in_dollars!E1705=""USD"",Cost_in_dollars!C1705,Cost_in_dollars!C1705 * GOOGLEFINANCE(""CURRENCY:"" &amp; Cost_in_dollars!E1705 &amp; ""USD""))
"),36200000)</f>
        <v>36200000</v>
      </c>
      <c r="Q1705" s="6">
        <f t="shared" ca="1" si="36"/>
        <v>32200000</v>
      </c>
      <c r="R1705" s="7" t="str">
        <f t="shared" si="37"/>
        <v>Friday the 13th Part III</v>
      </c>
      <c r="S1705" s="43" t="str">
        <f t="shared" si="40"/>
        <v>Horror</v>
      </c>
    </row>
    <row r="1706" spans="1:19" ht="15.75" customHeight="1" x14ac:dyDescent="0.25">
      <c r="A1706" s="4" t="s">
        <v>1574</v>
      </c>
      <c r="B1706" s="4">
        <v>211</v>
      </c>
      <c r="C1706" s="4">
        <v>30688364</v>
      </c>
      <c r="D1706" s="4" t="s">
        <v>178</v>
      </c>
      <c r="E1706" s="4" t="s">
        <v>2433</v>
      </c>
      <c r="F1706" s="4" t="s">
        <v>5804</v>
      </c>
      <c r="G1706" s="4">
        <v>69355</v>
      </c>
      <c r="H1706" s="4" t="s">
        <v>5805</v>
      </c>
      <c r="I1706" s="4">
        <v>211</v>
      </c>
      <c r="J1706" s="4" t="s">
        <v>23</v>
      </c>
      <c r="K1706" s="4" t="s">
        <v>24</v>
      </c>
      <c r="L1706" s="4">
        <v>28000000</v>
      </c>
      <c r="M1706" s="4">
        <v>2014</v>
      </c>
      <c r="N1706" s="4">
        <v>6.2</v>
      </c>
      <c r="O1706" s="4">
        <f ca="1">IFERROR(__xludf.DUMMYFUNCTION("IF(Cost_in_dollars!E1706=""USD"",Cost_in_dollars!B1706,Cost_in_dollars!B1706 * GOOGLEFINANCE(""CURRENCY:"" &amp; Cost_in_dollars!E1706 &amp; ""USD""))
"),28000000)</f>
        <v>28000000</v>
      </c>
      <c r="P1706" s="4">
        <f ca="1">IFERROR(__xludf.DUMMYFUNCTION("IF(Cost_in_dollars!E1706=""USD"",Cost_in_dollars!C1706,Cost_in_dollars!C1706 * GOOGLEFINANCE(""CURRENCY:"" &amp; Cost_in_dollars!E1706 &amp; ""USD""))
"),30688364)</f>
        <v>30688364</v>
      </c>
      <c r="Q1706" s="4">
        <f t="shared" ca="1" si="36"/>
        <v>2688364</v>
      </c>
      <c r="R1706" s="5" t="str">
        <f t="shared" si="37"/>
        <v>3 Days to Kill</v>
      </c>
      <c r="S1706" s="43" t="str">
        <f t="shared" si="40"/>
        <v>Action</v>
      </c>
    </row>
    <row r="1707" spans="1:19" ht="15.75" customHeight="1" x14ac:dyDescent="0.25">
      <c r="A1707" s="6" t="s">
        <v>5806</v>
      </c>
      <c r="B1707" s="6">
        <v>20</v>
      </c>
      <c r="C1707" s="6">
        <v>3275443</v>
      </c>
      <c r="D1707" s="6" t="s">
        <v>102</v>
      </c>
      <c r="E1707" s="6" t="s">
        <v>670</v>
      </c>
      <c r="F1707" s="6" t="s">
        <v>5807</v>
      </c>
      <c r="G1707" s="6">
        <v>13998</v>
      </c>
      <c r="H1707" s="6" t="s">
        <v>5808</v>
      </c>
      <c r="I1707" s="6">
        <v>264</v>
      </c>
      <c r="J1707" s="6" t="s">
        <v>673</v>
      </c>
      <c r="K1707" s="6" t="s">
        <v>674</v>
      </c>
      <c r="L1707" s="6">
        <v>700000000</v>
      </c>
      <c r="M1707" s="6">
        <v>2006</v>
      </c>
      <c r="N1707" s="6">
        <v>6</v>
      </c>
      <c r="O1707" s="4">
        <f ca="1">IFERROR(__xludf.DUMMYFUNCTION("IF(Cost_in_dollars!E1707=""USD"",Cost_in_dollars!B1707,Cost_in_dollars!B1707 * GOOGLEFINANCE(""CURRENCY:"" &amp; Cost_in_dollars!E1707 &amp; ""USD""))
"),8359022)</f>
        <v>8359022</v>
      </c>
      <c r="P1707" s="4">
        <f ca="1">IFERROR(__xludf.DUMMYFUNCTION("IF(Cost_in_dollars!E1707=""USD"",Cost_in_dollars!C1707,Cost_in_dollars!C1707 * GOOGLEFINANCE(""CURRENCY:"" &amp; Cost_in_dollars!E1707 &amp; ""USD""))
"),39113.57156678)</f>
        <v>39113.571566780003</v>
      </c>
      <c r="Q1707" s="6">
        <f t="shared" ca="1" si="36"/>
        <v>-8319908.4284332199</v>
      </c>
      <c r="R1707" s="7" t="str">
        <f t="shared" si="37"/>
        <v>Kabhi Alvida Naa Kehna</v>
      </c>
      <c r="S1707" s="43" t="str">
        <f t="shared" si="40"/>
        <v>Drama</v>
      </c>
    </row>
    <row r="1708" spans="1:19" ht="15.75" customHeight="1" x14ac:dyDescent="0.25">
      <c r="A1708" s="4" t="s">
        <v>3829</v>
      </c>
      <c r="B1708" s="4">
        <v>95</v>
      </c>
      <c r="C1708" s="4">
        <v>5204007</v>
      </c>
      <c r="D1708" s="4" t="s">
        <v>793</v>
      </c>
      <c r="E1708" s="4" t="s">
        <v>5684</v>
      </c>
      <c r="F1708" s="4" t="s">
        <v>5809</v>
      </c>
      <c r="G1708" s="4">
        <v>42876</v>
      </c>
      <c r="H1708" s="4" t="s">
        <v>5810</v>
      </c>
      <c r="I1708" s="4">
        <v>167</v>
      </c>
      <c r="J1708" s="4" t="s">
        <v>23</v>
      </c>
      <c r="K1708" s="4" t="s">
        <v>133</v>
      </c>
      <c r="L1708" s="4">
        <v>28000000</v>
      </c>
      <c r="M1708" s="4">
        <v>2001</v>
      </c>
      <c r="N1708" s="4">
        <v>6.3</v>
      </c>
      <c r="O1708" s="4">
        <f ca="1">IFERROR(__xludf.DUMMYFUNCTION("IF(Cost_in_dollars!E1708=""USD"",Cost_in_dollars!B1708,Cost_in_dollars!B1708 * GOOGLEFINANCE(""CURRENCY:"" &amp; Cost_in_dollars!E1708 &amp; ""USD""))
"),35991200)</f>
        <v>35991200</v>
      </c>
      <c r="P1708" s="4">
        <f ca="1">IFERROR(__xludf.DUMMYFUNCTION("IF(Cost_in_dollars!E1708=""USD"",Cost_in_dollars!C1708,Cost_in_dollars!C1708 * GOOGLEFINANCE(""CURRENCY:"" &amp; Cost_in_dollars!E1708 &amp; ""USD""))
"),6689230.5978)</f>
        <v>6689230.5977999996</v>
      </c>
      <c r="Q1708" s="4">
        <f t="shared" ca="1" si="36"/>
        <v>-29301969.402199998</v>
      </c>
      <c r="R1708" s="5" t="str">
        <f t="shared" si="37"/>
        <v>Formula 51</v>
      </c>
      <c r="S1708" s="43" t="str">
        <f t="shared" si="40"/>
        <v>Action</v>
      </c>
    </row>
    <row r="1709" spans="1:19" ht="15.75" customHeight="1" x14ac:dyDescent="0.25">
      <c r="A1709" s="6" t="s">
        <v>5811</v>
      </c>
      <c r="B1709" s="6">
        <v>10</v>
      </c>
      <c r="C1709" s="6">
        <v>2859955</v>
      </c>
      <c r="D1709" s="6" t="s">
        <v>135</v>
      </c>
      <c r="E1709" s="6" t="s">
        <v>168</v>
      </c>
      <c r="F1709" s="6" t="s">
        <v>5812</v>
      </c>
      <c r="G1709" s="6">
        <v>2417</v>
      </c>
      <c r="H1709" s="6" t="s">
        <v>5813</v>
      </c>
      <c r="I1709" s="6">
        <v>32</v>
      </c>
      <c r="J1709" s="6" t="s">
        <v>23</v>
      </c>
      <c r="K1709" s="6" t="s">
        <v>24</v>
      </c>
      <c r="L1709" s="6">
        <v>1200000</v>
      </c>
      <c r="M1709" s="6">
        <v>2013</v>
      </c>
      <c r="N1709" s="6">
        <v>6</v>
      </c>
      <c r="O1709" s="4">
        <f ca="1">IFERROR(__xludf.DUMMYFUNCTION("IF(Cost_in_dollars!E1709=""USD"",Cost_in_dollars!B1709,Cost_in_dollars!B1709 * GOOGLEFINANCE(""CURRENCY:"" &amp; Cost_in_dollars!E1709 &amp; ""USD""))
"),1200000)</f>
        <v>1200000</v>
      </c>
      <c r="P1709" s="4">
        <f ca="1">IFERROR(__xludf.DUMMYFUNCTION("IF(Cost_in_dollars!E1709=""USD"",Cost_in_dollars!C1709,Cost_in_dollars!C1709 * GOOGLEFINANCE(""CURRENCY:"" &amp; Cost_in_dollars!E1709 &amp; ""USD""))
"),2859955)</f>
        <v>2859955</v>
      </c>
      <c r="Q1709" s="6">
        <f t="shared" ca="1" si="36"/>
        <v>1659955</v>
      </c>
      <c r="R1709" s="7" t="str">
        <f t="shared" si="37"/>
        <v>Home Run</v>
      </c>
      <c r="S1709" s="43" t="str">
        <f t="shared" si="40"/>
        <v>Drama</v>
      </c>
    </row>
    <row r="1710" spans="1:19" ht="15.75" customHeight="1" x14ac:dyDescent="0.25">
      <c r="A1710" s="4" t="s">
        <v>1321</v>
      </c>
      <c r="B1710" s="4">
        <v>396</v>
      </c>
      <c r="C1710" s="4">
        <v>154985087</v>
      </c>
      <c r="D1710" s="4" t="s">
        <v>188</v>
      </c>
      <c r="E1710" s="4" t="s">
        <v>1507</v>
      </c>
      <c r="F1710" s="4" t="s">
        <v>5814</v>
      </c>
      <c r="G1710" s="4">
        <v>148379</v>
      </c>
      <c r="H1710" s="4" t="s">
        <v>5815</v>
      </c>
      <c r="I1710" s="4">
        <v>622</v>
      </c>
      <c r="J1710" s="4" t="s">
        <v>23</v>
      </c>
      <c r="K1710" s="4" t="s">
        <v>24</v>
      </c>
      <c r="L1710" s="4">
        <v>178000000</v>
      </c>
      <c r="M1710" s="4">
        <v>2016</v>
      </c>
      <c r="N1710" s="4">
        <v>7.3</v>
      </c>
      <c r="O1710" s="4">
        <f ca="1">IFERROR(__xludf.DUMMYFUNCTION("IF(Cost_in_dollars!E1710=""USD"",Cost_in_dollars!B1710,Cost_in_dollars!B1710 * GOOGLEFINANCE(""CURRENCY:"" &amp; Cost_in_dollars!E1710 &amp; ""USD""))
"),178000000)</f>
        <v>178000000</v>
      </c>
      <c r="P1710" s="4">
        <f ca="1">IFERROR(__xludf.DUMMYFUNCTION("IF(Cost_in_dollars!E1710=""USD"",Cost_in_dollars!C1710,Cost_in_dollars!C1710 * GOOGLEFINANCE(""CURRENCY:"" &amp; Cost_in_dollars!E1710 &amp; ""USD""))
"),154985087)</f>
        <v>154985087</v>
      </c>
      <c r="Q1710" s="4">
        <f t="shared" ca="1" si="36"/>
        <v>-23014913</v>
      </c>
      <c r="R1710" s="5" t="str">
        <f t="shared" si="37"/>
        <v>X-Men: Apocalypse</v>
      </c>
      <c r="S1710" s="43" t="str">
        <f t="shared" si="40"/>
        <v>Action</v>
      </c>
    </row>
    <row r="1711" spans="1:19" ht="15.75" customHeight="1" x14ac:dyDescent="0.25">
      <c r="A1711" s="6" t="s">
        <v>5816</v>
      </c>
      <c r="B1711" s="6">
        <v>72</v>
      </c>
      <c r="C1711" s="6">
        <v>103738726</v>
      </c>
      <c r="D1711" s="6" t="s">
        <v>5817</v>
      </c>
      <c r="E1711" s="6" t="s">
        <v>5818</v>
      </c>
      <c r="F1711" s="6" t="s">
        <v>5819</v>
      </c>
      <c r="G1711" s="6">
        <v>47819</v>
      </c>
      <c r="H1711" s="6" t="s">
        <v>5820</v>
      </c>
      <c r="I1711" s="6">
        <v>164</v>
      </c>
      <c r="J1711" s="6" t="s">
        <v>23</v>
      </c>
      <c r="K1711" s="6" t="s">
        <v>24</v>
      </c>
      <c r="L1711" s="6">
        <v>100000000</v>
      </c>
      <c r="M1711" s="6">
        <v>1990</v>
      </c>
      <c r="N1711" s="6">
        <v>6.1</v>
      </c>
      <c r="O1711" s="4">
        <f ca="1">IFERROR(__xludf.DUMMYFUNCTION("IF(Cost_in_dollars!E1711=""USD"",Cost_in_dollars!B1711,Cost_in_dollars!B1711 * GOOGLEFINANCE(""CURRENCY:"" &amp; Cost_in_dollars!E1711 &amp; ""USD""))
"),100000000)</f>
        <v>100000000</v>
      </c>
      <c r="P1711" s="4">
        <f ca="1">IFERROR(__xludf.DUMMYFUNCTION("IF(Cost_in_dollars!E1711=""USD"",Cost_in_dollars!C1711,Cost_in_dollars!C1711 * GOOGLEFINANCE(""CURRENCY:"" &amp; Cost_in_dollars!E1711 &amp; ""USD""))
"),103738726)</f>
        <v>103738726</v>
      </c>
      <c r="Q1711" s="6">
        <f t="shared" ca="1" si="36"/>
        <v>3738726</v>
      </c>
      <c r="R1711" s="7" t="str">
        <f t="shared" si="37"/>
        <v>Dick Tracy</v>
      </c>
      <c r="S1711" s="43" t="str">
        <f t="shared" si="40"/>
        <v>Action</v>
      </c>
    </row>
    <row r="1712" spans="1:19" ht="15.75" customHeight="1" x14ac:dyDescent="0.25">
      <c r="A1712" s="4" t="s">
        <v>3938</v>
      </c>
      <c r="B1712" s="4">
        <v>443</v>
      </c>
      <c r="C1712" s="4">
        <v>93417865</v>
      </c>
      <c r="D1712" s="4" t="s">
        <v>5821</v>
      </c>
      <c r="E1712" s="4" t="s">
        <v>645</v>
      </c>
      <c r="F1712" s="4" t="s">
        <v>5822</v>
      </c>
      <c r="G1712" s="4">
        <v>128306</v>
      </c>
      <c r="H1712" s="4" t="s">
        <v>5823</v>
      </c>
      <c r="I1712" s="4">
        <v>497</v>
      </c>
      <c r="J1712" s="4" t="s">
        <v>23</v>
      </c>
      <c r="K1712" s="4" t="s">
        <v>24</v>
      </c>
      <c r="L1712" s="4">
        <v>190000000</v>
      </c>
      <c r="M1712" s="4">
        <v>2015</v>
      </c>
      <c r="N1712" s="4">
        <v>6.5</v>
      </c>
      <c r="O1712" s="4">
        <f ca="1">IFERROR(__xludf.DUMMYFUNCTION("IF(Cost_in_dollars!E1712=""USD"",Cost_in_dollars!B1712,Cost_in_dollars!B1712 * GOOGLEFINANCE(""CURRENCY:"" &amp; Cost_in_dollars!E1712 &amp; ""USD""))
"),190000000)</f>
        <v>190000000</v>
      </c>
      <c r="P1712" s="4">
        <f ca="1">IFERROR(__xludf.DUMMYFUNCTION("IF(Cost_in_dollars!E1712=""USD"",Cost_in_dollars!C1712,Cost_in_dollars!C1712 * GOOGLEFINANCE(""CURRENCY:"" &amp; Cost_in_dollars!E1712 &amp; ""USD""))
"),93417865)</f>
        <v>93417865</v>
      </c>
      <c r="Q1712" s="4">
        <f t="shared" ca="1" si="36"/>
        <v>-96582135</v>
      </c>
      <c r="R1712" s="5" t="str">
        <f t="shared" si="37"/>
        <v>Tomorrowland</v>
      </c>
      <c r="S1712" s="43" t="str">
        <f t="shared" si="40"/>
        <v>Action</v>
      </c>
    </row>
    <row r="1713" spans="1:19" ht="15.75" customHeight="1" x14ac:dyDescent="0.25">
      <c r="A1713" s="6" t="s">
        <v>5824</v>
      </c>
      <c r="B1713" s="6">
        <v>70</v>
      </c>
      <c r="C1713" s="6">
        <v>54967359</v>
      </c>
      <c r="D1713" s="6" t="s">
        <v>5825</v>
      </c>
      <c r="E1713" s="6" t="s">
        <v>2120</v>
      </c>
      <c r="F1713" s="6" t="s">
        <v>5826</v>
      </c>
      <c r="G1713" s="6">
        <v>52805</v>
      </c>
      <c r="H1713" s="6" t="s">
        <v>5827</v>
      </c>
      <c r="I1713" s="6">
        <v>209</v>
      </c>
      <c r="J1713" s="6" t="s">
        <v>23</v>
      </c>
      <c r="K1713" s="6" t="s">
        <v>24</v>
      </c>
      <c r="L1713" s="6">
        <v>40000000</v>
      </c>
      <c r="M1713" s="6">
        <v>1997</v>
      </c>
      <c r="N1713" s="6">
        <v>5.2</v>
      </c>
      <c r="O1713" s="4">
        <f ca="1">IFERROR(__xludf.DUMMYFUNCTION("IF(Cost_in_dollars!E1713=""USD"",Cost_in_dollars!B1713,Cost_in_dollars!B1713 * GOOGLEFINANCE(""CURRENCY:"" &amp; Cost_in_dollars!E1713 &amp; ""USD""))
"),40000000)</f>
        <v>40000000</v>
      </c>
      <c r="P1713" s="4">
        <f ca="1">IFERROR(__xludf.DUMMYFUNCTION("IF(Cost_in_dollars!E1713=""USD"",Cost_in_dollars!C1713,Cost_in_dollars!C1713 * GOOGLEFINANCE(""CURRENCY:"" &amp; Cost_in_dollars!E1713 &amp; ""USD""))
"),54967359)</f>
        <v>54967359</v>
      </c>
      <c r="Q1713" s="6">
        <f t="shared" ca="1" si="36"/>
        <v>14967359</v>
      </c>
      <c r="R1713" s="7" t="str">
        <f t="shared" si="37"/>
        <v>Spawn</v>
      </c>
      <c r="S1713" s="43" t="str">
        <f t="shared" si="40"/>
        <v>Action</v>
      </c>
    </row>
    <row r="1714" spans="1:19" ht="15.75" customHeight="1" x14ac:dyDescent="0.25">
      <c r="A1714" s="4" t="s">
        <v>5828</v>
      </c>
      <c r="B1714" s="4">
        <v>274</v>
      </c>
      <c r="C1714" s="4">
        <v>15294553</v>
      </c>
      <c r="D1714" s="4" t="s">
        <v>3272</v>
      </c>
      <c r="E1714" s="4" t="s">
        <v>5829</v>
      </c>
      <c r="F1714" s="4" t="s">
        <v>5830</v>
      </c>
      <c r="G1714" s="4">
        <v>202341</v>
      </c>
      <c r="H1714" s="4" t="s">
        <v>5831</v>
      </c>
      <c r="I1714" s="4">
        <v>391</v>
      </c>
      <c r="J1714" s="4" t="s">
        <v>23</v>
      </c>
      <c r="K1714" s="4" t="s">
        <v>133</v>
      </c>
      <c r="L1714" s="4">
        <v>12000000</v>
      </c>
      <c r="M1714" s="4">
        <v>2013</v>
      </c>
      <c r="N1714" s="4">
        <v>7.8</v>
      </c>
      <c r="O1714" s="4">
        <f ca="1">IFERROR(__xludf.DUMMYFUNCTION("IF(Cost_in_dollars!E1714=""USD"",Cost_in_dollars!B1714,Cost_in_dollars!B1714 * GOOGLEFINANCE(""CURRENCY:"" &amp; Cost_in_dollars!E1714 &amp; ""USD""))
"),15424799.9999999)</f>
        <v>15424799.999999899</v>
      </c>
      <c r="P1714" s="4">
        <f ca="1">IFERROR(__xludf.DUMMYFUNCTION("IF(Cost_in_dollars!E1714=""USD"",Cost_in_dollars!C1714,Cost_in_dollars!C1714 * GOOGLEFINANCE(""CURRENCY:"" &amp; Cost_in_dollars!E1714 &amp; ""USD""))
"),19659618.4262)</f>
        <v>19659618.426199999</v>
      </c>
      <c r="Q1714" s="4">
        <f t="shared" ca="1" si="36"/>
        <v>4234818.4262000993</v>
      </c>
      <c r="R1714" s="5" t="str">
        <f t="shared" si="37"/>
        <v>About Time</v>
      </c>
      <c r="S1714" s="43" t="str">
        <f t="shared" si="40"/>
        <v>Drama</v>
      </c>
    </row>
    <row r="1715" spans="1:19" ht="15.75" customHeight="1" x14ac:dyDescent="0.25">
      <c r="A1715" s="6" t="s">
        <v>5832</v>
      </c>
      <c r="B1715" s="6">
        <v>203</v>
      </c>
      <c r="C1715" s="6">
        <v>33305037</v>
      </c>
      <c r="D1715" s="6" t="s">
        <v>623</v>
      </c>
      <c r="E1715" s="6" t="s">
        <v>2466</v>
      </c>
      <c r="F1715" s="6" t="s">
        <v>5833</v>
      </c>
      <c r="G1715" s="6">
        <v>33856</v>
      </c>
      <c r="H1715" s="6" t="s">
        <v>5834</v>
      </c>
      <c r="I1715" s="6">
        <v>147</v>
      </c>
      <c r="J1715" s="6" t="s">
        <v>23</v>
      </c>
      <c r="K1715" s="6" t="s">
        <v>133</v>
      </c>
      <c r="L1715" s="6">
        <v>11000000</v>
      </c>
      <c r="M1715" s="6">
        <v>2015</v>
      </c>
      <c r="N1715" s="6">
        <v>7.3</v>
      </c>
      <c r="O1715" s="4">
        <f ca="1">IFERROR(__xludf.DUMMYFUNCTION("IF(Cost_in_dollars!E1715=""USD"",Cost_in_dollars!B1715,Cost_in_dollars!B1715 * GOOGLEFINANCE(""CURRENCY:"" &amp; Cost_in_dollars!E1715 &amp; ""USD""))
"),14139399.9999999)</f>
        <v>14139399.999999899</v>
      </c>
      <c r="P1715" s="4">
        <f ca="1">IFERROR(__xludf.DUMMYFUNCTION("IF(Cost_in_dollars!E1715=""USD"",Cost_in_dollars!C1715,Cost_in_dollars!C1715 * GOOGLEFINANCE(""CURRENCY:"" &amp; Cost_in_dollars!E1715 &amp; ""USD""))
"),42810294.5598)</f>
        <v>42810294.559799999</v>
      </c>
      <c r="Q1715" s="6">
        <f t="shared" ca="1" si="36"/>
        <v>28670894.5598001</v>
      </c>
      <c r="R1715" s="7" t="str">
        <f t="shared" si="37"/>
        <v>Woman in Gold</v>
      </c>
      <c r="S1715" s="43" t="str">
        <f t="shared" si="40"/>
        <v>Biography</v>
      </c>
    </row>
    <row r="1716" spans="1:19" ht="15.75" customHeight="1" x14ac:dyDescent="0.25">
      <c r="A1716" s="4" t="s">
        <v>5835</v>
      </c>
      <c r="B1716" s="4">
        <v>85</v>
      </c>
      <c r="C1716" s="4">
        <v>26096584</v>
      </c>
      <c r="D1716" s="4" t="s">
        <v>140</v>
      </c>
      <c r="E1716" s="4" t="s">
        <v>5836</v>
      </c>
      <c r="F1716" s="4" t="s">
        <v>5837</v>
      </c>
      <c r="G1716" s="4">
        <v>30651</v>
      </c>
      <c r="H1716" s="4" t="s">
        <v>5838</v>
      </c>
      <c r="I1716" s="4">
        <v>267</v>
      </c>
      <c r="J1716" s="4" t="s">
        <v>23</v>
      </c>
      <c r="K1716" s="4" t="s">
        <v>24</v>
      </c>
      <c r="L1716" s="4">
        <v>19000000</v>
      </c>
      <c r="M1716" s="4">
        <v>2003</v>
      </c>
      <c r="N1716" s="4">
        <v>3.4</v>
      </c>
      <c r="O1716" s="4">
        <f ca="1">IFERROR(__xludf.DUMMYFUNCTION("IF(Cost_in_dollars!E1716=""USD"",Cost_in_dollars!B1716,Cost_in_dollars!B1716 * GOOGLEFINANCE(""CURRENCY:"" &amp; Cost_in_dollars!E1716 &amp; ""USD""))
"),19000000)</f>
        <v>19000000</v>
      </c>
      <c r="P1716" s="4">
        <f ca="1">IFERROR(__xludf.DUMMYFUNCTION("IF(Cost_in_dollars!E1716=""USD"",Cost_in_dollars!C1716,Cost_in_dollars!C1716 * GOOGLEFINANCE(""CURRENCY:"" &amp; Cost_in_dollars!E1716 &amp; ""USD""))
"),26096584)</f>
        <v>26096584</v>
      </c>
      <c r="Q1716" s="4">
        <f t="shared" ca="1" si="36"/>
        <v>7096584</v>
      </c>
      <c r="R1716" s="5" t="str">
        <f t="shared" si="37"/>
        <v>Dumb and Dumberer: When Harry Met Lloyd</v>
      </c>
      <c r="S1716" s="43" t="str">
        <f t="shared" si="40"/>
        <v>Comedy</v>
      </c>
    </row>
    <row r="1717" spans="1:19" ht="15.75" customHeight="1" x14ac:dyDescent="0.25">
      <c r="A1717" s="6" t="s">
        <v>72</v>
      </c>
      <c r="B1717" s="6">
        <v>343</v>
      </c>
      <c r="C1717" s="6">
        <v>105219735</v>
      </c>
      <c r="D1717" s="6" t="s">
        <v>4430</v>
      </c>
      <c r="E1717" s="6" t="s">
        <v>4655</v>
      </c>
      <c r="F1717" s="6" t="s">
        <v>5839</v>
      </c>
      <c r="G1717" s="6">
        <v>211765</v>
      </c>
      <c r="H1717" s="6" t="s">
        <v>5840</v>
      </c>
      <c r="I1717" s="6">
        <v>546</v>
      </c>
      <c r="J1717" s="6" t="s">
        <v>23</v>
      </c>
      <c r="K1717" s="6" t="s">
        <v>24</v>
      </c>
      <c r="L1717" s="6">
        <v>200000000</v>
      </c>
      <c r="M1717" s="6">
        <v>2010</v>
      </c>
      <c r="N1717" s="6">
        <v>6.7</v>
      </c>
      <c r="O1717" s="4">
        <f ca="1">IFERROR(__xludf.DUMMYFUNCTION("IF(Cost_in_dollars!E1717=""USD"",Cost_in_dollars!B1717,Cost_in_dollars!B1717 * GOOGLEFINANCE(""CURRENCY:"" &amp; Cost_in_dollars!E1717 &amp; ""USD""))
"),200000000)</f>
        <v>200000000</v>
      </c>
      <c r="P1717" s="4">
        <f ca="1">IFERROR(__xludf.DUMMYFUNCTION("IF(Cost_in_dollars!E1717=""USD"",Cost_in_dollars!C1717,Cost_in_dollars!C1717 * GOOGLEFINANCE(""CURRENCY:"" &amp; Cost_in_dollars!E1717 &amp; ""USD""))
"),105219735)</f>
        <v>105219735</v>
      </c>
      <c r="Q1717" s="6">
        <f t="shared" ca="1" si="36"/>
        <v>-94780265</v>
      </c>
      <c r="R1717" s="7" t="str">
        <f t="shared" si="37"/>
        <v>Robin Hood</v>
      </c>
      <c r="S1717" s="43" t="str">
        <f t="shared" si="40"/>
        <v>Action</v>
      </c>
    </row>
    <row r="1718" spans="1:19" ht="15.75" customHeight="1" x14ac:dyDescent="0.25">
      <c r="A1718" s="4" t="s">
        <v>5841</v>
      </c>
      <c r="B1718" s="4">
        <v>47</v>
      </c>
      <c r="C1718" s="4">
        <v>38590500</v>
      </c>
      <c r="D1718" s="4" t="s">
        <v>477</v>
      </c>
      <c r="E1718" s="4" t="s">
        <v>3342</v>
      </c>
      <c r="F1718" s="4" t="s">
        <v>5842</v>
      </c>
      <c r="G1718" s="4">
        <v>17997</v>
      </c>
      <c r="H1718" s="4" t="s">
        <v>5843</v>
      </c>
      <c r="I1718" s="4">
        <v>140</v>
      </c>
      <c r="J1718" s="4" t="s">
        <v>23</v>
      </c>
      <c r="K1718" s="4" t="s">
        <v>24</v>
      </c>
      <c r="L1718" s="4">
        <v>50000000</v>
      </c>
      <c r="M1718" s="4">
        <v>1994</v>
      </c>
      <c r="N1718" s="4">
        <v>4.4000000000000004</v>
      </c>
      <c r="O1718" s="4">
        <f ca="1">IFERROR(__xludf.DUMMYFUNCTION("IF(Cost_in_dollars!E1718=""USD"",Cost_in_dollars!B1718,Cost_in_dollars!B1718 * GOOGLEFINANCE(""CURRENCY:"" &amp; Cost_in_dollars!E1718 &amp; ""USD""))
"),50000000)</f>
        <v>50000000</v>
      </c>
      <c r="P1718" s="4">
        <f ca="1">IFERROR(__xludf.DUMMYFUNCTION("IF(Cost_in_dollars!E1718=""USD"",Cost_in_dollars!C1718,Cost_in_dollars!C1718 * GOOGLEFINANCE(""CURRENCY:"" &amp; Cost_in_dollars!E1718 &amp; ""USD""))
"),38590500)</f>
        <v>38590500</v>
      </c>
      <c r="Q1718" s="4">
        <f t="shared" ca="1" si="36"/>
        <v>-11409500</v>
      </c>
      <c r="R1718" s="5" t="str">
        <f t="shared" si="37"/>
        <v>On Deadly Ground</v>
      </c>
      <c r="S1718" s="43" t="str">
        <f t="shared" si="40"/>
        <v>Action</v>
      </c>
    </row>
    <row r="1719" spans="1:19" ht="15.75" customHeight="1" x14ac:dyDescent="0.25">
      <c r="A1719" s="6" t="s">
        <v>5844</v>
      </c>
      <c r="B1719" s="6">
        <v>208</v>
      </c>
      <c r="C1719" s="6">
        <v>15608545</v>
      </c>
      <c r="D1719" s="6" t="s">
        <v>183</v>
      </c>
      <c r="E1719" s="6" t="s">
        <v>5845</v>
      </c>
      <c r="F1719" s="6" t="s">
        <v>5846</v>
      </c>
      <c r="G1719" s="6">
        <v>53471</v>
      </c>
      <c r="H1719" s="6" t="s">
        <v>5847</v>
      </c>
      <c r="I1719" s="6">
        <v>224</v>
      </c>
      <c r="J1719" s="6" t="s">
        <v>23</v>
      </c>
      <c r="K1719" s="6" t="s">
        <v>24</v>
      </c>
      <c r="L1719" s="6">
        <v>15000000</v>
      </c>
      <c r="M1719" s="6">
        <v>2012</v>
      </c>
      <c r="N1719" s="6">
        <v>5.4</v>
      </c>
      <c r="O1719" s="4">
        <f ca="1">IFERROR(__xludf.DUMMYFUNCTION("IF(Cost_in_dollars!E1719=""USD"",Cost_in_dollars!B1719,Cost_in_dollars!B1719 * GOOGLEFINANCE(""CURRENCY:"" &amp; Cost_in_dollars!E1719 &amp; ""USD""))
"),15000000)</f>
        <v>15000000</v>
      </c>
      <c r="P1719" s="4">
        <f ca="1">IFERROR(__xludf.DUMMYFUNCTION("IF(Cost_in_dollars!E1719=""USD"",Cost_in_dollars!C1719,Cost_in_dollars!C1719 * GOOGLEFINANCE(""CURRENCY:"" &amp; Cost_in_dollars!E1719 &amp; ""USD""))
"),15608545)</f>
        <v>15608545</v>
      </c>
      <c r="Q1719" s="6">
        <f t="shared" ca="1" si="36"/>
        <v>608545</v>
      </c>
      <c r="R1719" s="7" t="str">
        <f t="shared" si="37"/>
        <v>The Man with the Iron Fists</v>
      </c>
      <c r="S1719" s="43" t="str">
        <f t="shared" si="40"/>
        <v>Action</v>
      </c>
    </row>
    <row r="1720" spans="1:19" ht="15.75" customHeight="1" x14ac:dyDescent="0.25">
      <c r="A1720" s="4" t="s">
        <v>5816</v>
      </c>
      <c r="B1720" s="4">
        <v>110</v>
      </c>
      <c r="C1720" s="4">
        <v>26525834</v>
      </c>
      <c r="D1720" s="4" t="s">
        <v>162</v>
      </c>
      <c r="E1720" s="4" t="s">
        <v>5816</v>
      </c>
      <c r="F1720" s="4" t="s">
        <v>5848</v>
      </c>
      <c r="G1720" s="4">
        <v>21998</v>
      </c>
      <c r="H1720" s="4" t="s">
        <v>5849</v>
      </c>
      <c r="I1720" s="4">
        <v>227</v>
      </c>
      <c r="J1720" s="4" t="s">
        <v>23</v>
      </c>
      <c r="K1720" s="4" t="s">
        <v>24</v>
      </c>
      <c r="L1720" s="4">
        <v>30000000</v>
      </c>
      <c r="M1720" s="4">
        <v>1998</v>
      </c>
      <c r="N1720" s="4">
        <v>6.8</v>
      </c>
      <c r="O1720" s="4">
        <f ca="1">IFERROR(__xludf.DUMMYFUNCTION("IF(Cost_in_dollars!E1720=""USD"",Cost_in_dollars!B1720,Cost_in_dollars!B1720 * GOOGLEFINANCE(""CURRENCY:"" &amp; Cost_in_dollars!E1720 &amp; ""USD""))
"),30000000)</f>
        <v>30000000</v>
      </c>
      <c r="P1720" s="4">
        <f ca="1">IFERROR(__xludf.DUMMYFUNCTION("IF(Cost_in_dollars!E1720=""USD"",Cost_in_dollars!C1720,Cost_in_dollars!C1720 * GOOGLEFINANCE(""CURRENCY:"" &amp; Cost_in_dollars!E1720 &amp; ""USD""))
"),26525834)</f>
        <v>26525834</v>
      </c>
      <c r="Q1720" s="4">
        <f t="shared" ca="1" si="36"/>
        <v>-3474166</v>
      </c>
      <c r="R1720" s="5" t="str">
        <f t="shared" si="37"/>
        <v>Bulworth</v>
      </c>
      <c r="S1720" s="43" t="str">
        <f t="shared" si="40"/>
        <v>Comedy</v>
      </c>
    </row>
    <row r="1721" spans="1:19" ht="15.75" customHeight="1" x14ac:dyDescent="0.25">
      <c r="A1721" s="6" t="s">
        <v>2350</v>
      </c>
      <c r="B1721" s="6">
        <v>76</v>
      </c>
      <c r="C1721" s="6">
        <v>6768055</v>
      </c>
      <c r="D1721" s="6" t="s">
        <v>3324</v>
      </c>
      <c r="E1721" s="6" t="s">
        <v>203</v>
      </c>
      <c r="F1721" s="6" t="s">
        <v>5850</v>
      </c>
      <c r="G1721" s="6">
        <v>11148</v>
      </c>
      <c r="H1721" s="6" t="s">
        <v>5851</v>
      </c>
      <c r="I1721" s="6">
        <v>229</v>
      </c>
      <c r="J1721" s="6" t="s">
        <v>23</v>
      </c>
      <c r="K1721" s="6" t="s">
        <v>133</v>
      </c>
      <c r="L1721" s="6">
        <v>57000000</v>
      </c>
      <c r="M1721" s="6">
        <v>2004</v>
      </c>
      <c r="N1721" s="6">
        <v>4.2</v>
      </c>
      <c r="O1721" s="4">
        <f ca="1">IFERROR(__xludf.DUMMYFUNCTION("IF(Cost_in_dollars!E1721=""USD"",Cost_in_dollars!B1721,Cost_in_dollars!B1721 * GOOGLEFINANCE(""CURRENCY:"" &amp; Cost_in_dollars!E1721 &amp; ""USD""))
"),73267800)</f>
        <v>73267800</v>
      </c>
      <c r="P1721" s="4">
        <f ca="1">IFERROR(__xludf.DUMMYFUNCTION("IF(Cost_in_dollars!E1721=""USD"",Cost_in_dollars!C1721,Cost_in_dollars!C1721 * GOOGLEFINANCE(""CURRENCY:"" &amp; Cost_in_dollars!E1721 &amp; ""USD""))
"),8699657.897)</f>
        <v>8699657.8969999999</v>
      </c>
      <c r="Q1721" s="6">
        <f t="shared" ca="1" si="36"/>
        <v>-64568142.103</v>
      </c>
      <c r="R1721" s="7" t="str">
        <f t="shared" si="37"/>
        <v>Thunderbirds</v>
      </c>
      <c r="S1721" s="43" t="str">
        <f t="shared" si="40"/>
        <v>Action</v>
      </c>
    </row>
    <row r="1722" spans="1:19" ht="15.75" customHeight="1" x14ac:dyDescent="0.25">
      <c r="A1722" s="4" t="s">
        <v>2514</v>
      </c>
      <c r="B1722" s="4">
        <v>256</v>
      </c>
      <c r="C1722" s="4">
        <v>34964818</v>
      </c>
      <c r="D1722" s="4" t="s">
        <v>1259</v>
      </c>
      <c r="E1722" s="4" t="s">
        <v>977</v>
      </c>
      <c r="F1722" s="4" t="s">
        <v>2515</v>
      </c>
      <c r="G1722" s="4">
        <v>39975</v>
      </c>
      <c r="H1722" s="4" t="s">
        <v>2516</v>
      </c>
      <c r="I1722" s="4">
        <v>186</v>
      </c>
      <c r="J1722" s="4" t="s">
        <v>23</v>
      </c>
      <c r="K1722" s="4" t="s">
        <v>24</v>
      </c>
      <c r="L1722" s="4">
        <v>150000000</v>
      </c>
      <c r="M1722" s="4">
        <v>2015</v>
      </c>
      <c r="N1722" s="4">
        <v>5.8</v>
      </c>
      <c r="O1722" s="4">
        <f ca="1">IFERROR(__xludf.DUMMYFUNCTION("IF(Cost_in_dollars!E1722=""USD"",Cost_in_dollars!B1722,Cost_in_dollars!B1722 * GOOGLEFINANCE(""CURRENCY:"" &amp; Cost_in_dollars!E1722 &amp; ""USD""))
"),150000000)</f>
        <v>150000000</v>
      </c>
      <c r="P1722" s="4">
        <f ca="1">IFERROR(__xludf.DUMMYFUNCTION("IF(Cost_in_dollars!E1722=""USD"",Cost_in_dollars!C1722,Cost_in_dollars!C1722 * GOOGLEFINANCE(""CURRENCY:"" &amp; Cost_in_dollars!E1722 &amp; ""USD""))
"),34964818)</f>
        <v>34964818</v>
      </c>
      <c r="Q1722" s="4">
        <f t="shared" ca="1" si="36"/>
        <v>-115035182</v>
      </c>
      <c r="R1722" s="5" t="str">
        <f t="shared" si="37"/>
        <v>Pan</v>
      </c>
      <c r="S1722" s="43" t="str">
        <f t="shared" si="40"/>
        <v>Adventure</v>
      </c>
    </row>
    <row r="1723" spans="1:19" ht="15.75" customHeight="1" x14ac:dyDescent="0.25">
      <c r="A1723" s="6" t="s">
        <v>3053</v>
      </c>
      <c r="B1723" s="6">
        <v>39</v>
      </c>
      <c r="C1723" s="6">
        <v>51432423</v>
      </c>
      <c r="D1723" s="6" t="s">
        <v>5852</v>
      </c>
      <c r="E1723" s="6" t="s">
        <v>5853</v>
      </c>
      <c r="F1723" s="6" t="s">
        <v>5854</v>
      </c>
      <c r="G1723" s="6">
        <v>15074</v>
      </c>
      <c r="H1723" s="6" t="s">
        <v>5855</v>
      </c>
      <c r="I1723" s="6">
        <v>72</v>
      </c>
      <c r="J1723" s="6" t="s">
        <v>23</v>
      </c>
      <c r="K1723" s="6" t="s">
        <v>24</v>
      </c>
      <c r="L1723" s="6">
        <v>30000000</v>
      </c>
      <c r="M1723" s="6">
        <v>2002</v>
      </c>
      <c r="N1723" s="6">
        <v>5.0999999999999996</v>
      </c>
      <c r="O1723" s="4">
        <f ca="1">IFERROR(__xludf.DUMMYFUNCTION("IF(Cost_in_dollars!E1723=""USD"",Cost_in_dollars!B1723,Cost_in_dollars!B1723 * GOOGLEFINANCE(""CURRENCY:"" &amp; Cost_in_dollars!E1723 &amp; ""USD""))
"),30000000)</f>
        <v>30000000</v>
      </c>
      <c r="P1723" s="4">
        <f ca="1">IFERROR(__xludf.DUMMYFUNCTION("IF(Cost_in_dollars!E1723=""USD"",Cost_in_dollars!C1723,Cost_in_dollars!C1723 * GOOGLEFINANCE(""CURRENCY:"" &amp; Cost_in_dollars!E1723 &amp; ""USD""))
"),51432423)</f>
        <v>51432423</v>
      </c>
      <c r="Q1723" s="6">
        <f t="shared" ca="1" si="36"/>
        <v>21432423</v>
      </c>
      <c r="R1723" s="7" t="str">
        <f t="shared" si="37"/>
        <v>Like Mike</v>
      </c>
      <c r="S1723" s="43" t="str">
        <f t="shared" si="40"/>
        <v>Comedy</v>
      </c>
    </row>
    <row r="1724" spans="1:19" ht="15.75" customHeight="1" x14ac:dyDescent="0.25">
      <c r="A1724" s="4" t="s">
        <v>5856</v>
      </c>
      <c r="B1724" s="4">
        <v>101</v>
      </c>
      <c r="C1724" s="4">
        <v>9000000</v>
      </c>
      <c r="D1724" s="4" t="s">
        <v>465</v>
      </c>
      <c r="E1724" s="4" t="s">
        <v>5857</v>
      </c>
      <c r="F1724" s="4" t="s">
        <v>5858</v>
      </c>
      <c r="G1724" s="4">
        <v>7584</v>
      </c>
      <c r="H1724" s="4" t="s">
        <v>5859</v>
      </c>
      <c r="I1724" s="4">
        <v>137</v>
      </c>
      <c r="J1724" s="4" t="s">
        <v>23</v>
      </c>
      <c r="K1724" s="4" t="s">
        <v>24</v>
      </c>
      <c r="L1724" s="4">
        <v>900000</v>
      </c>
      <c r="M1724" s="4">
        <v>1970</v>
      </c>
      <c r="N1724" s="4">
        <v>6.2</v>
      </c>
      <c r="O1724" s="4">
        <f ca="1">IFERROR(__xludf.DUMMYFUNCTION("IF(Cost_in_dollars!E1724=""USD"",Cost_in_dollars!B1724,Cost_in_dollars!B1724 * GOOGLEFINANCE(""CURRENCY:"" &amp; Cost_in_dollars!E1724 &amp; ""USD""))
"),900000)</f>
        <v>900000</v>
      </c>
      <c r="P1724" s="4">
        <f ca="1">IFERROR(__xludf.DUMMYFUNCTION("IF(Cost_in_dollars!E1724=""USD"",Cost_in_dollars!C1724,Cost_in_dollars!C1724 * GOOGLEFINANCE(""CURRENCY:"" &amp; Cost_in_dollars!E1724 &amp; ""USD""))
"),9000000)</f>
        <v>9000000</v>
      </c>
      <c r="Q1724" s="4">
        <f t="shared" ca="1" si="36"/>
        <v>8100000</v>
      </c>
      <c r="R1724" s="5" t="str">
        <f t="shared" si="37"/>
        <v>Beyond the Valley of the Dolls</v>
      </c>
      <c r="S1724" s="43" t="str">
        <f t="shared" si="40"/>
        <v>Comedy</v>
      </c>
    </row>
    <row r="1725" spans="1:19" ht="15.75" customHeight="1" x14ac:dyDescent="0.25">
      <c r="A1725" s="6" t="s">
        <v>5860</v>
      </c>
      <c r="B1725" s="6">
        <v>65</v>
      </c>
      <c r="C1725" s="6">
        <v>2955039</v>
      </c>
      <c r="D1725" s="6" t="s">
        <v>1127</v>
      </c>
      <c r="E1725" s="6" t="s">
        <v>5325</v>
      </c>
      <c r="F1725" s="6" t="s">
        <v>5861</v>
      </c>
      <c r="G1725" s="6">
        <v>3624</v>
      </c>
      <c r="H1725" s="6" t="s">
        <v>5862</v>
      </c>
      <c r="I1725" s="6">
        <v>27</v>
      </c>
      <c r="J1725" s="6" t="s">
        <v>23</v>
      </c>
      <c r="K1725" s="6" t="s">
        <v>24</v>
      </c>
      <c r="L1725" s="6">
        <v>9000000</v>
      </c>
      <c r="M1725" s="6">
        <v>2007</v>
      </c>
      <c r="N1725" s="6">
        <v>6.2</v>
      </c>
      <c r="O1725" s="4">
        <f ca="1">IFERROR(__xludf.DUMMYFUNCTION("IF(Cost_in_dollars!E1725=""USD"",Cost_in_dollars!B1725,Cost_in_dollars!B1725 * GOOGLEFINANCE(""CURRENCY:"" &amp; Cost_in_dollars!E1725 &amp; ""USD""))
"),9000000)</f>
        <v>9000000</v>
      </c>
      <c r="P1725" s="4">
        <f ca="1">IFERROR(__xludf.DUMMYFUNCTION("IF(Cost_in_dollars!E1725=""USD"",Cost_in_dollars!C1725,Cost_in_dollars!C1725 * GOOGLEFINANCE(""CURRENCY:"" &amp; Cost_in_dollars!E1725 &amp; ""USD""))
"),2955039)</f>
        <v>2955039</v>
      </c>
      <c r="Q1725" s="6">
        <f t="shared" ca="1" si="36"/>
        <v>-6044961</v>
      </c>
      <c r="R1725" s="7" t="str">
        <f t="shared" si="37"/>
        <v>Gracie</v>
      </c>
      <c r="S1725" s="43" t="str">
        <f t="shared" si="40"/>
        <v>Biography</v>
      </c>
    </row>
    <row r="1726" spans="1:19" ht="15.75" customHeight="1" x14ac:dyDescent="0.25">
      <c r="A1726" s="4" t="s">
        <v>638</v>
      </c>
      <c r="B1726" s="4">
        <v>215</v>
      </c>
      <c r="C1726" s="4">
        <v>434949459</v>
      </c>
      <c r="D1726" s="4" t="s">
        <v>5863</v>
      </c>
      <c r="E1726" s="4" t="s">
        <v>3226</v>
      </c>
      <c r="F1726" s="4" t="s">
        <v>5864</v>
      </c>
      <c r="G1726" s="4">
        <v>281842</v>
      </c>
      <c r="H1726" s="4" t="s">
        <v>5865</v>
      </c>
      <c r="I1726" s="4">
        <v>515</v>
      </c>
      <c r="J1726" s="4" t="s">
        <v>23</v>
      </c>
      <c r="K1726" s="4" t="s">
        <v>24</v>
      </c>
      <c r="L1726" s="4">
        <v>10500000</v>
      </c>
      <c r="M1726" s="4">
        <v>1982</v>
      </c>
      <c r="N1726" s="4">
        <v>7.9</v>
      </c>
      <c r="O1726" s="4">
        <f ca="1">IFERROR(__xludf.DUMMYFUNCTION("IF(Cost_in_dollars!E1726=""USD"",Cost_in_dollars!B1726,Cost_in_dollars!B1726 * GOOGLEFINANCE(""CURRENCY:"" &amp; Cost_in_dollars!E1726 &amp; ""USD""))
"),10500000)</f>
        <v>10500000</v>
      </c>
      <c r="P1726" s="4">
        <f ca="1">IFERROR(__xludf.DUMMYFUNCTION("IF(Cost_in_dollars!E1726=""USD"",Cost_in_dollars!C1726,Cost_in_dollars!C1726 * GOOGLEFINANCE(""CURRENCY:"" &amp; Cost_in_dollars!E1726 &amp; ""USD""))
"),434949459)</f>
        <v>434949459</v>
      </c>
      <c r="Q1726" s="4">
        <f t="shared" ca="1" si="36"/>
        <v>424449459</v>
      </c>
      <c r="R1726" s="5" t="str">
        <f t="shared" si="37"/>
        <v>E.T. the Extra-Terrestrial</v>
      </c>
      <c r="S1726" s="43" t="str">
        <f t="shared" si="40"/>
        <v>Family</v>
      </c>
    </row>
    <row r="1727" spans="1:19" ht="15.75" customHeight="1" x14ac:dyDescent="0.25">
      <c r="A1727" s="6" t="s">
        <v>1664</v>
      </c>
      <c r="B1727" s="6">
        <v>18</v>
      </c>
      <c r="C1727" s="6">
        <v>5974653</v>
      </c>
      <c r="D1727" s="6" t="s">
        <v>452</v>
      </c>
      <c r="E1727" s="6" t="s">
        <v>189</v>
      </c>
      <c r="F1727" s="6" t="s">
        <v>5866</v>
      </c>
      <c r="G1727" s="6">
        <v>2253</v>
      </c>
      <c r="H1727" s="6" t="s">
        <v>5867</v>
      </c>
      <c r="I1727" s="6">
        <v>111</v>
      </c>
      <c r="J1727" s="6" t="s">
        <v>23</v>
      </c>
      <c r="K1727" s="6" t="s">
        <v>24</v>
      </c>
      <c r="L1727" s="6">
        <v>22000000</v>
      </c>
      <c r="M1727" s="6">
        <v>2001</v>
      </c>
      <c r="N1727" s="6">
        <v>4.0999999999999996</v>
      </c>
      <c r="O1727" s="4">
        <f ca="1">IFERROR(__xludf.DUMMYFUNCTION("IF(Cost_in_dollars!E1727=""USD"",Cost_in_dollars!B1727,Cost_in_dollars!B1727 * GOOGLEFINANCE(""CURRENCY:"" &amp; Cost_in_dollars!E1727 &amp; ""USD""))
"),22000000)</f>
        <v>22000000</v>
      </c>
      <c r="P1727" s="4">
        <f ca="1">IFERROR(__xludf.DUMMYFUNCTION("IF(Cost_in_dollars!E1727=""USD"",Cost_in_dollars!C1727,Cost_in_dollars!C1727 * GOOGLEFINANCE(""CURRENCY:"" &amp; Cost_in_dollars!E1727 &amp; ""USD""))
"),5974653)</f>
        <v>5974653</v>
      </c>
      <c r="Q1727" s="6">
        <f t="shared" ca="1" si="36"/>
        <v>-16025347</v>
      </c>
      <c r="R1727" s="7" t="str">
        <f t="shared" si="37"/>
        <v>Megiddo: The Omega Code 2</v>
      </c>
      <c r="S1727" s="43" t="str">
        <f t="shared" si="40"/>
        <v>Action</v>
      </c>
    </row>
    <row r="1728" spans="1:19" ht="15.75" customHeight="1" x14ac:dyDescent="0.25">
      <c r="A1728" s="4" t="s">
        <v>899</v>
      </c>
      <c r="B1728" s="4">
        <v>203</v>
      </c>
      <c r="C1728" s="4">
        <v>44867349</v>
      </c>
      <c r="D1728" s="4" t="s">
        <v>268</v>
      </c>
      <c r="E1728" s="4" t="s">
        <v>54</v>
      </c>
      <c r="F1728" s="4" t="s">
        <v>5868</v>
      </c>
      <c r="G1728" s="4">
        <v>75347</v>
      </c>
      <c r="H1728" s="4" t="s">
        <v>5869</v>
      </c>
      <c r="I1728" s="4">
        <v>176</v>
      </c>
      <c r="J1728" s="4" t="s">
        <v>23</v>
      </c>
      <c r="K1728" s="4" t="s">
        <v>24</v>
      </c>
      <c r="L1728" s="4">
        <v>37000000</v>
      </c>
      <c r="M1728" s="4">
        <v>2010</v>
      </c>
      <c r="N1728" s="4">
        <v>5.6</v>
      </c>
      <c r="O1728" s="4">
        <f ca="1">IFERROR(__xludf.DUMMYFUNCTION("IF(Cost_in_dollars!E1728=""USD"",Cost_in_dollars!B1728,Cost_in_dollars!B1728 * GOOGLEFINANCE(""CURRENCY:"" &amp; Cost_in_dollars!E1728 &amp; ""USD""))
"),37000000)</f>
        <v>37000000</v>
      </c>
      <c r="P1728" s="4">
        <f ca="1">IFERROR(__xludf.DUMMYFUNCTION("IF(Cost_in_dollars!E1728=""USD"",Cost_in_dollars!C1728,Cost_in_dollars!C1728 * GOOGLEFINANCE(""CURRENCY:"" &amp; Cost_in_dollars!E1728 &amp; ""USD""))
"),44867349)</f>
        <v>44867349</v>
      </c>
      <c r="Q1728" s="4">
        <f t="shared" ca="1" si="36"/>
        <v>7867349</v>
      </c>
      <c r="R1728" s="5" t="str">
        <f t="shared" si="37"/>
        <v>Cop Out</v>
      </c>
      <c r="S1728" s="43" t="str">
        <f t="shared" si="40"/>
        <v>Action</v>
      </c>
    </row>
    <row r="1729" spans="1:19" ht="15.75" customHeight="1" x14ac:dyDescent="0.25">
      <c r="A1729" s="6" t="s">
        <v>5870</v>
      </c>
      <c r="B1729" s="6">
        <v>73</v>
      </c>
      <c r="C1729" s="6">
        <v>228524</v>
      </c>
      <c r="D1729" s="6" t="s">
        <v>457</v>
      </c>
      <c r="E1729" s="6" t="s">
        <v>5871</v>
      </c>
      <c r="F1729" s="6" t="s">
        <v>5872</v>
      </c>
      <c r="G1729" s="6">
        <v>8708</v>
      </c>
      <c r="H1729" s="6" t="s">
        <v>5873</v>
      </c>
      <c r="I1729" s="6">
        <v>56</v>
      </c>
      <c r="J1729" s="6" t="s">
        <v>23</v>
      </c>
      <c r="K1729" s="6" t="s">
        <v>24</v>
      </c>
      <c r="L1729" s="6">
        <v>4000000</v>
      </c>
      <c r="M1729" s="6">
        <v>2004</v>
      </c>
      <c r="N1729" s="6">
        <v>7.3</v>
      </c>
      <c r="O1729" s="4">
        <f ca="1">IFERROR(__xludf.DUMMYFUNCTION("IF(Cost_in_dollars!E1729=""USD"",Cost_in_dollars!B1729,Cost_in_dollars!B1729 * GOOGLEFINANCE(""CURRENCY:"" &amp; Cost_in_dollars!E1729 &amp; ""USD""))
"),4000000)</f>
        <v>4000000</v>
      </c>
      <c r="P1729" s="4">
        <f ca="1">IFERROR(__xludf.DUMMYFUNCTION("IF(Cost_in_dollars!E1729=""USD"",Cost_in_dollars!C1729,Cost_in_dollars!C1729 * GOOGLEFINANCE(""CURRENCY:"" &amp; Cost_in_dollars!E1729 &amp; ""USD""))
"),228524)</f>
        <v>228524</v>
      </c>
      <c r="Q1729" s="6">
        <f t="shared" ca="1" si="36"/>
        <v>-3771476</v>
      </c>
      <c r="R1729" s="7" t="str">
        <f t="shared" si="37"/>
        <v>Imaginary Heroes</v>
      </c>
      <c r="S1729" s="43" t="str">
        <f t="shared" si="40"/>
        <v>Comedy</v>
      </c>
    </row>
    <row r="1730" spans="1:19" ht="15.75" customHeight="1" x14ac:dyDescent="0.25">
      <c r="A1730" s="4" t="s">
        <v>3842</v>
      </c>
      <c r="B1730" s="4">
        <v>490</v>
      </c>
      <c r="C1730" s="4">
        <v>144812796</v>
      </c>
      <c r="D1730" s="4" t="s">
        <v>235</v>
      </c>
      <c r="E1730" s="4" t="s">
        <v>1358</v>
      </c>
      <c r="F1730" s="4" t="s">
        <v>5874</v>
      </c>
      <c r="G1730" s="4">
        <v>362912</v>
      </c>
      <c r="H1730" s="4" t="s">
        <v>5875</v>
      </c>
      <c r="I1730" s="4">
        <v>753</v>
      </c>
      <c r="J1730" s="4" t="s">
        <v>23</v>
      </c>
      <c r="K1730" s="4" t="s">
        <v>149</v>
      </c>
      <c r="L1730" s="4">
        <v>105000000</v>
      </c>
      <c r="M1730" s="4">
        <v>2013</v>
      </c>
      <c r="N1730" s="4">
        <v>7.3</v>
      </c>
      <c r="O1730" s="4">
        <f ca="1">IFERROR(__xludf.DUMMYFUNCTION("IF(Cost_in_dollars!E1730=""USD"",Cost_in_dollars!B1730,Cost_in_dollars!B1730 * GOOGLEFINANCE(""CURRENCY:"" &amp; Cost_in_dollars!E1730 &amp; ""USD""))
"),68657400)</f>
        <v>68657400</v>
      </c>
      <c r="P1730" s="4">
        <f ca="1">IFERROR(__xludf.DUMMYFUNCTION("IF(Cost_in_dollars!E1730=""USD"",Cost_in_dollars!C1730,Cost_in_dollars!C1730 * GOOGLEFINANCE(""CURRENCY:"" &amp; Cost_in_dollars!E1730 &amp; ""USD""))
"),94690191.04848)</f>
        <v>94690191.048480004</v>
      </c>
      <c r="Q1730" s="4">
        <f t="shared" ca="1" si="36"/>
        <v>26032791.048480004</v>
      </c>
      <c r="R1730" s="5" t="str">
        <f t="shared" si="37"/>
        <v>The Great Gatsby</v>
      </c>
      <c r="S1730" s="43" t="str">
        <f t="shared" ref="S1730:S1793" si="41">IF(ISNUMBER(FIND("|", D1730)), LEFT(D1730, FIND("|", D1730) - 1), D1730)</f>
        <v>Drama</v>
      </c>
    </row>
    <row r="1731" spans="1:19" ht="15.75" customHeight="1" x14ac:dyDescent="0.25">
      <c r="A1731" s="6" t="s">
        <v>5876</v>
      </c>
      <c r="B1731" s="6">
        <v>143</v>
      </c>
      <c r="C1731" s="6">
        <v>22800000</v>
      </c>
      <c r="D1731" s="6" t="s">
        <v>477</v>
      </c>
      <c r="E1731" s="6" t="s">
        <v>5877</v>
      </c>
      <c r="F1731" s="6" t="s">
        <v>5878</v>
      </c>
      <c r="G1731" s="6">
        <v>59941</v>
      </c>
      <c r="H1731" s="6" t="s">
        <v>5879</v>
      </c>
      <c r="I1731" s="6">
        <v>452</v>
      </c>
      <c r="J1731" s="6" t="s">
        <v>23</v>
      </c>
      <c r="K1731" s="6" t="s">
        <v>133</v>
      </c>
      <c r="L1731" s="6">
        <v>7000000</v>
      </c>
      <c r="M1731" s="6">
        <v>1969</v>
      </c>
      <c r="N1731" s="6">
        <v>6.8</v>
      </c>
      <c r="O1731" s="4">
        <f ca="1">IFERROR(__xludf.DUMMYFUNCTION("IF(Cost_in_dollars!E1731=""USD"",Cost_in_dollars!B1731,Cost_in_dollars!B1731 * GOOGLEFINANCE(""CURRENCY:"" &amp; Cost_in_dollars!E1731 &amp; ""USD""))
"),8997800)</f>
        <v>8997800</v>
      </c>
      <c r="P1731" s="4">
        <f ca="1">IFERROR(__xludf.DUMMYFUNCTION("IF(Cost_in_dollars!E1731=""USD"",Cost_in_dollars!C1731,Cost_in_dollars!C1731 * GOOGLEFINANCE(""CURRENCY:"" &amp; Cost_in_dollars!E1731 &amp; ""USD""))
"),29307119.9999999)</f>
        <v>29307119.999999899</v>
      </c>
      <c r="Q1731" s="6">
        <f t="shared" ca="1" si="36"/>
        <v>20309319.999999899</v>
      </c>
      <c r="R1731" s="7" t="str">
        <f t="shared" si="37"/>
        <v>On Her Majesty's Secret Service</v>
      </c>
      <c r="S1731" s="43" t="str">
        <f t="shared" si="41"/>
        <v>Action</v>
      </c>
    </row>
    <row r="1732" spans="1:19" ht="15.75" customHeight="1" x14ac:dyDescent="0.25">
      <c r="A1732" s="4" t="s">
        <v>5880</v>
      </c>
      <c r="B1732" s="4">
        <v>36</v>
      </c>
      <c r="C1732" s="4">
        <v>42610000</v>
      </c>
      <c r="D1732" s="4" t="s">
        <v>793</v>
      </c>
      <c r="E1732" s="4" t="s">
        <v>1228</v>
      </c>
      <c r="F1732" s="4" t="s">
        <v>5881</v>
      </c>
      <c r="G1732" s="4">
        <v>60293</v>
      </c>
      <c r="H1732" s="4" t="s">
        <v>5882</v>
      </c>
      <c r="I1732" s="4">
        <v>114</v>
      </c>
      <c r="J1732" s="4" t="s">
        <v>23</v>
      </c>
      <c r="K1732" s="4" t="s">
        <v>24</v>
      </c>
      <c r="L1732" s="4">
        <v>55000000</v>
      </c>
      <c r="M1732" s="4">
        <v>1994</v>
      </c>
      <c r="N1732" s="4">
        <v>5.5</v>
      </c>
      <c r="O1732" s="4">
        <f ca="1">IFERROR(__xludf.DUMMYFUNCTION("IF(Cost_in_dollars!E1732=""USD"",Cost_in_dollars!B1732,Cost_in_dollars!B1732 * GOOGLEFINANCE(""CURRENCY:"" &amp; Cost_in_dollars!E1732 &amp; ""USD""))
"),55000000)</f>
        <v>55000000</v>
      </c>
      <c r="P1732" s="4">
        <f ca="1">IFERROR(__xludf.DUMMYFUNCTION("IF(Cost_in_dollars!E1732=""USD"",Cost_in_dollars!C1732,Cost_in_dollars!C1732 * GOOGLEFINANCE(""CURRENCY:"" &amp; Cost_in_dollars!E1732 &amp; ""USD""))
"),42610000)</f>
        <v>42610000</v>
      </c>
      <c r="Q1732" s="4">
        <f t="shared" ca="1" si="36"/>
        <v>-12390000</v>
      </c>
      <c r="R1732" s="5" t="str">
        <f t="shared" si="37"/>
        <v>Beverly Hills Cop III</v>
      </c>
      <c r="S1732" s="43" t="str">
        <f t="shared" si="41"/>
        <v>Action</v>
      </c>
    </row>
    <row r="1733" spans="1:19" ht="15.75" customHeight="1" x14ac:dyDescent="0.25">
      <c r="A1733" s="6" t="s">
        <v>5883</v>
      </c>
      <c r="B1733" s="6">
        <v>156</v>
      </c>
      <c r="C1733" s="6">
        <v>36385763</v>
      </c>
      <c r="D1733" s="6" t="s">
        <v>682</v>
      </c>
      <c r="E1733" s="6" t="s">
        <v>2620</v>
      </c>
      <c r="F1733" s="6" t="s">
        <v>5884</v>
      </c>
      <c r="G1733" s="6">
        <v>138941</v>
      </c>
      <c r="H1733" s="6" t="s">
        <v>5885</v>
      </c>
      <c r="I1733" s="6">
        <v>1448</v>
      </c>
      <c r="J1733" s="6" t="s">
        <v>23</v>
      </c>
      <c r="K1733" s="6" t="s">
        <v>24</v>
      </c>
      <c r="L1733" s="6">
        <v>52000000</v>
      </c>
      <c r="M1733" s="6">
        <v>1998</v>
      </c>
      <c r="N1733" s="6">
        <v>7.6</v>
      </c>
      <c r="O1733" s="4">
        <f ca="1">IFERROR(__xludf.DUMMYFUNCTION("IF(Cost_in_dollars!E1733=""USD"",Cost_in_dollars!B1733,Cost_in_dollars!B1733 * GOOGLEFINANCE(""CURRENCY:"" &amp; Cost_in_dollars!E1733 &amp; ""USD""))
"),52000000)</f>
        <v>52000000</v>
      </c>
      <c r="P1733" s="4">
        <f ca="1">IFERROR(__xludf.DUMMYFUNCTION("IF(Cost_in_dollars!E1733=""USD"",Cost_in_dollars!C1733,Cost_in_dollars!C1733 * GOOGLEFINANCE(""CURRENCY:"" &amp; Cost_in_dollars!E1733 &amp; ""USD""))
"),36385763)</f>
        <v>36385763</v>
      </c>
      <c r="Q1733" s="6">
        <f t="shared" ca="1" si="36"/>
        <v>-15614237</v>
      </c>
      <c r="R1733" s="7" t="str">
        <f t="shared" si="37"/>
        <v>The Thin Red Line</v>
      </c>
      <c r="S1733" s="43" t="str">
        <f t="shared" si="41"/>
        <v>Drama</v>
      </c>
    </row>
    <row r="1734" spans="1:19" ht="15.75" customHeight="1" x14ac:dyDescent="0.25">
      <c r="A1734" s="4" t="s">
        <v>345</v>
      </c>
      <c r="B1734" s="4">
        <v>122</v>
      </c>
      <c r="C1734" s="4">
        <v>49968653</v>
      </c>
      <c r="D1734" s="4" t="s">
        <v>88</v>
      </c>
      <c r="E1734" s="4" t="s">
        <v>5886</v>
      </c>
      <c r="F1734" s="4" t="s">
        <v>5887</v>
      </c>
      <c r="G1734" s="4">
        <v>85423</v>
      </c>
      <c r="H1734" s="4" t="s">
        <v>5888</v>
      </c>
      <c r="I1734" s="4">
        <v>374</v>
      </c>
      <c r="J1734" s="4" t="s">
        <v>23</v>
      </c>
      <c r="K1734" s="4" t="s">
        <v>24</v>
      </c>
      <c r="L1734" s="4">
        <v>28000000</v>
      </c>
      <c r="M1734" s="4">
        <v>2001</v>
      </c>
      <c r="N1734" s="4">
        <v>6.9</v>
      </c>
      <c r="O1734" s="4">
        <f ca="1">IFERROR(__xludf.DUMMYFUNCTION("IF(Cost_in_dollars!E1734=""USD"",Cost_in_dollars!B1734,Cost_in_dollars!B1734 * GOOGLEFINANCE(""CURRENCY:"" &amp; Cost_in_dollars!E1734 &amp; ""USD""))
"),28000000)</f>
        <v>28000000</v>
      </c>
      <c r="P1734" s="4">
        <f ca="1">IFERROR(__xludf.DUMMYFUNCTION("IF(Cost_in_dollars!E1734=""USD"",Cost_in_dollars!C1734,Cost_in_dollars!C1734 * GOOGLEFINANCE(""CURRENCY:"" &amp; Cost_in_dollars!E1734 &amp; ""USD""))
"),49968653)</f>
        <v>49968653</v>
      </c>
      <c r="Q1734" s="4">
        <f t="shared" ca="1" si="36"/>
        <v>21968653</v>
      </c>
      <c r="R1734" s="5" t="str">
        <f t="shared" si="37"/>
        <v>Serendipity</v>
      </c>
      <c r="S1734" s="43" t="str">
        <f t="shared" si="41"/>
        <v>Comedy</v>
      </c>
    </row>
    <row r="1735" spans="1:19" ht="15.75" customHeight="1" x14ac:dyDescent="0.25">
      <c r="A1735" s="6" t="s">
        <v>287</v>
      </c>
      <c r="B1735" s="6">
        <v>112</v>
      </c>
      <c r="C1735" s="6">
        <v>23078294</v>
      </c>
      <c r="D1735" s="6" t="s">
        <v>309</v>
      </c>
      <c r="E1735" s="6" t="s">
        <v>789</v>
      </c>
      <c r="F1735" s="6" t="s">
        <v>5889</v>
      </c>
      <c r="G1735" s="6">
        <v>25870</v>
      </c>
      <c r="H1735" s="6" t="s">
        <v>5890</v>
      </c>
      <c r="I1735" s="6">
        <v>281</v>
      </c>
      <c r="J1735" s="6" t="s">
        <v>23</v>
      </c>
      <c r="K1735" s="6" t="s">
        <v>24</v>
      </c>
      <c r="L1735" s="6">
        <v>9000000</v>
      </c>
      <c r="M1735" s="6">
        <v>2006</v>
      </c>
      <c r="N1735" s="6">
        <v>5.0999999999999996</v>
      </c>
      <c r="O1735" s="4">
        <f ca="1">IFERROR(__xludf.DUMMYFUNCTION("IF(Cost_in_dollars!E1735=""USD"",Cost_in_dollars!B1735,Cost_in_dollars!B1735 * GOOGLEFINANCE(""CURRENCY:"" &amp; Cost_in_dollars!E1735 &amp; ""USD""))
"),9000000)</f>
        <v>9000000</v>
      </c>
      <c r="P1735" s="4">
        <f ca="1">IFERROR(__xludf.DUMMYFUNCTION("IF(Cost_in_dollars!E1735=""USD"",Cost_in_dollars!C1735,Cost_in_dollars!C1735 * GOOGLEFINANCE(""CURRENCY:"" &amp; Cost_in_dollars!E1735 &amp; ""USD""))
"),23078294)</f>
        <v>23078294</v>
      </c>
      <c r="Q1735" s="6">
        <f t="shared" ca="1" si="36"/>
        <v>14078294</v>
      </c>
      <c r="R1735" s="7" t="str">
        <f t="shared" si="37"/>
        <v>Stay Alive</v>
      </c>
      <c r="S1735" s="43" t="str">
        <f t="shared" si="41"/>
        <v>Horror</v>
      </c>
    </row>
    <row r="1736" spans="1:19" ht="15.75" customHeight="1" x14ac:dyDescent="0.25">
      <c r="A1736" s="4" t="s">
        <v>524</v>
      </c>
      <c r="B1736" s="4">
        <v>75</v>
      </c>
      <c r="C1736" s="4">
        <v>66488090</v>
      </c>
      <c r="D1736" s="4" t="s">
        <v>438</v>
      </c>
      <c r="E1736" s="4" t="s">
        <v>69</v>
      </c>
      <c r="F1736" s="4" t="s">
        <v>5891</v>
      </c>
      <c r="G1736" s="4">
        <v>120202</v>
      </c>
      <c r="H1736" s="4" t="s">
        <v>5892</v>
      </c>
      <c r="I1736" s="4">
        <v>397</v>
      </c>
      <c r="J1736" s="4" t="s">
        <v>23</v>
      </c>
      <c r="K1736" s="4" t="s">
        <v>24</v>
      </c>
      <c r="L1736" s="4">
        <v>48000000</v>
      </c>
      <c r="M1736" s="4">
        <v>1999</v>
      </c>
      <c r="N1736" s="4">
        <v>6.7</v>
      </c>
      <c r="O1736" s="4">
        <f ca="1">IFERROR(__xludf.DUMMYFUNCTION("IF(Cost_in_dollars!E1736=""USD"",Cost_in_dollars!B1736,Cost_in_dollars!B1736 * GOOGLEFINANCE(""CURRENCY:"" &amp; Cost_in_dollars!E1736 &amp; ""USD""))
"),48000000)</f>
        <v>48000000</v>
      </c>
      <c r="P1736" s="4">
        <f ca="1">IFERROR(__xludf.DUMMYFUNCTION("IF(Cost_in_dollars!E1736=""USD"",Cost_in_dollars!C1736,Cost_in_dollars!C1736 * GOOGLEFINANCE(""CURRENCY:"" &amp; Cost_in_dollars!E1736 &amp; ""USD""))
"),66488090)</f>
        <v>66488090</v>
      </c>
      <c r="Q1736" s="4">
        <f t="shared" ca="1" si="36"/>
        <v>18488090</v>
      </c>
      <c r="R1736" s="5" t="str">
        <f t="shared" si="37"/>
        <v>The Bone Collector</v>
      </c>
      <c r="S1736" s="43" t="str">
        <f t="shared" si="41"/>
        <v>Crime</v>
      </c>
    </row>
    <row r="1737" spans="1:19" ht="15.75" customHeight="1" x14ac:dyDescent="0.25">
      <c r="A1737" s="6" t="s">
        <v>5893</v>
      </c>
      <c r="B1737" s="6">
        <v>20</v>
      </c>
      <c r="C1737" s="6">
        <v>3773863</v>
      </c>
      <c r="D1737" s="6" t="s">
        <v>102</v>
      </c>
      <c r="E1737" s="6" t="s">
        <v>5894</v>
      </c>
      <c r="F1737" s="6" t="s">
        <v>5895</v>
      </c>
      <c r="G1737" s="6">
        <v>4583</v>
      </c>
      <c r="H1737" s="6" t="s">
        <v>5896</v>
      </c>
      <c r="I1737" s="6">
        <v>55</v>
      </c>
      <c r="J1737" s="6" t="s">
        <v>23</v>
      </c>
      <c r="K1737" s="6" t="s">
        <v>24</v>
      </c>
      <c r="L1737" s="6">
        <v>1000000</v>
      </c>
      <c r="M1737" s="6">
        <v>2009</v>
      </c>
      <c r="N1737" s="6">
        <v>7.1</v>
      </c>
      <c r="O1737" s="4">
        <f ca="1">IFERROR(__xludf.DUMMYFUNCTION("IF(Cost_in_dollars!E1737=""USD"",Cost_in_dollars!B1737,Cost_in_dollars!B1737 * GOOGLEFINANCE(""CURRENCY:"" &amp; Cost_in_dollars!E1737 &amp; ""USD""))
"),1000000)</f>
        <v>1000000</v>
      </c>
      <c r="P1737" s="4">
        <f ca="1">IFERROR(__xludf.DUMMYFUNCTION("IF(Cost_in_dollars!E1737=""USD"",Cost_in_dollars!C1737,Cost_in_dollars!C1737 * GOOGLEFINANCE(""CURRENCY:"" &amp; Cost_in_dollars!E1737 &amp; ""USD""))
"),3773863)</f>
        <v>3773863</v>
      </c>
      <c r="Q1737" s="6">
        <f t="shared" ca="1" si="36"/>
        <v>2773863</v>
      </c>
      <c r="R1737" s="7" t="str">
        <f t="shared" si="37"/>
        <v>To Save a Life</v>
      </c>
      <c r="S1737" s="43" t="str">
        <f t="shared" si="41"/>
        <v>Drama</v>
      </c>
    </row>
    <row r="1738" spans="1:19" ht="15.75" customHeight="1" x14ac:dyDescent="0.25">
      <c r="A1738" s="4" t="s">
        <v>30</v>
      </c>
      <c r="B1738" s="4">
        <v>64</v>
      </c>
      <c r="C1738" s="4">
        <v>1281176</v>
      </c>
      <c r="D1738" s="4" t="s">
        <v>457</v>
      </c>
      <c r="E1738" s="4" t="s">
        <v>5897</v>
      </c>
      <c r="F1738" s="4" t="s">
        <v>5898</v>
      </c>
      <c r="G1738" s="4">
        <v>2932</v>
      </c>
      <c r="H1738" s="4" t="s">
        <v>5899</v>
      </c>
      <c r="I1738" s="4">
        <v>73</v>
      </c>
      <c r="J1738" s="4" t="s">
        <v>23</v>
      </c>
      <c r="K1738" s="4" t="s">
        <v>24</v>
      </c>
      <c r="L1738" s="4">
        <v>312000</v>
      </c>
      <c r="M1738" s="4">
        <v>1999</v>
      </c>
      <c r="N1738" s="4">
        <v>6.7</v>
      </c>
      <c r="O1738" s="4">
        <f ca="1">IFERROR(__xludf.DUMMYFUNCTION("IF(Cost_in_dollars!E1738=""USD"",Cost_in_dollars!B1738,Cost_in_dollars!B1738 * GOOGLEFINANCE(""CURRENCY:"" &amp; Cost_in_dollars!E1738 &amp; ""USD""))
"),312000)</f>
        <v>312000</v>
      </c>
      <c r="P1738" s="4">
        <f ca="1">IFERROR(__xludf.DUMMYFUNCTION("IF(Cost_in_dollars!E1738=""USD"",Cost_in_dollars!C1738,Cost_in_dollars!C1738 * GOOGLEFINANCE(""CURRENCY:"" &amp; Cost_in_dollars!E1738 &amp; ""USD""))
"),1281176)</f>
        <v>1281176</v>
      </c>
      <c r="Q1738" s="4">
        <f t="shared" ca="1" si="36"/>
        <v>969176</v>
      </c>
      <c r="R1738" s="5" t="str">
        <f t="shared" si="37"/>
        <v>Tumbleweeds</v>
      </c>
      <c r="S1738" s="43" t="str">
        <f t="shared" si="41"/>
        <v>Comedy</v>
      </c>
    </row>
    <row r="1739" spans="1:19" ht="15.75" customHeight="1" x14ac:dyDescent="0.25">
      <c r="A1739" s="6" t="s">
        <v>5658</v>
      </c>
      <c r="B1739" s="6">
        <v>166</v>
      </c>
      <c r="C1739" s="6">
        <v>67128202</v>
      </c>
      <c r="D1739" s="6" t="s">
        <v>5900</v>
      </c>
      <c r="E1739" s="6" t="s">
        <v>49</v>
      </c>
      <c r="F1739" s="6" t="s">
        <v>5901</v>
      </c>
      <c r="G1739" s="6">
        <v>43328</v>
      </c>
      <c r="H1739" s="6" t="s">
        <v>5902</v>
      </c>
      <c r="I1739" s="6">
        <v>110</v>
      </c>
      <c r="J1739" s="6" t="s">
        <v>23</v>
      </c>
      <c r="K1739" s="6" t="s">
        <v>24</v>
      </c>
      <c r="L1739" s="6">
        <v>65000000</v>
      </c>
      <c r="M1739" s="6">
        <v>2009</v>
      </c>
      <c r="N1739" s="6">
        <v>5.7</v>
      </c>
      <c r="O1739" s="4">
        <f ca="1">IFERROR(__xludf.DUMMYFUNCTION("IF(Cost_in_dollars!E1739=""USD"",Cost_in_dollars!B1739,Cost_in_dollars!B1739 * GOOGLEFINANCE(""CURRENCY:"" &amp; Cost_in_dollars!E1739 &amp; ""USD""))
"),65000000)</f>
        <v>65000000</v>
      </c>
      <c r="P1739" s="4">
        <f ca="1">IFERROR(__xludf.DUMMYFUNCTION("IF(Cost_in_dollars!E1739=""USD"",Cost_in_dollars!C1739,Cost_in_dollars!C1739 * GOOGLEFINANCE(""CURRENCY:"" &amp; Cost_in_dollars!E1739 &amp; ""USD""))
"),67128202)</f>
        <v>67128202</v>
      </c>
      <c r="Q1739" s="6">
        <f t="shared" ca="1" si="36"/>
        <v>2128202</v>
      </c>
      <c r="R1739" s="7" t="str">
        <f t="shared" si="37"/>
        <v>Race to Witch Mountain</v>
      </c>
      <c r="S1739" s="43" t="str">
        <f t="shared" si="41"/>
        <v>Action</v>
      </c>
    </row>
    <row r="1740" spans="1:19" ht="15.75" customHeight="1" x14ac:dyDescent="0.25">
      <c r="A1740" s="4" t="s">
        <v>726</v>
      </c>
      <c r="B1740" s="4">
        <v>66</v>
      </c>
      <c r="C1740" s="4">
        <v>39177541</v>
      </c>
      <c r="D1740" s="4" t="s">
        <v>351</v>
      </c>
      <c r="E1740" s="4" t="s">
        <v>5903</v>
      </c>
      <c r="F1740" s="4" t="s">
        <v>5904</v>
      </c>
      <c r="G1740" s="4">
        <v>20310</v>
      </c>
      <c r="H1740" s="4" t="s">
        <v>5905</v>
      </c>
      <c r="I1740" s="4">
        <v>177</v>
      </c>
      <c r="J1740" s="4" t="s">
        <v>23</v>
      </c>
      <c r="K1740" s="4" t="s">
        <v>24</v>
      </c>
      <c r="L1740" s="4">
        <v>50000000</v>
      </c>
      <c r="M1740" s="4">
        <v>2005</v>
      </c>
      <c r="N1740" s="4">
        <v>3.5</v>
      </c>
      <c r="O1740" s="4">
        <f ca="1">IFERROR(__xludf.DUMMYFUNCTION("IF(Cost_in_dollars!E1740=""USD"",Cost_in_dollars!B1740,Cost_in_dollars!B1740 * GOOGLEFINANCE(""CURRENCY:"" &amp; Cost_in_dollars!E1740 &amp; ""USD""))
"),50000000)</f>
        <v>50000000</v>
      </c>
      <c r="P1740" s="4">
        <f ca="1">IFERROR(__xludf.DUMMYFUNCTION("IF(Cost_in_dollars!E1740=""USD"",Cost_in_dollars!C1740,Cost_in_dollars!C1740 * GOOGLEFINANCE(""CURRENCY:"" &amp; Cost_in_dollars!E1740 &amp; ""USD""))
"),39177541)</f>
        <v>39177541</v>
      </c>
      <c r="Q1740" s="4">
        <f t="shared" ca="1" si="36"/>
        <v>-10822459</v>
      </c>
      <c r="R1740" s="5" t="str">
        <f t="shared" si="37"/>
        <v>The Adventures of Sharkboy and Lavagirl 3-D</v>
      </c>
      <c r="S1740" s="43" t="str">
        <f t="shared" si="41"/>
        <v>Action</v>
      </c>
    </row>
    <row r="1741" spans="1:19" ht="15.75" customHeight="1" x14ac:dyDescent="0.25">
      <c r="A1741" s="6" t="s">
        <v>280</v>
      </c>
      <c r="B1741" s="6">
        <v>211</v>
      </c>
      <c r="C1741" s="6">
        <v>25863915</v>
      </c>
      <c r="D1741" s="6" t="s">
        <v>1180</v>
      </c>
      <c r="E1741" s="6" t="s">
        <v>2710</v>
      </c>
      <c r="F1741" s="6" t="s">
        <v>5906</v>
      </c>
      <c r="G1741" s="6">
        <v>28257</v>
      </c>
      <c r="H1741" s="6" t="s">
        <v>5907</v>
      </c>
      <c r="I1741" s="6">
        <v>151</v>
      </c>
      <c r="J1741" s="6" t="s">
        <v>23</v>
      </c>
      <c r="K1741" s="6" t="s">
        <v>24</v>
      </c>
      <c r="L1741" s="6">
        <v>35000000</v>
      </c>
      <c r="M1741" s="6">
        <v>2012</v>
      </c>
      <c r="N1741" s="6">
        <v>5.0999999999999996</v>
      </c>
      <c r="O1741" s="4">
        <f ca="1">IFERROR(__xludf.DUMMYFUNCTION("IF(Cost_in_dollars!E1741=""USD"",Cost_in_dollars!B1741,Cost_in_dollars!B1741 * GOOGLEFINANCE(""CURRENCY:"" &amp; Cost_in_dollars!E1741 &amp; ""USD""))
"),35000000)</f>
        <v>35000000</v>
      </c>
      <c r="P1741" s="4">
        <f ca="1">IFERROR(__xludf.DUMMYFUNCTION("IF(Cost_in_dollars!E1741=""USD"",Cost_in_dollars!C1741,Cost_in_dollars!C1741 * GOOGLEFINANCE(""CURRENCY:"" &amp; Cost_in_dollars!E1741 &amp; ""USD""))
"),25863915)</f>
        <v>25863915</v>
      </c>
      <c r="Q1741" s="6">
        <f t="shared" ca="1" si="36"/>
        <v>-9136085</v>
      </c>
      <c r="R1741" s="7" t="str">
        <f t="shared" si="37"/>
        <v>Alex Cross</v>
      </c>
      <c r="S1741" s="43" t="str">
        <f t="shared" si="41"/>
        <v>Action</v>
      </c>
    </row>
    <row r="1742" spans="1:19" ht="15.75" customHeight="1" x14ac:dyDescent="0.25">
      <c r="A1742" s="4" t="s">
        <v>5908</v>
      </c>
      <c r="B1742" s="4">
        <v>56</v>
      </c>
      <c r="C1742" s="4">
        <v>6387</v>
      </c>
      <c r="D1742" s="4" t="s">
        <v>2125</v>
      </c>
      <c r="E1742" s="4" t="s">
        <v>2149</v>
      </c>
      <c r="F1742" s="4" t="s">
        <v>5909</v>
      </c>
      <c r="G1742" s="4">
        <v>4862</v>
      </c>
      <c r="H1742" s="4" t="s">
        <v>5910</v>
      </c>
      <c r="I1742" s="4">
        <v>37</v>
      </c>
      <c r="J1742" s="4" t="s">
        <v>23</v>
      </c>
      <c r="K1742" s="4" t="s">
        <v>24</v>
      </c>
      <c r="L1742" s="4">
        <v>1000000</v>
      </c>
      <c r="M1742" s="4">
        <v>2006</v>
      </c>
      <c r="N1742" s="4">
        <v>6.9</v>
      </c>
      <c r="O1742" s="4">
        <f ca="1">IFERROR(__xludf.DUMMYFUNCTION("IF(Cost_in_dollars!E1742=""USD"",Cost_in_dollars!B1742,Cost_in_dollars!B1742 * GOOGLEFINANCE(""CURRENCY:"" &amp; Cost_in_dollars!E1742 &amp; ""USD""))
"),1000000)</f>
        <v>1000000</v>
      </c>
      <c r="P1742" s="4">
        <f ca="1">IFERROR(__xludf.DUMMYFUNCTION("IF(Cost_in_dollars!E1742=""USD"",Cost_in_dollars!C1742,Cost_in_dollars!C1742 * GOOGLEFINANCE(""CURRENCY:"" &amp; Cost_in_dollars!E1742 &amp; ""USD""))
"),6387)</f>
        <v>6387</v>
      </c>
      <c r="Q1742" s="4">
        <f t="shared" ca="1" si="36"/>
        <v>-993613</v>
      </c>
      <c r="R1742" s="5" t="str">
        <f t="shared" si="37"/>
        <v>Special</v>
      </c>
      <c r="S1742" s="43" t="str">
        <f t="shared" si="41"/>
        <v>Comedy</v>
      </c>
    </row>
    <row r="1743" spans="1:19" ht="15.75" customHeight="1" x14ac:dyDescent="0.25">
      <c r="A1743" s="6" t="s">
        <v>3999</v>
      </c>
      <c r="B1743" s="6">
        <v>52</v>
      </c>
      <c r="C1743" s="6">
        <v>26400000</v>
      </c>
      <c r="D1743" s="6" t="s">
        <v>5790</v>
      </c>
      <c r="E1743" s="6" t="s">
        <v>5911</v>
      </c>
      <c r="F1743" s="6" t="s">
        <v>5912</v>
      </c>
      <c r="G1743" s="6">
        <v>12980</v>
      </c>
      <c r="H1743" s="6" t="s">
        <v>5913</v>
      </c>
      <c r="I1743" s="6">
        <v>89</v>
      </c>
      <c r="J1743" s="6" t="s">
        <v>23</v>
      </c>
      <c r="K1743" s="6" t="s">
        <v>133</v>
      </c>
      <c r="L1743" s="6">
        <v>16000000</v>
      </c>
      <c r="M1743" s="6">
        <v>1984</v>
      </c>
      <c r="N1743" s="6">
        <v>7.4</v>
      </c>
      <c r="O1743" s="4">
        <f ca="1">IFERROR(__xludf.DUMMYFUNCTION("IF(Cost_in_dollars!E1743=""USD"",Cost_in_dollars!B1743,Cost_in_dollars!B1743 * GOOGLEFINANCE(""CURRENCY:"" &amp; Cost_in_dollars!E1743 &amp; ""USD""))
"),20566399.9999999)</f>
        <v>20566399.999999899</v>
      </c>
      <c r="P1743" s="4">
        <f ca="1">IFERROR(__xludf.DUMMYFUNCTION("IF(Cost_in_dollars!E1743=""USD"",Cost_in_dollars!C1743,Cost_in_dollars!C1743 * GOOGLEFINANCE(""CURRENCY:"" &amp; Cost_in_dollars!E1743 &amp; ""USD""))
"),33934560)</f>
        <v>33934560</v>
      </c>
      <c r="Q1743" s="6">
        <f t="shared" ca="1" si="36"/>
        <v>13368160.000000101</v>
      </c>
      <c r="R1743" s="7" t="str">
        <f t="shared" si="37"/>
        <v>A Passage to India</v>
      </c>
      <c r="S1743" s="43" t="str">
        <f t="shared" si="41"/>
        <v>Adventure</v>
      </c>
    </row>
    <row r="1744" spans="1:19" ht="15.75" customHeight="1" x14ac:dyDescent="0.25">
      <c r="A1744" s="4" t="s">
        <v>5914</v>
      </c>
      <c r="B1744" s="4">
        <v>230</v>
      </c>
      <c r="C1744" s="4">
        <v>13034417</v>
      </c>
      <c r="D1744" s="4" t="s">
        <v>135</v>
      </c>
      <c r="E1744" s="4" t="s">
        <v>5915</v>
      </c>
      <c r="F1744" s="4" t="s">
        <v>5916</v>
      </c>
      <c r="G1744" s="4">
        <v>55665</v>
      </c>
      <c r="H1744" s="4" t="s">
        <v>5917</v>
      </c>
      <c r="I1744" s="4">
        <v>118</v>
      </c>
      <c r="J1744" s="4" t="s">
        <v>23</v>
      </c>
      <c r="K1744" s="4" t="s">
        <v>24</v>
      </c>
      <c r="L1744" s="4">
        <v>15000000</v>
      </c>
      <c r="M1744" s="4">
        <v>2009</v>
      </c>
      <c r="N1744" s="4">
        <v>6.9</v>
      </c>
      <c r="O1744" s="4">
        <f ca="1">IFERROR(__xludf.DUMMYFUNCTION("IF(Cost_in_dollars!E1744=""USD"",Cost_in_dollars!B1744,Cost_in_dollars!B1744 * GOOGLEFINANCE(""CURRENCY:"" &amp; Cost_in_dollars!E1744 &amp; ""USD""))
"),15000000)</f>
        <v>15000000</v>
      </c>
      <c r="P1744" s="4">
        <f ca="1">IFERROR(__xludf.DUMMYFUNCTION("IF(Cost_in_dollars!E1744=""USD"",Cost_in_dollars!C1744,Cost_in_dollars!C1744 * GOOGLEFINANCE(""CURRENCY:"" &amp; Cost_in_dollars!E1744 &amp; ""USD""))
"),13034417)</f>
        <v>13034417</v>
      </c>
      <c r="Q1744" s="4">
        <f t="shared" ca="1" si="36"/>
        <v>-1965583</v>
      </c>
      <c r="R1744" s="5" t="str">
        <f t="shared" si="37"/>
        <v>Whip It</v>
      </c>
      <c r="S1744" s="43" t="str">
        <f t="shared" si="41"/>
        <v>Drama</v>
      </c>
    </row>
    <row r="1745" spans="1:19" ht="15.75" customHeight="1" x14ac:dyDescent="0.25">
      <c r="A1745" s="6" t="s">
        <v>5918</v>
      </c>
      <c r="B1745" s="6">
        <v>18</v>
      </c>
      <c r="C1745" s="6">
        <v>1277257</v>
      </c>
      <c r="D1745" s="6" t="s">
        <v>162</v>
      </c>
      <c r="E1745" s="6" t="s">
        <v>5420</v>
      </c>
      <c r="F1745" s="6" t="s">
        <v>5919</v>
      </c>
      <c r="G1745" s="6">
        <v>2629</v>
      </c>
      <c r="H1745" s="6" t="s">
        <v>5920</v>
      </c>
      <c r="I1745" s="6">
        <v>32</v>
      </c>
      <c r="J1745" s="6" t="s">
        <v>23</v>
      </c>
      <c r="K1745" s="6" t="s">
        <v>133</v>
      </c>
      <c r="L1745" s="6">
        <v>1000000</v>
      </c>
      <c r="M1745" s="6">
        <v>1996</v>
      </c>
      <c r="N1745" s="6">
        <v>6.8</v>
      </c>
      <c r="O1745" s="4">
        <f ca="1">IFERROR(__xludf.DUMMYFUNCTION("IF(Cost_in_dollars!E1745=""USD"",Cost_in_dollars!B1745,Cost_in_dollars!B1745 * GOOGLEFINANCE(""CURRENCY:"" &amp; Cost_in_dollars!E1745 &amp; ""USD""))
"),1285399.99999999)</f>
        <v>1285399.99999999</v>
      </c>
      <c r="P1745" s="4">
        <f ca="1">IFERROR(__xludf.DUMMYFUNCTION("IF(Cost_in_dollars!E1745=""USD"",Cost_in_dollars!C1745,Cost_in_dollars!C1745 * GOOGLEFINANCE(""CURRENCY:"" &amp; Cost_in_dollars!E1745 &amp; ""USD""))
"),1641786.1478)</f>
        <v>1641786.1477999999</v>
      </c>
      <c r="Q1745" s="6">
        <f t="shared" ca="1" si="36"/>
        <v>356386.14780000993</v>
      </c>
      <c r="R1745" s="7" t="str">
        <f t="shared" si="37"/>
        <v>Walking and Talking</v>
      </c>
      <c r="S1745" s="43" t="str">
        <f t="shared" si="41"/>
        <v>Comedy</v>
      </c>
    </row>
    <row r="1746" spans="1:19" ht="15.75" customHeight="1" x14ac:dyDescent="0.25">
      <c r="A1746" s="4" t="s">
        <v>1001</v>
      </c>
      <c r="B1746" s="4">
        <v>328</v>
      </c>
      <c r="C1746" s="4">
        <v>377019252</v>
      </c>
      <c r="D1746" s="4" t="s">
        <v>1032</v>
      </c>
      <c r="E1746" s="4" t="s">
        <v>556</v>
      </c>
      <c r="F1746" s="4" t="s">
        <v>5921</v>
      </c>
      <c r="G1746" s="4">
        <v>1215718</v>
      </c>
      <c r="H1746" s="4" t="s">
        <v>5922</v>
      </c>
      <c r="I1746" s="4">
        <v>3189</v>
      </c>
      <c r="J1746" s="4" t="s">
        <v>23</v>
      </c>
      <c r="K1746" s="4" t="s">
        <v>24</v>
      </c>
      <c r="L1746" s="4">
        <v>94000000</v>
      </c>
      <c r="M1746" s="4">
        <v>2003</v>
      </c>
      <c r="N1746" s="4">
        <v>8.9</v>
      </c>
      <c r="O1746" s="4">
        <f ca="1">IFERROR(__xludf.DUMMYFUNCTION("IF(Cost_in_dollars!E1746=""USD"",Cost_in_dollars!B1746,Cost_in_dollars!B1746 * GOOGLEFINANCE(""CURRENCY:"" &amp; Cost_in_dollars!E1746 &amp; ""USD""))
"),94000000)</f>
        <v>94000000</v>
      </c>
      <c r="P1746" s="4">
        <f ca="1">IFERROR(__xludf.DUMMYFUNCTION("IF(Cost_in_dollars!E1746=""USD"",Cost_in_dollars!C1746,Cost_in_dollars!C1746 * GOOGLEFINANCE(""CURRENCY:"" &amp; Cost_in_dollars!E1746 &amp; ""USD""))
"),377019252)</f>
        <v>377019252</v>
      </c>
      <c r="Q1746" s="4">
        <f t="shared" ca="1" si="36"/>
        <v>283019252</v>
      </c>
      <c r="R1746" s="5" t="str">
        <f t="shared" si="37"/>
        <v>The Lord of the Rings: The Return of the King</v>
      </c>
      <c r="S1746" s="43" t="str">
        <f t="shared" si="41"/>
        <v>Action</v>
      </c>
    </row>
    <row r="1747" spans="1:19" ht="15.75" customHeight="1" x14ac:dyDescent="0.25">
      <c r="A1747" s="6" t="s">
        <v>2110</v>
      </c>
      <c r="B1747" s="6">
        <v>179</v>
      </c>
      <c r="C1747" s="6">
        <v>162001186</v>
      </c>
      <c r="D1747" s="6" t="s">
        <v>140</v>
      </c>
      <c r="E1747" s="6" t="s">
        <v>456</v>
      </c>
      <c r="F1747" s="6" t="s">
        <v>5923</v>
      </c>
      <c r="G1747" s="6">
        <v>181443</v>
      </c>
      <c r="H1747" s="6" t="s">
        <v>5924</v>
      </c>
      <c r="I1747" s="6">
        <v>311</v>
      </c>
      <c r="J1747" s="6" t="s">
        <v>23</v>
      </c>
      <c r="K1747" s="6" t="s">
        <v>24</v>
      </c>
      <c r="L1747" s="6">
        <v>80000000</v>
      </c>
      <c r="M1747" s="6">
        <v>2010</v>
      </c>
      <c r="N1747" s="6">
        <v>6</v>
      </c>
      <c r="O1747" s="4">
        <f ca="1">IFERROR(__xludf.DUMMYFUNCTION("IF(Cost_in_dollars!E1747=""USD"",Cost_in_dollars!B1747,Cost_in_dollars!B1747 * GOOGLEFINANCE(""CURRENCY:"" &amp; Cost_in_dollars!E1747 &amp; ""USD""))
"),80000000)</f>
        <v>80000000</v>
      </c>
      <c r="P1747" s="4">
        <f ca="1">IFERROR(__xludf.DUMMYFUNCTION("IF(Cost_in_dollars!E1747=""USD"",Cost_in_dollars!C1747,Cost_in_dollars!C1747 * GOOGLEFINANCE(""CURRENCY:"" &amp; Cost_in_dollars!E1747 &amp; ""USD""))
"),162001186)</f>
        <v>162001186</v>
      </c>
      <c r="Q1747" s="6">
        <f t="shared" ca="1" si="36"/>
        <v>82001186</v>
      </c>
      <c r="R1747" s="7" t="str">
        <f t="shared" si="37"/>
        <v>Grown Ups</v>
      </c>
      <c r="S1747" s="43" t="str">
        <f t="shared" si="41"/>
        <v>Comedy</v>
      </c>
    </row>
    <row r="1748" spans="1:19" ht="15.75" customHeight="1" x14ac:dyDescent="0.25">
      <c r="A1748" s="4" t="s">
        <v>5925</v>
      </c>
      <c r="B1748" s="4">
        <v>50</v>
      </c>
      <c r="C1748" s="4">
        <v>96793</v>
      </c>
      <c r="D1748" s="4" t="s">
        <v>222</v>
      </c>
      <c r="E1748" s="4" t="s">
        <v>728</v>
      </c>
      <c r="F1748" s="4" t="s">
        <v>5926</v>
      </c>
      <c r="G1748" s="4">
        <v>12188</v>
      </c>
      <c r="H1748" s="4" t="s">
        <v>5927</v>
      </c>
      <c r="I1748" s="4">
        <v>135</v>
      </c>
      <c r="J1748" s="4" t="s">
        <v>23</v>
      </c>
      <c r="K1748" s="4" t="s">
        <v>24</v>
      </c>
      <c r="L1748" s="4">
        <v>3500000</v>
      </c>
      <c r="M1748" s="4">
        <v>2004</v>
      </c>
      <c r="N1748" s="4">
        <v>5.3</v>
      </c>
      <c r="O1748" s="4">
        <f ca="1">IFERROR(__xludf.DUMMYFUNCTION("IF(Cost_in_dollars!E1748=""USD"",Cost_in_dollars!B1748,Cost_in_dollars!B1748 * GOOGLEFINANCE(""CURRENCY:"" &amp; Cost_in_dollars!E1748 &amp; ""USD""))
"),3500000)</f>
        <v>3500000</v>
      </c>
      <c r="P1748" s="4">
        <f ca="1">IFERROR(__xludf.DUMMYFUNCTION("IF(Cost_in_dollars!E1748=""USD"",Cost_in_dollars!C1748,Cost_in_dollars!C1748 * GOOGLEFINANCE(""CURRENCY:"" &amp; Cost_in_dollars!E1748 &amp; ""USD""))
"),96793)</f>
        <v>96793</v>
      </c>
      <c r="Q1748" s="4">
        <f t="shared" ca="1" si="36"/>
        <v>-3403207</v>
      </c>
      <c r="R1748" s="5" t="str">
        <f t="shared" si="37"/>
        <v>D.E.B.S.</v>
      </c>
      <c r="S1748" s="43" t="str">
        <f t="shared" si="41"/>
        <v>Action</v>
      </c>
    </row>
    <row r="1749" spans="1:19" ht="15.75" customHeight="1" x14ac:dyDescent="0.25">
      <c r="A1749" s="6" t="s">
        <v>2520</v>
      </c>
      <c r="B1749" s="6">
        <v>50</v>
      </c>
      <c r="C1749" s="6">
        <v>153665036</v>
      </c>
      <c r="D1749" s="6" t="s">
        <v>793</v>
      </c>
      <c r="E1749" s="6" t="s">
        <v>5928</v>
      </c>
      <c r="F1749" s="6" t="s">
        <v>5929</v>
      </c>
      <c r="G1749" s="6">
        <v>84824</v>
      </c>
      <c r="H1749" s="6" t="s">
        <v>5930</v>
      </c>
      <c r="I1749" s="6">
        <v>95</v>
      </c>
      <c r="J1749" s="6" t="s">
        <v>23</v>
      </c>
      <c r="K1749" s="6" t="s">
        <v>24</v>
      </c>
      <c r="L1749" s="6">
        <v>28000000</v>
      </c>
      <c r="M1749" s="6">
        <v>1987</v>
      </c>
      <c r="N1749" s="6">
        <v>6.4</v>
      </c>
      <c r="O1749" s="4">
        <f ca="1">IFERROR(__xludf.DUMMYFUNCTION("IF(Cost_in_dollars!E1749=""USD"",Cost_in_dollars!B1749,Cost_in_dollars!B1749 * GOOGLEFINANCE(""CURRENCY:"" &amp; Cost_in_dollars!E1749 &amp; ""USD""))
"),28000000)</f>
        <v>28000000</v>
      </c>
      <c r="P1749" s="4">
        <f ca="1">IFERROR(__xludf.DUMMYFUNCTION("IF(Cost_in_dollars!E1749=""USD"",Cost_in_dollars!C1749,Cost_in_dollars!C1749 * GOOGLEFINANCE(""CURRENCY:"" &amp; Cost_in_dollars!E1749 &amp; ""USD""))
"),153665036)</f>
        <v>153665036</v>
      </c>
      <c r="Q1749" s="6">
        <f t="shared" ca="1" si="36"/>
        <v>125665036</v>
      </c>
      <c r="R1749" s="7" t="str">
        <f t="shared" si="37"/>
        <v>Beverly Hills Cop II</v>
      </c>
      <c r="S1749" s="43" t="str">
        <f t="shared" si="41"/>
        <v>Action</v>
      </c>
    </row>
    <row r="1750" spans="1:19" ht="15.75" customHeight="1" x14ac:dyDescent="0.25">
      <c r="A1750" s="4" t="s">
        <v>4637</v>
      </c>
      <c r="B1750" s="4">
        <v>673</v>
      </c>
      <c r="C1750" s="4">
        <v>330249062</v>
      </c>
      <c r="D1750" s="4" t="s">
        <v>188</v>
      </c>
      <c r="E1750" s="4" t="s">
        <v>1314</v>
      </c>
      <c r="F1750" s="4" t="s">
        <v>5931</v>
      </c>
      <c r="G1750" s="4">
        <v>371639</v>
      </c>
      <c r="H1750" s="4" t="s">
        <v>5932</v>
      </c>
      <c r="I1750" s="4">
        <v>3018</v>
      </c>
      <c r="J1750" s="4" t="s">
        <v>23</v>
      </c>
      <c r="K1750" s="4" t="s">
        <v>24</v>
      </c>
      <c r="L1750" s="4">
        <v>250000000</v>
      </c>
      <c r="M1750" s="4">
        <v>2016</v>
      </c>
      <c r="N1750" s="4">
        <v>6.9</v>
      </c>
      <c r="O1750" s="4">
        <f ca="1">IFERROR(__xludf.DUMMYFUNCTION("IF(Cost_in_dollars!E1750=""USD"",Cost_in_dollars!B1750,Cost_in_dollars!B1750 * GOOGLEFINANCE(""CURRENCY:"" &amp; Cost_in_dollars!E1750 &amp; ""USD""))
"),250000000)</f>
        <v>250000000</v>
      </c>
      <c r="P1750" s="4">
        <f ca="1">IFERROR(__xludf.DUMMYFUNCTION("IF(Cost_in_dollars!E1750=""USD"",Cost_in_dollars!C1750,Cost_in_dollars!C1750 * GOOGLEFINANCE(""CURRENCY:"" &amp; Cost_in_dollars!E1750 &amp; ""USD""))
"),330249062)</f>
        <v>330249062</v>
      </c>
      <c r="Q1750" s="4">
        <f t="shared" ca="1" si="36"/>
        <v>80249062</v>
      </c>
      <c r="R1750" s="5" t="str">
        <f t="shared" si="37"/>
        <v>Batman v Superman: Dawn of Justice</v>
      </c>
      <c r="S1750" s="43" t="str">
        <f t="shared" si="41"/>
        <v>Action</v>
      </c>
    </row>
    <row r="1751" spans="1:19" ht="15.75" customHeight="1" x14ac:dyDescent="0.25">
      <c r="A1751" s="6" t="s">
        <v>5933</v>
      </c>
      <c r="B1751" s="6">
        <v>9</v>
      </c>
      <c r="C1751" s="6">
        <v>31937</v>
      </c>
      <c r="D1751" s="6" t="s">
        <v>88</v>
      </c>
      <c r="E1751" s="6" t="s">
        <v>5934</v>
      </c>
      <c r="F1751" s="6" t="s">
        <v>5935</v>
      </c>
      <c r="G1751" s="6">
        <v>1358</v>
      </c>
      <c r="H1751" s="6" t="s">
        <v>5936</v>
      </c>
      <c r="I1751" s="6">
        <v>10</v>
      </c>
      <c r="J1751" s="6" t="s">
        <v>23</v>
      </c>
      <c r="K1751" s="6" t="s">
        <v>24</v>
      </c>
      <c r="L1751" s="6">
        <v>500000</v>
      </c>
      <c r="M1751" s="6">
        <v>2007</v>
      </c>
      <c r="N1751" s="6">
        <v>5.7</v>
      </c>
      <c r="O1751" s="4">
        <f ca="1">IFERROR(__xludf.DUMMYFUNCTION("IF(Cost_in_dollars!E1751=""USD"",Cost_in_dollars!B1751,Cost_in_dollars!B1751 * GOOGLEFINANCE(""CURRENCY:"" &amp; Cost_in_dollars!E1751 &amp; ""USD""))
"),500000)</f>
        <v>500000</v>
      </c>
      <c r="P1751" s="4">
        <f ca="1">IFERROR(__xludf.DUMMYFUNCTION("IF(Cost_in_dollars!E1751=""USD"",Cost_in_dollars!C1751,Cost_in_dollars!C1751 * GOOGLEFINANCE(""CURRENCY:"" &amp; Cost_in_dollars!E1751 &amp; ""USD""))
"),31937)</f>
        <v>31937</v>
      </c>
      <c r="Q1751" s="6">
        <f t="shared" ca="1" si="36"/>
        <v>-468063</v>
      </c>
      <c r="R1751" s="7" t="str">
        <f t="shared" si="37"/>
        <v>Kiss the Bride</v>
      </c>
      <c r="S1751" s="43" t="str">
        <f t="shared" si="41"/>
        <v>Comedy</v>
      </c>
    </row>
    <row r="1752" spans="1:19" ht="15.75" customHeight="1" x14ac:dyDescent="0.25">
      <c r="A1752" s="4" t="s">
        <v>150</v>
      </c>
      <c r="B1752" s="4">
        <v>420</v>
      </c>
      <c r="C1752" s="4">
        <v>38176892</v>
      </c>
      <c r="D1752" s="4" t="s">
        <v>568</v>
      </c>
      <c r="E1752" s="4" t="s">
        <v>5937</v>
      </c>
      <c r="F1752" s="4" t="s">
        <v>5938</v>
      </c>
      <c r="G1752" s="4">
        <v>104119</v>
      </c>
      <c r="H1752" s="4" t="s">
        <v>5939</v>
      </c>
      <c r="I1752" s="4">
        <v>518</v>
      </c>
      <c r="J1752" s="4" t="s">
        <v>23</v>
      </c>
      <c r="K1752" s="4" t="s">
        <v>24</v>
      </c>
      <c r="L1752" s="4">
        <v>40000000</v>
      </c>
      <c r="M1752" s="4">
        <v>2011</v>
      </c>
      <c r="N1752" s="4">
        <v>6.2</v>
      </c>
      <c r="O1752" s="4">
        <f ca="1">IFERROR(__xludf.DUMMYFUNCTION("IF(Cost_in_dollars!E1752=""USD"",Cost_in_dollars!B1752,Cost_in_dollars!B1752 * GOOGLEFINANCE(""CURRENCY:"" &amp; Cost_in_dollars!E1752 &amp; ""USD""))
"),40000000)</f>
        <v>40000000</v>
      </c>
      <c r="P1752" s="4">
        <f ca="1">IFERROR(__xludf.DUMMYFUNCTION("IF(Cost_in_dollars!E1752=""USD"",Cost_in_dollars!C1752,Cost_in_dollars!C1752 * GOOGLEFINANCE(""CURRENCY:"" &amp; Cost_in_dollars!E1752 &amp; ""USD""))
"),38176892)</f>
        <v>38176892</v>
      </c>
      <c r="Q1752" s="4">
        <f t="shared" ca="1" si="36"/>
        <v>-1823108</v>
      </c>
      <c r="R1752" s="5" t="str">
        <f t="shared" si="37"/>
        <v>Scream 4</v>
      </c>
      <c r="S1752" s="43" t="str">
        <f t="shared" si="41"/>
        <v>Horror</v>
      </c>
    </row>
    <row r="1753" spans="1:19" ht="15.75" customHeight="1" x14ac:dyDescent="0.25">
      <c r="A1753" s="6" t="s">
        <v>679</v>
      </c>
      <c r="B1753" s="6">
        <v>81</v>
      </c>
      <c r="C1753" s="6">
        <v>40485039</v>
      </c>
      <c r="D1753" s="6" t="s">
        <v>5940</v>
      </c>
      <c r="E1753" s="6" t="s">
        <v>1173</v>
      </c>
      <c r="F1753" s="6" t="s">
        <v>5941</v>
      </c>
      <c r="G1753" s="6">
        <v>85362</v>
      </c>
      <c r="H1753" s="6" t="s">
        <v>5942</v>
      </c>
      <c r="I1753" s="6">
        <v>181</v>
      </c>
      <c r="J1753" s="6" t="s">
        <v>23</v>
      </c>
      <c r="K1753" s="6" t="s">
        <v>24</v>
      </c>
      <c r="L1753" s="6">
        <v>10000000</v>
      </c>
      <c r="M1753" s="6">
        <v>1989</v>
      </c>
      <c r="N1753" s="6">
        <v>6.9</v>
      </c>
      <c r="O1753" s="4">
        <f ca="1">IFERROR(__xludf.DUMMYFUNCTION("IF(Cost_in_dollars!E1753=""USD"",Cost_in_dollars!B1753,Cost_in_dollars!B1753 * GOOGLEFINANCE(""CURRENCY:"" &amp; Cost_in_dollars!E1753 &amp; ""USD""))
"),10000000)</f>
        <v>10000000</v>
      </c>
      <c r="P1753" s="4">
        <f ca="1">IFERROR(__xludf.DUMMYFUNCTION("IF(Cost_in_dollars!E1753=""USD"",Cost_in_dollars!C1753,Cost_in_dollars!C1753 * GOOGLEFINANCE(""CURRENCY:"" &amp; Cost_in_dollars!E1753 &amp; ""USD""))
"),40485039)</f>
        <v>40485039</v>
      </c>
      <c r="Q1753" s="6">
        <f t="shared" ca="1" si="36"/>
        <v>30485039</v>
      </c>
      <c r="R1753" s="7" t="str">
        <f t="shared" si="37"/>
        <v>Bill &amp; Ted's Excellent Adventure</v>
      </c>
      <c r="S1753" s="43" t="str">
        <f t="shared" si="41"/>
        <v>Adventure</v>
      </c>
    </row>
    <row r="1754" spans="1:19" ht="15.75" customHeight="1" x14ac:dyDescent="0.25">
      <c r="A1754" s="4" t="s">
        <v>2966</v>
      </c>
      <c r="B1754" s="4">
        <v>251</v>
      </c>
      <c r="C1754" s="4">
        <v>148734225</v>
      </c>
      <c r="D1754" s="4" t="s">
        <v>88</v>
      </c>
      <c r="E1754" s="4" t="s">
        <v>1810</v>
      </c>
      <c r="F1754" s="4" t="s">
        <v>5943</v>
      </c>
      <c r="G1754" s="4">
        <v>298590</v>
      </c>
      <c r="H1754" s="4" t="s">
        <v>5944</v>
      </c>
      <c r="I1754" s="4">
        <v>559</v>
      </c>
      <c r="J1754" s="4" t="s">
        <v>23</v>
      </c>
      <c r="K1754" s="4" t="s">
        <v>24</v>
      </c>
      <c r="L1754" s="4">
        <v>30000000</v>
      </c>
      <c r="M1754" s="4">
        <v>2007</v>
      </c>
      <c r="N1754" s="4">
        <v>7</v>
      </c>
      <c r="O1754" s="4">
        <f ca="1">IFERROR(__xludf.DUMMYFUNCTION("IF(Cost_in_dollars!E1754=""USD"",Cost_in_dollars!B1754,Cost_in_dollars!B1754 * GOOGLEFINANCE(""CURRENCY:"" &amp; Cost_in_dollars!E1754 &amp; ""USD""))
"),30000000)</f>
        <v>30000000</v>
      </c>
      <c r="P1754" s="4">
        <f ca="1">IFERROR(__xludf.DUMMYFUNCTION("IF(Cost_in_dollars!E1754=""USD"",Cost_in_dollars!C1754,Cost_in_dollars!C1754 * GOOGLEFINANCE(""CURRENCY:"" &amp; Cost_in_dollars!E1754 &amp; ""USD""))
"),148734225)</f>
        <v>148734225</v>
      </c>
      <c r="Q1754" s="4">
        <f t="shared" ca="1" si="36"/>
        <v>118734225</v>
      </c>
      <c r="R1754" s="5" t="str">
        <f t="shared" si="37"/>
        <v>Knocked Up</v>
      </c>
      <c r="S1754" s="43" t="str">
        <f t="shared" si="41"/>
        <v>Comedy</v>
      </c>
    </row>
    <row r="1755" spans="1:19" ht="15.75" customHeight="1" x14ac:dyDescent="0.25">
      <c r="A1755" s="6" t="s">
        <v>2307</v>
      </c>
      <c r="B1755" s="6">
        <v>343</v>
      </c>
      <c r="C1755" s="6">
        <v>128505958</v>
      </c>
      <c r="D1755" s="6" t="s">
        <v>140</v>
      </c>
      <c r="E1755" s="6" t="s">
        <v>5945</v>
      </c>
      <c r="F1755" s="6" t="s">
        <v>5946</v>
      </c>
      <c r="G1755" s="6">
        <v>297014</v>
      </c>
      <c r="H1755" s="6" t="s">
        <v>5947</v>
      </c>
      <c r="I1755" s="6">
        <v>1198</v>
      </c>
      <c r="J1755" s="6" t="s">
        <v>23</v>
      </c>
      <c r="K1755" s="6" t="s">
        <v>24</v>
      </c>
      <c r="L1755" s="6">
        <v>18000000</v>
      </c>
      <c r="M1755" s="6">
        <v>2006</v>
      </c>
      <c r="N1755" s="6">
        <v>7.3</v>
      </c>
      <c r="O1755" s="4">
        <f ca="1">IFERROR(__xludf.DUMMYFUNCTION("IF(Cost_in_dollars!E1755=""USD"",Cost_in_dollars!B1755,Cost_in_dollars!B1755 * GOOGLEFINANCE(""CURRENCY:"" &amp; Cost_in_dollars!E1755 &amp; ""USD""))
"),18000000)</f>
        <v>18000000</v>
      </c>
      <c r="P1755" s="4">
        <f ca="1">IFERROR(__xludf.DUMMYFUNCTION("IF(Cost_in_dollars!E1755=""USD"",Cost_in_dollars!C1755,Cost_in_dollars!C1755 * GOOGLEFINANCE(""CURRENCY:"" &amp; Cost_in_dollars!E1755 &amp; ""USD""))
"),128505958)</f>
        <v>128505958</v>
      </c>
      <c r="Q1755" s="6">
        <f t="shared" ca="1" si="36"/>
        <v>110505958</v>
      </c>
      <c r="R1755" s="7" t="str">
        <f t="shared" si="37"/>
        <v>Borat: Cultural Learnings of America for Make Benefit Glorious Nation of Kazakhstan</v>
      </c>
      <c r="S1755" s="43" t="str">
        <f t="shared" si="41"/>
        <v>Comedy</v>
      </c>
    </row>
    <row r="1756" spans="1:19" ht="15.75" customHeight="1" x14ac:dyDescent="0.25">
      <c r="A1756" s="4" t="s">
        <v>1953</v>
      </c>
      <c r="B1756" s="4">
        <v>299</v>
      </c>
      <c r="C1756" s="4">
        <v>34180954</v>
      </c>
      <c r="D1756" s="4" t="s">
        <v>235</v>
      </c>
      <c r="E1756" s="4" t="s">
        <v>780</v>
      </c>
      <c r="F1756" s="4" t="s">
        <v>5948</v>
      </c>
      <c r="G1756" s="4">
        <v>189812</v>
      </c>
      <c r="H1756" s="4" t="s">
        <v>5949</v>
      </c>
      <c r="I1756" s="4">
        <v>370</v>
      </c>
      <c r="J1756" s="4" t="s">
        <v>23</v>
      </c>
      <c r="K1756" s="4" t="s">
        <v>24</v>
      </c>
      <c r="L1756" s="4">
        <v>32000000</v>
      </c>
      <c r="M1756" s="4">
        <v>2008</v>
      </c>
      <c r="N1756" s="4">
        <v>7.6</v>
      </c>
      <c r="O1756" s="4">
        <f ca="1">IFERROR(__xludf.DUMMYFUNCTION("IF(Cost_in_dollars!E1756=""USD"",Cost_in_dollars!B1756,Cost_in_dollars!B1756 * GOOGLEFINANCE(""CURRENCY:"" &amp; Cost_in_dollars!E1756 &amp; ""USD""))
"),32000000)</f>
        <v>32000000</v>
      </c>
      <c r="P1756" s="4">
        <f ca="1">IFERROR(__xludf.DUMMYFUNCTION("IF(Cost_in_dollars!E1756=""USD"",Cost_in_dollars!C1756,Cost_in_dollars!C1756 * GOOGLEFINANCE(""CURRENCY:"" &amp; Cost_in_dollars!E1756 &amp; ""USD""))
"),34180954)</f>
        <v>34180954</v>
      </c>
      <c r="Q1756" s="4">
        <f t="shared" ca="1" si="36"/>
        <v>2180954</v>
      </c>
      <c r="R1756" s="5" t="str">
        <f t="shared" si="37"/>
        <v>The Reader</v>
      </c>
      <c r="S1756" s="43" t="str">
        <f t="shared" si="41"/>
        <v>Drama</v>
      </c>
    </row>
    <row r="1757" spans="1:19" ht="15.75" customHeight="1" x14ac:dyDescent="0.25">
      <c r="A1757" s="6" t="s">
        <v>4089</v>
      </c>
      <c r="B1757" s="6">
        <v>36</v>
      </c>
      <c r="C1757" s="6">
        <v>10246600</v>
      </c>
      <c r="D1757" s="6" t="s">
        <v>162</v>
      </c>
      <c r="E1757" s="6" t="s">
        <v>5950</v>
      </c>
      <c r="F1757" s="6" t="s">
        <v>5951</v>
      </c>
      <c r="G1757" s="6">
        <v>6375</v>
      </c>
      <c r="H1757" s="6" t="s">
        <v>5952</v>
      </c>
      <c r="I1757" s="6">
        <v>36</v>
      </c>
      <c r="J1757" s="6" t="s">
        <v>23</v>
      </c>
      <c r="K1757" s="6" t="s">
        <v>24</v>
      </c>
      <c r="L1757" s="6">
        <v>25000</v>
      </c>
      <c r="M1757" s="6">
        <v>1995</v>
      </c>
      <c r="N1757" s="6">
        <v>6.6</v>
      </c>
      <c r="O1757" s="4">
        <f ca="1">IFERROR(__xludf.DUMMYFUNCTION("IF(Cost_in_dollars!E1757=""USD"",Cost_in_dollars!B1757,Cost_in_dollars!B1757 * GOOGLEFINANCE(""CURRENCY:"" &amp; Cost_in_dollars!E1757 &amp; ""USD""))
"),25000)</f>
        <v>25000</v>
      </c>
      <c r="P1757" s="4">
        <f ca="1">IFERROR(__xludf.DUMMYFUNCTION("IF(Cost_in_dollars!E1757=""USD"",Cost_in_dollars!C1757,Cost_in_dollars!C1757 * GOOGLEFINANCE(""CURRENCY:"" &amp; Cost_in_dollars!E1757 &amp; ""USD""))
"),10246600)</f>
        <v>10246600</v>
      </c>
      <c r="Q1757" s="6">
        <f t="shared" ca="1" si="36"/>
        <v>10221600</v>
      </c>
      <c r="R1757" s="7" t="str">
        <f t="shared" si="37"/>
        <v>The Brothers McMullen</v>
      </c>
      <c r="S1757" s="43" t="str">
        <f t="shared" si="41"/>
        <v>Comedy</v>
      </c>
    </row>
    <row r="1758" spans="1:19" ht="15.75" customHeight="1" x14ac:dyDescent="0.25">
      <c r="A1758" s="4" t="s">
        <v>3014</v>
      </c>
      <c r="B1758" s="4">
        <v>57</v>
      </c>
      <c r="C1758" s="4">
        <v>219200000</v>
      </c>
      <c r="D1758" s="4" t="s">
        <v>2092</v>
      </c>
      <c r="E1758" s="4" t="s">
        <v>676</v>
      </c>
      <c r="F1758" s="4" t="s">
        <v>5953</v>
      </c>
      <c r="G1758" s="4">
        <v>181380</v>
      </c>
      <c r="H1758" s="4" t="s">
        <v>5954</v>
      </c>
      <c r="I1758" s="4">
        <v>223</v>
      </c>
      <c r="J1758" s="4" t="s">
        <v>23</v>
      </c>
      <c r="K1758" s="4" t="s">
        <v>24</v>
      </c>
      <c r="L1758" s="4">
        <v>25000000</v>
      </c>
      <c r="M1758" s="4">
        <v>1993</v>
      </c>
      <c r="N1758" s="4">
        <v>6.9</v>
      </c>
      <c r="O1758" s="4">
        <f ca="1">IFERROR(__xludf.DUMMYFUNCTION("IF(Cost_in_dollars!E1758=""USD"",Cost_in_dollars!B1758,Cost_in_dollars!B1758 * GOOGLEFINANCE(""CURRENCY:"" &amp; Cost_in_dollars!E1758 &amp; ""USD""))
"),25000000)</f>
        <v>25000000</v>
      </c>
      <c r="P1758" s="4">
        <f ca="1">IFERROR(__xludf.DUMMYFUNCTION("IF(Cost_in_dollars!E1758=""USD"",Cost_in_dollars!C1758,Cost_in_dollars!C1758 * GOOGLEFINANCE(""CURRENCY:"" &amp; Cost_in_dollars!E1758 &amp; ""USD""))
"),219200000)</f>
        <v>219200000</v>
      </c>
      <c r="Q1758" s="4">
        <f t="shared" ca="1" si="36"/>
        <v>194200000</v>
      </c>
      <c r="R1758" s="5" t="str">
        <f t="shared" si="37"/>
        <v>Mrs. Doubtfire</v>
      </c>
      <c r="S1758" s="43" t="str">
        <f t="shared" si="41"/>
        <v>Comedy</v>
      </c>
    </row>
    <row r="1759" spans="1:19" ht="15.75" customHeight="1" x14ac:dyDescent="0.25">
      <c r="A1759" s="6" t="s">
        <v>5955</v>
      </c>
      <c r="B1759" s="6">
        <v>409</v>
      </c>
      <c r="C1759" s="6">
        <v>107917283</v>
      </c>
      <c r="D1759" s="6" t="s">
        <v>151</v>
      </c>
      <c r="E1759" s="6" t="s">
        <v>5956</v>
      </c>
      <c r="F1759" s="6" t="s">
        <v>5957</v>
      </c>
      <c r="G1759" s="6">
        <v>184824</v>
      </c>
      <c r="H1759" s="6" t="s">
        <v>5958</v>
      </c>
      <c r="I1759" s="6">
        <v>1189</v>
      </c>
      <c r="J1759" s="6" t="s">
        <v>23</v>
      </c>
      <c r="K1759" s="6" t="s">
        <v>24</v>
      </c>
      <c r="L1759" s="6">
        <v>15000</v>
      </c>
      <c r="M1759" s="6">
        <v>2007</v>
      </c>
      <c r="N1759" s="6">
        <v>6.3</v>
      </c>
      <c r="O1759" s="4">
        <f ca="1">IFERROR(__xludf.DUMMYFUNCTION("IF(Cost_in_dollars!E1759=""USD"",Cost_in_dollars!B1759,Cost_in_dollars!B1759 * GOOGLEFINANCE(""CURRENCY:"" &amp; Cost_in_dollars!E1759 &amp; ""USD""))
"),15000)</f>
        <v>15000</v>
      </c>
      <c r="P1759" s="4">
        <f ca="1">IFERROR(__xludf.DUMMYFUNCTION("IF(Cost_in_dollars!E1759=""USD"",Cost_in_dollars!C1759,Cost_in_dollars!C1759 * GOOGLEFINANCE(""CURRENCY:"" &amp; Cost_in_dollars!E1759 &amp; ""USD""))
"),107917283)</f>
        <v>107917283</v>
      </c>
      <c r="Q1759" s="6">
        <f t="shared" ca="1" si="36"/>
        <v>107902283</v>
      </c>
      <c r="R1759" s="7" t="str">
        <f t="shared" si="37"/>
        <v>Paranormal Activity</v>
      </c>
      <c r="S1759" s="43" t="str">
        <f t="shared" si="41"/>
        <v>Horror</v>
      </c>
    </row>
    <row r="1760" spans="1:19" ht="15.75" customHeight="1" x14ac:dyDescent="0.25">
      <c r="A1760" s="4" t="s">
        <v>5959</v>
      </c>
      <c r="B1760" s="4">
        <v>311</v>
      </c>
      <c r="C1760" s="4">
        <v>40990055</v>
      </c>
      <c r="D1760" s="4" t="s">
        <v>1854</v>
      </c>
      <c r="E1760" s="4" t="s">
        <v>5960</v>
      </c>
      <c r="F1760" s="4" t="s">
        <v>5961</v>
      </c>
      <c r="G1760" s="4">
        <v>41509</v>
      </c>
      <c r="H1760" s="4" t="s">
        <v>5962</v>
      </c>
      <c r="I1760" s="4">
        <v>300</v>
      </c>
      <c r="J1760" s="4" t="s">
        <v>23</v>
      </c>
      <c r="K1760" s="4" t="s">
        <v>611</v>
      </c>
      <c r="L1760" s="4">
        <v>1800000</v>
      </c>
      <c r="M1760" s="4">
        <v>2010</v>
      </c>
      <c r="N1760" s="4">
        <v>5.6</v>
      </c>
      <c r="O1760" s="4">
        <f ca="1">IFERROR(__xludf.DUMMYFUNCTION("IF(Cost_in_dollars!E1760=""USD"",Cost_in_dollars!B1760,Cost_in_dollars!B1760 * GOOGLEFINANCE(""CURRENCY:"" &amp; Cost_in_dollars!E1760 &amp; ""USD""))
"),1952532)</f>
        <v>1952532</v>
      </c>
      <c r="P1760" s="4">
        <f ca="1">IFERROR(__xludf.DUMMYFUNCTION("IF(Cost_in_dollars!E1760=""USD"",Cost_in_dollars!C1760,Cost_in_dollars!C1760 * GOOGLEFINANCE(""CURRENCY:"" &amp; Cost_in_dollars!E1760 &amp; ""USD""))
"),44463552.2607)</f>
        <v>44463552.260700002</v>
      </c>
      <c r="Q1760" s="4">
        <f t="shared" ca="1" si="36"/>
        <v>42511020.260700002</v>
      </c>
      <c r="R1760" s="5" t="str">
        <f t="shared" si="37"/>
        <v>The Last Exorcism</v>
      </c>
      <c r="S1760" s="43" t="str">
        <f t="shared" si="41"/>
        <v>Drama</v>
      </c>
    </row>
    <row r="1761" spans="1:19" ht="15.75" customHeight="1" x14ac:dyDescent="0.25">
      <c r="A1761" s="6" t="s">
        <v>1094</v>
      </c>
      <c r="B1761" s="6">
        <v>75</v>
      </c>
      <c r="C1761" s="6">
        <v>82301521</v>
      </c>
      <c r="D1761" s="6" t="s">
        <v>5963</v>
      </c>
      <c r="E1761" s="6" t="s">
        <v>1222</v>
      </c>
      <c r="F1761" s="6" t="s">
        <v>5964</v>
      </c>
      <c r="G1761" s="6">
        <v>22679</v>
      </c>
      <c r="H1761" s="6" t="s">
        <v>5965</v>
      </c>
      <c r="I1761" s="6">
        <v>149</v>
      </c>
      <c r="J1761" s="6" t="s">
        <v>23</v>
      </c>
      <c r="K1761" s="6" t="s">
        <v>24</v>
      </c>
      <c r="L1761" s="6">
        <v>32000000</v>
      </c>
      <c r="M1761" s="6">
        <v>2005</v>
      </c>
      <c r="N1761" s="6">
        <v>4.5999999999999996</v>
      </c>
      <c r="O1761" s="4">
        <f ca="1">IFERROR(__xludf.DUMMYFUNCTION("IF(Cost_in_dollars!E1761=""USD"",Cost_in_dollars!B1761,Cost_in_dollars!B1761 * GOOGLEFINANCE(""CURRENCY:"" &amp; Cost_in_dollars!E1761 &amp; ""USD""))
"),32000000)</f>
        <v>32000000</v>
      </c>
      <c r="P1761" s="4">
        <f ca="1">IFERROR(__xludf.DUMMYFUNCTION("IF(Cost_in_dollars!E1761=""USD"",Cost_in_dollars!C1761,Cost_in_dollars!C1761 * GOOGLEFINANCE(""CURRENCY:"" &amp; Cost_in_dollars!E1761 &amp; ""USD""))
"),82301521)</f>
        <v>82301521</v>
      </c>
      <c r="Q1761" s="6">
        <f t="shared" ca="1" si="36"/>
        <v>50301521</v>
      </c>
      <c r="R1761" s="7" t="str">
        <f t="shared" si="37"/>
        <v>Are We There Yet?</v>
      </c>
      <c r="S1761" s="43" t="str">
        <f t="shared" si="41"/>
        <v>Adventure</v>
      </c>
    </row>
    <row r="1762" spans="1:19" ht="15.75" customHeight="1" x14ac:dyDescent="0.25">
      <c r="A1762" s="4" t="s">
        <v>5966</v>
      </c>
      <c r="B1762" s="4">
        <v>72</v>
      </c>
      <c r="C1762" s="4">
        <v>57750000</v>
      </c>
      <c r="D1762" s="4" t="s">
        <v>68</v>
      </c>
      <c r="E1762" s="4" t="s">
        <v>3648</v>
      </c>
      <c r="F1762" s="4" t="s">
        <v>5967</v>
      </c>
      <c r="G1762" s="4">
        <v>21554</v>
      </c>
      <c r="H1762" s="4" t="s">
        <v>5968</v>
      </c>
      <c r="I1762" s="4">
        <v>192</v>
      </c>
      <c r="J1762" s="4" t="s">
        <v>23</v>
      </c>
      <c r="K1762" s="4" t="s">
        <v>133</v>
      </c>
      <c r="L1762" s="4">
        <v>31115000</v>
      </c>
      <c r="M1762" s="4">
        <v>1963</v>
      </c>
      <c r="N1762" s="4">
        <v>7</v>
      </c>
      <c r="O1762" s="4">
        <f ca="1">IFERROR(__xludf.DUMMYFUNCTION("IF(Cost_in_dollars!E1762=""USD"",Cost_in_dollars!B1762,Cost_in_dollars!B1762 * GOOGLEFINANCE(""CURRENCY:"" &amp; Cost_in_dollars!E1762 &amp; ""USD""))
"),39995220.9999999)</f>
        <v>39995220.999999903</v>
      </c>
      <c r="P1762" s="4">
        <f ca="1">IFERROR(__xludf.DUMMYFUNCTION("IF(Cost_in_dollars!E1762=""USD"",Cost_in_dollars!C1762,Cost_in_dollars!C1762 * GOOGLEFINANCE(""CURRENCY:"" &amp; Cost_in_dollars!E1762 &amp; ""USD""))
"),74231850)</f>
        <v>74231850</v>
      </c>
      <c r="Q1762" s="4">
        <f t="shared" ca="1" si="36"/>
        <v>34236629.000000097</v>
      </c>
      <c r="R1762" s="5" t="str">
        <f t="shared" si="37"/>
        <v>Cleopatra</v>
      </c>
      <c r="S1762" s="43" t="str">
        <f t="shared" si="41"/>
        <v>Biography</v>
      </c>
    </row>
    <row r="1763" spans="1:19" ht="15.75" customHeight="1" x14ac:dyDescent="0.25">
      <c r="A1763" s="6" t="s">
        <v>5969</v>
      </c>
      <c r="B1763" s="6">
        <v>322</v>
      </c>
      <c r="C1763" s="6">
        <v>37738400</v>
      </c>
      <c r="D1763" s="6" t="s">
        <v>102</v>
      </c>
      <c r="E1763" s="6" t="s">
        <v>561</v>
      </c>
      <c r="F1763" s="6" t="s">
        <v>5970</v>
      </c>
      <c r="G1763" s="6">
        <v>67797</v>
      </c>
      <c r="H1763" s="6" t="s">
        <v>5971</v>
      </c>
      <c r="I1763" s="6">
        <v>285</v>
      </c>
      <c r="J1763" s="6" t="s">
        <v>23</v>
      </c>
      <c r="K1763" s="6" t="s">
        <v>24</v>
      </c>
      <c r="L1763" s="6">
        <v>25000000</v>
      </c>
      <c r="M1763" s="6">
        <v>2013</v>
      </c>
      <c r="N1763" s="6">
        <v>7.3</v>
      </c>
      <c r="O1763" s="4">
        <f ca="1">IFERROR(__xludf.DUMMYFUNCTION("IF(Cost_in_dollars!E1763=""USD"",Cost_in_dollars!B1763,Cost_in_dollars!B1763 * GOOGLEFINANCE(""CURRENCY:"" &amp; Cost_in_dollars!E1763 &amp; ""USD""))
"),25000000)</f>
        <v>25000000</v>
      </c>
      <c r="P1763" s="4">
        <f ca="1">IFERROR(__xludf.DUMMYFUNCTION("IF(Cost_in_dollars!E1763=""USD"",Cost_in_dollars!C1763,Cost_in_dollars!C1763 * GOOGLEFINANCE(""CURRENCY:"" &amp; Cost_in_dollars!E1763 &amp; ""USD""))
"),37738400)</f>
        <v>37738400</v>
      </c>
      <c r="Q1763" s="6">
        <f t="shared" ca="1" si="36"/>
        <v>12738400</v>
      </c>
      <c r="R1763" s="7" t="str">
        <f t="shared" si="37"/>
        <v>August: Osage County</v>
      </c>
      <c r="S1763" s="43" t="str">
        <f t="shared" si="41"/>
        <v>Drama</v>
      </c>
    </row>
    <row r="1764" spans="1:19" ht="15.75" customHeight="1" x14ac:dyDescent="0.25">
      <c r="A1764" s="4" t="s">
        <v>5972</v>
      </c>
      <c r="B1764" s="4">
        <v>469</v>
      </c>
      <c r="C1764" s="4">
        <v>172051787</v>
      </c>
      <c r="D1764" s="4" t="s">
        <v>188</v>
      </c>
      <c r="E1764" s="4" t="s">
        <v>1410</v>
      </c>
      <c r="F1764" s="4" t="s">
        <v>5973</v>
      </c>
      <c r="G1764" s="4">
        <v>264186</v>
      </c>
      <c r="H1764" s="4" t="s">
        <v>5974</v>
      </c>
      <c r="I1764" s="4">
        <v>665</v>
      </c>
      <c r="J1764" s="4" t="s">
        <v>23</v>
      </c>
      <c r="K1764" s="4" t="s">
        <v>24</v>
      </c>
      <c r="L1764" s="4">
        <v>170000000</v>
      </c>
      <c r="M1764" s="4">
        <v>2010</v>
      </c>
      <c r="N1764" s="4">
        <v>6.8</v>
      </c>
      <c r="O1764" s="4">
        <f ca="1">IFERROR(__xludf.DUMMYFUNCTION("IF(Cost_in_dollars!E1764=""USD"",Cost_in_dollars!B1764,Cost_in_dollars!B1764 * GOOGLEFINANCE(""CURRENCY:"" &amp; Cost_in_dollars!E1764 &amp; ""USD""))
"),170000000)</f>
        <v>170000000</v>
      </c>
      <c r="P1764" s="4">
        <f ca="1">IFERROR(__xludf.DUMMYFUNCTION("IF(Cost_in_dollars!E1764=""USD"",Cost_in_dollars!C1764,Cost_in_dollars!C1764 * GOOGLEFINANCE(""CURRENCY:"" &amp; Cost_in_dollars!E1764 &amp; ""USD""))
"),172051787)</f>
        <v>172051787</v>
      </c>
      <c r="Q1764" s="4">
        <f t="shared" ca="1" si="36"/>
        <v>2051787</v>
      </c>
      <c r="R1764" s="5" t="str">
        <f t="shared" si="37"/>
        <v>TRON: Legacy</v>
      </c>
      <c r="S1764" s="43" t="str">
        <f t="shared" si="41"/>
        <v>Action</v>
      </c>
    </row>
    <row r="1765" spans="1:19" ht="15.75" customHeight="1" x14ac:dyDescent="0.25">
      <c r="A1765" s="6" t="s">
        <v>187</v>
      </c>
      <c r="B1765" s="6">
        <v>315</v>
      </c>
      <c r="C1765" s="6">
        <v>658672302</v>
      </c>
      <c r="D1765" s="6" t="s">
        <v>235</v>
      </c>
      <c r="E1765" s="6" t="s">
        <v>1358</v>
      </c>
      <c r="F1765" s="6" t="s">
        <v>5975</v>
      </c>
      <c r="G1765" s="6">
        <v>793059</v>
      </c>
      <c r="H1765" s="6" t="s">
        <v>5976</v>
      </c>
      <c r="I1765" s="6">
        <v>2528</v>
      </c>
      <c r="J1765" s="6" t="s">
        <v>23</v>
      </c>
      <c r="K1765" s="6" t="s">
        <v>24</v>
      </c>
      <c r="L1765" s="6">
        <v>200000000</v>
      </c>
      <c r="M1765" s="6">
        <v>1997</v>
      </c>
      <c r="N1765" s="6">
        <v>7.7</v>
      </c>
      <c r="O1765" s="4">
        <f ca="1">IFERROR(__xludf.DUMMYFUNCTION("IF(Cost_in_dollars!E1765=""USD"",Cost_in_dollars!B1765,Cost_in_dollars!B1765 * GOOGLEFINANCE(""CURRENCY:"" &amp; Cost_in_dollars!E1765 &amp; ""USD""))
"),200000000)</f>
        <v>200000000</v>
      </c>
      <c r="P1765" s="4">
        <f ca="1">IFERROR(__xludf.DUMMYFUNCTION("IF(Cost_in_dollars!E1765=""USD"",Cost_in_dollars!C1765,Cost_in_dollars!C1765 * GOOGLEFINANCE(""CURRENCY:"" &amp; Cost_in_dollars!E1765 &amp; ""USD""))
"),658672302)</f>
        <v>658672302</v>
      </c>
      <c r="Q1765" s="6">
        <f t="shared" ca="1" si="36"/>
        <v>458672302</v>
      </c>
      <c r="R1765" s="7" t="str">
        <f t="shared" si="37"/>
        <v>Titanic</v>
      </c>
      <c r="S1765" s="43" t="str">
        <f t="shared" si="41"/>
        <v>Drama</v>
      </c>
    </row>
    <row r="1766" spans="1:19" ht="15.75" customHeight="1" x14ac:dyDescent="0.25">
      <c r="A1766" s="4" t="s">
        <v>5977</v>
      </c>
      <c r="B1766" s="4">
        <v>393</v>
      </c>
      <c r="C1766" s="4">
        <v>71588220</v>
      </c>
      <c r="D1766" s="4" t="s">
        <v>1242</v>
      </c>
      <c r="E1766" s="4" t="s">
        <v>5287</v>
      </c>
      <c r="F1766" s="4" t="s">
        <v>5978</v>
      </c>
      <c r="G1766" s="4">
        <v>134869</v>
      </c>
      <c r="H1766" s="4" t="s">
        <v>5979</v>
      </c>
      <c r="I1766" s="4">
        <v>304</v>
      </c>
      <c r="J1766" s="4" t="s">
        <v>23</v>
      </c>
      <c r="K1766" s="4" t="s">
        <v>627</v>
      </c>
      <c r="L1766" s="4">
        <v>20000000</v>
      </c>
      <c r="M1766" s="4">
        <v>2013</v>
      </c>
      <c r="N1766" s="4">
        <v>6.2</v>
      </c>
      <c r="O1766" s="4">
        <f ca="1">IFERROR(__xludf.DUMMYFUNCTION("IF(Cost_in_dollars!E1766=""USD"",Cost_in_dollars!B1766,Cost_in_dollars!B1766 * GOOGLEFINANCE(""CURRENCY:"" &amp; Cost_in_dollars!E1766 &amp; ""USD""))
"),14468100)</f>
        <v>14468100</v>
      </c>
      <c r="P1766" s="4">
        <f ca="1">IFERROR(__xludf.DUMMYFUNCTION("IF(Cost_in_dollars!E1766=""USD"",Cost_in_dollars!C1766,Cost_in_dollars!C1766 * GOOGLEFINANCE(""CURRENCY:"" &amp; Cost_in_dollars!E1766 &amp; ""USD""))
"),51787276.2891)</f>
        <v>51787276.289099999</v>
      </c>
      <c r="Q1766" s="4">
        <f t="shared" ca="1" si="36"/>
        <v>37319176.289099999</v>
      </c>
      <c r="R1766" s="5" t="str">
        <f t="shared" si="37"/>
        <v>Mama</v>
      </c>
      <c r="S1766" s="43" t="str">
        <f t="shared" si="41"/>
        <v>Fantasy</v>
      </c>
    </row>
    <row r="1767" spans="1:19" ht="15.75" customHeight="1" x14ac:dyDescent="0.25">
      <c r="A1767" s="6" t="s">
        <v>3842</v>
      </c>
      <c r="B1767" s="6">
        <v>490</v>
      </c>
      <c r="C1767" s="6">
        <v>144812796</v>
      </c>
      <c r="D1767" s="6" t="s">
        <v>235</v>
      </c>
      <c r="E1767" s="6" t="s">
        <v>1358</v>
      </c>
      <c r="F1767" s="6" t="s">
        <v>5874</v>
      </c>
      <c r="G1767" s="6">
        <v>362933</v>
      </c>
      <c r="H1767" s="6" t="s">
        <v>5875</v>
      </c>
      <c r="I1767" s="6">
        <v>753</v>
      </c>
      <c r="J1767" s="6" t="s">
        <v>23</v>
      </c>
      <c r="K1767" s="6" t="s">
        <v>149</v>
      </c>
      <c r="L1767" s="6">
        <v>105000000</v>
      </c>
      <c r="M1767" s="6">
        <v>2013</v>
      </c>
      <c r="N1767" s="6">
        <v>7.3</v>
      </c>
      <c r="O1767" s="4">
        <f ca="1">IFERROR(__xludf.DUMMYFUNCTION("IF(Cost_in_dollars!E1767=""USD"",Cost_in_dollars!B1767,Cost_in_dollars!B1767 * GOOGLEFINANCE(""CURRENCY:"" &amp; Cost_in_dollars!E1767 &amp; ""USD""))
"),68657400)</f>
        <v>68657400</v>
      </c>
      <c r="P1767" s="4">
        <f ca="1">IFERROR(__xludf.DUMMYFUNCTION("IF(Cost_in_dollars!E1767=""USD"",Cost_in_dollars!C1767,Cost_in_dollars!C1767 * GOOGLEFINANCE(""CURRENCY:"" &amp; Cost_in_dollars!E1767 &amp; ""USD""))
"),94690191.04848)</f>
        <v>94690191.048480004</v>
      </c>
      <c r="Q1767" s="6">
        <f t="shared" ca="1" si="36"/>
        <v>26032791.048480004</v>
      </c>
      <c r="R1767" s="7" t="str">
        <f t="shared" si="37"/>
        <v>The Great Gatsby</v>
      </c>
      <c r="S1767" s="43" t="str">
        <f t="shared" si="41"/>
        <v>Drama</v>
      </c>
    </row>
    <row r="1768" spans="1:19" ht="15.75" customHeight="1" x14ac:dyDescent="0.25">
      <c r="A1768" s="4" t="s">
        <v>5980</v>
      </c>
      <c r="B1768" s="4">
        <v>42</v>
      </c>
      <c r="C1768" s="4">
        <v>36000000</v>
      </c>
      <c r="D1768" s="4" t="s">
        <v>216</v>
      </c>
      <c r="E1768" s="4" t="s">
        <v>5981</v>
      </c>
      <c r="F1768" s="4" t="s">
        <v>5982</v>
      </c>
      <c r="G1768" s="4">
        <v>6359</v>
      </c>
      <c r="H1768" s="4" t="s">
        <v>5983</v>
      </c>
      <c r="I1768" s="4">
        <v>69</v>
      </c>
      <c r="J1768" s="4" t="s">
        <v>23</v>
      </c>
      <c r="K1768" s="4" t="s">
        <v>24</v>
      </c>
      <c r="L1768" s="4">
        <v>5000000</v>
      </c>
      <c r="M1768" s="4">
        <v>1953</v>
      </c>
      <c r="N1768" s="4">
        <v>6.8</v>
      </c>
      <c r="O1768" s="4">
        <f ca="1">IFERROR(__xludf.DUMMYFUNCTION("IF(Cost_in_dollars!E1768=""USD"",Cost_in_dollars!B1768,Cost_in_dollars!B1768 * GOOGLEFINANCE(""CURRENCY:"" &amp; Cost_in_dollars!E1768 &amp; ""USD""))
"),5000000)</f>
        <v>5000000</v>
      </c>
      <c r="P1768" s="4">
        <f ca="1">IFERROR(__xludf.DUMMYFUNCTION("IF(Cost_in_dollars!E1768=""USD"",Cost_in_dollars!C1768,Cost_in_dollars!C1768 * GOOGLEFINANCE(""CURRENCY:"" &amp; Cost_in_dollars!E1768 &amp; ""USD""))
"),36000000)</f>
        <v>36000000</v>
      </c>
      <c r="Q1768" s="4">
        <f t="shared" ca="1" si="36"/>
        <v>31000000</v>
      </c>
      <c r="R1768" s="5" t="str">
        <f t="shared" si="37"/>
        <v>The Robe</v>
      </c>
      <c r="S1768" s="43" t="str">
        <f t="shared" si="41"/>
        <v>Drama</v>
      </c>
    </row>
    <row r="1769" spans="1:19" ht="15.75" customHeight="1" x14ac:dyDescent="0.25">
      <c r="A1769" s="6" t="s">
        <v>182</v>
      </c>
      <c r="B1769" s="6">
        <v>370</v>
      </c>
      <c r="C1769" s="6">
        <v>35287788</v>
      </c>
      <c r="D1769" s="6" t="s">
        <v>5984</v>
      </c>
      <c r="E1769" s="6" t="s">
        <v>3648</v>
      </c>
      <c r="F1769" s="6" t="s">
        <v>5985</v>
      </c>
      <c r="G1769" s="6">
        <v>73886</v>
      </c>
      <c r="H1769" s="6" t="s">
        <v>5986</v>
      </c>
      <c r="I1769" s="6">
        <v>165</v>
      </c>
      <c r="J1769" s="6" t="s">
        <v>23</v>
      </c>
      <c r="K1769" s="6" t="s">
        <v>24</v>
      </c>
      <c r="L1769" s="6">
        <v>39000000</v>
      </c>
      <c r="M1769" s="6">
        <v>2012</v>
      </c>
      <c r="N1769" s="6">
        <v>7</v>
      </c>
      <c r="O1769" s="4">
        <f ca="1">IFERROR(__xludf.DUMMYFUNCTION("IF(Cost_in_dollars!E1769=""USD"",Cost_in_dollars!B1769,Cost_in_dollars!B1769 * GOOGLEFINANCE(""CURRENCY:"" &amp; Cost_in_dollars!E1769 &amp; ""USD""))
"),39000000)</f>
        <v>39000000</v>
      </c>
      <c r="P1769" s="4">
        <f ca="1">IFERROR(__xludf.DUMMYFUNCTION("IF(Cost_in_dollars!E1769=""USD"",Cost_in_dollars!C1769,Cost_in_dollars!C1769 * GOOGLEFINANCE(""CURRENCY:"" &amp; Cost_in_dollars!E1769 &amp; ""USD""))
"),35287788)</f>
        <v>35287788</v>
      </c>
      <c r="Q1769" s="6">
        <f t="shared" ca="1" si="36"/>
        <v>-3712212</v>
      </c>
      <c r="R1769" s="7" t="str">
        <f t="shared" si="37"/>
        <v>Frankenweenie</v>
      </c>
      <c r="S1769" s="43" t="str">
        <f t="shared" si="41"/>
        <v>Animation</v>
      </c>
    </row>
    <row r="1770" spans="1:19" ht="15.75" customHeight="1" x14ac:dyDescent="0.25">
      <c r="A1770" s="4" t="s">
        <v>5987</v>
      </c>
      <c r="B1770" s="4">
        <v>195</v>
      </c>
      <c r="C1770" s="4">
        <v>4231500</v>
      </c>
      <c r="D1770" s="4" t="s">
        <v>235</v>
      </c>
      <c r="E1770" s="4" t="s">
        <v>5988</v>
      </c>
      <c r="F1770" s="4" t="s">
        <v>5989</v>
      </c>
      <c r="G1770" s="4">
        <v>30479</v>
      </c>
      <c r="H1770" s="4" t="s">
        <v>5990</v>
      </c>
      <c r="I1770" s="4">
        <v>162</v>
      </c>
      <c r="J1770" s="4" t="s">
        <v>673</v>
      </c>
      <c r="K1770" s="4" t="s">
        <v>674</v>
      </c>
      <c r="L1770" s="4">
        <v>1000000</v>
      </c>
      <c r="M1770" s="4">
        <v>2013</v>
      </c>
      <c r="N1770" s="4">
        <v>7.8</v>
      </c>
      <c r="O1770" s="4">
        <f ca="1">IFERROR(__xludf.DUMMYFUNCTION("IF(Cost_in_dollars!E1770=""USD"",Cost_in_dollars!B1770,Cost_in_dollars!B1770 * GOOGLEFINANCE(""CURRENCY:"" &amp; Cost_in_dollars!E1770 &amp; ""USD""))
"),11941.46)</f>
        <v>11941.46</v>
      </c>
      <c r="P1770" s="4">
        <f ca="1">IFERROR(__xludf.DUMMYFUNCTION("IF(Cost_in_dollars!E1770=""USD"",Cost_in_dollars!C1770,Cost_in_dollars!C1770 * GOOGLEFINANCE(""CURRENCY:"" &amp; Cost_in_dollars!E1770 &amp; ""USD""))
"),50530.28799)</f>
        <v>50530.287989999997</v>
      </c>
      <c r="Q1770" s="4">
        <f t="shared" ca="1" si="36"/>
        <v>38588.827989999998</v>
      </c>
      <c r="R1770" s="5" t="str">
        <f t="shared" si="37"/>
        <v>The Lunchbox</v>
      </c>
      <c r="S1770" s="43" t="str">
        <f t="shared" si="41"/>
        <v>Drama</v>
      </c>
    </row>
    <row r="1771" spans="1:19" ht="15.75" customHeight="1" x14ac:dyDescent="0.25">
      <c r="A1771" s="6" t="s">
        <v>5991</v>
      </c>
      <c r="B1771" s="6">
        <v>35</v>
      </c>
      <c r="C1771" s="6">
        <v>4394936</v>
      </c>
      <c r="D1771" s="6" t="s">
        <v>58</v>
      </c>
      <c r="E1771" s="6" t="s">
        <v>3508</v>
      </c>
      <c r="F1771" s="6" t="s">
        <v>5992</v>
      </c>
      <c r="G1771" s="6">
        <v>11439</v>
      </c>
      <c r="H1771" s="6" t="s">
        <v>5993</v>
      </c>
      <c r="I1771" s="6">
        <v>190</v>
      </c>
      <c r="J1771" s="6" t="s">
        <v>23</v>
      </c>
      <c r="K1771" s="6" t="s">
        <v>176</v>
      </c>
      <c r="L1771" s="6">
        <v>6000000</v>
      </c>
      <c r="M1771" s="6">
        <v>1999</v>
      </c>
      <c r="N1771" s="6">
        <v>5.3</v>
      </c>
      <c r="O1771" s="4">
        <f ca="1">IFERROR(__xludf.DUMMYFUNCTION("IF(Cost_in_dollars!E1771=""USD"",Cost_in_dollars!B1771,Cost_in_dollars!B1771 * GOOGLEFINANCE(""CURRENCY:"" &amp; Cost_in_dollars!E1771 &amp; ""USD""))
"),6508440)</f>
        <v>6508440</v>
      </c>
      <c r="P1771" s="4">
        <f ca="1">IFERROR(__xludf.DUMMYFUNCTION("IF(Cost_in_dollars!E1771=""USD"",Cost_in_dollars!C1771,Cost_in_dollars!C1771 * GOOGLEFINANCE(""CURRENCY:"" &amp; Cost_in_dollars!E1771 &amp; ""USD""))
"),4767362.87664)</f>
        <v>4767362.8766400004</v>
      </c>
      <c r="Q1771" s="6">
        <f t="shared" ca="1" si="36"/>
        <v>-1741077.1233599996</v>
      </c>
      <c r="R1771" s="7" t="str">
        <f t="shared" si="37"/>
        <v>Simply Irresistible</v>
      </c>
      <c r="S1771" s="43" t="str">
        <f t="shared" si="41"/>
        <v>Comedy</v>
      </c>
    </row>
    <row r="1772" spans="1:19" ht="15.75" customHeight="1" x14ac:dyDescent="0.25">
      <c r="A1772" s="4" t="s">
        <v>139</v>
      </c>
      <c r="B1772" s="4">
        <v>50</v>
      </c>
      <c r="C1772" s="4">
        <v>105444419</v>
      </c>
      <c r="D1772" s="4" t="s">
        <v>140</v>
      </c>
      <c r="E1772" s="4" t="s">
        <v>5994</v>
      </c>
      <c r="F1772" s="4" t="s">
        <v>5995</v>
      </c>
      <c r="G1772" s="4">
        <v>31817</v>
      </c>
      <c r="H1772" s="4" t="s">
        <v>5996</v>
      </c>
      <c r="I1772" s="4">
        <v>117</v>
      </c>
      <c r="J1772" s="4" t="s">
        <v>23</v>
      </c>
      <c r="K1772" s="4" t="s">
        <v>24</v>
      </c>
      <c r="L1772" s="4">
        <v>26000000</v>
      </c>
      <c r="M1772" s="4">
        <v>1996</v>
      </c>
      <c r="N1772" s="4">
        <v>6.2</v>
      </c>
      <c r="O1772" s="4">
        <f ca="1">IFERROR(__xludf.DUMMYFUNCTION("IF(Cost_in_dollars!E1772=""USD"",Cost_in_dollars!B1772,Cost_in_dollars!B1772 * GOOGLEFINANCE(""CURRENCY:"" &amp; Cost_in_dollars!E1772 &amp; ""USD""))
"),26000000)</f>
        <v>26000000</v>
      </c>
      <c r="P1772" s="4">
        <f ca="1">IFERROR(__xludf.DUMMYFUNCTION("IF(Cost_in_dollars!E1772=""USD"",Cost_in_dollars!C1772,Cost_in_dollars!C1772 * GOOGLEFINANCE(""CURRENCY:"" &amp; Cost_in_dollars!E1772 &amp; ""USD""))
"),105444419)</f>
        <v>105444419</v>
      </c>
      <c r="Q1772" s="4">
        <f t="shared" ca="1" si="36"/>
        <v>79444419</v>
      </c>
      <c r="R1772" s="5" t="str">
        <f t="shared" si="37"/>
        <v>The First Wives Club</v>
      </c>
      <c r="S1772" s="43" t="str">
        <f t="shared" si="41"/>
        <v>Comedy</v>
      </c>
    </row>
    <row r="1773" spans="1:19" ht="15.75" customHeight="1" x14ac:dyDescent="0.25">
      <c r="A1773" s="6" t="s">
        <v>5997</v>
      </c>
      <c r="B1773" s="6">
        <v>155</v>
      </c>
      <c r="C1773" s="6">
        <v>24362501</v>
      </c>
      <c r="D1773" s="6" t="s">
        <v>116</v>
      </c>
      <c r="E1773" s="6" t="s">
        <v>1410</v>
      </c>
      <c r="F1773" s="6" t="s">
        <v>5998</v>
      </c>
      <c r="G1773" s="6">
        <v>69980</v>
      </c>
      <c r="H1773" s="6" t="s">
        <v>5999</v>
      </c>
      <c r="I1773" s="6">
        <v>591</v>
      </c>
      <c r="J1773" s="6" t="s">
        <v>23</v>
      </c>
      <c r="K1773" s="6" t="s">
        <v>24</v>
      </c>
      <c r="L1773" s="6">
        <v>21500000</v>
      </c>
      <c r="M1773" s="6">
        <v>1999</v>
      </c>
      <c r="N1773" s="6">
        <v>7.2</v>
      </c>
      <c r="O1773" s="4">
        <f ca="1">IFERROR(__xludf.DUMMYFUNCTION("IF(Cost_in_dollars!E1773=""USD"",Cost_in_dollars!B1773,Cost_in_dollars!B1773 * GOOGLEFINANCE(""CURRENCY:"" &amp; Cost_in_dollars!E1773 &amp; ""USD""))
"),21500000)</f>
        <v>21500000</v>
      </c>
      <c r="P1773" s="4">
        <f ca="1">IFERROR(__xludf.DUMMYFUNCTION("IF(Cost_in_dollars!E1773=""USD"",Cost_in_dollars!C1773,Cost_in_dollars!C1773 * GOOGLEFINANCE(""CURRENCY:"" &amp; Cost_in_dollars!E1773 &amp; ""USD""))
"),24362501)</f>
        <v>24362501</v>
      </c>
      <c r="Q1773" s="6">
        <f t="shared" ca="1" si="36"/>
        <v>2862501</v>
      </c>
      <c r="R1773" s="7" t="str">
        <f t="shared" si="37"/>
        <v>Arlington Road</v>
      </c>
      <c r="S1773" s="43" t="str">
        <f t="shared" si="41"/>
        <v>Crime</v>
      </c>
    </row>
    <row r="1774" spans="1:19" ht="15.75" customHeight="1" x14ac:dyDescent="0.25">
      <c r="A1774" s="4" t="s">
        <v>6000</v>
      </c>
      <c r="B1774" s="4">
        <v>5</v>
      </c>
      <c r="C1774" s="4">
        <v>125169</v>
      </c>
      <c r="D1774" s="4" t="s">
        <v>457</v>
      </c>
      <c r="E1774" s="4" t="s">
        <v>6001</v>
      </c>
      <c r="F1774" s="4" t="s">
        <v>6002</v>
      </c>
      <c r="G1774" s="4">
        <v>859</v>
      </c>
      <c r="H1774" s="4" t="s">
        <v>6003</v>
      </c>
      <c r="I1774" s="4">
        <v>31</v>
      </c>
      <c r="J1774" s="4" t="s">
        <v>23</v>
      </c>
      <c r="K1774" s="4" t="s">
        <v>24</v>
      </c>
      <c r="L1774" s="4">
        <v>10500000</v>
      </c>
      <c r="M1774" s="4">
        <v>1994</v>
      </c>
      <c r="N1774" s="4">
        <v>6.4</v>
      </c>
      <c r="O1774" s="4">
        <f ca="1">IFERROR(__xludf.DUMMYFUNCTION("IF(Cost_in_dollars!E1774=""USD"",Cost_in_dollars!B1774,Cost_in_dollars!B1774 * GOOGLEFINANCE(""CURRENCY:"" &amp; Cost_in_dollars!E1774 &amp; ""USD""))
"),10500000)</f>
        <v>10500000</v>
      </c>
      <c r="P1774" s="4">
        <f ca="1">IFERROR(__xludf.DUMMYFUNCTION("IF(Cost_in_dollars!E1774=""USD"",Cost_in_dollars!C1774,Cost_in_dollars!C1774 * GOOGLEFINANCE(""CURRENCY:"" &amp; Cost_in_dollars!E1774 &amp; ""USD""))
"),125169)</f>
        <v>125169</v>
      </c>
      <c r="Q1774" s="4">
        <f t="shared" ca="1" si="36"/>
        <v>-10374831</v>
      </c>
      <c r="R1774" s="5" t="str">
        <f t="shared" si="37"/>
        <v>There Goes My Baby</v>
      </c>
      <c r="S1774" s="43" t="str">
        <f t="shared" si="41"/>
        <v>Comedy</v>
      </c>
    </row>
    <row r="1775" spans="1:19" ht="15.75" customHeight="1" x14ac:dyDescent="0.25">
      <c r="A1775" s="6" t="s">
        <v>2880</v>
      </c>
      <c r="B1775" s="6">
        <v>256</v>
      </c>
      <c r="C1775" s="6">
        <v>121463226</v>
      </c>
      <c r="D1775" s="6" t="s">
        <v>140</v>
      </c>
      <c r="E1775" s="6" t="s">
        <v>500</v>
      </c>
      <c r="F1775" s="6" t="s">
        <v>6004</v>
      </c>
      <c r="G1775" s="6">
        <v>422606</v>
      </c>
      <c r="H1775" s="6" t="s">
        <v>6005</v>
      </c>
      <c r="I1775" s="6">
        <v>555</v>
      </c>
      <c r="J1775" s="6" t="s">
        <v>23</v>
      </c>
      <c r="K1775" s="6" t="s">
        <v>24</v>
      </c>
      <c r="L1775" s="6">
        <v>20000000</v>
      </c>
      <c r="M1775" s="6">
        <v>2007</v>
      </c>
      <c r="N1775" s="6">
        <v>7.6</v>
      </c>
      <c r="O1775" s="4">
        <f ca="1">IFERROR(__xludf.DUMMYFUNCTION("IF(Cost_in_dollars!E1775=""USD"",Cost_in_dollars!B1775,Cost_in_dollars!B1775 * GOOGLEFINANCE(""CURRENCY:"" &amp; Cost_in_dollars!E1775 &amp; ""USD""))
"),20000000)</f>
        <v>20000000</v>
      </c>
      <c r="P1775" s="4">
        <f ca="1">IFERROR(__xludf.DUMMYFUNCTION("IF(Cost_in_dollars!E1775=""USD"",Cost_in_dollars!C1775,Cost_in_dollars!C1775 * GOOGLEFINANCE(""CURRENCY:"" &amp; Cost_in_dollars!E1775 &amp; ""USD""))
"),121463226)</f>
        <v>121463226</v>
      </c>
      <c r="Q1775" s="6">
        <f t="shared" ca="1" si="36"/>
        <v>101463226</v>
      </c>
      <c r="R1775" s="7" t="str">
        <f t="shared" si="37"/>
        <v>Superbad</v>
      </c>
      <c r="S1775" s="43" t="str">
        <f t="shared" si="41"/>
        <v>Comedy</v>
      </c>
    </row>
    <row r="1776" spans="1:19" ht="15.75" customHeight="1" x14ac:dyDescent="0.25">
      <c r="A1776" s="4" t="s">
        <v>6006</v>
      </c>
      <c r="B1776" s="4">
        <v>147</v>
      </c>
      <c r="C1776" s="4">
        <v>40846082</v>
      </c>
      <c r="D1776" s="4" t="s">
        <v>93</v>
      </c>
      <c r="E1776" s="4" t="s">
        <v>6007</v>
      </c>
      <c r="F1776" s="4" t="s">
        <v>6008</v>
      </c>
      <c r="G1776" s="4">
        <v>45317</v>
      </c>
      <c r="H1776" s="4" t="s">
        <v>6009</v>
      </c>
      <c r="I1776" s="4">
        <v>536</v>
      </c>
      <c r="J1776" s="4" t="s">
        <v>23</v>
      </c>
      <c r="K1776" s="4" t="s">
        <v>24</v>
      </c>
      <c r="L1776" s="4">
        <v>19000000</v>
      </c>
      <c r="M1776" s="4">
        <v>1999</v>
      </c>
      <c r="N1776" s="4">
        <v>5.6</v>
      </c>
      <c r="O1776" s="4">
        <f ca="1">IFERROR(__xludf.DUMMYFUNCTION("IF(Cost_in_dollars!E1776=""USD"",Cost_in_dollars!B1776,Cost_in_dollars!B1776 * GOOGLEFINANCE(""CURRENCY:"" &amp; Cost_in_dollars!E1776 &amp; ""USD""))
"),19000000)</f>
        <v>19000000</v>
      </c>
      <c r="P1776" s="4">
        <f ca="1">IFERROR(__xludf.DUMMYFUNCTION("IF(Cost_in_dollars!E1776=""USD"",Cost_in_dollars!C1776,Cost_in_dollars!C1776 * GOOGLEFINANCE(""CURRENCY:"" &amp; Cost_in_dollars!E1776 &amp; ""USD""))
"),40846082)</f>
        <v>40846082</v>
      </c>
      <c r="Q1776" s="4">
        <f t="shared" ca="1" si="36"/>
        <v>21846082</v>
      </c>
      <c r="R1776" s="5" t="str">
        <f t="shared" si="37"/>
        <v>House on Haunted Hill</v>
      </c>
      <c r="S1776" s="43" t="str">
        <f t="shared" si="41"/>
        <v>Horror</v>
      </c>
    </row>
    <row r="1777" spans="1:19" ht="15.75" customHeight="1" x14ac:dyDescent="0.25">
      <c r="A1777" s="6" t="s">
        <v>6010</v>
      </c>
      <c r="B1777" s="6">
        <v>63</v>
      </c>
      <c r="C1777" s="6">
        <v>63071133</v>
      </c>
      <c r="D1777" s="6" t="s">
        <v>6011</v>
      </c>
      <c r="E1777" s="6" t="s">
        <v>54</v>
      </c>
      <c r="F1777" s="6" t="s">
        <v>6012</v>
      </c>
      <c r="G1777" s="6">
        <v>42892</v>
      </c>
      <c r="H1777" s="6" t="s">
        <v>6013</v>
      </c>
      <c r="I1777" s="6">
        <v>154</v>
      </c>
      <c r="J1777" s="6" t="s">
        <v>23</v>
      </c>
      <c r="K1777" s="6" t="s">
        <v>24</v>
      </c>
      <c r="L1777" s="6">
        <v>12000000</v>
      </c>
      <c r="M1777" s="6">
        <v>1996</v>
      </c>
      <c r="N1777" s="6">
        <v>6.8</v>
      </c>
      <c r="O1777" s="4">
        <f ca="1">IFERROR(__xludf.DUMMYFUNCTION("IF(Cost_in_dollars!E1777=""USD"",Cost_in_dollars!B1777,Cost_in_dollars!B1777 * GOOGLEFINANCE(""CURRENCY:"" &amp; Cost_in_dollars!E1777 &amp; ""USD""))
"),12000000)</f>
        <v>12000000</v>
      </c>
      <c r="P1777" s="4">
        <f ca="1">IFERROR(__xludf.DUMMYFUNCTION("IF(Cost_in_dollars!E1777=""USD"",Cost_in_dollars!C1777,Cost_in_dollars!C1777 * GOOGLEFINANCE(""CURRENCY:"" &amp; Cost_in_dollars!E1777 &amp; ""USD""))
"),63071133)</f>
        <v>63071133</v>
      </c>
      <c r="Q1777" s="6">
        <f t="shared" ca="1" si="36"/>
        <v>51071133</v>
      </c>
      <c r="R1777" s="7" t="str">
        <f t="shared" si="37"/>
        <v>Beavis and Butt-Head Do America</v>
      </c>
      <c r="S1777" s="43" t="str">
        <f t="shared" si="41"/>
        <v>Adventure</v>
      </c>
    </row>
    <row r="1778" spans="1:19" ht="15.75" customHeight="1" x14ac:dyDescent="0.25">
      <c r="A1778" s="4" t="s">
        <v>1763</v>
      </c>
      <c r="B1778" s="4">
        <v>28</v>
      </c>
      <c r="C1778" s="4">
        <v>1646664</v>
      </c>
      <c r="D1778" s="4" t="s">
        <v>324</v>
      </c>
      <c r="E1778" s="4" t="s">
        <v>6014</v>
      </c>
      <c r="F1778" s="4" t="s">
        <v>6015</v>
      </c>
      <c r="G1778" s="4">
        <v>4518</v>
      </c>
      <c r="H1778" s="4" t="s">
        <v>6016</v>
      </c>
      <c r="I1778" s="4">
        <v>66</v>
      </c>
      <c r="J1778" s="4" t="s">
        <v>23</v>
      </c>
      <c r="K1778" s="4" t="s">
        <v>24</v>
      </c>
      <c r="L1778" s="4">
        <v>20000000</v>
      </c>
      <c r="M1778" s="4">
        <v>2003</v>
      </c>
      <c r="N1778" s="4">
        <v>2.8</v>
      </c>
      <c r="O1778" s="4">
        <f ca="1">IFERROR(__xludf.DUMMYFUNCTION("IF(Cost_in_dollars!E1778=""USD"",Cost_in_dollars!B1778,Cost_in_dollars!B1778 * GOOGLEFINANCE(""CURRENCY:"" &amp; Cost_in_dollars!E1778 &amp; ""USD""))
"),20000000)</f>
        <v>20000000</v>
      </c>
      <c r="P1778" s="4">
        <f ca="1">IFERROR(__xludf.DUMMYFUNCTION("IF(Cost_in_dollars!E1778=""USD"",Cost_in_dollars!C1778,Cost_in_dollars!C1778 * GOOGLEFINANCE(""CURRENCY:"" &amp; Cost_in_dollars!E1778 &amp; ""USD""))
"),1646664)</f>
        <v>1646664</v>
      </c>
      <c r="Q1778" s="4">
        <f t="shared" ca="1" si="36"/>
        <v>-18353336</v>
      </c>
      <c r="R1778" s="5" t="str">
        <f t="shared" si="37"/>
        <v>Marci X</v>
      </c>
      <c r="S1778" s="43" t="str">
        <f t="shared" si="41"/>
        <v>Comedy</v>
      </c>
    </row>
    <row r="1779" spans="1:19" ht="15.75" customHeight="1" x14ac:dyDescent="0.25">
      <c r="A1779" s="6" t="s">
        <v>859</v>
      </c>
      <c r="B1779" s="6">
        <v>196</v>
      </c>
      <c r="C1779" s="6">
        <v>54414716</v>
      </c>
      <c r="D1779" s="6" t="s">
        <v>443</v>
      </c>
      <c r="E1779" s="6" t="s">
        <v>486</v>
      </c>
      <c r="F1779" s="6" t="s">
        <v>6017</v>
      </c>
      <c r="G1779" s="6">
        <v>114294</v>
      </c>
      <c r="H1779" s="6" t="s">
        <v>6018</v>
      </c>
      <c r="I1779" s="6">
        <v>187</v>
      </c>
      <c r="J1779" s="6" t="s">
        <v>23</v>
      </c>
      <c r="K1779" s="6" t="s">
        <v>24</v>
      </c>
      <c r="L1779" s="6">
        <v>42000000</v>
      </c>
      <c r="M1779" s="6">
        <v>2014</v>
      </c>
      <c r="N1779" s="6">
        <v>6.3</v>
      </c>
      <c r="O1779" s="4">
        <f ca="1">IFERROR(__xludf.DUMMYFUNCTION("IF(Cost_in_dollars!E1779=""USD"",Cost_in_dollars!B1779,Cost_in_dollars!B1779 * GOOGLEFINANCE(""CURRENCY:"" &amp; Cost_in_dollars!E1779 &amp; ""USD""))
"),42000000)</f>
        <v>42000000</v>
      </c>
      <c r="P1779" s="4">
        <f ca="1">IFERROR(__xludf.DUMMYFUNCTION("IF(Cost_in_dollars!E1779=""USD"",Cost_in_dollars!C1779,Cost_in_dollars!C1779 * GOOGLEFINANCE(""CURRENCY:"" &amp; Cost_in_dollars!E1779 &amp; ""USD""))
"),54414716)</f>
        <v>54414716</v>
      </c>
      <c r="Q1779" s="6">
        <f t="shared" ca="1" si="36"/>
        <v>12414716</v>
      </c>
      <c r="R1779" s="7" t="str">
        <f t="shared" si="37"/>
        <v>Horrible Bosses 2</v>
      </c>
      <c r="S1779" s="43" t="str">
        <f t="shared" si="41"/>
        <v>Comedy</v>
      </c>
    </row>
    <row r="1780" spans="1:19" ht="15.75" customHeight="1" x14ac:dyDescent="0.25">
      <c r="A1780" s="4" t="s">
        <v>6019</v>
      </c>
      <c r="B1780" s="4">
        <v>81</v>
      </c>
      <c r="C1780" s="4">
        <v>15464026</v>
      </c>
      <c r="D1780" s="4" t="s">
        <v>88</v>
      </c>
      <c r="E1780" s="4" t="s">
        <v>6020</v>
      </c>
      <c r="F1780" s="4" t="s">
        <v>6021</v>
      </c>
      <c r="G1780" s="4">
        <v>23076</v>
      </c>
      <c r="H1780" s="4" t="s">
        <v>6022</v>
      </c>
      <c r="I1780" s="4">
        <v>158</v>
      </c>
      <c r="J1780" s="4" t="s">
        <v>23</v>
      </c>
      <c r="K1780" s="4" t="s">
        <v>24</v>
      </c>
      <c r="L1780" s="4">
        <v>20000000</v>
      </c>
      <c r="M1780" s="4">
        <v>2000</v>
      </c>
      <c r="N1780" s="4">
        <v>5.3</v>
      </c>
      <c r="O1780" s="4">
        <f ca="1">IFERROR(__xludf.DUMMYFUNCTION("IF(Cost_in_dollars!E1780=""USD"",Cost_in_dollars!B1780,Cost_in_dollars!B1780 * GOOGLEFINANCE(""CURRENCY:"" &amp; Cost_in_dollars!E1780 &amp; ""USD""))
"),20000000)</f>
        <v>20000000</v>
      </c>
      <c r="P1780" s="4">
        <f ca="1">IFERROR(__xludf.DUMMYFUNCTION("IF(Cost_in_dollars!E1780=""USD"",Cost_in_dollars!C1780,Cost_in_dollars!C1780 * GOOGLEFINANCE(""CURRENCY:"" &amp; Cost_in_dollars!E1780 &amp; ""USD""))
"),15464026)</f>
        <v>15464026</v>
      </c>
      <c r="Q1780" s="4">
        <f t="shared" ca="1" si="36"/>
        <v>-4535974</v>
      </c>
      <c r="R1780" s="5" t="str">
        <f t="shared" si="37"/>
        <v>Loser</v>
      </c>
      <c r="S1780" s="43" t="str">
        <f t="shared" si="41"/>
        <v>Comedy</v>
      </c>
    </row>
    <row r="1781" spans="1:19" ht="15.75" customHeight="1" x14ac:dyDescent="0.25">
      <c r="A1781" s="6" t="s">
        <v>759</v>
      </c>
      <c r="B1781" s="6">
        <v>144</v>
      </c>
      <c r="C1781" s="6">
        <v>109993847</v>
      </c>
      <c r="D1781" s="6" t="s">
        <v>4756</v>
      </c>
      <c r="E1781" s="6" t="s">
        <v>619</v>
      </c>
      <c r="F1781" s="6" t="s">
        <v>6023</v>
      </c>
      <c r="G1781" s="6">
        <v>72326</v>
      </c>
      <c r="H1781" s="6" t="s">
        <v>6024</v>
      </c>
      <c r="I1781" s="6">
        <v>116</v>
      </c>
      <c r="J1781" s="6" t="s">
        <v>23</v>
      </c>
      <c r="K1781" s="6" t="s">
        <v>24</v>
      </c>
      <c r="L1781" s="6">
        <v>80000000</v>
      </c>
      <c r="M1781" s="6">
        <v>2008</v>
      </c>
      <c r="N1781" s="6">
        <v>6.1</v>
      </c>
      <c r="O1781" s="4">
        <f ca="1">IFERROR(__xludf.DUMMYFUNCTION("IF(Cost_in_dollars!E1781=""USD"",Cost_in_dollars!B1781,Cost_in_dollars!B1781 * GOOGLEFINANCE(""CURRENCY:"" &amp; Cost_in_dollars!E1781 &amp; ""USD""))
"),80000000)</f>
        <v>80000000</v>
      </c>
      <c r="P1781" s="4">
        <f ca="1">IFERROR(__xludf.DUMMYFUNCTION("IF(Cost_in_dollars!E1781=""USD"",Cost_in_dollars!C1781,Cost_in_dollars!C1781 * GOOGLEFINANCE(""CURRENCY:"" &amp; Cost_in_dollars!E1781 &amp; ""USD""))
"),109993847)</f>
        <v>109993847</v>
      </c>
      <c r="Q1781" s="6">
        <f t="shared" ca="1" si="36"/>
        <v>29993847</v>
      </c>
      <c r="R1781" s="7" t="str">
        <f t="shared" si="37"/>
        <v>Bedtime Stories</v>
      </c>
      <c r="S1781" s="43" t="str">
        <f t="shared" si="41"/>
        <v>Comedy</v>
      </c>
    </row>
    <row r="1782" spans="1:19" ht="15.75" customHeight="1" x14ac:dyDescent="0.25">
      <c r="A1782" s="4" t="s">
        <v>6025</v>
      </c>
      <c r="B1782" s="4">
        <v>36</v>
      </c>
      <c r="C1782" s="4">
        <v>117560</v>
      </c>
      <c r="D1782" s="4" t="s">
        <v>235</v>
      </c>
      <c r="E1782" s="4" t="s">
        <v>1553</v>
      </c>
      <c r="F1782" s="4" t="s">
        <v>6026</v>
      </c>
      <c r="G1782" s="4">
        <v>2330</v>
      </c>
      <c r="H1782" s="4" t="s">
        <v>6027</v>
      </c>
      <c r="I1782" s="4">
        <v>29</v>
      </c>
      <c r="J1782" s="4" t="s">
        <v>23</v>
      </c>
      <c r="K1782" s="4" t="s">
        <v>24</v>
      </c>
      <c r="L1782" s="4">
        <v>6000000</v>
      </c>
      <c r="M1782" s="4">
        <v>2006</v>
      </c>
      <c r="N1782" s="4">
        <v>6.2</v>
      </c>
      <c r="O1782" s="4">
        <f ca="1">IFERROR(__xludf.DUMMYFUNCTION("IF(Cost_in_dollars!E1782=""USD"",Cost_in_dollars!B1782,Cost_in_dollars!B1782 * GOOGLEFINANCE(""CURRENCY:"" &amp; Cost_in_dollars!E1782 &amp; ""USD""))
"),6000000)</f>
        <v>6000000</v>
      </c>
      <c r="P1782" s="4">
        <f ca="1">IFERROR(__xludf.DUMMYFUNCTION("IF(Cost_in_dollars!E1782=""USD"",Cost_in_dollars!C1782,Cost_in_dollars!C1782 * GOOGLEFINANCE(""CURRENCY:"" &amp; Cost_in_dollars!E1782 &amp; ""USD""))
"),117560)</f>
        <v>117560</v>
      </c>
      <c r="Q1782" s="4">
        <f t="shared" ca="1" si="36"/>
        <v>-5882440</v>
      </c>
      <c r="R1782" s="5" t="str">
        <f t="shared" si="37"/>
        <v>Come Early Morning</v>
      </c>
      <c r="S1782" s="43" t="str">
        <f t="shared" si="41"/>
        <v>Drama</v>
      </c>
    </row>
    <row r="1783" spans="1:19" ht="15.75" customHeight="1" x14ac:dyDescent="0.25">
      <c r="A1783" s="6" t="s">
        <v>1819</v>
      </c>
      <c r="B1783" s="6">
        <v>56</v>
      </c>
      <c r="C1783" s="6">
        <v>8406264</v>
      </c>
      <c r="D1783" s="6" t="s">
        <v>162</v>
      </c>
      <c r="E1783" s="6" t="s">
        <v>847</v>
      </c>
      <c r="F1783" s="6" t="s">
        <v>6028</v>
      </c>
      <c r="G1783" s="6">
        <v>24826</v>
      </c>
      <c r="H1783" s="6" t="s">
        <v>6029</v>
      </c>
      <c r="I1783" s="6">
        <v>175</v>
      </c>
      <c r="J1783" s="6" t="s">
        <v>23</v>
      </c>
      <c r="K1783" s="6" t="s">
        <v>24</v>
      </c>
      <c r="L1783" s="6">
        <v>38000000</v>
      </c>
      <c r="M1783" s="6">
        <v>1999</v>
      </c>
      <c r="N1783" s="6">
        <v>6</v>
      </c>
      <c r="O1783" s="4">
        <f ca="1">IFERROR(__xludf.DUMMYFUNCTION("IF(Cost_in_dollars!E1783=""USD"",Cost_in_dollars!B1783,Cost_in_dollars!B1783 * GOOGLEFINANCE(""CURRENCY:"" &amp; Cost_in_dollars!E1783 &amp; ""USD""))
"),38000000)</f>
        <v>38000000</v>
      </c>
      <c r="P1783" s="4">
        <f ca="1">IFERROR(__xludf.DUMMYFUNCTION("IF(Cost_in_dollars!E1783=""USD"",Cost_in_dollars!C1783,Cost_in_dollars!C1783 * GOOGLEFINANCE(""CURRENCY:"" &amp; Cost_in_dollars!E1783 &amp; ""USD""))
"),8406264)</f>
        <v>8406264</v>
      </c>
      <c r="Q1783" s="6">
        <f t="shared" ca="1" si="36"/>
        <v>-29593736</v>
      </c>
      <c r="R1783" s="7" t="str">
        <f t="shared" si="37"/>
        <v>Pushing Tin</v>
      </c>
      <c r="S1783" s="43" t="str">
        <f t="shared" si="41"/>
        <v>Comedy</v>
      </c>
    </row>
    <row r="1784" spans="1:19" ht="15.75" customHeight="1" x14ac:dyDescent="0.25">
      <c r="A1784" s="4" t="s">
        <v>6030</v>
      </c>
      <c r="B1784" s="4">
        <v>36</v>
      </c>
      <c r="C1784" s="4">
        <v>1686429</v>
      </c>
      <c r="D1784" s="4" t="s">
        <v>6031</v>
      </c>
      <c r="E1784" s="4" t="s">
        <v>5857</v>
      </c>
      <c r="F1784" s="4" t="s">
        <v>6032</v>
      </c>
      <c r="G1784" s="4">
        <v>8687</v>
      </c>
      <c r="H1784" s="4" t="s">
        <v>6033</v>
      </c>
      <c r="I1784" s="4">
        <v>62</v>
      </c>
      <c r="J1784" s="4" t="s">
        <v>23</v>
      </c>
      <c r="K1784" s="4" t="s">
        <v>24</v>
      </c>
      <c r="L1784" s="4">
        <v>16000000</v>
      </c>
      <c r="M1784" s="4">
        <v>1997</v>
      </c>
      <c r="N1784" s="4">
        <v>2.8</v>
      </c>
      <c r="O1784" s="4">
        <f ca="1">IFERROR(__xludf.DUMMYFUNCTION("IF(Cost_in_dollars!E1784=""USD"",Cost_in_dollars!B1784,Cost_in_dollars!B1784 * GOOGLEFINANCE(""CURRENCY:"" &amp; Cost_in_dollars!E1784 &amp; ""USD""))
"),16000000)</f>
        <v>16000000</v>
      </c>
      <c r="P1784" s="4">
        <f ca="1">IFERROR(__xludf.DUMMYFUNCTION("IF(Cost_in_dollars!E1784=""USD"",Cost_in_dollars!C1784,Cost_in_dollars!C1784 * GOOGLEFINANCE(""CURRENCY:"" &amp; Cost_in_dollars!E1784 &amp; ""USD""))
"),1686429)</f>
        <v>1686429</v>
      </c>
      <c r="Q1784" s="4">
        <f t="shared" ca="1" si="36"/>
        <v>-14313571</v>
      </c>
      <c r="R1784" s="5" t="str">
        <f t="shared" si="37"/>
        <v>Steel</v>
      </c>
      <c r="S1784" s="43" t="str">
        <f t="shared" si="41"/>
        <v>Action</v>
      </c>
    </row>
    <row r="1785" spans="1:19" ht="15.75" customHeight="1" x14ac:dyDescent="0.25">
      <c r="A1785" s="6" t="s">
        <v>6034</v>
      </c>
      <c r="B1785" s="6">
        <v>99</v>
      </c>
      <c r="C1785" s="6">
        <v>71442</v>
      </c>
      <c r="D1785" s="6" t="s">
        <v>6035</v>
      </c>
      <c r="E1785" s="6" t="s">
        <v>5109</v>
      </c>
      <c r="F1785" s="6" t="s">
        <v>6036</v>
      </c>
      <c r="G1785" s="6">
        <v>12029</v>
      </c>
      <c r="H1785" s="6" t="s">
        <v>6037</v>
      </c>
      <c r="I1785" s="6">
        <v>32</v>
      </c>
      <c r="J1785" s="6" t="s">
        <v>661</v>
      </c>
      <c r="K1785" s="6" t="s">
        <v>611</v>
      </c>
      <c r="L1785" s="6">
        <v>9600000</v>
      </c>
      <c r="M1785" s="6">
        <v>2012</v>
      </c>
      <c r="N1785" s="6">
        <v>7.9</v>
      </c>
      <c r="O1785" s="4">
        <f ca="1">IFERROR(__xludf.DUMMYFUNCTION("IF(Cost_in_dollars!E1785=""USD"",Cost_in_dollars!B1785,Cost_in_dollars!B1785 * GOOGLEFINANCE(""CURRENCY:"" &amp; Cost_in_dollars!E1785 &amp; ""USD""))
"),10413504)</f>
        <v>10413504</v>
      </c>
      <c r="P1785" s="4">
        <f ca="1">IFERROR(__xludf.DUMMYFUNCTION("IF(Cost_in_dollars!E1785=""USD"",Cost_in_dollars!C1785,Cost_in_dollars!C1785 * GOOGLEFINANCE(""CURRENCY:"" &amp; Cost_in_dollars!E1785 &amp; ""USD""))
"),77495.99508)</f>
        <v>77495.995079999993</v>
      </c>
      <c r="Q1785" s="6">
        <f t="shared" ca="1" si="36"/>
        <v>-10336008.00492</v>
      </c>
      <c r="R1785" s="7" t="str">
        <f t="shared" si="37"/>
        <v>Ernest &amp; Celestine</v>
      </c>
      <c r="S1785" s="43" t="str">
        <f t="shared" si="41"/>
        <v>Animation</v>
      </c>
    </row>
    <row r="1786" spans="1:19" ht="15.75" customHeight="1" x14ac:dyDescent="0.25">
      <c r="A1786" s="4" t="s">
        <v>6038</v>
      </c>
      <c r="B1786" s="4">
        <v>185</v>
      </c>
      <c r="C1786" s="4">
        <v>34468224</v>
      </c>
      <c r="D1786" s="4" t="s">
        <v>5517</v>
      </c>
      <c r="E1786" s="4" t="s">
        <v>3205</v>
      </c>
      <c r="F1786" s="4" t="s">
        <v>6039</v>
      </c>
      <c r="G1786" s="4">
        <v>105568</v>
      </c>
      <c r="H1786" s="4" t="s">
        <v>6040</v>
      </c>
      <c r="I1786" s="4">
        <v>533</v>
      </c>
      <c r="J1786" s="4" t="s">
        <v>23</v>
      </c>
      <c r="K1786" s="4" t="s">
        <v>24</v>
      </c>
      <c r="L1786" s="4">
        <v>4500000</v>
      </c>
      <c r="M1786" s="4">
        <v>2003</v>
      </c>
      <c r="N1786" s="4">
        <v>7.3</v>
      </c>
      <c r="O1786" s="4">
        <f ca="1">IFERROR(__xludf.DUMMYFUNCTION("IF(Cost_in_dollars!E1786=""USD"",Cost_in_dollars!B1786,Cost_in_dollars!B1786 * GOOGLEFINANCE(""CURRENCY:"" &amp; Cost_in_dollars!E1786 &amp; ""USD""))
"),4500000)</f>
        <v>4500000</v>
      </c>
      <c r="P1786" s="4">
        <f ca="1">IFERROR(__xludf.DUMMYFUNCTION("IF(Cost_in_dollars!E1786=""USD"",Cost_in_dollars!C1786,Cost_in_dollars!C1786 * GOOGLEFINANCE(""CURRENCY:"" &amp; Cost_in_dollars!E1786 &amp; ""USD""))
"),34468224)</f>
        <v>34468224</v>
      </c>
      <c r="Q1786" s="4">
        <f t="shared" ca="1" si="36"/>
        <v>29968224</v>
      </c>
      <c r="R1786" s="5" t="str">
        <f t="shared" si="37"/>
        <v>Monster</v>
      </c>
      <c r="S1786" s="43" t="str">
        <f t="shared" si="41"/>
        <v>Biography</v>
      </c>
    </row>
    <row r="1787" spans="1:19" ht="15.75" customHeight="1" x14ac:dyDescent="0.25">
      <c r="A1787" s="6" t="s">
        <v>2360</v>
      </c>
      <c r="B1787" s="6">
        <v>159</v>
      </c>
      <c r="C1787" s="6">
        <v>131536019</v>
      </c>
      <c r="D1787" s="6" t="s">
        <v>6041</v>
      </c>
      <c r="E1787" s="6" t="s">
        <v>3180</v>
      </c>
      <c r="F1787" s="6" t="s">
        <v>6042</v>
      </c>
      <c r="G1787" s="6">
        <v>58498</v>
      </c>
      <c r="H1787" s="6" t="s">
        <v>6043</v>
      </c>
      <c r="I1787" s="6">
        <v>99</v>
      </c>
      <c r="J1787" s="6" t="s">
        <v>23</v>
      </c>
      <c r="K1787" s="6" t="s">
        <v>24</v>
      </c>
      <c r="L1787" s="6">
        <v>103000000</v>
      </c>
      <c r="M1787" s="6">
        <v>2014</v>
      </c>
      <c r="N1787" s="6">
        <v>6.4</v>
      </c>
      <c r="O1787" s="4">
        <f ca="1">IFERROR(__xludf.DUMMYFUNCTION("IF(Cost_in_dollars!E1787=""USD"",Cost_in_dollars!B1787,Cost_in_dollars!B1787 * GOOGLEFINANCE(""CURRENCY:"" &amp; Cost_in_dollars!E1787 &amp; ""USD""))
"),103000000)</f>
        <v>103000000</v>
      </c>
      <c r="P1787" s="4">
        <f ca="1">IFERROR(__xludf.DUMMYFUNCTION("IF(Cost_in_dollars!E1787=""USD"",Cost_in_dollars!C1787,Cost_in_dollars!C1787 * GOOGLEFINANCE(""CURRENCY:"" &amp; Cost_in_dollars!E1787 &amp; ""USD""))
"),131536019)</f>
        <v>131536019</v>
      </c>
      <c r="Q1787" s="6">
        <f t="shared" ref="Q1787:Q2041" ca="1" si="42">P1787-O1787</f>
        <v>28536019</v>
      </c>
      <c r="R1787" s="7" t="str">
        <f t="shared" ref="R1787:R2041" si="43">LEFT(F1787,LEN(F1787)-2)</f>
        <v>Rio 2</v>
      </c>
      <c r="S1787" s="43" t="str">
        <f t="shared" si="41"/>
        <v>Adventure</v>
      </c>
    </row>
    <row r="1788" spans="1:19" ht="15.75" customHeight="1" x14ac:dyDescent="0.25">
      <c r="A1788" s="4" t="s">
        <v>6044</v>
      </c>
      <c r="B1788" s="4">
        <v>145</v>
      </c>
      <c r="C1788" s="4">
        <v>102300000</v>
      </c>
      <c r="D1788" s="4" t="s">
        <v>6045</v>
      </c>
      <c r="E1788" s="4" t="s">
        <v>6046</v>
      </c>
      <c r="F1788" s="4" t="s">
        <v>6047</v>
      </c>
      <c r="G1788" s="4">
        <v>107408</v>
      </c>
      <c r="H1788" s="4" t="s">
        <v>6048</v>
      </c>
      <c r="I1788" s="4">
        <v>259</v>
      </c>
      <c r="J1788" s="4" t="s">
        <v>23</v>
      </c>
      <c r="K1788" s="4" t="s">
        <v>24</v>
      </c>
      <c r="L1788" s="4">
        <v>6000000</v>
      </c>
      <c r="M1788" s="4">
        <v>1964</v>
      </c>
      <c r="N1788" s="4">
        <v>7.8</v>
      </c>
      <c r="O1788" s="4">
        <f ca="1">IFERROR(__xludf.DUMMYFUNCTION("IF(Cost_in_dollars!E1788=""USD"",Cost_in_dollars!B1788,Cost_in_dollars!B1788 * GOOGLEFINANCE(""CURRENCY:"" &amp; Cost_in_dollars!E1788 &amp; ""USD""))
"),6000000)</f>
        <v>6000000</v>
      </c>
      <c r="P1788" s="4">
        <f ca="1">IFERROR(__xludf.DUMMYFUNCTION("IF(Cost_in_dollars!E1788=""USD"",Cost_in_dollars!C1788,Cost_in_dollars!C1788 * GOOGLEFINANCE(""CURRENCY:"" &amp; Cost_in_dollars!E1788 &amp; ""USD""))
"),102300000)</f>
        <v>102300000</v>
      </c>
      <c r="Q1788" s="4">
        <f t="shared" ca="1" si="42"/>
        <v>96300000</v>
      </c>
      <c r="R1788" s="5" t="str">
        <f t="shared" si="43"/>
        <v>Mary Poppins</v>
      </c>
      <c r="S1788" s="43" t="str">
        <f t="shared" si="41"/>
        <v>Comedy</v>
      </c>
    </row>
    <row r="1789" spans="1:19" ht="15.75" customHeight="1" x14ac:dyDescent="0.25">
      <c r="A1789" s="6" t="s">
        <v>6049</v>
      </c>
      <c r="B1789" s="6">
        <v>50</v>
      </c>
      <c r="C1789" s="6">
        <v>101228</v>
      </c>
      <c r="D1789" s="6" t="s">
        <v>457</v>
      </c>
      <c r="E1789" s="6" t="s">
        <v>3050</v>
      </c>
      <c r="F1789" s="6" t="s">
        <v>6050</v>
      </c>
      <c r="G1789" s="6">
        <v>7228</v>
      </c>
      <c r="H1789" s="6" t="s">
        <v>6051</v>
      </c>
      <c r="I1789" s="6">
        <v>53</v>
      </c>
      <c r="J1789" s="6" t="s">
        <v>23</v>
      </c>
      <c r="K1789" s="6" t="s">
        <v>24</v>
      </c>
      <c r="L1789" s="6">
        <v>3500000</v>
      </c>
      <c r="M1789" s="6">
        <v>2005</v>
      </c>
      <c r="N1789" s="6">
        <v>6.4</v>
      </c>
      <c r="O1789" s="4">
        <f ca="1">IFERROR(__xludf.DUMMYFUNCTION("IF(Cost_in_dollars!E1789=""USD"",Cost_in_dollars!B1789,Cost_in_dollars!B1789 * GOOGLEFINANCE(""CURRENCY:"" &amp; Cost_in_dollars!E1789 &amp; ""USD""))
"),3500000)</f>
        <v>3500000</v>
      </c>
      <c r="P1789" s="4">
        <f ca="1">IFERROR(__xludf.DUMMYFUNCTION("IF(Cost_in_dollars!E1789=""USD"",Cost_in_dollars!C1789,Cost_in_dollars!C1789 * GOOGLEFINANCE(""CURRENCY:"" &amp; Cost_in_dollars!E1789 &amp; ""USD""))
"),101228)</f>
        <v>101228</v>
      </c>
      <c r="Q1789" s="6">
        <f t="shared" ca="1" si="42"/>
        <v>-3398772</v>
      </c>
      <c r="R1789" s="7" t="str">
        <f t="shared" si="43"/>
        <v>Winter Passing</v>
      </c>
      <c r="S1789" s="43" t="str">
        <f t="shared" si="41"/>
        <v>Comedy</v>
      </c>
    </row>
    <row r="1790" spans="1:19" ht="15.75" customHeight="1" x14ac:dyDescent="0.25">
      <c r="A1790" s="4" t="s">
        <v>1915</v>
      </c>
      <c r="B1790" s="4">
        <v>146</v>
      </c>
      <c r="C1790" s="4">
        <v>56932305</v>
      </c>
      <c r="D1790" s="4" t="s">
        <v>1776</v>
      </c>
      <c r="E1790" s="4" t="s">
        <v>6052</v>
      </c>
      <c r="F1790" s="4" t="s">
        <v>6053</v>
      </c>
      <c r="G1790" s="4">
        <v>96690</v>
      </c>
      <c r="H1790" s="4" t="s">
        <v>6054</v>
      </c>
      <c r="I1790" s="4">
        <v>293</v>
      </c>
      <c r="J1790" s="4" t="s">
        <v>23</v>
      </c>
      <c r="K1790" s="4" t="s">
        <v>24</v>
      </c>
      <c r="L1790" s="4">
        <v>55000000</v>
      </c>
      <c r="M1790" s="4">
        <v>2000</v>
      </c>
      <c r="N1790" s="4">
        <v>6.6</v>
      </c>
      <c r="O1790" s="4">
        <f ca="1">IFERROR(__xludf.DUMMYFUNCTION("IF(Cost_in_dollars!E1790=""USD"",Cost_in_dollars!B1790,Cost_in_dollars!B1790 * GOOGLEFINANCE(""CURRENCY:"" &amp; Cost_in_dollars!E1790 &amp; ""USD""))
"),55000000)</f>
        <v>55000000</v>
      </c>
      <c r="P1790" s="4">
        <f ca="1">IFERROR(__xludf.DUMMYFUNCTION("IF(Cost_in_dollars!E1790=""USD"",Cost_in_dollars!C1790,Cost_in_dollars!C1790 * GOOGLEFINANCE(""CURRENCY:"" &amp; Cost_in_dollars!E1790 &amp; ""USD""))
"),56932305)</f>
        <v>56932305</v>
      </c>
      <c r="Q1790" s="4">
        <f t="shared" ca="1" si="42"/>
        <v>1932305</v>
      </c>
      <c r="R1790" s="5" t="str">
        <f t="shared" si="43"/>
        <v>Shanghai Noon</v>
      </c>
      <c r="S1790" s="43" t="str">
        <f t="shared" si="41"/>
        <v>Action</v>
      </c>
    </row>
    <row r="1791" spans="1:19" ht="15.75" customHeight="1" x14ac:dyDescent="0.25">
      <c r="A1791" s="6" t="s">
        <v>451</v>
      </c>
      <c r="B1791" s="6">
        <v>211</v>
      </c>
      <c r="C1791" s="6">
        <v>53302314</v>
      </c>
      <c r="D1791" s="6" t="s">
        <v>309</v>
      </c>
      <c r="E1791" s="6" t="s">
        <v>794</v>
      </c>
      <c r="F1791" s="6" t="s">
        <v>6055</v>
      </c>
      <c r="G1791" s="6">
        <v>181058</v>
      </c>
      <c r="H1791" s="6" t="s">
        <v>6056</v>
      </c>
      <c r="I1791" s="6">
        <v>674</v>
      </c>
      <c r="J1791" s="6" t="s">
        <v>23</v>
      </c>
      <c r="K1791" s="6" t="s">
        <v>24</v>
      </c>
      <c r="L1791" s="6">
        <v>23000000</v>
      </c>
      <c r="M1791" s="6">
        <v>2000</v>
      </c>
      <c r="N1791" s="6">
        <v>6.7</v>
      </c>
      <c r="O1791" s="4">
        <f ca="1">IFERROR(__xludf.DUMMYFUNCTION("IF(Cost_in_dollars!E1791=""USD"",Cost_in_dollars!B1791,Cost_in_dollars!B1791 * GOOGLEFINANCE(""CURRENCY:"" &amp; Cost_in_dollars!E1791 &amp; ""USD""))
"),23000000)</f>
        <v>23000000</v>
      </c>
      <c r="P1791" s="4">
        <f ca="1">IFERROR(__xludf.DUMMYFUNCTION("IF(Cost_in_dollars!E1791=""USD"",Cost_in_dollars!C1791,Cost_in_dollars!C1791 * GOOGLEFINANCE(""CURRENCY:"" &amp; Cost_in_dollars!E1791 &amp; ""USD""))
"),53302314)</f>
        <v>53302314</v>
      </c>
      <c r="Q1791" s="6">
        <f t="shared" ca="1" si="42"/>
        <v>30302314</v>
      </c>
      <c r="R1791" s="7" t="str">
        <f t="shared" si="43"/>
        <v>Final Destination</v>
      </c>
      <c r="S1791" s="43" t="str">
        <f t="shared" si="41"/>
        <v>Horror</v>
      </c>
    </row>
    <row r="1792" spans="1:19" ht="15.75" customHeight="1" x14ac:dyDescent="0.25">
      <c r="A1792" s="4" t="s">
        <v>2077</v>
      </c>
      <c r="B1792" s="4">
        <v>331</v>
      </c>
      <c r="C1792" s="4">
        <v>32391374</v>
      </c>
      <c r="D1792" s="4" t="s">
        <v>162</v>
      </c>
      <c r="E1792" s="4" t="s">
        <v>767</v>
      </c>
      <c r="F1792" s="4" t="s">
        <v>6057</v>
      </c>
      <c r="G1792" s="4">
        <v>376600</v>
      </c>
      <c r="H1792" s="4" t="s">
        <v>6058</v>
      </c>
      <c r="I1792" s="4">
        <v>494</v>
      </c>
      <c r="J1792" s="4" t="s">
        <v>23</v>
      </c>
      <c r="K1792" s="4" t="s">
        <v>24</v>
      </c>
      <c r="L1792" s="4">
        <v>7500000</v>
      </c>
      <c r="M1792" s="4">
        <v>2009</v>
      </c>
      <c r="N1792" s="4">
        <v>7.7</v>
      </c>
      <c r="O1792" s="4">
        <f ca="1">IFERROR(__xludf.DUMMYFUNCTION("IF(Cost_in_dollars!E1792=""USD"",Cost_in_dollars!B1792,Cost_in_dollars!B1792 * GOOGLEFINANCE(""CURRENCY:"" &amp; Cost_in_dollars!E1792 &amp; ""USD""))
"),7500000)</f>
        <v>7500000</v>
      </c>
      <c r="P1792" s="4">
        <f ca="1">IFERROR(__xludf.DUMMYFUNCTION("IF(Cost_in_dollars!E1792=""USD"",Cost_in_dollars!C1792,Cost_in_dollars!C1792 * GOOGLEFINANCE(""CURRENCY:"" &amp; Cost_in_dollars!E1792 &amp; ""USD""))
"),32391374)</f>
        <v>32391374</v>
      </c>
      <c r="Q1792" s="4">
        <f t="shared" ca="1" si="42"/>
        <v>24891374</v>
      </c>
      <c r="R1792" s="5" t="str">
        <f t="shared" si="43"/>
        <v>500 Days of Summer</v>
      </c>
      <c r="S1792" s="43" t="str">
        <f t="shared" si="41"/>
        <v>Comedy</v>
      </c>
    </row>
    <row r="1793" spans="1:19" ht="15.75" customHeight="1" x14ac:dyDescent="0.25">
      <c r="A1793" s="6" t="s">
        <v>3931</v>
      </c>
      <c r="B1793" s="6">
        <v>131</v>
      </c>
      <c r="C1793" s="6">
        <v>53680848</v>
      </c>
      <c r="D1793" s="6" t="s">
        <v>235</v>
      </c>
      <c r="E1793" s="6" t="s">
        <v>833</v>
      </c>
      <c r="F1793" s="6" t="s">
        <v>6059</v>
      </c>
      <c r="G1793" s="6">
        <v>167967</v>
      </c>
      <c r="H1793" s="6" t="s">
        <v>6060</v>
      </c>
      <c r="I1793" s="6">
        <v>243</v>
      </c>
      <c r="J1793" s="6" t="s">
        <v>23</v>
      </c>
      <c r="K1793" s="6" t="s">
        <v>24</v>
      </c>
      <c r="L1793" s="6">
        <v>30000000</v>
      </c>
      <c r="M1793" s="6">
        <v>2007</v>
      </c>
      <c r="N1793" s="6">
        <v>7.1</v>
      </c>
      <c r="O1793" s="4">
        <f ca="1">IFERROR(__xludf.DUMMYFUNCTION("IF(Cost_in_dollars!E1793=""USD"",Cost_in_dollars!B1793,Cost_in_dollars!B1793 * GOOGLEFINANCE(""CURRENCY:"" &amp; Cost_in_dollars!E1793 &amp; ""USD""))
"),30000000)</f>
        <v>30000000</v>
      </c>
      <c r="P1793" s="4">
        <f ca="1">IFERROR(__xludf.DUMMYFUNCTION("IF(Cost_in_dollars!E1793=""USD"",Cost_in_dollars!C1793,Cost_in_dollars!C1793 * GOOGLEFINANCE(""CURRENCY:"" &amp; Cost_in_dollars!E1793 &amp; ""USD""))
"),53680848)</f>
        <v>53680848</v>
      </c>
      <c r="Q1793" s="6">
        <f t="shared" ca="1" si="42"/>
        <v>23680848</v>
      </c>
      <c r="R1793" s="7" t="str">
        <f t="shared" si="43"/>
        <v>P.S. I Love You</v>
      </c>
      <c r="S1793" s="43" t="str">
        <f t="shared" si="41"/>
        <v>Drama</v>
      </c>
    </row>
    <row r="1794" spans="1:19" ht="15.75" customHeight="1" x14ac:dyDescent="0.25">
      <c r="A1794" s="4" t="s">
        <v>2200</v>
      </c>
      <c r="B1794" s="4">
        <v>125</v>
      </c>
      <c r="C1794" s="4">
        <v>71017784</v>
      </c>
      <c r="D1794" s="4" t="s">
        <v>304</v>
      </c>
      <c r="E1794" s="4" t="s">
        <v>6061</v>
      </c>
      <c r="F1794" s="4" t="s">
        <v>6062</v>
      </c>
      <c r="G1794" s="4">
        <v>27257</v>
      </c>
      <c r="H1794" s="4" t="s">
        <v>6063</v>
      </c>
      <c r="I1794" s="4">
        <v>59</v>
      </c>
      <c r="J1794" s="4" t="s">
        <v>23</v>
      </c>
      <c r="K1794" s="4" t="s">
        <v>24</v>
      </c>
      <c r="L1794" s="4">
        <v>105000000</v>
      </c>
      <c r="M1794" s="4">
        <v>2013</v>
      </c>
      <c r="N1794" s="4">
        <v>5.4</v>
      </c>
      <c r="O1794" s="4">
        <f ca="1">IFERROR(__xludf.DUMMYFUNCTION("IF(Cost_in_dollars!E1794=""USD"",Cost_in_dollars!B1794,Cost_in_dollars!B1794 * GOOGLEFINANCE(""CURRENCY:"" &amp; Cost_in_dollars!E1794 &amp; ""USD""))
"),105000000)</f>
        <v>105000000</v>
      </c>
      <c r="P1794" s="4">
        <f ca="1">IFERROR(__xludf.DUMMYFUNCTION("IF(Cost_in_dollars!E1794=""USD"",Cost_in_dollars!C1794,Cost_in_dollars!C1794 * GOOGLEFINANCE(""CURRENCY:"" &amp; Cost_in_dollars!E1794 &amp; ""USD""))
"),71017784)</f>
        <v>71017784</v>
      </c>
      <c r="Q1794" s="4">
        <f t="shared" ca="1" si="42"/>
        <v>-33982216</v>
      </c>
      <c r="R1794" s="5" t="str">
        <f t="shared" si="43"/>
        <v>The Smurfs 2</v>
      </c>
      <c r="S1794" s="43" t="str">
        <f t="shared" ref="S1794:S1857" si="44">IF(ISNUMBER(FIND("|", D1794)), LEFT(D1794, FIND("|", D1794) - 1), D1794)</f>
        <v>Adventure</v>
      </c>
    </row>
    <row r="1795" spans="1:19" ht="15.75" customHeight="1" x14ac:dyDescent="0.25">
      <c r="A1795" s="6" t="s">
        <v>1542</v>
      </c>
      <c r="B1795" s="6">
        <v>302</v>
      </c>
      <c r="C1795" s="6">
        <v>309404152</v>
      </c>
      <c r="D1795" s="6" t="s">
        <v>281</v>
      </c>
      <c r="E1795" s="6" t="s">
        <v>84</v>
      </c>
      <c r="F1795" s="6" t="s">
        <v>6064</v>
      </c>
      <c r="G1795" s="6">
        <v>471220</v>
      </c>
      <c r="H1795" s="6" t="s">
        <v>6065</v>
      </c>
      <c r="I1795" s="6">
        <v>1238</v>
      </c>
      <c r="J1795" s="6" t="s">
        <v>23</v>
      </c>
      <c r="K1795" s="6" t="s">
        <v>24</v>
      </c>
      <c r="L1795" s="6">
        <v>300000000</v>
      </c>
      <c r="M1795" s="6">
        <v>2007</v>
      </c>
      <c r="N1795" s="6">
        <v>7.1</v>
      </c>
      <c r="O1795" s="4">
        <f ca="1">IFERROR(__xludf.DUMMYFUNCTION("IF(Cost_in_dollars!E1795=""USD"",Cost_in_dollars!B1795,Cost_in_dollars!B1795 * GOOGLEFINANCE(""CURRENCY:"" &amp; Cost_in_dollars!E1795 &amp; ""USD""))
"),300000000)</f>
        <v>300000000</v>
      </c>
      <c r="P1795" s="4">
        <f ca="1">IFERROR(__xludf.DUMMYFUNCTION("IF(Cost_in_dollars!E1795=""USD"",Cost_in_dollars!C1795,Cost_in_dollars!C1795 * GOOGLEFINANCE(""CURRENCY:"" &amp; Cost_in_dollars!E1795 &amp; ""USD""))
"),309404152)</f>
        <v>309404152</v>
      </c>
      <c r="Q1795" s="6">
        <f t="shared" ca="1" si="42"/>
        <v>9404152</v>
      </c>
      <c r="R1795" s="7" t="str">
        <f t="shared" si="43"/>
        <v>Pirates of the Caribbean: At World's E</v>
      </c>
      <c r="S1795" s="43" t="str">
        <f t="shared" si="44"/>
        <v>Action</v>
      </c>
    </row>
    <row r="1796" spans="1:19" ht="15.75" customHeight="1" x14ac:dyDescent="0.25">
      <c r="A1796" s="4" t="s">
        <v>5883</v>
      </c>
      <c r="B1796" s="4">
        <v>584</v>
      </c>
      <c r="C1796" s="4">
        <v>13303319</v>
      </c>
      <c r="D1796" s="4" t="s">
        <v>686</v>
      </c>
      <c r="E1796" s="4" t="s">
        <v>1436</v>
      </c>
      <c r="F1796" s="4" t="s">
        <v>6066</v>
      </c>
      <c r="G1796" s="4">
        <v>136367</v>
      </c>
      <c r="H1796" s="4" t="s">
        <v>6067</v>
      </c>
      <c r="I1796" s="4">
        <v>975</v>
      </c>
      <c r="J1796" s="4" t="s">
        <v>23</v>
      </c>
      <c r="K1796" s="4" t="s">
        <v>24</v>
      </c>
      <c r="L1796" s="4">
        <v>32000000</v>
      </c>
      <c r="M1796" s="4">
        <v>2011</v>
      </c>
      <c r="N1796" s="4">
        <v>6.7</v>
      </c>
      <c r="O1796" s="4">
        <f ca="1">IFERROR(__xludf.DUMMYFUNCTION("IF(Cost_in_dollars!E1796=""USD"",Cost_in_dollars!B1796,Cost_in_dollars!B1796 * GOOGLEFINANCE(""CURRENCY:"" &amp; Cost_in_dollars!E1796 &amp; ""USD""))
"),32000000)</f>
        <v>32000000</v>
      </c>
      <c r="P1796" s="4">
        <f ca="1">IFERROR(__xludf.DUMMYFUNCTION("IF(Cost_in_dollars!E1796=""USD"",Cost_in_dollars!C1796,Cost_in_dollars!C1796 * GOOGLEFINANCE(""CURRENCY:"" &amp; Cost_in_dollars!E1796 &amp; ""USD""))
"),13303319)</f>
        <v>13303319</v>
      </c>
      <c r="Q1796" s="4">
        <f t="shared" ca="1" si="42"/>
        <v>-18696681</v>
      </c>
      <c r="R1796" s="5" t="str">
        <f t="shared" si="43"/>
        <v>The Tree of Life</v>
      </c>
      <c r="S1796" s="43" t="str">
        <f t="shared" si="44"/>
        <v>Drama</v>
      </c>
    </row>
    <row r="1797" spans="1:19" ht="15.75" customHeight="1" x14ac:dyDescent="0.25">
      <c r="A1797" s="6" t="s">
        <v>6068</v>
      </c>
      <c r="B1797" s="6">
        <v>135</v>
      </c>
      <c r="C1797" s="6">
        <v>13395939</v>
      </c>
      <c r="D1797" s="6" t="s">
        <v>162</v>
      </c>
      <c r="E1797" s="6" t="s">
        <v>3518</v>
      </c>
      <c r="F1797" s="6" t="s">
        <v>6069</v>
      </c>
      <c r="G1797" s="6">
        <v>43442</v>
      </c>
      <c r="H1797" s="6" t="s">
        <v>6070</v>
      </c>
      <c r="I1797" s="6">
        <v>146</v>
      </c>
      <c r="J1797" s="6" t="s">
        <v>23</v>
      </c>
      <c r="K1797" s="6" t="s">
        <v>133</v>
      </c>
      <c r="L1797" s="6">
        <v>60000000</v>
      </c>
      <c r="M1797" s="6">
        <v>2004</v>
      </c>
      <c r="N1797" s="6">
        <v>6.2</v>
      </c>
      <c r="O1797" s="4">
        <f ca="1">IFERROR(__xludf.DUMMYFUNCTION("IF(Cost_in_dollars!E1797=""USD"",Cost_in_dollars!B1797,Cost_in_dollars!B1797 * GOOGLEFINANCE(""CURRENCY:"" &amp; Cost_in_dollars!E1797 &amp; ""USD""))
"),77124000)</f>
        <v>77124000</v>
      </c>
      <c r="P1797" s="4">
        <f ca="1">IFERROR(__xludf.DUMMYFUNCTION("IF(Cost_in_dollars!E1797=""USD"",Cost_in_dollars!C1797,Cost_in_dollars!C1797 * GOOGLEFINANCE(""CURRENCY:"" &amp; Cost_in_dollars!E1797 &amp; ""USD""))
"),17219139.9905999)</f>
        <v>17219139.9905999</v>
      </c>
      <c r="Q1797" s="6">
        <f t="shared" ca="1" si="42"/>
        <v>-59904860.0094001</v>
      </c>
      <c r="R1797" s="7" t="str">
        <f t="shared" si="43"/>
        <v>Alfie</v>
      </c>
      <c r="S1797" s="43" t="str">
        <f t="shared" si="44"/>
        <v>Comedy</v>
      </c>
    </row>
    <row r="1798" spans="1:19" ht="15.75" customHeight="1" x14ac:dyDescent="0.25">
      <c r="A1798" s="4" t="s">
        <v>1882</v>
      </c>
      <c r="B1798" s="4">
        <v>117</v>
      </c>
      <c r="C1798" s="4">
        <v>28328132</v>
      </c>
      <c r="D1798" s="4" t="s">
        <v>6071</v>
      </c>
      <c r="E1798" s="4" t="s">
        <v>4874</v>
      </c>
      <c r="F1798" s="4" t="s">
        <v>6072</v>
      </c>
      <c r="G1798" s="4">
        <v>38298</v>
      </c>
      <c r="H1798" s="4" t="s">
        <v>6073</v>
      </c>
      <c r="I1798" s="4">
        <v>147</v>
      </c>
      <c r="J1798" s="4" t="s">
        <v>23</v>
      </c>
      <c r="K1798" s="4" t="s">
        <v>24</v>
      </c>
      <c r="L1798" s="4">
        <v>58000000</v>
      </c>
      <c r="M1798" s="4">
        <v>2004</v>
      </c>
      <c r="N1798" s="4">
        <v>6.3</v>
      </c>
      <c r="O1798" s="4">
        <f ca="1">IFERROR(__xludf.DUMMYFUNCTION("IF(Cost_in_dollars!E1798=""USD"",Cost_in_dollars!B1798,Cost_in_dollars!B1798 * GOOGLEFINANCE(""CURRENCY:"" &amp; Cost_in_dollars!E1798 &amp; ""USD""))
"),58000000)</f>
        <v>58000000</v>
      </c>
      <c r="P1798" s="4">
        <f ca="1">IFERROR(__xludf.DUMMYFUNCTION("IF(Cost_in_dollars!E1798=""USD"",Cost_in_dollars!C1798,Cost_in_dollars!C1798 * GOOGLEFINANCE(""CURRENCY:"" &amp; Cost_in_dollars!E1798 &amp; ""USD""))
"),28328132)</f>
        <v>28328132</v>
      </c>
      <c r="Q1798" s="4">
        <f t="shared" ca="1" si="42"/>
        <v>-29671868</v>
      </c>
      <c r="R1798" s="5" t="str">
        <f t="shared" si="43"/>
        <v>After the Sunset</v>
      </c>
      <c r="S1798" s="43" t="str">
        <f t="shared" si="44"/>
        <v>Action</v>
      </c>
    </row>
    <row r="1799" spans="1:19" ht="15.75" customHeight="1" x14ac:dyDescent="0.25">
      <c r="A1799" s="6" t="s">
        <v>2461</v>
      </c>
      <c r="B1799" s="6">
        <v>38</v>
      </c>
      <c r="C1799" s="6">
        <v>3386698</v>
      </c>
      <c r="D1799" s="6" t="s">
        <v>162</v>
      </c>
      <c r="E1799" s="6" t="s">
        <v>1347</v>
      </c>
      <c r="F1799" s="6" t="s">
        <v>6074</v>
      </c>
      <c r="G1799" s="6">
        <v>4195</v>
      </c>
      <c r="H1799" s="6" t="s">
        <v>6075</v>
      </c>
      <c r="I1799" s="6">
        <v>86</v>
      </c>
      <c r="J1799" s="6" t="s">
        <v>23</v>
      </c>
      <c r="K1799" s="6" t="s">
        <v>24</v>
      </c>
      <c r="L1799" s="6">
        <v>1000000</v>
      </c>
      <c r="M1799" s="6">
        <v>1998</v>
      </c>
      <c r="N1799" s="6">
        <v>6.7</v>
      </c>
      <c r="O1799" s="4">
        <f ca="1">IFERROR(__xludf.DUMMYFUNCTION("IF(Cost_in_dollars!E1799=""USD"",Cost_in_dollars!B1799,Cost_in_dollars!B1799 * GOOGLEFINANCE(""CURRENCY:"" &amp; Cost_in_dollars!E1799 &amp; ""USD""))
"),1000000)</f>
        <v>1000000</v>
      </c>
      <c r="P1799" s="4">
        <f ca="1">IFERROR(__xludf.DUMMYFUNCTION("IF(Cost_in_dollars!E1799=""USD"",Cost_in_dollars!C1799,Cost_in_dollars!C1799 * GOOGLEFINANCE(""CURRENCY:"" &amp; Cost_in_dollars!E1799 &amp; ""USD""))
"),3386698)</f>
        <v>3386698</v>
      </c>
      <c r="Q1799" s="6">
        <f t="shared" ca="1" si="42"/>
        <v>2386698</v>
      </c>
      <c r="R1799" s="7" t="str">
        <f t="shared" si="43"/>
        <v>Next Stop Wonderland</v>
      </c>
      <c r="S1799" s="43" t="str">
        <f t="shared" si="44"/>
        <v>Comedy</v>
      </c>
    </row>
    <row r="1800" spans="1:19" ht="15.75" customHeight="1" x14ac:dyDescent="0.25">
      <c r="A1800" s="4" t="s">
        <v>6076</v>
      </c>
      <c r="B1800" s="4">
        <v>87</v>
      </c>
      <c r="C1800" s="4">
        <v>1677838</v>
      </c>
      <c r="D1800" s="4" t="s">
        <v>254</v>
      </c>
      <c r="E1800" s="4" t="s">
        <v>250</v>
      </c>
      <c r="F1800" s="4" t="s">
        <v>6077</v>
      </c>
      <c r="G1800" s="4">
        <v>11283</v>
      </c>
      <c r="H1800" s="4" t="s">
        <v>6078</v>
      </c>
      <c r="I1800" s="4">
        <v>155</v>
      </c>
      <c r="J1800" s="4" t="s">
        <v>23</v>
      </c>
      <c r="K1800" s="4" t="s">
        <v>24</v>
      </c>
      <c r="L1800" s="4">
        <v>1000000</v>
      </c>
      <c r="M1800" s="4">
        <v>2006</v>
      </c>
      <c r="N1800" s="4">
        <v>7.7</v>
      </c>
      <c r="O1800" s="4">
        <f ca="1">IFERROR(__xludf.DUMMYFUNCTION("IF(Cost_in_dollars!E1800=""USD"",Cost_in_dollars!B1800,Cost_in_dollars!B1800 * GOOGLEFINANCE(""CURRENCY:"" &amp; Cost_in_dollars!E1800 &amp; ""USD""))
"),1000000)</f>
        <v>1000000</v>
      </c>
      <c r="P1800" s="4">
        <f ca="1">IFERROR(__xludf.DUMMYFUNCTION("IF(Cost_in_dollars!E1800=""USD"",Cost_in_dollars!C1800,Cost_in_dollars!C1800 * GOOGLEFINANCE(""CURRENCY:"" &amp; Cost_in_dollars!E1800 &amp; ""USD""))
"),1677838)</f>
        <v>1677838</v>
      </c>
      <c r="Q1800" s="4">
        <f t="shared" ca="1" si="42"/>
        <v>677838</v>
      </c>
      <c r="R1800" s="5" t="str">
        <f t="shared" si="43"/>
        <v>Who Killed the Electric Car?</v>
      </c>
      <c r="S1800" s="43" t="str">
        <f t="shared" si="44"/>
        <v>Documentary</v>
      </c>
    </row>
    <row r="1801" spans="1:19" ht="15.75" customHeight="1" x14ac:dyDescent="0.25">
      <c r="A1801" s="6" t="s">
        <v>3784</v>
      </c>
      <c r="B1801" s="6">
        <v>120</v>
      </c>
      <c r="C1801" s="6">
        <v>18472363</v>
      </c>
      <c r="D1801" s="6" t="s">
        <v>714</v>
      </c>
      <c r="E1801" s="6" t="s">
        <v>805</v>
      </c>
      <c r="F1801" s="6" t="s">
        <v>6079</v>
      </c>
      <c r="G1801" s="6">
        <v>63599</v>
      </c>
      <c r="H1801" s="6" t="s">
        <v>6080</v>
      </c>
      <c r="I1801" s="6">
        <v>208</v>
      </c>
      <c r="J1801" s="6" t="s">
        <v>23</v>
      </c>
      <c r="K1801" s="6" t="s">
        <v>24</v>
      </c>
      <c r="L1801" s="6">
        <v>50000000</v>
      </c>
      <c r="M1801" s="6">
        <v>2005</v>
      </c>
      <c r="N1801" s="6">
        <v>5.8</v>
      </c>
      <c r="O1801" s="4">
        <f ca="1">IFERROR(__xludf.DUMMYFUNCTION("IF(Cost_in_dollars!E1801=""USD"",Cost_in_dollars!B1801,Cost_in_dollars!B1801 * GOOGLEFINANCE(""CURRENCY:"" &amp; Cost_in_dollars!E1801 &amp; ""USD""))
"),50000000)</f>
        <v>50000000</v>
      </c>
      <c r="P1801" s="4">
        <f ca="1">IFERROR(__xludf.DUMMYFUNCTION("IF(Cost_in_dollars!E1801=""USD"",Cost_in_dollars!C1801,Cost_in_dollars!C1801 * GOOGLEFINANCE(""CURRENCY:"" &amp; Cost_in_dollars!E1801 &amp; ""USD""))
"),18472363)</f>
        <v>18472363</v>
      </c>
      <c r="Q1801" s="6">
        <f t="shared" ca="1" si="42"/>
        <v>-31527637</v>
      </c>
      <c r="R1801" s="7" t="str">
        <f t="shared" si="43"/>
        <v>Into the Blue</v>
      </c>
      <c r="S1801" s="43" t="str">
        <f t="shared" si="44"/>
        <v>Action</v>
      </c>
    </row>
    <row r="1802" spans="1:19" ht="15.75" customHeight="1" x14ac:dyDescent="0.25">
      <c r="A1802" s="4" t="s">
        <v>6081</v>
      </c>
      <c r="B1802" s="4">
        <v>48</v>
      </c>
      <c r="C1802" s="4">
        <v>1227324</v>
      </c>
      <c r="D1802" s="4" t="s">
        <v>53</v>
      </c>
      <c r="E1802" s="4" t="s">
        <v>6082</v>
      </c>
      <c r="F1802" s="4" t="s">
        <v>6083</v>
      </c>
      <c r="G1802" s="4">
        <v>6921</v>
      </c>
      <c r="H1802" s="4" t="s">
        <v>6084</v>
      </c>
      <c r="I1802" s="4">
        <v>48</v>
      </c>
      <c r="J1802" s="4" t="s">
        <v>23</v>
      </c>
      <c r="K1802" s="4" t="s">
        <v>24</v>
      </c>
      <c r="L1802" s="4">
        <v>12500000</v>
      </c>
      <c r="M1802" s="4">
        <v>1996</v>
      </c>
      <c r="N1802" s="4">
        <v>6.6</v>
      </c>
      <c r="O1802" s="4">
        <f ca="1">IFERROR(__xludf.DUMMYFUNCTION("IF(Cost_in_dollars!E1802=""USD"",Cost_in_dollars!B1802,Cost_in_dollars!B1802 * GOOGLEFINANCE(""CURRENCY:"" &amp; Cost_in_dollars!E1802 &amp; ""USD""))
"),12500000)</f>
        <v>12500000</v>
      </c>
      <c r="P1802" s="4">
        <f ca="1">IFERROR(__xludf.DUMMYFUNCTION("IF(Cost_in_dollars!E1802=""USD"",Cost_in_dollars!C1802,Cost_in_dollars!C1802 * GOOGLEFINANCE(""CURRENCY:"" &amp; Cost_in_dollars!E1802 &amp; ""USD""))
"),1227324)</f>
        <v>1227324</v>
      </c>
      <c r="Q1802" s="4">
        <f t="shared" ca="1" si="42"/>
        <v>-11272676</v>
      </c>
      <c r="R1802" s="5" t="str">
        <f t="shared" si="43"/>
        <v>The Funeral</v>
      </c>
      <c r="S1802" s="43" t="str">
        <f t="shared" si="44"/>
        <v>Crime</v>
      </c>
    </row>
    <row r="1803" spans="1:19" ht="15.75" customHeight="1" x14ac:dyDescent="0.25">
      <c r="A1803" s="6" t="s">
        <v>4803</v>
      </c>
      <c r="B1803" s="6">
        <v>100</v>
      </c>
      <c r="C1803" s="6">
        <v>1292119</v>
      </c>
      <c r="D1803" s="6" t="s">
        <v>890</v>
      </c>
      <c r="E1803" s="6" t="s">
        <v>780</v>
      </c>
      <c r="F1803" s="6" t="s">
        <v>6085</v>
      </c>
      <c r="G1803" s="6">
        <v>14786</v>
      </c>
      <c r="H1803" s="6" t="s">
        <v>6086</v>
      </c>
      <c r="I1803" s="6">
        <v>144</v>
      </c>
      <c r="J1803" s="6" t="s">
        <v>23</v>
      </c>
      <c r="K1803" s="6" t="s">
        <v>133</v>
      </c>
      <c r="L1803" s="6">
        <v>5500000</v>
      </c>
      <c r="M1803" s="6">
        <v>2001</v>
      </c>
      <c r="N1803" s="6">
        <v>7.1</v>
      </c>
      <c r="O1803" s="4">
        <f ca="1">IFERROR(__xludf.DUMMYFUNCTION("IF(Cost_in_dollars!E1803=""USD"",Cost_in_dollars!B1803,Cost_in_dollars!B1803 * GOOGLEFINANCE(""CURRENCY:"" &amp; Cost_in_dollars!E1803 &amp; ""USD""))
"),7069699.99999999)</f>
        <v>7069699.9999999898</v>
      </c>
      <c r="P1803" s="4">
        <f ca="1">IFERROR(__xludf.DUMMYFUNCTION("IF(Cost_in_dollars!E1803=""USD"",Cost_in_dollars!C1803,Cost_in_dollars!C1803 * GOOGLEFINANCE(""CURRENCY:"" &amp; Cost_in_dollars!E1803 &amp; ""USD""))
"),1660889.76259999)</f>
        <v>1660889.76259999</v>
      </c>
      <c r="Q1803" s="6">
        <f t="shared" ca="1" si="42"/>
        <v>-5408810.2374</v>
      </c>
      <c r="R1803" s="7" t="str">
        <f t="shared" si="43"/>
        <v>Iris</v>
      </c>
      <c r="S1803" s="43" t="str">
        <f t="shared" si="44"/>
        <v>Biography</v>
      </c>
    </row>
    <row r="1804" spans="1:19" ht="15.75" customHeight="1" x14ac:dyDescent="0.25">
      <c r="A1804" s="4" t="s">
        <v>6087</v>
      </c>
      <c r="B1804" s="4">
        <v>2</v>
      </c>
      <c r="C1804" s="4">
        <v>800000</v>
      </c>
      <c r="D1804" s="4" t="s">
        <v>3583</v>
      </c>
      <c r="E1804" s="4" t="s">
        <v>2187</v>
      </c>
      <c r="F1804" s="4" t="s">
        <v>6088</v>
      </c>
      <c r="G1804" s="4">
        <v>892</v>
      </c>
      <c r="H1804" s="4" t="s">
        <v>6089</v>
      </c>
      <c r="I1804" s="4">
        <v>21</v>
      </c>
      <c r="J1804" s="4" t="s">
        <v>23</v>
      </c>
      <c r="K1804" s="4" t="s">
        <v>24</v>
      </c>
      <c r="L1804" s="4">
        <v>14000000</v>
      </c>
      <c r="M1804" s="4">
        <v>1981</v>
      </c>
      <c r="N1804" s="4">
        <v>5.2</v>
      </c>
      <c r="O1804" s="4">
        <f ca="1">IFERROR(__xludf.DUMMYFUNCTION("IF(Cost_in_dollars!E1804=""USD"",Cost_in_dollars!B1804,Cost_in_dollars!B1804 * GOOGLEFINANCE(""CURRENCY:"" &amp; Cost_in_dollars!E1804 &amp; ""USD""))
"),14000000)</f>
        <v>14000000</v>
      </c>
      <c r="P1804" s="4">
        <f ca="1">IFERROR(__xludf.DUMMYFUNCTION("IF(Cost_in_dollars!E1804=""USD"",Cost_in_dollars!C1804,Cost_in_dollars!C1804 * GOOGLEFINANCE(""CURRENCY:"" &amp; Cost_in_dollars!E1804 &amp; ""USD""))
"),800000)</f>
        <v>800000</v>
      </c>
      <c r="Q1804" s="4">
        <f t="shared" ca="1" si="42"/>
        <v>-13200000</v>
      </c>
      <c r="R1804" s="5" t="str">
        <f t="shared" si="43"/>
        <v>Sphinx</v>
      </c>
      <c r="S1804" s="43" t="str">
        <f t="shared" si="44"/>
        <v>Adventure</v>
      </c>
    </row>
    <row r="1805" spans="1:19" ht="15.75" customHeight="1" x14ac:dyDescent="0.25">
      <c r="A1805" s="6" t="s">
        <v>6090</v>
      </c>
      <c r="B1805" s="6">
        <v>25</v>
      </c>
      <c r="C1805" s="6">
        <v>11797927</v>
      </c>
      <c r="D1805" s="6" t="s">
        <v>392</v>
      </c>
      <c r="E1805" s="6" t="s">
        <v>6091</v>
      </c>
      <c r="F1805" s="6" t="s">
        <v>6092</v>
      </c>
      <c r="G1805" s="6">
        <v>4582</v>
      </c>
      <c r="H1805" s="6" t="s">
        <v>6093</v>
      </c>
      <c r="I1805" s="6">
        <v>52</v>
      </c>
      <c r="J1805" s="6" t="s">
        <v>23</v>
      </c>
      <c r="K1805" s="6" t="s">
        <v>24</v>
      </c>
      <c r="L1805" s="6">
        <v>6000000</v>
      </c>
      <c r="M1805" s="6">
        <v>1995</v>
      </c>
      <c r="N1805" s="6">
        <v>6.1</v>
      </c>
      <c r="O1805" s="4">
        <f ca="1">IFERROR(__xludf.DUMMYFUNCTION("IF(Cost_in_dollars!E1805=""USD"",Cost_in_dollars!B1805,Cost_in_dollars!B1805 * GOOGLEFINANCE(""CURRENCY:"" &amp; Cost_in_dollars!E1805 &amp; ""USD""))
"),6000000)</f>
        <v>6000000</v>
      </c>
      <c r="P1805" s="4">
        <f ca="1">IFERROR(__xludf.DUMMYFUNCTION("IF(Cost_in_dollars!E1805=""USD"",Cost_in_dollars!C1805,Cost_in_dollars!C1805 * GOOGLEFINANCE(""CURRENCY:"" &amp; Cost_in_dollars!E1805 &amp; ""USD""))
"),11797927)</f>
        <v>11797927</v>
      </c>
      <c r="Q1805" s="6">
        <f t="shared" ca="1" si="42"/>
        <v>5797927</v>
      </c>
      <c r="R1805" s="7" t="str">
        <f t="shared" si="43"/>
        <v>Tales from the Hood</v>
      </c>
      <c r="S1805" s="43" t="str">
        <f t="shared" si="44"/>
        <v>Comedy</v>
      </c>
    </row>
    <row r="1806" spans="1:19" ht="15.75" customHeight="1" x14ac:dyDescent="0.25">
      <c r="A1806" s="4" t="s">
        <v>3204</v>
      </c>
      <c r="B1806" s="4">
        <v>387</v>
      </c>
      <c r="C1806" s="4">
        <v>143492840</v>
      </c>
      <c r="D1806" s="4" t="s">
        <v>162</v>
      </c>
      <c r="E1806" s="4" t="s">
        <v>881</v>
      </c>
      <c r="F1806" s="4" t="s">
        <v>5269</v>
      </c>
      <c r="G1806" s="4">
        <v>414335</v>
      </c>
      <c r="H1806" s="4" t="s">
        <v>5270</v>
      </c>
      <c r="I1806" s="4">
        <v>881</v>
      </c>
      <c r="J1806" s="4" t="s">
        <v>23</v>
      </c>
      <c r="K1806" s="4" t="s">
        <v>24</v>
      </c>
      <c r="L1806" s="4">
        <v>7500000</v>
      </c>
      <c r="M1806" s="4">
        <v>2007</v>
      </c>
      <c r="N1806" s="4">
        <v>7.5</v>
      </c>
      <c r="O1806" s="4">
        <f ca="1">IFERROR(__xludf.DUMMYFUNCTION("IF(Cost_in_dollars!E1806=""USD"",Cost_in_dollars!B1806,Cost_in_dollars!B1806 * GOOGLEFINANCE(""CURRENCY:"" &amp; Cost_in_dollars!E1806 &amp; ""USD""))
"),7500000)</f>
        <v>7500000</v>
      </c>
      <c r="P1806" s="4">
        <f ca="1">IFERROR(__xludf.DUMMYFUNCTION("IF(Cost_in_dollars!E1806=""USD"",Cost_in_dollars!C1806,Cost_in_dollars!C1806 * GOOGLEFINANCE(""CURRENCY:"" &amp; Cost_in_dollars!E1806 &amp; ""USD""))
"),143492840)</f>
        <v>143492840</v>
      </c>
      <c r="Q1806" s="4">
        <f t="shared" ca="1" si="42"/>
        <v>135992840</v>
      </c>
      <c r="R1806" s="5" t="str">
        <f t="shared" si="43"/>
        <v>Juno</v>
      </c>
      <c r="S1806" s="43" t="str">
        <f t="shared" si="44"/>
        <v>Comedy</v>
      </c>
    </row>
    <row r="1807" spans="1:19" ht="15.75" customHeight="1" x14ac:dyDescent="0.25">
      <c r="A1807" s="6" t="s">
        <v>975</v>
      </c>
      <c r="B1807" s="6">
        <v>185</v>
      </c>
      <c r="C1807" s="6">
        <v>177243721</v>
      </c>
      <c r="D1807" s="6" t="s">
        <v>1888</v>
      </c>
      <c r="E1807" s="6" t="s">
        <v>676</v>
      </c>
      <c r="F1807" s="6" t="s">
        <v>6094</v>
      </c>
      <c r="G1807" s="6">
        <v>130272</v>
      </c>
      <c r="H1807" s="6" t="s">
        <v>6095</v>
      </c>
      <c r="I1807" s="6">
        <v>209</v>
      </c>
      <c r="J1807" s="6" t="s">
        <v>23</v>
      </c>
      <c r="K1807" s="6" t="s">
        <v>24</v>
      </c>
      <c r="L1807" s="6">
        <v>150000000</v>
      </c>
      <c r="M1807" s="6">
        <v>2009</v>
      </c>
      <c r="N1807" s="6">
        <v>5.9</v>
      </c>
      <c r="O1807" s="4">
        <f ca="1">IFERROR(__xludf.DUMMYFUNCTION("IF(Cost_in_dollars!E1807=""USD"",Cost_in_dollars!B1807,Cost_in_dollars!B1807 * GOOGLEFINANCE(""CURRENCY:"" &amp; Cost_in_dollars!E1807 &amp; ""USD""))
"),150000000)</f>
        <v>150000000</v>
      </c>
      <c r="P1807" s="4">
        <f ca="1">IFERROR(__xludf.DUMMYFUNCTION("IF(Cost_in_dollars!E1807=""USD"",Cost_in_dollars!C1807,Cost_in_dollars!C1807 * GOOGLEFINANCE(""CURRENCY:"" &amp; Cost_in_dollars!E1807 &amp; ""USD""))
"),177243721)</f>
        <v>177243721</v>
      </c>
      <c r="Q1807" s="6">
        <f t="shared" ca="1" si="42"/>
        <v>27243721</v>
      </c>
      <c r="R1807" s="7" t="str">
        <f t="shared" si="43"/>
        <v>Night at the Museum: Battle of the Smithsonian</v>
      </c>
      <c r="S1807" s="43" t="str">
        <f t="shared" si="44"/>
        <v>Adventure</v>
      </c>
    </row>
    <row r="1808" spans="1:19" ht="15.75" customHeight="1" x14ac:dyDescent="0.25">
      <c r="A1808" s="4" t="s">
        <v>1298</v>
      </c>
      <c r="B1808" s="4">
        <v>37</v>
      </c>
      <c r="C1808" s="4">
        <v>34308901</v>
      </c>
      <c r="D1808" s="4" t="s">
        <v>443</v>
      </c>
      <c r="E1808" s="4" t="s">
        <v>2827</v>
      </c>
      <c r="F1808" s="4" t="s">
        <v>6096</v>
      </c>
      <c r="G1808" s="4">
        <v>15939</v>
      </c>
      <c r="H1808" s="4" t="s">
        <v>6097</v>
      </c>
      <c r="I1808" s="4">
        <v>87</v>
      </c>
      <c r="J1808" s="4" t="s">
        <v>23</v>
      </c>
      <c r="K1808" s="4" t="s">
        <v>24</v>
      </c>
      <c r="L1808" s="4">
        <v>16000000</v>
      </c>
      <c r="M1808" s="4">
        <v>2003</v>
      </c>
      <c r="N1808" s="4">
        <v>5.0999999999999996</v>
      </c>
      <c r="O1808" s="4">
        <f ca="1">IFERROR(__xludf.DUMMYFUNCTION("IF(Cost_in_dollars!E1808=""USD"",Cost_in_dollars!B1808,Cost_in_dollars!B1808 * GOOGLEFINANCE(""CURRENCY:"" &amp; Cost_in_dollars!E1808 &amp; ""USD""))
"),16000000)</f>
        <v>16000000</v>
      </c>
      <c r="P1808" s="4">
        <f ca="1">IFERROR(__xludf.DUMMYFUNCTION("IF(Cost_in_dollars!E1808=""USD"",Cost_in_dollars!C1808,Cost_in_dollars!C1808 * GOOGLEFINANCE(""CURRENCY:"" &amp; Cost_in_dollars!E1808 &amp; ""USD""))
"),34308901)</f>
        <v>34308901</v>
      </c>
      <c r="Q1808" s="4">
        <f t="shared" ca="1" si="42"/>
        <v>18308901</v>
      </c>
      <c r="R1808" s="5" t="str">
        <f t="shared" si="43"/>
        <v>Malibu's Most Wanted</v>
      </c>
      <c r="S1808" s="43" t="str">
        <f t="shared" si="44"/>
        <v>Comedy</v>
      </c>
    </row>
    <row r="1809" spans="1:19" ht="15.75" customHeight="1" x14ac:dyDescent="0.25">
      <c r="A1809" s="6" t="s">
        <v>67</v>
      </c>
      <c r="B1809" s="6">
        <v>22</v>
      </c>
      <c r="C1809" s="6">
        <v>14545844</v>
      </c>
      <c r="D1809" s="6" t="s">
        <v>6098</v>
      </c>
      <c r="E1809" s="6" t="s">
        <v>6099</v>
      </c>
      <c r="F1809" s="6" t="s">
        <v>6100</v>
      </c>
      <c r="G1809" s="6">
        <v>4756</v>
      </c>
      <c r="H1809" s="6" t="s">
        <v>6101</v>
      </c>
      <c r="I1809" s="6">
        <v>38</v>
      </c>
      <c r="J1809" s="6" t="s">
        <v>23</v>
      </c>
      <c r="K1809" s="6" t="s">
        <v>24</v>
      </c>
      <c r="L1809" s="6">
        <v>6500000</v>
      </c>
      <c r="M1809" s="6">
        <v>1988</v>
      </c>
      <c r="N1809" s="6">
        <v>5.8</v>
      </c>
      <c r="O1809" s="4">
        <f ca="1">IFERROR(__xludf.DUMMYFUNCTION("IF(Cost_in_dollars!E1809=""USD"",Cost_in_dollars!B1809,Cost_in_dollars!B1809 * GOOGLEFINANCE(""CURRENCY:"" &amp; Cost_in_dollars!E1809 &amp; ""USD""))
"),6500000)</f>
        <v>6500000</v>
      </c>
      <c r="P1809" s="4">
        <f ca="1">IFERROR(__xludf.DUMMYFUNCTION("IF(Cost_in_dollars!E1809=""USD"",Cost_in_dollars!C1809,Cost_in_dollars!C1809 * GOOGLEFINANCE(""CURRENCY:"" &amp; Cost_in_dollars!E1809 &amp; ""USD""))
"),14545844)</f>
        <v>14545844</v>
      </c>
      <c r="Q1809" s="6">
        <f t="shared" ca="1" si="42"/>
        <v>8045844</v>
      </c>
      <c r="R1809" s="7" t="str">
        <f t="shared" si="43"/>
        <v>School Daze</v>
      </c>
      <c r="S1809" s="43" t="str">
        <f t="shared" si="44"/>
        <v>Comedy</v>
      </c>
    </row>
    <row r="1810" spans="1:19" ht="15.75" customHeight="1" x14ac:dyDescent="0.25">
      <c r="A1810" s="4" t="s">
        <v>1078</v>
      </c>
      <c r="B1810" s="4">
        <v>99</v>
      </c>
      <c r="C1810" s="4">
        <v>15561627</v>
      </c>
      <c r="D1810" s="4" t="s">
        <v>102</v>
      </c>
      <c r="E1810" s="4" t="s">
        <v>2337</v>
      </c>
      <c r="F1810" s="4" t="s">
        <v>6102</v>
      </c>
      <c r="G1810" s="4">
        <v>39105</v>
      </c>
      <c r="H1810" s="4" t="s">
        <v>6103</v>
      </c>
      <c r="I1810" s="4">
        <v>359</v>
      </c>
      <c r="J1810" s="4" t="s">
        <v>23</v>
      </c>
      <c r="K1810" s="4" t="s">
        <v>24</v>
      </c>
      <c r="L1810" s="4">
        <v>18000000</v>
      </c>
      <c r="M1810" s="4">
        <v>2001</v>
      </c>
      <c r="N1810" s="4">
        <v>7.5</v>
      </c>
      <c r="O1810" s="4">
        <f ca="1">IFERROR(__xludf.DUMMYFUNCTION("IF(Cost_in_dollars!E1810=""USD"",Cost_in_dollars!B1810,Cost_in_dollars!B1810 * GOOGLEFINANCE(""CURRENCY:"" &amp; Cost_in_dollars!E1810 &amp; ""USD""))
"),18000000)</f>
        <v>18000000</v>
      </c>
      <c r="P1810" s="4">
        <f ca="1">IFERROR(__xludf.DUMMYFUNCTION("IF(Cost_in_dollars!E1810=""USD"",Cost_in_dollars!C1810,Cost_in_dollars!C1810 * GOOGLEFINANCE(""CURRENCY:"" &amp; Cost_in_dollars!E1810 &amp; ""USD""))
"),15561627)</f>
        <v>15561627</v>
      </c>
      <c r="Q1810" s="4">
        <f t="shared" ca="1" si="42"/>
        <v>-2438373</v>
      </c>
      <c r="R1810" s="5" t="str">
        <f t="shared" si="43"/>
        <v>Life as a House</v>
      </c>
      <c r="S1810" s="43" t="str">
        <f t="shared" si="44"/>
        <v>Drama</v>
      </c>
    </row>
    <row r="1811" spans="1:19" ht="15.75" customHeight="1" x14ac:dyDescent="0.25">
      <c r="A1811" s="6" t="s">
        <v>524</v>
      </c>
      <c r="B1811" s="6">
        <v>198</v>
      </c>
      <c r="C1811" s="6">
        <v>45089048</v>
      </c>
      <c r="D1811" s="6" t="s">
        <v>3980</v>
      </c>
      <c r="E1811" s="6" t="s">
        <v>1410</v>
      </c>
      <c r="F1811" s="6" t="s">
        <v>6104</v>
      </c>
      <c r="G1811" s="6">
        <v>86251</v>
      </c>
      <c r="H1811" s="6" t="s">
        <v>6105</v>
      </c>
      <c r="I1811" s="6">
        <v>260</v>
      </c>
      <c r="J1811" s="6" t="s">
        <v>23</v>
      </c>
      <c r="K1811" s="6" t="s">
        <v>4347</v>
      </c>
      <c r="L1811" s="6">
        <v>25000000</v>
      </c>
      <c r="M1811" s="6">
        <v>2014</v>
      </c>
      <c r="N1811" s="6">
        <v>6.5</v>
      </c>
      <c r="O1811" s="4">
        <f ca="1">IFERROR(__xludf.DUMMYFUNCTION("IF(Cost_in_dollars!E1811=""USD"",Cost_in_dollars!B1811,Cost_in_dollars!B1811 * GOOGLEFINANCE(""CURRENCY:"" &amp; Cost_in_dollars!E1811 &amp; ""USD""))
"),1360862.5)</f>
        <v>1360862.5</v>
      </c>
      <c r="P1811" s="4">
        <f ca="1">IFERROR(__xludf.DUMMYFUNCTION("IF(Cost_in_dollars!E1811=""USD"",Cost_in_dollars!C1811,Cost_in_dollars!C1811 * GOOGLEFINANCE(""CURRENCY:"" &amp; Cost_in_dollars!E1811 &amp; ""USD""))
"),2454399.783356)</f>
        <v>2454399.7833560002</v>
      </c>
      <c r="Q1811" s="6">
        <f t="shared" ca="1" si="42"/>
        <v>1093537.2833560002</v>
      </c>
      <c r="R1811" s="7" t="str">
        <f t="shared" si="43"/>
        <v>The Giver</v>
      </c>
      <c r="S1811" s="43" t="str">
        <f t="shared" si="44"/>
        <v>Drama</v>
      </c>
    </row>
    <row r="1812" spans="1:19" ht="15.75" customHeight="1" x14ac:dyDescent="0.25">
      <c r="A1812" s="4" t="s">
        <v>6106</v>
      </c>
      <c r="B1812" s="4">
        <v>180</v>
      </c>
      <c r="C1812" s="4">
        <v>31584722</v>
      </c>
      <c r="D1812" s="4" t="s">
        <v>88</v>
      </c>
      <c r="E1812" s="4" t="s">
        <v>2103</v>
      </c>
      <c r="F1812" s="4" t="s">
        <v>6107</v>
      </c>
      <c r="G1812" s="4">
        <v>101730</v>
      </c>
      <c r="H1812" s="4" t="s">
        <v>6108</v>
      </c>
      <c r="I1812" s="4">
        <v>131</v>
      </c>
      <c r="J1812" s="4" t="s">
        <v>23</v>
      </c>
      <c r="K1812" s="4" t="s">
        <v>24</v>
      </c>
      <c r="L1812" s="4">
        <v>20000000</v>
      </c>
      <c r="M1812" s="4">
        <v>2010</v>
      </c>
      <c r="N1812" s="4">
        <v>6.4</v>
      </c>
      <c r="O1812" s="4">
        <f ca="1">IFERROR(__xludf.DUMMYFUNCTION("IF(Cost_in_dollars!E1812=""USD"",Cost_in_dollars!B1812,Cost_in_dollars!B1812 * GOOGLEFINANCE(""CURRENCY:"" &amp; Cost_in_dollars!E1812 &amp; ""USD""))
"),20000000)</f>
        <v>20000000</v>
      </c>
      <c r="P1812" s="4">
        <f ca="1">IFERROR(__xludf.DUMMYFUNCTION("IF(Cost_in_dollars!E1812=""USD"",Cost_in_dollars!C1812,Cost_in_dollars!C1812 * GOOGLEFINANCE(""CURRENCY:"" &amp; Cost_in_dollars!E1812 &amp; ""USD""))
"),31584722)</f>
        <v>31584722</v>
      </c>
      <c r="Q1812" s="4">
        <f t="shared" ca="1" si="42"/>
        <v>11584722</v>
      </c>
      <c r="R1812" s="5" t="str">
        <f t="shared" si="43"/>
        <v>She's Out of My League</v>
      </c>
      <c r="S1812" s="43" t="str">
        <f t="shared" si="44"/>
        <v>Comedy</v>
      </c>
    </row>
    <row r="1813" spans="1:19" ht="15.75" customHeight="1" x14ac:dyDescent="0.25">
      <c r="A1813" s="6" t="s">
        <v>679</v>
      </c>
      <c r="B1813" s="6">
        <v>86</v>
      </c>
      <c r="C1813" s="6">
        <v>14448589</v>
      </c>
      <c r="D1813" s="6" t="s">
        <v>88</v>
      </c>
      <c r="E1813" s="6" t="s">
        <v>847</v>
      </c>
      <c r="F1813" s="6" t="s">
        <v>6109</v>
      </c>
      <c r="G1813" s="6">
        <v>19364</v>
      </c>
      <c r="H1813" s="6" t="s">
        <v>6110</v>
      </c>
      <c r="I1813" s="6">
        <v>128</v>
      </c>
      <c r="J1813" s="6" t="s">
        <v>23</v>
      </c>
      <c r="K1813" s="6" t="s">
        <v>24</v>
      </c>
      <c r="L1813" s="6">
        <v>40000000</v>
      </c>
      <c r="M1813" s="6">
        <v>2002</v>
      </c>
      <c r="N1813" s="6">
        <v>5.8</v>
      </c>
      <c r="O1813" s="4">
        <f ca="1">IFERROR(__xludf.DUMMYFUNCTION("IF(Cost_in_dollars!E1813=""USD"",Cost_in_dollars!B1813,Cost_in_dollars!B1813 * GOOGLEFINANCE(""CURRENCY:"" &amp; Cost_in_dollars!E1813 &amp; ""USD""))
"),40000000)</f>
        <v>40000000</v>
      </c>
      <c r="P1813" s="4">
        <f ca="1">IFERROR(__xludf.DUMMYFUNCTION("IF(Cost_in_dollars!E1813=""USD"",Cost_in_dollars!C1813,Cost_in_dollars!C1813 * GOOGLEFINANCE(""CURRENCY:"" &amp; Cost_in_dollars!E1813 &amp; ""USD""))
"),14448589)</f>
        <v>14448589</v>
      </c>
      <c r="Q1813" s="6">
        <f t="shared" ca="1" si="42"/>
        <v>-25551411</v>
      </c>
      <c r="R1813" s="7" t="str">
        <f t="shared" si="43"/>
        <v>Life or Something Like It</v>
      </c>
      <c r="S1813" s="43" t="str">
        <f t="shared" si="44"/>
        <v>Comedy</v>
      </c>
    </row>
    <row r="1814" spans="1:19" ht="15.75" customHeight="1" x14ac:dyDescent="0.25">
      <c r="A1814" s="4" t="s">
        <v>6111</v>
      </c>
      <c r="B1814" s="4">
        <v>165</v>
      </c>
      <c r="C1814" s="4">
        <v>323505540</v>
      </c>
      <c r="D1814" s="4" t="s">
        <v>3522</v>
      </c>
      <c r="E1814" s="4" t="s">
        <v>325</v>
      </c>
      <c r="F1814" s="4" t="s">
        <v>6112</v>
      </c>
      <c r="G1814" s="4">
        <v>24407</v>
      </c>
      <c r="H1814" s="4" t="s">
        <v>6113</v>
      </c>
      <c r="I1814" s="4">
        <v>155</v>
      </c>
      <c r="J1814" s="4" t="s">
        <v>23</v>
      </c>
      <c r="K1814" s="4" t="s">
        <v>1551</v>
      </c>
      <c r="L1814" s="4">
        <v>75000000</v>
      </c>
      <c r="M1814" s="4">
        <v>2016</v>
      </c>
      <c r="N1814" s="4">
        <v>6.8</v>
      </c>
      <c r="O1814" s="4">
        <f ca="1">IFERROR(__xludf.DUMMYFUNCTION("IF(Cost_in_dollars!E1814=""USD"",Cost_in_dollars!B1814,Cost_in_dollars!B1814 * GOOGLEFINANCE(""CURRENCY:"" &amp; Cost_in_dollars!E1814 &amp; ""USD""))
"),487245)</f>
        <v>487245</v>
      </c>
      <c r="P1814" s="4">
        <f ca="1">IFERROR(__xludf.DUMMYFUNCTION("IF(Cost_in_dollars!E1814=""USD"",Cost_in_dollars!C1814,Cost_in_dollars!C1814 * GOOGLEFINANCE(""CURRENCY:"" &amp; Cost_in_dollars!E1814 &amp; ""USD""))
"),2101686.091164)</f>
        <v>2101686.0911639999</v>
      </c>
      <c r="Q1814" s="4">
        <f t="shared" ca="1" si="42"/>
        <v>1614441.0911639999</v>
      </c>
      <c r="R1814" s="5" t="str">
        <f t="shared" si="43"/>
        <v>The Secret Life of Pets</v>
      </c>
      <c r="S1814" s="43" t="str">
        <f t="shared" si="44"/>
        <v>Animation</v>
      </c>
    </row>
    <row r="1815" spans="1:19" ht="15.75" customHeight="1" x14ac:dyDescent="0.25">
      <c r="A1815" s="6" t="s">
        <v>6114</v>
      </c>
      <c r="B1815" s="6">
        <v>68</v>
      </c>
      <c r="C1815" s="6">
        <v>27441122</v>
      </c>
      <c r="D1815" s="6" t="s">
        <v>6115</v>
      </c>
      <c r="E1815" s="6" t="s">
        <v>3382</v>
      </c>
      <c r="F1815" s="6" t="s">
        <v>6116</v>
      </c>
      <c r="G1815" s="6">
        <v>14322</v>
      </c>
      <c r="H1815" s="6" t="s">
        <v>6117</v>
      </c>
      <c r="I1815" s="6">
        <v>116</v>
      </c>
      <c r="J1815" s="6" t="s">
        <v>23</v>
      </c>
      <c r="K1815" s="6" t="s">
        <v>24</v>
      </c>
      <c r="L1815" s="6">
        <v>15000000</v>
      </c>
      <c r="M1815" s="6">
        <v>2000</v>
      </c>
      <c r="N1815" s="6">
        <v>7.2</v>
      </c>
      <c r="O1815" s="4">
        <f ca="1">IFERROR(__xludf.DUMMYFUNCTION("IF(Cost_in_dollars!E1815=""USD"",Cost_in_dollars!B1815,Cost_in_dollars!B1815 * GOOGLEFINANCE(""CURRENCY:"" &amp; Cost_in_dollars!E1815 &amp; ""USD""))
"),15000000)</f>
        <v>15000000</v>
      </c>
      <c r="P1815" s="4">
        <f ca="1">IFERROR(__xludf.DUMMYFUNCTION("IF(Cost_in_dollars!E1815=""USD"",Cost_in_dollars!C1815,Cost_in_dollars!C1815 * GOOGLEFINANCE(""CURRENCY:"" &amp; Cost_in_dollars!E1815 &amp; ""USD""))
"),27441122)</f>
        <v>27441122</v>
      </c>
      <c r="Q1815" s="6">
        <f t="shared" ca="1" si="42"/>
        <v>12441122</v>
      </c>
      <c r="R1815" s="7" t="str">
        <f t="shared" si="43"/>
        <v>Love &amp; Basketball</v>
      </c>
      <c r="S1815" s="43" t="str">
        <f t="shared" si="44"/>
        <v>Drama</v>
      </c>
    </row>
    <row r="1816" spans="1:19" ht="15.75" customHeight="1" x14ac:dyDescent="0.25">
      <c r="A1816" s="4" t="s">
        <v>975</v>
      </c>
      <c r="B1816" s="4">
        <v>247</v>
      </c>
      <c r="C1816" s="4">
        <v>98711404</v>
      </c>
      <c r="D1816" s="4" t="s">
        <v>6118</v>
      </c>
      <c r="E1816" s="4" t="s">
        <v>4779</v>
      </c>
      <c r="F1816" s="4" t="s">
        <v>6119</v>
      </c>
      <c r="G1816" s="4">
        <v>127571</v>
      </c>
      <c r="H1816" s="4" t="s">
        <v>6120</v>
      </c>
      <c r="I1816" s="4">
        <v>207</v>
      </c>
      <c r="J1816" s="4" t="s">
        <v>23</v>
      </c>
      <c r="K1816" s="4" t="s">
        <v>24</v>
      </c>
      <c r="L1816" s="4">
        <v>55000000</v>
      </c>
      <c r="M1816" s="4">
        <v>2010</v>
      </c>
      <c r="N1816" s="4">
        <v>6.3</v>
      </c>
      <c r="O1816" s="4">
        <f ca="1">IFERROR(__xludf.DUMMYFUNCTION("IF(Cost_in_dollars!E1816=""USD"",Cost_in_dollars!B1816,Cost_in_dollars!B1816 * GOOGLEFINANCE(""CURRENCY:"" &amp; Cost_in_dollars!E1816 &amp; ""USD""))
"),55000000)</f>
        <v>55000000</v>
      </c>
      <c r="P1816" s="4">
        <f ca="1">IFERROR(__xludf.DUMMYFUNCTION("IF(Cost_in_dollars!E1816=""USD"",Cost_in_dollars!C1816,Cost_in_dollars!C1816 * GOOGLEFINANCE(""CURRENCY:"" &amp; Cost_in_dollars!E1816 &amp; ""USD""))
"),98711404)</f>
        <v>98711404</v>
      </c>
      <c r="Q1816" s="4">
        <f t="shared" ca="1" si="42"/>
        <v>43711404</v>
      </c>
      <c r="R1816" s="5" t="str">
        <f t="shared" si="43"/>
        <v>Date Night</v>
      </c>
      <c r="S1816" s="43" t="str">
        <f t="shared" si="44"/>
        <v>Comedy</v>
      </c>
    </row>
    <row r="1817" spans="1:19" ht="15.75" customHeight="1" x14ac:dyDescent="0.25">
      <c r="A1817" s="6" t="s">
        <v>2297</v>
      </c>
      <c r="B1817" s="6">
        <v>181</v>
      </c>
      <c r="C1817" s="6">
        <v>81638674</v>
      </c>
      <c r="D1817" s="6" t="s">
        <v>1397</v>
      </c>
      <c r="E1817" s="6" t="s">
        <v>6121</v>
      </c>
      <c r="F1817" s="6" t="s">
        <v>6122</v>
      </c>
      <c r="G1817" s="6">
        <v>17533</v>
      </c>
      <c r="H1817" s="6" t="s">
        <v>6123</v>
      </c>
      <c r="I1817" s="6">
        <v>115</v>
      </c>
      <c r="J1817" s="6" t="s">
        <v>23</v>
      </c>
      <c r="K1817" s="6" t="s">
        <v>24</v>
      </c>
      <c r="L1817" s="6">
        <v>135000000</v>
      </c>
      <c r="M1817" s="6">
        <v>2016</v>
      </c>
      <c r="N1817" s="6">
        <v>6.3</v>
      </c>
      <c r="O1817" s="4">
        <f ca="1">IFERROR(__xludf.DUMMYFUNCTION("IF(Cost_in_dollars!E1817=""USD"",Cost_in_dollars!B1817,Cost_in_dollars!B1817 * GOOGLEFINANCE(""CURRENCY:"" &amp; Cost_in_dollars!E1817 &amp; ""USD""))
"),135000000)</f>
        <v>135000000</v>
      </c>
      <c r="P1817" s="4">
        <f ca="1">IFERROR(__xludf.DUMMYFUNCTION("IF(Cost_in_dollars!E1817=""USD"",Cost_in_dollars!C1817,Cost_in_dollars!C1817 * GOOGLEFINANCE(""CURRENCY:"" &amp; Cost_in_dollars!E1817 &amp; ""USD""))
"),81638674)</f>
        <v>81638674</v>
      </c>
      <c r="Q1817" s="6">
        <f t="shared" ca="1" si="42"/>
        <v>-53361326</v>
      </c>
      <c r="R1817" s="7" t="str">
        <f t="shared" si="43"/>
        <v>Teenage Mutant Ninja Turtles: Out of the Shadows</v>
      </c>
      <c r="S1817" s="43" t="str">
        <f t="shared" si="44"/>
        <v>Action</v>
      </c>
    </row>
    <row r="1818" spans="1:19" ht="15.75" customHeight="1" x14ac:dyDescent="0.25">
      <c r="A1818" s="4" t="s">
        <v>6124</v>
      </c>
      <c r="B1818" s="4">
        <v>63</v>
      </c>
      <c r="C1818" s="4">
        <v>16574731</v>
      </c>
      <c r="D1818" s="4" t="s">
        <v>421</v>
      </c>
      <c r="E1818" s="4" t="s">
        <v>4874</v>
      </c>
      <c r="F1818" s="4" t="s">
        <v>6125</v>
      </c>
      <c r="G1818" s="4">
        <v>27675</v>
      </c>
      <c r="H1818" s="4" t="s">
        <v>6126</v>
      </c>
      <c r="I1818" s="4">
        <v>181</v>
      </c>
      <c r="J1818" s="4" t="s">
        <v>23</v>
      </c>
      <c r="K1818" s="4" t="s">
        <v>24</v>
      </c>
      <c r="L1818" s="4">
        <v>13000000</v>
      </c>
      <c r="M1818" s="4">
        <v>1998</v>
      </c>
      <c r="N1818" s="4">
        <v>5.8</v>
      </c>
      <c r="O1818" s="4">
        <f ca="1">IFERROR(__xludf.DUMMYFUNCTION("IF(Cost_in_dollars!E1818=""USD"",Cost_in_dollars!B1818,Cost_in_dollars!B1818 * GOOGLEFINANCE(""CURRENCY:"" &amp; Cost_in_dollars!E1818 &amp; ""USD""))
"),13000000)</f>
        <v>13000000</v>
      </c>
      <c r="P1818" s="4">
        <f ca="1">IFERROR(__xludf.DUMMYFUNCTION("IF(Cost_in_dollars!E1818=""USD"",Cost_in_dollars!C1818,Cost_in_dollars!C1818 * GOOGLEFINANCE(""CURRENCY:"" &amp; Cost_in_dollars!E1818 &amp; ""USD""))
"),16574731)</f>
        <v>16574731</v>
      </c>
      <c r="Q1818" s="4">
        <f t="shared" ca="1" si="42"/>
        <v>3574731</v>
      </c>
      <c r="R1818" s="5" t="str">
        <f t="shared" si="43"/>
        <v>54</v>
      </c>
      <c r="S1818" s="43" t="str">
        <f t="shared" si="44"/>
        <v>Drama</v>
      </c>
    </row>
    <row r="1819" spans="1:19" ht="15.75" customHeight="1" x14ac:dyDescent="0.25">
      <c r="A1819" s="6" t="s">
        <v>3173</v>
      </c>
      <c r="B1819" s="6">
        <v>81</v>
      </c>
      <c r="C1819" s="6">
        <v>104148781</v>
      </c>
      <c r="D1819" s="6" t="s">
        <v>860</v>
      </c>
      <c r="E1819" s="6" t="s">
        <v>1617</v>
      </c>
      <c r="F1819" s="6" t="s">
        <v>6127</v>
      </c>
      <c r="G1819" s="6">
        <v>49486</v>
      </c>
      <c r="H1819" s="6" t="s">
        <v>6128</v>
      </c>
      <c r="I1819" s="6">
        <v>116</v>
      </c>
      <c r="J1819" s="6" t="s">
        <v>23</v>
      </c>
      <c r="K1819" s="6" t="s">
        <v>24</v>
      </c>
      <c r="L1819" s="6">
        <v>60000000</v>
      </c>
      <c r="M1819" s="6">
        <v>2003</v>
      </c>
      <c r="N1819" s="6">
        <v>5.5</v>
      </c>
      <c r="O1819" s="4">
        <f ca="1">IFERROR(__xludf.DUMMYFUNCTION("IF(Cost_in_dollars!E1819=""USD"",Cost_in_dollars!B1819,Cost_in_dollars!B1819 * GOOGLEFINANCE(""CURRENCY:"" &amp; Cost_in_dollars!E1819 &amp; ""USD""))
"),60000000)</f>
        <v>60000000</v>
      </c>
      <c r="P1819" s="4">
        <f ca="1">IFERROR(__xludf.DUMMYFUNCTION("IF(Cost_in_dollars!E1819=""USD"",Cost_in_dollars!C1819,Cost_in_dollars!C1819 * GOOGLEFINANCE(""CURRENCY:"" &amp; Cost_in_dollars!E1819 &amp; ""USD""))
"),104148781)</f>
        <v>104148781</v>
      </c>
      <c r="Q1819" s="6">
        <f t="shared" ca="1" si="42"/>
        <v>44148781</v>
      </c>
      <c r="R1819" s="7" t="str">
        <f t="shared" si="43"/>
        <v>Daddy Day Care</v>
      </c>
      <c r="S1819" s="43" t="str">
        <f t="shared" si="44"/>
        <v>Comedy</v>
      </c>
    </row>
    <row r="1820" spans="1:19" ht="15.75" customHeight="1" x14ac:dyDescent="0.25">
      <c r="A1820" s="4" t="s">
        <v>6129</v>
      </c>
      <c r="B1820" s="4">
        <v>256</v>
      </c>
      <c r="C1820" s="4">
        <v>103400692</v>
      </c>
      <c r="D1820" s="4" t="s">
        <v>868</v>
      </c>
      <c r="E1820" s="4" t="s">
        <v>977</v>
      </c>
      <c r="F1820" s="4" t="s">
        <v>6130</v>
      </c>
      <c r="G1820" s="4">
        <v>123553</v>
      </c>
      <c r="H1820" s="4" t="s">
        <v>6131</v>
      </c>
      <c r="I1820" s="4">
        <v>174</v>
      </c>
      <c r="J1820" s="4" t="s">
        <v>23</v>
      </c>
      <c r="K1820" s="4" t="s">
        <v>24</v>
      </c>
      <c r="L1820" s="4">
        <v>145000000</v>
      </c>
      <c r="M1820" s="4">
        <v>2012</v>
      </c>
      <c r="N1820" s="4">
        <v>7.3</v>
      </c>
      <c r="O1820" s="4">
        <f ca="1">IFERROR(__xludf.DUMMYFUNCTION("IF(Cost_in_dollars!E1820=""USD"",Cost_in_dollars!B1820,Cost_in_dollars!B1820 * GOOGLEFINANCE(""CURRENCY:"" &amp; Cost_in_dollars!E1820 &amp; ""USD""))
"),145000000)</f>
        <v>145000000</v>
      </c>
      <c r="P1820" s="4">
        <f ca="1">IFERROR(__xludf.DUMMYFUNCTION("IF(Cost_in_dollars!E1820=""USD"",Cost_in_dollars!C1820,Cost_in_dollars!C1820 * GOOGLEFINANCE(""CURRENCY:"" &amp; Cost_in_dollars!E1820 &amp; ""USD""))
"),103400692)</f>
        <v>103400692</v>
      </c>
      <c r="Q1820" s="4">
        <f t="shared" ca="1" si="42"/>
        <v>-41599308</v>
      </c>
      <c r="R1820" s="5" t="str">
        <f t="shared" si="43"/>
        <v>Rise of the Guardians</v>
      </c>
      <c r="S1820" s="43" t="str">
        <f t="shared" si="44"/>
        <v>Adventure</v>
      </c>
    </row>
    <row r="1821" spans="1:19" ht="15.75" customHeight="1" x14ac:dyDescent="0.25">
      <c r="A1821" s="6" t="s">
        <v>6132</v>
      </c>
      <c r="B1821" s="6">
        <v>9</v>
      </c>
      <c r="C1821" s="6">
        <v>7518876</v>
      </c>
      <c r="D1821" s="6" t="s">
        <v>6133</v>
      </c>
      <c r="E1821" s="6" t="s">
        <v>5193</v>
      </c>
      <c r="F1821" s="6" t="s">
        <v>6134</v>
      </c>
      <c r="G1821" s="6">
        <v>172</v>
      </c>
      <c r="H1821" s="6" t="s">
        <v>6135</v>
      </c>
      <c r="I1821" s="6">
        <v>5</v>
      </c>
      <c r="J1821" s="6" t="s">
        <v>23</v>
      </c>
      <c r="K1821" s="6" t="s">
        <v>133</v>
      </c>
      <c r="L1821" s="6">
        <v>6000000</v>
      </c>
      <c r="M1821" s="6">
        <v>2008</v>
      </c>
      <c r="N1821" s="6">
        <v>6.5</v>
      </c>
      <c r="O1821" s="4">
        <f ca="1">IFERROR(__xludf.DUMMYFUNCTION("IF(Cost_in_dollars!E1821=""USD"",Cost_in_dollars!B1821,Cost_in_dollars!B1821 * GOOGLEFINANCE(""CURRENCY:"" &amp; Cost_in_dollars!E1821 &amp; ""USD""))
"),7712399.99999999)</f>
        <v>7712399.9999999898</v>
      </c>
      <c r="P1821" s="4">
        <f ca="1">IFERROR(__xludf.DUMMYFUNCTION("IF(Cost_in_dollars!E1821=""USD"",Cost_in_dollars!C1821,Cost_in_dollars!C1821 * GOOGLEFINANCE(""CURRENCY:"" &amp; Cost_in_dollars!E1821 &amp; ""USD""))
"),9664763.21039999)</f>
        <v>9664763.2103999909</v>
      </c>
      <c r="Q1821" s="6">
        <f t="shared" ca="1" si="42"/>
        <v>1952363.2104000011</v>
      </c>
      <c r="R1821" s="7" t="str">
        <f t="shared" si="43"/>
        <v>Dolphins and Whales 3D: Tribes of the Ocean</v>
      </c>
      <c r="S1821" s="43" t="str">
        <f t="shared" si="44"/>
        <v>Adventure</v>
      </c>
    </row>
    <row r="1822" spans="1:19" ht="15.75" customHeight="1" x14ac:dyDescent="0.25">
      <c r="A1822" s="4" t="s">
        <v>6136</v>
      </c>
      <c r="B1822" s="4">
        <v>142</v>
      </c>
      <c r="C1822" s="4">
        <v>6061759</v>
      </c>
      <c r="D1822" s="4" t="s">
        <v>162</v>
      </c>
      <c r="E1822" s="4" t="s">
        <v>6137</v>
      </c>
      <c r="F1822" s="4" t="s">
        <v>6138</v>
      </c>
      <c r="G1822" s="4">
        <v>49077</v>
      </c>
      <c r="H1822" s="4" t="s">
        <v>6139</v>
      </c>
      <c r="I1822" s="4">
        <v>475</v>
      </c>
      <c r="J1822" s="4" t="s">
        <v>23</v>
      </c>
      <c r="K1822" s="4" t="s">
        <v>24</v>
      </c>
      <c r="L1822" s="4">
        <v>17000000</v>
      </c>
      <c r="M1822" s="4">
        <v>2005</v>
      </c>
      <c r="N1822" s="4">
        <v>6.3</v>
      </c>
      <c r="O1822" s="4">
        <f ca="1">IFERROR(__xludf.DUMMYFUNCTION("IF(Cost_in_dollars!E1822=""USD"",Cost_in_dollars!B1822,Cost_in_dollars!B1822 * GOOGLEFINANCE(""CURRENCY:"" &amp; Cost_in_dollars!E1822 &amp; ""USD""))
"),17000000)</f>
        <v>17000000</v>
      </c>
      <c r="P1822" s="4">
        <f ca="1">IFERROR(__xludf.DUMMYFUNCTION("IF(Cost_in_dollars!E1822=""USD"",Cost_in_dollars!C1822,Cost_in_dollars!C1822 * GOOGLEFINANCE(""CURRENCY:"" &amp; Cost_in_dollars!E1822 &amp; ""USD""))
"),6061759)</f>
        <v>6061759</v>
      </c>
      <c r="Q1822" s="4">
        <f t="shared" ca="1" si="42"/>
        <v>-10938241</v>
      </c>
      <c r="R1822" s="5" t="str">
        <f t="shared" si="43"/>
        <v>The Family Stone</v>
      </c>
      <c r="S1822" s="43" t="str">
        <f t="shared" si="44"/>
        <v>Comedy</v>
      </c>
    </row>
    <row r="1823" spans="1:19" ht="15.75" customHeight="1" x14ac:dyDescent="0.25">
      <c r="A1823" s="6" t="s">
        <v>1271</v>
      </c>
      <c r="B1823" s="6">
        <v>112</v>
      </c>
      <c r="C1823" s="6">
        <v>5900000</v>
      </c>
      <c r="D1823" s="6" t="s">
        <v>281</v>
      </c>
      <c r="E1823" s="6" t="s">
        <v>3492</v>
      </c>
      <c r="F1823" s="6" t="s">
        <v>6140</v>
      </c>
      <c r="G1823" s="6">
        <v>98629</v>
      </c>
      <c r="H1823" s="6" t="s">
        <v>6141</v>
      </c>
      <c r="I1823" s="6">
        <v>316</v>
      </c>
      <c r="J1823" s="6" t="s">
        <v>23</v>
      </c>
      <c r="K1823" s="6" t="s">
        <v>133</v>
      </c>
      <c r="L1823" s="6">
        <v>16000000</v>
      </c>
      <c r="M1823" s="6">
        <v>1986</v>
      </c>
      <c r="N1823" s="6">
        <v>7.2</v>
      </c>
      <c r="O1823" s="4">
        <f ca="1">IFERROR(__xludf.DUMMYFUNCTION("IF(Cost_in_dollars!E1823=""USD"",Cost_in_dollars!B1823,Cost_in_dollars!B1823 * GOOGLEFINANCE(""CURRENCY:"" &amp; Cost_in_dollars!E1823 &amp; ""USD""))
"),20566399.9999999)</f>
        <v>20566399.999999899</v>
      </c>
      <c r="P1823" s="4">
        <f ca="1">IFERROR(__xludf.DUMMYFUNCTION("IF(Cost_in_dollars!E1823=""USD"",Cost_in_dollars!C1823,Cost_in_dollars!C1823 * GOOGLEFINANCE(""CURRENCY:"" &amp; Cost_in_dollars!E1823 &amp; ""USD""))
"),7583859.99999999)</f>
        <v>7583859.9999999898</v>
      </c>
      <c r="Q1823" s="6">
        <f t="shared" ca="1" si="42"/>
        <v>-12982539.999999911</v>
      </c>
      <c r="R1823" s="7" t="str">
        <f t="shared" si="43"/>
        <v>Highlander</v>
      </c>
      <c r="S1823" s="43" t="str">
        <f t="shared" si="44"/>
        <v>Action</v>
      </c>
    </row>
    <row r="1824" spans="1:19" ht="15.75" customHeight="1" x14ac:dyDescent="0.25">
      <c r="A1824" s="4" t="s">
        <v>4716</v>
      </c>
      <c r="B1824" s="4">
        <v>118</v>
      </c>
      <c r="C1824" s="4">
        <v>16123851</v>
      </c>
      <c r="D1824" s="4" t="s">
        <v>102</v>
      </c>
      <c r="E1824" s="4" t="s">
        <v>1375</v>
      </c>
      <c r="F1824" s="4" t="s">
        <v>6142</v>
      </c>
      <c r="G1824" s="4">
        <v>17373</v>
      </c>
      <c r="H1824" s="4" t="s">
        <v>6143</v>
      </c>
      <c r="I1824" s="4">
        <v>148</v>
      </c>
      <c r="J1824" s="4" t="s">
        <v>23</v>
      </c>
      <c r="K1824" s="4" t="s">
        <v>24</v>
      </c>
      <c r="L1824" s="4">
        <v>23000000</v>
      </c>
      <c r="M1824" s="4">
        <v>2004</v>
      </c>
      <c r="N1824" s="4">
        <v>6.2</v>
      </c>
      <c r="O1824" s="4">
        <f ca="1">IFERROR(__xludf.DUMMYFUNCTION("IF(Cost_in_dollars!E1824=""USD"",Cost_in_dollars!B1824,Cost_in_dollars!B1824 * GOOGLEFINANCE(""CURRENCY:"" &amp; Cost_in_dollars!E1824 &amp; ""USD""))
"),23000000)</f>
        <v>23000000</v>
      </c>
      <c r="P1824" s="4">
        <f ca="1">IFERROR(__xludf.DUMMYFUNCTION("IF(Cost_in_dollars!E1824=""USD"",Cost_in_dollars!C1824,Cost_in_dollars!C1824 * GOOGLEFINANCE(""CURRENCY:"" &amp; Cost_in_dollars!E1824 &amp; ""USD""))
"),16123851)</f>
        <v>16123851</v>
      </c>
      <c r="Q1824" s="4">
        <f t="shared" ca="1" si="42"/>
        <v>-6876149</v>
      </c>
      <c r="R1824" s="5" t="str">
        <f t="shared" si="43"/>
        <v>Vanity Fair</v>
      </c>
      <c r="S1824" s="43" t="str">
        <f t="shared" si="44"/>
        <v>Drama</v>
      </c>
    </row>
    <row r="1825" spans="1:19" ht="15.75" customHeight="1" x14ac:dyDescent="0.25">
      <c r="A1825" s="6" t="s">
        <v>3194</v>
      </c>
      <c r="B1825" s="6">
        <v>106</v>
      </c>
      <c r="C1825" s="6">
        <v>5755286</v>
      </c>
      <c r="D1825" s="6" t="s">
        <v>6115</v>
      </c>
      <c r="E1825" s="6" t="s">
        <v>330</v>
      </c>
      <c r="F1825" s="6" t="s">
        <v>6144</v>
      </c>
      <c r="G1825" s="6">
        <v>18310</v>
      </c>
      <c r="H1825" s="6" t="s">
        <v>6145</v>
      </c>
      <c r="I1825" s="6">
        <v>63</v>
      </c>
      <c r="J1825" s="6" t="s">
        <v>23</v>
      </c>
      <c r="K1825" s="6" t="s">
        <v>24</v>
      </c>
      <c r="L1825" s="6">
        <v>55000000</v>
      </c>
      <c r="M1825" s="6">
        <v>2007</v>
      </c>
      <c r="N1825" s="6">
        <v>5.9</v>
      </c>
      <c r="O1825" s="4">
        <f ca="1">IFERROR(__xludf.DUMMYFUNCTION("IF(Cost_in_dollars!E1825=""USD"",Cost_in_dollars!B1825,Cost_in_dollars!B1825 * GOOGLEFINANCE(""CURRENCY:"" &amp; Cost_in_dollars!E1825 &amp; ""USD""))
"),55000000)</f>
        <v>55000000</v>
      </c>
      <c r="P1825" s="4">
        <f ca="1">IFERROR(__xludf.DUMMYFUNCTION("IF(Cost_in_dollars!E1825=""USD"",Cost_in_dollars!C1825,Cost_in_dollars!C1825 * GOOGLEFINANCE(""CURRENCY:"" &amp; Cost_in_dollars!E1825 &amp; ""USD""))
"),5755286)</f>
        <v>5755286</v>
      </c>
      <c r="Q1825" s="6">
        <f t="shared" ca="1" si="42"/>
        <v>-49244714</v>
      </c>
      <c r="R1825" s="7" t="str">
        <f t="shared" si="43"/>
        <v>Lucky You</v>
      </c>
      <c r="S1825" s="43" t="str">
        <f t="shared" si="44"/>
        <v>Drama</v>
      </c>
    </row>
    <row r="1826" spans="1:19" ht="15.75" customHeight="1" x14ac:dyDescent="0.25">
      <c r="A1826" s="4" t="s">
        <v>1819</v>
      </c>
      <c r="B1826" s="4">
        <v>117</v>
      </c>
      <c r="C1826" s="4">
        <v>41954997</v>
      </c>
      <c r="D1826" s="4" t="s">
        <v>1788</v>
      </c>
      <c r="E1826" s="4" t="s">
        <v>84</v>
      </c>
      <c r="F1826" s="4" t="s">
        <v>6146</v>
      </c>
      <c r="G1826" s="4">
        <v>225122</v>
      </c>
      <c r="H1826" s="4" t="s">
        <v>6147</v>
      </c>
      <c r="I1826" s="4">
        <v>234</v>
      </c>
      <c r="J1826" s="4" t="s">
        <v>23</v>
      </c>
      <c r="K1826" s="4" t="s">
        <v>24</v>
      </c>
      <c r="L1826" s="4">
        <v>35000000</v>
      </c>
      <c r="M1826" s="4">
        <v>1997</v>
      </c>
      <c r="N1826" s="4">
        <v>7.8</v>
      </c>
      <c r="O1826" s="4">
        <f ca="1">IFERROR(__xludf.DUMMYFUNCTION("IF(Cost_in_dollars!E1826=""USD"",Cost_in_dollars!B1826,Cost_in_dollars!B1826 * GOOGLEFINANCE(""CURRENCY:"" &amp; Cost_in_dollars!E1826 &amp; ""USD""))
"),35000000)</f>
        <v>35000000</v>
      </c>
      <c r="P1826" s="4">
        <f ca="1">IFERROR(__xludf.DUMMYFUNCTION("IF(Cost_in_dollars!E1826=""USD"",Cost_in_dollars!C1826,Cost_in_dollars!C1826 * GOOGLEFINANCE(""CURRENCY:"" &amp; Cost_in_dollars!E1826 &amp; ""USD""))
"),41954997)</f>
        <v>41954997</v>
      </c>
      <c r="Q1826" s="4">
        <f t="shared" ca="1" si="42"/>
        <v>6954997</v>
      </c>
      <c r="R1826" s="5" t="str">
        <f t="shared" si="43"/>
        <v>Donnie Brasco</v>
      </c>
      <c r="S1826" s="43" t="str">
        <f t="shared" si="44"/>
        <v>Biography</v>
      </c>
    </row>
    <row r="1827" spans="1:19" ht="15.75" customHeight="1" x14ac:dyDescent="0.25">
      <c r="A1827" s="6" t="s">
        <v>6148</v>
      </c>
      <c r="B1827" s="6">
        <v>121</v>
      </c>
      <c r="C1827" s="6">
        <v>35057332</v>
      </c>
      <c r="D1827" s="6" t="s">
        <v>737</v>
      </c>
      <c r="E1827" s="6" t="s">
        <v>6149</v>
      </c>
      <c r="F1827" s="6" t="s">
        <v>6150</v>
      </c>
      <c r="G1827" s="6">
        <v>45394</v>
      </c>
      <c r="H1827" s="6" t="s">
        <v>6151</v>
      </c>
      <c r="I1827" s="6">
        <v>72</v>
      </c>
      <c r="J1827" s="6" t="s">
        <v>23</v>
      </c>
      <c r="K1827" s="6" t="s">
        <v>24</v>
      </c>
      <c r="L1827" s="6">
        <v>33000000</v>
      </c>
      <c r="M1827" s="6">
        <v>2012</v>
      </c>
      <c r="N1827" s="6">
        <v>6.5</v>
      </c>
      <c r="O1827" s="4">
        <f ca="1">IFERROR(__xludf.DUMMYFUNCTION("IF(Cost_in_dollars!E1827=""USD"",Cost_in_dollars!B1827,Cost_in_dollars!B1827 * GOOGLEFINANCE(""CURRENCY:"" &amp; Cost_in_dollars!E1827 &amp; ""USD""))
"),33000000)</f>
        <v>33000000</v>
      </c>
      <c r="P1827" s="4">
        <f ca="1">IFERROR(__xludf.DUMMYFUNCTION("IF(Cost_in_dollars!E1827=""USD"",Cost_in_dollars!C1827,Cost_in_dollars!C1827 * GOOGLEFINANCE(""CURRENCY:"" &amp; Cost_in_dollars!E1827 &amp; ""USD""))
"),35057332)</f>
        <v>35057332</v>
      </c>
      <c r="Q1827" s="6">
        <f t="shared" ca="1" si="42"/>
        <v>2057332</v>
      </c>
      <c r="R1827" s="7" t="str">
        <f t="shared" si="43"/>
        <v>Step Up Revolution</v>
      </c>
      <c r="S1827" s="43" t="str">
        <f t="shared" si="44"/>
        <v>Drama</v>
      </c>
    </row>
    <row r="1828" spans="1:19" ht="15.75" customHeight="1" x14ac:dyDescent="0.25">
      <c r="A1828" s="4" t="s">
        <v>62</v>
      </c>
      <c r="B1828" s="4">
        <v>146</v>
      </c>
      <c r="C1828" s="4">
        <v>1190018</v>
      </c>
      <c r="D1828" s="4" t="s">
        <v>1562</v>
      </c>
      <c r="E1828" s="4" t="s">
        <v>1595</v>
      </c>
      <c r="F1828" s="4" t="s">
        <v>6152</v>
      </c>
      <c r="G1828" s="4">
        <v>261317</v>
      </c>
      <c r="H1828" s="4" t="s">
        <v>6153</v>
      </c>
      <c r="I1828" s="4">
        <v>1137</v>
      </c>
      <c r="J1828" s="4" t="s">
        <v>23</v>
      </c>
      <c r="K1828" s="4" t="s">
        <v>24</v>
      </c>
      <c r="L1828" s="4">
        <v>20000000</v>
      </c>
      <c r="M1828" s="4">
        <v>2002</v>
      </c>
      <c r="N1828" s="4">
        <v>7.5</v>
      </c>
      <c r="O1828" s="4">
        <f ca="1">IFERROR(__xludf.DUMMYFUNCTION("IF(Cost_in_dollars!E1828=""USD"",Cost_in_dollars!B1828,Cost_in_dollars!B1828 * GOOGLEFINANCE(""CURRENCY:"" &amp; Cost_in_dollars!E1828 &amp; ""USD""))
"),20000000)</f>
        <v>20000000</v>
      </c>
      <c r="P1828" s="4">
        <f ca="1">IFERROR(__xludf.DUMMYFUNCTION("IF(Cost_in_dollars!E1828=""USD"",Cost_in_dollars!C1828,Cost_in_dollars!C1828 * GOOGLEFINANCE(""CURRENCY:"" &amp; Cost_in_dollars!E1828 &amp; ""USD""))
"),1190018)</f>
        <v>1190018</v>
      </c>
      <c r="Q1828" s="4">
        <f t="shared" ca="1" si="42"/>
        <v>-18809982</v>
      </c>
      <c r="R1828" s="5" t="str">
        <f t="shared" si="43"/>
        <v>Equilibrium</v>
      </c>
      <c r="S1828" s="43" t="str">
        <f t="shared" si="44"/>
        <v>Action</v>
      </c>
    </row>
    <row r="1829" spans="1:19" ht="15.75" customHeight="1" x14ac:dyDescent="0.25">
      <c r="A1829" s="6" t="s">
        <v>6154</v>
      </c>
      <c r="B1829" s="6">
        <v>58</v>
      </c>
      <c r="C1829" s="6">
        <v>13592872</v>
      </c>
      <c r="D1829" s="6" t="s">
        <v>140</v>
      </c>
      <c r="E1829" s="6" t="s">
        <v>444</v>
      </c>
      <c r="F1829" s="6" t="s">
        <v>6155</v>
      </c>
      <c r="G1829" s="6">
        <v>10777</v>
      </c>
      <c r="H1829" s="6" t="s">
        <v>6156</v>
      </c>
      <c r="I1829" s="6">
        <v>79</v>
      </c>
      <c r="J1829" s="6" t="s">
        <v>23</v>
      </c>
      <c r="K1829" s="6" t="s">
        <v>24</v>
      </c>
      <c r="L1829" s="6">
        <v>11000000</v>
      </c>
      <c r="M1829" s="6">
        <v>2000</v>
      </c>
      <c r="N1829" s="6">
        <v>5.0999999999999996</v>
      </c>
      <c r="O1829" s="4">
        <f ca="1">IFERROR(__xludf.DUMMYFUNCTION("IF(Cost_in_dollars!E1829=""USD"",Cost_in_dollars!B1829,Cost_in_dollars!B1829 * GOOGLEFINANCE(""CURRENCY:"" &amp; Cost_in_dollars!E1829 &amp; ""USD""))
"),11000000)</f>
        <v>11000000</v>
      </c>
      <c r="P1829" s="4">
        <f ca="1">IFERROR(__xludf.DUMMYFUNCTION("IF(Cost_in_dollars!E1829=""USD"",Cost_in_dollars!C1829,Cost_in_dollars!C1829 * GOOGLEFINANCE(""CURRENCY:"" &amp; Cost_in_dollars!E1829 &amp; ""USD""))
"),13592872)</f>
        <v>13592872</v>
      </c>
      <c r="Q1829" s="6">
        <f t="shared" ca="1" si="42"/>
        <v>2592872</v>
      </c>
      <c r="R1829" s="7" t="str">
        <f t="shared" si="43"/>
        <v>The Ladies Man</v>
      </c>
      <c r="S1829" s="43" t="str">
        <f t="shared" si="44"/>
        <v>Comedy</v>
      </c>
    </row>
    <row r="1830" spans="1:19" ht="15.75" customHeight="1" x14ac:dyDescent="0.25">
      <c r="A1830" s="4" t="s">
        <v>4766</v>
      </c>
      <c r="B1830" s="4">
        <v>91</v>
      </c>
      <c r="C1830" s="4">
        <v>65535067</v>
      </c>
      <c r="D1830" s="4" t="s">
        <v>88</v>
      </c>
      <c r="E1830" s="4" t="s">
        <v>2668</v>
      </c>
      <c r="F1830" s="4" t="s">
        <v>6157</v>
      </c>
      <c r="G1830" s="4">
        <v>59380</v>
      </c>
      <c r="H1830" s="4" t="s">
        <v>6158</v>
      </c>
      <c r="I1830" s="4">
        <v>202</v>
      </c>
      <c r="J1830" s="4" t="s">
        <v>23</v>
      </c>
      <c r="K1830" s="4" t="s">
        <v>24</v>
      </c>
      <c r="L1830" s="4">
        <v>17000000</v>
      </c>
      <c r="M1830" s="4">
        <v>1999</v>
      </c>
      <c r="N1830" s="4">
        <v>5.7</v>
      </c>
      <c r="O1830" s="4">
        <f ca="1">IFERROR(__xludf.DUMMYFUNCTION("IF(Cost_in_dollars!E1830=""USD"",Cost_in_dollars!B1830,Cost_in_dollars!B1830 * GOOGLEFINANCE(""CURRENCY:"" &amp; Cost_in_dollars!E1830 &amp; ""USD""))
"),17000000)</f>
        <v>17000000</v>
      </c>
      <c r="P1830" s="4">
        <f ca="1">IFERROR(__xludf.DUMMYFUNCTION("IF(Cost_in_dollars!E1830=""USD"",Cost_in_dollars!C1830,Cost_in_dollars!C1830 * GOOGLEFINANCE(""CURRENCY:"" &amp; Cost_in_dollars!E1830 &amp; ""USD""))
"),65535067)</f>
        <v>65535067</v>
      </c>
      <c r="Q1830" s="4">
        <f t="shared" ca="1" si="42"/>
        <v>48535067</v>
      </c>
      <c r="R1830" s="5" t="str">
        <f t="shared" si="43"/>
        <v>Deuce Bigalow: Male Gigolo</v>
      </c>
      <c r="S1830" s="43" t="str">
        <f t="shared" si="44"/>
        <v>Comedy</v>
      </c>
    </row>
    <row r="1831" spans="1:19" ht="15.75" customHeight="1" x14ac:dyDescent="0.25">
      <c r="A1831" s="6" t="s">
        <v>6159</v>
      </c>
      <c r="B1831" s="6">
        <v>112</v>
      </c>
      <c r="C1831" s="6">
        <v>11905519</v>
      </c>
      <c r="D1831" s="6" t="s">
        <v>504</v>
      </c>
      <c r="E1831" s="6" t="s">
        <v>6160</v>
      </c>
      <c r="F1831" s="6" t="s">
        <v>6161</v>
      </c>
      <c r="G1831" s="6">
        <v>30210</v>
      </c>
      <c r="H1831" s="6" t="s">
        <v>6162</v>
      </c>
      <c r="I1831" s="6">
        <v>214</v>
      </c>
      <c r="J1831" s="6" t="s">
        <v>5267</v>
      </c>
      <c r="K1831" s="6" t="s">
        <v>5268</v>
      </c>
      <c r="L1831" s="6">
        <v>200000000</v>
      </c>
      <c r="M1831" s="6">
        <v>2005</v>
      </c>
      <c r="N1831" s="6">
        <v>7.1</v>
      </c>
      <c r="O1831" s="4">
        <f ca="1">IFERROR(__xludf.DUMMYFUNCTION("IF(Cost_in_dollars!E1831=""USD"",Cost_in_dollars!B1831,Cost_in_dollars!B1831 * GOOGLEFINANCE(""CURRENCY:"" &amp; Cost_in_dollars!E1831 &amp; ""USD""))
"),5518764)</f>
        <v>5518764</v>
      </c>
      <c r="P1831" s="4">
        <f ca="1">IFERROR(__xludf.DUMMYFUNCTION("IF(Cost_in_dollars!E1831=""USD"",Cost_in_dollars!C1831,Cost_in_dollars!C1831 * GOOGLEFINANCE(""CURRENCY:"" &amp; Cost_in_dollars!E1831 &amp; ""USD""))
"),328518.74829258)</f>
        <v>328518.74829258001</v>
      </c>
      <c r="Q1831" s="6">
        <f t="shared" ca="1" si="42"/>
        <v>-5190245.2517074198</v>
      </c>
      <c r="R1831" s="7" t="str">
        <f t="shared" si="43"/>
        <v>The Protector</v>
      </c>
      <c r="S1831" s="43" t="str">
        <f t="shared" si="44"/>
        <v>Action</v>
      </c>
    </row>
    <row r="1832" spans="1:19" ht="15.75" customHeight="1" x14ac:dyDescent="0.25">
      <c r="A1832" s="4" t="s">
        <v>643</v>
      </c>
      <c r="B1832" s="4">
        <v>410</v>
      </c>
      <c r="C1832" s="4">
        <v>93571803</v>
      </c>
      <c r="D1832" s="4" t="s">
        <v>1127</v>
      </c>
      <c r="E1832" s="4" t="s">
        <v>1595</v>
      </c>
      <c r="F1832" s="4" t="s">
        <v>6163</v>
      </c>
      <c r="G1832" s="4">
        <v>275869</v>
      </c>
      <c r="H1832" s="4" t="s">
        <v>6164</v>
      </c>
      <c r="I1832" s="4">
        <v>389</v>
      </c>
      <c r="J1832" s="4" t="s">
        <v>23</v>
      </c>
      <c r="K1832" s="4" t="s">
        <v>24</v>
      </c>
      <c r="L1832" s="4">
        <v>25000000</v>
      </c>
      <c r="M1832" s="4">
        <v>2010</v>
      </c>
      <c r="N1832" s="4">
        <v>7.9</v>
      </c>
      <c r="O1832" s="4">
        <f ca="1">IFERROR(__xludf.DUMMYFUNCTION("IF(Cost_in_dollars!E1832=""USD"",Cost_in_dollars!B1832,Cost_in_dollars!B1832 * GOOGLEFINANCE(""CURRENCY:"" &amp; Cost_in_dollars!E1832 &amp; ""USD""))
"),25000000)</f>
        <v>25000000</v>
      </c>
      <c r="P1832" s="4">
        <f ca="1">IFERROR(__xludf.DUMMYFUNCTION("IF(Cost_in_dollars!E1832=""USD"",Cost_in_dollars!C1832,Cost_in_dollars!C1832 * GOOGLEFINANCE(""CURRENCY:"" &amp; Cost_in_dollars!E1832 &amp; ""USD""))
"),93571803)</f>
        <v>93571803</v>
      </c>
      <c r="Q1832" s="4">
        <f t="shared" ca="1" si="42"/>
        <v>68571803</v>
      </c>
      <c r="R1832" s="5" t="str">
        <f t="shared" si="43"/>
        <v>The Fighter</v>
      </c>
      <c r="S1832" s="43" t="str">
        <f t="shared" si="44"/>
        <v>Biography</v>
      </c>
    </row>
    <row r="1833" spans="1:19" ht="15.75" customHeight="1" x14ac:dyDescent="0.25">
      <c r="A1833" s="6" t="s">
        <v>6165</v>
      </c>
      <c r="B1833" s="6">
        <v>219</v>
      </c>
      <c r="C1833" s="6">
        <v>50807639</v>
      </c>
      <c r="D1833" s="6" t="s">
        <v>304</v>
      </c>
      <c r="E1833" s="6" t="s">
        <v>6166</v>
      </c>
      <c r="F1833" s="6" t="s">
        <v>6167</v>
      </c>
      <c r="G1833" s="6">
        <v>40883</v>
      </c>
      <c r="H1833" s="6" t="s">
        <v>6168</v>
      </c>
      <c r="I1833" s="6">
        <v>122</v>
      </c>
      <c r="J1833" s="6" t="s">
        <v>23</v>
      </c>
      <c r="K1833" s="6" t="s">
        <v>24</v>
      </c>
      <c r="L1833" s="6">
        <v>60000000</v>
      </c>
      <c r="M1833" s="6">
        <v>2014</v>
      </c>
      <c r="N1833" s="6">
        <v>6.8</v>
      </c>
      <c r="O1833" s="4">
        <f ca="1">IFERROR(__xludf.DUMMYFUNCTION("IF(Cost_in_dollars!E1833=""USD"",Cost_in_dollars!B1833,Cost_in_dollars!B1833 * GOOGLEFINANCE(""CURRENCY:"" &amp; Cost_in_dollars!E1833 &amp; ""USD""))
"),60000000)</f>
        <v>60000000</v>
      </c>
      <c r="P1833" s="4">
        <f ca="1">IFERROR(__xludf.DUMMYFUNCTION("IF(Cost_in_dollars!E1833=""USD"",Cost_in_dollars!C1833,Cost_in_dollars!C1833 * GOOGLEFINANCE(""CURRENCY:"" &amp; Cost_in_dollars!E1833 &amp; ""USD""))
"),50807639)</f>
        <v>50807639</v>
      </c>
      <c r="Q1833" s="6">
        <f t="shared" ca="1" si="42"/>
        <v>-9192361</v>
      </c>
      <c r="R1833" s="7" t="str">
        <f t="shared" si="43"/>
        <v>The Boxtrolls</v>
      </c>
      <c r="S1833" s="43" t="str">
        <f t="shared" si="44"/>
        <v>Adventure</v>
      </c>
    </row>
    <row r="1834" spans="1:19" ht="15.75" customHeight="1" x14ac:dyDescent="0.25">
      <c r="A1834" s="4" t="s">
        <v>1723</v>
      </c>
      <c r="B1834" s="4">
        <v>122</v>
      </c>
      <c r="C1834" s="4">
        <v>75817994</v>
      </c>
      <c r="D1834" s="4" t="s">
        <v>6169</v>
      </c>
      <c r="E1834" s="4" t="s">
        <v>6170</v>
      </c>
      <c r="F1834" s="4" t="s">
        <v>6171</v>
      </c>
      <c r="G1834" s="4">
        <v>32049</v>
      </c>
      <c r="H1834" s="4" t="s">
        <v>6172</v>
      </c>
      <c r="I1834" s="4">
        <v>179</v>
      </c>
      <c r="J1834" s="4" t="s">
        <v>23</v>
      </c>
      <c r="K1834" s="4" t="s">
        <v>24</v>
      </c>
      <c r="L1834" s="4">
        <v>90000000</v>
      </c>
      <c r="M1834" s="4">
        <v>2003</v>
      </c>
      <c r="N1834" s="4">
        <v>4.9000000000000004</v>
      </c>
      <c r="O1834" s="4">
        <f ca="1">IFERROR(__xludf.DUMMYFUNCTION("IF(Cost_in_dollars!E1834=""USD"",Cost_in_dollars!B1834,Cost_in_dollars!B1834 * GOOGLEFINANCE(""CURRENCY:"" &amp; Cost_in_dollars!E1834 &amp; ""USD""))
"),90000000)</f>
        <v>90000000</v>
      </c>
      <c r="P1834" s="4">
        <f ca="1">IFERROR(__xludf.DUMMYFUNCTION("IF(Cost_in_dollars!E1834=""USD"",Cost_in_dollars!C1834,Cost_in_dollars!C1834 * GOOGLEFINANCE(""CURRENCY:"" &amp; Cost_in_dollars!E1834 &amp; ""USD""))
"),75817994)</f>
        <v>75817994</v>
      </c>
      <c r="Q1834" s="4">
        <f t="shared" ca="1" si="42"/>
        <v>-14182006</v>
      </c>
      <c r="R1834" s="5" t="str">
        <f t="shared" si="43"/>
        <v>The Haunted Mansion</v>
      </c>
      <c r="S1834" s="43" t="str">
        <f t="shared" si="44"/>
        <v>Comedy</v>
      </c>
    </row>
    <row r="1835" spans="1:19" ht="15.75" customHeight="1" x14ac:dyDescent="0.25">
      <c r="A1835" s="6" t="s">
        <v>4692</v>
      </c>
      <c r="B1835" s="6">
        <v>141</v>
      </c>
      <c r="C1835" s="6">
        <v>78120196</v>
      </c>
      <c r="D1835" s="6" t="s">
        <v>1456</v>
      </c>
      <c r="E1835" s="6" t="s">
        <v>1703</v>
      </c>
      <c r="F1835" s="6" t="s">
        <v>6173</v>
      </c>
      <c r="G1835" s="6">
        <v>103241</v>
      </c>
      <c r="H1835" s="6" t="s">
        <v>6174</v>
      </c>
      <c r="I1835" s="6">
        <v>742</v>
      </c>
      <c r="J1835" s="6" t="s">
        <v>23</v>
      </c>
      <c r="K1835" s="6" t="s">
        <v>24</v>
      </c>
      <c r="L1835" s="6">
        <v>75000000</v>
      </c>
      <c r="M1835" s="6">
        <v>2002</v>
      </c>
      <c r="N1835" s="6">
        <v>7.1</v>
      </c>
      <c r="O1835" s="4">
        <f ca="1">IFERROR(__xludf.DUMMYFUNCTION("IF(Cost_in_dollars!E1835=""USD"",Cost_in_dollars!B1835,Cost_in_dollars!B1835 * GOOGLEFINANCE(""CURRENCY:"" &amp; Cost_in_dollars!E1835 &amp; ""USD""))
"),75000000)</f>
        <v>75000000</v>
      </c>
      <c r="P1835" s="4">
        <f ca="1">IFERROR(__xludf.DUMMYFUNCTION("IF(Cost_in_dollars!E1835=""USD"",Cost_in_dollars!C1835,Cost_in_dollars!C1835 * GOOGLEFINANCE(""CURRENCY:"" &amp; Cost_in_dollars!E1835 &amp; ""USD""))
"),78120196)</f>
        <v>78120196</v>
      </c>
      <c r="Q1835" s="6">
        <f t="shared" ca="1" si="42"/>
        <v>3120196</v>
      </c>
      <c r="R1835" s="7" t="str">
        <f t="shared" si="43"/>
        <v>We Were Soldiers</v>
      </c>
      <c r="S1835" s="43" t="str">
        <f t="shared" si="44"/>
        <v>Action</v>
      </c>
    </row>
    <row r="1836" spans="1:19" ht="15.75" customHeight="1" x14ac:dyDescent="0.25">
      <c r="A1836" s="4" t="s">
        <v>2091</v>
      </c>
      <c r="B1836" s="4">
        <v>25</v>
      </c>
      <c r="C1836" s="4">
        <v>69800000</v>
      </c>
      <c r="D1836" s="4" t="s">
        <v>5778</v>
      </c>
      <c r="E1836" s="4" t="s">
        <v>2064</v>
      </c>
      <c r="F1836" s="4" t="s">
        <v>6175</v>
      </c>
      <c r="G1836" s="4">
        <v>18140</v>
      </c>
      <c r="H1836" s="4" t="s">
        <v>6176</v>
      </c>
      <c r="I1836" s="4">
        <v>60</v>
      </c>
      <c r="J1836" s="4" t="s">
        <v>23</v>
      </c>
      <c r="K1836" s="4" t="s">
        <v>24</v>
      </c>
      <c r="L1836" s="4">
        <v>10000000</v>
      </c>
      <c r="M1836" s="4">
        <v>1980</v>
      </c>
      <c r="N1836" s="4">
        <v>6.1</v>
      </c>
      <c r="O1836" s="4">
        <f ca="1">IFERROR(__xludf.DUMMYFUNCTION("IF(Cost_in_dollars!E1836=""USD"",Cost_in_dollars!B1836,Cost_in_dollars!B1836 * GOOGLEFINANCE(""CURRENCY:"" &amp; Cost_in_dollars!E1836 &amp; ""USD""))
"),10000000)</f>
        <v>10000000</v>
      </c>
      <c r="P1836" s="4">
        <f ca="1">IFERROR(__xludf.DUMMYFUNCTION("IF(Cost_in_dollars!E1836=""USD"",Cost_in_dollars!C1836,Cost_in_dollars!C1836 * GOOGLEFINANCE(""CURRENCY:"" &amp; Cost_in_dollars!E1836 &amp; ""USD""))
"),69800000)</f>
        <v>69800000</v>
      </c>
      <c r="Q1836" s="4">
        <f t="shared" ca="1" si="42"/>
        <v>59800000</v>
      </c>
      <c r="R1836" s="5" t="str">
        <f t="shared" si="43"/>
        <v>Private Benjamin</v>
      </c>
      <c r="S1836" s="43" t="str">
        <f t="shared" si="44"/>
        <v>Comedy</v>
      </c>
    </row>
    <row r="1837" spans="1:19" ht="15.75" customHeight="1" x14ac:dyDescent="0.25">
      <c r="A1837" s="6" t="s">
        <v>6177</v>
      </c>
      <c r="B1837" s="6">
        <v>35</v>
      </c>
      <c r="C1837" s="6">
        <v>26893</v>
      </c>
      <c r="D1837" s="6" t="s">
        <v>4992</v>
      </c>
      <c r="E1837" s="6" t="s">
        <v>574</v>
      </c>
      <c r="F1837" s="6" t="s">
        <v>6178</v>
      </c>
      <c r="G1837" s="6">
        <v>4391</v>
      </c>
      <c r="H1837" s="6" t="s">
        <v>6179</v>
      </c>
      <c r="I1837" s="6">
        <v>26</v>
      </c>
      <c r="J1837" s="6" t="s">
        <v>661</v>
      </c>
      <c r="K1837" s="6" t="s">
        <v>611</v>
      </c>
      <c r="L1837" s="6">
        <v>1600000</v>
      </c>
      <c r="M1837" s="6">
        <v>1969</v>
      </c>
      <c r="N1837" s="6">
        <v>7.2</v>
      </c>
      <c r="O1837" s="4">
        <f ca="1">IFERROR(__xludf.DUMMYFUNCTION("IF(Cost_in_dollars!E1837=""USD"",Cost_in_dollars!B1837,Cost_in_dollars!B1837 * GOOGLEFINANCE(""CURRENCY:"" &amp; Cost_in_dollars!E1837 &amp; ""USD""))
"),1735584)</f>
        <v>1735584</v>
      </c>
      <c r="P1837" s="4">
        <f ca="1">IFERROR(__xludf.DUMMYFUNCTION("IF(Cost_in_dollars!E1837=""USD"",Cost_in_dollars!C1837,Cost_in_dollars!C1837 * GOOGLEFINANCE(""CURRENCY:"" &amp; Cost_in_dollars!E1837 &amp; ""USD""))
"),29171.91282)</f>
        <v>29171.912820000001</v>
      </c>
      <c r="Q1837" s="6">
        <f t="shared" ca="1" si="42"/>
        <v>-1706412.08718</v>
      </c>
      <c r="R1837" s="7" t="str">
        <f t="shared" si="43"/>
        <v>Mississippi Mermaid</v>
      </c>
      <c r="S1837" s="43" t="str">
        <f t="shared" si="44"/>
        <v>Crime</v>
      </c>
    </row>
    <row r="1838" spans="1:19" ht="15.75" customHeight="1" x14ac:dyDescent="0.25">
      <c r="A1838" s="4" t="s">
        <v>894</v>
      </c>
      <c r="B1838" s="4">
        <v>124</v>
      </c>
      <c r="C1838" s="4">
        <v>181360000</v>
      </c>
      <c r="D1838" s="4" t="s">
        <v>6180</v>
      </c>
      <c r="E1838" s="4" t="s">
        <v>6181</v>
      </c>
      <c r="F1838" s="4" t="s">
        <v>6182</v>
      </c>
      <c r="G1838" s="4">
        <v>170027</v>
      </c>
      <c r="H1838" s="4" t="s">
        <v>6183</v>
      </c>
      <c r="I1838" s="4">
        <v>350</v>
      </c>
      <c r="J1838" s="4" t="s">
        <v>23</v>
      </c>
      <c r="K1838" s="4" t="s">
        <v>24</v>
      </c>
      <c r="L1838" s="4">
        <v>6000000</v>
      </c>
      <c r="M1838" s="4">
        <v>1978</v>
      </c>
      <c r="N1838" s="4">
        <v>7.2</v>
      </c>
      <c r="O1838" s="4">
        <f ca="1">IFERROR(__xludf.DUMMYFUNCTION("IF(Cost_in_dollars!E1838=""USD"",Cost_in_dollars!B1838,Cost_in_dollars!B1838 * GOOGLEFINANCE(""CURRENCY:"" &amp; Cost_in_dollars!E1838 &amp; ""USD""))
"),6000000)</f>
        <v>6000000</v>
      </c>
      <c r="P1838" s="4">
        <f ca="1">IFERROR(__xludf.DUMMYFUNCTION("IF(Cost_in_dollars!E1838=""USD"",Cost_in_dollars!C1838,Cost_in_dollars!C1838 * GOOGLEFINANCE(""CURRENCY:"" &amp; Cost_in_dollars!E1838 &amp; ""USD""))
"),181360000)</f>
        <v>181360000</v>
      </c>
      <c r="Q1838" s="4">
        <f t="shared" ca="1" si="42"/>
        <v>175360000</v>
      </c>
      <c r="R1838" s="5" t="str">
        <f t="shared" si="43"/>
        <v>Grease</v>
      </c>
      <c r="S1838" s="43" t="str">
        <f t="shared" si="44"/>
        <v>Musical</v>
      </c>
    </row>
    <row r="1839" spans="1:19" ht="15.75" customHeight="1" x14ac:dyDescent="0.25">
      <c r="A1839" s="6" t="s">
        <v>6184</v>
      </c>
      <c r="B1839" s="6">
        <v>81</v>
      </c>
      <c r="C1839" s="6">
        <v>55461307</v>
      </c>
      <c r="D1839" s="6" t="s">
        <v>140</v>
      </c>
      <c r="E1839" s="6" t="s">
        <v>4779</v>
      </c>
      <c r="F1839" s="6" t="s">
        <v>6185</v>
      </c>
      <c r="G1839" s="6">
        <v>4654</v>
      </c>
      <c r="H1839" s="6" t="s">
        <v>6186</v>
      </c>
      <c r="I1839" s="6">
        <v>46</v>
      </c>
      <c r="J1839" s="6" t="s">
        <v>23</v>
      </c>
      <c r="K1839" s="6" t="s">
        <v>24</v>
      </c>
      <c r="L1839" s="6">
        <v>20000000</v>
      </c>
      <c r="M1839" s="6">
        <v>2016</v>
      </c>
      <c r="N1839" s="6">
        <v>6.7</v>
      </c>
      <c r="O1839" s="4">
        <f ca="1">IFERROR(__xludf.DUMMYFUNCTION("IF(Cost_in_dollars!E1839=""USD"",Cost_in_dollars!B1839,Cost_in_dollars!B1839 * GOOGLEFINANCE(""CURRENCY:"" &amp; Cost_in_dollars!E1839 &amp; ""USD""))
"),20000000)</f>
        <v>20000000</v>
      </c>
      <c r="P1839" s="4">
        <f ca="1">IFERROR(__xludf.DUMMYFUNCTION("IF(Cost_in_dollars!E1839=""USD"",Cost_in_dollars!C1839,Cost_in_dollars!C1839 * GOOGLEFINANCE(""CURRENCY:"" &amp; Cost_in_dollars!E1839 &amp; ""USD""))
"),55461307)</f>
        <v>55461307</v>
      </c>
      <c r="Q1839" s="6">
        <f t="shared" ca="1" si="42"/>
        <v>35461307</v>
      </c>
      <c r="R1839" s="7" t="str">
        <f t="shared" si="43"/>
        <v>Bad Moms</v>
      </c>
      <c r="S1839" s="43" t="str">
        <f t="shared" si="44"/>
        <v>Comedy</v>
      </c>
    </row>
    <row r="1840" spans="1:19" ht="15.75" customHeight="1" x14ac:dyDescent="0.25">
      <c r="A1840" s="4" t="s">
        <v>1227</v>
      </c>
      <c r="B1840" s="4">
        <v>91</v>
      </c>
      <c r="C1840" s="4">
        <v>15156200</v>
      </c>
      <c r="D1840" s="4" t="s">
        <v>613</v>
      </c>
      <c r="E1840" s="4" t="s">
        <v>6187</v>
      </c>
      <c r="F1840" s="4" t="s">
        <v>6188</v>
      </c>
      <c r="G1840" s="4">
        <v>15358</v>
      </c>
      <c r="H1840" s="4" t="s">
        <v>6189</v>
      </c>
      <c r="I1840" s="4">
        <v>131</v>
      </c>
      <c r="J1840" s="4" t="s">
        <v>23</v>
      </c>
      <c r="K1840" s="4" t="s">
        <v>24</v>
      </c>
      <c r="L1840" s="4">
        <v>30000000</v>
      </c>
      <c r="M1840" s="4">
        <v>1999</v>
      </c>
      <c r="N1840" s="4">
        <v>6</v>
      </c>
      <c r="O1840" s="4">
        <f ca="1">IFERROR(__xludf.DUMMYFUNCTION("IF(Cost_in_dollars!E1840=""USD"",Cost_in_dollars!B1840,Cost_in_dollars!B1840 * GOOGLEFINANCE(""CURRENCY:"" &amp; Cost_in_dollars!E1840 &amp; ""USD""))
"),30000000)</f>
        <v>30000000</v>
      </c>
      <c r="P1840" s="4">
        <f ca="1">IFERROR(__xludf.DUMMYFUNCTION("IF(Cost_in_dollars!E1840=""USD"",Cost_in_dollars!C1840,Cost_in_dollars!C1840 * GOOGLEFINANCE(""CURRENCY:"" &amp; Cost_in_dollars!E1840 &amp; ""USD""))
"),15156200)</f>
        <v>15156200</v>
      </c>
      <c r="Q1840" s="4">
        <f t="shared" ca="1" si="42"/>
        <v>-14843800</v>
      </c>
      <c r="R1840" s="5" t="str">
        <f t="shared" si="43"/>
        <v>The Corruptor</v>
      </c>
      <c r="S1840" s="43" t="str">
        <f t="shared" si="44"/>
        <v>Action</v>
      </c>
    </row>
    <row r="1841" spans="1:19" ht="15.75" customHeight="1" x14ac:dyDescent="0.25">
      <c r="A1841" s="6" t="s">
        <v>6190</v>
      </c>
      <c r="B1841" s="6">
        <v>220</v>
      </c>
      <c r="C1841" s="6">
        <v>44540956</v>
      </c>
      <c r="D1841" s="6" t="s">
        <v>140</v>
      </c>
      <c r="E1841" s="6" t="s">
        <v>3085</v>
      </c>
      <c r="F1841" s="6" t="s">
        <v>6191</v>
      </c>
      <c r="G1841" s="6">
        <v>161448</v>
      </c>
      <c r="H1841" s="6" t="s">
        <v>6192</v>
      </c>
      <c r="I1841" s="6">
        <v>1473</v>
      </c>
      <c r="J1841" s="6" t="s">
        <v>23</v>
      </c>
      <c r="K1841" s="6" t="s">
        <v>24</v>
      </c>
      <c r="L1841" s="6">
        <v>400000</v>
      </c>
      <c r="M1841" s="6">
        <v>2004</v>
      </c>
      <c r="N1841" s="6">
        <v>6.9</v>
      </c>
      <c r="O1841" s="4">
        <f ca="1">IFERROR(__xludf.DUMMYFUNCTION("IF(Cost_in_dollars!E1841=""USD"",Cost_in_dollars!B1841,Cost_in_dollars!B1841 * GOOGLEFINANCE(""CURRENCY:"" &amp; Cost_in_dollars!E1841 &amp; ""USD""))
"),400000)</f>
        <v>400000</v>
      </c>
      <c r="P1841" s="4">
        <f ca="1">IFERROR(__xludf.DUMMYFUNCTION("IF(Cost_in_dollars!E1841=""USD"",Cost_in_dollars!C1841,Cost_in_dollars!C1841 * GOOGLEFINANCE(""CURRENCY:"" &amp; Cost_in_dollars!E1841 &amp; ""USD""))
"),44540956)</f>
        <v>44540956</v>
      </c>
      <c r="Q1841" s="6">
        <f t="shared" ca="1" si="42"/>
        <v>44140956</v>
      </c>
      <c r="R1841" s="7" t="str">
        <f t="shared" si="43"/>
        <v>Napoleon Dynamite</v>
      </c>
      <c r="S1841" s="43" t="str">
        <f t="shared" si="44"/>
        <v>Comedy</v>
      </c>
    </row>
    <row r="1842" spans="1:19" ht="15.75" customHeight="1" x14ac:dyDescent="0.25">
      <c r="A1842" s="4" t="s">
        <v>3218</v>
      </c>
      <c r="B1842" s="4">
        <v>516</v>
      </c>
      <c r="C1842" s="4">
        <v>181015141</v>
      </c>
      <c r="D1842" s="4" t="s">
        <v>281</v>
      </c>
      <c r="E1842" s="4" t="s">
        <v>1449</v>
      </c>
      <c r="F1842" s="4" t="s">
        <v>6193</v>
      </c>
      <c r="G1842" s="4">
        <v>536314</v>
      </c>
      <c r="H1842" s="4" t="s">
        <v>6194</v>
      </c>
      <c r="I1842" s="4">
        <v>738</v>
      </c>
      <c r="J1842" s="4" t="s">
        <v>23</v>
      </c>
      <c r="K1842" s="4" t="s">
        <v>24</v>
      </c>
      <c r="L1842" s="4">
        <v>150000000</v>
      </c>
      <c r="M1842" s="4">
        <v>2011</v>
      </c>
      <c r="N1842" s="4">
        <v>7</v>
      </c>
      <c r="O1842" s="4">
        <f ca="1">IFERROR(__xludf.DUMMYFUNCTION("IF(Cost_in_dollars!E1842=""USD"",Cost_in_dollars!B1842,Cost_in_dollars!B1842 * GOOGLEFINANCE(""CURRENCY:"" &amp; Cost_in_dollars!E1842 &amp; ""USD""))
"),150000000)</f>
        <v>150000000</v>
      </c>
      <c r="P1842" s="4">
        <f ca="1">IFERROR(__xludf.DUMMYFUNCTION("IF(Cost_in_dollars!E1842=""USD"",Cost_in_dollars!C1842,Cost_in_dollars!C1842 * GOOGLEFINANCE(""CURRENCY:"" &amp; Cost_in_dollars!E1842 &amp; ""USD""))
"),181015141)</f>
        <v>181015141</v>
      </c>
      <c r="Q1842" s="4">
        <f t="shared" ca="1" si="42"/>
        <v>31015141</v>
      </c>
      <c r="R1842" s="5" t="str">
        <f t="shared" si="43"/>
        <v>Thor</v>
      </c>
      <c r="S1842" s="43" t="str">
        <f t="shared" si="44"/>
        <v>Action</v>
      </c>
    </row>
    <row r="1843" spans="1:19" ht="15.75" customHeight="1" x14ac:dyDescent="0.25">
      <c r="A1843" s="6" t="s">
        <v>221</v>
      </c>
      <c r="B1843" s="6">
        <v>291</v>
      </c>
      <c r="C1843" s="6">
        <v>119518352</v>
      </c>
      <c r="D1843" s="6" t="s">
        <v>6195</v>
      </c>
      <c r="E1843" s="6" t="s">
        <v>6196</v>
      </c>
      <c r="F1843" s="6" t="s">
        <v>6197</v>
      </c>
      <c r="G1843" s="6">
        <v>188637</v>
      </c>
      <c r="H1843" s="6" t="s">
        <v>6198</v>
      </c>
      <c r="I1843" s="6">
        <v>815</v>
      </c>
      <c r="J1843" s="6" t="s">
        <v>23</v>
      </c>
      <c r="K1843" s="6" t="s">
        <v>24</v>
      </c>
      <c r="L1843" s="6">
        <v>28000000</v>
      </c>
      <c r="M1843" s="6">
        <v>2005</v>
      </c>
      <c r="N1843" s="6">
        <v>7.9</v>
      </c>
      <c r="O1843" s="4">
        <f ca="1">IFERROR(__xludf.DUMMYFUNCTION("IF(Cost_in_dollars!E1843=""USD"",Cost_in_dollars!B1843,Cost_in_dollars!B1843 * GOOGLEFINANCE(""CURRENCY:"" &amp; Cost_in_dollars!E1843 &amp; ""USD""))
"),28000000)</f>
        <v>28000000</v>
      </c>
      <c r="P1843" s="4">
        <f ca="1">IFERROR(__xludf.DUMMYFUNCTION("IF(Cost_in_dollars!E1843=""USD"",Cost_in_dollars!C1843,Cost_in_dollars!C1843 * GOOGLEFINANCE(""CURRENCY:"" &amp; Cost_in_dollars!E1843 &amp; ""USD""))
"),119518352)</f>
        <v>119518352</v>
      </c>
      <c r="Q1843" s="6">
        <f t="shared" ca="1" si="42"/>
        <v>91518352</v>
      </c>
      <c r="R1843" s="7" t="str">
        <f t="shared" si="43"/>
        <v>Walk the Line</v>
      </c>
      <c r="S1843" s="43" t="str">
        <f t="shared" si="44"/>
        <v>Biography</v>
      </c>
    </row>
    <row r="1844" spans="1:19" ht="15.75" customHeight="1" x14ac:dyDescent="0.25">
      <c r="A1844" s="4" t="s">
        <v>387</v>
      </c>
      <c r="B1844" s="4">
        <v>221</v>
      </c>
      <c r="C1844" s="4">
        <v>21371425</v>
      </c>
      <c r="D1844" s="4" t="s">
        <v>1749</v>
      </c>
      <c r="E1844" s="4" t="s">
        <v>6199</v>
      </c>
      <c r="F1844" s="4" t="s">
        <v>6200</v>
      </c>
      <c r="G1844" s="4">
        <v>76199</v>
      </c>
      <c r="H1844" s="4" t="s">
        <v>6201</v>
      </c>
      <c r="I1844" s="4">
        <v>944</v>
      </c>
      <c r="J1844" s="4" t="s">
        <v>23</v>
      </c>
      <c r="K1844" s="4" t="s">
        <v>24</v>
      </c>
      <c r="L1844" s="4">
        <v>10000000</v>
      </c>
      <c r="M1844" s="4">
        <v>2010</v>
      </c>
      <c r="N1844" s="4">
        <v>4.4000000000000004</v>
      </c>
      <c r="O1844" s="4">
        <f ca="1">IFERROR(__xludf.DUMMYFUNCTION("IF(Cost_in_dollars!E1844=""USD"",Cost_in_dollars!B1844,Cost_in_dollars!B1844 * GOOGLEFINANCE(""CURRENCY:"" &amp; Cost_in_dollars!E1844 &amp; ""USD""))
"),10000000)</f>
        <v>10000000</v>
      </c>
      <c r="P1844" s="4">
        <f ca="1">IFERROR(__xludf.DUMMYFUNCTION("IF(Cost_in_dollars!E1844=""USD"",Cost_in_dollars!C1844,Cost_in_dollars!C1844 * GOOGLEFINANCE(""CURRENCY:"" &amp; Cost_in_dollars!E1844 &amp; ""USD""))
"),21371425)</f>
        <v>21371425</v>
      </c>
      <c r="Q1844" s="4">
        <f t="shared" ca="1" si="42"/>
        <v>11371425</v>
      </c>
      <c r="R1844" s="5" t="str">
        <f t="shared" si="43"/>
        <v>Skyline</v>
      </c>
      <c r="S1844" s="43" t="str">
        <f t="shared" si="44"/>
        <v>Action</v>
      </c>
    </row>
    <row r="1845" spans="1:19" ht="15.75" customHeight="1" x14ac:dyDescent="0.25">
      <c r="A1845" s="6" t="s">
        <v>1755</v>
      </c>
      <c r="B1845" s="6">
        <v>415</v>
      </c>
      <c r="C1845" s="6">
        <v>33404871</v>
      </c>
      <c r="D1845" s="6" t="s">
        <v>102</v>
      </c>
      <c r="E1845" s="6" t="s">
        <v>6202</v>
      </c>
      <c r="F1845" s="6" t="s">
        <v>6203</v>
      </c>
      <c r="G1845" s="6">
        <v>150082</v>
      </c>
      <c r="H1845" s="6" t="s">
        <v>6204</v>
      </c>
      <c r="I1845" s="6">
        <v>384</v>
      </c>
      <c r="J1845" s="6" t="s">
        <v>23</v>
      </c>
      <c r="K1845" s="6" t="s">
        <v>24</v>
      </c>
      <c r="L1845" s="6">
        <v>18000000</v>
      </c>
      <c r="M1845" s="6">
        <v>2013</v>
      </c>
      <c r="N1845" s="6">
        <v>7.3</v>
      </c>
      <c r="O1845" s="4">
        <f ca="1">IFERROR(__xludf.DUMMYFUNCTION("IF(Cost_in_dollars!E1845=""USD"",Cost_in_dollars!B1845,Cost_in_dollars!B1845 * GOOGLEFINANCE(""CURRENCY:"" &amp; Cost_in_dollars!E1845 &amp; ""USD""))
"),18000000)</f>
        <v>18000000</v>
      </c>
      <c r="P1845" s="4">
        <f ca="1">IFERROR(__xludf.DUMMYFUNCTION("IF(Cost_in_dollars!E1845=""USD"",Cost_in_dollars!C1845,Cost_in_dollars!C1845 * GOOGLEFINANCE(""CURRENCY:"" &amp; Cost_in_dollars!E1845 &amp; ""USD""))
"),33404871)</f>
        <v>33404871</v>
      </c>
      <c r="Q1845" s="6">
        <f t="shared" ca="1" si="42"/>
        <v>15404871</v>
      </c>
      <c r="R1845" s="7" t="str">
        <f t="shared" si="43"/>
        <v>Blue Jasmine</v>
      </c>
      <c r="S1845" s="43" t="str">
        <f t="shared" si="44"/>
        <v>Drama</v>
      </c>
    </row>
    <row r="1846" spans="1:19" ht="15.75" customHeight="1" x14ac:dyDescent="0.25">
      <c r="A1846" s="4" t="s">
        <v>3011</v>
      </c>
      <c r="B1846" s="4">
        <v>50</v>
      </c>
      <c r="C1846" s="4">
        <v>64955956</v>
      </c>
      <c r="D1846" s="4" t="s">
        <v>457</v>
      </c>
      <c r="E1846" s="4" t="s">
        <v>6205</v>
      </c>
      <c r="F1846" s="4" t="s">
        <v>6206</v>
      </c>
      <c r="G1846" s="4">
        <v>10104</v>
      </c>
      <c r="H1846" s="4" t="s">
        <v>6207</v>
      </c>
      <c r="I1846" s="4">
        <v>69</v>
      </c>
      <c r="J1846" s="4" t="s">
        <v>23</v>
      </c>
      <c r="K1846" s="4" t="s">
        <v>24</v>
      </c>
      <c r="L1846" s="4">
        <v>18000000</v>
      </c>
      <c r="M1846" s="4">
        <v>2004</v>
      </c>
      <c r="N1846" s="4">
        <v>5.7</v>
      </c>
      <c r="O1846" s="4">
        <f ca="1">IFERROR(__xludf.DUMMYFUNCTION("IF(Cost_in_dollars!E1846=""USD"",Cost_in_dollars!B1846,Cost_in_dollars!B1846 * GOOGLEFINANCE(""CURRENCY:"" &amp; Cost_in_dollars!E1846 &amp; ""USD""))
"),18000000)</f>
        <v>18000000</v>
      </c>
      <c r="P1846" s="4">
        <f ca="1">IFERROR(__xludf.DUMMYFUNCTION("IF(Cost_in_dollars!E1846=""USD"",Cost_in_dollars!C1846,Cost_in_dollars!C1846 * GOOGLEFINANCE(""CURRENCY:"" &amp; Cost_in_dollars!E1846 &amp; ""USD""))
"),64955956)</f>
        <v>64955956</v>
      </c>
      <c r="Q1846" s="4">
        <f t="shared" ca="1" si="42"/>
        <v>46955956</v>
      </c>
      <c r="R1846" s="5" t="str">
        <f t="shared" si="43"/>
        <v>Barbershop 2: Back in Business</v>
      </c>
      <c r="S1846" s="43" t="str">
        <f t="shared" si="44"/>
        <v>Comedy</v>
      </c>
    </row>
    <row r="1847" spans="1:19" ht="15.75" customHeight="1" x14ac:dyDescent="0.25">
      <c r="A1847" s="6" t="s">
        <v>3651</v>
      </c>
      <c r="B1847" s="6">
        <v>88</v>
      </c>
      <c r="C1847" s="6">
        <v>18947630</v>
      </c>
      <c r="D1847" s="6" t="s">
        <v>1691</v>
      </c>
      <c r="E1847" s="6" t="s">
        <v>6208</v>
      </c>
      <c r="F1847" s="6" t="s">
        <v>6209</v>
      </c>
      <c r="G1847" s="6">
        <v>11798</v>
      </c>
      <c r="H1847" s="6" t="s">
        <v>6210</v>
      </c>
      <c r="I1847" s="6">
        <v>124</v>
      </c>
      <c r="J1847" s="6" t="s">
        <v>23</v>
      </c>
      <c r="K1847" s="6" t="s">
        <v>611</v>
      </c>
      <c r="L1847" s="6">
        <v>59660000</v>
      </c>
      <c r="M1847" s="6">
        <v>2004</v>
      </c>
      <c r="N1847" s="6">
        <v>7.1</v>
      </c>
      <c r="O1847" s="4">
        <f ca="1">IFERROR(__xludf.DUMMYFUNCTION("IF(Cost_in_dollars!E1847=""USD"",Cost_in_dollars!B1847,Cost_in_dollars!B1847 * GOOGLEFINANCE(""CURRENCY:"" &amp; Cost_in_dollars!E1847 &amp; ""USD""))
"),64715588.4)</f>
        <v>64715588.399999999</v>
      </c>
      <c r="P1847" s="4">
        <f ca="1">IFERROR(__xludf.DUMMYFUNCTION("IF(Cost_in_dollars!E1847=""USD"",Cost_in_dollars!C1847,Cost_in_dollars!C1847 * GOOGLEFINANCE(""CURRENCY:"" &amp; Cost_in_dollars!E1847 &amp; ""USD""))
"),20553252.1662)</f>
        <v>20553252.166200001</v>
      </c>
      <c r="Q1847" s="6">
        <f t="shared" ca="1" si="42"/>
        <v>-44162336.233799994</v>
      </c>
      <c r="R1847" s="7" t="str">
        <f t="shared" si="43"/>
        <v>Two Brothers</v>
      </c>
      <c r="S1847" s="43" t="str">
        <f t="shared" si="44"/>
        <v>Adventure</v>
      </c>
    </row>
    <row r="1848" spans="1:19" ht="15.75" customHeight="1" x14ac:dyDescent="0.25">
      <c r="A1848" s="4" t="s">
        <v>6211</v>
      </c>
      <c r="B1848" s="4">
        <v>151</v>
      </c>
      <c r="C1848" s="4">
        <v>7948159</v>
      </c>
      <c r="D1848" s="4" t="s">
        <v>504</v>
      </c>
      <c r="E1848" s="4" t="s">
        <v>3610</v>
      </c>
      <c r="F1848" s="4" t="s">
        <v>6212</v>
      </c>
      <c r="G1848" s="4">
        <v>48999</v>
      </c>
      <c r="H1848" s="4" t="s">
        <v>6213</v>
      </c>
      <c r="I1848" s="4">
        <v>280</v>
      </c>
      <c r="J1848" s="4" t="s">
        <v>23</v>
      </c>
      <c r="K1848" s="4" t="s">
        <v>24</v>
      </c>
      <c r="L1848" s="4">
        <v>35000000</v>
      </c>
      <c r="M1848" s="4">
        <v>2008</v>
      </c>
      <c r="N1848" s="4">
        <v>6</v>
      </c>
      <c r="O1848" s="4">
        <f ca="1">IFERROR(__xludf.DUMMYFUNCTION("IF(Cost_in_dollars!E1848=""USD"",Cost_in_dollars!B1848,Cost_in_dollars!B1848 * GOOGLEFINANCE(""CURRENCY:"" &amp; Cost_in_dollars!E1848 &amp; ""USD""))
"),35000000)</f>
        <v>35000000</v>
      </c>
      <c r="P1848" s="4">
        <f ca="1">IFERROR(__xludf.DUMMYFUNCTION("IF(Cost_in_dollars!E1848=""USD"",Cost_in_dollars!C1848,Cost_in_dollars!C1848 * GOOGLEFINANCE(""CURRENCY:"" &amp; Cost_in_dollars!E1848 &amp; ""USD""))
"),7948159)</f>
        <v>7948159</v>
      </c>
      <c r="Q1848" s="4">
        <f t="shared" ca="1" si="42"/>
        <v>-27051841</v>
      </c>
      <c r="R1848" s="5" t="str">
        <f t="shared" si="43"/>
        <v>Punisher: War Zone</v>
      </c>
      <c r="S1848" s="43" t="str">
        <f t="shared" si="44"/>
        <v>Action</v>
      </c>
    </row>
    <row r="1849" spans="1:19" ht="15.75" customHeight="1" x14ac:dyDescent="0.25">
      <c r="A1849" s="6" t="s">
        <v>638</v>
      </c>
      <c r="B1849" s="6">
        <v>538</v>
      </c>
      <c r="C1849" s="6">
        <v>182204440</v>
      </c>
      <c r="D1849" s="6" t="s">
        <v>3625</v>
      </c>
      <c r="E1849" s="6" t="s">
        <v>767</v>
      </c>
      <c r="F1849" s="6" t="s">
        <v>6214</v>
      </c>
      <c r="G1849" s="6">
        <v>197412</v>
      </c>
      <c r="H1849" s="6" t="s">
        <v>6215</v>
      </c>
      <c r="I1849" s="6">
        <v>720</v>
      </c>
      <c r="J1849" s="6" t="s">
        <v>23</v>
      </c>
      <c r="K1849" s="6" t="s">
        <v>24</v>
      </c>
      <c r="L1849" s="6">
        <v>65000000</v>
      </c>
      <c r="M1849" s="6">
        <v>2012</v>
      </c>
      <c r="N1849" s="6">
        <v>7.4</v>
      </c>
      <c r="O1849" s="4">
        <f ca="1">IFERROR(__xludf.DUMMYFUNCTION("IF(Cost_in_dollars!E1849=""USD"",Cost_in_dollars!B1849,Cost_in_dollars!B1849 * GOOGLEFINANCE(""CURRENCY:"" &amp; Cost_in_dollars!E1849 &amp; ""USD""))
"),65000000)</f>
        <v>65000000</v>
      </c>
      <c r="P1849" s="4">
        <f ca="1">IFERROR(__xludf.DUMMYFUNCTION("IF(Cost_in_dollars!E1849=""USD"",Cost_in_dollars!C1849,Cost_in_dollars!C1849 * GOOGLEFINANCE(""CURRENCY:"" &amp; Cost_in_dollars!E1849 &amp; ""USD""))
"),182204440)</f>
        <v>182204440</v>
      </c>
      <c r="Q1849" s="6">
        <f t="shared" ca="1" si="42"/>
        <v>117204440</v>
      </c>
      <c r="R1849" s="7" t="str">
        <f t="shared" si="43"/>
        <v>Lincoln</v>
      </c>
      <c r="S1849" s="43" t="str">
        <f t="shared" si="44"/>
        <v>Biography</v>
      </c>
    </row>
    <row r="1850" spans="1:19" ht="15.75" customHeight="1" x14ac:dyDescent="0.25">
      <c r="A1850" s="4" t="s">
        <v>464</v>
      </c>
      <c r="B1850" s="4">
        <v>218</v>
      </c>
      <c r="C1850" s="4">
        <v>35565975</v>
      </c>
      <c r="D1850" s="4" t="s">
        <v>162</v>
      </c>
      <c r="E1850" s="4" t="s">
        <v>464</v>
      </c>
      <c r="F1850" s="4" t="s">
        <v>6216</v>
      </c>
      <c r="G1850" s="4">
        <v>49205</v>
      </c>
      <c r="H1850" s="4" t="s">
        <v>6217</v>
      </c>
      <c r="I1850" s="4">
        <v>184</v>
      </c>
      <c r="J1850" s="4" t="s">
        <v>23</v>
      </c>
      <c r="K1850" s="4" t="s">
        <v>24</v>
      </c>
      <c r="L1850" s="4">
        <v>30000000</v>
      </c>
      <c r="M1850" s="4">
        <v>2011</v>
      </c>
      <c r="N1850" s="4">
        <v>6.1</v>
      </c>
      <c r="O1850" s="4">
        <f ca="1">IFERROR(__xludf.DUMMYFUNCTION("IF(Cost_in_dollars!E1850=""USD"",Cost_in_dollars!B1850,Cost_in_dollars!B1850 * GOOGLEFINANCE(""CURRENCY:"" &amp; Cost_in_dollars!E1850 &amp; ""USD""))
"),30000000)</f>
        <v>30000000</v>
      </c>
      <c r="P1850" s="4">
        <f ca="1">IFERROR(__xludf.DUMMYFUNCTION("IF(Cost_in_dollars!E1850=""USD"",Cost_in_dollars!C1850,Cost_in_dollars!C1850 * GOOGLEFINANCE(""CURRENCY:"" &amp; Cost_in_dollars!E1850 &amp; ""USD""))
"),35565975)</f>
        <v>35565975</v>
      </c>
      <c r="Q1850" s="4">
        <f t="shared" ca="1" si="42"/>
        <v>5565975</v>
      </c>
      <c r="R1850" s="5" t="str">
        <f t="shared" si="43"/>
        <v>Larry Crowne</v>
      </c>
      <c r="S1850" s="43" t="str">
        <f t="shared" si="44"/>
        <v>Comedy</v>
      </c>
    </row>
    <row r="1851" spans="1:19" ht="15.75" customHeight="1" x14ac:dyDescent="0.25">
      <c r="A1851" s="6" t="s">
        <v>3579</v>
      </c>
      <c r="B1851" s="6">
        <v>64</v>
      </c>
      <c r="C1851" s="6">
        <v>32095318</v>
      </c>
      <c r="D1851" s="6" t="s">
        <v>443</v>
      </c>
      <c r="E1851" s="6" t="s">
        <v>198</v>
      </c>
      <c r="F1851" s="6" t="s">
        <v>6218</v>
      </c>
      <c r="G1851" s="6">
        <v>12466</v>
      </c>
      <c r="H1851" s="6" t="s">
        <v>6219</v>
      </c>
      <c r="I1851" s="6">
        <v>84</v>
      </c>
      <c r="J1851" s="6" t="s">
        <v>23</v>
      </c>
      <c r="K1851" s="6" t="s">
        <v>24</v>
      </c>
      <c r="L1851" s="6">
        <v>45000000</v>
      </c>
      <c r="M1851" s="6">
        <v>2001</v>
      </c>
      <c r="N1851" s="6">
        <v>5.5</v>
      </c>
      <c r="O1851" s="4">
        <f ca="1">IFERROR(__xludf.DUMMYFUNCTION("IF(Cost_in_dollars!E1851=""USD"",Cost_in_dollars!B1851,Cost_in_dollars!B1851 * GOOGLEFINANCE(""CURRENCY:"" &amp; Cost_in_dollars!E1851 &amp; ""USD""))
"),45000000)</f>
        <v>45000000</v>
      </c>
      <c r="P1851" s="4">
        <f ca="1">IFERROR(__xludf.DUMMYFUNCTION("IF(Cost_in_dollars!E1851=""USD"",Cost_in_dollars!C1851,Cost_in_dollars!C1851 * GOOGLEFINANCE(""CURRENCY:"" &amp; Cost_in_dollars!E1851 &amp; ""USD""))
"),32095318)</f>
        <v>32095318</v>
      </c>
      <c r="Q1851" s="6">
        <f t="shared" ca="1" si="42"/>
        <v>-12904682</v>
      </c>
      <c r="R1851" s="7" t="str">
        <f t="shared" si="43"/>
        <v>What's the Worst That Could Happen?</v>
      </c>
      <c r="S1851" s="43" t="str">
        <f t="shared" si="44"/>
        <v>Comedy</v>
      </c>
    </row>
    <row r="1852" spans="1:19" ht="15.75" customHeight="1" x14ac:dyDescent="0.25">
      <c r="A1852" s="4" t="s">
        <v>975</v>
      </c>
      <c r="B1852" s="4">
        <v>97</v>
      </c>
      <c r="C1852" s="4">
        <v>56127162</v>
      </c>
      <c r="D1852" s="4" t="s">
        <v>88</v>
      </c>
      <c r="E1852" s="4" t="s">
        <v>6220</v>
      </c>
      <c r="F1852" s="4" t="s">
        <v>6221</v>
      </c>
      <c r="G1852" s="4">
        <v>57479</v>
      </c>
      <c r="H1852" s="4" t="s">
        <v>6222</v>
      </c>
      <c r="I1852" s="4">
        <v>205</v>
      </c>
      <c r="J1852" s="4" t="s">
        <v>23</v>
      </c>
      <c r="K1852" s="4" t="s">
        <v>24</v>
      </c>
      <c r="L1852" s="4">
        <v>18000000</v>
      </c>
      <c r="M1852" s="4">
        <v>2003</v>
      </c>
      <c r="N1852" s="4">
        <v>5.4</v>
      </c>
      <c r="O1852" s="4">
        <f ca="1">IFERROR(__xludf.DUMMYFUNCTION("IF(Cost_in_dollars!E1852=""USD"",Cost_in_dollars!B1852,Cost_in_dollars!B1852 * GOOGLEFINANCE(""CURRENCY:"" &amp; Cost_in_dollars!E1852 &amp; ""USD""))
"),18000000)</f>
        <v>18000000</v>
      </c>
      <c r="P1852" s="4">
        <f ca="1">IFERROR(__xludf.DUMMYFUNCTION("IF(Cost_in_dollars!E1852=""USD"",Cost_in_dollars!C1852,Cost_in_dollars!C1852 * GOOGLEFINANCE(""CURRENCY:"" &amp; Cost_in_dollars!E1852 &amp; ""USD""))
"),56127162)</f>
        <v>56127162</v>
      </c>
      <c r="Q1852" s="4">
        <f t="shared" ca="1" si="42"/>
        <v>38127162</v>
      </c>
      <c r="R1852" s="5" t="str">
        <f t="shared" si="43"/>
        <v>Just Married</v>
      </c>
      <c r="S1852" s="43" t="str">
        <f t="shared" si="44"/>
        <v>Comedy</v>
      </c>
    </row>
    <row r="1853" spans="1:19" ht="15.75" customHeight="1" x14ac:dyDescent="0.25">
      <c r="A1853" s="6" t="s">
        <v>773</v>
      </c>
      <c r="B1853" s="6">
        <v>142</v>
      </c>
      <c r="C1853" s="6">
        <v>8060</v>
      </c>
      <c r="D1853" s="6" t="s">
        <v>504</v>
      </c>
      <c r="E1853" s="6" t="s">
        <v>6223</v>
      </c>
      <c r="F1853" s="6" t="s">
        <v>6224</v>
      </c>
      <c r="G1853" s="6">
        <v>81644</v>
      </c>
      <c r="H1853" s="6" t="s">
        <v>6225</v>
      </c>
      <c r="I1853" s="6">
        <v>107</v>
      </c>
      <c r="J1853" s="6" t="s">
        <v>2939</v>
      </c>
      <c r="K1853" s="6" t="s">
        <v>2940</v>
      </c>
      <c r="L1853" s="6">
        <v>4000000</v>
      </c>
      <c r="M1853" s="6">
        <v>2007</v>
      </c>
      <c r="N1853" s="6">
        <v>8.1</v>
      </c>
      <c r="O1853" s="4">
        <f ca="1">IFERROR(__xludf.DUMMYFUNCTION("IF(Cost_in_dollars!E1853=""USD"",Cost_in_dollars!B1853,Cost_in_dollars!B1853 * GOOGLEFINANCE(""CURRENCY:"" &amp; Cost_in_dollars!E1853 &amp; ""USD""))
"),708642)</f>
        <v>708642</v>
      </c>
      <c r="P1853" s="4">
        <f ca="1">IFERROR(__xludf.DUMMYFUNCTION("IF(Cost_in_dollars!E1853=""USD"",Cost_in_dollars!C1853,Cost_in_dollars!C1853 * GOOGLEFINANCE(""CURRENCY:"" &amp; Cost_in_dollars!E1853 &amp; ""USD""))
"),1427.91363)</f>
        <v>1427.91363</v>
      </c>
      <c r="Q1853" s="6">
        <f t="shared" ca="1" si="42"/>
        <v>-707214.08637000003</v>
      </c>
      <c r="R1853" s="7" t="str">
        <f t="shared" si="43"/>
        <v>Elite Squad</v>
      </c>
      <c r="S1853" s="43" t="str">
        <f t="shared" si="44"/>
        <v>Action</v>
      </c>
    </row>
    <row r="1854" spans="1:19" ht="15.75" customHeight="1" x14ac:dyDescent="0.25">
      <c r="A1854" s="4" t="s">
        <v>1190</v>
      </c>
      <c r="B1854" s="4">
        <v>95</v>
      </c>
      <c r="C1854" s="4">
        <v>630779</v>
      </c>
      <c r="D1854" s="4" t="s">
        <v>6226</v>
      </c>
      <c r="E1854" s="4" t="s">
        <v>6227</v>
      </c>
      <c r="F1854" s="4" t="s">
        <v>6228</v>
      </c>
      <c r="G1854" s="4">
        <v>11101</v>
      </c>
      <c r="H1854" s="4" t="s">
        <v>6229</v>
      </c>
      <c r="I1854" s="4">
        <v>159</v>
      </c>
      <c r="J1854" s="4" t="s">
        <v>23</v>
      </c>
      <c r="K1854" s="4" t="s">
        <v>24</v>
      </c>
      <c r="L1854" s="4">
        <v>35000000</v>
      </c>
      <c r="M1854" s="4">
        <v>1999</v>
      </c>
      <c r="N1854" s="4">
        <v>6.8</v>
      </c>
      <c r="O1854" s="4">
        <f ca="1">IFERROR(__xludf.DUMMYFUNCTION("IF(Cost_in_dollars!E1854=""USD"",Cost_in_dollars!B1854,Cost_in_dollars!B1854 * GOOGLEFINANCE(""CURRENCY:"" &amp; Cost_in_dollars!E1854 &amp; ""USD""))
"),35000000)</f>
        <v>35000000</v>
      </c>
      <c r="P1854" s="4">
        <f ca="1">IFERROR(__xludf.DUMMYFUNCTION("IF(Cost_in_dollars!E1854=""USD"",Cost_in_dollars!C1854,Cost_in_dollars!C1854 * GOOGLEFINANCE(""CURRENCY:"" &amp; Cost_in_dollars!E1854 &amp; ""USD""))
"),630779)</f>
        <v>630779</v>
      </c>
      <c r="Q1854" s="4">
        <f t="shared" ca="1" si="42"/>
        <v>-34369221</v>
      </c>
      <c r="R1854" s="5" t="str">
        <f t="shared" si="43"/>
        <v>Ride with the Devil</v>
      </c>
      <c r="S1854" s="43" t="str">
        <f t="shared" si="44"/>
        <v>Drama</v>
      </c>
    </row>
    <row r="1855" spans="1:19" ht="15.75" customHeight="1" x14ac:dyDescent="0.25">
      <c r="A1855" s="6" t="s">
        <v>1510</v>
      </c>
      <c r="B1855" s="6">
        <v>310</v>
      </c>
      <c r="C1855" s="6">
        <v>75280058</v>
      </c>
      <c r="D1855" s="6" t="s">
        <v>6230</v>
      </c>
      <c r="E1855" s="6" t="s">
        <v>6231</v>
      </c>
      <c r="F1855" s="6" t="s">
        <v>6232</v>
      </c>
      <c r="G1855" s="6">
        <v>143121</v>
      </c>
      <c r="H1855" s="6" t="s">
        <v>6233</v>
      </c>
      <c r="I1855" s="6">
        <v>279</v>
      </c>
      <c r="J1855" s="6" t="s">
        <v>23</v>
      </c>
      <c r="K1855" s="6" t="s">
        <v>24</v>
      </c>
      <c r="L1855" s="6">
        <v>60000000</v>
      </c>
      <c r="M1855" s="6">
        <v>2009</v>
      </c>
      <c r="N1855" s="6">
        <v>7.7</v>
      </c>
      <c r="O1855" s="4">
        <f ca="1">IFERROR(__xludf.DUMMYFUNCTION("IF(Cost_in_dollars!E1855=""USD"",Cost_in_dollars!B1855,Cost_in_dollars!B1855 * GOOGLEFINANCE(""CURRENCY:"" &amp; Cost_in_dollars!E1855 &amp; ""USD""))
"),60000000)</f>
        <v>60000000</v>
      </c>
      <c r="P1855" s="4">
        <f ca="1">IFERROR(__xludf.DUMMYFUNCTION("IF(Cost_in_dollars!E1855=""USD"",Cost_in_dollars!C1855,Cost_in_dollars!C1855 * GOOGLEFINANCE(""CURRENCY:"" &amp; Cost_in_dollars!E1855 &amp; ""USD""))
"),75280058)</f>
        <v>75280058</v>
      </c>
      <c r="Q1855" s="6">
        <f t="shared" ca="1" si="42"/>
        <v>15280058</v>
      </c>
      <c r="R1855" s="7" t="str">
        <f t="shared" si="43"/>
        <v>Coraline</v>
      </c>
      <c r="S1855" s="43" t="str">
        <f t="shared" si="44"/>
        <v>Animation</v>
      </c>
    </row>
    <row r="1856" spans="1:19" ht="15.75" customHeight="1" x14ac:dyDescent="0.25">
      <c r="A1856" s="4" t="s">
        <v>4071</v>
      </c>
      <c r="B1856" s="4">
        <v>49</v>
      </c>
      <c r="C1856" s="4">
        <v>44455658</v>
      </c>
      <c r="D1856" s="4" t="s">
        <v>1343</v>
      </c>
      <c r="E1856" s="4" t="s">
        <v>6234</v>
      </c>
      <c r="F1856" s="4" t="s">
        <v>6235</v>
      </c>
      <c r="G1856" s="4">
        <v>36253</v>
      </c>
      <c r="H1856" s="4" t="s">
        <v>6236</v>
      </c>
      <c r="I1856" s="4">
        <v>92</v>
      </c>
      <c r="J1856" s="4" t="s">
        <v>23</v>
      </c>
      <c r="K1856" s="4" t="s">
        <v>24</v>
      </c>
      <c r="L1856" s="4">
        <v>25000000</v>
      </c>
      <c r="M1856" s="4">
        <v>1997</v>
      </c>
      <c r="N1856" s="4">
        <v>6.7</v>
      </c>
      <c r="O1856" s="4">
        <f ca="1">IFERROR(__xludf.DUMMYFUNCTION("IF(Cost_in_dollars!E1856=""USD"",Cost_in_dollars!B1856,Cost_in_dollars!B1856 * GOOGLEFINANCE(""CURRENCY:"" &amp; Cost_in_dollars!E1856 &amp; ""USD""))
"),25000000)</f>
        <v>25000000</v>
      </c>
      <c r="P1856" s="4">
        <f ca="1">IFERROR(__xludf.DUMMYFUNCTION("IF(Cost_in_dollars!E1856=""USD"",Cost_in_dollars!C1856,Cost_in_dollars!C1856 * GOOGLEFINANCE(""CURRENCY:"" &amp; Cost_in_dollars!E1856 &amp; ""USD""))
"),44455658)</f>
        <v>44455658</v>
      </c>
      <c r="Q1856" s="4">
        <f t="shared" ca="1" si="42"/>
        <v>19455658</v>
      </c>
      <c r="R1856" s="5" t="str">
        <f t="shared" si="43"/>
        <v>Nothing to Lose</v>
      </c>
      <c r="S1856" s="43" t="str">
        <f t="shared" si="44"/>
        <v>Action</v>
      </c>
    </row>
    <row r="1857" spans="1:19" ht="15.75" customHeight="1" x14ac:dyDescent="0.25">
      <c r="A1857" s="6" t="s">
        <v>755</v>
      </c>
      <c r="B1857" s="6">
        <v>82</v>
      </c>
      <c r="C1857" s="6">
        <v>6291602</v>
      </c>
      <c r="D1857" s="6" t="s">
        <v>3561</v>
      </c>
      <c r="E1857" s="6" t="s">
        <v>645</v>
      </c>
      <c r="F1857" s="6" t="s">
        <v>6237</v>
      </c>
      <c r="G1857" s="6">
        <v>8070</v>
      </c>
      <c r="H1857" s="6" t="s">
        <v>6238</v>
      </c>
      <c r="I1857" s="6">
        <v>91</v>
      </c>
      <c r="J1857" s="6" t="s">
        <v>23</v>
      </c>
      <c r="K1857" s="6" t="s">
        <v>24</v>
      </c>
      <c r="L1857" s="6">
        <v>50000000</v>
      </c>
      <c r="M1857" s="6">
        <v>2000</v>
      </c>
      <c r="N1857" s="6">
        <v>5.6</v>
      </c>
      <c r="O1857" s="4">
        <f ca="1">IFERROR(__xludf.DUMMYFUNCTION("IF(Cost_in_dollars!E1857=""USD"",Cost_in_dollars!B1857,Cost_in_dollars!B1857 * GOOGLEFINANCE(""CURRENCY:"" &amp; Cost_in_dollars!E1857 &amp; ""USD""))
"),50000000)</f>
        <v>50000000</v>
      </c>
      <c r="P1857" s="4">
        <f ca="1">IFERROR(__xludf.DUMMYFUNCTION("IF(Cost_in_dollars!E1857=""USD"",Cost_in_dollars!C1857,Cost_in_dollars!C1857 * GOOGLEFINANCE(""CURRENCY:"" &amp; Cost_in_dollars!E1857 &amp; ""USD""))
"),6291602)</f>
        <v>6291602</v>
      </c>
      <c r="Q1857" s="6">
        <f t="shared" ca="1" si="42"/>
        <v>-43708398</v>
      </c>
      <c r="R1857" s="7" t="str">
        <f t="shared" si="43"/>
        <v>What Planet Are You From?</v>
      </c>
      <c r="S1857" s="43" t="str">
        <f t="shared" si="44"/>
        <v>Comedy</v>
      </c>
    </row>
    <row r="1858" spans="1:19" ht="15.75" customHeight="1" x14ac:dyDescent="0.25">
      <c r="A1858" s="4" t="s">
        <v>763</v>
      </c>
      <c r="B1858" s="4">
        <v>85</v>
      </c>
      <c r="C1858" s="4">
        <v>5532301</v>
      </c>
      <c r="D1858" s="4" t="s">
        <v>3625</v>
      </c>
      <c r="E1858" s="4" t="s">
        <v>6239</v>
      </c>
      <c r="F1858" s="4" t="s">
        <v>6240</v>
      </c>
      <c r="G1858" s="4">
        <v>21606</v>
      </c>
      <c r="H1858" s="4" t="s">
        <v>6241</v>
      </c>
      <c r="I1858" s="4">
        <v>117</v>
      </c>
      <c r="J1858" s="4" t="s">
        <v>23</v>
      </c>
      <c r="K1858" s="4" t="s">
        <v>24</v>
      </c>
      <c r="L1858" s="4">
        <v>28000000</v>
      </c>
      <c r="M1858" s="4">
        <v>1997</v>
      </c>
      <c r="N1858" s="4">
        <v>7</v>
      </c>
      <c r="O1858" s="4">
        <f ca="1">IFERROR(__xludf.DUMMYFUNCTION("IF(Cost_in_dollars!E1858=""USD"",Cost_in_dollars!B1858,Cost_in_dollars!B1858 * GOOGLEFINANCE(""CURRENCY:"" &amp; Cost_in_dollars!E1858 &amp; ""USD""))
"),28000000)</f>
        <v>28000000</v>
      </c>
      <c r="P1858" s="4">
        <f ca="1">IFERROR(__xludf.DUMMYFUNCTION("IF(Cost_in_dollars!E1858=""USD"",Cost_in_dollars!C1858,Cost_in_dollars!C1858 * GOOGLEFINANCE(""CURRENCY:"" &amp; Cost_in_dollars!E1858 &amp; ""USD""))
"),5532301)</f>
        <v>5532301</v>
      </c>
      <c r="Q1858" s="4">
        <f t="shared" ca="1" si="42"/>
        <v>-22467699</v>
      </c>
      <c r="R1858" s="5" t="str">
        <f t="shared" si="43"/>
        <v>Kundun</v>
      </c>
      <c r="S1858" s="43" t="str">
        <f t="shared" ref="S1858:S1921" si="45">IF(ISNUMBER(FIND("|", D1858)), LEFT(D1858, FIND("|", D1858) - 1), D1858)</f>
        <v>Biography</v>
      </c>
    </row>
    <row r="1859" spans="1:19" ht="15.75" customHeight="1" x14ac:dyDescent="0.25">
      <c r="A1859" s="6" t="s">
        <v>1353</v>
      </c>
      <c r="B1859" s="6">
        <v>63</v>
      </c>
      <c r="C1859" s="6">
        <v>18636537</v>
      </c>
      <c r="D1859" s="6" t="s">
        <v>6242</v>
      </c>
      <c r="E1859" s="6" t="s">
        <v>1358</v>
      </c>
      <c r="F1859" s="6" t="s">
        <v>6243</v>
      </c>
      <c r="G1859" s="6">
        <v>69197</v>
      </c>
      <c r="H1859" s="6" t="s">
        <v>6244</v>
      </c>
      <c r="I1859" s="6">
        <v>216</v>
      </c>
      <c r="J1859" s="6" t="s">
        <v>23</v>
      </c>
      <c r="K1859" s="6" t="s">
        <v>1551</v>
      </c>
      <c r="L1859" s="6">
        <v>32000000</v>
      </c>
      <c r="M1859" s="6">
        <v>1995</v>
      </c>
      <c r="N1859" s="6">
        <v>6.4</v>
      </c>
      <c r="O1859" s="4">
        <f ca="1">IFERROR(__xludf.DUMMYFUNCTION("IF(Cost_in_dollars!E1859=""USD"",Cost_in_dollars!B1859,Cost_in_dollars!B1859 * GOOGLEFINANCE(""CURRENCY:"" &amp; Cost_in_dollars!E1859 &amp; ""USD""))
"),207891.2)</f>
        <v>207891.20000000001</v>
      </c>
      <c r="P1859" s="4">
        <f ca="1">IFERROR(__xludf.DUMMYFUNCTION("IF(Cost_in_dollars!E1859=""USD"",Cost_in_dollars!C1859,Cost_in_dollars!C1859 * GOOGLEFINANCE(""CURRENCY:"" &amp; Cost_in_dollars!E1859 &amp; ""USD""))
"),121074.1262742)</f>
        <v>121074.1262742</v>
      </c>
      <c r="Q1859" s="6">
        <f t="shared" ca="1" si="42"/>
        <v>-86817.073725800015</v>
      </c>
      <c r="R1859" s="7" t="str">
        <f t="shared" si="43"/>
        <v>The Quick and the Dead</v>
      </c>
      <c r="S1859" s="43" t="str">
        <f t="shared" si="45"/>
        <v>Action</v>
      </c>
    </row>
    <row r="1860" spans="1:19" ht="15.75" customHeight="1" x14ac:dyDescent="0.25">
      <c r="A1860" s="4" t="s">
        <v>6245</v>
      </c>
      <c r="B1860" s="4">
        <v>6</v>
      </c>
      <c r="C1860" s="4">
        <v>3347439</v>
      </c>
      <c r="D1860" s="4" t="s">
        <v>235</v>
      </c>
      <c r="E1860" s="4" t="s">
        <v>6246</v>
      </c>
      <c r="F1860" s="4" t="s">
        <v>6247</v>
      </c>
      <c r="G1860" s="4">
        <v>833</v>
      </c>
      <c r="H1860" s="4" t="s">
        <v>6248</v>
      </c>
      <c r="I1860" s="4">
        <v>33</v>
      </c>
      <c r="J1860" s="4" t="s">
        <v>23</v>
      </c>
      <c r="K1860" s="4" t="s">
        <v>24</v>
      </c>
      <c r="L1860" s="4">
        <v>7500000</v>
      </c>
      <c r="M1860" s="4">
        <v>2004</v>
      </c>
      <c r="N1860" s="4">
        <v>6.9</v>
      </c>
      <c r="O1860" s="4">
        <f ca="1">IFERROR(__xludf.DUMMYFUNCTION("IF(Cost_in_dollars!E1860=""USD"",Cost_in_dollars!B1860,Cost_in_dollars!B1860 * GOOGLEFINANCE(""CURRENCY:"" &amp; Cost_in_dollars!E1860 &amp; ""USD""))
"),7500000)</f>
        <v>7500000</v>
      </c>
      <c r="P1860" s="4">
        <f ca="1">IFERROR(__xludf.DUMMYFUNCTION("IF(Cost_in_dollars!E1860=""USD"",Cost_in_dollars!C1860,Cost_in_dollars!C1860 * GOOGLEFINANCE(""CURRENCY:"" &amp; Cost_in_dollars!E1860 &amp; ""USD""))
"),3347439)</f>
        <v>3347439</v>
      </c>
      <c r="Q1860" s="4">
        <f t="shared" ca="1" si="42"/>
        <v>-4152561</v>
      </c>
      <c r="R1860" s="5" t="str">
        <f t="shared" si="43"/>
        <v>The Work and the Glory</v>
      </c>
      <c r="S1860" s="43" t="str">
        <f t="shared" si="45"/>
        <v>Drama</v>
      </c>
    </row>
    <row r="1861" spans="1:19" ht="15.75" customHeight="1" x14ac:dyDescent="0.25">
      <c r="A1861" s="6" t="s">
        <v>3033</v>
      </c>
      <c r="B1861" s="6">
        <v>292</v>
      </c>
      <c r="C1861" s="6">
        <v>176997107</v>
      </c>
      <c r="D1861" s="6" t="s">
        <v>5441</v>
      </c>
      <c r="E1861" s="6" t="s">
        <v>833</v>
      </c>
      <c r="F1861" s="6" t="s">
        <v>6249</v>
      </c>
      <c r="G1861" s="6">
        <v>221128</v>
      </c>
      <c r="H1861" s="6" t="s">
        <v>6250</v>
      </c>
      <c r="I1861" s="6">
        <v>343</v>
      </c>
      <c r="J1861" s="6" t="s">
        <v>23</v>
      </c>
      <c r="K1861" s="6" t="s">
        <v>24</v>
      </c>
      <c r="L1861" s="6">
        <v>145000000</v>
      </c>
      <c r="M1861" s="6">
        <v>2014</v>
      </c>
      <c r="N1861" s="6">
        <v>7.9</v>
      </c>
      <c r="O1861" s="4">
        <f ca="1">IFERROR(__xludf.DUMMYFUNCTION("IF(Cost_in_dollars!E1861=""USD"",Cost_in_dollars!B1861,Cost_in_dollars!B1861 * GOOGLEFINANCE(""CURRENCY:"" &amp; Cost_in_dollars!E1861 &amp; ""USD""))
"),145000000)</f>
        <v>145000000</v>
      </c>
      <c r="P1861" s="4">
        <f ca="1">IFERROR(__xludf.DUMMYFUNCTION("IF(Cost_in_dollars!E1861=""USD"",Cost_in_dollars!C1861,Cost_in_dollars!C1861 * GOOGLEFINANCE(""CURRENCY:"" &amp; Cost_in_dollars!E1861 &amp; ""USD""))
"),176997107)</f>
        <v>176997107</v>
      </c>
      <c r="Q1861" s="6">
        <f t="shared" ca="1" si="42"/>
        <v>31997107</v>
      </c>
      <c r="R1861" s="7" t="str">
        <f t="shared" si="43"/>
        <v>How to Train Your Dragon 2</v>
      </c>
      <c r="S1861" s="43" t="str">
        <f t="shared" si="45"/>
        <v>Action</v>
      </c>
    </row>
    <row r="1862" spans="1:19" ht="15.75" customHeight="1" x14ac:dyDescent="0.25">
      <c r="A1862" s="4" t="s">
        <v>6251</v>
      </c>
      <c r="B1862" s="4">
        <v>43</v>
      </c>
      <c r="C1862" s="4">
        <v>30628981</v>
      </c>
      <c r="D1862" s="4" t="s">
        <v>88</v>
      </c>
      <c r="E1862" s="4" t="s">
        <v>444</v>
      </c>
      <c r="F1862" s="4" t="s">
        <v>6252</v>
      </c>
      <c r="G1862" s="4">
        <v>15047</v>
      </c>
      <c r="H1862" s="4" t="s">
        <v>6253</v>
      </c>
      <c r="I1862" s="4">
        <v>160</v>
      </c>
      <c r="J1862" s="4" t="s">
        <v>23</v>
      </c>
      <c r="K1862" s="4" t="s">
        <v>24</v>
      </c>
      <c r="L1862" s="4">
        <v>14000000</v>
      </c>
      <c r="M1862" s="4">
        <v>1999</v>
      </c>
      <c r="N1862" s="4">
        <v>5</v>
      </c>
      <c r="O1862" s="4">
        <f ca="1">IFERROR(__xludf.DUMMYFUNCTION("IF(Cost_in_dollars!E1862=""USD"",Cost_in_dollars!B1862,Cost_in_dollars!B1862 * GOOGLEFINANCE(""CURRENCY:"" &amp; Cost_in_dollars!E1862 &amp; ""USD""))
"),14000000)</f>
        <v>14000000</v>
      </c>
      <c r="P1862" s="4">
        <f ca="1">IFERROR(__xludf.DUMMYFUNCTION("IF(Cost_in_dollars!E1862=""USD"",Cost_in_dollars!C1862,Cost_in_dollars!C1862 * GOOGLEFINANCE(""CURRENCY:"" &amp; Cost_in_dollars!E1862 &amp; ""USD""))
"),30628981)</f>
        <v>30628981</v>
      </c>
      <c r="Q1862" s="4">
        <f t="shared" ca="1" si="42"/>
        <v>16628981</v>
      </c>
      <c r="R1862" s="5" t="str">
        <f t="shared" si="43"/>
        <v>Superstar</v>
      </c>
      <c r="S1862" s="43" t="str">
        <f t="shared" si="45"/>
        <v>Comedy</v>
      </c>
    </row>
    <row r="1863" spans="1:19" ht="15.75" customHeight="1" x14ac:dyDescent="0.25">
      <c r="A1863" s="6" t="s">
        <v>3862</v>
      </c>
      <c r="B1863" s="6">
        <v>27</v>
      </c>
      <c r="C1863" s="6">
        <v>10097096</v>
      </c>
      <c r="D1863" s="6" t="s">
        <v>140</v>
      </c>
      <c r="E1863" s="6" t="s">
        <v>6254</v>
      </c>
      <c r="F1863" s="6" t="s">
        <v>6255</v>
      </c>
      <c r="G1863" s="6">
        <v>5612</v>
      </c>
      <c r="H1863" s="6" t="s">
        <v>6256</v>
      </c>
      <c r="I1863" s="6">
        <v>38</v>
      </c>
      <c r="J1863" s="6" t="s">
        <v>23</v>
      </c>
      <c r="K1863" s="6" t="s">
        <v>24</v>
      </c>
      <c r="L1863" s="6">
        <v>4000000</v>
      </c>
      <c r="M1863" s="6">
        <v>2001</v>
      </c>
      <c r="N1863" s="6">
        <v>4.5999999999999996</v>
      </c>
      <c r="O1863" s="4">
        <f ca="1">IFERROR(__xludf.DUMMYFUNCTION("IF(Cost_in_dollars!E1863=""USD"",Cost_in_dollars!B1863,Cost_in_dollars!B1863 * GOOGLEFINANCE(""CURRENCY:"" &amp; Cost_in_dollars!E1863 &amp; ""USD""))
"),4000000)</f>
        <v>4000000</v>
      </c>
      <c r="P1863" s="4">
        <f ca="1">IFERROR(__xludf.DUMMYFUNCTION("IF(Cost_in_dollars!E1863=""USD"",Cost_in_dollars!C1863,Cost_in_dollars!C1863 * GOOGLEFINANCE(""CURRENCY:"" &amp; Cost_in_dollars!E1863 &amp; ""USD""))
"),10097096)</f>
        <v>10097096</v>
      </c>
      <c r="Q1863" s="6">
        <f t="shared" ca="1" si="42"/>
        <v>6097096</v>
      </c>
      <c r="R1863" s="7" t="str">
        <f t="shared" si="43"/>
        <v>The Wash</v>
      </c>
      <c r="S1863" s="43" t="str">
        <f t="shared" si="45"/>
        <v>Comedy</v>
      </c>
    </row>
    <row r="1864" spans="1:19" ht="15.75" customHeight="1" x14ac:dyDescent="0.25">
      <c r="A1864" s="4" t="s">
        <v>6257</v>
      </c>
      <c r="B1864" s="4">
        <v>157</v>
      </c>
      <c r="C1864" s="4">
        <v>33508922</v>
      </c>
      <c r="D1864" s="4" t="s">
        <v>102</v>
      </c>
      <c r="E1864" s="4" t="s">
        <v>486</v>
      </c>
      <c r="F1864" s="4" t="s">
        <v>6258</v>
      </c>
      <c r="G1864" s="4">
        <v>95860</v>
      </c>
      <c r="H1864" s="4" t="s">
        <v>6259</v>
      </c>
      <c r="I1864" s="4">
        <v>660</v>
      </c>
      <c r="J1864" s="4" t="s">
        <v>23</v>
      </c>
      <c r="K1864" s="4" t="s">
        <v>24</v>
      </c>
      <c r="L1864" s="4">
        <v>40000000</v>
      </c>
      <c r="M1864" s="4">
        <v>2000</v>
      </c>
      <c r="N1864" s="4">
        <v>7.2</v>
      </c>
      <c r="O1864" s="4">
        <f ca="1">IFERROR(__xludf.DUMMYFUNCTION("IF(Cost_in_dollars!E1864=""USD"",Cost_in_dollars!B1864,Cost_in_dollars!B1864 * GOOGLEFINANCE(""CURRENCY:"" &amp; Cost_in_dollars!E1864 &amp; ""USD""))
"),40000000)</f>
        <v>40000000</v>
      </c>
      <c r="P1864" s="4">
        <f ca="1">IFERROR(__xludf.DUMMYFUNCTION("IF(Cost_in_dollars!E1864=""USD"",Cost_in_dollars!C1864,Cost_in_dollars!C1864 * GOOGLEFINANCE(""CURRENCY:"" &amp; Cost_in_dollars!E1864 &amp; ""USD""))
"),33508922)</f>
        <v>33508922</v>
      </c>
      <c r="Q1864" s="4">
        <f t="shared" ca="1" si="42"/>
        <v>-6491078</v>
      </c>
      <c r="R1864" s="5" t="str">
        <f t="shared" si="43"/>
        <v>Pay It Forward</v>
      </c>
      <c r="S1864" s="43" t="str">
        <f t="shared" si="45"/>
        <v>Drama</v>
      </c>
    </row>
    <row r="1865" spans="1:19" ht="15.75" customHeight="1" x14ac:dyDescent="0.25">
      <c r="A1865" s="6" t="s">
        <v>6260</v>
      </c>
      <c r="B1865" s="6">
        <v>288</v>
      </c>
      <c r="C1865" s="6">
        <v>7918283</v>
      </c>
      <c r="D1865" s="6" t="s">
        <v>372</v>
      </c>
      <c r="E1865" s="6" t="s">
        <v>6261</v>
      </c>
      <c r="F1865" s="6" t="s">
        <v>6262</v>
      </c>
      <c r="G1865" s="6">
        <v>41574</v>
      </c>
      <c r="H1865" s="6" t="s">
        <v>6263</v>
      </c>
      <c r="I1865" s="6">
        <v>145</v>
      </c>
      <c r="J1865" s="6" t="s">
        <v>23</v>
      </c>
      <c r="K1865" s="6" t="s">
        <v>24</v>
      </c>
      <c r="L1865" s="6">
        <v>12000000</v>
      </c>
      <c r="M1865" s="6">
        <v>2012</v>
      </c>
      <c r="N1865" s="6">
        <v>6.6</v>
      </c>
      <c r="O1865" s="4">
        <f ca="1">IFERROR(__xludf.DUMMYFUNCTION("IF(Cost_in_dollars!E1865=""USD"",Cost_in_dollars!B1865,Cost_in_dollars!B1865 * GOOGLEFINANCE(""CURRENCY:"" &amp; Cost_in_dollars!E1865 &amp; ""USD""))
"),12000000)</f>
        <v>12000000</v>
      </c>
      <c r="P1865" s="4">
        <f ca="1">IFERROR(__xludf.DUMMYFUNCTION("IF(Cost_in_dollars!E1865=""USD"",Cost_in_dollars!C1865,Cost_in_dollars!C1865 * GOOGLEFINANCE(""CURRENCY:"" &amp; Cost_in_dollars!E1865 &amp; ""USD""))
"),7918283)</f>
        <v>7918283</v>
      </c>
      <c r="Q1865" s="6">
        <f t="shared" ca="1" si="42"/>
        <v>-4081717</v>
      </c>
      <c r="R1865" s="7" t="str">
        <f t="shared" si="43"/>
        <v>Arbitrage</v>
      </c>
      <c r="S1865" s="43" t="str">
        <f t="shared" si="45"/>
        <v>Drama</v>
      </c>
    </row>
    <row r="1866" spans="1:19" ht="15.75" customHeight="1" x14ac:dyDescent="0.25">
      <c r="A1866" s="4" t="s">
        <v>679</v>
      </c>
      <c r="B1866" s="4">
        <v>56</v>
      </c>
      <c r="C1866" s="4">
        <v>12065985</v>
      </c>
      <c r="D1866" s="4" t="s">
        <v>457</v>
      </c>
      <c r="E1866" s="4" t="s">
        <v>6234</v>
      </c>
      <c r="F1866" s="4" t="s">
        <v>6264</v>
      </c>
      <c r="G1866" s="4">
        <v>16260</v>
      </c>
      <c r="H1866" s="4" t="s">
        <v>6265</v>
      </c>
      <c r="I1866" s="4">
        <v>88</v>
      </c>
      <c r="J1866" s="4" t="s">
        <v>23</v>
      </c>
      <c r="K1866" s="4" t="s">
        <v>24</v>
      </c>
      <c r="L1866" s="4">
        <v>60000000</v>
      </c>
      <c r="M1866" s="4">
        <v>1998</v>
      </c>
      <c r="N1866" s="4">
        <v>4.9000000000000004</v>
      </c>
      <c r="O1866" s="4">
        <f ca="1">IFERROR(__xludf.DUMMYFUNCTION("IF(Cost_in_dollars!E1866=""USD"",Cost_in_dollars!B1866,Cost_in_dollars!B1866 * GOOGLEFINANCE(""CURRENCY:"" &amp; Cost_in_dollars!E1866 &amp; ""USD""))
"),60000000)</f>
        <v>60000000</v>
      </c>
      <c r="P1866" s="4">
        <f ca="1">IFERROR(__xludf.DUMMYFUNCTION("IF(Cost_in_dollars!E1866=""USD"",Cost_in_dollars!C1866,Cost_in_dollars!C1866 * GOOGLEFINANCE(""CURRENCY:"" &amp; Cost_in_dollars!E1866 &amp; ""USD""))
"),12065985)</f>
        <v>12065985</v>
      </c>
      <c r="Q1866" s="4">
        <f t="shared" ca="1" si="42"/>
        <v>-47934015</v>
      </c>
      <c r="R1866" s="5" t="str">
        <f t="shared" si="43"/>
        <v>Holy Man</v>
      </c>
      <c r="S1866" s="43" t="str">
        <f t="shared" si="45"/>
        <v>Comedy</v>
      </c>
    </row>
    <row r="1867" spans="1:19" ht="15.75" customHeight="1" x14ac:dyDescent="0.25">
      <c r="A1867" s="6" t="s">
        <v>1126</v>
      </c>
      <c r="B1867" s="6">
        <v>185</v>
      </c>
      <c r="C1867" s="6">
        <v>48430355</v>
      </c>
      <c r="D1867" s="6" t="s">
        <v>457</v>
      </c>
      <c r="E1867" s="6" t="s">
        <v>179</v>
      </c>
      <c r="F1867" s="6" t="s">
        <v>6266</v>
      </c>
      <c r="G1867" s="6">
        <v>43709</v>
      </c>
      <c r="H1867" s="6" t="s">
        <v>6267</v>
      </c>
      <c r="I1867" s="6">
        <v>141</v>
      </c>
      <c r="J1867" s="6" t="s">
        <v>23</v>
      </c>
      <c r="K1867" s="6" t="s">
        <v>24</v>
      </c>
      <c r="L1867" s="6">
        <v>70000000</v>
      </c>
      <c r="M1867" s="6">
        <v>2011</v>
      </c>
      <c r="N1867" s="6">
        <v>5.3</v>
      </c>
      <c r="O1867" s="4">
        <f ca="1">IFERROR(__xludf.DUMMYFUNCTION("IF(Cost_in_dollars!E1867=""USD"",Cost_in_dollars!B1867,Cost_in_dollars!B1867 * GOOGLEFINANCE(""CURRENCY:"" &amp; Cost_in_dollars!E1867 &amp; ""USD""))
"),70000000)</f>
        <v>70000000</v>
      </c>
      <c r="P1867" s="4">
        <f ca="1">IFERROR(__xludf.DUMMYFUNCTION("IF(Cost_in_dollars!E1867=""USD"",Cost_in_dollars!C1867,Cost_in_dollars!C1867 * GOOGLEFINANCE(""CURRENCY:"" &amp; Cost_in_dollars!E1867 &amp; ""USD""))
"),48430355)</f>
        <v>48430355</v>
      </c>
      <c r="Q1867" s="6">
        <f t="shared" ca="1" si="42"/>
        <v>-21569645</v>
      </c>
      <c r="R1867" s="7" t="str">
        <f t="shared" si="43"/>
        <v>The Dilemma</v>
      </c>
      <c r="S1867" s="43" t="str">
        <f t="shared" si="45"/>
        <v>Comedy</v>
      </c>
    </row>
    <row r="1868" spans="1:19" ht="15.75" customHeight="1" x14ac:dyDescent="0.25">
      <c r="A1868" s="4" t="s">
        <v>989</v>
      </c>
      <c r="B1868" s="4">
        <v>383</v>
      </c>
      <c r="C1868" s="4">
        <v>85017401</v>
      </c>
      <c r="D1868" s="4" t="s">
        <v>477</v>
      </c>
      <c r="E1868" s="4" t="s">
        <v>818</v>
      </c>
      <c r="F1868" s="4" t="s">
        <v>6268</v>
      </c>
      <c r="G1868" s="4">
        <v>246803</v>
      </c>
      <c r="H1868" s="4" t="s">
        <v>6269</v>
      </c>
      <c r="I1868" s="4">
        <v>474</v>
      </c>
      <c r="J1868" s="4" t="s">
        <v>23</v>
      </c>
      <c r="K1868" s="4" t="s">
        <v>24</v>
      </c>
      <c r="L1868" s="4">
        <v>92000000</v>
      </c>
      <c r="M1868" s="4">
        <v>2012</v>
      </c>
      <c r="N1868" s="4">
        <v>6.7</v>
      </c>
      <c r="O1868" s="4">
        <f ca="1">IFERROR(__xludf.DUMMYFUNCTION("IF(Cost_in_dollars!E1868=""USD"",Cost_in_dollars!B1868,Cost_in_dollars!B1868 * GOOGLEFINANCE(""CURRENCY:"" &amp; Cost_in_dollars!E1868 &amp; ""USD""))
"),92000000)</f>
        <v>92000000</v>
      </c>
      <c r="P1868" s="4">
        <f ca="1">IFERROR(__xludf.DUMMYFUNCTION("IF(Cost_in_dollars!E1868=""USD"",Cost_in_dollars!C1868,Cost_in_dollars!C1868 * GOOGLEFINANCE(""CURRENCY:"" &amp; Cost_in_dollars!E1868 &amp; ""USD""))
"),85017401)</f>
        <v>85017401</v>
      </c>
      <c r="Q1868" s="4">
        <f t="shared" ca="1" si="42"/>
        <v>-6982599</v>
      </c>
      <c r="R1868" s="5" t="str">
        <f t="shared" si="43"/>
        <v>The Expendables 2</v>
      </c>
      <c r="S1868" s="43" t="str">
        <f t="shared" si="45"/>
        <v>Action</v>
      </c>
    </row>
    <row r="1869" spans="1:19" ht="15.75" customHeight="1" x14ac:dyDescent="0.25">
      <c r="A1869" s="6" t="s">
        <v>6270</v>
      </c>
      <c r="B1869" s="6">
        <v>11</v>
      </c>
      <c r="C1869" s="6">
        <v>8508843</v>
      </c>
      <c r="D1869" s="6" t="s">
        <v>696</v>
      </c>
      <c r="E1869" s="6" t="s">
        <v>6137</v>
      </c>
      <c r="F1869" s="6" t="s">
        <v>6271</v>
      </c>
      <c r="G1869" s="6">
        <v>7470</v>
      </c>
      <c r="H1869" s="6" t="s">
        <v>6272</v>
      </c>
      <c r="I1869" s="6">
        <v>35</v>
      </c>
      <c r="J1869" s="6" t="s">
        <v>23</v>
      </c>
      <c r="K1869" s="6" t="s">
        <v>24</v>
      </c>
      <c r="L1869" s="6">
        <v>18000000</v>
      </c>
      <c r="M1869" s="6">
        <v>1989</v>
      </c>
      <c r="N1869" s="6">
        <v>5.5</v>
      </c>
      <c r="O1869" s="4">
        <f ca="1">IFERROR(__xludf.DUMMYFUNCTION("IF(Cost_in_dollars!E1869=""USD"",Cost_in_dollars!B1869,Cost_in_dollars!B1869 * GOOGLEFINANCE(""CURRENCY:"" &amp; Cost_in_dollars!E1869 &amp; ""USD""))
"),18000000)</f>
        <v>18000000</v>
      </c>
      <c r="P1869" s="4">
        <f ca="1">IFERROR(__xludf.DUMMYFUNCTION("IF(Cost_in_dollars!E1869=""USD"",Cost_in_dollars!C1869,Cost_in_dollars!C1869 * GOOGLEFINANCE(""CURRENCY:"" &amp; Cost_in_dollars!E1869 &amp; ""USD""))
"),8508843)</f>
        <v>8508843</v>
      </c>
      <c r="Q1869" s="6">
        <f t="shared" ca="1" si="42"/>
        <v>-9491157</v>
      </c>
      <c r="R1869" s="7" t="str">
        <f t="shared" si="43"/>
        <v>Troop Beverly Hills</v>
      </c>
      <c r="S1869" s="43" t="str">
        <f t="shared" si="45"/>
        <v>Adventure</v>
      </c>
    </row>
    <row r="1870" spans="1:19" ht="15.75" customHeight="1" x14ac:dyDescent="0.25">
      <c r="A1870" s="4" t="s">
        <v>1123</v>
      </c>
      <c r="B1870" s="4">
        <v>111</v>
      </c>
      <c r="C1870" s="4">
        <v>6830957</v>
      </c>
      <c r="D1870" s="4" t="s">
        <v>235</v>
      </c>
      <c r="E1870" s="4" t="s">
        <v>2524</v>
      </c>
      <c r="F1870" s="4" t="s">
        <v>6273</v>
      </c>
      <c r="G1870" s="4">
        <v>11983</v>
      </c>
      <c r="H1870" s="4" t="s">
        <v>6274</v>
      </c>
      <c r="I1870" s="4">
        <v>147</v>
      </c>
      <c r="J1870" s="4" t="s">
        <v>23</v>
      </c>
      <c r="K1870" s="4" t="s">
        <v>24</v>
      </c>
      <c r="L1870" s="4">
        <v>21000000</v>
      </c>
      <c r="M1870" s="4">
        <v>2002</v>
      </c>
      <c r="N1870" s="4">
        <v>6.7</v>
      </c>
      <c r="O1870" s="4">
        <f ca="1">IFERROR(__xludf.DUMMYFUNCTION("IF(Cost_in_dollars!E1870=""USD"",Cost_in_dollars!B1870,Cost_in_dollars!B1870 * GOOGLEFINANCE(""CURRENCY:"" &amp; Cost_in_dollars!E1870 &amp; ""USD""))
"),21000000)</f>
        <v>21000000</v>
      </c>
      <c r="P1870" s="4">
        <f ca="1">IFERROR(__xludf.DUMMYFUNCTION("IF(Cost_in_dollars!E1870=""USD"",Cost_in_dollars!C1870,Cost_in_dollars!C1870 * GOOGLEFINANCE(""CURRENCY:"" &amp; Cost_in_dollars!E1870 &amp; ""USD""))
"),6830957)</f>
        <v>6830957</v>
      </c>
      <c r="Q1870" s="4">
        <f t="shared" ca="1" si="42"/>
        <v>-14169043</v>
      </c>
      <c r="R1870" s="5" t="str">
        <f t="shared" si="43"/>
        <v>Moonlight Mile</v>
      </c>
      <c r="S1870" s="43" t="str">
        <f t="shared" si="45"/>
        <v>Drama</v>
      </c>
    </row>
    <row r="1871" spans="1:19" ht="15.75" customHeight="1" x14ac:dyDescent="0.25">
      <c r="A1871" s="6" t="s">
        <v>318</v>
      </c>
      <c r="B1871" s="6">
        <v>436</v>
      </c>
      <c r="C1871" s="6">
        <v>75638743</v>
      </c>
      <c r="D1871" s="6" t="s">
        <v>372</v>
      </c>
      <c r="E1871" s="6" t="s">
        <v>588</v>
      </c>
      <c r="F1871" s="6" t="s">
        <v>6275</v>
      </c>
      <c r="G1871" s="6">
        <v>180479</v>
      </c>
      <c r="H1871" s="6" t="s">
        <v>6276</v>
      </c>
      <c r="I1871" s="6">
        <v>411</v>
      </c>
      <c r="J1871" s="6" t="s">
        <v>23</v>
      </c>
      <c r="K1871" s="6" t="s">
        <v>24</v>
      </c>
      <c r="L1871" s="6">
        <v>60000000</v>
      </c>
      <c r="M1871" s="6">
        <v>2011</v>
      </c>
      <c r="N1871" s="6">
        <v>6.6</v>
      </c>
      <c r="O1871" s="4">
        <f ca="1">IFERROR(__xludf.DUMMYFUNCTION("IF(Cost_in_dollars!E1871=""USD"",Cost_in_dollars!B1871,Cost_in_dollars!B1871 * GOOGLEFINANCE(""CURRENCY:"" &amp; Cost_in_dollars!E1871 &amp; ""USD""))
"),60000000)</f>
        <v>60000000</v>
      </c>
      <c r="P1871" s="4">
        <f ca="1">IFERROR(__xludf.DUMMYFUNCTION("IF(Cost_in_dollars!E1871=""USD"",Cost_in_dollars!C1871,Cost_in_dollars!C1871 * GOOGLEFINANCE(""CURRENCY:"" &amp; Cost_in_dollars!E1871 &amp; ""USD""))
"),75638743)</f>
        <v>75638743</v>
      </c>
      <c r="Q1871" s="6">
        <f t="shared" ca="1" si="42"/>
        <v>15638743</v>
      </c>
      <c r="R1871" s="7" t="str">
        <f t="shared" si="43"/>
        <v>Contagion</v>
      </c>
      <c r="S1871" s="43" t="str">
        <f t="shared" si="45"/>
        <v>Drama</v>
      </c>
    </row>
    <row r="1872" spans="1:19" ht="15.75" customHeight="1" x14ac:dyDescent="0.25">
      <c r="A1872" s="4" t="s">
        <v>6277</v>
      </c>
      <c r="B1872" s="4">
        <v>259</v>
      </c>
      <c r="C1872" s="4">
        <v>3571735</v>
      </c>
      <c r="D1872" s="4" t="s">
        <v>2238</v>
      </c>
      <c r="E1872" s="4" t="s">
        <v>1982</v>
      </c>
      <c r="F1872" s="4" t="s">
        <v>6278</v>
      </c>
      <c r="G1872" s="4">
        <v>39260</v>
      </c>
      <c r="H1872" s="4" t="s">
        <v>6279</v>
      </c>
      <c r="I1872" s="4">
        <v>129</v>
      </c>
      <c r="J1872" s="4" t="s">
        <v>23</v>
      </c>
      <c r="K1872" s="4" t="s">
        <v>24</v>
      </c>
      <c r="L1872" s="4">
        <v>10000000</v>
      </c>
      <c r="M1872" s="4">
        <v>2010</v>
      </c>
      <c r="N1872" s="4">
        <v>6.6</v>
      </c>
      <c r="O1872" s="4">
        <f ca="1">IFERROR(__xludf.DUMMYFUNCTION("IF(Cost_in_dollars!E1872=""USD"",Cost_in_dollars!B1872,Cost_in_dollars!B1872 * GOOGLEFINANCE(""CURRENCY:"" &amp; Cost_in_dollars!E1872 &amp; ""USD""))
"),10000000)</f>
        <v>10000000</v>
      </c>
      <c r="P1872" s="4">
        <f ca="1">IFERROR(__xludf.DUMMYFUNCTION("IF(Cost_in_dollars!E1872=""USD"",Cost_in_dollars!C1872,Cost_in_dollars!C1872 * GOOGLEFINANCE(""CURRENCY:"" &amp; Cost_in_dollars!E1872 &amp; ""USD""))
"),3571735)</f>
        <v>3571735</v>
      </c>
      <c r="Q1872" s="4">
        <f t="shared" ca="1" si="42"/>
        <v>-6428265</v>
      </c>
      <c r="R1872" s="5" t="str">
        <f t="shared" si="43"/>
        <v>The Runaways</v>
      </c>
      <c r="S1872" s="43" t="str">
        <f t="shared" si="45"/>
        <v>Biography</v>
      </c>
    </row>
    <row r="1873" spans="1:19" ht="15.75" customHeight="1" x14ac:dyDescent="0.25">
      <c r="A1873" s="6" t="s">
        <v>899</v>
      </c>
      <c r="B1873" s="6">
        <v>181</v>
      </c>
      <c r="C1873" s="6">
        <v>30059386</v>
      </c>
      <c r="D1873" s="6" t="s">
        <v>140</v>
      </c>
      <c r="E1873" s="6" t="s">
        <v>444</v>
      </c>
      <c r="F1873" s="6" t="s">
        <v>6280</v>
      </c>
      <c r="G1873" s="6">
        <v>128593</v>
      </c>
      <c r="H1873" s="6" t="s">
        <v>6281</v>
      </c>
      <c r="I1873" s="6">
        <v>867</v>
      </c>
      <c r="J1873" s="6" t="s">
        <v>23</v>
      </c>
      <c r="K1873" s="6" t="s">
        <v>24</v>
      </c>
      <c r="L1873" s="6">
        <v>22000000</v>
      </c>
      <c r="M1873" s="6">
        <v>2001</v>
      </c>
      <c r="N1873" s="6">
        <v>6.9</v>
      </c>
      <c r="O1873" s="4">
        <f ca="1">IFERROR(__xludf.DUMMYFUNCTION("IF(Cost_in_dollars!E1873=""USD"",Cost_in_dollars!B1873,Cost_in_dollars!B1873 * GOOGLEFINANCE(""CURRENCY:"" &amp; Cost_in_dollars!E1873 &amp; ""USD""))
"),22000000)</f>
        <v>22000000</v>
      </c>
      <c r="P1873" s="4">
        <f ca="1">IFERROR(__xludf.DUMMYFUNCTION("IF(Cost_in_dollars!E1873=""USD"",Cost_in_dollars!C1873,Cost_in_dollars!C1873 * GOOGLEFINANCE(""CURRENCY:"" &amp; Cost_in_dollars!E1873 &amp; ""USD""))
"),30059386)</f>
        <v>30059386</v>
      </c>
      <c r="Q1873" s="6">
        <f t="shared" ca="1" si="42"/>
        <v>8059386</v>
      </c>
      <c r="R1873" s="7" t="str">
        <f t="shared" si="43"/>
        <v>Jay and Silent Bob Strike Back</v>
      </c>
      <c r="S1873" s="43" t="str">
        <f t="shared" si="45"/>
        <v>Comedy</v>
      </c>
    </row>
    <row r="1874" spans="1:19" ht="15.75" customHeight="1" x14ac:dyDescent="0.25">
      <c r="A1874" s="4" t="s">
        <v>2897</v>
      </c>
      <c r="B1874" s="4">
        <v>46</v>
      </c>
      <c r="C1874" s="4">
        <v>33422806</v>
      </c>
      <c r="D1874" s="4" t="s">
        <v>2671</v>
      </c>
      <c r="E1874" s="4" t="s">
        <v>1503</v>
      </c>
      <c r="F1874" s="4" t="s">
        <v>6282</v>
      </c>
      <c r="G1874" s="4">
        <v>30771</v>
      </c>
      <c r="H1874" s="4" t="s">
        <v>6283</v>
      </c>
      <c r="I1874" s="4">
        <v>164</v>
      </c>
      <c r="J1874" s="4" t="s">
        <v>23</v>
      </c>
      <c r="K1874" s="4" t="s">
        <v>24</v>
      </c>
      <c r="L1874" s="4">
        <v>50000000</v>
      </c>
      <c r="M1874" s="4">
        <v>2001</v>
      </c>
      <c r="N1874" s="4">
        <v>4.8</v>
      </c>
      <c r="O1874" s="4">
        <f ca="1">IFERROR(__xludf.DUMMYFUNCTION("IF(Cost_in_dollars!E1874=""USD"",Cost_in_dollars!B1874,Cost_in_dollars!B1874 * GOOGLEFINANCE(""CURRENCY:"" &amp; Cost_in_dollars!E1874 &amp; ""USD""))
"),50000000)</f>
        <v>50000000</v>
      </c>
      <c r="P1874" s="4">
        <f ca="1">IFERROR(__xludf.DUMMYFUNCTION("IF(Cost_in_dollars!E1874=""USD"",Cost_in_dollars!C1874,Cost_in_dollars!C1874 * GOOGLEFINANCE(""CURRENCY:"" &amp; Cost_in_dollars!E1874 &amp; ""USD""))
"),33422806)</f>
        <v>33422806</v>
      </c>
      <c r="Q1874" s="4">
        <f t="shared" ca="1" si="42"/>
        <v>-16577194</v>
      </c>
      <c r="R1874" s="5" t="str">
        <f t="shared" si="43"/>
        <v>Black Knight</v>
      </c>
      <c r="S1874" s="43" t="str">
        <f t="shared" si="45"/>
        <v>Adventure</v>
      </c>
    </row>
    <row r="1875" spans="1:19" ht="15.75" customHeight="1" x14ac:dyDescent="0.25">
      <c r="A1875" s="6" t="s">
        <v>3408</v>
      </c>
      <c r="B1875" s="6">
        <v>37</v>
      </c>
      <c r="C1875" s="6">
        <v>12701880</v>
      </c>
      <c r="D1875" s="6" t="s">
        <v>1827</v>
      </c>
      <c r="E1875" s="6" t="s">
        <v>6284</v>
      </c>
      <c r="F1875" s="6" t="s">
        <v>6285</v>
      </c>
      <c r="G1875" s="6">
        <v>2037</v>
      </c>
      <c r="H1875" s="6" t="s">
        <v>6286</v>
      </c>
      <c r="I1875" s="6">
        <v>22</v>
      </c>
      <c r="J1875" s="6" t="s">
        <v>23</v>
      </c>
      <c r="K1875" s="6" t="s">
        <v>24</v>
      </c>
      <c r="L1875" s="6">
        <v>15000000</v>
      </c>
      <c r="M1875" s="6">
        <v>2008</v>
      </c>
      <c r="N1875" s="6">
        <v>5.7</v>
      </c>
      <c r="O1875" s="4">
        <f ca="1">IFERROR(__xludf.DUMMYFUNCTION("IF(Cost_in_dollars!E1875=""USD"",Cost_in_dollars!B1875,Cost_in_dollars!B1875 * GOOGLEFINANCE(""CURRENCY:"" &amp; Cost_in_dollars!E1875 &amp; ""USD""))
"),15000000)</f>
        <v>15000000</v>
      </c>
      <c r="P1875" s="4">
        <f ca="1">IFERROR(__xludf.DUMMYFUNCTION("IF(Cost_in_dollars!E1875=""USD"",Cost_in_dollars!C1875,Cost_in_dollars!C1875 * GOOGLEFINANCE(""CURRENCY:"" &amp; Cost_in_dollars!E1875 &amp; ""USD""))
"),12701880)</f>
        <v>12701880</v>
      </c>
      <c r="Q1875" s="6">
        <f t="shared" ca="1" si="42"/>
        <v>-2298120</v>
      </c>
      <c r="R1875" s="7" t="str">
        <f t="shared" si="43"/>
        <v>The Pirates Who Don't Do Anything: A VeggieTales Movie</v>
      </c>
      <c r="S1875" s="43" t="str">
        <f t="shared" si="45"/>
        <v>Adventure</v>
      </c>
    </row>
    <row r="1876" spans="1:19" ht="15.75" customHeight="1" x14ac:dyDescent="0.25">
      <c r="A1876" s="4" t="s">
        <v>778</v>
      </c>
      <c r="B1876" s="4">
        <v>57</v>
      </c>
      <c r="C1876" s="4">
        <v>183088</v>
      </c>
      <c r="D1876" s="4" t="s">
        <v>2130</v>
      </c>
      <c r="E1876" s="4" t="s">
        <v>4944</v>
      </c>
      <c r="F1876" s="4" t="s">
        <v>6287</v>
      </c>
      <c r="G1876" s="4">
        <v>11704</v>
      </c>
      <c r="H1876" s="4" t="s">
        <v>6288</v>
      </c>
      <c r="I1876" s="4">
        <v>36</v>
      </c>
      <c r="J1876" s="4" t="s">
        <v>23</v>
      </c>
      <c r="K1876" s="4" t="s">
        <v>24</v>
      </c>
      <c r="L1876" s="4">
        <v>15000000</v>
      </c>
      <c r="M1876" s="4">
        <v>2008</v>
      </c>
      <c r="N1876" s="4">
        <v>7</v>
      </c>
      <c r="O1876" s="4">
        <f ca="1">IFERROR(__xludf.DUMMYFUNCTION("IF(Cost_in_dollars!E1876=""USD"",Cost_in_dollars!B1876,Cost_in_dollars!B1876 * GOOGLEFINANCE(""CURRENCY:"" &amp; Cost_in_dollars!E1876 &amp; ""USD""))
"),15000000)</f>
        <v>15000000</v>
      </c>
      <c r="P1876" s="4">
        <f ca="1">IFERROR(__xludf.DUMMYFUNCTION("IF(Cost_in_dollars!E1876=""USD"",Cost_in_dollars!C1876,Cost_in_dollars!C1876 * GOOGLEFINANCE(""CURRENCY:"" &amp; Cost_in_dollars!E1876 &amp; ""USD""))
"),183088)</f>
        <v>183088</v>
      </c>
      <c r="Q1876" s="4">
        <f t="shared" ca="1" si="42"/>
        <v>-14816912</v>
      </c>
      <c r="R1876" s="5" t="str">
        <f t="shared" si="43"/>
        <v>The Lucky Ones</v>
      </c>
      <c r="S1876" s="43" t="str">
        <f t="shared" si="45"/>
        <v>Comedy</v>
      </c>
    </row>
    <row r="1877" spans="1:19" ht="15.75" customHeight="1" x14ac:dyDescent="0.25">
      <c r="A1877" s="6" t="s">
        <v>6289</v>
      </c>
      <c r="B1877" s="6">
        <v>3</v>
      </c>
      <c r="C1877" s="6">
        <v>243768</v>
      </c>
      <c r="D1877" s="6" t="s">
        <v>6290</v>
      </c>
      <c r="E1877" s="6" t="s">
        <v>6291</v>
      </c>
      <c r="F1877" s="6" t="s">
        <v>6292</v>
      </c>
      <c r="G1877" s="6">
        <v>143</v>
      </c>
      <c r="H1877" s="6" t="s">
        <v>109</v>
      </c>
      <c r="I1877" s="6">
        <v>9</v>
      </c>
      <c r="J1877" s="6" t="s">
        <v>23</v>
      </c>
      <c r="K1877" s="6" t="s">
        <v>24</v>
      </c>
      <c r="L1877" s="6">
        <v>30000</v>
      </c>
      <c r="M1877" s="6">
        <v>2007</v>
      </c>
      <c r="N1877" s="6">
        <v>4.0999999999999996</v>
      </c>
      <c r="O1877" s="4">
        <f ca="1">IFERROR(__xludf.DUMMYFUNCTION("IF(Cost_in_dollars!E1877=""USD"",Cost_in_dollars!B1877,Cost_in_dollars!B1877 * GOOGLEFINANCE(""CURRENCY:"" &amp; Cost_in_dollars!E1877 &amp; ""USD""))
"),30000)</f>
        <v>30000</v>
      </c>
      <c r="P1877" s="4">
        <f ca="1">IFERROR(__xludf.DUMMYFUNCTION("IF(Cost_in_dollars!E1877=""USD"",Cost_in_dollars!C1877,Cost_in_dollars!C1877 * GOOGLEFINANCE(""CURRENCY:"" &amp; Cost_in_dollars!E1877 &amp; ""USD""))
"),243768)</f>
        <v>243768</v>
      </c>
      <c r="Q1877" s="6">
        <f t="shared" ca="1" si="42"/>
        <v>213768</v>
      </c>
      <c r="R1877" s="7" t="str">
        <f t="shared" si="43"/>
        <v>The Legend of God's Gun</v>
      </c>
      <c r="S1877" s="43" t="str">
        <f t="shared" si="45"/>
        <v>Western</v>
      </c>
    </row>
    <row r="1878" spans="1:19" ht="15.75" customHeight="1" x14ac:dyDescent="0.25">
      <c r="A1878" s="4" t="s">
        <v>6293</v>
      </c>
      <c r="B1878" s="4">
        <v>4</v>
      </c>
      <c r="C1878" s="4">
        <v>49000</v>
      </c>
      <c r="D1878" s="4" t="s">
        <v>6294</v>
      </c>
      <c r="E1878" s="4" t="s">
        <v>6295</v>
      </c>
      <c r="F1878" s="4" t="s">
        <v>6296</v>
      </c>
      <c r="G1878" s="4">
        <v>1524</v>
      </c>
      <c r="H1878" s="4" t="s">
        <v>6297</v>
      </c>
      <c r="I1878" s="4">
        <v>30</v>
      </c>
      <c r="J1878" s="4" t="s">
        <v>673</v>
      </c>
      <c r="K1878" s="4" t="s">
        <v>674</v>
      </c>
      <c r="L1878" s="4">
        <v>1500000</v>
      </c>
      <c r="M1878" s="4">
        <v>2005</v>
      </c>
      <c r="N1878" s="4">
        <v>4.8</v>
      </c>
      <c r="O1878" s="4">
        <f ca="1">IFERROR(__xludf.DUMMYFUNCTION("IF(Cost_in_dollars!E1878=""USD"",Cost_in_dollars!B1878,Cost_in_dollars!B1878 * GOOGLEFINANCE(""CURRENCY:"" &amp; Cost_in_dollars!E1878 &amp; ""USD""))
"),17912.19)</f>
        <v>17912.189999999999</v>
      </c>
      <c r="P1878" s="4">
        <f ca="1">IFERROR(__xludf.DUMMYFUNCTION("IF(Cost_in_dollars!E1878=""USD"",Cost_in_dollars!C1878,Cost_in_dollars!C1878 * GOOGLEFINANCE(""CURRENCY:"" &amp; Cost_in_dollars!E1878 &amp; ""USD""))
"),585.13154)</f>
        <v>585.13153999999997</v>
      </c>
      <c r="Q1878" s="4">
        <f t="shared" ca="1" si="42"/>
        <v>-17327.05846</v>
      </c>
      <c r="R1878" s="5" t="str">
        <f t="shared" si="43"/>
        <v>Chocolate: Deep Dark Secrets</v>
      </c>
      <c r="S1878" s="43" t="str">
        <f t="shared" si="45"/>
        <v>Thriller</v>
      </c>
    </row>
    <row r="1879" spans="1:19" ht="15.75" customHeight="1" x14ac:dyDescent="0.25">
      <c r="A1879" s="6" t="s">
        <v>6298</v>
      </c>
      <c r="B1879" s="6">
        <v>10</v>
      </c>
      <c r="C1879" s="6">
        <v>2468</v>
      </c>
      <c r="D1879" s="6" t="s">
        <v>6294</v>
      </c>
      <c r="E1879" s="6" t="s">
        <v>6299</v>
      </c>
      <c r="F1879" s="6" t="s">
        <v>6300</v>
      </c>
      <c r="G1879" s="6">
        <v>241</v>
      </c>
      <c r="H1879" s="6" t="s">
        <v>6301</v>
      </c>
      <c r="I1879" s="6">
        <v>5</v>
      </c>
      <c r="J1879" s="6" t="s">
        <v>23</v>
      </c>
      <c r="K1879" s="6" t="s">
        <v>24</v>
      </c>
      <c r="L1879" s="6">
        <v>300000</v>
      </c>
      <c r="M1879" s="6">
        <v>2014</v>
      </c>
      <c r="N1879" s="6">
        <v>4.8</v>
      </c>
      <c r="O1879" s="4">
        <f ca="1">IFERROR(__xludf.DUMMYFUNCTION("IF(Cost_in_dollars!E1879=""USD"",Cost_in_dollars!B1879,Cost_in_dollars!B1879 * GOOGLEFINANCE(""CURRENCY:"" &amp; Cost_in_dollars!E1879 &amp; ""USD""))
"),300000)</f>
        <v>300000</v>
      </c>
      <c r="P1879" s="4">
        <f ca="1">IFERROR(__xludf.DUMMYFUNCTION("IF(Cost_in_dollars!E1879=""USD"",Cost_in_dollars!C1879,Cost_in_dollars!C1879 * GOOGLEFINANCE(""CURRENCY:"" &amp; Cost_in_dollars!E1879 &amp; ""USD""))
"),2468)</f>
        <v>2468</v>
      </c>
      <c r="Q1879" s="6">
        <f t="shared" ca="1" si="42"/>
        <v>-297532</v>
      </c>
      <c r="R1879" s="7" t="str">
        <f t="shared" si="43"/>
        <v>Locker 13</v>
      </c>
      <c r="S1879" s="43" t="str">
        <f t="shared" si="45"/>
        <v>Thriller</v>
      </c>
    </row>
    <row r="1880" spans="1:19" ht="15.75" customHeight="1" x14ac:dyDescent="0.25">
      <c r="A1880" s="4" t="s">
        <v>308</v>
      </c>
      <c r="B1880" s="4">
        <v>323</v>
      </c>
      <c r="C1880" s="4">
        <v>64505912</v>
      </c>
      <c r="D1880" s="4" t="s">
        <v>6302</v>
      </c>
      <c r="E1880" s="4" t="s">
        <v>3050</v>
      </c>
      <c r="F1880" s="4" t="s">
        <v>6303</v>
      </c>
      <c r="G1880" s="4">
        <v>163130</v>
      </c>
      <c r="H1880" s="4" t="s">
        <v>6304</v>
      </c>
      <c r="I1880" s="4">
        <v>1264</v>
      </c>
      <c r="J1880" s="4" t="s">
        <v>23</v>
      </c>
      <c r="K1880" s="4" t="s">
        <v>24</v>
      </c>
      <c r="L1880" s="4">
        <v>48000000</v>
      </c>
      <c r="M1880" s="4">
        <v>2008</v>
      </c>
      <c r="N1880" s="4">
        <v>5</v>
      </c>
      <c r="O1880" s="4">
        <f ca="1">IFERROR(__xludf.DUMMYFUNCTION("IF(Cost_in_dollars!E1880=""USD"",Cost_in_dollars!B1880,Cost_in_dollars!B1880 * GOOGLEFINANCE(""CURRENCY:"" &amp; Cost_in_dollars!E1880 &amp; ""USD""))
"),48000000)</f>
        <v>48000000</v>
      </c>
      <c r="P1880" s="4">
        <f ca="1">IFERROR(__xludf.DUMMYFUNCTION("IF(Cost_in_dollars!E1880=""USD"",Cost_in_dollars!C1880,Cost_in_dollars!C1880 * GOOGLEFINANCE(""CURRENCY:"" &amp; Cost_in_dollars!E1880 &amp; ""USD""))
"),64505912)</f>
        <v>64505912</v>
      </c>
      <c r="Q1880" s="4">
        <f t="shared" ca="1" si="42"/>
        <v>16505912</v>
      </c>
      <c r="R1880" s="5" t="str">
        <f t="shared" si="43"/>
        <v>The Happening</v>
      </c>
      <c r="S1880" s="43" t="str">
        <f t="shared" si="45"/>
        <v>Sci-Fi</v>
      </c>
    </row>
    <row r="1881" spans="1:19" ht="15.75" customHeight="1" x14ac:dyDescent="0.25">
      <c r="A1881" s="6" t="s">
        <v>6305</v>
      </c>
      <c r="B1881" s="6">
        <v>4</v>
      </c>
      <c r="C1881" s="6">
        <v>129319</v>
      </c>
      <c r="D1881" s="6" t="s">
        <v>6306</v>
      </c>
      <c r="E1881" s="6" t="s">
        <v>6307</v>
      </c>
      <c r="F1881" s="6" t="s">
        <v>6308</v>
      </c>
      <c r="G1881" s="6">
        <v>257</v>
      </c>
      <c r="H1881" s="6" t="s">
        <v>109</v>
      </c>
      <c r="I1881" s="6">
        <v>4</v>
      </c>
      <c r="J1881" s="6" t="s">
        <v>23</v>
      </c>
      <c r="K1881" s="6" t="s">
        <v>674</v>
      </c>
      <c r="L1881" s="6">
        <v>70000000</v>
      </c>
      <c r="M1881" s="6">
        <v>2005</v>
      </c>
      <c r="N1881" s="6">
        <v>5.0999999999999996</v>
      </c>
      <c r="O1881" s="4">
        <f ca="1">IFERROR(__xludf.DUMMYFUNCTION("IF(Cost_in_dollars!E1881=""USD"",Cost_in_dollars!B1881,Cost_in_dollars!B1881 * GOOGLEFINANCE(""CURRENCY:"" &amp; Cost_in_dollars!E1881 &amp; ""USD""))
"),835902.2)</f>
        <v>835902.2</v>
      </c>
      <c r="P1881" s="4">
        <f ca="1">IFERROR(__xludf.DUMMYFUNCTION("IF(Cost_in_dollars!E1881=""USD"",Cost_in_dollars!C1881,Cost_in_dollars!C1881 * GOOGLEFINANCE(""CURRENCY:"" &amp; Cost_in_dollars!E1881 &amp; ""USD""))
"),1544.25766574)</f>
        <v>1544.25766574</v>
      </c>
      <c r="Q1881" s="6">
        <f t="shared" ca="1" si="42"/>
        <v>-834357.94233425998</v>
      </c>
      <c r="R1881" s="7" t="str">
        <f t="shared" si="43"/>
        <v>Dil Jo Bhi Kahey...</v>
      </c>
      <c r="S1881" s="43" t="str">
        <f t="shared" si="45"/>
        <v>Romance</v>
      </c>
    </row>
    <row r="1882" spans="1:19" ht="15.75" customHeight="1" x14ac:dyDescent="0.25">
      <c r="A1882" s="4" t="s">
        <v>6309</v>
      </c>
      <c r="B1882" s="4">
        <v>183</v>
      </c>
      <c r="C1882" s="4">
        <v>25464480</v>
      </c>
      <c r="D1882" s="4" t="s">
        <v>5580</v>
      </c>
      <c r="E1882" s="4" t="s">
        <v>64</v>
      </c>
      <c r="F1882" s="4" t="s">
        <v>6310</v>
      </c>
      <c r="G1882" s="4">
        <v>63108</v>
      </c>
      <c r="H1882" s="4" t="s">
        <v>6311</v>
      </c>
      <c r="I1882" s="4">
        <v>330</v>
      </c>
      <c r="J1882" s="4" t="s">
        <v>23</v>
      </c>
      <c r="K1882" s="4" t="s">
        <v>24</v>
      </c>
      <c r="L1882" s="4">
        <v>10000000</v>
      </c>
      <c r="M1882" s="4">
        <v>2009</v>
      </c>
      <c r="N1882" s="4">
        <v>5.9</v>
      </c>
      <c r="O1882" s="4">
        <f ca="1">IFERROR(__xludf.DUMMYFUNCTION("IF(Cost_in_dollars!E1882=""USD"",Cost_in_dollars!B1882,Cost_in_dollars!B1882 * GOOGLEFINANCE(""CURRENCY:"" &amp; Cost_in_dollars!E1882 &amp; ""USD""))
"),10000000)</f>
        <v>10000000</v>
      </c>
      <c r="P1882" s="4">
        <f ca="1">IFERROR(__xludf.DUMMYFUNCTION("IF(Cost_in_dollars!E1882=""USD"",Cost_in_dollars!C1882,Cost_in_dollars!C1882 * GOOGLEFINANCE(""CURRENCY:"" &amp; Cost_in_dollars!E1882 &amp; ""USD""))
"),25464480)</f>
        <v>25464480</v>
      </c>
      <c r="Q1882" s="4">
        <f t="shared" ca="1" si="42"/>
        <v>15464480</v>
      </c>
      <c r="R1882" s="5" t="str">
        <f t="shared" si="43"/>
        <v>The Fourth Kind</v>
      </c>
      <c r="S1882" s="43" t="str">
        <f t="shared" si="45"/>
        <v>Mystery</v>
      </c>
    </row>
    <row r="1883" spans="1:19" ht="15.75" customHeight="1" x14ac:dyDescent="0.25">
      <c r="A1883" s="6" t="s">
        <v>6312</v>
      </c>
      <c r="B1883" s="6">
        <v>232</v>
      </c>
      <c r="C1883" s="6">
        <v>15071514</v>
      </c>
      <c r="D1883" s="6" t="s">
        <v>6302</v>
      </c>
      <c r="E1883" s="6" t="s">
        <v>3211</v>
      </c>
      <c r="F1883" s="6" t="s">
        <v>6313</v>
      </c>
      <c r="G1883" s="6">
        <v>65037</v>
      </c>
      <c r="H1883" s="6" t="s">
        <v>6314</v>
      </c>
      <c r="I1883" s="6">
        <v>273</v>
      </c>
      <c r="J1883" s="6" t="s">
        <v>23</v>
      </c>
      <c r="K1883" s="6" t="s">
        <v>24</v>
      </c>
      <c r="L1883" s="6">
        <v>80000000</v>
      </c>
      <c r="M1883" s="6">
        <v>2007</v>
      </c>
      <c r="N1883" s="6">
        <v>5.9</v>
      </c>
      <c r="O1883" s="4">
        <f ca="1">IFERROR(__xludf.DUMMYFUNCTION("IF(Cost_in_dollars!E1883=""USD"",Cost_in_dollars!B1883,Cost_in_dollars!B1883 * GOOGLEFINANCE(""CURRENCY:"" &amp; Cost_in_dollars!E1883 &amp; ""USD""))
"),80000000)</f>
        <v>80000000</v>
      </c>
      <c r="P1883" s="4">
        <f ca="1">IFERROR(__xludf.DUMMYFUNCTION("IF(Cost_in_dollars!E1883=""USD"",Cost_in_dollars!C1883,Cost_in_dollars!C1883 * GOOGLEFINANCE(""CURRENCY:"" &amp; Cost_in_dollars!E1883 &amp; ""USD""))
"),15071514)</f>
        <v>15071514</v>
      </c>
      <c r="Q1883" s="6">
        <f t="shared" ca="1" si="42"/>
        <v>-64928486</v>
      </c>
      <c r="R1883" s="7" t="str">
        <f t="shared" si="43"/>
        <v>The Invasion</v>
      </c>
      <c r="S1883" s="43" t="str">
        <f t="shared" si="45"/>
        <v>Sci-Fi</v>
      </c>
    </row>
    <row r="1884" spans="1:19" ht="15.75" customHeight="1" x14ac:dyDescent="0.25">
      <c r="A1884" s="4" t="s">
        <v>6315</v>
      </c>
      <c r="B1884" s="4">
        <v>97</v>
      </c>
      <c r="C1884" s="4">
        <v>56129</v>
      </c>
      <c r="D1884" s="4" t="s">
        <v>6302</v>
      </c>
      <c r="E1884" s="4" t="s">
        <v>6316</v>
      </c>
      <c r="F1884" s="4" t="s">
        <v>6317</v>
      </c>
      <c r="G1884" s="4">
        <v>6555</v>
      </c>
      <c r="H1884" s="4" t="s">
        <v>6318</v>
      </c>
      <c r="I1884" s="4">
        <v>82</v>
      </c>
      <c r="J1884" s="4" t="s">
        <v>23</v>
      </c>
      <c r="K1884" s="4" t="s">
        <v>627</v>
      </c>
      <c r="L1884" s="4">
        <v>1100000</v>
      </c>
      <c r="M1884" s="4">
        <v>2010</v>
      </c>
      <c r="N1884" s="4">
        <v>6.1</v>
      </c>
      <c r="O1884" s="4">
        <f ca="1">IFERROR(__xludf.DUMMYFUNCTION("IF(Cost_in_dollars!E1884=""USD"",Cost_in_dollars!B1884,Cost_in_dollars!B1884 * GOOGLEFINANCE(""CURRENCY:"" &amp; Cost_in_dollars!E1884 &amp; ""USD""))
"),795745.5)</f>
        <v>795745.5</v>
      </c>
      <c r="P1884" s="4">
        <f ca="1">IFERROR(__xludf.DUMMYFUNCTION("IF(Cost_in_dollars!E1884=""USD"",Cost_in_dollars!C1884,Cost_in_dollars!C1884 * GOOGLEFINANCE(""CURRENCY:"" &amp; Cost_in_dollars!E1884 &amp; ""USD""))
"),40603.999245)</f>
        <v>40603.999244999999</v>
      </c>
      <c r="Q1884" s="4">
        <f t="shared" ca="1" si="42"/>
        <v>-755141.50075500004</v>
      </c>
      <c r="R1884" s="5" t="str">
        <f t="shared" si="43"/>
        <v>Beyond the Black Rainbow</v>
      </c>
      <c r="S1884" s="43" t="str">
        <f t="shared" si="45"/>
        <v>Sci-Fi</v>
      </c>
    </row>
    <row r="1885" spans="1:19" ht="15.75" customHeight="1" x14ac:dyDescent="0.25">
      <c r="A1885" s="6" t="s">
        <v>6319</v>
      </c>
      <c r="B1885" s="6">
        <v>22</v>
      </c>
      <c r="C1885" s="6">
        <v>76382</v>
      </c>
      <c r="D1885" s="6" t="s">
        <v>6306</v>
      </c>
      <c r="E1885" s="6" t="s">
        <v>6320</v>
      </c>
      <c r="F1885" s="6" t="s">
        <v>6321</v>
      </c>
      <c r="G1885" s="6">
        <v>1194</v>
      </c>
      <c r="H1885" s="6" t="s">
        <v>109</v>
      </c>
      <c r="I1885" s="6">
        <v>8</v>
      </c>
      <c r="J1885" s="6" t="s">
        <v>23</v>
      </c>
      <c r="K1885" s="6" t="s">
        <v>24</v>
      </c>
      <c r="L1885" s="6">
        <v>15000</v>
      </c>
      <c r="M1885" s="6">
        <v>2009</v>
      </c>
      <c r="N1885" s="6">
        <v>6.2</v>
      </c>
      <c r="O1885" s="4">
        <f ca="1">IFERROR(__xludf.DUMMYFUNCTION("IF(Cost_in_dollars!E1885=""USD"",Cost_in_dollars!B1885,Cost_in_dollars!B1885 * GOOGLEFINANCE(""CURRENCY:"" &amp; Cost_in_dollars!E1885 &amp; ""USD""))
"),15000)</f>
        <v>15000</v>
      </c>
      <c r="P1885" s="4">
        <f ca="1">IFERROR(__xludf.DUMMYFUNCTION("IF(Cost_in_dollars!E1885=""USD"",Cost_in_dollars!C1885,Cost_in_dollars!C1885 * GOOGLEFINANCE(""CURRENCY:"" &amp; Cost_in_dollars!E1885 &amp; ""USD""))
"),76382)</f>
        <v>76382</v>
      </c>
      <c r="Q1885" s="6">
        <f t="shared" ca="1" si="42"/>
        <v>61382</v>
      </c>
      <c r="R1885" s="7" t="str">
        <f t="shared" si="43"/>
        <v>Breaking Upwards</v>
      </c>
      <c r="S1885" s="43" t="str">
        <f t="shared" si="45"/>
        <v>Romance</v>
      </c>
    </row>
    <row r="1886" spans="1:19" ht="15.75" customHeight="1" x14ac:dyDescent="0.25">
      <c r="A1886" s="4" t="s">
        <v>6322</v>
      </c>
      <c r="B1886" s="4">
        <v>8</v>
      </c>
      <c r="C1886" s="4">
        <v>18195</v>
      </c>
      <c r="D1886" s="4" t="s">
        <v>6323</v>
      </c>
      <c r="E1886" s="4" t="s">
        <v>6324</v>
      </c>
      <c r="F1886" s="4" t="s">
        <v>6325</v>
      </c>
      <c r="G1886" s="4">
        <v>336</v>
      </c>
      <c r="H1886" s="4" t="s">
        <v>6326</v>
      </c>
      <c r="I1886" s="4">
        <v>7</v>
      </c>
      <c r="J1886" s="4" t="s">
        <v>23</v>
      </c>
      <c r="K1886" s="4" t="s">
        <v>24</v>
      </c>
      <c r="L1886" s="4">
        <v>250000</v>
      </c>
      <c r="M1886" s="4">
        <v>1997</v>
      </c>
      <c r="N1886" s="4">
        <v>6.3</v>
      </c>
      <c r="O1886" s="4">
        <f ca="1">IFERROR(__xludf.DUMMYFUNCTION("IF(Cost_in_dollars!E1886=""USD"",Cost_in_dollars!B1886,Cost_in_dollars!B1886 * GOOGLEFINANCE(""CURRENCY:"" &amp; Cost_in_dollars!E1886 &amp; ""USD""))
"),250000)</f>
        <v>250000</v>
      </c>
      <c r="P1886" s="4">
        <f ca="1">IFERROR(__xludf.DUMMYFUNCTION("IF(Cost_in_dollars!E1886=""USD"",Cost_in_dollars!C1886,Cost_in_dollars!C1886 * GOOGLEFINANCE(""CURRENCY:"" &amp; Cost_in_dollars!E1886 &amp; ""USD""))
"),18195)</f>
        <v>18195</v>
      </c>
      <c r="Q1886" s="4">
        <f t="shared" ca="1" si="42"/>
        <v>-231805</v>
      </c>
      <c r="R1886" s="5" t="str">
        <f t="shared" si="43"/>
        <v>The Sticky Fingers of Time</v>
      </c>
      <c r="S1886" s="43" t="str">
        <f t="shared" si="45"/>
        <v>Sci-Fi</v>
      </c>
    </row>
    <row r="1887" spans="1:19" ht="15.75" customHeight="1" x14ac:dyDescent="0.25">
      <c r="A1887" s="6" t="s">
        <v>6327</v>
      </c>
      <c r="B1887" s="6">
        <v>35</v>
      </c>
      <c r="C1887" s="6">
        <v>70071</v>
      </c>
      <c r="D1887" s="6" t="s">
        <v>6294</v>
      </c>
      <c r="E1887" s="6" t="s">
        <v>6328</v>
      </c>
      <c r="F1887" s="6" t="s">
        <v>6329</v>
      </c>
      <c r="G1887" s="6">
        <v>589</v>
      </c>
      <c r="H1887" s="6" t="s">
        <v>6330</v>
      </c>
      <c r="I1887" s="6">
        <v>35</v>
      </c>
      <c r="J1887" s="6" t="s">
        <v>23</v>
      </c>
      <c r="K1887" s="6" t="s">
        <v>6331</v>
      </c>
      <c r="L1887" s="6">
        <v>7000</v>
      </c>
      <c r="M1887" s="6">
        <v>2005</v>
      </c>
      <c r="N1887" s="6">
        <v>6.3</v>
      </c>
      <c r="O1887" s="4">
        <f ca="1">IFERROR(__xludf.DUMMYFUNCTION("IF(Cost_in_dollars!E1887=""USD"",Cost_in_dollars!B1887,Cost_in_dollars!B1887 * GOOGLEFINANCE(""CURRENCY:"" &amp; Cost_in_dollars!E1887 &amp; ""USD""))
"),119.42987)</f>
        <v>119.42986999999999</v>
      </c>
      <c r="P1887" s="4">
        <f ca="1">IFERROR(__xludf.DUMMYFUNCTION("IF(Cost_in_dollars!E1887=""USD"",Cost_in_dollars!C1887,Cost_in_dollars!C1887 * GOOGLEFINANCE(""CURRENCY:"" &amp; Cost_in_dollars!E1887 &amp; ""USD""))
"),1195.51006011)</f>
        <v>1195.51006011</v>
      </c>
      <c r="Q1887" s="6">
        <f t="shared" ca="1" si="42"/>
        <v>1076.0801901100001</v>
      </c>
      <c r="R1887" s="7" t="str">
        <f t="shared" si="43"/>
        <v>Cavite</v>
      </c>
      <c r="S1887" s="43" t="str">
        <f t="shared" si="45"/>
        <v>Thriller</v>
      </c>
    </row>
    <row r="1888" spans="1:19" ht="15.75" customHeight="1" x14ac:dyDescent="0.25">
      <c r="A1888" s="4" t="s">
        <v>6332</v>
      </c>
      <c r="B1888" s="4">
        <v>177</v>
      </c>
      <c r="C1888" s="4">
        <v>22331028</v>
      </c>
      <c r="D1888" s="4" t="s">
        <v>6302</v>
      </c>
      <c r="E1888" s="4" t="s">
        <v>6333</v>
      </c>
      <c r="F1888" s="4" t="s">
        <v>6334</v>
      </c>
      <c r="G1888" s="4">
        <v>57349</v>
      </c>
      <c r="H1888" s="4" t="s">
        <v>6335</v>
      </c>
      <c r="I1888" s="4">
        <v>177</v>
      </c>
      <c r="J1888" s="4" t="s">
        <v>23</v>
      </c>
      <c r="K1888" s="4" t="s">
        <v>24</v>
      </c>
      <c r="L1888" s="4">
        <v>12000000</v>
      </c>
      <c r="M1888" s="4">
        <v>2015</v>
      </c>
      <c r="N1888" s="4">
        <v>6.4</v>
      </c>
      <c r="O1888" s="4">
        <f ca="1">IFERROR(__xludf.DUMMYFUNCTION("IF(Cost_in_dollars!E1888=""USD"",Cost_in_dollars!B1888,Cost_in_dollars!B1888 * GOOGLEFINANCE(""CURRENCY:"" &amp; Cost_in_dollars!E1888 &amp; ""USD""))
"),12000000)</f>
        <v>12000000</v>
      </c>
      <c r="P1888" s="4">
        <f ca="1">IFERROR(__xludf.DUMMYFUNCTION("IF(Cost_in_dollars!E1888=""USD"",Cost_in_dollars!C1888,Cost_in_dollars!C1888 * GOOGLEFINANCE(""CURRENCY:"" &amp; Cost_in_dollars!E1888 &amp; ""USD""))
"),22331028)</f>
        <v>22331028</v>
      </c>
      <c r="Q1888" s="4">
        <f t="shared" ca="1" si="42"/>
        <v>10331028</v>
      </c>
      <c r="R1888" s="5" t="str">
        <f t="shared" si="43"/>
        <v>Project Almanac</v>
      </c>
      <c r="S1888" s="43" t="str">
        <f t="shared" si="45"/>
        <v>Sci-Fi</v>
      </c>
    </row>
    <row r="1889" spans="1:19" ht="15.75" customHeight="1" x14ac:dyDescent="0.25">
      <c r="A1889" s="6" t="s">
        <v>532</v>
      </c>
      <c r="B1889" s="6">
        <v>138</v>
      </c>
      <c r="C1889" s="6">
        <v>36283504</v>
      </c>
      <c r="D1889" s="6" t="s">
        <v>6336</v>
      </c>
      <c r="E1889" s="6" t="s">
        <v>461</v>
      </c>
      <c r="F1889" s="6" t="s">
        <v>6337</v>
      </c>
      <c r="G1889" s="6">
        <v>104564</v>
      </c>
      <c r="H1889" s="6" t="s">
        <v>6338</v>
      </c>
      <c r="I1889" s="6">
        <v>587</v>
      </c>
      <c r="J1889" s="6" t="s">
        <v>23</v>
      </c>
      <c r="K1889" s="6" t="s">
        <v>176</v>
      </c>
      <c r="L1889" s="6">
        <v>40000000</v>
      </c>
      <c r="M1889" s="6">
        <v>1999</v>
      </c>
      <c r="N1889" s="6">
        <v>6.5</v>
      </c>
      <c r="O1889" s="4">
        <f ca="1">IFERROR(__xludf.DUMMYFUNCTION("IF(Cost_in_dollars!E1889=""USD"",Cost_in_dollars!B1889,Cost_in_dollars!B1889 * GOOGLEFINANCE(""CURRENCY:"" &amp; Cost_in_dollars!E1889 &amp; ""USD""))
"),43389600)</f>
        <v>43389600</v>
      </c>
      <c r="P1889" s="4">
        <f ca="1">IFERROR(__xludf.DUMMYFUNCTION("IF(Cost_in_dollars!E1889=""USD"",Cost_in_dollars!C1889,Cost_in_dollars!C1889 * GOOGLEFINANCE(""CURRENCY:"" &amp; Cost_in_dollars!E1889 &amp; ""USD""))
"),39358168.12896)</f>
        <v>39358168.128959998</v>
      </c>
      <c r="Q1889" s="6">
        <f t="shared" ca="1" si="42"/>
        <v>-4031431.8710400015</v>
      </c>
      <c r="R1889" s="7" t="str">
        <f t="shared" si="43"/>
        <v>8MM</v>
      </c>
      <c r="S1889" s="43" t="str">
        <f t="shared" si="45"/>
        <v>Mystery</v>
      </c>
    </row>
    <row r="1890" spans="1:19" ht="15.75" customHeight="1" x14ac:dyDescent="0.25">
      <c r="A1890" s="4" t="s">
        <v>150</v>
      </c>
      <c r="B1890" s="4">
        <v>224</v>
      </c>
      <c r="C1890" s="4">
        <v>57859105</v>
      </c>
      <c r="D1890" s="4" t="s">
        <v>6336</v>
      </c>
      <c r="E1890" s="4" t="s">
        <v>6339</v>
      </c>
      <c r="F1890" s="4" t="s">
        <v>6340</v>
      </c>
      <c r="G1890" s="4">
        <v>94108</v>
      </c>
      <c r="H1890" s="4" t="s">
        <v>6341</v>
      </c>
      <c r="I1890" s="4">
        <v>673</v>
      </c>
      <c r="J1890" s="4" t="s">
        <v>23</v>
      </c>
      <c r="K1890" s="4" t="s">
        <v>24</v>
      </c>
      <c r="L1890" s="4">
        <v>26000000</v>
      </c>
      <c r="M1890" s="4">
        <v>2005</v>
      </c>
      <c r="N1890" s="4">
        <v>6.5</v>
      </c>
      <c r="O1890" s="4">
        <f ca="1">IFERROR(__xludf.DUMMYFUNCTION("IF(Cost_in_dollars!E1890=""USD"",Cost_in_dollars!B1890,Cost_in_dollars!B1890 * GOOGLEFINANCE(""CURRENCY:"" &amp; Cost_in_dollars!E1890 &amp; ""USD""))
"),26000000)</f>
        <v>26000000</v>
      </c>
      <c r="P1890" s="4">
        <f ca="1">IFERROR(__xludf.DUMMYFUNCTION("IF(Cost_in_dollars!E1890=""USD"",Cost_in_dollars!C1890,Cost_in_dollars!C1890 * GOOGLEFINANCE(""CURRENCY:"" &amp; Cost_in_dollars!E1890 &amp; ""USD""))
"),57859105)</f>
        <v>57859105</v>
      </c>
      <c r="Q1890" s="4">
        <f t="shared" ca="1" si="42"/>
        <v>31859105</v>
      </c>
      <c r="R1890" s="5" t="str">
        <f t="shared" si="43"/>
        <v>Red Eye</v>
      </c>
      <c r="S1890" s="43" t="str">
        <f t="shared" si="45"/>
        <v>Mystery</v>
      </c>
    </row>
    <row r="1891" spans="1:19" ht="15.75" customHeight="1" x14ac:dyDescent="0.25">
      <c r="A1891" s="6" t="s">
        <v>1959</v>
      </c>
      <c r="B1891" s="6">
        <v>195</v>
      </c>
      <c r="C1891" s="6">
        <v>47781388</v>
      </c>
      <c r="D1891" s="6" t="s">
        <v>6336</v>
      </c>
      <c r="E1891" s="6" t="s">
        <v>84</v>
      </c>
      <c r="F1891" s="6" t="s">
        <v>6342</v>
      </c>
      <c r="G1891" s="6">
        <v>147504</v>
      </c>
      <c r="H1891" s="6" t="s">
        <v>6343</v>
      </c>
      <c r="I1891" s="6">
        <v>531</v>
      </c>
      <c r="J1891" s="6" t="s">
        <v>23</v>
      </c>
      <c r="K1891" s="6" t="s">
        <v>24</v>
      </c>
      <c r="L1891" s="6">
        <v>40000000</v>
      </c>
      <c r="M1891" s="6">
        <v>2004</v>
      </c>
      <c r="N1891" s="6">
        <v>6.6</v>
      </c>
      <c r="O1891" s="4">
        <f ca="1">IFERROR(__xludf.DUMMYFUNCTION("IF(Cost_in_dollars!E1891=""USD"",Cost_in_dollars!B1891,Cost_in_dollars!B1891 * GOOGLEFINANCE(""CURRENCY:"" &amp; Cost_in_dollars!E1891 &amp; ""USD""))
"),40000000)</f>
        <v>40000000</v>
      </c>
      <c r="P1891" s="4">
        <f ca="1">IFERROR(__xludf.DUMMYFUNCTION("IF(Cost_in_dollars!E1891=""USD"",Cost_in_dollars!C1891,Cost_in_dollars!C1891 * GOOGLEFINANCE(""CURRENCY:"" &amp; Cost_in_dollars!E1891 &amp; ""USD""))
"),47781388)</f>
        <v>47781388</v>
      </c>
      <c r="Q1891" s="6">
        <f t="shared" ca="1" si="42"/>
        <v>7781388</v>
      </c>
      <c r="R1891" s="7" t="str">
        <f t="shared" si="43"/>
        <v>Secret Window</v>
      </c>
      <c r="S1891" s="43" t="str">
        <f t="shared" si="45"/>
        <v>Mystery</v>
      </c>
    </row>
    <row r="1892" spans="1:19" ht="15.75" customHeight="1" x14ac:dyDescent="0.25">
      <c r="A1892" s="4" t="s">
        <v>1126</v>
      </c>
      <c r="B1892" s="4">
        <v>294</v>
      </c>
      <c r="C1892" s="4">
        <v>217536138</v>
      </c>
      <c r="D1892" s="4" t="s">
        <v>6336</v>
      </c>
      <c r="E1892" s="4" t="s">
        <v>464</v>
      </c>
      <c r="F1892" s="4" t="s">
        <v>6344</v>
      </c>
      <c r="G1892" s="4">
        <v>314253</v>
      </c>
      <c r="H1892" s="4" t="s">
        <v>6345</v>
      </c>
      <c r="I1892" s="4">
        <v>1966</v>
      </c>
      <c r="J1892" s="4" t="s">
        <v>23</v>
      </c>
      <c r="K1892" s="4" t="s">
        <v>24</v>
      </c>
      <c r="L1892" s="4">
        <v>125000000</v>
      </c>
      <c r="M1892" s="4">
        <v>2006</v>
      </c>
      <c r="N1892" s="4">
        <v>6.6</v>
      </c>
      <c r="O1892" s="4">
        <f ca="1">IFERROR(__xludf.DUMMYFUNCTION("IF(Cost_in_dollars!E1892=""USD"",Cost_in_dollars!B1892,Cost_in_dollars!B1892 * GOOGLEFINANCE(""CURRENCY:"" &amp; Cost_in_dollars!E1892 &amp; ""USD""))
"),125000000)</f>
        <v>125000000</v>
      </c>
      <c r="P1892" s="4">
        <f ca="1">IFERROR(__xludf.DUMMYFUNCTION("IF(Cost_in_dollars!E1892=""USD"",Cost_in_dollars!C1892,Cost_in_dollars!C1892 * GOOGLEFINANCE(""CURRENCY:"" &amp; Cost_in_dollars!E1892 &amp; ""USD""))
"),217536138)</f>
        <v>217536138</v>
      </c>
      <c r="Q1892" s="4">
        <f t="shared" ca="1" si="42"/>
        <v>92536138</v>
      </c>
      <c r="R1892" s="5" t="str">
        <f t="shared" si="43"/>
        <v>The Da Vinci Code</v>
      </c>
      <c r="S1892" s="43" t="str">
        <f t="shared" si="45"/>
        <v>Mystery</v>
      </c>
    </row>
    <row r="1893" spans="1:19" ht="15.75" customHeight="1" x14ac:dyDescent="0.25">
      <c r="A1893" s="6" t="s">
        <v>1126</v>
      </c>
      <c r="B1893" s="6">
        <v>298</v>
      </c>
      <c r="C1893" s="6">
        <v>133375846</v>
      </c>
      <c r="D1893" s="6" t="s">
        <v>6336</v>
      </c>
      <c r="E1893" s="6" t="s">
        <v>464</v>
      </c>
      <c r="F1893" s="6" t="s">
        <v>6346</v>
      </c>
      <c r="G1893" s="6">
        <v>207839</v>
      </c>
      <c r="H1893" s="6" t="s">
        <v>6347</v>
      </c>
      <c r="I1893" s="6">
        <v>435</v>
      </c>
      <c r="J1893" s="6" t="s">
        <v>23</v>
      </c>
      <c r="K1893" s="6" t="s">
        <v>24</v>
      </c>
      <c r="L1893" s="6">
        <v>150000000</v>
      </c>
      <c r="M1893" s="6">
        <v>2009</v>
      </c>
      <c r="N1893" s="6">
        <v>6.7</v>
      </c>
      <c r="O1893" s="4">
        <f ca="1">IFERROR(__xludf.DUMMYFUNCTION("IF(Cost_in_dollars!E1893=""USD"",Cost_in_dollars!B1893,Cost_in_dollars!B1893 * GOOGLEFINANCE(""CURRENCY:"" &amp; Cost_in_dollars!E1893 &amp; ""USD""))
"),150000000)</f>
        <v>150000000</v>
      </c>
      <c r="P1893" s="4">
        <f ca="1">IFERROR(__xludf.DUMMYFUNCTION("IF(Cost_in_dollars!E1893=""USD"",Cost_in_dollars!C1893,Cost_in_dollars!C1893 * GOOGLEFINANCE(""CURRENCY:"" &amp; Cost_in_dollars!E1893 &amp; ""USD""))
"),133375846)</f>
        <v>133375846</v>
      </c>
      <c r="Q1893" s="6">
        <f t="shared" ca="1" si="42"/>
        <v>-16624154</v>
      </c>
      <c r="R1893" s="7" t="str">
        <f t="shared" si="43"/>
        <v>Angels &amp; Demons</v>
      </c>
      <c r="S1893" s="43" t="str">
        <f t="shared" si="45"/>
        <v>Mystery</v>
      </c>
    </row>
    <row r="1894" spans="1:19" ht="15.75" customHeight="1" x14ac:dyDescent="0.25">
      <c r="A1894" s="4" t="s">
        <v>6348</v>
      </c>
      <c r="B1894" s="4">
        <v>111</v>
      </c>
      <c r="C1894" s="4">
        <v>15500000</v>
      </c>
      <c r="D1894" s="4" t="s">
        <v>5580</v>
      </c>
      <c r="E1894" s="4" t="s">
        <v>1382</v>
      </c>
      <c r="F1894" s="4" t="s">
        <v>6349</v>
      </c>
      <c r="G1894" s="4">
        <v>51996</v>
      </c>
      <c r="H1894" s="4" t="s">
        <v>6350</v>
      </c>
      <c r="I1894" s="4">
        <v>302</v>
      </c>
      <c r="J1894" s="4" t="s">
        <v>23</v>
      </c>
      <c r="K1894" s="4" t="s">
        <v>176</v>
      </c>
      <c r="L1894" s="4">
        <v>16000000</v>
      </c>
      <c r="M1894" s="4">
        <v>1999</v>
      </c>
      <c r="N1894" s="4">
        <v>7</v>
      </c>
      <c r="O1894" s="4">
        <f ca="1">IFERROR(__xludf.DUMMYFUNCTION("IF(Cost_in_dollars!E1894=""USD"",Cost_in_dollars!B1894,Cost_in_dollars!B1894 * GOOGLEFINANCE(""CURRENCY:"" &amp; Cost_in_dollars!E1894 &amp; ""USD""))
"),17355840)</f>
        <v>17355840</v>
      </c>
      <c r="P1894" s="4">
        <f ca="1">IFERROR(__xludf.DUMMYFUNCTION("IF(Cost_in_dollars!E1894=""USD"",Cost_in_dollars!C1894,Cost_in_dollars!C1894 * GOOGLEFINANCE(""CURRENCY:"" &amp; Cost_in_dollars!E1894 &amp; ""USD""))
"),16813470)</f>
        <v>16813470</v>
      </c>
      <c r="Q1894" s="4">
        <f t="shared" ca="1" si="42"/>
        <v>-542370</v>
      </c>
      <c r="R1894" s="5" t="str">
        <f t="shared" si="43"/>
        <v>The Thirteenth Floor</v>
      </c>
      <c r="S1894" s="43" t="str">
        <f t="shared" si="45"/>
        <v>Mystery</v>
      </c>
    </row>
    <row r="1895" spans="1:19" ht="15.75" customHeight="1" x14ac:dyDescent="0.25">
      <c r="A1895" s="6" t="s">
        <v>6351</v>
      </c>
      <c r="B1895" s="6">
        <v>297</v>
      </c>
      <c r="C1895" s="6">
        <v>43771291</v>
      </c>
      <c r="D1895" s="6" t="s">
        <v>6336</v>
      </c>
      <c r="E1895" s="6" t="s">
        <v>4600</v>
      </c>
      <c r="F1895" s="6" t="s">
        <v>6352</v>
      </c>
      <c r="G1895" s="6">
        <v>79909</v>
      </c>
      <c r="H1895" s="6" t="s">
        <v>6353</v>
      </c>
      <c r="I1895" s="6">
        <v>279</v>
      </c>
      <c r="J1895" s="6" t="s">
        <v>23</v>
      </c>
      <c r="K1895" s="6" t="s">
        <v>24</v>
      </c>
      <c r="L1895" s="6">
        <v>5000000</v>
      </c>
      <c r="M1895" s="6">
        <v>2015</v>
      </c>
      <c r="N1895" s="6">
        <v>7.1</v>
      </c>
      <c r="O1895" s="4">
        <f ca="1">IFERROR(__xludf.DUMMYFUNCTION("IF(Cost_in_dollars!E1895=""USD"",Cost_in_dollars!B1895,Cost_in_dollars!B1895 * GOOGLEFINANCE(""CURRENCY:"" &amp; Cost_in_dollars!E1895 &amp; ""USD""))
"),5000000)</f>
        <v>5000000</v>
      </c>
      <c r="P1895" s="4">
        <f ca="1">IFERROR(__xludf.DUMMYFUNCTION("IF(Cost_in_dollars!E1895=""USD"",Cost_in_dollars!C1895,Cost_in_dollars!C1895 * GOOGLEFINANCE(""CURRENCY:"" &amp; Cost_in_dollars!E1895 &amp; ""USD""))
"),43771291)</f>
        <v>43771291</v>
      </c>
      <c r="Q1895" s="6">
        <f t="shared" ca="1" si="42"/>
        <v>38771291</v>
      </c>
      <c r="R1895" s="7" t="str">
        <f t="shared" si="43"/>
        <v>The Gift</v>
      </c>
      <c r="S1895" s="43" t="str">
        <f t="shared" si="45"/>
        <v>Mystery</v>
      </c>
    </row>
    <row r="1896" spans="1:19" ht="15.75" customHeight="1" x14ac:dyDescent="0.25">
      <c r="A1896" s="4" t="s">
        <v>6351</v>
      </c>
      <c r="B1896" s="4">
        <v>297</v>
      </c>
      <c r="C1896" s="4">
        <v>43771291</v>
      </c>
      <c r="D1896" s="4" t="s">
        <v>6336</v>
      </c>
      <c r="E1896" s="4" t="s">
        <v>4600</v>
      </c>
      <c r="F1896" s="4" t="s">
        <v>6352</v>
      </c>
      <c r="G1896" s="4">
        <v>79916</v>
      </c>
      <c r="H1896" s="4" t="s">
        <v>6353</v>
      </c>
      <c r="I1896" s="4">
        <v>279</v>
      </c>
      <c r="J1896" s="4" t="s">
        <v>23</v>
      </c>
      <c r="K1896" s="4" t="s">
        <v>24</v>
      </c>
      <c r="L1896" s="4">
        <v>5000000</v>
      </c>
      <c r="M1896" s="4">
        <v>2015</v>
      </c>
      <c r="N1896" s="4">
        <v>7.1</v>
      </c>
      <c r="O1896" s="4">
        <f ca="1">IFERROR(__xludf.DUMMYFUNCTION("IF(Cost_in_dollars!E1896=""USD"",Cost_in_dollars!B1896,Cost_in_dollars!B1896 * GOOGLEFINANCE(""CURRENCY:"" &amp; Cost_in_dollars!E1896 &amp; ""USD""))
"),5000000)</f>
        <v>5000000</v>
      </c>
      <c r="P1896" s="4">
        <f ca="1">IFERROR(__xludf.DUMMYFUNCTION("IF(Cost_in_dollars!E1896=""USD"",Cost_in_dollars!C1896,Cost_in_dollars!C1896 * GOOGLEFINANCE(""CURRENCY:"" &amp; Cost_in_dollars!E1896 &amp; ""USD""))
"),43771291)</f>
        <v>43771291</v>
      </c>
      <c r="Q1896" s="4">
        <f t="shared" ca="1" si="42"/>
        <v>38771291</v>
      </c>
      <c r="R1896" s="5" t="str">
        <f t="shared" si="43"/>
        <v>The Gift</v>
      </c>
      <c r="S1896" s="43" t="str">
        <f t="shared" si="45"/>
        <v>Mystery</v>
      </c>
    </row>
    <row r="1897" spans="1:19" ht="15.75" customHeight="1" x14ac:dyDescent="0.25">
      <c r="A1897" s="6" t="s">
        <v>6354</v>
      </c>
      <c r="B1897" s="6">
        <v>413</v>
      </c>
      <c r="C1897" s="6">
        <v>62453315</v>
      </c>
      <c r="D1897" s="6" t="s">
        <v>6355</v>
      </c>
      <c r="E1897" s="6" t="s">
        <v>588</v>
      </c>
      <c r="F1897" s="6" t="s">
        <v>6356</v>
      </c>
      <c r="G1897" s="6">
        <v>200035</v>
      </c>
      <c r="H1897" s="6" t="s">
        <v>6357</v>
      </c>
      <c r="I1897" s="6">
        <v>407</v>
      </c>
      <c r="J1897" s="6" t="s">
        <v>23</v>
      </c>
      <c r="K1897" s="6" t="s">
        <v>24</v>
      </c>
      <c r="L1897" s="6">
        <v>50200000</v>
      </c>
      <c r="M1897" s="6">
        <v>2011</v>
      </c>
      <c r="N1897" s="6">
        <v>7.1</v>
      </c>
      <c r="O1897" s="4">
        <f ca="1">IFERROR(__xludf.DUMMYFUNCTION("IF(Cost_in_dollars!E1897=""USD"",Cost_in_dollars!B1897,Cost_in_dollars!B1897 * GOOGLEFINANCE(""CURRENCY:"" &amp; Cost_in_dollars!E1897 &amp; ""USD""))
"),50200000)</f>
        <v>50200000</v>
      </c>
      <c r="P1897" s="4">
        <f ca="1">IFERROR(__xludf.DUMMYFUNCTION("IF(Cost_in_dollars!E1897=""USD"",Cost_in_dollars!C1897,Cost_in_dollars!C1897 * GOOGLEFINANCE(""CURRENCY:"" &amp; Cost_in_dollars!E1897 &amp; ""USD""))
"),62453315)</f>
        <v>62453315</v>
      </c>
      <c r="Q1897" s="6">
        <f t="shared" ca="1" si="42"/>
        <v>12253315</v>
      </c>
      <c r="R1897" s="7" t="str">
        <f t="shared" si="43"/>
        <v>The Adjustment Bureau</v>
      </c>
      <c r="S1897" s="43" t="str">
        <f t="shared" si="45"/>
        <v>Romance</v>
      </c>
    </row>
    <row r="1898" spans="1:19" ht="15.75" customHeight="1" x14ac:dyDescent="0.25">
      <c r="A1898" s="4" t="s">
        <v>6358</v>
      </c>
      <c r="B1898" s="4">
        <v>84</v>
      </c>
      <c r="C1898" s="4">
        <v>79568000</v>
      </c>
      <c r="D1898" s="4" t="s">
        <v>6302</v>
      </c>
      <c r="E1898" s="4" t="s">
        <v>2205</v>
      </c>
      <c r="F1898" s="4" t="s">
        <v>6359</v>
      </c>
      <c r="G1898" s="4">
        <v>71842</v>
      </c>
      <c r="H1898" s="4" t="s">
        <v>6360</v>
      </c>
      <c r="I1898" s="4">
        <v>152</v>
      </c>
      <c r="J1898" s="4" t="s">
        <v>23</v>
      </c>
      <c r="K1898" s="4" t="s">
        <v>24</v>
      </c>
      <c r="L1898" s="4">
        <v>12000000</v>
      </c>
      <c r="M1898" s="4">
        <v>1983</v>
      </c>
      <c r="N1898" s="4">
        <v>7.1</v>
      </c>
      <c r="O1898" s="4">
        <f ca="1">IFERROR(__xludf.DUMMYFUNCTION("IF(Cost_in_dollars!E1898=""USD"",Cost_in_dollars!B1898,Cost_in_dollars!B1898 * GOOGLEFINANCE(""CURRENCY:"" &amp; Cost_in_dollars!E1898 &amp; ""USD""))
"),12000000)</f>
        <v>12000000</v>
      </c>
      <c r="P1898" s="4">
        <f ca="1">IFERROR(__xludf.DUMMYFUNCTION("IF(Cost_in_dollars!E1898=""USD"",Cost_in_dollars!C1898,Cost_in_dollars!C1898 * GOOGLEFINANCE(""CURRENCY:"" &amp; Cost_in_dollars!E1898 &amp; ""USD""))
"),79568000)</f>
        <v>79568000</v>
      </c>
      <c r="Q1898" s="4">
        <f t="shared" ca="1" si="42"/>
        <v>67568000</v>
      </c>
      <c r="R1898" s="5" t="str">
        <f t="shared" si="43"/>
        <v>WarGames</v>
      </c>
      <c r="S1898" s="43" t="str">
        <f t="shared" si="45"/>
        <v>Sci-Fi</v>
      </c>
    </row>
    <row r="1899" spans="1:19" ht="15.75" customHeight="1" x14ac:dyDescent="0.25">
      <c r="A1899" s="6" t="s">
        <v>6361</v>
      </c>
      <c r="B1899" s="6">
        <v>343</v>
      </c>
      <c r="C1899" s="6">
        <v>15523168</v>
      </c>
      <c r="D1899" s="6" t="s">
        <v>6336</v>
      </c>
      <c r="E1899" s="6" t="s">
        <v>6362</v>
      </c>
      <c r="F1899" s="6" t="s">
        <v>6363</v>
      </c>
      <c r="G1899" s="6">
        <v>132423</v>
      </c>
      <c r="H1899" s="6" t="s">
        <v>6364</v>
      </c>
      <c r="I1899" s="6">
        <v>349</v>
      </c>
      <c r="J1899" s="6" t="s">
        <v>23</v>
      </c>
      <c r="K1899" s="6" t="s">
        <v>611</v>
      </c>
      <c r="L1899" s="6">
        <v>45000000</v>
      </c>
      <c r="M1899" s="6">
        <v>2010</v>
      </c>
      <c r="N1899" s="6">
        <v>7.2</v>
      </c>
      <c r="O1899" s="4">
        <f ca="1">IFERROR(__xludf.DUMMYFUNCTION("IF(Cost_in_dollars!E1899=""USD"",Cost_in_dollars!B1899,Cost_in_dollars!B1899 * GOOGLEFINANCE(""CURRENCY:"" &amp; Cost_in_dollars!E1899 &amp; ""USD""))
"),48813300)</f>
        <v>48813300</v>
      </c>
      <c r="P1899" s="4">
        <f ca="1">IFERROR(__xludf.DUMMYFUNCTION("IF(Cost_in_dollars!E1899=""USD"",Cost_in_dollars!C1899,Cost_in_dollars!C1899 * GOOGLEFINANCE(""CURRENCY:"" &amp; Cost_in_dollars!E1899 &amp; ""USD""))
"),16838601.25632)</f>
        <v>16838601.25632</v>
      </c>
      <c r="Q1899" s="6">
        <f t="shared" ca="1" si="42"/>
        <v>-31974698.74368</v>
      </c>
      <c r="R1899" s="7" t="str">
        <f t="shared" si="43"/>
        <v>The Ghost Writer</v>
      </c>
      <c r="S1899" s="43" t="str">
        <f t="shared" si="45"/>
        <v>Mystery</v>
      </c>
    </row>
    <row r="1900" spans="1:19" ht="15.75" customHeight="1" x14ac:dyDescent="0.25">
      <c r="A1900" s="4" t="s">
        <v>221</v>
      </c>
      <c r="B1900" s="4">
        <v>136</v>
      </c>
      <c r="C1900" s="4">
        <v>51475962</v>
      </c>
      <c r="D1900" s="4" t="s">
        <v>6336</v>
      </c>
      <c r="E1900" s="4" t="s">
        <v>5414</v>
      </c>
      <c r="F1900" s="4" t="s">
        <v>6365</v>
      </c>
      <c r="G1900" s="4">
        <v>177828</v>
      </c>
      <c r="H1900" s="4" t="s">
        <v>6366</v>
      </c>
      <c r="I1900" s="4">
        <v>714</v>
      </c>
      <c r="J1900" s="4" t="s">
        <v>23</v>
      </c>
      <c r="K1900" s="4" t="s">
        <v>24</v>
      </c>
      <c r="L1900" s="4">
        <v>30000000</v>
      </c>
      <c r="M1900" s="4">
        <v>2003</v>
      </c>
      <c r="N1900" s="4">
        <v>7.3</v>
      </c>
      <c r="O1900" s="4">
        <f ca="1">IFERROR(__xludf.DUMMYFUNCTION("IF(Cost_in_dollars!E1900=""USD"",Cost_in_dollars!B1900,Cost_in_dollars!B1900 * GOOGLEFINANCE(""CURRENCY:"" &amp; Cost_in_dollars!E1900 &amp; ""USD""))
"),30000000)</f>
        <v>30000000</v>
      </c>
      <c r="P1900" s="4">
        <f ca="1">IFERROR(__xludf.DUMMYFUNCTION("IF(Cost_in_dollars!E1900=""USD"",Cost_in_dollars!C1900,Cost_in_dollars!C1900 * GOOGLEFINANCE(""CURRENCY:"" &amp; Cost_in_dollars!E1900 &amp; ""USD""))
"),51475962)</f>
        <v>51475962</v>
      </c>
      <c r="Q1900" s="4">
        <f t="shared" ca="1" si="42"/>
        <v>21475962</v>
      </c>
      <c r="R1900" s="5" t="str">
        <f t="shared" si="43"/>
        <v>Identity</v>
      </c>
      <c r="S1900" s="43" t="str">
        <f t="shared" si="45"/>
        <v>Mystery</v>
      </c>
    </row>
    <row r="1901" spans="1:19" ht="15.75" customHeight="1" x14ac:dyDescent="0.25">
      <c r="A1901" s="6" t="s">
        <v>37</v>
      </c>
      <c r="B1901" s="6">
        <v>38</v>
      </c>
      <c r="C1901" s="6">
        <v>41400000</v>
      </c>
      <c r="D1901" s="6" t="s">
        <v>6290</v>
      </c>
      <c r="E1901" s="6" t="s">
        <v>37</v>
      </c>
      <c r="F1901" s="6" t="s">
        <v>6367</v>
      </c>
      <c r="G1901" s="6">
        <v>39451</v>
      </c>
      <c r="H1901" s="6" t="s">
        <v>6368</v>
      </c>
      <c r="I1901" s="6">
        <v>138</v>
      </c>
      <c r="J1901" s="6" t="s">
        <v>23</v>
      </c>
      <c r="K1901" s="6" t="s">
        <v>24</v>
      </c>
      <c r="L1901" s="6">
        <v>6900000</v>
      </c>
      <c r="M1901" s="6">
        <v>1985</v>
      </c>
      <c r="N1901" s="6">
        <v>7.3</v>
      </c>
      <c r="O1901" s="4">
        <f ca="1">IFERROR(__xludf.DUMMYFUNCTION("IF(Cost_in_dollars!E1901=""USD"",Cost_in_dollars!B1901,Cost_in_dollars!B1901 * GOOGLEFINANCE(""CURRENCY:"" &amp; Cost_in_dollars!E1901 &amp; ""USD""))
"),6900000)</f>
        <v>6900000</v>
      </c>
      <c r="P1901" s="4">
        <f ca="1">IFERROR(__xludf.DUMMYFUNCTION("IF(Cost_in_dollars!E1901=""USD"",Cost_in_dollars!C1901,Cost_in_dollars!C1901 * GOOGLEFINANCE(""CURRENCY:"" &amp; Cost_in_dollars!E1901 &amp; ""USD""))
"),41400000)</f>
        <v>41400000</v>
      </c>
      <c r="Q1901" s="6">
        <f t="shared" ca="1" si="42"/>
        <v>34500000</v>
      </c>
      <c r="R1901" s="7" t="str">
        <f t="shared" si="43"/>
        <v>Pale Rider</v>
      </c>
      <c r="S1901" s="43" t="str">
        <f t="shared" si="45"/>
        <v>Western</v>
      </c>
    </row>
    <row r="1902" spans="1:19" ht="15.75" customHeight="1" x14ac:dyDescent="0.25">
      <c r="A1902" s="4" t="s">
        <v>6369</v>
      </c>
      <c r="B1902" s="4">
        <v>185</v>
      </c>
      <c r="C1902" s="4">
        <v>23947</v>
      </c>
      <c r="D1902" s="4" t="s">
        <v>6302</v>
      </c>
      <c r="E1902" s="4" t="s">
        <v>2026</v>
      </c>
      <c r="F1902" s="4" t="s">
        <v>6370</v>
      </c>
      <c r="G1902" s="4">
        <v>357579</v>
      </c>
      <c r="H1902" s="4" t="s">
        <v>6371</v>
      </c>
      <c r="I1902" s="4">
        <v>1100</v>
      </c>
      <c r="J1902" s="4" t="s">
        <v>23</v>
      </c>
      <c r="K1902" s="4" t="s">
        <v>24</v>
      </c>
      <c r="L1902" s="4">
        <v>13000000</v>
      </c>
      <c r="M1902" s="4">
        <v>2004</v>
      </c>
      <c r="N1902" s="4">
        <v>7.7</v>
      </c>
      <c r="O1902" s="4">
        <f ca="1">IFERROR(__xludf.DUMMYFUNCTION("IF(Cost_in_dollars!E1902=""USD"",Cost_in_dollars!B1902,Cost_in_dollars!B1902 * GOOGLEFINANCE(""CURRENCY:"" &amp; Cost_in_dollars!E1902 &amp; ""USD""))
"),13000000)</f>
        <v>13000000</v>
      </c>
      <c r="P1902" s="4">
        <f ca="1">IFERROR(__xludf.DUMMYFUNCTION("IF(Cost_in_dollars!E1902=""USD"",Cost_in_dollars!C1902,Cost_in_dollars!C1902 * GOOGLEFINANCE(""CURRENCY:"" &amp; Cost_in_dollars!E1902 &amp; ""USD""))
"),23947)</f>
        <v>23947</v>
      </c>
      <c r="Q1902" s="4">
        <f t="shared" ca="1" si="42"/>
        <v>-12976053</v>
      </c>
      <c r="R1902" s="5" t="str">
        <f t="shared" si="43"/>
        <v>The Butterfly Effect</v>
      </c>
      <c r="S1902" s="43" t="str">
        <f t="shared" si="45"/>
        <v>Sci-Fi</v>
      </c>
    </row>
    <row r="1903" spans="1:19" ht="15.75" customHeight="1" x14ac:dyDescent="0.25">
      <c r="A1903" s="6" t="s">
        <v>35</v>
      </c>
      <c r="B1903" s="6">
        <v>181</v>
      </c>
      <c r="C1903" s="6">
        <v>6100000</v>
      </c>
      <c r="D1903" s="6" t="s">
        <v>6290</v>
      </c>
      <c r="E1903" s="6" t="s">
        <v>37</v>
      </c>
      <c r="F1903" s="6" t="s">
        <v>6372</v>
      </c>
      <c r="G1903" s="6">
        <v>503509</v>
      </c>
      <c r="H1903" s="6" t="s">
        <v>6373</v>
      </c>
      <c r="I1903" s="6">
        <v>780</v>
      </c>
      <c r="J1903" s="6" t="s">
        <v>40</v>
      </c>
      <c r="K1903" s="6" t="s">
        <v>41</v>
      </c>
      <c r="L1903" s="6">
        <v>1200000</v>
      </c>
      <c r="M1903" s="6">
        <v>1966</v>
      </c>
      <c r="N1903" s="6">
        <v>8.9</v>
      </c>
      <c r="O1903" s="4">
        <f ca="1">IFERROR(__xludf.DUMMYFUNCTION("IF(Cost_in_dollars!E1903=""USD"",Cost_in_dollars!B1903,Cost_in_dollars!B1903 * GOOGLEFINANCE(""CURRENCY:"" &amp; Cost_in_dollars!E1903 &amp; ""USD""))
"),1301688)</f>
        <v>1301688</v>
      </c>
      <c r="P1903" s="4">
        <f ca="1">IFERROR(__xludf.DUMMYFUNCTION("IF(Cost_in_dollars!E1903=""USD"",Cost_in_dollars!C1903,Cost_in_dollars!C1903 * GOOGLEFINANCE(""CURRENCY:"" &amp; Cost_in_dollars!E1903 &amp; ""USD""))
"),6616914)</f>
        <v>6616914</v>
      </c>
      <c r="Q1903" s="6">
        <f t="shared" ca="1" si="42"/>
        <v>5315226</v>
      </c>
      <c r="R1903" s="7" t="str">
        <f t="shared" si="43"/>
        <v>The Good, the Bad and the Ugly</v>
      </c>
      <c r="S1903" s="43" t="str">
        <f t="shared" si="45"/>
        <v>Western</v>
      </c>
    </row>
    <row r="1904" spans="1:19" ht="15.75" customHeight="1" x14ac:dyDescent="0.25">
      <c r="A1904" s="4" t="s">
        <v>1357</v>
      </c>
      <c r="B1904" s="4">
        <v>274</v>
      </c>
      <c r="C1904" s="4">
        <v>25530884</v>
      </c>
      <c r="D1904" s="4" t="s">
        <v>6336</v>
      </c>
      <c r="E1904" s="4" t="s">
        <v>6374</v>
      </c>
      <c r="F1904" s="4" t="s">
        <v>6375</v>
      </c>
      <c r="G1904" s="4">
        <v>845580</v>
      </c>
      <c r="H1904" s="4" t="s">
        <v>6376</v>
      </c>
      <c r="I1904" s="4">
        <v>2067</v>
      </c>
      <c r="J1904" s="4" t="s">
        <v>23</v>
      </c>
      <c r="K1904" s="4" t="s">
        <v>24</v>
      </c>
      <c r="L1904" s="4">
        <v>9000000</v>
      </c>
      <c r="M1904" s="4">
        <v>2000</v>
      </c>
      <c r="N1904" s="4">
        <v>8.5</v>
      </c>
      <c r="O1904" s="4">
        <f ca="1">IFERROR(__xludf.DUMMYFUNCTION("IF(Cost_in_dollars!E1904=""USD"",Cost_in_dollars!B1904,Cost_in_dollars!B1904 * GOOGLEFINANCE(""CURRENCY:"" &amp; Cost_in_dollars!E1904 &amp; ""USD""))
"),9000000)</f>
        <v>9000000</v>
      </c>
      <c r="P1904" s="4">
        <f ca="1">IFERROR(__xludf.DUMMYFUNCTION("IF(Cost_in_dollars!E1904=""USD"",Cost_in_dollars!C1904,Cost_in_dollars!C1904 * GOOGLEFINANCE(""CURRENCY:"" &amp; Cost_in_dollars!E1904 &amp; ""USD""))
"),25530884)</f>
        <v>25530884</v>
      </c>
      <c r="Q1904" s="4">
        <f t="shared" ca="1" si="42"/>
        <v>16530884</v>
      </c>
      <c r="R1904" s="5" t="str">
        <f t="shared" si="43"/>
        <v>Memento</v>
      </c>
      <c r="S1904" s="43" t="str">
        <f t="shared" si="45"/>
        <v>Mystery</v>
      </c>
    </row>
    <row r="1905" spans="1:19" ht="15.75" customHeight="1" x14ac:dyDescent="0.25">
      <c r="A1905" s="6" t="s">
        <v>72</v>
      </c>
      <c r="B1905" s="6">
        <v>302</v>
      </c>
      <c r="C1905" s="6">
        <v>27000000</v>
      </c>
      <c r="D1905" s="6" t="s">
        <v>6302</v>
      </c>
      <c r="E1905" s="6" t="s">
        <v>640</v>
      </c>
      <c r="F1905" s="6" t="s">
        <v>6377</v>
      </c>
      <c r="G1905" s="6">
        <v>461609</v>
      </c>
      <c r="H1905" s="6" t="s">
        <v>6378</v>
      </c>
      <c r="I1905" s="6">
        <v>1168</v>
      </c>
      <c r="J1905" s="6" t="s">
        <v>23</v>
      </c>
      <c r="K1905" s="6" t="s">
        <v>24</v>
      </c>
      <c r="L1905" s="6">
        <v>28000000</v>
      </c>
      <c r="M1905" s="6">
        <v>1982</v>
      </c>
      <c r="N1905" s="6">
        <v>8.1999999999999993</v>
      </c>
      <c r="O1905" s="4">
        <f ca="1">IFERROR(__xludf.DUMMYFUNCTION("IF(Cost_in_dollars!E1905=""USD"",Cost_in_dollars!B1905,Cost_in_dollars!B1905 * GOOGLEFINANCE(""CURRENCY:"" &amp; Cost_in_dollars!E1905 &amp; ""USD""))
"),28000000)</f>
        <v>28000000</v>
      </c>
      <c r="P1905" s="4">
        <f ca="1">IFERROR(__xludf.DUMMYFUNCTION("IF(Cost_in_dollars!E1905=""USD"",Cost_in_dollars!C1905,Cost_in_dollars!C1905 * GOOGLEFINANCE(""CURRENCY:"" &amp; Cost_in_dollars!E1905 &amp; ""USD""))
"),27000000)</f>
        <v>27000000</v>
      </c>
      <c r="Q1905" s="6">
        <f t="shared" ca="1" si="42"/>
        <v>-1000000</v>
      </c>
      <c r="R1905" s="7" t="str">
        <f t="shared" si="43"/>
        <v>Blade Runner</v>
      </c>
      <c r="S1905" s="43" t="str">
        <f t="shared" si="45"/>
        <v>Sci-Fi</v>
      </c>
    </row>
    <row r="1906" spans="1:19" ht="15.75" customHeight="1" x14ac:dyDescent="0.25">
      <c r="A1906" s="4" t="s">
        <v>763</v>
      </c>
      <c r="B1906" s="4">
        <v>490</v>
      </c>
      <c r="C1906" s="4">
        <v>127968405</v>
      </c>
      <c r="D1906" s="4" t="s">
        <v>6336</v>
      </c>
      <c r="E1906" s="4" t="s">
        <v>1358</v>
      </c>
      <c r="F1906" s="4" t="s">
        <v>6379</v>
      </c>
      <c r="G1906" s="4">
        <v>786092</v>
      </c>
      <c r="H1906" s="4" t="s">
        <v>6380</v>
      </c>
      <c r="I1906" s="4">
        <v>964</v>
      </c>
      <c r="J1906" s="4" t="s">
        <v>23</v>
      </c>
      <c r="K1906" s="4" t="s">
        <v>24</v>
      </c>
      <c r="L1906" s="4">
        <v>80000000</v>
      </c>
      <c r="M1906" s="4">
        <v>2010</v>
      </c>
      <c r="N1906" s="4">
        <v>8.1</v>
      </c>
      <c r="O1906" s="4">
        <f ca="1">IFERROR(__xludf.DUMMYFUNCTION("IF(Cost_in_dollars!E1906=""USD"",Cost_in_dollars!B1906,Cost_in_dollars!B1906 * GOOGLEFINANCE(""CURRENCY:"" &amp; Cost_in_dollars!E1906 &amp; ""USD""))
"),80000000)</f>
        <v>80000000</v>
      </c>
      <c r="P1906" s="4">
        <f ca="1">IFERROR(__xludf.DUMMYFUNCTION("IF(Cost_in_dollars!E1906=""USD"",Cost_in_dollars!C1906,Cost_in_dollars!C1906 * GOOGLEFINANCE(""CURRENCY:"" &amp; Cost_in_dollars!E1906 &amp; ""USD""))
"),127968405)</f>
        <v>127968405</v>
      </c>
      <c r="Q1906" s="4">
        <f t="shared" ca="1" si="42"/>
        <v>47968405</v>
      </c>
      <c r="R1906" s="5" t="str">
        <f t="shared" si="43"/>
        <v>Shutter Island</v>
      </c>
      <c r="S1906" s="43" t="str">
        <f t="shared" si="45"/>
        <v>Mystery</v>
      </c>
    </row>
    <row r="1907" spans="1:19" ht="15.75" customHeight="1" x14ac:dyDescent="0.25">
      <c r="A1907" s="6" t="s">
        <v>3405</v>
      </c>
      <c r="B1907" s="6">
        <v>360</v>
      </c>
      <c r="C1907" s="6">
        <v>37553932</v>
      </c>
      <c r="D1907" s="6" t="s">
        <v>1749</v>
      </c>
      <c r="E1907" s="6" t="s">
        <v>1601</v>
      </c>
      <c r="F1907" s="6" t="s">
        <v>6381</v>
      </c>
      <c r="G1907" s="6">
        <v>304318</v>
      </c>
      <c r="H1907" s="6" t="s">
        <v>6382</v>
      </c>
      <c r="I1907" s="6">
        <v>463</v>
      </c>
      <c r="J1907" s="6" t="s">
        <v>23</v>
      </c>
      <c r="K1907" s="6" t="s">
        <v>24</v>
      </c>
      <c r="L1907" s="6">
        <v>40000000</v>
      </c>
      <c r="M1907" s="6">
        <v>2011</v>
      </c>
      <c r="N1907" s="6">
        <v>6.7</v>
      </c>
      <c r="O1907" s="4">
        <f ca="1">IFERROR(__xludf.DUMMYFUNCTION("IF(Cost_in_dollars!E1907=""USD"",Cost_in_dollars!B1907,Cost_in_dollars!B1907 * GOOGLEFINANCE(""CURRENCY:"" &amp; Cost_in_dollars!E1907 &amp; ""USD""))
"),40000000)</f>
        <v>40000000</v>
      </c>
      <c r="P1907" s="4">
        <f ca="1">IFERROR(__xludf.DUMMYFUNCTION("IF(Cost_in_dollars!E1907=""USD"",Cost_in_dollars!C1907,Cost_in_dollars!C1907 * GOOGLEFINANCE(""CURRENCY:"" &amp; Cost_in_dollars!E1907 &amp; ""USD""))
"),37553932)</f>
        <v>37553932</v>
      </c>
      <c r="Q1907" s="6">
        <f t="shared" ca="1" si="42"/>
        <v>-2446068</v>
      </c>
      <c r="R1907" s="7" t="str">
        <f t="shared" si="43"/>
        <v>In Time</v>
      </c>
      <c r="S1907" s="43" t="str">
        <f t="shared" si="45"/>
        <v>Action</v>
      </c>
    </row>
    <row r="1908" spans="1:19" ht="15.75" customHeight="1" x14ac:dyDescent="0.25">
      <c r="A1908" s="4" t="s">
        <v>1145</v>
      </c>
      <c r="B1908" s="4">
        <v>214</v>
      </c>
      <c r="C1908" s="4">
        <v>39235088</v>
      </c>
      <c r="D1908" s="4" t="s">
        <v>1328</v>
      </c>
      <c r="E1908" s="4" t="s">
        <v>920</v>
      </c>
      <c r="F1908" s="4" t="s">
        <v>6383</v>
      </c>
      <c r="G1908" s="4">
        <v>193962</v>
      </c>
      <c r="H1908" s="4" t="s">
        <v>6384</v>
      </c>
      <c r="I1908" s="4">
        <v>805</v>
      </c>
      <c r="J1908" s="4" t="s">
        <v>23</v>
      </c>
      <c r="K1908" s="4" t="s">
        <v>24</v>
      </c>
      <c r="L1908" s="4">
        <v>23000000</v>
      </c>
      <c r="M1908" s="4">
        <v>2000</v>
      </c>
      <c r="N1908" s="4">
        <v>7.1</v>
      </c>
      <c r="O1908" s="4">
        <f ca="1">IFERROR(__xludf.DUMMYFUNCTION("IF(Cost_in_dollars!E1908=""USD"",Cost_in_dollars!B1908,Cost_in_dollars!B1908 * GOOGLEFINANCE(""CURRENCY:"" &amp; Cost_in_dollars!E1908 &amp; ""USD""))
"),23000000)</f>
        <v>23000000</v>
      </c>
      <c r="P1908" s="4">
        <f ca="1">IFERROR(__xludf.DUMMYFUNCTION("IF(Cost_in_dollars!E1908=""USD"",Cost_in_dollars!C1908,Cost_in_dollars!C1908 * GOOGLEFINANCE(""CURRENCY:"" &amp; Cost_in_dollars!E1908 &amp; ""USD""))
"),39235088)</f>
        <v>39235088</v>
      </c>
      <c r="Q1908" s="4">
        <f t="shared" ca="1" si="42"/>
        <v>16235088</v>
      </c>
      <c r="R1908" s="5" t="str">
        <f t="shared" si="43"/>
        <v>Pitch Black</v>
      </c>
      <c r="S1908" s="43" t="str">
        <f t="shared" si="45"/>
        <v>Horror</v>
      </c>
    </row>
    <row r="1909" spans="1:19" ht="15.75" customHeight="1" x14ac:dyDescent="0.25">
      <c r="A1909" s="6" t="s">
        <v>6385</v>
      </c>
      <c r="B1909" s="6">
        <v>481</v>
      </c>
      <c r="C1909" s="6">
        <v>4105123</v>
      </c>
      <c r="D1909" s="6" t="s">
        <v>155</v>
      </c>
      <c r="E1909" s="6" t="s">
        <v>6386</v>
      </c>
      <c r="F1909" s="6" t="s">
        <v>6387</v>
      </c>
      <c r="G1909" s="6">
        <v>148221</v>
      </c>
      <c r="H1909" s="6" t="s">
        <v>6388</v>
      </c>
      <c r="I1909" s="6">
        <v>316</v>
      </c>
      <c r="J1909" s="6" t="s">
        <v>6389</v>
      </c>
      <c r="K1909" s="6" t="s">
        <v>6390</v>
      </c>
      <c r="L1909" s="6">
        <v>1100000</v>
      </c>
      <c r="M1909" s="6">
        <v>2011</v>
      </c>
      <c r="N1909" s="6">
        <v>7.6</v>
      </c>
      <c r="O1909" s="4">
        <f ca="1">IFERROR(__xludf.DUMMYFUNCTION("IF(Cost_in_dollars!E1909=""USD"",Cost_in_dollars!B1909,Cost_in_dollars!B1909 * GOOGLEFINANCE(""CURRENCY:"" &amp; Cost_in_dollars!E1909 &amp; ""USD""))
"),67.35663)</f>
        <v>67.356629999999996</v>
      </c>
      <c r="P1909" s="4">
        <f ca="1">IFERROR(__xludf.DUMMYFUNCTION("IF(Cost_in_dollars!E1909=""USD"",Cost_in_dollars!C1909,Cost_in_dollars!C1909 * GOOGLEFINANCE(""CURRENCY:"" &amp; Cost_in_dollars!E1909 &amp; ""USD""))
"),251.370228195899)</f>
        <v>251.37022819589899</v>
      </c>
      <c r="Q1909" s="6">
        <f t="shared" ca="1" si="42"/>
        <v>184.01359819589899</v>
      </c>
      <c r="R1909" s="7" t="str">
        <f t="shared" si="43"/>
        <v>The Raid: Redemption</v>
      </c>
      <c r="S1909" s="43" t="str">
        <f t="shared" si="45"/>
        <v>Action</v>
      </c>
    </row>
    <row r="1910" spans="1:19" ht="15.75" customHeight="1" x14ac:dyDescent="0.25">
      <c r="A1910" s="4" t="s">
        <v>6391</v>
      </c>
      <c r="B1910" s="4">
        <v>39</v>
      </c>
      <c r="C1910" s="4">
        <v>12610552</v>
      </c>
      <c r="D1910" s="4" t="s">
        <v>452</v>
      </c>
      <c r="E1910" s="4" t="s">
        <v>6392</v>
      </c>
      <c r="F1910" s="4" t="s">
        <v>6393</v>
      </c>
      <c r="G1910" s="4">
        <v>4682</v>
      </c>
      <c r="H1910" s="4" t="s">
        <v>6394</v>
      </c>
      <c r="I1910" s="4">
        <v>206</v>
      </c>
      <c r="J1910" s="4" t="s">
        <v>23</v>
      </c>
      <c r="K1910" s="4" t="s">
        <v>24</v>
      </c>
      <c r="L1910" s="4">
        <v>7500000</v>
      </c>
      <c r="M1910" s="4">
        <v>1999</v>
      </c>
      <c r="N1910" s="4">
        <v>3.5</v>
      </c>
      <c r="O1910" s="4">
        <f ca="1">IFERROR(__xludf.DUMMYFUNCTION("IF(Cost_in_dollars!E1910=""USD"",Cost_in_dollars!B1910,Cost_in_dollars!B1910 * GOOGLEFINANCE(""CURRENCY:"" &amp; Cost_in_dollars!E1910 &amp; ""USD""))
"),7500000)</f>
        <v>7500000</v>
      </c>
      <c r="P1910" s="4">
        <f ca="1">IFERROR(__xludf.DUMMYFUNCTION("IF(Cost_in_dollars!E1910=""USD"",Cost_in_dollars!C1910,Cost_in_dollars!C1910 * GOOGLEFINANCE(""CURRENCY:"" &amp; Cost_in_dollars!E1910 &amp; ""USD""))
"),12610552)</f>
        <v>12610552</v>
      </c>
      <c r="Q1910" s="4">
        <f t="shared" ca="1" si="42"/>
        <v>5110552</v>
      </c>
      <c r="R1910" s="5" t="str">
        <f t="shared" si="43"/>
        <v>The Omega Code</v>
      </c>
      <c r="S1910" s="43" t="str">
        <f t="shared" si="45"/>
        <v>Action</v>
      </c>
    </row>
    <row r="1911" spans="1:19" ht="15.75" customHeight="1" x14ac:dyDescent="0.25">
      <c r="A1911" s="6" t="s">
        <v>6395</v>
      </c>
      <c r="B1911" s="6">
        <v>109</v>
      </c>
      <c r="C1911" s="6">
        <v>353743</v>
      </c>
      <c r="D1911" s="6" t="s">
        <v>6396</v>
      </c>
      <c r="E1911" s="6" t="s">
        <v>5928</v>
      </c>
      <c r="F1911" s="6" t="s">
        <v>6397</v>
      </c>
      <c r="G1911" s="6">
        <v>20730</v>
      </c>
      <c r="H1911" s="6" t="s">
        <v>6398</v>
      </c>
      <c r="I1911" s="6">
        <v>111</v>
      </c>
      <c r="J1911" s="6" t="s">
        <v>23</v>
      </c>
      <c r="K1911" s="6" t="s">
        <v>133</v>
      </c>
      <c r="L1911" s="6">
        <v>15000000</v>
      </c>
      <c r="M1911" s="6">
        <v>2001</v>
      </c>
      <c r="N1911" s="6">
        <v>6.9</v>
      </c>
      <c r="O1911" s="4">
        <f ca="1">IFERROR(__xludf.DUMMYFUNCTION("IF(Cost_in_dollars!E1911=""USD"",Cost_in_dollars!B1911,Cost_in_dollars!B1911 * GOOGLEFINANCE(""CURRENCY:"" &amp; Cost_in_dollars!E1911 &amp; ""USD""))
"),19281000)</f>
        <v>19281000</v>
      </c>
      <c r="P1911" s="4">
        <f ca="1">IFERROR(__xludf.DUMMYFUNCTION("IF(Cost_in_dollars!E1911=""USD"",Cost_in_dollars!C1911,Cost_in_dollars!C1911 * GOOGLEFINANCE(""CURRENCY:"" &amp; Cost_in_dollars!E1911 &amp; ""USD""))
"),454701.252199999)</f>
        <v>454701.252199999</v>
      </c>
      <c r="Q1911" s="6">
        <f t="shared" ca="1" si="42"/>
        <v>-18826298.7478</v>
      </c>
      <c r="R1911" s="7" t="str">
        <f t="shared" si="43"/>
        <v>Buffalo Soldiers</v>
      </c>
      <c r="S1911" s="43" t="str">
        <f t="shared" si="45"/>
        <v>Comedy</v>
      </c>
    </row>
    <row r="1912" spans="1:19" ht="15.75" customHeight="1" x14ac:dyDescent="0.25">
      <c r="A1912" s="4" t="s">
        <v>2271</v>
      </c>
      <c r="B1912" s="4">
        <v>107</v>
      </c>
      <c r="C1912" s="4">
        <v>73023275</v>
      </c>
      <c r="D1912" s="4" t="s">
        <v>860</v>
      </c>
      <c r="E1912" s="4" t="s">
        <v>593</v>
      </c>
      <c r="F1912" s="4" t="s">
        <v>6399</v>
      </c>
      <c r="G1912" s="4">
        <v>16271</v>
      </c>
      <c r="H1912" s="4" t="s">
        <v>6400</v>
      </c>
      <c r="I1912" s="4">
        <v>57</v>
      </c>
      <c r="J1912" s="4" t="s">
        <v>23</v>
      </c>
      <c r="K1912" s="4" t="s">
        <v>24</v>
      </c>
      <c r="L1912" s="4">
        <v>35000000</v>
      </c>
      <c r="M1912" s="4">
        <v>2009</v>
      </c>
      <c r="N1912" s="4">
        <v>5.4</v>
      </c>
      <c r="O1912" s="4">
        <f ca="1">IFERROR(__xludf.DUMMYFUNCTION("IF(Cost_in_dollars!E1912=""USD"",Cost_in_dollars!B1912,Cost_in_dollars!B1912 * GOOGLEFINANCE(""CURRENCY:"" &amp; Cost_in_dollars!E1912 &amp; ""USD""))
"),35000000)</f>
        <v>35000000</v>
      </c>
      <c r="P1912" s="4">
        <f ca="1">IFERROR(__xludf.DUMMYFUNCTION("IF(Cost_in_dollars!E1912=""USD"",Cost_in_dollars!C1912,Cost_in_dollars!C1912 * GOOGLEFINANCE(""CURRENCY:"" &amp; Cost_in_dollars!E1912 &amp; ""USD""))
"),73023275)</f>
        <v>73023275</v>
      </c>
      <c r="Q1912" s="4">
        <f t="shared" ca="1" si="42"/>
        <v>38023275</v>
      </c>
      <c r="R1912" s="5" t="str">
        <f t="shared" si="43"/>
        <v>Hotel for Dogs</v>
      </c>
      <c r="S1912" s="43" t="str">
        <f t="shared" si="45"/>
        <v>Comedy</v>
      </c>
    </row>
    <row r="1913" spans="1:19" ht="15.75" customHeight="1" x14ac:dyDescent="0.25">
      <c r="A1913" s="6" t="s">
        <v>3560</v>
      </c>
      <c r="B1913" s="6">
        <v>265</v>
      </c>
      <c r="C1913" s="6">
        <v>50213619</v>
      </c>
      <c r="D1913" s="6" t="s">
        <v>3561</v>
      </c>
      <c r="E1913" s="6" t="s">
        <v>6401</v>
      </c>
      <c r="F1913" s="6" t="s">
        <v>6402</v>
      </c>
      <c r="G1913" s="6">
        <v>139184</v>
      </c>
      <c r="H1913" s="6" t="s">
        <v>6403</v>
      </c>
      <c r="I1913" s="6">
        <v>243</v>
      </c>
      <c r="J1913" s="6" t="s">
        <v>23</v>
      </c>
      <c r="K1913" s="6" t="s">
        <v>24</v>
      </c>
      <c r="L1913" s="6">
        <v>36000000</v>
      </c>
      <c r="M1913" s="6">
        <v>2010</v>
      </c>
      <c r="N1913" s="6">
        <v>6.4</v>
      </c>
      <c r="O1913" s="4">
        <f ca="1">IFERROR(__xludf.DUMMYFUNCTION("IF(Cost_in_dollars!E1913=""USD"",Cost_in_dollars!B1913,Cost_in_dollars!B1913 * GOOGLEFINANCE(""CURRENCY:"" &amp; Cost_in_dollars!E1913 &amp; ""USD""))
"),36000000)</f>
        <v>36000000</v>
      </c>
      <c r="P1913" s="4">
        <f ca="1">IFERROR(__xludf.DUMMYFUNCTION("IF(Cost_in_dollars!E1913=""USD"",Cost_in_dollars!C1913,Cost_in_dollars!C1913 * GOOGLEFINANCE(""CURRENCY:"" &amp; Cost_in_dollars!E1913 &amp; ""USD""))
"),50213619)</f>
        <v>50213619</v>
      </c>
      <c r="Q1913" s="6">
        <f t="shared" ca="1" si="42"/>
        <v>14213619</v>
      </c>
      <c r="R1913" s="7" t="str">
        <f t="shared" si="43"/>
        <v>Hot Tub Time Machine</v>
      </c>
      <c r="S1913" s="43" t="str">
        <f t="shared" si="45"/>
        <v>Comedy</v>
      </c>
    </row>
    <row r="1914" spans="1:19" ht="15.75" customHeight="1" x14ac:dyDescent="0.25">
      <c r="A1914" s="4" t="s">
        <v>6404</v>
      </c>
      <c r="B1914" s="4">
        <v>75</v>
      </c>
      <c r="C1914" s="4">
        <v>10696210</v>
      </c>
      <c r="D1914" s="4" t="s">
        <v>774</v>
      </c>
      <c r="E1914" s="4" t="s">
        <v>6405</v>
      </c>
      <c r="F1914" s="4" t="s">
        <v>6406</v>
      </c>
      <c r="G1914" s="4">
        <v>35018</v>
      </c>
      <c r="H1914" s="4" t="s">
        <v>6407</v>
      </c>
      <c r="I1914" s="4">
        <v>180</v>
      </c>
      <c r="J1914" s="4" t="s">
        <v>23</v>
      </c>
      <c r="K1914" s="4" t="s">
        <v>24</v>
      </c>
      <c r="L1914" s="4">
        <v>23500000</v>
      </c>
      <c r="M1914" s="4">
        <v>1993</v>
      </c>
      <c r="N1914" s="4">
        <v>3.9</v>
      </c>
      <c r="O1914" s="4">
        <f ca="1">IFERROR(__xludf.DUMMYFUNCTION("IF(Cost_in_dollars!E1914=""USD"",Cost_in_dollars!B1914,Cost_in_dollars!B1914 * GOOGLEFINANCE(""CURRENCY:"" &amp; Cost_in_dollars!E1914 &amp; ""USD""))
"),23500000)</f>
        <v>23500000</v>
      </c>
      <c r="P1914" s="4">
        <f ca="1">IFERROR(__xludf.DUMMYFUNCTION("IF(Cost_in_dollars!E1914=""USD"",Cost_in_dollars!C1914,Cost_in_dollars!C1914 * GOOGLEFINANCE(""CURRENCY:"" &amp; Cost_in_dollars!E1914 &amp; ""USD""))
"),10696210)</f>
        <v>10696210</v>
      </c>
      <c r="Q1914" s="4">
        <f t="shared" ca="1" si="42"/>
        <v>-12803790</v>
      </c>
      <c r="R1914" s="5" t="str">
        <f t="shared" si="43"/>
        <v>RoboCop 3</v>
      </c>
      <c r="S1914" s="43" t="str">
        <f t="shared" si="45"/>
        <v>Action</v>
      </c>
    </row>
    <row r="1915" spans="1:19" ht="15.75" customHeight="1" x14ac:dyDescent="0.25">
      <c r="A1915" s="6" t="s">
        <v>2315</v>
      </c>
      <c r="B1915" s="6">
        <v>117</v>
      </c>
      <c r="C1915" s="6">
        <v>37432299</v>
      </c>
      <c r="D1915" s="6" t="s">
        <v>235</v>
      </c>
      <c r="E1915" s="6" t="s">
        <v>6408</v>
      </c>
      <c r="F1915" s="6" t="s">
        <v>6409</v>
      </c>
      <c r="G1915" s="6">
        <v>50041</v>
      </c>
      <c r="H1915" s="6" t="s">
        <v>6410</v>
      </c>
      <c r="I1915" s="6">
        <v>116</v>
      </c>
      <c r="J1915" s="6" t="s">
        <v>23</v>
      </c>
      <c r="K1915" s="6" t="s">
        <v>24</v>
      </c>
      <c r="L1915" s="6">
        <v>34000000</v>
      </c>
      <c r="M1915" s="6">
        <v>2015</v>
      </c>
      <c r="N1915" s="6">
        <v>7.1</v>
      </c>
      <c r="O1915" s="4">
        <f ca="1">IFERROR(__xludf.DUMMYFUNCTION("IF(Cost_in_dollars!E1915=""USD"",Cost_in_dollars!B1915,Cost_in_dollars!B1915 * GOOGLEFINANCE(""CURRENCY:"" &amp; Cost_in_dollars!E1915 &amp; ""USD""))
"),34000000)</f>
        <v>34000000</v>
      </c>
      <c r="P1915" s="4">
        <f ca="1">IFERROR(__xludf.DUMMYFUNCTION("IF(Cost_in_dollars!E1915=""USD"",Cost_in_dollars!C1915,Cost_in_dollars!C1915 * GOOGLEFINANCE(""CURRENCY:"" &amp; Cost_in_dollars!E1915 &amp; ""USD""))
"),37432299)</f>
        <v>37432299</v>
      </c>
      <c r="Q1915" s="6">
        <f t="shared" ca="1" si="42"/>
        <v>3432299</v>
      </c>
      <c r="R1915" s="7" t="str">
        <f t="shared" si="43"/>
        <v>The Longest Ride</v>
      </c>
      <c r="S1915" s="43" t="str">
        <f t="shared" si="45"/>
        <v>Drama</v>
      </c>
    </row>
    <row r="1916" spans="1:19" ht="15.75" customHeight="1" x14ac:dyDescent="0.25">
      <c r="A1916" s="4" t="s">
        <v>6411</v>
      </c>
      <c r="B1916" s="4">
        <v>117</v>
      </c>
      <c r="C1916" s="4">
        <v>1039869</v>
      </c>
      <c r="D1916" s="4" t="s">
        <v>6412</v>
      </c>
      <c r="E1916" s="4" t="s">
        <v>486</v>
      </c>
      <c r="F1916" s="4" t="s">
        <v>6413</v>
      </c>
      <c r="G1916" s="4">
        <v>14757</v>
      </c>
      <c r="H1916" s="4" t="s">
        <v>6414</v>
      </c>
      <c r="I1916" s="4">
        <v>51</v>
      </c>
      <c r="J1916" s="4" t="s">
        <v>23</v>
      </c>
      <c r="K1916" s="4" t="s">
        <v>627</v>
      </c>
      <c r="L1916" s="4">
        <v>15000000</v>
      </c>
      <c r="M1916" s="4">
        <v>2010</v>
      </c>
      <c r="N1916" s="4">
        <v>6.2</v>
      </c>
      <c r="O1916" s="4">
        <f ca="1">IFERROR(__xludf.DUMMYFUNCTION("IF(Cost_in_dollars!E1916=""USD"",Cost_in_dollars!B1916,Cost_in_dollars!B1916 * GOOGLEFINANCE(""CURRENCY:"" &amp; Cost_in_dollars!E1916 &amp; ""USD""))
"),10851075)</f>
        <v>10851075</v>
      </c>
      <c r="P1916" s="4">
        <f ca="1">IFERROR(__xludf.DUMMYFUNCTION("IF(Cost_in_dollars!E1916=""USD"",Cost_in_dollars!C1916,Cost_in_dollars!C1916 * GOOGLEFINANCE(""CURRENCY:"" &amp; Cost_in_dollars!E1916 &amp; ""USD""))
"),752246.433944999)</f>
        <v>752246.43394499901</v>
      </c>
      <c r="Q1916" s="4">
        <f t="shared" ca="1" si="42"/>
        <v>-10098828.566055002</v>
      </c>
      <c r="R1916" s="5" t="str">
        <f t="shared" si="43"/>
        <v>Casino Jack</v>
      </c>
      <c r="S1916" s="43" t="str">
        <f t="shared" si="45"/>
        <v>Biography</v>
      </c>
    </row>
    <row r="1917" spans="1:19" ht="15.75" customHeight="1" x14ac:dyDescent="0.25">
      <c r="A1917" s="6" t="s">
        <v>6415</v>
      </c>
      <c r="B1917" s="6">
        <v>70</v>
      </c>
      <c r="C1917" s="6">
        <v>18438149</v>
      </c>
      <c r="D1917" s="6" t="s">
        <v>457</v>
      </c>
      <c r="E1917" s="6" t="s">
        <v>275</v>
      </c>
      <c r="F1917" s="6" t="s">
        <v>6416</v>
      </c>
      <c r="G1917" s="6">
        <v>30842</v>
      </c>
      <c r="H1917" s="6" t="s">
        <v>6417</v>
      </c>
      <c r="I1917" s="6">
        <v>93</v>
      </c>
      <c r="J1917" s="6" t="s">
        <v>23</v>
      </c>
      <c r="K1917" s="6" t="s">
        <v>24</v>
      </c>
      <c r="L1917" s="6">
        <v>40000000</v>
      </c>
      <c r="M1917" s="6">
        <v>2012</v>
      </c>
      <c r="N1917" s="6">
        <v>5.9</v>
      </c>
      <c r="O1917" s="4">
        <f ca="1">IFERROR(__xludf.DUMMYFUNCTION("IF(Cost_in_dollars!E1917=""USD"",Cost_in_dollars!B1917,Cost_in_dollars!B1917 * GOOGLEFINANCE(""CURRENCY:"" &amp; Cost_in_dollars!E1917 &amp; ""USD""))
"),40000000)</f>
        <v>40000000</v>
      </c>
      <c r="P1917" s="4">
        <f ca="1">IFERROR(__xludf.DUMMYFUNCTION("IF(Cost_in_dollars!E1917=""USD"",Cost_in_dollars!C1917,Cost_in_dollars!C1917 * GOOGLEFINANCE(""CURRENCY:"" &amp; Cost_in_dollars!E1917 &amp; ""USD""))
"),18438149)</f>
        <v>18438149</v>
      </c>
      <c r="Q1917" s="6">
        <f t="shared" ca="1" si="42"/>
        <v>-21561851</v>
      </c>
      <c r="R1917" s="7" t="str">
        <f t="shared" si="43"/>
        <v>A Thousand Words</v>
      </c>
      <c r="S1917" s="43" t="str">
        <f t="shared" si="45"/>
        <v>Comedy</v>
      </c>
    </row>
    <row r="1918" spans="1:19" ht="15.75" customHeight="1" x14ac:dyDescent="0.25">
      <c r="A1918" s="4" t="s">
        <v>770</v>
      </c>
      <c r="B1918" s="4">
        <v>125</v>
      </c>
      <c r="C1918" s="4">
        <v>18761993</v>
      </c>
      <c r="D1918" s="4" t="s">
        <v>457</v>
      </c>
      <c r="E1918" s="4" t="s">
        <v>1814</v>
      </c>
      <c r="F1918" s="4" t="s">
        <v>6418</v>
      </c>
      <c r="G1918" s="4">
        <v>19007</v>
      </c>
      <c r="H1918" s="4" t="s">
        <v>6419</v>
      </c>
      <c r="I1918" s="4">
        <v>219</v>
      </c>
      <c r="J1918" s="4" t="s">
        <v>23</v>
      </c>
      <c r="K1918" s="4" t="s">
        <v>24</v>
      </c>
      <c r="L1918" s="4">
        <v>9000000</v>
      </c>
      <c r="M1918" s="4">
        <v>2005</v>
      </c>
      <c r="N1918" s="4">
        <v>6.9</v>
      </c>
      <c r="O1918" s="4">
        <f ca="1">IFERROR(__xludf.DUMMYFUNCTION("IF(Cost_in_dollars!E1918=""USD"",Cost_in_dollars!B1918,Cost_in_dollars!B1918 * GOOGLEFINANCE(""CURRENCY:"" &amp; Cost_in_dollars!E1918 &amp; ""USD""))
"),9000000)</f>
        <v>9000000</v>
      </c>
      <c r="P1918" s="4">
        <f ca="1">IFERROR(__xludf.DUMMYFUNCTION("IF(Cost_in_dollars!E1918=""USD"",Cost_in_dollars!C1918,Cost_in_dollars!C1918 * GOOGLEFINANCE(""CURRENCY:"" &amp; Cost_in_dollars!E1918 &amp; ""USD""))
"),18761993)</f>
        <v>18761993</v>
      </c>
      <c r="Q1918" s="4">
        <f t="shared" ca="1" si="42"/>
        <v>9761993</v>
      </c>
      <c r="R1918" s="5" t="str">
        <f t="shared" si="43"/>
        <v>The Upside of Anger</v>
      </c>
      <c r="S1918" s="43" t="str">
        <f t="shared" si="45"/>
        <v>Comedy</v>
      </c>
    </row>
    <row r="1919" spans="1:19" ht="15.75" customHeight="1" x14ac:dyDescent="0.25">
      <c r="A1919" s="6" t="s">
        <v>1781</v>
      </c>
      <c r="B1919" s="6">
        <v>132</v>
      </c>
      <c r="C1919" s="6">
        <v>41523271</v>
      </c>
      <c r="D1919" s="6" t="s">
        <v>1616</v>
      </c>
      <c r="E1919" s="6" t="s">
        <v>54</v>
      </c>
      <c r="F1919" s="6" t="s">
        <v>6420</v>
      </c>
      <c r="G1919" s="6">
        <v>57038</v>
      </c>
      <c r="H1919" s="6" t="s">
        <v>6421</v>
      </c>
      <c r="I1919" s="6">
        <v>261</v>
      </c>
      <c r="J1919" s="6" t="s">
        <v>23</v>
      </c>
      <c r="K1919" s="6" t="s">
        <v>24</v>
      </c>
      <c r="L1919" s="6">
        <v>80000000</v>
      </c>
      <c r="M1919" s="6">
        <v>2001</v>
      </c>
      <c r="N1919" s="6">
        <v>6.6</v>
      </c>
      <c r="O1919" s="4">
        <f ca="1">IFERROR(__xludf.DUMMYFUNCTION("IF(Cost_in_dollars!E1919=""USD"",Cost_in_dollars!B1919,Cost_in_dollars!B1919 * GOOGLEFINANCE(""CURRENCY:"" &amp; Cost_in_dollars!E1919 &amp; ""USD""))
"),80000000)</f>
        <v>80000000</v>
      </c>
      <c r="P1919" s="4">
        <f ca="1">IFERROR(__xludf.DUMMYFUNCTION("IF(Cost_in_dollars!E1919=""USD"",Cost_in_dollars!C1919,Cost_in_dollars!C1919 * GOOGLEFINANCE(""CURRENCY:"" &amp; Cost_in_dollars!E1919 &amp; ""USD""))
"),41523271)</f>
        <v>41523271</v>
      </c>
      <c r="Q1919" s="6">
        <f t="shared" ca="1" si="42"/>
        <v>-38476729</v>
      </c>
      <c r="R1919" s="7" t="str">
        <f t="shared" si="43"/>
        <v>Bandits</v>
      </c>
      <c r="S1919" s="43" t="str">
        <f t="shared" si="45"/>
        <v>Comedy</v>
      </c>
    </row>
    <row r="1920" spans="1:19" ht="15.75" customHeight="1" x14ac:dyDescent="0.25">
      <c r="A1920" s="4" t="s">
        <v>69</v>
      </c>
      <c r="B1920" s="4">
        <v>112</v>
      </c>
      <c r="C1920" s="4">
        <v>30226144</v>
      </c>
      <c r="D1920" s="4" t="s">
        <v>362</v>
      </c>
      <c r="E1920" s="4" t="s">
        <v>69</v>
      </c>
      <c r="F1920" s="4" t="s">
        <v>6422</v>
      </c>
      <c r="G1920" s="4">
        <v>47626</v>
      </c>
      <c r="H1920" s="4" t="s">
        <v>6423</v>
      </c>
      <c r="I1920" s="4">
        <v>118</v>
      </c>
      <c r="J1920" s="4" t="s">
        <v>23</v>
      </c>
      <c r="K1920" s="4" t="s">
        <v>24</v>
      </c>
      <c r="L1920" s="4">
        <v>15000000</v>
      </c>
      <c r="M1920" s="4">
        <v>2007</v>
      </c>
      <c r="N1920" s="4">
        <v>7.6</v>
      </c>
      <c r="O1920" s="4">
        <f ca="1">IFERROR(__xludf.DUMMYFUNCTION("IF(Cost_in_dollars!E1920=""USD"",Cost_in_dollars!B1920,Cost_in_dollars!B1920 * GOOGLEFINANCE(""CURRENCY:"" &amp; Cost_in_dollars!E1920 &amp; ""USD""))
"),15000000)</f>
        <v>15000000</v>
      </c>
      <c r="P1920" s="4">
        <f ca="1">IFERROR(__xludf.DUMMYFUNCTION("IF(Cost_in_dollars!E1920=""USD"",Cost_in_dollars!C1920,Cost_in_dollars!C1920 * GOOGLEFINANCE(""CURRENCY:"" &amp; Cost_in_dollars!E1920 &amp; ""USD""))
"),30226144)</f>
        <v>30226144</v>
      </c>
      <c r="Q1920" s="4">
        <f t="shared" ca="1" si="42"/>
        <v>15226144</v>
      </c>
      <c r="R1920" s="5" t="str">
        <f t="shared" si="43"/>
        <v>The Great Debaters</v>
      </c>
      <c r="S1920" s="43" t="str">
        <f t="shared" si="45"/>
        <v>Biography</v>
      </c>
    </row>
    <row r="1921" spans="1:19" ht="15.75" customHeight="1" x14ac:dyDescent="0.25">
      <c r="A1921" s="6" t="s">
        <v>2514</v>
      </c>
      <c r="B1921" s="6">
        <v>177</v>
      </c>
      <c r="C1921" s="6">
        <v>38372662</v>
      </c>
      <c r="D1921" s="6" t="s">
        <v>235</v>
      </c>
      <c r="E1921" s="6" t="s">
        <v>6424</v>
      </c>
      <c r="F1921" s="6" t="s">
        <v>6425</v>
      </c>
      <c r="G1921" s="6">
        <v>193455</v>
      </c>
      <c r="H1921" s="6" t="s">
        <v>6426</v>
      </c>
      <c r="I1921" s="6">
        <v>1058</v>
      </c>
      <c r="J1921" s="6" t="s">
        <v>23</v>
      </c>
      <c r="K1921" s="6" t="s">
        <v>611</v>
      </c>
      <c r="L1921" s="6">
        <v>28000000</v>
      </c>
      <c r="M1921" s="6">
        <v>2005</v>
      </c>
      <c r="N1921" s="6">
        <v>7.8</v>
      </c>
      <c r="O1921" s="4">
        <f ca="1">IFERROR(__xludf.DUMMYFUNCTION("IF(Cost_in_dollars!E1921=""USD"",Cost_in_dollars!B1921,Cost_in_dollars!B1921 * GOOGLEFINANCE(""CURRENCY:"" &amp; Cost_in_dollars!E1921 &amp; ""USD""))
"),30372720)</f>
        <v>30372720</v>
      </c>
      <c r="P1921" s="4">
        <f ca="1">IFERROR(__xludf.DUMMYFUNCTION("IF(Cost_in_dollars!E1921=""USD"",Cost_in_dollars!C1921,Cost_in_dollars!C1921 * GOOGLEFINANCE(""CURRENCY:"" &amp; Cost_in_dollars!E1921 &amp; ""USD""))
"),41624361.37788)</f>
        <v>41624361.37788</v>
      </c>
      <c r="Q1921" s="6">
        <f t="shared" ca="1" si="42"/>
        <v>11251641.37788</v>
      </c>
      <c r="R1921" s="7" t="str">
        <f t="shared" si="43"/>
        <v>Pride &amp; Prejudice</v>
      </c>
      <c r="S1921" s="43" t="str">
        <f t="shared" si="45"/>
        <v>Drama</v>
      </c>
    </row>
    <row r="1922" spans="1:19" ht="15.75" customHeight="1" x14ac:dyDescent="0.25">
      <c r="A1922" s="4" t="s">
        <v>1357</v>
      </c>
      <c r="B1922" s="4">
        <v>645</v>
      </c>
      <c r="C1922" s="4">
        <v>533316061</v>
      </c>
      <c r="D1922" s="4" t="s">
        <v>504</v>
      </c>
      <c r="E1922" s="4" t="s">
        <v>1595</v>
      </c>
      <c r="F1922" s="4" t="s">
        <v>6427</v>
      </c>
      <c r="G1922" s="4">
        <v>1676169</v>
      </c>
      <c r="H1922" s="4" t="s">
        <v>6428</v>
      </c>
      <c r="I1922" s="4">
        <v>4667</v>
      </c>
      <c r="J1922" s="4" t="s">
        <v>23</v>
      </c>
      <c r="K1922" s="4" t="s">
        <v>24</v>
      </c>
      <c r="L1922" s="4">
        <v>185000000</v>
      </c>
      <c r="M1922" s="4">
        <v>2008</v>
      </c>
      <c r="N1922" s="4">
        <v>9</v>
      </c>
      <c r="O1922" s="4">
        <f ca="1">IFERROR(__xludf.DUMMYFUNCTION("IF(Cost_in_dollars!E1922=""USD"",Cost_in_dollars!B1922,Cost_in_dollars!B1922 * GOOGLEFINANCE(""CURRENCY:"" &amp; Cost_in_dollars!E1922 &amp; ""USD""))
"),185000000)</f>
        <v>185000000</v>
      </c>
      <c r="P1922" s="4">
        <f ca="1">IFERROR(__xludf.DUMMYFUNCTION("IF(Cost_in_dollars!E1922=""USD"",Cost_in_dollars!C1922,Cost_in_dollars!C1922 * GOOGLEFINANCE(""CURRENCY:"" &amp; Cost_in_dollars!E1922 &amp; ""USD""))
"),533316061)</f>
        <v>533316061</v>
      </c>
      <c r="Q1922" s="4">
        <f t="shared" ca="1" si="42"/>
        <v>348316061</v>
      </c>
      <c r="R1922" s="5" t="str">
        <f t="shared" si="43"/>
        <v>The Dark Knight</v>
      </c>
      <c r="S1922" s="43" t="str">
        <f t="shared" ref="S1922:S1985" si="46">IF(ISNUMBER(FIND("|", D1922)), LEFT(D1922, FIND("|", D1922) - 1), D1922)</f>
        <v>Action</v>
      </c>
    </row>
    <row r="1923" spans="1:19" ht="15.75" customHeight="1" x14ac:dyDescent="0.25">
      <c r="A1923" s="6" t="s">
        <v>5997</v>
      </c>
      <c r="B1923" s="6">
        <v>166</v>
      </c>
      <c r="C1923" s="6">
        <v>35228696</v>
      </c>
      <c r="D1923" s="6" t="s">
        <v>2396</v>
      </c>
      <c r="E1923" s="6" t="s">
        <v>6429</v>
      </c>
      <c r="F1923" s="6" t="s">
        <v>6430</v>
      </c>
      <c r="G1923" s="6">
        <v>63677</v>
      </c>
      <c r="H1923" s="6" t="s">
        <v>6431</v>
      </c>
      <c r="I1923" s="6">
        <v>460</v>
      </c>
      <c r="J1923" s="6" t="s">
        <v>23</v>
      </c>
      <c r="K1923" s="6" t="s">
        <v>24</v>
      </c>
      <c r="L1923" s="6">
        <v>32000000</v>
      </c>
      <c r="M1923" s="6">
        <v>2002</v>
      </c>
      <c r="N1923" s="6">
        <v>6.5</v>
      </c>
      <c r="O1923" s="4">
        <f ca="1">IFERROR(__xludf.DUMMYFUNCTION("IF(Cost_in_dollars!E1923=""USD"",Cost_in_dollars!B1923,Cost_in_dollars!B1923 * GOOGLEFINANCE(""CURRENCY:"" &amp; Cost_in_dollars!E1923 &amp; ""USD""))
"),32000000)</f>
        <v>32000000</v>
      </c>
      <c r="P1923" s="4">
        <f ca="1">IFERROR(__xludf.DUMMYFUNCTION("IF(Cost_in_dollars!E1923=""USD"",Cost_in_dollars!C1923,Cost_in_dollars!C1923 * GOOGLEFINANCE(""CURRENCY:"" &amp; Cost_in_dollars!E1923 &amp; ""USD""))
"),35228696)</f>
        <v>35228696</v>
      </c>
      <c r="Q1923" s="6">
        <f t="shared" ca="1" si="42"/>
        <v>3228696</v>
      </c>
      <c r="R1923" s="7" t="str">
        <f t="shared" si="43"/>
        <v>The Mothman Prophecies</v>
      </c>
      <c r="S1923" s="43" t="str">
        <f t="shared" si="46"/>
        <v>Drama</v>
      </c>
    </row>
    <row r="1924" spans="1:19" ht="15.75" customHeight="1" x14ac:dyDescent="0.25">
      <c r="A1924" s="4" t="s">
        <v>6432</v>
      </c>
      <c r="B1924" s="4">
        <v>26</v>
      </c>
      <c r="C1924" s="4">
        <v>883887</v>
      </c>
      <c r="D1924" s="4" t="s">
        <v>102</v>
      </c>
      <c r="E1924" s="4" t="s">
        <v>6433</v>
      </c>
      <c r="F1924" s="4" t="s">
        <v>6434</v>
      </c>
      <c r="G1924" s="4">
        <v>1201</v>
      </c>
      <c r="H1924" s="4" t="s">
        <v>6435</v>
      </c>
      <c r="I1924" s="4">
        <v>14</v>
      </c>
      <c r="J1924" s="4" t="s">
        <v>23</v>
      </c>
      <c r="K1924" s="4" t="s">
        <v>24</v>
      </c>
      <c r="L1924" s="4">
        <v>9000000</v>
      </c>
      <c r="M1924" s="4">
        <v>2009</v>
      </c>
      <c r="N1924" s="4">
        <v>6.2</v>
      </c>
      <c r="O1924" s="4">
        <f ca="1">IFERROR(__xludf.DUMMYFUNCTION("IF(Cost_in_dollars!E1924=""USD"",Cost_in_dollars!B1924,Cost_in_dollars!B1924 * GOOGLEFINANCE(""CURRENCY:"" &amp; Cost_in_dollars!E1924 &amp; ""USD""))
"),9000000)</f>
        <v>9000000</v>
      </c>
      <c r="P1924" s="4">
        <f ca="1">IFERROR(__xludf.DUMMYFUNCTION("IF(Cost_in_dollars!E1924=""USD"",Cost_in_dollars!C1924,Cost_in_dollars!C1924 * GOOGLEFINANCE(""CURRENCY:"" &amp; Cost_in_dollars!E1924 &amp; ""USD""))
"),883887)</f>
        <v>883887</v>
      </c>
      <c r="Q1924" s="4">
        <f t="shared" ca="1" si="42"/>
        <v>-8116113</v>
      </c>
      <c r="R1924" s="5" t="str">
        <f t="shared" si="43"/>
        <v>Princess Kaiulani</v>
      </c>
      <c r="S1924" s="43" t="str">
        <f t="shared" si="46"/>
        <v>Drama</v>
      </c>
    </row>
    <row r="1925" spans="1:19" ht="15.75" customHeight="1" x14ac:dyDescent="0.25">
      <c r="A1925" s="6" t="s">
        <v>371</v>
      </c>
      <c r="B1925" s="6">
        <v>53</v>
      </c>
      <c r="C1925" s="6">
        <v>104632573</v>
      </c>
      <c r="D1925" s="6" t="s">
        <v>4587</v>
      </c>
      <c r="E1925" s="6" t="s">
        <v>413</v>
      </c>
      <c r="F1925" s="6" t="s">
        <v>6436</v>
      </c>
      <c r="G1925" s="6">
        <v>63839</v>
      </c>
      <c r="H1925" s="6" t="s">
        <v>6437</v>
      </c>
      <c r="I1925" s="6">
        <v>118</v>
      </c>
      <c r="J1925" s="6" t="s">
        <v>23</v>
      </c>
      <c r="K1925" s="6" t="s">
        <v>24</v>
      </c>
      <c r="L1925" s="6">
        <v>32000000</v>
      </c>
      <c r="M1925" s="6">
        <v>1996</v>
      </c>
      <c r="N1925" s="6">
        <v>6.4</v>
      </c>
      <c r="O1925" s="4">
        <f ca="1">IFERROR(__xludf.DUMMYFUNCTION("IF(Cost_in_dollars!E1925=""USD"",Cost_in_dollars!B1925,Cost_in_dollars!B1925 * GOOGLEFINANCE(""CURRENCY:"" &amp; Cost_in_dollars!E1925 &amp; ""USD""))
"),32000000)</f>
        <v>32000000</v>
      </c>
      <c r="P1925" s="4">
        <f ca="1">IFERROR(__xludf.DUMMYFUNCTION("IF(Cost_in_dollars!E1925=""USD"",Cost_in_dollars!C1925,Cost_in_dollars!C1925 * GOOGLEFINANCE(""CURRENCY:"" &amp; Cost_in_dollars!E1925 &amp; ""USD""))
"),104632573)</f>
        <v>104632573</v>
      </c>
      <c r="Q1925" s="6">
        <f t="shared" ca="1" si="42"/>
        <v>72632573</v>
      </c>
      <c r="R1925" s="7" t="str">
        <f t="shared" si="43"/>
        <v>Phenomenon</v>
      </c>
      <c r="S1925" s="43" t="str">
        <f t="shared" si="46"/>
        <v>Drama</v>
      </c>
    </row>
    <row r="1926" spans="1:19" ht="15.75" customHeight="1" x14ac:dyDescent="0.25">
      <c r="A1926" s="4" t="s">
        <v>6006</v>
      </c>
      <c r="B1926" s="4">
        <v>104</v>
      </c>
      <c r="C1926" s="4">
        <v>13208023</v>
      </c>
      <c r="D1926" s="4" t="s">
        <v>3496</v>
      </c>
      <c r="E1926" s="4" t="s">
        <v>2126</v>
      </c>
      <c r="F1926" s="4" t="s">
        <v>6438</v>
      </c>
      <c r="G1926" s="4">
        <v>17309</v>
      </c>
      <c r="H1926" s="4" t="s">
        <v>6439</v>
      </c>
      <c r="I1926" s="4">
        <v>388</v>
      </c>
      <c r="J1926" s="4" t="s">
        <v>23</v>
      </c>
      <c r="K1926" s="4" t="s">
        <v>133</v>
      </c>
      <c r="L1926" s="4">
        <v>42000000</v>
      </c>
      <c r="M1926" s="4">
        <v>2002</v>
      </c>
      <c r="N1926" s="4">
        <v>3.3</v>
      </c>
      <c r="O1926" s="4">
        <f ca="1">IFERROR(__xludf.DUMMYFUNCTION("IF(Cost_in_dollars!E1926=""USD"",Cost_in_dollars!B1926,Cost_in_dollars!B1926 * GOOGLEFINANCE(""CURRENCY:"" &amp; Cost_in_dollars!E1926 &amp; ""USD""))
"),53986799.9999999)</f>
        <v>53986799.999999903</v>
      </c>
      <c r="P1926" s="4">
        <f ca="1">IFERROR(__xludf.DUMMYFUNCTION("IF(Cost_in_dollars!E1926=""USD"",Cost_in_dollars!C1926,Cost_in_dollars!C1926 * GOOGLEFINANCE(""CURRENCY:"" &amp; Cost_in_dollars!E1926 &amp; ""USD""))
"),16977592.7642)</f>
        <v>16977592.764199998</v>
      </c>
      <c r="Q1926" s="4">
        <f t="shared" ca="1" si="42"/>
        <v>-37009207.235799909</v>
      </c>
      <c r="R1926" s="5" t="str">
        <f t="shared" si="43"/>
        <v>Feardotcom</v>
      </c>
      <c r="S1926" s="43" t="str">
        <f t="shared" si="46"/>
        <v>Crime</v>
      </c>
    </row>
    <row r="1927" spans="1:19" ht="15.75" customHeight="1" x14ac:dyDescent="0.25">
      <c r="A1927" s="6" t="s">
        <v>1353</v>
      </c>
      <c r="B1927" s="6">
        <v>113</v>
      </c>
      <c r="C1927" s="6">
        <v>35168395</v>
      </c>
      <c r="D1927" s="6" t="s">
        <v>6115</v>
      </c>
      <c r="E1927" s="6" t="s">
        <v>881</v>
      </c>
      <c r="F1927" s="6" t="s">
        <v>6440</v>
      </c>
      <c r="G1927" s="6">
        <v>26034</v>
      </c>
      <c r="H1927" s="6" t="s">
        <v>6441</v>
      </c>
      <c r="I1927" s="6">
        <v>226</v>
      </c>
      <c r="J1927" s="6" t="s">
        <v>23</v>
      </c>
      <c r="K1927" s="6" t="s">
        <v>24</v>
      </c>
      <c r="L1927" s="6">
        <v>50000000</v>
      </c>
      <c r="M1927" s="6">
        <v>1999</v>
      </c>
      <c r="N1927" s="6">
        <v>6.5</v>
      </c>
      <c r="O1927" s="4">
        <f ca="1">IFERROR(__xludf.DUMMYFUNCTION("IF(Cost_in_dollars!E1927=""USD"",Cost_in_dollars!B1927,Cost_in_dollars!B1927 * GOOGLEFINANCE(""CURRENCY:"" &amp; Cost_in_dollars!E1927 &amp; ""USD""))
"),50000000)</f>
        <v>50000000</v>
      </c>
      <c r="P1927" s="4">
        <f ca="1">IFERROR(__xludf.DUMMYFUNCTION("IF(Cost_in_dollars!E1927=""USD"",Cost_in_dollars!C1927,Cost_in_dollars!C1927 * GOOGLEFINANCE(""CURRENCY:"" &amp; Cost_in_dollars!E1927 &amp; ""USD""))
"),35168395)</f>
        <v>35168395</v>
      </c>
      <c r="Q1927" s="6">
        <f t="shared" ca="1" si="42"/>
        <v>-14831605</v>
      </c>
      <c r="R1927" s="7" t="str">
        <f t="shared" si="43"/>
        <v>For Love of the Game</v>
      </c>
      <c r="S1927" s="43" t="str">
        <f t="shared" si="46"/>
        <v>Drama</v>
      </c>
    </row>
    <row r="1928" spans="1:19" ht="15.75" customHeight="1" x14ac:dyDescent="0.25">
      <c r="A1928" s="4" t="s">
        <v>6442</v>
      </c>
      <c r="B1928" s="4">
        <v>76</v>
      </c>
      <c r="C1928" s="4">
        <v>5881504</v>
      </c>
      <c r="D1928" s="4" t="s">
        <v>5390</v>
      </c>
      <c r="E1928" s="4" t="s">
        <v>3518</v>
      </c>
      <c r="F1928" s="4" t="s">
        <v>6443</v>
      </c>
      <c r="G1928" s="4">
        <v>5917</v>
      </c>
      <c r="H1928" s="4" t="s">
        <v>6444</v>
      </c>
      <c r="I1928" s="4">
        <v>50</v>
      </c>
      <c r="J1928" s="4" t="s">
        <v>23</v>
      </c>
      <c r="K1928" s="4" t="s">
        <v>24</v>
      </c>
      <c r="L1928" s="4">
        <v>39000000</v>
      </c>
      <c r="M1928" s="4">
        <v>2004</v>
      </c>
      <c r="N1928" s="4">
        <v>5.3</v>
      </c>
      <c r="O1928" s="4">
        <f ca="1">IFERROR(__xludf.DUMMYFUNCTION("IF(Cost_in_dollars!E1928=""USD"",Cost_in_dollars!B1928,Cost_in_dollars!B1928 * GOOGLEFINANCE(""CURRENCY:"" &amp; Cost_in_dollars!E1928 &amp; ""USD""))
"),39000000)</f>
        <v>39000000</v>
      </c>
      <c r="P1928" s="4">
        <f ca="1">IFERROR(__xludf.DUMMYFUNCTION("IF(Cost_in_dollars!E1928=""USD"",Cost_in_dollars!C1928,Cost_in_dollars!C1928 * GOOGLEFINANCE(""CURRENCY:"" &amp; Cost_in_dollars!E1928 &amp; ""USD""))
"),5881504)</f>
        <v>5881504</v>
      </c>
      <c r="Q1928" s="4">
        <f t="shared" ca="1" si="42"/>
        <v>-33118496</v>
      </c>
      <c r="R1928" s="5" t="str">
        <f t="shared" si="43"/>
        <v>Against the Ropes</v>
      </c>
      <c r="S1928" s="43" t="str">
        <f t="shared" si="46"/>
        <v>Biography</v>
      </c>
    </row>
    <row r="1929" spans="1:19" ht="15.75" customHeight="1" x14ac:dyDescent="0.25">
      <c r="A1929" s="6" t="s">
        <v>3673</v>
      </c>
      <c r="B1929" s="6">
        <v>148</v>
      </c>
      <c r="C1929" s="6">
        <v>5132655</v>
      </c>
      <c r="D1929" s="6" t="s">
        <v>1328</v>
      </c>
      <c r="E1929" s="6" t="s">
        <v>6445</v>
      </c>
      <c r="F1929" s="6" t="s">
        <v>6446</v>
      </c>
      <c r="G1929" s="6">
        <v>37626</v>
      </c>
      <c r="H1929" s="6" t="s">
        <v>6447</v>
      </c>
      <c r="I1929" s="6">
        <v>521</v>
      </c>
      <c r="J1929" s="6" t="s">
        <v>23</v>
      </c>
      <c r="K1929" s="6" t="s">
        <v>627</v>
      </c>
      <c r="L1929" s="6">
        <v>20000000</v>
      </c>
      <c r="M1929" s="6">
        <v>2005</v>
      </c>
      <c r="N1929" s="6">
        <v>2.2999999999999998</v>
      </c>
      <c r="O1929" s="4">
        <f ca="1">IFERROR(__xludf.DUMMYFUNCTION("IF(Cost_in_dollars!E1929=""USD"",Cost_in_dollars!B1929,Cost_in_dollars!B1929 * GOOGLEFINANCE(""CURRENCY:"" &amp; Cost_in_dollars!E1929 &amp; ""USD""))
"),14468100)</f>
        <v>14468100</v>
      </c>
      <c r="P1929" s="4">
        <f ca="1">IFERROR(__xludf.DUMMYFUNCTION("IF(Cost_in_dollars!E1929=""USD"",Cost_in_dollars!C1929,Cost_in_dollars!C1929 * GOOGLEFINANCE(""CURRENCY:"" &amp; Cost_in_dollars!E1929 &amp; ""USD""))
"),3712988.290275)</f>
        <v>3712988.290275</v>
      </c>
      <c r="Q1929" s="6">
        <f t="shared" ca="1" si="42"/>
        <v>-10755111.709725</v>
      </c>
      <c r="R1929" s="7" t="str">
        <f t="shared" si="43"/>
        <v>Alone in the Dark</v>
      </c>
      <c r="S1929" s="43" t="str">
        <f t="shared" si="46"/>
        <v>Horror</v>
      </c>
    </row>
    <row r="1930" spans="1:19" ht="15.75" customHeight="1" x14ac:dyDescent="0.25">
      <c r="A1930" s="4" t="s">
        <v>481</v>
      </c>
      <c r="B1930" s="4">
        <v>224</v>
      </c>
      <c r="C1930" s="4">
        <v>41709</v>
      </c>
      <c r="D1930" s="4" t="s">
        <v>367</v>
      </c>
      <c r="E1930" s="4" t="s">
        <v>6448</v>
      </c>
      <c r="F1930" s="4" t="s">
        <v>6449</v>
      </c>
      <c r="G1930" s="4">
        <v>54601</v>
      </c>
      <c r="H1930" s="4" t="s">
        <v>6450</v>
      </c>
      <c r="I1930" s="4">
        <v>200</v>
      </c>
      <c r="J1930" s="4" t="s">
        <v>5168</v>
      </c>
      <c r="K1930" s="4" t="s">
        <v>5169</v>
      </c>
      <c r="L1930" s="4">
        <v>800000</v>
      </c>
      <c r="M1930" s="4">
        <v>2009</v>
      </c>
      <c r="N1930" s="4">
        <v>6.4</v>
      </c>
      <c r="O1930" s="4">
        <f ca="1">IFERROR(__xludf.DUMMYFUNCTION("IF(Cost_in_dollars!E1930=""USD"",Cost_in_dollars!B1930,Cost_in_dollars!B1930 * GOOGLEFINANCE(""CURRENCY:"" &amp; Cost_in_dollars!E1930 &amp; ""USD""))
"),72519.2)</f>
        <v>72519.199999999997</v>
      </c>
      <c r="P1930" s="4">
        <f ca="1">IFERROR(__xludf.DUMMYFUNCTION("IF(Cost_in_dollars!E1930=""USD"",Cost_in_dollars!C1930,Cost_in_dollars!C1930 * GOOGLEFINANCE(""CURRENCY:"" &amp; Cost_in_dollars!E1930 &amp; ""USD""))
"),3780.879141)</f>
        <v>3780.8791409999999</v>
      </c>
      <c r="Q1930" s="4">
        <f t="shared" ca="1" si="42"/>
        <v>-68738.320858999999</v>
      </c>
      <c r="R1930" s="5" t="str">
        <f t="shared" si="43"/>
        <v>Dead Snow</v>
      </c>
      <c r="S1930" s="43" t="str">
        <f t="shared" si="46"/>
        <v>Comedy</v>
      </c>
    </row>
    <row r="1931" spans="1:19" ht="15.75" customHeight="1" x14ac:dyDescent="0.25">
      <c r="A1931" s="6" t="s">
        <v>863</v>
      </c>
      <c r="B1931" s="6">
        <v>204</v>
      </c>
      <c r="C1931" s="6">
        <v>52822418</v>
      </c>
      <c r="D1931" s="6" t="s">
        <v>691</v>
      </c>
      <c r="E1931" s="6" t="s">
        <v>6451</v>
      </c>
      <c r="F1931" s="6" t="s">
        <v>6452</v>
      </c>
      <c r="G1931" s="6">
        <v>47764</v>
      </c>
      <c r="H1931" s="6" t="s">
        <v>6453</v>
      </c>
      <c r="I1931" s="6">
        <v>219</v>
      </c>
      <c r="J1931" s="6" t="s">
        <v>23</v>
      </c>
      <c r="K1931" s="6" t="s">
        <v>24</v>
      </c>
      <c r="L1931" s="6">
        <v>50000000</v>
      </c>
      <c r="M1931" s="6">
        <v>2016</v>
      </c>
      <c r="N1931" s="6">
        <v>7.4</v>
      </c>
      <c r="O1931" s="4">
        <f ca="1">IFERROR(__xludf.DUMMYFUNCTION("IF(Cost_in_dollars!E1931=""USD"",Cost_in_dollars!B1931,Cost_in_dollars!B1931 * GOOGLEFINANCE(""CURRENCY:"" &amp; Cost_in_dollars!E1931 &amp; ""USD""))
"),50000000)</f>
        <v>50000000</v>
      </c>
      <c r="P1931" s="4">
        <f ca="1">IFERROR(__xludf.DUMMYFUNCTION("IF(Cost_in_dollars!E1931=""USD"",Cost_in_dollars!C1931,Cost_in_dollars!C1931 * GOOGLEFINANCE(""CURRENCY:"" &amp; Cost_in_dollars!E1931 &amp; ""USD""))
"),52822418)</f>
        <v>52822418</v>
      </c>
      <c r="Q1931" s="6">
        <f t="shared" ca="1" si="42"/>
        <v>2822418</v>
      </c>
      <c r="R1931" s="7" t="str">
        <f t="shared" si="43"/>
        <v>13 Hours</v>
      </c>
      <c r="S1931" s="43" t="str">
        <f t="shared" si="46"/>
        <v>Action</v>
      </c>
    </row>
    <row r="1932" spans="1:19" ht="15.75" customHeight="1" x14ac:dyDescent="0.25">
      <c r="A1932" s="4" t="s">
        <v>6454</v>
      </c>
      <c r="B1932" s="4">
        <v>38</v>
      </c>
      <c r="C1932" s="4">
        <v>39880476</v>
      </c>
      <c r="D1932" s="4" t="s">
        <v>304</v>
      </c>
      <c r="E1932" s="4" t="s">
        <v>3382</v>
      </c>
      <c r="F1932" s="4" t="s">
        <v>6455</v>
      </c>
      <c r="G1932" s="4">
        <v>12218</v>
      </c>
      <c r="H1932" s="4" t="s">
        <v>6456</v>
      </c>
      <c r="I1932" s="4">
        <v>33</v>
      </c>
      <c r="J1932" s="4" t="s">
        <v>23</v>
      </c>
      <c r="K1932" s="4" t="s">
        <v>24</v>
      </c>
      <c r="L1932" s="4">
        <v>25000000</v>
      </c>
      <c r="M1932" s="4">
        <v>2002</v>
      </c>
      <c r="N1932" s="4">
        <v>5.2</v>
      </c>
      <c r="O1932" s="4">
        <f ca="1">IFERROR(__xludf.DUMMYFUNCTION("IF(Cost_in_dollars!E1932=""USD"",Cost_in_dollars!B1932,Cost_in_dollars!B1932 * GOOGLEFINANCE(""CURRENCY:"" &amp; Cost_in_dollars!E1932 &amp; ""USD""))
"),25000000)</f>
        <v>25000000</v>
      </c>
      <c r="P1932" s="4">
        <f ca="1">IFERROR(__xludf.DUMMYFUNCTION("IF(Cost_in_dollars!E1932=""USD"",Cost_in_dollars!C1932,Cost_in_dollars!C1932 * GOOGLEFINANCE(""CURRENCY:"" &amp; Cost_in_dollars!E1932 &amp; ""USD""))
"),39880476)</f>
        <v>39880476</v>
      </c>
      <c r="Q1932" s="4">
        <f t="shared" ca="1" si="42"/>
        <v>14880476</v>
      </c>
      <c r="R1932" s="5" t="str">
        <f t="shared" si="43"/>
        <v>The Wild Thornberrys Movie</v>
      </c>
      <c r="S1932" s="43" t="str">
        <f t="shared" si="46"/>
        <v>Adventure</v>
      </c>
    </row>
    <row r="1933" spans="1:19" ht="15.75" customHeight="1" x14ac:dyDescent="0.25">
      <c r="A1933" s="6" t="s">
        <v>6457</v>
      </c>
      <c r="B1933" s="6">
        <v>33</v>
      </c>
      <c r="C1933" s="6">
        <v>6491350</v>
      </c>
      <c r="D1933" s="6" t="s">
        <v>6458</v>
      </c>
      <c r="E1933" s="6" t="s">
        <v>6459</v>
      </c>
      <c r="F1933" s="6" t="s">
        <v>6460</v>
      </c>
      <c r="G1933" s="6">
        <v>1231</v>
      </c>
      <c r="H1933" s="6" t="s">
        <v>6461</v>
      </c>
      <c r="I1933" s="6">
        <v>26</v>
      </c>
      <c r="J1933" s="6" t="s">
        <v>23</v>
      </c>
      <c r="K1933" s="6" t="s">
        <v>24</v>
      </c>
      <c r="L1933" s="6">
        <v>10000000</v>
      </c>
      <c r="M1933" s="6">
        <v>2004</v>
      </c>
      <c r="N1933" s="6">
        <v>5.8</v>
      </c>
      <c r="O1933" s="4">
        <f ca="1">IFERROR(__xludf.DUMMYFUNCTION("IF(Cost_in_dollars!E1933=""USD"",Cost_in_dollars!B1933,Cost_in_dollars!B1933 * GOOGLEFINANCE(""CURRENCY:"" &amp; Cost_in_dollars!E1933 &amp; ""USD""))
"),10000000)</f>
        <v>10000000</v>
      </c>
      <c r="P1933" s="4">
        <f ca="1">IFERROR(__xludf.DUMMYFUNCTION("IF(Cost_in_dollars!E1933=""USD"",Cost_in_dollars!C1933,Cost_in_dollars!C1933 * GOOGLEFINANCE(""CURRENCY:"" &amp; Cost_in_dollars!E1933 &amp; ""USD""))
"),6491350)</f>
        <v>6491350</v>
      </c>
      <c r="Q1933" s="6">
        <f t="shared" ca="1" si="42"/>
        <v>-3508650</v>
      </c>
      <c r="R1933" s="7" t="str">
        <f t="shared" si="43"/>
        <v>Teacher's Pet</v>
      </c>
      <c r="S1933" s="43" t="str">
        <f t="shared" si="46"/>
        <v>Animation</v>
      </c>
    </row>
    <row r="1934" spans="1:19" ht="15.75" customHeight="1" x14ac:dyDescent="0.25">
      <c r="A1934" s="4" t="s">
        <v>989</v>
      </c>
      <c r="B1934" s="4">
        <v>152</v>
      </c>
      <c r="C1934" s="4">
        <v>47860214</v>
      </c>
      <c r="D1934" s="4" t="s">
        <v>309</v>
      </c>
      <c r="E1934" s="4" t="s">
        <v>518</v>
      </c>
      <c r="F1934" s="4" t="s">
        <v>6462</v>
      </c>
      <c r="G1934" s="4">
        <v>34711</v>
      </c>
      <c r="H1934" s="4" t="s">
        <v>6463</v>
      </c>
      <c r="I1934" s="4">
        <v>468</v>
      </c>
      <c r="J1934" s="4" t="s">
        <v>23</v>
      </c>
      <c r="K1934" s="4" t="s">
        <v>24</v>
      </c>
      <c r="L1934" s="4">
        <v>15000000</v>
      </c>
      <c r="M1934" s="4">
        <v>2006</v>
      </c>
      <c r="N1934" s="4">
        <v>5</v>
      </c>
      <c r="O1934" s="4">
        <f ca="1">IFERROR(__xludf.DUMMYFUNCTION("IF(Cost_in_dollars!E1934=""USD"",Cost_in_dollars!B1934,Cost_in_dollars!B1934 * GOOGLEFINANCE(""CURRENCY:"" &amp; Cost_in_dollars!E1934 &amp; ""USD""))
"),15000000)</f>
        <v>15000000</v>
      </c>
      <c r="P1934" s="4">
        <f ca="1">IFERROR(__xludf.DUMMYFUNCTION("IF(Cost_in_dollars!E1934=""USD"",Cost_in_dollars!C1934,Cost_in_dollars!C1934 * GOOGLEFINANCE(""CURRENCY:"" &amp; Cost_in_dollars!E1934 &amp; ""USD""))
"),47860214)</f>
        <v>47860214</v>
      </c>
      <c r="Q1934" s="4">
        <f t="shared" ca="1" si="42"/>
        <v>32860214</v>
      </c>
      <c r="R1934" s="5" t="str">
        <f t="shared" si="43"/>
        <v>When a Stranger Calls</v>
      </c>
      <c r="S1934" s="43" t="str">
        <f t="shared" si="46"/>
        <v>Horror</v>
      </c>
    </row>
    <row r="1935" spans="1:19" ht="15.75" customHeight="1" x14ac:dyDescent="0.25">
      <c r="A1935" s="6" t="s">
        <v>524</v>
      </c>
      <c r="B1935" s="6">
        <v>74</v>
      </c>
      <c r="C1935" s="6">
        <v>6165429</v>
      </c>
      <c r="D1935" s="6" t="s">
        <v>6464</v>
      </c>
      <c r="E1935" s="6" t="s">
        <v>6465</v>
      </c>
      <c r="F1935" s="6" t="s">
        <v>6466</v>
      </c>
      <c r="G1935" s="6">
        <v>23486</v>
      </c>
      <c r="H1935" s="6" t="s">
        <v>6467</v>
      </c>
      <c r="I1935" s="6">
        <v>249</v>
      </c>
      <c r="J1935" s="6" t="s">
        <v>2387</v>
      </c>
      <c r="K1935" s="6" t="s">
        <v>149</v>
      </c>
      <c r="L1935" s="6">
        <v>6000000</v>
      </c>
      <c r="M1935" s="6">
        <v>2002</v>
      </c>
      <c r="N1935" s="6">
        <v>7.5</v>
      </c>
      <c r="O1935" s="4">
        <f ca="1">IFERROR(__xludf.DUMMYFUNCTION("IF(Cost_in_dollars!E1935=""USD"",Cost_in_dollars!B1935,Cost_in_dollars!B1935 * GOOGLEFINANCE(""CURRENCY:"" &amp; Cost_in_dollars!E1935 &amp; ""USD""))
"),3923280)</f>
        <v>3923280</v>
      </c>
      <c r="P1935" s="4">
        <f ca="1">IFERROR(__xludf.DUMMYFUNCTION("IF(Cost_in_dollars!E1935=""USD"",Cost_in_dollars!C1935,Cost_in_dollars!C1935 * GOOGLEFINANCE(""CURRENCY:"" &amp; Cost_in_dollars!E1935 &amp; ""USD""))
"),4031450.71452)</f>
        <v>4031450.7145199999</v>
      </c>
      <c r="Q1935" s="6">
        <f t="shared" ca="1" si="42"/>
        <v>108170.71451999992</v>
      </c>
      <c r="R1935" s="7" t="str">
        <f t="shared" si="43"/>
        <v>Rabbit-Proof Fence</v>
      </c>
      <c r="S1935" s="43" t="str">
        <f t="shared" si="46"/>
        <v>Adventure</v>
      </c>
    </row>
    <row r="1936" spans="1:19" ht="15.75" customHeight="1" x14ac:dyDescent="0.25">
      <c r="A1936" s="4" t="s">
        <v>6468</v>
      </c>
      <c r="B1936" s="4">
        <v>31</v>
      </c>
      <c r="C1936" s="4">
        <v>143653</v>
      </c>
      <c r="D1936" s="4" t="s">
        <v>362</v>
      </c>
      <c r="E1936" s="4" t="s">
        <v>6469</v>
      </c>
      <c r="F1936" s="4" t="s">
        <v>6470</v>
      </c>
      <c r="G1936" s="4">
        <v>1177</v>
      </c>
      <c r="H1936" s="4" t="s">
        <v>6471</v>
      </c>
      <c r="I1936" s="4">
        <v>10</v>
      </c>
      <c r="J1936" s="4" t="s">
        <v>23</v>
      </c>
      <c r="K1936" s="4" t="s">
        <v>133</v>
      </c>
      <c r="L1936" s="4">
        <v>4000000</v>
      </c>
      <c r="M1936" s="4">
        <v>2014</v>
      </c>
      <c r="N1936" s="4">
        <v>6</v>
      </c>
      <c r="O1936" s="4">
        <f ca="1">IFERROR(__xludf.DUMMYFUNCTION("IF(Cost_in_dollars!E1936=""USD"",Cost_in_dollars!B1936,Cost_in_dollars!B1936 * GOOGLEFINANCE(""CURRENCY:"" &amp; Cost_in_dollars!E1936 &amp; ""USD""))
"),5141599.99999999)</f>
        <v>5141599.9999999898</v>
      </c>
      <c r="P1936" s="4">
        <f ca="1">IFERROR(__xludf.DUMMYFUNCTION("IF(Cost_in_dollars!E1936=""USD"",Cost_in_dollars!C1936,Cost_in_dollars!C1936 * GOOGLEFINANCE(""CURRENCY:"" &amp; Cost_in_dollars!E1936 &amp; ""USD""))
"),184651.566199999)</f>
        <v>184651.56619999901</v>
      </c>
      <c r="Q1936" s="4">
        <f t="shared" ca="1" si="42"/>
        <v>-4956948.4337999905</v>
      </c>
      <c r="R1936" s="5" t="str">
        <f t="shared" si="43"/>
        <v>Desert Dancer</v>
      </c>
      <c r="S1936" s="43" t="str">
        <f t="shared" si="46"/>
        <v>Biography</v>
      </c>
    </row>
    <row r="1937" spans="1:19" ht="15.75" customHeight="1" x14ac:dyDescent="0.25">
      <c r="A1937" s="6" t="s">
        <v>6472</v>
      </c>
      <c r="B1937" s="6">
        <v>146</v>
      </c>
      <c r="C1937" s="6">
        <v>84037039</v>
      </c>
      <c r="D1937" s="6" t="s">
        <v>6473</v>
      </c>
      <c r="E1937" s="6" t="s">
        <v>6474</v>
      </c>
      <c r="F1937" s="6" t="s">
        <v>6475</v>
      </c>
      <c r="G1937" s="6">
        <v>72591</v>
      </c>
      <c r="H1937" s="6" t="s">
        <v>6476</v>
      </c>
      <c r="I1937" s="6">
        <v>289</v>
      </c>
      <c r="J1937" s="6" t="s">
        <v>23</v>
      </c>
      <c r="K1937" s="6" t="s">
        <v>24</v>
      </c>
      <c r="L1937" s="6">
        <v>120000000</v>
      </c>
      <c r="M1937" s="6">
        <v>2001</v>
      </c>
      <c r="N1937" s="6">
        <v>6.8</v>
      </c>
      <c r="O1937" s="4">
        <f ca="1">IFERROR(__xludf.DUMMYFUNCTION("IF(Cost_in_dollars!E1937=""USD"",Cost_in_dollars!B1937,Cost_in_dollars!B1937 * GOOGLEFINANCE(""CURRENCY:"" &amp; Cost_in_dollars!E1937 &amp; ""USD""))
"),120000000)</f>
        <v>120000000</v>
      </c>
      <c r="P1937" s="4">
        <f ca="1">IFERROR(__xludf.DUMMYFUNCTION("IF(Cost_in_dollars!E1937=""USD"",Cost_in_dollars!C1937,Cost_in_dollars!C1937 * GOOGLEFINANCE(""CURRENCY:"" &amp; Cost_in_dollars!E1937 &amp; ""USD""))
"),84037039)</f>
        <v>84037039</v>
      </c>
      <c r="Q1937" s="6">
        <f t="shared" ca="1" si="42"/>
        <v>-35962961</v>
      </c>
      <c r="R1937" s="7" t="str">
        <f t="shared" si="43"/>
        <v>Atlantis: The Lost Empire</v>
      </c>
      <c r="S1937" s="43" t="str">
        <f t="shared" si="46"/>
        <v>Action</v>
      </c>
    </row>
    <row r="1938" spans="1:19" ht="15.75" customHeight="1" x14ac:dyDescent="0.25">
      <c r="A1938" s="4" t="s">
        <v>4026</v>
      </c>
      <c r="B1938" s="4">
        <v>200</v>
      </c>
      <c r="C1938" s="4">
        <v>54540525</v>
      </c>
      <c r="D1938" s="4" t="s">
        <v>88</v>
      </c>
      <c r="E1938" s="4" t="s">
        <v>886</v>
      </c>
      <c r="F1938" s="4" t="s">
        <v>6477</v>
      </c>
      <c r="G1938" s="4">
        <v>66579</v>
      </c>
      <c r="H1938" s="4" t="s">
        <v>6478</v>
      </c>
      <c r="I1938" s="4">
        <v>134</v>
      </c>
      <c r="J1938" s="4" t="s">
        <v>23</v>
      </c>
      <c r="K1938" s="4" t="s">
        <v>24</v>
      </c>
      <c r="L1938" s="4">
        <v>56000000</v>
      </c>
      <c r="M1938" s="4">
        <v>2011</v>
      </c>
      <c r="N1938" s="4">
        <v>5.7</v>
      </c>
      <c r="O1938" s="4">
        <f ca="1">IFERROR(__xludf.DUMMYFUNCTION("IF(Cost_in_dollars!E1938=""USD"",Cost_in_dollars!B1938,Cost_in_dollars!B1938 * GOOGLEFINANCE(""CURRENCY:"" &amp; Cost_in_dollars!E1938 &amp; ""USD""))
"),56000000)</f>
        <v>56000000</v>
      </c>
      <c r="P1938" s="4">
        <f ca="1">IFERROR(__xludf.DUMMYFUNCTION("IF(Cost_in_dollars!E1938=""USD"",Cost_in_dollars!C1938,Cost_in_dollars!C1938 * GOOGLEFINANCE(""CURRENCY:"" &amp; Cost_in_dollars!E1938 &amp; ""USD""))
"),54540525)</f>
        <v>54540525</v>
      </c>
      <c r="Q1938" s="4">
        <f t="shared" ca="1" si="42"/>
        <v>-1459475</v>
      </c>
      <c r="R1938" s="5" t="str">
        <f t="shared" si="43"/>
        <v>New Year's Eve</v>
      </c>
      <c r="S1938" s="43" t="str">
        <f t="shared" si="46"/>
        <v>Comedy</v>
      </c>
    </row>
    <row r="1939" spans="1:19" ht="15.75" customHeight="1" x14ac:dyDescent="0.25">
      <c r="A1939" s="6" t="s">
        <v>6479</v>
      </c>
      <c r="B1939" s="6">
        <v>488</v>
      </c>
      <c r="C1939" s="6">
        <v>4563029</v>
      </c>
      <c r="D1939" s="6" t="s">
        <v>1562</v>
      </c>
      <c r="E1939" s="6" t="s">
        <v>986</v>
      </c>
      <c r="F1939" s="6" t="s">
        <v>6480</v>
      </c>
      <c r="G1939" s="6">
        <v>181472</v>
      </c>
      <c r="H1939" s="6" t="s">
        <v>6481</v>
      </c>
      <c r="I1939" s="6">
        <v>514</v>
      </c>
      <c r="J1939" s="6" t="s">
        <v>23</v>
      </c>
      <c r="K1939" s="6" t="s">
        <v>1491</v>
      </c>
      <c r="L1939" s="6">
        <v>39200000</v>
      </c>
      <c r="M1939" s="6">
        <v>2013</v>
      </c>
      <c r="N1939" s="6">
        <v>7</v>
      </c>
      <c r="O1939" s="4">
        <f ca="1">IFERROR(__xludf.DUMMYFUNCTION("IF(Cost_in_dollars!E1939=""USD"",Cost_in_dollars!B1939,Cost_in_dollars!B1939 * GOOGLEFINANCE(""CURRENCY:"" &amp; Cost_in_dollars!E1939 &amp; ""USD""))
"),28375.5864)</f>
        <v>28375.5864</v>
      </c>
      <c r="P1939" s="4">
        <f ca="1">IFERROR(__xludf.DUMMYFUNCTION("IF(Cost_in_dollars!E1939=""USD"",Cost_in_dollars!C1939,Cost_in_dollars!C1939 * GOOGLEFINANCE(""CURRENCY:"" &amp; Cost_in_dollars!E1939 &amp; ""USD""))
"),3303.026113143)</f>
        <v>3303.0261131430002</v>
      </c>
      <c r="Q1939" s="6">
        <f t="shared" ca="1" si="42"/>
        <v>-25072.560286856999</v>
      </c>
      <c r="R1939" s="7" t="str">
        <f t="shared" si="43"/>
        <v>Snowpiercer</v>
      </c>
      <c r="S1939" s="43" t="str">
        <f t="shared" si="46"/>
        <v>Action</v>
      </c>
    </row>
    <row r="1940" spans="1:19" ht="15.75" customHeight="1" x14ac:dyDescent="0.25">
      <c r="A1940" s="4" t="s">
        <v>6482</v>
      </c>
      <c r="B1940" s="4">
        <v>33</v>
      </c>
      <c r="C1940" s="4">
        <v>29247405</v>
      </c>
      <c r="D1940" s="4" t="s">
        <v>6483</v>
      </c>
      <c r="E1940" s="4" t="s">
        <v>6484</v>
      </c>
      <c r="F1940" s="4" t="s">
        <v>6485</v>
      </c>
      <c r="G1940" s="4">
        <v>28377</v>
      </c>
      <c r="H1940" s="4" t="s">
        <v>6486</v>
      </c>
      <c r="I1940" s="4">
        <v>261</v>
      </c>
      <c r="J1940" s="4" t="s">
        <v>23</v>
      </c>
      <c r="K1940" s="4" t="s">
        <v>133</v>
      </c>
      <c r="L1940" s="4">
        <v>25000000</v>
      </c>
      <c r="M1940" s="4">
        <v>1997</v>
      </c>
      <c r="N1940" s="4">
        <v>3.3</v>
      </c>
      <c r="O1940" s="4">
        <f ca="1">IFERROR(__xludf.DUMMYFUNCTION("IF(Cost_in_dollars!E1940=""USD"",Cost_in_dollars!B1940,Cost_in_dollars!B1940 * GOOGLEFINANCE(""CURRENCY:"" &amp; Cost_in_dollars!E1940 &amp; ""USD""))
"),32134999.9999999)</f>
        <v>32134999.999999899</v>
      </c>
      <c r="P1940" s="4">
        <f ca="1">IFERROR(__xludf.DUMMYFUNCTION("IF(Cost_in_dollars!E1940=""USD"",Cost_in_dollars!C1940,Cost_in_dollars!C1940 * GOOGLEFINANCE(""CURRENCY:"" &amp; Cost_in_dollars!E1940 &amp; ""USD""))
"),37594614.3869999)</f>
        <v>37594614.386999898</v>
      </c>
      <c r="Q1940" s="4">
        <f t="shared" ca="1" si="42"/>
        <v>5459614.3869999982</v>
      </c>
      <c r="R1940" s="5" t="str">
        <f t="shared" si="43"/>
        <v>Spice World</v>
      </c>
      <c r="S1940" s="43" t="str">
        <f t="shared" si="46"/>
        <v>Comedy</v>
      </c>
    </row>
    <row r="1941" spans="1:19" ht="15.75" customHeight="1" x14ac:dyDescent="0.25">
      <c r="A1941" s="6" t="s">
        <v>6487</v>
      </c>
      <c r="B1941" s="6">
        <v>224</v>
      </c>
      <c r="C1941" s="6">
        <v>3254172</v>
      </c>
      <c r="D1941" s="6" t="s">
        <v>434</v>
      </c>
      <c r="E1941" s="6" t="s">
        <v>561</v>
      </c>
      <c r="F1941" s="6" t="s">
        <v>6488</v>
      </c>
      <c r="G1941" s="6">
        <v>29282</v>
      </c>
      <c r="H1941" s="6" t="s">
        <v>6489</v>
      </c>
      <c r="I1941" s="6">
        <v>105</v>
      </c>
      <c r="J1941" s="6" t="s">
        <v>23</v>
      </c>
      <c r="K1941" s="6" t="s">
        <v>24</v>
      </c>
      <c r="L1941" s="6">
        <v>28000000</v>
      </c>
      <c r="M1941" s="6">
        <v>2013</v>
      </c>
      <c r="N1941" s="6">
        <v>6.2</v>
      </c>
      <c r="O1941" s="4">
        <f ca="1">IFERROR(__xludf.DUMMYFUNCTION("IF(Cost_in_dollars!E1941=""USD"",Cost_in_dollars!B1941,Cost_in_dollars!B1941 * GOOGLEFINANCE(""CURRENCY:"" &amp; Cost_in_dollars!E1941 &amp; ""USD""))
"),28000000)</f>
        <v>28000000</v>
      </c>
      <c r="P1941" s="4">
        <f ca="1">IFERROR(__xludf.DUMMYFUNCTION("IF(Cost_in_dollars!E1941=""USD"",Cost_in_dollars!C1941,Cost_in_dollars!C1941 * GOOGLEFINANCE(""CURRENCY:"" &amp; Cost_in_dollars!E1941 &amp; ""USD""))
"),3254172)</f>
        <v>3254172</v>
      </c>
      <c r="Q1941" s="6">
        <f t="shared" ca="1" si="42"/>
        <v>-24745828</v>
      </c>
      <c r="R1941" s="7" t="str">
        <f t="shared" si="43"/>
        <v>The Fifth Estate</v>
      </c>
      <c r="S1941" s="43" t="str">
        <f t="shared" si="46"/>
        <v>Biography</v>
      </c>
    </row>
    <row r="1942" spans="1:19" ht="15.75" customHeight="1" x14ac:dyDescent="0.25">
      <c r="A1942" s="4" t="s">
        <v>4075</v>
      </c>
      <c r="B1942" s="4">
        <v>738</v>
      </c>
      <c r="C1942" s="4">
        <v>274084951</v>
      </c>
      <c r="D1942" s="4" t="s">
        <v>631</v>
      </c>
      <c r="E1942" s="4" t="s">
        <v>6490</v>
      </c>
      <c r="F1942" s="4" t="s">
        <v>6491</v>
      </c>
      <c r="G1942" s="4">
        <v>582917</v>
      </c>
      <c r="H1942" s="4" t="s">
        <v>6492</v>
      </c>
      <c r="I1942" s="4">
        <v>1885</v>
      </c>
      <c r="J1942" s="4" t="s">
        <v>23</v>
      </c>
      <c r="K1942" s="4" t="s">
        <v>133</v>
      </c>
      <c r="L1942" s="4">
        <v>100000000</v>
      </c>
      <c r="M1942" s="4">
        <v>2013</v>
      </c>
      <c r="N1942" s="4">
        <v>7.8</v>
      </c>
      <c r="O1942" s="4">
        <f ca="1">IFERROR(__xludf.DUMMYFUNCTION("IF(Cost_in_dollars!E1942=""USD"",Cost_in_dollars!B1942,Cost_in_dollars!B1942 * GOOGLEFINANCE(""CURRENCY:"" &amp; Cost_in_dollars!E1942 &amp; ""USD""))
"),128539999.999999)</f>
        <v>128539999.999999</v>
      </c>
      <c r="P1942" s="4">
        <f ca="1">IFERROR(__xludf.DUMMYFUNCTION("IF(Cost_in_dollars!E1942=""USD"",Cost_in_dollars!C1942,Cost_in_dollars!C1942 * GOOGLEFINANCE(""CURRENCY:"" &amp; Cost_in_dollars!E1942 &amp; ""USD""))
"),352308796.0154)</f>
        <v>352308796.01539999</v>
      </c>
      <c r="Q1942" s="4">
        <f t="shared" ca="1" si="42"/>
        <v>223768796.01540101</v>
      </c>
      <c r="R1942" s="5" t="str">
        <f t="shared" si="43"/>
        <v>Gravity</v>
      </c>
      <c r="S1942" s="43" t="str">
        <f t="shared" si="46"/>
        <v>Adventure</v>
      </c>
    </row>
    <row r="1943" spans="1:19" ht="15.75" customHeight="1" x14ac:dyDescent="0.25">
      <c r="A1943" s="6" t="s">
        <v>6493</v>
      </c>
      <c r="B1943" s="6">
        <v>98</v>
      </c>
      <c r="C1943" s="6">
        <v>55210049</v>
      </c>
      <c r="D1943" s="6" t="s">
        <v>797</v>
      </c>
      <c r="E1943" s="6" t="s">
        <v>6474</v>
      </c>
      <c r="F1943" s="6" t="s">
        <v>6494</v>
      </c>
      <c r="G1943" s="6">
        <v>43743</v>
      </c>
      <c r="H1943" s="6" t="s">
        <v>6495</v>
      </c>
      <c r="I1943" s="6">
        <v>293</v>
      </c>
      <c r="J1943" s="6" t="s">
        <v>23</v>
      </c>
      <c r="K1943" s="6" t="s">
        <v>24</v>
      </c>
      <c r="L1943" s="6">
        <v>27800000</v>
      </c>
      <c r="M1943" s="6">
        <v>1989</v>
      </c>
      <c r="N1943" s="6">
        <v>5.4</v>
      </c>
      <c r="O1943" s="4">
        <f ca="1">IFERROR(__xludf.DUMMYFUNCTION("IF(Cost_in_dollars!E1943=""USD"",Cost_in_dollars!B1943,Cost_in_dollars!B1943 * GOOGLEFINANCE(""CURRENCY:"" &amp; Cost_in_dollars!E1943 &amp; ""USD""))
"),27800000)</f>
        <v>27800000</v>
      </c>
      <c r="P1943" s="4">
        <f ca="1">IFERROR(__xludf.DUMMYFUNCTION("IF(Cost_in_dollars!E1943=""USD"",Cost_in_dollars!C1943,Cost_in_dollars!C1943 * GOOGLEFINANCE(""CURRENCY:"" &amp; Cost_in_dollars!E1943 &amp; ""USD""))
"),55210049)</f>
        <v>55210049</v>
      </c>
      <c r="Q1943" s="6">
        <f t="shared" ca="1" si="42"/>
        <v>27410049</v>
      </c>
      <c r="R1943" s="7" t="str">
        <f t="shared" si="43"/>
        <v>Star Trek V: The Final Frontier</v>
      </c>
      <c r="S1943" s="43" t="str">
        <f t="shared" si="46"/>
        <v>Action</v>
      </c>
    </row>
    <row r="1944" spans="1:19" ht="15.75" customHeight="1" x14ac:dyDescent="0.25">
      <c r="A1944" s="4" t="s">
        <v>221</v>
      </c>
      <c r="B1944" s="4">
        <v>125</v>
      </c>
      <c r="C1944" s="4">
        <v>47095453</v>
      </c>
      <c r="D1944" s="4" t="s">
        <v>1756</v>
      </c>
      <c r="E1944" s="4" t="s">
        <v>977</v>
      </c>
      <c r="F1944" s="4" t="s">
        <v>6496</v>
      </c>
      <c r="G1944" s="4">
        <v>64595</v>
      </c>
      <c r="H1944" s="4" t="s">
        <v>6497</v>
      </c>
      <c r="I1944" s="4">
        <v>316</v>
      </c>
      <c r="J1944" s="4" t="s">
        <v>23</v>
      </c>
      <c r="K1944" s="4" t="s">
        <v>24</v>
      </c>
      <c r="L1944" s="4">
        <v>48000000</v>
      </c>
      <c r="M1944" s="4">
        <v>2001</v>
      </c>
      <c r="N1944" s="4">
        <v>6.4</v>
      </c>
      <c r="O1944" s="4">
        <f ca="1">IFERROR(__xludf.DUMMYFUNCTION("IF(Cost_in_dollars!E1944=""USD"",Cost_in_dollars!B1944,Cost_in_dollars!B1944 * GOOGLEFINANCE(""CURRENCY:"" &amp; Cost_in_dollars!E1944 &amp; ""USD""))
"),48000000)</f>
        <v>48000000</v>
      </c>
      <c r="P1944" s="4">
        <f ca="1">IFERROR(__xludf.DUMMYFUNCTION("IF(Cost_in_dollars!E1944=""USD"",Cost_in_dollars!C1944,Cost_in_dollars!C1944 * GOOGLEFINANCE(""CURRENCY:"" &amp; Cost_in_dollars!E1944 &amp; ""USD""))
"),47095453)</f>
        <v>47095453</v>
      </c>
      <c r="Q1944" s="4">
        <f t="shared" ca="1" si="42"/>
        <v>-904547</v>
      </c>
      <c r="R1944" s="5" t="str">
        <f t="shared" si="43"/>
        <v>Kate &amp; Leopold</v>
      </c>
      <c r="S1944" s="43" t="str">
        <f t="shared" si="46"/>
        <v>Comedy</v>
      </c>
    </row>
    <row r="1945" spans="1:19" ht="15.75" customHeight="1" x14ac:dyDescent="0.25">
      <c r="A1945" s="6" t="s">
        <v>1755</v>
      </c>
      <c r="B1945" s="6">
        <v>42</v>
      </c>
      <c r="C1945" s="6">
        <v>10763469</v>
      </c>
      <c r="D1945" s="6" t="s">
        <v>162</v>
      </c>
      <c r="E1945" s="6" t="s">
        <v>1755</v>
      </c>
      <c r="F1945" s="6" t="s">
        <v>6498</v>
      </c>
      <c r="G1945" s="6">
        <v>13692</v>
      </c>
      <c r="H1945" s="6" t="s">
        <v>6499</v>
      </c>
      <c r="I1945" s="6">
        <v>55</v>
      </c>
      <c r="J1945" s="6" t="s">
        <v>23</v>
      </c>
      <c r="K1945" s="6" t="s">
        <v>24</v>
      </c>
      <c r="L1945" s="6">
        <v>15000000</v>
      </c>
      <c r="M1945" s="6">
        <v>1989</v>
      </c>
      <c r="N1945" s="6">
        <v>6.4</v>
      </c>
      <c r="O1945" s="4">
        <f ca="1">IFERROR(__xludf.DUMMYFUNCTION("IF(Cost_in_dollars!E1945=""USD"",Cost_in_dollars!B1945,Cost_in_dollars!B1945 * GOOGLEFINANCE(""CURRENCY:"" &amp; Cost_in_dollars!E1945 &amp; ""USD""))
"),15000000)</f>
        <v>15000000</v>
      </c>
      <c r="P1945" s="4">
        <f ca="1">IFERROR(__xludf.DUMMYFUNCTION("IF(Cost_in_dollars!E1945=""USD"",Cost_in_dollars!C1945,Cost_in_dollars!C1945 * GOOGLEFINANCE(""CURRENCY:"" &amp; Cost_in_dollars!E1945 &amp; ""USD""))
"),10763469)</f>
        <v>10763469</v>
      </c>
      <c r="Q1945" s="6">
        <f t="shared" ca="1" si="42"/>
        <v>-4236531</v>
      </c>
      <c r="R1945" s="7" t="str">
        <f t="shared" si="43"/>
        <v>New York Stories</v>
      </c>
      <c r="S1945" s="43" t="str">
        <f t="shared" si="46"/>
        <v>Comedy</v>
      </c>
    </row>
    <row r="1946" spans="1:19" ht="15.75" customHeight="1" x14ac:dyDescent="0.25">
      <c r="A1946" s="4" t="s">
        <v>2033</v>
      </c>
      <c r="B1946" s="4">
        <v>669</v>
      </c>
      <c r="C1946" s="4">
        <v>106952327</v>
      </c>
      <c r="D1946" s="4" t="s">
        <v>372</v>
      </c>
      <c r="E1946" s="4" t="s">
        <v>1091</v>
      </c>
      <c r="F1946" s="4" t="s">
        <v>6500</v>
      </c>
      <c r="G1946" s="4">
        <v>551363</v>
      </c>
      <c r="H1946" s="4" t="s">
        <v>6501</v>
      </c>
      <c r="I1946" s="4">
        <v>1140</v>
      </c>
      <c r="J1946" s="4" t="s">
        <v>23</v>
      </c>
      <c r="K1946" s="4" t="s">
        <v>24</v>
      </c>
      <c r="L1946" s="4">
        <v>13000000</v>
      </c>
      <c r="M1946" s="4">
        <v>2010</v>
      </c>
      <c r="N1946" s="4">
        <v>8</v>
      </c>
      <c r="O1946" s="4">
        <f ca="1">IFERROR(__xludf.DUMMYFUNCTION("IF(Cost_in_dollars!E1946=""USD"",Cost_in_dollars!B1946,Cost_in_dollars!B1946 * GOOGLEFINANCE(""CURRENCY:"" &amp; Cost_in_dollars!E1946 &amp; ""USD""))
"),13000000)</f>
        <v>13000000</v>
      </c>
      <c r="P1946" s="4">
        <f ca="1">IFERROR(__xludf.DUMMYFUNCTION("IF(Cost_in_dollars!E1946=""USD"",Cost_in_dollars!C1946,Cost_in_dollars!C1946 * GOOGLEFINANCE(""CURRENCY:"" &amp; Cost_in_dollars!E1946 &amp; ""USD""))
"),106952327)</f>
        <v>106952327</v>
      </c>
      <c r="Q1946" s="4">
        <f t="shared" ca="1" si="42"/>
        <v>93952327</v>
      </c>
      <c r="R1946" s="5" t="str">
        <f t="shared" si="43"/>
        <v>Black Swan</v>
      </c>
      <c r="S1946" s="43" t="str">
        <f t="shared" si="46"/>
        <v>Drama</v>
      </c>
    </row>
    <row r="1947" spans="1:19" ht="15.75" customHeight="1" x14ac:dyDescent="0.25">
      <c r="A1947" s="6" t="s">
        <v>1001</v>
      </c>
      <c r="B1947" s="6">
        <v>645</v>
      </c>
      <c r="C1947" s="6">
        <v>303001229</v>
      </c>
      <c r="D1947" s="6" t="s">
        <v>3118</v>
      </c>
      <c r="E1947" s="6" t="s">
        <v>6502</v>
      </c>
      <c r="F1947" s="6" t="s">
        <v>6503</v>
      </c>
      <c r="G1947" s="6">
        <v>637246</v>
      </c>
      <c r="H1947" s="6" t="s">
        <v>6504</v>
      </c>
      <c r="I1947" s="6">
        <v>1367</v>
      </c>
      <c r="J1947" s="6" t="s">
        <v>23</v>
      </c>
      <c r="K1947" s="6" t="s">
        <v>24</v>
      </c>
      <c r="L1947" s="6">
        <v>180000000</v>
      </c>
      <c r="M1947" s="6">
        <v>2012</v>
      </c>
      <c r="N1947" s="6">
        <v>7.9</v>
      </c>
      <c r="O1947" s="4">
        <f ca="1">IFERROR(__xludf.DUMMYFUNCTION("IF(Cost_in_dollars!E1947=""USD"",Cost_in_dollars!B1947,Cost_in_dollars!B1947 * GOOGLEFINANCE(""CURRENCY:"" &amp; Cost_in_dollars!E1947 &amp; ""USD""))
"),180000000)</f>
        <v>180000000</v>
      </c>
      <c r="P1947" s="4">
        <f ca="1">IFERROR(__xludf.DUMMYFUNCTION("IF(Cost_in_dollars!E1947=""USD"",Cost_in_dollars!C1947,Cost_in_dollars!C1947 * GOOGLEFINANCE(""CURRENCY:"" &amp; Cost_in_dollars!E1947 &amp; ""USD""))
"),303001229)</f>
        <v>303001229</v>
      </c>
      <c r="Q1947" s="6">
        <f t="shared" ca="1" si="42"/>
        <v>123001229</v>
      </c>
      <c r="R1947" s="7" t="str">
        <f t="shared" si="43"/>
        <v>The Hobbit: An Unexpected Journey</v>
      </c>
      <c r="S1947" s="43" t="str">
        <f t="shared" si="46"/>
        <v>Adventure</v>
      </c>
    </row>
    <row r="1948" spans="1:19" ht="15.75" customHeight="1" x14ac:dyDescent="0.25">
      <c r="A1948" s="4" t="s">
        <v>1589</v>
      </c>
      <c r="B1948" s="4">
        <v>493</v>
      </c>
      <c r="C1948" s="4">
        <v>171031347</v>
      </c>
      <c r="D1948" s="4" t="s">
        <v>2068</v>
      </c>
      <c r="E1948" s="4" t="s">
        <v>588</v>
      </c>
      <c r="F1948" s="4" t="s">
        <v>6505</v>
      </c>
      <c r="G1948" s="4">
        <v>240962</v>
      </c>
      <c r="H1948" s="4" t="s">
        <v>6506</v>
      </c>
      <c r="I1948" s="4">
        <v>724</v>
      </c>
      <c r="J1948" s="4" t="s">
        <v>23</v>
      </c>
      <c r="K1948" s="4" t="s">
        <v>24</v>
      </c>
      <c r="L1948" s="4">
        <v>38000000</v>
      </c>
      <c r="M1948" s="4">
        <v>2010</v>
      </c>
      <c r="N1948" s="4">
        <v>7.7</v>
      </c>
      <c r="O1948" s="4">
        <f ca="1">IFERROR(__xludf.DUMMYFUNCTION("IF(Cost_in_dollars!E1948=""USD"",Cost_in_dollars!B1948,Cost_in_dollars!B1948 * GOOGLEFINANCE(""CURRENCY:"" &amp; Cost_in_dollars!E1948 &amp; ""USD""))
"),38000000)</f>
        <v>38000000</v>
      </c>
      <c r="P1948" s="4">
        <f ca="1">IFERROR(__xludf.DUMMYFUNCTION("IF(Cost_in_dollars!E1948=""USD"",Cost_in_dollars!C1948,Cost_in_dollars!C1948 * GOOGLEFINANCE(""CURRENCY:"" &amp; Cost_in_dollars!E1948 &amp; ""USD""))
"),171031347)</f>
        <v>171031347</v>
      </c>
      <c r="Q1948" s="4">
        <f t="shared" ca="1" si="42"/>
        <v>133031347</v>
      </c>
      <c r="R1948" s="5" t="str">
        <f t="shared" si="43"/>
        <v>True Grit</v>
      </c>
      <c r="S1948" s="43" t="str">
        <f t="shared" si="46"/>
        <v>Adventure</v>
      </c>
    </row>
    <row r="1949" spans="1:19" ht="15.75" customHeight="1" x14ac:dyDescent="0.25">
      <c r="A1949" s="6" t="s">
        <v>512</v>
      </c>
      <c r="B1949" s="6">
        <v>79</v>
      </c>
      <c r="C1949" s="6">
        <v>5205343</v>
      </c>
      <c r="D1949" s="6" t="s">
        <v>346</v>
      </c>
      <c r="E1949" s="6" t="s">
        <v>5225</v>
      </c>
      <c r="F1949" s="6" t="s">
        <v>6507</v>
      </c>
      <c r="G1949" s="6">
        <v>11958</v>
      </c>
      <c r="H1949" s="6" t="s">
        <v>6508</v>
      </c>
      <c r="I1949" s="6">
        <v>39</v>
      </c>
      <c r="J1949" s="6" t="s">
        <v>23</v>
      </c>
      <c r="K1949" s="6" t="s">
        <v>24</v>
      </c>
      <c r="L1949" s="6">
        <v>20000000</v>
      </c>
      <c r="M1949" s="6">
        <v>2009</v>
      </c>
      <c r="N1949" s="6">
        <v>6.4</v>
      </c>
      <c r="O1949" s="4">
        <f ca="1">IFERROR(__xludf.DUMMYFUNCTION("IF(Cost_in_dollars!E1949=""USD"",Cost_in_dollars!B1949,Cost_in_dollars!B1949 * GOOGLEFINANCE(""CURRENCY:"" &amp; Cost_in_dollars!E1949 &amp; ""USD""))
"),20000000)</f>
        <v>20000000</v>
      </c>
      <c r="P1949" s="4">
        <f ca="1">IFERROR(__xludf.DUMMYFUNCTION("IF(Cost_in_dollars!E1949=""USD"",Cost_in_dollars!C1949,Cost_in_dollars!C1949 * GOOGLEFINANCE(""CURRENCY:"" &amp; Cost_in_dollars!E1949 &amp; ""USD""))
"),5205343)</f>
        <v>5205343</v>
      </c>
      <c r="Q1949" s="6">
        <f t="shared" ca="1" si="42"/>
        <v>-14794657</v>
      </c>
      <c r="R1949" s="7" t="str">
        <f t="shared" si="43"/>
        <v>Bandslam</v>
      </c>
      <c r="S1949" s="43" t="str">
        <f t="shared" si="46"/>
        <v>Comedy</v>
      </c>
    </row>
    <row r="1950" spans="1:19" ht="15.75" customHeight="1" x14ac:dyDescent="0.25">
      <c r="A1950" s="4" t="s">
        <v>6509</v>
      </c>
      <c r="B1950" s="4">
        <v>22</v>
      </c>
      <c r="C1950" s="4">
        <v>111300</v>
      </c>
      <c r="D1950" s="4" t="s">
        <v>254</v>
      </c>
      <c r="E1950" s="4" t="s">
        <v>6510</v>
      </c>
      <c r="F1950" s="4" t="s">
        <v>6511</v>
      </c>
      <c r="G1950" s="4">
        <v>575</v>
      </c>
      <c r="H1950" s="4" t="s">
        <v>6512</v>
      </c>
      <c r="I1950" s="4">
        <v>6</v>
      </c>
      <c r="J1950" s="4" t="s">
        <v>23</v>
      </c>
      <c r="K1950" s="4" t="s">
        <v>24</v>
      </c>
      <c r="L1950" s="4">
        <v>225000</v>
      </c>
      <c r="M1950" s="4">
        <v>2012</v>
      </c>
      <c r="N1950" s="4">
        <v>7.5</v>
      </c>
      <c r="O1950" s="4">
        <f ca="1">IFERROR(__xludf.DUMMYFUNCTION("IF(Cost_in_dollars!E1950=""USD"",Cost_in_dollars!B1950,Cost_in_dollars!B1950 * GOOGLEFINANCE(""CURRENCY:"" &amp; Cost_in_dollars!E1950 &amp; ""USD""))
"),225000)</f>
        <v>225000</v>
      </c>
      <c r="P1950" s="4">
        <f ca="1">IFERROR(__xludf.DUMMYFUNCTION("IF(Cost_in_dollars!E1950=""USD"",Cost_in_dollars!C1950,Cost_in_dollars!C1950 * GOOGLEFINANCE(""CURRENCY:"" &amp; Cost_in_dollars!E1950 &amp; ""USD""))
"),111300)</f>
        <v>111300</v>
      </c>
      <c r="Q1950" s="4">
        <f t="shared" ca="1" si="42"/>
        <v>-113700</v>
      </c>
      <c r="R1950" s="5" t="str">
        <f t="shared" si="43"/>
        <v>Burn</v>
      </c>
      <c r="S1950" s="43" t="str">
        <f t="shared" si="46"/>
        <v>Documentary</v>
      </c>
    </row>
    <row r="1951" spans="1:19" ht="15.75" customHeight="1" x14ac:dyDescent="0.25">
      <c r="A1951" s="6" t="s">
        <v>1514</v>
      </c>
      <c r="B1951" s="6">
        <v>138</v>
      </c>
      <c r="C1951" s="6">
        <v>43060566</v>
      </c>
      <c r="D1951" s="6" t="s">
        <v>452</v>
      </c>
      <c r="E1951" s="6" t="s">
        <v>1595</v>
      </c>
      <c r="F1951" s="6" t="s">
        <v>6513</v>
      </c>
      <c r="G1951" s="6">
        <v>107859</v>
      </c>
      <c r="H1951" s="6" t="s">
        <v>6514</v>
      </c>
      <c r="I1951" s="6">
        <v>569</v>
      </c>
      <c r="J1951" s="6" t="s">
        <v>23</v>
      </c>
      <c r="K1951" s="6" t="s">
        <v>24</v>
      </c>
      <c r="L1951" s="6">
        <v>60000000</v>
      </c>
      <c r="M1951" s="6">
        <v>2002</v>
      </c>
      <c r="N1951" s="6">
        <v>6.2</v>
      </c>
      <c r="O1951" s="4">
        <f ca="1">IFERROR(__xludf.DUMMYFUNCTION("IF(Cost_in_dollars!E1951=""USD"",Cost_in_dollars!B1951,Cost_in_dollars!B1951 * GOOGLEFINANCE(""CURRENCY:"" &amp; Cost_in_dollars!E1951 &amp; ""USD""))
"),60000000)</f>
        <v>60000000</v>
      </c>
      <c r="P1951" s="4">
        <f ca="1">IFERROR(__xludf.DUMMYFUNCTION("IF(Cost_in_dollars!E1951=""USD"",Cost_in_dollars!C1951,Cost_in_dollars!C1951 * GOOGLEFINANCE(""CURRENCY:"" &amp; Cost_in_dollars!E1951 &amp; ""USD""))
"),43060566)</f>
        <v>43060566</v>
      </c>
      <c r="Q1951" s="6">
        <f t="shared" ca="1" si="42"/>
        <v>-16939434</v>
      </c>
      <c r="R1951" s="7" t="str">
        <f t="shared" si="43"/>
        <v>Reign of Fire</v>
      </c>
      <c r="S1951" s="43" t="str">
        <f t="shared" si="46"/>
        <v>Action</v>
      </c>
    </row>
    <row r="1952" spans="1:19" ht="15.75" customHeight="1" x14ac:dyDescent="0.25">
      <c r="A1952" s="4" t="s">
        <v>6515</v>
      </c>
      <c r="B1952" s="4">
        <v>81</v>
      </c>
      <c r="C1952" s="4">
        <v>11043445</v>
      </c>
      <c r="D1952" s="4" t="s">
        <v>162</v>
      </c>
      <c r="E1952" s="4" t="s">
        <v>1982</v>
      </c>
      <c r="F1952" s="4" t="s">
        <v>6516</v>
      </c>
      <c r="G1952" s="4">
        <v>27689</v>
      </c>
      <c r="H1952" s="4" t="s">
        <v>6517</v>
      </c>
      <c r="I1952" s="4">
        <v>74</v>
      </c>
      <c r="J1952" s="4" t="s">
        <v>23</v>
      </c>
      <c r="K1952" s="4" t="s">
        <v>24</v>
      </c>
      <c r="L1952" s="4">
        <v>10000000</v>
      </c>
      <c r="M1952" s="4">
        <v>2007</v>
      </c>
      <c r="N1952" s="4">
        <v>6.5</v>
      </c>
      <c r="O1952" s="4">
        <f ca="1">IFERROR(__xludf.DUMMYFUNCTION("IF(Cost_in_dollars!E1952=""USD"",Cost_in_dollars!B1952,Cost_in_dollars!B1952 * GOOGLEFINANCE(""CURRENCY:"" &amp; Cost_in_dollars!E1952 &amp; ""USD""))
"),10000000)</f>
        <v>10000000</v>
      </c>
      <c r="P1952" s="4">
        <f ca="1">IFERROR(__xludf.DUMMYFUNCTION("IF(Cost_in_dollars!E1952=""USD"",Cost_in_dollars!C1952,Cost_in_dollars!C1952 * GOOGLEFINANCE(""CURRENCY:"" &amp; Cost_in_dollars!E1952 &amp; ""USD""))
"),11043445)</f>
        <v>11043445</v>
      </c>
      <c r="Q1952" s="4">
        <f t="shared" ca="1" si="42"/>
        <v>1043445</v>
      </c>
      <c r="R1952" s="5" t="str">
        <f t="shared" si="43"/>
        <v>In the Land of Women</v>
      </c>
      <c r="S1952" s="43" t="str">
        <f t="shared" si="46"/>
        <v>Comedy</v>
      </c>
    </row>
    <row r="1953" spans="1:19" ht="15.75" customHeight="1" x14ac:dyDescent="0.25">
      <c r="A1953" s="6" t="s">
        <v>638</v>
      </c>
      <c r="B1953" s="6">
        <v>174</v>
      </c>
      <c r="C1953" s="6">
        <v>96067179</v>
      </c>
      <c r="D1953" s="6" t="s">
        <v>623</v>
      </c>
      <c r="E1953" s="6" t="s">
        <v>608</v>
      </c>
      <c r="F1953" s="6" t="s">
        <v>6518</v>
      </c>
      <c r="G1953" s="6">
        <v>865020</v>
      </c>
      <c r="H1953" s="6" t="s">
        <v>6519</v>
      </c>
      <c r="I1953" s="6">
        <v>1273</v>
      </c>
      <c r="J1953" s="6" t="s">
        <v>23</v>
      </c>
      <c r="K1953" s="6" t="s">
        <v>24</v>
      </c>
      <c r="L1953" s="6">
        <v>22000000</v>
      </c>
      <c r="M1953" s="6">
        <v>1993</v>
      </c>
      <c r="N1953" s="6">
        <v>8.9</v>
      </c>
      <c r="O1953" s="4">
        <f ca="1">IFERROR(__xludf.DUMMYFUNCTION("IF(Cost_in_dollars!E1953=""USD"",Cost_in_dollars!B1953,Cost_in_dollars!B1953 * GOOGLEFINANCE(""CURRENCY:"" &amp; Cost_in_dollars!E1953 &amp; ""USD""))
"),22000000)</f>
        <v>22000000</v>
      </c>
      <c r="P1953" s="4">
        <f ca="1">IFERROR(__xludf.DUMMYFUNCTION("IF(Cost_in_dollars!E1953=""USD"",Cost_in_dollars!C1953,Cost_in_dollars!C1953 * GOOGLEFINANCE(""CURRENCY:"" &amp; Cost_in_dollars!E1953 &amp; ""USD""))
"),96067179)</f>
        <v>96067179</v>
      </c>
      <c r="Q1953" s="6">
        <f t="shared" ca="1" si="42"/>
        <v>74067179</v>
      </c>
      <c r="R1953" s="7" t="str">
        <f t="shared" si="43"/>
        <v>Schindler's List</v>
      </c>
      <c r="S1953" s="43" t="str">
        <f t="shared" si="46"/>
        <v>Biography</v>
      </c>
    </row>
    <row r="1954" spans="1:19" ht="15.75" customHeight="1" x14ac:dyDescent="0.25">
      <c r="A1954" s="4" t="s">
        <v>6520</v>
      </c>
      <c r="B1954" s="4">
        <v>22</v>
      </c>
      <c r="C1954" s="4">
        <v>23031390</v>
      </c>
      <c r="D1954" s="4" t="s">
        <v>457</v>
      </c>
      <c r="E1954" s="4" t="s">
        <v>198</v>
      </c>
      <c r="F1954" s="4" t="s">
        <v>6521</v>
      </c>
      <c r="G1954" s="4">
        <v>4345</v>
      </c>
      <c r="H1954" s="4" t="s">
        <v>6522</v>
      </c>
      <c r="I1954" s="4">
        <v>26</v>
      </c>
      <c r="J1954" s="4" t="s">
        <v>23</v>
      </c>
      <c r="K1954" s="4" t="s">
        <v>24</v>
      </c>
      <c r="L1954" s="4">
        <v>4500000</v>
      </c>
      <c r="M1954" s="4">
        <v>1998</v>
      </c>
      <c r="N1954" s="4">
        <v>5.6</v>
      </c>
      <c r="O1954" s="4">
        <f ca="1">IFERROR(__xludf.DUMMYFUNCTION("IF(Cost_in_dollars!E1954=""USD"",Cost_in_dollars!B1954,Cost_in_dollars!B1954 * GOOGLEFINANCE(""CURRENCY:"" &amp; Cost_in_dollars!E1954 &amp; ""USD""))
"),4500000)</f>
        <v>4500000</v>
      </c>
      <c r="P1954" s="4">
        <f ca="1">IFERROR(__xludf.DUMMYFUNCTION("IF(Cost_in_dollars!E1954=""USD"",Cost_in_dollars!C1954,Cost_in_dollars!C1954 * GOOGLEFINANCE(""CURRENCY:"" &amp; Cost_in_dollars!E1954 &amp; ""USD""))
"),23031390)</f>
        <v>23031390</v>
      </c>
      <c r="Q1954" s="4">
        <f t="shared" ca="1" si="42"/>
        <v>18531390</v>
      </c>
      <c r="R1954" s="5" t="str">
        <f t="shared" si="43"/>
        <v>The Players Club</v>
      </c>
      <c r="S1954" s="43" t="str">
        <f t="shared" si="46"/>
        <v>Comedy</v>
      </c>
    </row>
    <row r="1955" spans="1:19" ht="15.75" customHeight="1" x14ac:dyDescent="0.25">
      <c r="A1955" s="6" t="s">
        <v>6523</v>
      </c>
      <c r="B1955" s="6">
        <v>44</v>
      </c>
      <c r="C1955" s="6">
        <v>37440</v>
      </c>
      <c r="D1955" s="6" t="s">
        <v>465</v>
      </c>
      <c r="E1955" s="6" t="s">
        <v>5471</v>
      </c>
      <c r="F1955" s="6" t="s">
        <v>6524</v>
      </c>
      <c r="G1955" s="6">
        <v>12672</v>
      </c>
      <c r="H1955" s="6" t="s">
        <v>6525</v>
      </c>
      <c r="I1955" s="6">
        <v>60</v>
      </c>
      <c r="J1955" s="6" t="s">
        <v>23</v>
      </c>
      <c r="K1955" s="6" t="s">
        <v>24</v>
      </c>
      <c r="L1955" s="6">
        <v>5000000</v>
      </c>
      <c r="M1955" s="6">
        <v>2014</v>
      </c>
      <c r="N1955" s="6">
        <v>7.5</v>
      </c>
      <c r="O1955" s="4">
        <f ca="1">IFERROR(__xludf.DUMMYFUNCTION("IF(Cost_in_dollars!E1955=""USD"",Cost_in_dollars!B1955,Cost_in_dollars!B1955 * GOOGLEFINANCE(""CURRENCY:"" &amp; Cost_in_dollars!E1955 &amp; ""USD""))
"),5000000)</f>
        <v>5000000</v>
      </c>
      <c r="P1955" s="4">
        <f ca="1">IFERROR(__xludf.DUMMYFUNCTION("IF(Cost_in_dollars!E1955=""USD"",Cost_in_dollars!C1955,Cost_in_dollars!C1955 * GOOGLEFINANCE(""CURRENCY:"" &amp; Cost_in_dollars!E1955 &amp; ""USD""))
"),37440)</f>
        <v>37440</v>
      </c>
      <c r="Q1955" s="6">
        <f t="shared" ca="1" si="42"/>
        <v>-4962560</v>
      </c>
      <c r="R1955" s="7" t="str">
        <f t="shared" si="43"/>
        <v>Rudderless</v>
      </c>
      <c r="S1955" s="43" t="str">
        <f t="shared" si="46"/>
        <v>Comedy</v>
      </c>
    </row>
    <row r="1956" spans="1:19" ht="15.75" customHeight="1" x14ac:dyDescent="0.25">
      <c r="A1956" s="4" t="s">
        <v>4637</v>
      </c>
      <c r="B1956" s="4">
        <v>460</v>
      </c>
      <c r="C1956" s="4">
        <v>210592590</v>
      </c>
      <c r="D1956" s="4" t="s">
        <v>6526</v>
      </c>
      <c r="E1956" s="4" t="s">
        <v>833</v>
      </c>
      <c r="F1956" s="4" t="s">
        <v>6527</v>
      </c>
      <c r="G1956" s="4">
        <v>607235</v>
      </c>
      <c r="H1956" s="4" t="s">
        <v>6528</v>
      </c>
      <c r="I1956" s="4">
        <v>2073</v>
      </c>
      <c r="J1956" s="4" t="s">
        <v>23</v>
      </c>
      <c r="K1956" s="4" t="s">
        <v>24</v>
      </c>
      <c r="L1956" s="4">
        <v>65000000</v>
      </c>
      <c r="M1956" s="4">
        <v>2006</v>
      </c>
      <c r="N1956" s="4">
        <v>7.7</v>
      </c>
      <c r="O1956" s="4">
        <f ca="1">IFERROR(__xludf.DUMMYFUNCTION("IF(Cost_in_dollars!E1956=""USD"",Cost_in_dollars!B1956,Cost_in_dollars!B1956 * GOOGLEFINANCE(""CURRENCY:"" &amp; Cost_in_dollars!E1956 &amp; ""USD""))
"),65000000)</f>
        <v>65000000</v>
      </c>
      <c r="P1956" s="4">
        <f ca="1">IFERROR(__xludf.DUMMYFUNCTION("IF(Cost_in_dollars!E1956=""USD"",Cost_in_dollars!C1956,Cost_in_dollars!C1956 * GOOGLEFINANCE(""CURRENCY:"" &amp; Cost_in_dollars!E1956 &amp; ""USD""))
"),210592590)</f>
        <v>210592590</v>
      </c>
      <c r="Q1956" s="4">
        <f t="shared" ca="1" si="42"/>
        <v>145592590</v>
      </c>
      <c r="R1956" s="5" t="str">
        <f t="shared" si="43"/>
        <v>300</v>
      </c>
      <c r="S1956" s="43" t="str">
        <f t="shared" si="46"/>
        <v>Action</v>
      </c>
    </row>
    <row r="1957" spans="1:19" ht="15.75" customHeight="1" x14ac:dyDescent="0.25">
      <c r="A1957" s="6" t="s">
        <v>5689</v>
      </c>
      <c r="B1957" s="6">
        <v>190</v>
      </c>
      <c r="C1957" s="6">
        <v>63270259</v>
      </c>
      <c r="D1957" s="6" t="s">
        <v>568</v>
      </c>
      <c r="E1957" s="6" t="s">
        <v>3477</v>
      </c>
      <c r="F1957" s="6" t="s">
        <v>6529</v>
      </c>
      <c r="G1957" s="6">
        <v>111087</v>
      </c>
      <c r="H1957" s="6" t="s">
        <v>6530</v>
      </c>
      <c r="I1957" s="6">
        <v>319</v>
      </c>
      <c r="J1957" s="6" t="s">
        <v>23</v>
      </c>
      <c r="K1957" s="6" t="s">
        <v>24</v>
      </c>
      <c r="L1957" s="6">
        <v>10000000</v>
      </c>
      <c r="M1957" s="6">
        <v>2007</v>
      </c>
      <c r="N1957" s="6">
        <v>5.9</v>
      </c>
      <c r="O1957" s="4">
        <f ca="1">IFERROR(__xludf.DUMMYFUNCTION("IF(Cost_in_dollars!E1957=""USD"",Cost_in_dollars!B1957,Cost_in_dollars!B1957 * GOOGLEFINANCE(""CURRENCY:"" &amp; Cost_in_dollars!E1957 &amp; ""USD""))
"),10000000)</f>
        <v>10000000</v>
      </c>
      <c r="P1957" s="4">
        <f ca="1">IFERROR(__xludf.DUMMYFUNCTION("IF(Cost_in_dollars!E1957=""USD"",Cost_in_dollars!C1957,Cost_in_dollars!C1957 * GOOGLEFINANCE(""CURRENCY:"" &amp; Cost_in_dollars!E1957 &amp; ""USD""))
"),63270259)</f>
        <v>63270259</v>
      </c>
      <c r="Q1957" s="6">
        <f t="shared" ca="1" si="42"/>
        <v>53270259</v>
      </c>
      <c r="R1957" s="7" t="str">
        <f t="shared" si="43"/>
        <v>Saw IV</v>
      </c>
      <c r="S1957" s="43" t="str">
        <f t="shared" si="46"/>
        <v>Horror</v>
      </c>
    </row>
    <row r="1958" spans="1:19" ht="15.75" customHeight="1" x14ac:dyDescent="0.25">
      <c r="A1958" s="4" t="s">
        <v>3579</v>
      </c>
      <c r="B1958" s="4">
        <v>53</v>
      </c>
      <c r="C1958" s="4">
        <v>105263257</v>
      </c>
      <c r="D1958" s="4" t="s">
        <v>6531</v>
      </c>
      <c r="E1958" s="4" t="s">
        <v>20</v>
      </c>
      <c r="F1958" s="4" t="s">
        <v>6532</v>
      </c>
      <c r="G1958" s="4">
        <v>56168</v>
      </c>
      <c r="H1958" s="4" t="s">
        <v>6533</v>
      </c>
      <c r="I1958" s="4">
        <v>103</v>
      </c>
      <c r="J1958" s="4" t="s">
        <v>23</v>
      </c>
      <c r="K1958" s="4" t="s">
        <v>24</v>
      </c>
      <c r="L1958" s="4">
        <v>55000000</v>
      </c>
      <c r="M1958" s="4">
        <v>1997</v>
      </c>
      <c r="N1958" s="4">
        <v>5.4</v>
      </c>
      <c r="O1958" s="4">
        <f ca="1">IFERROR(__xludf.DUMMYFUNCTION("IF(Cost_in_dollars!E1958=""USD"",Cost_in_dollars!B1958,Cost_in_dollars!B1958 * GOOGLEFINANCE(""CURRENCY:"" &amp; Cost_in_dollars!E1958 &amp; ""USD""))
"),55000000)</f>
        <v>55000000</v>
      </c>
      <c r="P1958" s="4">
        <f ca="1">IFERROR(__xludf.DUMMYFUNCTION("IF(Cost_in_dollars!E1958=""USD"",Cost_in_dollars!C1958,Cost_in_dollars!C1958 * GOOGLEFINANCE(""CURRENCY:"" &amp; Cost_in_dollars!E1958 &amp; ""USD""))
"),105263257)</f>
        <v>105263257</v>
      </c>
      <c r="Q1958" s="4">
        <f t="shared" ca="1" si="42"/>
        <v>50263257</v>
      </c>
      <c r="R1958" s="5" t="str">
        <f t="shared" si="43"/>
        <v>George of the Jungle</v>
      </c>
      <c r="S1958" s="43" t="str">
        <f t="shared" si="46"/>
        <v>Action</v>
      </c>
    </row>
    <row r="1959" spans="1:19" ht="15.75" customHeight="1" x14ac:dyDescent="0.25">
      <c r="A1959" s="6" t="s">
        <v>6534</v>
      </c>
      <c r="B1959" s="6">
        <v>85</v>
      </c>
      <c r="C1959" s="6">
        <v>17757087</v>
      </c>
      <c r="D1959" s="6" t="s">
        <v>1020</v>
      </c>
      <c r="E1959" s="6" t="s">
        <v>6535</v>
      </c>
      <c r="F1959" s="6" t="s">
        <v>6536</v>
      </c>
      <c r="G1959" s="6">
        <v>13065</v>
      </c>
      <c r="H1959" s="6" t="s">
        <v>6537</v>
      </c>
      <c r="I1959" s="6">
        <v>253</v>
      </c>
      <c r="J1959" s="6" t="s">
        <v>23</v>
      </c>
      <c r="K1959" s="6" t="s">
        <v>24</v>
      </c>
      <c r="L1959" s="6">
        <v>21000000</v>
      </c>
      <c r="M1959" s="6">
        <v>1999</v>
      </c>
      <c r="N1959" s="6">
        <v>4.5999999999999996</v>
      </c>
      <c r="O1959" s="4">
        <f ca="1">IFERROR(__xludf.DUMMYFUNCTION("IF(Cost_in_dollars!E1959=""USD"",Cost_in_dollars!B1959,Cost_in_dollars!B1959 * GOOGLEFINANCE(""CURRENCY:"" &amp; Cost_in_dollars!E1959 &amp; ""USD""))
"),21000000)</f>
        <v>21000000</v>
      </c>
      <c r="P1959" s="4">
        <f ca="1">IFERROR(__xludf.DUMMYFUNCTION("IF(Cost_in_dollars!E1959=""USD"",Cost_in_dollars!C1959,Cost_in_dollars!C1959 * GOOGLEFINANCE(""CURRENCY:"" &amp; Cost_in_dollars!E1959 &amp; ""USD""))
"),17757087)</f>
        <v>17757087</v>
      </c>
      <c r="Q1959" s="6">
        <f t="shared" ca="1" si="42"/>
        <v>-3242913</v>
      </c>
      <c r="R1959" s="7" t="str">
        <f t="shared" si="43"/>
        <v>The Rage: Carrie 2</v>
      </c>
      <c r="S1959" s="43" t="str">
        <f t="shared" si="46"/>
        <v>Horror</v>
      </c>
    </row>
    <row r="1960" spans="1:19" ht="15.75" customHeight="1" x14ac:dyDescent="0.25">
      <c r="A1960" s="4" t="s">
        <v>6538</v>
      </c>
      <c r="B1960" s="4">
        <v>47</v>
      </c>
      <c r="C1960" s="4">
        <v>190562</v>
      </c>
      <c r="D1960" s="4" t="s">
        <v>6539</v>
      </c>
      <c r="E1960" s="4" t="s">
        <v>6540</v>
      </c>
      <c r="F1960" s="4" t="s">
        <v>6541</v>
      </c>
      <c r="G1960" s="4">
        <v>2508</v>
      </c>
      <c r="H1960" s="4" t="s">
        <v>6542</v>
      </c>
      <c r="I1960" s="4">
        <v>24</v>
      </c>
      <c r="J1960" s="4" t="s">
        <v>23</v>
      </c>
      <c r="K1960" s="4" t="s">
        <v>133</v>
      </c>
      <c r="L1960" s="4">
        <v>90000000</v>
      </c>
      <c r="M1960" s="4">
        <v>2010</v>
      </c>
      <c r="N1960" s="4">
        <v>4.4000000000000004</v>
      </c>
      <c r="O1960" s="4">
        <f ca="1">IFERROR(__xludf.DUMMYFUNCTION("IF(Cost_in_dollars!E1960=""USD"",Cost_in_dollars!B1960,Cost_in_dollars!B1960 * GOOGLEFINANCE(""CURRENCY:"" &amp; Cost_in_dollars!E1960 &amp; ""USD""))
"),115685999.999999)</f>
        <v>115685999.999999</v>
      </c>
      <c r="P1960" s="4">
        <f ca="1">IFERROR(__xludf.DUMMYFUNCTION("IF(Cost_in_dollars!E1960=""USD"",Cost_in_dollars!C1960,Cost_in_dollars!C1960 * GOOGLEFINANCE(""CURRENCY:"" &amp; Cost_in_dollars!E1960 &amp; ""USD""))
"),244948.394799999)</f>
        <v>244948.39479999899</v>
      </c>
      <c r="Q1960" s="4">
        <f t="shared" ca="1" si="42"/>
        <v>-115441051.60519901</v>
      </c>
      <c r="R1960" s="5" t="str">
        <f t="shared" si="43"/>
        <v>The Nutcracker in 3D</v>
      </c>
      <c r="S1960" s="43" t="str">
        <f t="shared" si="46"/>
        <v>Action</v>
      </c>
    </row>
    <row r="1961" spans="1:19" ht="15.75" customHeight="1" x14ac:dyDescent="0.25">
      <c r="A1961" s="6" t="s">
        <v>6543</v>
      </c>
      <c r="B1961" s="6">
        <v>663</v>
      </c>
      <c r="C1961" s="6">
        <v>12784397</v>
      </c>
      <c r="D1961" s="6" t="s">
        <v>686</v>
      </c>
      <c r="E1961" s="6" t="s">
        <v>2918</v>
      </c>
      <c r="F1961" s="6" t="s">
        <v>6544</v>
      </c>
      <c r="G1961" s="6">
        <v>70336</v>
      </c>
      <c r="H1961" s="6" t="s">
        <v>6545</v>
      </c>
      <c r="I1961" s="6">
        <v>269</v>
      </c>
      <c r="J1961" s="6" t="s">
        <v>23</v>
      </c>
      <c r="K1961" s="6" t="s">
        <v>24</v>
      </c>
      <c r="L1961" s="6">
        <v>1800000</v>
      </c>
      <c r="M1961" s="6">
        <v>2012</v>
      </c>
      <c r="N1961" s="6">
        <v>7.3</v>
      </c>
      <c r="O1961" s="4">
        <f ca="1">IFERROR(__xludf.DUMMYFUNCTION("IF(Cost_in_dollars!E1961=""USD"",Cost_in_dollars!B1961,Cost_in_dollars!B1961 * GOOGLEFINANCE(""CURRENCY:"" &amp; Cost_in_dollars!E1961 &amp; ""USD""))
"),1800000)</f>
        <v>1800000</v>
      </c>
      <c r="P1961" s="4">
        <f ca="1">IFERROR(__xludf.DUMMYFUNCTION("IF(Cost_in_dollars!E1961=""USD"",Cost_in_dollars!C1961,Cost_in_dollars!C1961 * GOOGLEFINANCE(""CURRENCY:"" &amp; Cost_in_dollars!E1961 &amp; ""USD""))
"),12784397)</f>
        <v>12784397</v>
      </c>
      <c r="Q1961" s="6">
        <f t="shared" ca="1" si="42"/>
        <v>10984397</v>
      </c>
      <c r="R1961" s="7" t="str">
        <f t="shared" si="43"/>
        <v>Beasts of the Southern Wild</v>
      </c>
      <c r="S1961" s="43" t="str">
        <f t="shared" si="46"/>
        <v>Drama</v>
      </c>
    </row>
    <row r="1962" spans="1:19" ht="15.75" customHeight="1" x14ac:dyDescent="0.25">
      <c r="A1962" s="4" t="s">
        <v>6546</v>
      </c>
      <c r="B1962" s="4">
        <v>107</v>
      </c>
      <c r="C1962" s="4">
        <v>10037390</v>
      </c>
      <c r="D1962" s="4" t="s">
        <v>6547</v>
      </c>
      <c r="E1962" s="4" t="s">
        <v>6548</v>
      </c>
      <c r="F1962" s="4" t="s">
        <v>6549</v>
      </c>
      <c r="G1962" s="4">
        <v>5442</v>
      </c>
      <c r="H1962" s="4" t="s">
        <v>6550</v>
      </c>
      <c r="I1962" s="4">
        <v>140</v>
      </c>
      <c r="J1962" s="4" t="s">
        <v>1550</v>
      </c>
      <c r="K1962" s="4" t="s">
        <v>1551</v>
      </c>
      <c r="L1962" s="4">
        <v>1000000000</v>
      </c>
      <c r="M1962" s="4">
        <v>1999</v>
      </c>
      <c r="N1962" s="4">
        <v>6</v>
      </c>
      <c r="O1962" s="4">
        <f ca="1">IFERROR(__xludf.DUMMYFUNCTION("IF(Cost_in_dollars!E1962=""USD"",Cost_in_dollars!B1962,Cost_in_dollars!B1962 * GOOGLEFINANCE(""CURRENCY:"" &amp; Cost_in_dollars!E1962 &amp; ""USD""))
"),6496600)</f>
        <v>6496600</v>
      </c>
      <c r="P1962" s="4">
        <f ca="1">IFERROR(__xludf.DUMMYFUNCTION("IF(Cost_in_dollars!E1962=""USD"",Cost_in_dollars!C1962,Cost_in_dollars!C1962 * GOOGLEFINANCE(""CURRENCY:"" &amp; Cost_in_dollars!E1962 &amp; ""USD""))
"),65208.907874)</f>
        <v>65208.907873999997</v>
      </c>
      <c r="Q1962" s="4">
        <f t="shared" ca="1" si="42"/>
        <v>-6431391.0921259997</v>
      </c>
      <c r="R1962" s="5" t="str">
        <f t="shared" si="43"/>
        <v>Godzilla 2000</v>
      </c>
      <c r="S1962" s="43" t="str">
        <f t="shared" si="46"/>
        <v>Action</v>
      </c>
    </row>
    <row r="1963" spans="1:19" ht="15.75" customHeight="1" x14ac:dyDescent="0.25">
      <c r="A1963" s="6" t="s">
        <v>4204</v>
      </c>
      <c r="B1963" s="6">
        <v>69</v>
      </c>
      <c r="C1963" s="6">
        <v>19158074</v>
      </c>
      <c r="D1963" s="6" t="s">
        <v>6551</v>
      </c>
      <c r="E1963" s="6" t="s">
        <v>3879</v>
      </c>
      <c r="F1963" s="6" t="s">
        <v>6552</v>
      </c>
      <c r="G1963" s="6">
        <v>17983</v>
      </c>
      <c r="H1963" s="6" t="s">
        <v>6553</v>
      </c>
      <c r="I1963" s="6">
        <v>127</v>
      </c>
      <c r="J1963" s="6" t="s">
        <v>23</v>
      </c>
      <c r="K1963" s="6" t="s">
        <v>24</v>
      </c>
      <c r="L1963" s="6">
        <v>15000000</v>
      </c>
      <c r="M1963" s="6">
        <v>2002</v>
      </c>
      <c r="N1963" s="6">
        <v>6.7</v>
      </c>
      <c r="O1963" s="4">
        <f ca="1">IFERROR(__xludf.DUMMYFUNCTION("IF(Cost_in_dollars!E1963=""USD"",Cost_in_dollars!B1963,Cost_in_dollars!B1963 * GOOGLEFINANCE(""CURRENCY:"" &amp; Cost_in_dollars!E1963 &amp; ""USD""))
"),15000000)</f>
        <v>15000000</v>
      </c>
      <c r="P1963" s="4">
        <f ca="1">IFERROR(__xludf.DUMMYFUNCTION("IF(Cost_in_dollars!E1963=""USD"",Cost_in_dollars!C1963,Cost_in_dollars!C1963 * GOOGLEFINANCE(""CURRENCY:"" &amp; Cost_in_dollars!E1963 &amp; ""USD""))
"),19158074)</f>
        <v>19158074</v>
      </c>
      <c r="Q1963" s="6">
        <f t="shared" ca="1" si="42"/>
        <v>4158074</v>
      </c>
      <c r="R1963" s="7" t="str">
        <f t="shared" si="43"/>
        <v>Tuck Everlasting</v>
      </c>
      <c r="S1963" s="43" t="str">
        <f t="shared" si="46"/>
        <v>Drama</v>
      </c>
    </row>
    <row r="1964" spans="1:19" ht="15.75" customHeight="1" x14ac:dyDescent="0.25">
      <c r="A1964" s="4" t="s">
        <v>863</v>
      </c>
      <c r="B1964" s="4">
        <v>428</v>
      </c>
      <c r="C1964" s="4">
        <v>352358779</v>
      </c>
      <c r="D1964" s="4" t="s">
        <v>188</v>
      </c>
      <c r="E1964" s="4" t="s">
        <v>4231</v>
      </c>
      <c r="F1964" s="4" t="s">
        <v>6554</v>
      </c>
      <c r="G1964" s="4">
        <v>326180</v>
      </c>
      <c r="H1964" s="4" t="s">
        <v>6555</v>
      </c>
      <c r="I1964" s="4">
        <v>899</v>
      </c>
      <c r="J1964" s="4" t="s">
        <v>23</v>
      </c>
      <c r="K1964" s="4" t="s">
        <v>24</v>
      </c>
      <c r="L1964" s="4">
        <v>195000000</v>
      </c>
      <c r="M1964" s="4">
        <v>2011</v>
      </c>
      <c r="N1964" s="4">
        <v>6.3</v>
      </c>
      <c r="O1964" s="4">
        <f ca="1">IFERROR(__xludf.DUMMYFUNCTION("IF(Cost_in_dollars!E1964=""USD"",Cost_in_dollars!B1964,Cost_in_dollars!B1964 * GOOGLEFINANCE(""CURRENCY:"" &amp; Cost_in_dollars!E1964 &amp; ""USD""))
"),195000000)</f>
        <v>195000000</v>
      </c>
      <c r="P1964" s="4">
        <f ca="1">IFERROR(__xludf.DUMMYFUNCTION("IF(Cost_in_dollars!E1964=""USD"",Cost_in_dollars!C1964,Cost_in_dollars!C1964 * GOOGLEFINANCE(""CURRENCY:"" &amp; Cost_in_dollars!E1964 &amp; ""USD""))
"),352358779)</f>
        <v>352358779</v>
      </c>
      <c r="Q1964" s="4">
        <f t="shared" ca="1" si="42"/>
        <v>157358779</v>
      </c>
      <c r="R1964" s="5" t="str">
        <f t="shared" si="43"/>
        <v>Transformers: Dark of the Moon</v>
      </c>
      <c r="S1964" s="43" t="str">
        <f t="shared" si="46"/>
        <v>Action</v>
      </c>
    </row>
    <row r="1965" spans="1:19" ht="15.75" customHeight="1" x14ac:dyDescent="0.25">
      <c r="A1965" s="6" t="s">
        <v>166</v>
      </c>
      <c r="B1965" s="6">
        <v>161</v>
      </c>
      <c r="C1965" s="6">
        <v>55808744</v>
      </c>
      <c r="D1965" s="6" t="s">
        <v>6556</v>
      </c>
      <c r="E1965" s="6" t="s">
        <v>49</v>
      </c>
      <c r="F1965" s="6" t="s">
        <v>6557</v>
      </c>
      <c r="G1965" s="6">
        <v>59435</v>
      </c>
      <c r="H1965" s="6" t="s">
        <v>6558</v>
      </c>
      <c r="I1965" s="6">
        <v>323</v>
      </c>
      <c r="J1965" s="6" t="s">
        <v>23</v>
      </c>
      <c r="K1965" s="6" t="s">
        <v>24</v>
      </c>
      <c r="L1965" s="6">
        <v>53000000</v>
      </c>
      <c r="M1965" s="6">
        <v>2005</v>
      </c>
      <c r="N1965" s="6">
        <v>5.7</v>
      </c>
      <c r="O1965" s="4">
        <f ca="1">IFERROR(__xludf.DUMMYFUNCTION("IF(Cost_in_dollars!E1965=""USD"",Cost_in_dollars!B1965,Cost_in_dollars!B1965 * GOOGLEFINANCE(""CURRENCY:"" &amp; Cost_in_dollars!E1965 &amp; ""USD""))
"),53000000)</f>
        <v>53000000</v>
      </c>
      <c r="P1965" s="4">
        <f ca="1">IFERROR(__xludf.DUMMYFUNCTION("IF(Cost_in_dollars!E1965=""USD"",Cost_in_dollars!C1965,Cost_in_dollars!C1965 * GOOGLEFINANCE(""CURRENCY:"" &amp; Cost_in_dollars!E1965 &amp; ""USD""))
"),55808744)</f>
        <v>55808744</v>
      </c>
      <c r="Q1965" s="6">
        <f t="shared" ca="1" si="42"/>
        <v>2808744</v>
      </c>
      <c r="R1965" s="7" t="str">
        <f t="shared" si="43"/>
        <v>Be Cool</v>
      </c>
      <c r="S1965" s="43" t="str">
        <f t="shared" si="46"/>
        <v>Comedy</v>
      </c>
    </row>
    <row r="1966" spans="1:19" ht="15.75" customHeight="1" x14ac:dyDescent="0.25">
      <c r="A1966" s="4" t="s">
        <v>6487</v>
      </c>
      <c r="B1966" s="4">
        <v>241</v>
      </c>
      <c r="C1966" s="4">
        <v>103338338</v>
      </c>
      <c r="D1966" s="4" t="s">
        <v>6559</v>
      </c>
      <c r="E1966" s="4" t="s">
        <v>94</v>
      </c>
      <c r="F1966" s="4" t="s">
        <v>6560</v>
      </c>
      <c r="G1966" s="4">
        <v>55901</v>
      </c>
      <c r="H1966" s="4" t="s">
        <v>6561</v>
      </c>
      <c r="I1966" s="4">
        <v>503</v>
      </c>
      <c r="J1966" s="4" t="s">
        <v>23</v>
      </c>
      <c r="K1966" s="4" t="s">
        <v>24</v>
      </c>
      <c r="L1966" s="4">
        <v>70000000</v>
      </c>
      <c r="M1966" s="4">
        <v>2006</v>
      </c>
      <c r="N1966" s="4">
        <v>6.5</v>
      </c>
      <c r="O1966" s="4">
        <f ca="1">IFERROR(__xludf.DUMMYFUNCTION("IF(Cost_in_dollars!E1966=""USD"",Cost_in_dollars!B1966,Cost_in_dollars!B1966 * GOOGLEFINANCE(""CURRENCY:"" &amp; Cost_in_dollars!E1966 &amp; ""USD""))
"),70000000)</f>
        <v>70000000</v>
      </c>
      <c r="P1966" s="4">
        <f ca="1">IFERROR(__xludf.DUMMYFUNCTION("IF(Cost_in_dollars!E1966=""USD"",Cost_in_dollars!C1966,Cost_in_dollars!C1966 * GOOGLEFINANCE(""CURRENCY:"" &amp; Cost_in_dollars!E1966 &amp; ""USD""))
"),103338338)</f>
        <v>103338338</v>
      </c>
      <c r="Q1966" s="4">
        <f t="shared" ca="1" si="42"/>
        <v>33338338</v>
      </c>
      <c r="R1966" s="5" t="str">
        <f t="shared" si="43"/>
        <v>Dreamgirls</v>
      </c>
      <c r="S1966" s="43" t="str">
        <f t="shared" si="46"/>
        <v>Drama</v>
      </c>
    </row>
    <row r="1967" spans="1:19" ht="15.75" customHeight="1" x14ac:dyDescent="0.25">
      <c r="A1967" s="6" t="s">
        <v>4298</v>
      </c>
      <c r="B1967" s="6">
        <v>139</v>
      </c>
      <c r="C1967" s="6">
        <v>68353550</v>
      </c>
      <c r="D1967" s="6" t="s">
        <v>3417</v>
      </c>
      <c r="E1967" s="6" t="s">
        <v>954</v>
      </c>
      <c r="F1967" s="6" t="s">
        <v>6562</v>
      </c>
      <c r="G1967" s="6">
        <v>70141</v>
      </c>
      <c r="H1967" s="6" t="s">
        <v>6563</v>
      </c>
      <c r="I1967" s="6">
        <v>385</v>
      </c>
      <c r="J1967" s="6" t="s">
        <v>23</v>
      </c>
      <c r="K1967" s="6" t="s">
        <v>24</v>
      </c>
      <c r="L1967" s="6">
        <v>10000000</v>
      </c>
      <c r="M1967" s="6">
        <v>2000</v>
      </c>
      <c r="N1967" s="6">
        <v>5.9</v>
      </c>
      <c r="O1967" s="4">
        <f ca="1">IFERROR(__xludf.DUMMYFUNCTION("IF(Cost_in_dollars!E1967=""USD"",Cost_in_dollars!B1967,Cost_in_dollars!B1967 * GOOGLEFINANCE(""CURRENCY:"" &amp; Cost_in_dollars!E1967 &amp; ""USD""))
"),10000000)</f>
        <v>10000000</v>
      </c>
      <c r="P1967" s="4">
        <f ca="1">IFERROR(__xludf.DUMMYFUNCTION("IF(Cost_in_dollars!E1967=""USD"",Cost_in_dollars!C1967,Cost_in_dollars!C1967 * GOOGLEFINANCE(""CURRENCY:"" &amp; Cost_in_dollars!E1967 &amp; ""USD""))
"),68353550)</f>
        <v>68353550</v>
      </c>
      <c r="Q1967" s="6">
        <f t="shared" ca="1" si="42"/>
        <v>58353550</v>
      </c>
      <c r="R1967" s="7" t="str">
        <f t="shared" si="43"/>
        <v>Bring It On</v>
      </c>
      <c r="S1967" s="43" t="str">
        <f t="shared" si="46"/>
        <v>Comedy</v>
      </c>
    </row>
    <row r="1968" spans="1:19" ht="15.75" customHeight="1" x14ac:dyDescent="0.25">
      <c r="A1968" s="4" t="s">
        <v>6564</v>
      </c>
      <c r="B1968" s="4">
        <v>270</v>
      </c>
      <c r="C1968" s="4">
        <v>31537320</v>
      </c>
      <c r="D1968" s="4" t="s">
        <v>93</v>
      </c>
      <c r="E1968" s="4" t="s">
        <v>6565</v>
      </c>
      <c r="F1968" s="4" t="s">
        <v>6566</v>
      </c>
      <c r="G1968" s="4">
        <v>44329</v>
      </c>
      <c r="H1968" s="4" t="s">
        <v>6567</v>
      </c>
      <c r="I1968" s="4">
        <v>309</v>
      </c>
      <c r="J1968" s="4" t="s">
        <v>23</v>
      </c>
      <c r="K1968" s="4" t="s">
        <v>24</v>
      </c>
      <c r="L1968" s="4">
        <v>1000000</v>
      </c>
      <c r="M1968" s="4">
        <v>2014</v>
      </c>
      <c r="N1968" s="4">
        <v>5.7</v>
      </c>
      <c r="O1968" s="4">
        <f ca="1">IFERROR(__xludf.DUMMYFUNCTION("IF(Cost_in_dollars!E1968=""USD"",Cost_in_dollars!B1968,Cost_in_dollars!B1968 * GOOGLEFINANCE(""CURRENCY:"" &amp; Cost_in_dollars!E1968 &amp; ""USD""))
"),1000000)</f>
        <v>1000000</v>
      </c>
      <c r="P1968" s="4">
        <f ca="1">IFERROR(__xludf.DUMMYFUNCTION("IF(Cost_in_dollars!E1968=""USD"",Cost_in_dollars!C1968,Cost_in_dollars!C1968 * GOOGLEFINANCE(""CURRENCY:"" &amp; Cost_in_dollars!E1968 &amp; ""USD""))
"),31537320)</f>
        <v>31537320</v>
      </c>
      <c r="Q1968" s="4">
        <f t="shared" ca="1" si="42"/>
        <v>30537320</v>
      </c>
      <c r="R1968" s="5" t="str">
        <f t="shared" si="43"/>
        <v>Unfriended</v>
      </c>
      <c r="S1968" s="43" t="str">
        <f t="shared" si="46"/>
        <v>Horror</v>
      </c>
    </row>
    <row r="1969" spans="1:19" ht="15.75" customHeight="1" x14ac:dyDescent="0.25">
      <c r="A1969" s="6" t="s">
        <v>6568</v>
      </c>
      <c r="B1969" s="6">
        <v>111</v>
      </c>
      <c r="C1969" s="6">
        <v>542860</v>
      </c>
      <c r="D1969" s="6" t="s">
        <v>73</v>
      </c>
      <c r="E1969" s="6" t="s">
        <v>6569</v>
      </c>
      <c r="F1969" s="6" t="s">
        <v>6570</v>
      </c>
      <c r="G1969" s="6">
        <v>9230</v>
      </c>
      <c r="H1969" s="6" t="s">
        <v>6571</v>
      </c>
      <c r="I1969" s="6">
        <v>37</v>
      </c>
      <c r="J1969" s="6" t="s">
        <v>6572</v>
      </c>
      <c r="K1969" s="6" t="s">
        <v>6573</v>
      </c>
      <c r="L1969" s="6">
        <v>4000000</v>
      </c>
      <c r="M1969" s="6">
        <v>2008</v>
      </c>
      <c r="N1969" s="6">
        <v>7.1</v>
      </c>
      <c r="O1969" s="4">
        <f ca="1">IFERROR(__xludf.DUMMYFUNCTION("IF(Cost_in_dollars!E1969=""USD"",Cost_in_dollars!B1969,Cost_in_dollars!B1969 * GOOGLEFINANCE(""CURRENCY:"" &amp; Cost_in_dollars!E1969 &amp; ""USD""))
"),4338960)</f>
        <v>4338960</v>
      </c>
      <c r="P1969" s="4">
        <f ca="1">IFERROR(__xludf.DUMMYFUNCTION("IF(Cost_in_dollars!E1969=""USD"",Cost_in_dollars!C1969,Cost_in_dollars!C1969 * GOOGLEFINANCE(""CURRENCY:"" &amp; Cost_in_dollars!E1969 &amp; ""USD""))
"),588861.9564)</f>
        <v>588861.95640000002</v>
      </c>
      <c r="Q1969" s="6">
        <f t="shared" ca="1" si="42"/>
        <v>-3750098.0436</v>
      </c>
      <c r="R1969" s="7" t="str">
        <f t="shared" si="43"/>
        <v>Winter in Wartime</v>
      </c>
      <c r="S1969" s="43" t="str">
        <f t="shared" si="46"/>
        <v>Drama</v>
      </c>
    </row>
    <row r="1970" spans="1:19" ht="15.75" customHeight="1" x14ac:dyDescent="0.25">
      <c r="A1970" s="4" t="s">
        <v>1967</v>
      </c>
      <c r="B1970" s="4">
        <v>231</v>
      </c>
      <c r="C1970" s="4">
        <v>18860403</v>
      </c>
      <c r="D1970" s="4" t="s">
        <v>309</v>
      </c>
      <c r="E1970" s="4" t="s">
        <v>6574</v>
      </c>
      <c r="F1970" s="4" t="s">
        <v>6575</v>
      </c>
      <c r="G1970" s="4">
        <v>20823</v>
      </c>
      <c r="H1970" s="4" t="s">
        <v>6576</v>
      </c>
      <c r="I1970" s="4">
        <v>130</v>
      </c>
      <c r="J1970" s="4" t="s">
        <v>23</v>
      </c>
      <c r="K1970" s="4" t="s">
        <v>24</v>
      </c>
      <c r="L1970" s="4">
        <v>25000000</v>
      </c>
      <c r="M1970" s="4">
        <v>2011</v>
      </c>
      <c r="N1970" s="4">
        <v>4</v>
      </c>
      <c r="O1970" s="4">
        <f ca="1">IFERROR(__xludf.DUMMYFUNCTION("IF(Cost_in_dollars!E1970=""USD"",Cost_in_dollars!B1970,Cost_in_dollars!B1970 * GOOGLEFINANCE(""CURRENCY:"" &amp; Cost_in_dollars!E1970 &amp; ""USD""))
"),25000000)</f>
        <v>25000000</v>
      </c>
      <c r="P1970" s="4">
        <f ca="1">IFERROR(__xludf.DUMMYFUNCTION("IF(Cost_in_dollars!E1970=""USD"",Cost_in_dollars!C1970,Cost_in_dollars!C1970 * GOOGLEFINANCE(""CURRENCY:"" &amp; Cost_in_dollars!E1970 &amp; ""USD""))
"),18860403)</f>
        <v>18860403</v>
      </c>
      <c r="Q1970" s="4">
        <f t="shared" ca="1" si="42"/>
        <v>-6139597</v>
      </c>
      <c r="R1970" s="5" t="str">
        <f t="shared" si="43"/>
        <v>Shark Night 3D</v>
      </c>
      <c r="S1970" s="43" t="str">
        <f t="shared" si="46"/>
        <v>Horror</v>
      </c>
    </row>
    <row r="1971" spans="1:19" ht="15.75" customHeight="1" x14ac:dyDescent="0.25">
      <c r="A1971" s="6" t="s">
        <v>6577</v>
      </c>
      <c r="B1971" s="6">
        <v>217</v>
      </c>
      <c r="C1971" s="6">
        <v>66637</v>
      </c>
      <c r="D1971" s="6" t="s">
        <v>3446</v>
      </c>
      <c r="E1971" s="6" t="s">
        <v>456</v>
      </c>
      <c r="F1971" s="6" t="s">
        <v>6578</v>
      </c>
      <c r="G1971" s="6">
        <v>29608</v>
      </c>
      <c r="H1971" s="6" t="s">
        <v>6579</v>
      </c>
      <c r="I1971" s="6">
        <v>92</v>
      </c>
      <c r="J1971" s="6" t="s">
        <v>23</v>
      </c>
      <c r="K1971" s="6" t="s">
        <v>24</v>
      </c>
      <c r="L1971" s="6">
        <v>6500000</v>
      </c>
      <c r="M1971" s="6">
        <v>2009</v>
      </c>
      <c r="N1971" s="6">
        <v>7.2</v>
      </c>
      <c r="O1971" s="4">
        <f ca="1">IFERROR(__xludf.DUMMYFUNCTION("IF(Cost_in_dollars!E1971=""USD"",Cost_in_dollars!B1971,Cost_in_dollars!B1971 * GOOGLEFINANCE(""CURRENCY:"" &amp; Cost_in_dollars!E1971 &amp; ""USD""))
"),6500000)</f>
        <v>6500000</v>
      </c>
      <c r="P1971" s="4">
        <f ca="1">IFERROR(__xludf.DUMMYFUNCTION("IF(Cost_in_dollars!E1971=""USD"",Cost_in_dollars!C1971,Cost_in_dollars!C1971 * GOOGLEFINANCE(""CURRENCY:"" &amp; Cost_in_dollars!E1971 &amp; ""USD""))
"),66637)</f>
        <v>66637</v>
      </c>
      <c r="Q1971" s="6">
        <f t="shared" ca="1" si="42"/>
        <v>-6433363</v>
      </c>
      <c r="R1971" s="7" t="str">
        <f t="shared" si="43"/>
        <v>The Messenger</v>
      </c>
      <c r="S1971" s="43" t="str">
        <f t="shared" si="46"/>
        <v>Drama</v>
      </c>
    </row>
    <row r="1972" spans="1:19" ht="15.75" customHeight="1" x14ac:dyDescent="0.25">
      <c r="A1972" s="4" t="s">
        <v>648</v>
      </c>
      <c r="B1972" s="4">
        <v>42</v>
      </c>
      <c r="C1972" s="4">
        <v>10443316</v>
      </c>
      <c r="D1972" s="4" t="s">
        <v>162</v>
      </c>
      <c r="E1972" s="4" t="s">
        <v>5188</v>
      </c>
      <c r="F1972" s="4" t="s">
        <v>6580</v>
      </c>
      <c r="G1972" s="4">
        <v>7159</v>
      </c>
      <c r="H1972" s="4" t="s">
        <v>6581</v>
      </c>
      <c r="I1972" s="4">
        <v>88</v>
      </c>
      <c r="J1972" s="4" t="s">
        <v>23</v>
      </c>
      <c r="K1972" s="4" t="s">
        <v>24</v>
      </c>
      <c r="L1972" s="4">
        <v>15000000</v>
      </c>
      <c r="M1972" s="4">
        <v>1998</v>
      </c>
      <c r="N1972" s="4">
        <v>5</v>
      </c>
      <c r="O1972" s="4">
        <f ca="1">IFERROR(__xludf.DUMMYFUNCTION("IF(Cost_in_dollars!E1972=""USD"",Cost_in_dollars!B1972,Cost_in_dollars!B1972 * GOOGLEFINANCE(""CURRENCY:"" &amp; Cost_in_dollars!E1972 &amp; ""USD""))
"),15000000)</f>
        <v>15000000</v>
      </c>
      <c r="P1972" s="4">
        <f ca="1">IFERROR(__xludf.DUMMYFUNCTION("IF(Cost_in_dollars!E1972=""USD"",Cost_in_dollars!C1972,Cost_in_dollars!C1972 * GOOGLEFINANCE(""CURRENCY:"" &amp; Cost_in_dollars!E1972 &amp; ""USD""))
"),10443316)</f>
        <v>10443316</v>
      </c>
      <c r="Q1972" s="4">
        <f t="shared" ca="1" si="42"/>
        <v>-4556684</v>
      </c>
      <c r="R1972" s="5" t="str">
        <f t="shared" si="43"/>
        <v>Home Fries</v>
      </c>
      <c r="S1972" s="43" t="str">
        <f t="shared" si="46"/>
        <v>Comedy</v>
      </c>
    </row>
    <row r="1973" spans="1:19" ht="15.75" customHeight="1" x14ac:dyDescent="0.25">
      <c r="A1973" s="6" t="s">
        <v>1843</v>
      </c>
      <c r="B1973" s="6">
        <v>148</v>
      </c>
      <c r="C1973" s="6">
        <v>3000000</v>
      </c>
      <c r="D1973" s="6" t="s">
        <v>457</v>
      </c>
      <c r="E1973" s="6" t="s">
        <v>1347</v>
      </c>
      <c r="F1973" s="6" t="s">
        <v>6582</v>
      </c>
      <c r="G1973" s="6">
        <v>55329</v>
      </c>
      <c r="H1973" s="6" t="s">
        <v>6583</v>
      </c>
      <c r="I1973" s="6">
        <v>499</v>
      </c>
      <c r="J1973" s="6" t="s">
        <v>23</v>
      </c>
      <c r="K1973" s="6" t="s">
        <v>24</v>
      </c>
      <c r="L1973" s="6">
        <v>3000000</v>
      </c>
      <c r="M1973" s="6">
        <v>1998</v>
      </c>
      <c r="N1973" s="6">
        <v>7.8</v>
      </c>
      <c r="O1973" s="4">
        <f ca="1">IFERROR(__xludf.DUMMYFUNCTION("IF(Cost_in_dollars!E1973=""USD"",Cost_in_dollars!B1973,Cost_in_dollars!B1973 * GOOGLEFINANCE(""CURRENCY:"" &amp; Cost_in_dollars!E1973 &amp; ""USD""))
"),3000000)</f>
        <v>3000000</v>
      </c>
      <c r="P1973" s="4">
        <f ca="1">IFERROR(__xludf.DUMMYFUNCTION("IF(Cost_in_dollars!E1973=""USD"",Cost_in_dollars!C1973,Cost_in_dollars!C1973 * GOOGLEFINANCE(""CURRENCY:"" &amp; Cost_in_dollars!E1973 &amp; ""USD""))
"),3000000)</f>
        <v>3000000</v>
      </c>
      <c r="Q1973" s="6">
        <f t="shared" ca="1" si="42"/>
        <v>0</v>
      </c>
      <c r="R1973" s="7" t="str">
        <f t="shared" si="43"/>
        <v>Happiness</v>
      </c>
      <c r="S1973" s="43" t="str">
        <f t="shared" si="46"/>
        <v>Comedy</v>
      </c>
    </row>
    <row r="1974" spans="1:19" ht="15.75" customHeight="1" x14ac:dyDescent="0.25">
      <c r="A1974" s="4" t="s">
        <v>6584</v>
      </c>
      <c r="B1974" s="4">
        <v>216</v>
      </c>
      <c r="C1974" s="4">
        <v>15785632</v>
      </c>
      <c r="D1974" s="4" t="s">
        <v>6585</v>
      </c>
      <c r="E1974" s="4" t="s">
        <v>977</v>
      </c>
      <c r="F1974" s="4" t="s">
        <v>6586</v>
      </c>
      <c r="G1974" s="4">
        <v>32507</v>
      </c>
      <c r="H1974" s="4" t="s">
        <v>6587</v>
      </c>
      <c r="I1974" s="4">
        <v>119</v>
      </c>
      <c r="J1974" s="4" t="s">
        <v>23</v>
      </c>
      <c r="K1974" s="4" t="s">
        <v>133</v>
      </c>
      <c r="L1974" s="4">
        <v>23000000</v>
      </c>
      <c r="M1974" s="4">
        <v>2016</v>
      </c>
      <c r="N1974" s="4">
        <v>7.5</v>
      </c>
      <c r="O1974" s="4">
        <f ca="1">IFERROR(__xludf.DUMMYFUNCTION("IF(Cost_in_dollars!E1974=""USD"",Cost_in_dollars!B1974,Cost_in_dollars!B1974 * GOOGLEFINANCE(""CURRENCY:"" &amp; Cost_in_dollars!E1974 &amp; ""USD""))
"),29564199.9999999)</f>
        <v>29564199.999999899</v>
      </c>
      <c r="P1974" s="4">
        <f ca="1">IFERROR(__xludf.DUMMYFUNCTION("IF(Cost_in_dollars!E1974=""USD"",Cost_in_dollars!C1974,Cost_in_dollars!C1974 * GOOGLEFINANCE(""CURRENCY:"" &amp; Cost_in_dollars!E1974 &amp; ""USD""))
"),20290851.3727999)</f>
        <v>20290851.372799899</v>
      </c>
      <c r="Q1974" s="4">
        <f t="shared" ca="1" si="42"/>
        <v>-9273348.6272</v>
      </c>
      <c r="R1974" s="5" t="str">
        <f t="shared" si="43"/>
        <v>Eddie the Eagle</v>
      </c>
      <c r="S1974" s="43" t="str">
        <f t="shared" si="46"/>
        <v>Biography</v>
      </c>
    </row>
    <row r="1975" spans="1:19" ht="15.75" customHeight="1" x14ac:dyDescent="0.25">
      <c r="A1975" s="6" t="s">
        <v>2749</v>
      </c>
      <c r="B1975" s="6">
        <v>433</v>
      </c>
      <c r="C1975" s="6">
        <v>17613460</v>
      </c>
      <c r="D1975" s="6" t="s">
        <v>5215</v>
      </c>
      <c r="E1975" s="6" t="s">
        <v>4015</v>
      </c>
      <c r="F1975" s="6" t="s">
        <v>6588</v>
      </c>
      <c r="G1975" s="6">
        <v>91082</v>
      </c>
      <c r="H1975" s="6" t="s">
        <v>6589</v>
      </c>
      <c r="I1975" s="6">
        <v>274</v>
      </c>
      <c r="J1975" s="6" t="s">
        <v>23</v>
      </c>
      <c r="K1975" s="6" t="s">
        <v>24</v>
      </c>
      <c r="L1975" s="6">
        <v>12000000</v>
      </c>
      <c r="M1975" s="6">
        <v>2013</v>
      </c>
      <c r="N1975" s="6">
        <v>7.8</v>
      </c>
      <c r="O1975" s="4">
        <f ca="1">IFERROR(__xludf.DUMMYFUNCTION("IF(Cost_in_dollars!E1975=""USD"",Cost_in_dollars!B1975,Cost_in_dollars!B1975 * GOOGLEFINANCE(""CURRENCY:"" &amp; Cost_in_dollars!E1975 &amp; ""USD""))
"),12000000)</f>
        <v>12000000</v>
      </c>
      <c r="P1975" s="4">
        <f ca="1">IFERROR(__xludf.DUMMYFUNCTION("IF(Cost_in_dollars!E1975=""USD"",Cost_in_dollars!C1975,Cost_in_dollars!C1975 * GOOGLEFINANCE(""CURRENCY:"" &amp; Cost_in_dollars!E1975 &amp; ""USD""))
"),17613460)</f>
        <v>17613460</v>
      </c>
      <c r="Q1975" s="6">
        <f t="shared" ca="1" si="42"/>
        <v>5613460</v>
      </c>
      <c r="R1975" s="7" t="str">
        <f t="shared" si="43"/>
        <v>Nebraska</v>
      </c>
      <c r="S1975" s="43" t="str">
        <f t="shared" si="46"/>
        <v>Adventure</v>
      </c>
    </row>
    <row r="1976" spans="1:19" ht="15.75" customHeight="1" x14ac:dyDescent="0.25">
      <c r="A1976" s="4" t="s">
        <v>4571</v>
      </c>
      <c r="B1976" s="4">
        <v>61</v>
      </c>
      <c r="C1976" s="4">
        <v>42652003</v>
      </c>
      <c r="D1976" s="4" t="s">
        <v>5713</v>
      </c>
      <c r="E1976" s="4" t="s">
        <v>3730</v>
      </c>
      <c r="F1976" s="4" t="s">
        <v>6590</v>
      </c>
      <c r="G1976" s="4">
        <v>18915</v>
      </c>
      <c r="H1976" s="4" t="s">
        <v>6591</v>
      </c>
      <c r="I1976" s="4">
        <v>87</v>
      </c>
      <c r="J1976" s="4" t="s">
        <v>23</v>
      </c>
      <c r="K1976" s="4" t="s">
        <v>24</v>
      </c>
      <c r="L1976" s="4">
        <v>20000000</v>
      </c>
      <c r="M1976" s="4">
        <v>2015</v>
      </c>
      <c r="N1976" s="4">
        <v>6.8</v>
      </c>
      <c r="O1976" s="4">
        <f ca="1">IFERROR(__xludf.DUMMYFUNCTION("IF(Cost_in_dollars!E1976=""USD"",Cost_in_dollars!B1976,Cost_in_dollars!B1976 * GOOGLEFINANCE(""CURRENCY:"" &amp; Cost_in_dollars!E1976 &amp; ""USD""))
"),20000000)</f>
        <v>20000000</v>
      </c>
      <c r="P1976" s="4">
        <f ca="1">IFERROR(__xludf.DUMMYFUNCTION("IF(Cost_in_dollars!E1976=""USD"",Cost_in_dollars!C1976,Cost_in_dollars!C1976 * GOOGLEFINANCE(""CURRENCY:"" &amp; Cost_in_dollars!E1976 &amp; ""USD""))
"),42652003)</f>
        <v>42652003</v>
      </c>
      <c r="Q1976" s="4">
        <f t="shared" ca="1" si="42"/>
        <v>22652003</v>
      </c>
      <c r="R1976" s="5" t="str">
        <f t="shared" si="43"/>
        <v>Max</v>
      </c>
      <c r="S1976" s="43" t="str">
        <f t="shared" si="46"/>
        <v>Adventure</v>
      </c>
    </row>
    <row r="1977" spans="1:19" ht="15.75" customHeight="1" x14ac:dyDescent="0.25">
      <c r="A1977" s="6" t="s">
        <v>1468</v>
      </c>
      <c r="B1977" s="6">
        <v>218</v>
      </c>
      <c r="C1977" s="6">
        <v>86208010</v>
      </c>
      <c r="D1977" s="6" t="s">
        <v>140</v>
      </c>
      <c r="E1977" s="6" t="s">
        <v>473</v>
      </c>
      <c r="F1977" s="6" t="s">
        <v>6592</v>
      </c>
      <c r="G1977" s="6">
        <v>97045</v>
      </c>
      <c r="H1977" s="6" t="s">
        <v>6593</v>
      </c>
      <c r="I1977" s="6">
        <v>285</v>
      </c>
      <c r="J1977" s="6" t="s">
        <v>23</v>
      </c>
      <c r="K1977" s="6" t="s">
        <v>24</v>
      </c>
      <c r="L1977" s="6">
        <v>35000000</v>
      </c>
      <c r="M1977" s="6">
        <v>2014</v>
      </c>
      <c r="N1977" s="6">
        <v>5.7</v>
      </c>
      <c r="O1977" s="4">
        <f ca="1">IFERROR(__xludf.DUMMYFUNCTION("IF(Cost_in_dollars!E1977=""USD"",Cost_in_dollars!B1977,Cost_in_dollars!B1977 * GOOGLEFINANCE(""CURRENCY:"" &amp; Cost_in_dollars!E1977 &amp; ""USD""))
"),35000000)</f>
        <v>35000000</v>
      </c>
      <c r="P1977" s="4">
        <f ca="1">IFERROR(__xludf.DUMMYFUNCTION("IF(Cost_in_dollars!E1977=""USD"",Cost_in_dollars!C1977,Cost_in_dollars!C1977 * GOOGLEFINANCE(""CURRENCY:"" &amp; Cost_in_dollars!E1977 &amp; ""USD""))
"),86208010)</f>
        <v>86208010</v>
      </c>
      <c r="Q1977" s="6">
        <f t="shared" ca="1" si="42"/>
        <v>51208010</v>
      </c>
      <c r="R1977" s="7" t="str">
        <f t="shared" si="43"/>
        <v>Dumb and Dumber To</v>
      </c>
      <c r="S1977" s="43" t="str">
        <f t="shared" si="46"/>
        <v>Comedy</v>
      </c>
    </row>
    <row r="1978" spans="1:19" ht="15.75" customHeight="1" x14ac:dyDescent="0.25">
      <c r="A1978" s="4" t="s">
        <v>1006</v>
      </c>
      <c r="B1978" s="4">
        <v>130</v>
      </c>
      <c r="C1978" s="4">
        <v>638476</v>
      </c>
      <c r="D1978" s="4" t="s">
        <v>3803</v>
      </c>
      <c r="E1978" s="4" t="s">
        <v>52</v>
      </c>
      <c r="F1978" s="4" t="s">
        <v>6594</v>
      </c>
      <c r="G1978" s="4">
        <v>13223</v>
      </c>
      <c r="H1978" s="4" t="s">
        <v>6595</v>
      </c>
      <c r="I1978" s="4">
        <v>45</v>
      </c>
      <c r="J1978" s="4" t="s">
        <v>23</v>
      </c>
      <c r="K1978" s="4" t="s">
        <v>24</v>
      </c>
      <c r="L1978" s="4">
        <v>1500000</v>
      </c>
      <c r="M1978" s="4">
        <v>2011</v>
      </c>
      <c r="N1978" s="4">
        <v>6.6</v>
      </c>
      <c r="O1978" s="4">
        <f ca="1">IFERROR(__xludf.DUMMYFUNCTION("IF(Cost_in_dollars!E1978=""USD"",Cost_in_dollars!B1978,Cost_in_dollars!B1978 * GOOGLEFINANCE(""CURRENCY:"" &amp; Cost_in_dollars!E1978 &amp; ""USD""))
"),1500000)</f>
        <v>1500000</v>
      </c>
      <c r="P1978" s="4">
        <f ca="1">IFERROR(__xludf.DUMMYFUNCTION("IF(Cost_in_dollars!E1978=""USD"",Cost_in_dollars!C1978,Cost_in_dollars!C1978 * GOOGLEFINANCE(""CURRENCY:"" &amp; Cost_in_dollars!E1978 &amp; ""USD""))
"),638476)</f>
        <v>638476</v>
      </c>
      <c r="Q1978" s="4">
        <f t="shared" ca="1" si="42"/>
        <v>-861524</v>
      </c>
      <c r="R1978" s="5" t="str">
        <f t="shared" si="43"/>
        <v>The Greatest Movie Ever Sold</v>
      </c>
      <c r="S1978" s="43" t="str">
        <f t="shared" si="46"/>
        <v>Comedy</v>
      </c>
    </row>
    <row r="1979" spans="1:19" ht="15.75" customHeight="1" x14ac:dyDescent="0.25">
      <c r="A1979" s="6" t="s">
        <v>4093</v>
      </c>
      <c r="B1979" s="6">
        <v>406</v>
      </c>
      <c r="C1979" s="6">
        <v>499263</v>
      </c>
      <c r="D1979" s="6" t="s">
        <v>102</v>
      </c>
      <c r="E1979" s="6" t="s">
        <v>6596</v>
      </c>
      <c r="F1979" s="6" t="s">
        <v>6597</v>
      </c>
      <c r="G1979" s="6">
        <v>179235</v>
      </c>
      <c r="H1979" s="6" t="s">
        <v>6598</v>
      </c>
      <c r="I1979" s="6">
        <v>2814</v>
      </c>
      <c r="J1979" s="6" t="s">
        <v>6599</v>
      </c>
      <c r="K1979" s="6" t="s">
        <v>24</v>
      </c>
      <c r="L1979" s="6">
        <v>30000000</v>
      </c>
      <c r="M1979" s="6">
        <v>2004</v>
      </c>
      <c r="N1979" s="6">
        <v>7.1</v>
      </c>
      <c r="O1979" s="4">
        <f ca="1">IFERROR(__xludf.DUMMYFUNCTION("IF(Cost_in_dollars!E1979=""USD"",Cost_in_dollars!B1979,Cost_in_dollars!B1979 * GOOGLEFINANCE(""CURRENCY:"" &amp; Cost_in_dollars!E1979 &amp; ""USD""))
"),30000000)</f>
        <v>30000000</v>
      </c>
      <c r="P1979" s="4">
        <f ca="1">IFERROR(__xludf.DUMMYFUNCTION("IF(Cost_in_dollars!E1979=""USD"",Cost_in_dollars!C1979,Cost_in_dollars!C1979 * GOOGLEFINANCE(""CURRENCY:"" &amp; Cost_in_dollars!E1979 &amp; ""USD""))
"),499263)</f>
        <v>499263</v>
      </c>
      <c r="Q1979" s="6">
        <f t="shared" ca="1" si="42"/>
        <v>-29500737</v>
      </c>
      <c r="R1979" s="7" t="str">
        <f t="shared" si="43"/>
        <v>The Passion of the Christ</v>
      </c>
      <c r="S1979" s="43" t="str">
        <f t="shared" si="46"/>
        <v>Drama</v>
      </c>
    </row>
    <row r="1980" spans="1:19" ht="15.75" customHeight="1" x14ac:dyDescent="0.25">
      <c r="A1980" s="4" t="s">
        <v>6600</v>
      </c>
      <c r="B1980" s="4">
        <v>140</v>
      </c>
      <c r="C1980" s="4">
        <v>72219395</v>
      </c>
      <c r="D1980" s="4" t="s">
        <v>93</v>
      </c>
      <c r="E1980" s="4" t="s">
        <v>1481</v>
      </c>
      <c r="F1980" s="4" t="s">
        <v>6601</v>
      </c>
      <c r="G1980" s="4">
        <v>105585</v>
      </c>
      <c r="H1980" s="4" t="s">
        <v>6602</v>
      </c>
      <c r="I1980" s="4">
        <v>419</v>
      </c>
      <c r="J1980" s="4" t="s">
        <v>23</v>
      </c>
      <c r="K1980" s="4" t="s">
        <v>24</v>
      </c>
      <c r="L1980" s="4">
        <v>17000000</v>
      </c>
      <c r="M1980" s="4">
        <v>1997</v>
      </c>
      <c r="N1980" s="4">
        <v>5.6</v>
      </c>
      <c r="O1980" s="4">
        <f ca="1">IFERROR(__xludf.DUMMYFUNCTION("IF(Cost_in_dollars!E1980=""USD"",Cost_in_dollars!B1980,Cost_in_dollars!B1980 * GOOGLEFINANCE(""CURRENCY:"" &amp; Cost_in_dollars!E1980 &amp; ""USD""))
"),17000000)</f>
        <v>17000000</v>
      </c>
      <c r="P1980" s="4">
        <f ca="1">IFERROR(__xludf.DUMMYFUNCTION("IF(Cost_in_dollars!E1980=""USD"",Cost_in_dollars!C1980,Cost_in_dollars!C1980 * GOOGLEFINANCE(""CURRENCY:"" &amp; Cost_in_dollars!E1980 &amp; ""USD""))
"),72219395)</f>
        <v>72219395</v>
      </c>
      <c r="Q1980" s="4">
        <f t="shared" ca="1" si="42"/>
        <v>55219395</v>
      </c>
      <c r="R1980" s="5" t="str">
        <f t="shared" si="43"/>
        <v>I Know What You Did Last Summer</v>
      </c>
      <c r="S1980" s="43" t="str">
        <f t="shared" si="46"/>
        <v>Horror</v>
      </c>
    </row>
    <row r="1981" spans="1:19" ht="15.75" customHeight="1" x14ac:dyDescent="0.25">
      <c r="A1981" s="6" t="s">
        <v>3200</v>
      </c>
      <c r="B1981" s="6">
        <v>362</v>
      </c>
      <c r="C1981" s="6">
        <v>45434443</v>
      </c>
      <c r="D1981" s="6" t="s">
        <v>1893</v>
      </c>
      <c r="E1981" s="6" t="s">
        <v>1314</v>
      </c>
      <c r="F1981" s="6" t="s">
        <v>6603</v>
      </c>
      <c r="G1981" s="6">
        <v>175960</v>
      </c>
      <c r="H1981" s="6" t="s">
        <v>6604</v>
      </c>
      <c r="I1981" s="6">
        <v>360</v>
      </c>
      <c r="J1981" s="6" t="s">
        <v>23</v>
      </c>
      <c r="K1981" s="6" t="s">
        <v>24</v>
      </c>
      <c r="L1981" s="6">
        <v>75000000</v>
      </c>
      <c r="M1981" s="6">
        <v>2015</v>
      </c>
      <c r="N1981" s="6">
        <v>7.3</v>
      </c>
      <c r="O1981" s="4">
        <f ca="1">IFERROR(__xludf.DUMMYFUNCTION("IF(Cost_in_dollars!E1981=""USD"",Cost_in_dollars!B1981,Cost_in_dollars!B1981 * GOOGLEFINANCE(""CURRENCY:"" &amp; Cost_in_dollars!E1981 &amp; ""USD""))
"),75000000)</f>
        <v>75000000</v>
      </c>
      <c r="P1981" s="4">
        <f ca="1">IFERROR(__xludf.DUMMYFUNCTION("IF(Cost_in_dollars!E1981=""USD"",Cost_in_dollars!C1981,Cost_in_dollars!C1981 * GOOGLEFINANCE(""CURRENCY:"" &amp; Cost_in_dollars!E1981 &amp; ""USD""))
"),45434443)</f>
        <v>45434443</v>
      </c>
      <c r="Q1981" s="6">
        <f t="shared" ca="1" si="42"/>
        <v>-29565557</v>
      </c>
      <c r="R1981" s="7" t="str">
        <f t="shared" si="43"/>
        <v>The Man from U.N.C.L.E.</v>
      </c>
      <c r="S1981" s="43" t="str">
        <f t="shared" si="46"/>
        <v>Action</v>
      </c>
    </row>
    <row r="1982" spans="1:19" ht="15.75" customHeight="1" x14ac:dyDescent="0.25">
      <c r="A1982" s="4" t="s">
        <v>6605</v>
      </c>
      <c r="B1982" s="4">
        <v>355</v>
      </c>
      <c r="C1982" s="4">
        <v>23014504</v>
      </c>
      <c r="D1982" s="4" t="s">
        <v>6606</v>
      </c>
      <c r="E1982" s="4" t="s">
        <v>84</v>
      </c>
      <c r="F1982" s="4" t="s">
        <v>6607</v>
      </c>
      <c r="G1982" s="4">
        <v>172707</v>
      </c>
      <c r="H1982" s="4" t="s">
        <v>6608</v>
      </c>
      <c r="I1982" s="4">
        <v>462</v>
      </c>
      <c r="J1982" s="4" t="s">
        <v>23</v>
      </c>
      <c r="K1982" s="4" t="s">
        <v>133</v>
      </c>
      <c r="L1982" s="4">
        <v>100000000</v>
      </c>
      <c r="M1982" s="4">
        <v>2014</v>
      </c>
      <c r="N1982" s="4">
        <v>6.3</v>
      </c>
      <c r="O1982" s="4">
        <f ca="1">IFERROR(__xludf.DUMMYFUNCTION("IF(Cost_in_dollars!E1982=""USD"",Cost_in_dollars!B1982,Cost_in_dollars!B1982 * GOOGLEFINANCE(""CURRENCY:"" &amp; Cost_in_dollars!E1982 &amp; ""USD""))
"),128539999.999999)</f>
        <v>128539999.999999</v>
      </c>
      <c r="P1982" s="4">
        <f ca="1">IFERROR(__xludf.DUMMYFUNCTION("IF(Cost_in_dollars!E1982=""USD"",Cost_in_dollars!C1982,Cost_in_dollars!C1982 * GOOGLEFINANCE(""CURRENCY:"" &amp; Cost_in_dollars!E1982 &amp; ""USD""))
"),29582843.4416)</f>
        <v>29582843.441599999</v>
      </c>
      <c r="Q1982" s="4">
        <f t="shared" ca="1" si="42"/>
        <v>-98957156.558399007</v>
      </c>
      <c r="R1982" s="5" t="str">
        <f t="shared" si="43"/>
        <v>Transcendence</v>
      </c>
      <c r="S1982" s="43" t="str">
        <f t="shared" si="46"/>
        <v>Drama</v>
      </c>
    </row>
    <row r="1983" spans="1:19" ht="15.75" customHeight="1" x14ac:dyDescent="0.25">
      <c r="A1983" s="6" t="s">
        <v>6609</v>
      </c>
      <c r="B1983" s="6">
        <v>44</v>
      </c>
      <c r="C1983" s="6">
        <v>505295</v>
      </c>
      <c r="D1983" s="6" t="s">
        <v>895</v>
      </c>
      <c r="E1983" s="6" t="s">
        <v>6610</v>
      </c>
      <c r="F1983" s="6" t="s">
        <v>6611</v>
      </c>
      <c r="G1983" s="6">
        <v>1747</v>
      </c>
      <c r="H1983" s="6" t="s">
        <v>6612</v>
      </c>
      <c r="I1983" s="6">
        <v>28</v>
      </c>
      <c r="J1983" s="6" t="s">
        <v>6613</v>
      </c>
      <c r="K1983" s="6" t="s">
        <v>149</v>
      </c>
      <c r="L1983" s="6">
        <v>1800000</v>
      </c>
      <c r="M1983" s="6">
        <v>2003</v>
      </c>
      <c r="N1983" s="6">
        <v>7.5</v>
      </c>
      <c r="O1983" s="4">
        <f ca="1">IFERROR(__xludf.DUMMYFUNCTION("IF(Cost_in_dollars!E1983=""USD"",Cost_in_dollars!B1983,Cost_in_dollars!B1983 * GOOGLEFINANCE(""CURRENCY:"" &amp; Cost_in_dollars!E1983 &amp; ""USD""))
"),1176984)</f>
        <v>1176984</v>
      </c>
      <c r="P1983" s="4">
        <f ca="1">IFERROR(__xludf.DUMMYFUNCTION("IF(Cost_in_dollars!E1983=""USD"",Cost_in_dollars!C1983,Cost_in_dollars!C1983 * GOOGLEFINANCE(""CURRENCY:"" &amp; Cost_in_dollars!E1983 &amp; ""USD""))
"),330402.2946)</f>
        <v>330402.29460000002</v>
      </c>
      <c r="Q1983" s="6">
        <f t="shared" ca="1" si="42"/>
        <v>-846581.70539999998</v>
      </c>
      <c r="R1983" s="7" t="str">
        <f t="shared" si="43"/>
        <v>Travelers and Magicians</v>
      </c>
      <c r="S1983" s="43" t="str">
        <f t="shared" si="46"/>
        <v>Adventure</v>
      </c>
    </row>
    <row r="1984" spans="1:19" ht="15.75" customHeight="1" x14ac:dyDescent="0.25">
      <c r="A1984" s="4" t="s">
        <v>6614</v>
      </c>
      <c r="B1984" s="4">
        <v>120</v>
      </c>
      <c r="C1984" s="4">
        <v>163245</v>
      </c>
      <c r="D1984" s="4" t="s">
        <v>1499</v>
      </c>
      <c r="E1984" s="4" t="s">
        <v>6615</v>
      </c>
      <c r="F1984" s="4" t="s">
        <v>6616</v>
      </c>
      <c r="G1984" s="4">
        <v>143086</v>
      </c>
      <c r="H1984" s="4" t="s">
        <v>6617</v>
      </c>
      <c r="I1984" s="4">
        <v>211</v>
      </c>
      <c r="J1984" s="4" t="s">
        <v>23</v>
      </c>
      <c r="K1984" s="4" t="s">
        <v>24</v>
      </c>
      <c r="L1984" s="4">
        <v>1500000</v>
      </c>
      <c r="M1984" s="4">
        <v>1936</v>
      </c>
      <c r="N1984" s="4">
        <v>8.6</v>
      </c>
      <c r="O1984" s="4">
        <f ca="1">IFERROR(__xludf.DUMMYFUNCTION("IF(Cost_in_dollars!E1984=""USD"",Cost_in_dollars!B1984,Cost_in_dollars!B1984 * GOOGLEFINANCE(""CURRENCY:"" &amp; Cost_in_dollars!E1984 &amp; ""USD""))
"),1500000)</f>
        <v>1500000</v>
      </c>
      <c r="P1984" s="4">
        <f ca="1">IFERROR(__xludf.DUMMYFUNCTION("IF(Cost_in_dollars!E1984=""USD"",Cost_in_dollars!C1984,Cost_in_dollars!C1984 * GOOGLEFINANCE(""CURRENCY:"" &amp; Cost_in_dollars!E1984 &amp; ""USD""))
"),163245)</f>
        <v>163245</v>
      </c>
      <c r="Q1984" s="4">
        <f t="shared" ca="1" si="42"/>
        <v>-1336755</v>
      </c>
      <c r="R1984" s="5" t="str">
        <f t="shared" si="43"/>
        <v>Modern Times</v>
      </c>
      <c r="S1984" s="43" t="str">
        <f t="shared" si="46"/>
        <v>Comedy</v>
      </c>
    </row>
    <row r="1985" spans="1:19" ht="15.75" customHeight="1" x14ac:dyDescent="0.25">
      <c r="A1985" s="6" t="s">
        <v>6618</v>
      </c>
      <c r="B1985" s="6">
        <v>67</v>
      </c>
      <c r="C1985" s="6">
        <v>6851636</v>
      </c>
      <c r="D1985" s="6" t="s">
        <v>162</v>
      </c>
      <c r="E1985" s="6" t="s">
        <v>2587</v>
      </c>
      <c r="F1985" s="6" t="s">
        <v>6619</v>
      </c>
      <c r="G1985" s="6">
        <v>13010</v>
      </c>
      <c r="H1985" s="6" t="s">
        <v>6620</v>
      </c>
      <c r="I1985" s="6">
        <v>182</v>
      </c>
      <c r="J1985" s="6" t="s">
        <v>23</v>
      </c>
      <c r="K1985" s="6" t="s">
        <v>24</v>
      </c>
      <c r="L1985" s="6">
        <v>6000000</v>
      </c>
      <c r="M1985" s="6">
        <v>1999</v>
      </c>
      <c r="N1985" s="6">
        <v>5.9</v>
      </c>
      <c r="O1985" s="4">
        <f ca="1">IFERROR(__xludf.DUMMYFUNCTION("IF(Cost_in_dollars!E1985=""USD"",Cost_in_dollars!B1985,Cost_in_dollars!B1985 * GOOGLEFINANCE(""CURRENCY:"" &amp; Cost_in_dollars!E1985 &amp; ""USD""))
"),6000000)</f>
        <v>6000000</v>
      </c>
      <c r="P1985" s="4">
        <f ca="1">IFERROR(__xludf.DUMMYFUNCTION("IF(Cost_in_dollars!E1985=""USD"",Cost_in_dollars!C1985,Cost_in_dollars!C1985 * GOOGLEFINANCE(""CURRENCY:"" &amp; Cost_in_dollars!E1985 &amp; ""USD""))
"),6851636)</f>
        <v>6851636</v>
      </c>
      <c r="Q1985" s="6">
        <f t="shared" ca="1" si="42"/>
        <v>851636</v>
      </c>
      <c r="R1985" s="7" t="str">
        <f t="shared" si="43"/>
        <v>200 Cigarettes</v>
      </c>
      <c r="S1985" s="43" t="str">
        <f t="shared" si="46"/>
        <v>Comedy</v>
      </c>
    </row>
    <row r="1986" spans="1:19" ht="15.75" customHeight="1" x14ac:dyDescent="0.25">
      <c r="A1986" s="4" t="s">
        <v>3829</v>
      </c>
      <c r="B1986" s="4">
        <v>273</v>
      </c>
      <c r="C1986" s="4">
        <v>82163317</v>
      </c>
      <c r="D1986" s="4" t="s">
        <v>2760</v>
      </c>
      <c r="E1986" s="4" t="s">
        <v>6621</v>
      </c>
      <c r="F1986" s="4" t="s">
        <v>6622</v>
      </c>
      <c r="G1986" s="4">
        <v>89101</v>
      </c>
      <c r="H1986" s="4" t="s">
        <v>6623</v>
      </c>
      <c r="I1986" s="4">
        <v>885</v>
      </c>
      <c r="J1986" s="4" t="s">
        <v>23</v>
      </c>
      <c r="K1986" s="4" t="s">
        <v>24</v>
      </c>
      <c r="L1986" s="4">
        <v>30000000</v>
      </c>
      <c r="M1986" s="4">
        <v>2003</v>
      </c>
      <c r="N1986" s="4">
        <v>5.8</v>
      </c>
      <c r="O1986" s="4">
        <f ca="1">IFERROR(__xludf.DUMMYFUNCTION("IF(Cost_in_dollars!E1986=""USD"",Cost_in_dollars!B1986,Cost_in_dollars!B1986 * GOOGLEFINANCE(""CURRENCY:"" &amp; Cost_in_dollars!E1986 &amp; ""USD""))
"),30000000)</f>
        <v>30000000</v>
      </c>
      <c r="P1986" s="4">
        <f ca="1">IFERROR(__xludf.DUMMYFUNCTION("IF(Cost_in_dollars!E1986=""USD"",Cost_in_dollars!C1986,Cost_in_dollars!C1986 * GOOGLEFINANCE(""CURRENCY:"" &amp; Cost_in_dollars!E1986 &amp; ""USD""))
"),82163317)</f>
        <v>82163317</v>
      </c>
      <c r="Q1986" s="4">
        <f t="shared" ca="1" si="42"/>
        <v>52163317</v>
      </c>
      <c r="R1986" s="5" t="str">
        <f t="shared" si="43"/>
        <v>Freddy vs. Jason</v>
      </c>
      <c r="S1986" s="43" t="str">
        <f t="shared" ref="S1986:S2049" si="47">IF(ISNUMBER(FIND("|", D1986)), LEFT(D1986, FIND("|", D1986) - 1), D1986)</f>
        <v>Action</v>
      </c>
    </row>
    <row r="1987" spans="1:19" ht="15.75" customHeight="1" x14ac:dyDescent="0.25">
      <c r="A1987" s="6" t="s">
        <v>657</v>
      </c>
      <c r="B1987" s="6">
        <v>122</v>
      </c>
      <c r="C1987" s="6">
        <v>99462</v>
      </c>
      <c r="D1987" s="6" t="s">
        <v>6624</v>
      </c>
      <c r="E1987" s="6" t="s">
        <v>6374</v>
      </c>
      <c r="F1987" s="6" t="s">
        <v>6625</v>
      </c>
      <c r="G1987" s="6">
        <v>11347</v>
      </c>
      <c r="H1987" s="6" t="s">
        <v>6626</v>
      </c>
      <c r="I1987" s="6">
        <v>28</v>
      </c>
      <c r="J1987" s="6" t="s">
        <v>23</v>
      </c>
      <c r="K1987" s="6" t="s">
        <v>611</v>
      </c>
      <c r="L1987" s="6">
        <v>33000000</v>
      </c>
      <c r="M1987" s="6">
        <v>2013</v>
      </c>
      <c r="N1987" s="6">
        <v>7.1</v>
      </c>
      <c r="O1987" s="4">
        <f ca="1">IFERROR(__xludf.DUMMYFUNCTION("IF(Cost_in_dollars!E1987=""USD"",Cost_in_dollars!B1987,Cost_in_dollars!B1987 * GOOGLEFINANCE(""CURRENCY:"" &amp; Cost_in_dollars!E1987 &amp; ""USD""))
"),35796420)</f>
        <v>35796420</v>
      </c>
      <c r="P1987" s="4">
        <f ca="1">IFERROR(__xludf.DUMMYFUNCTION("IF(Cost_in_dollars!E1987=""USD"",Cost_in_dollars!C1987,Cost_in_dollars!C1987 * GOOGLEFINANCE(""CURRENCY:"" &amp; Cost_in_dollars!E1987 &amp; ""USD""))
"),107890.40988)</f>
        <v>107890.40988000001</v>
      </c>
      <c r="Q1987" s="6">
        <f t="shared" ca="1" si="42"/>
        <v>-35688529.590120003</v>
      </c>
      <c r="R1987" s="7" t="str">
        <f t="shared" si="43"/>
        <v>The Young and Prodigious T.S. Spivet</v>
      </c>
      <c r="S1987" s="43" t="str">
        <f t="shared" si="47"/>
        <v>Action</v>
      </c>
    </row>
    <row r="1988" spans="1:19" ht="15.75" customHeight="1" x14ac:dyDescent="0.25">
      <c r="A1988" s="4" t="s">
        <v>358</v>
      </c>
      <c r="B1988" s="4">
        <v>109</v>
      </c>
      <c r="C1988" s="4">
        <v>76261036</v>
      </c>
      <c r="D1988" s="4" t="s">
        <v>116</v>
      </c>
      <c r="E1988" s="4" t="s">
        <v>69</v>
      </c>
      <c r="F1988" s="4" t="s">
        <v>6627</v>
      </c>
      <c r="G1988" s="4">
        <v>305929</v>
      </c>
      <c r="H1988" s="4" t="s">
        <v>6628</v>
      </c>
      <c r="I1988" s="4">
        <v>633</v>
      </c>
      <c r="J1988" s="4" t="s">
        <v>23</v>
      </c>
      <c r="K1988" s="4" t="s">
        <v>24</v>
      </c>
      <c r="L1988" s="4">
        <v>45000000</v>
      </c>
      <c r="M1988" s="4">
        <v>2001</v>
      </c>
      <c r="N1988" s="4">
        <v>7.7</v>
      </c>
      <c r="O1988" s="4">
        <f ca="1">IFERROR(__xludf.DUMMYFUNCTION("IF(Cost_in_dollars!E1988=""USD"",Cost_in_dollars!B1988,Cost_in_dollars!B1988 * GOOGLEFINANCE(""CURRENCY:"" &amp; Cost_in_dollars!E1988 &amp; ""USD""))
"),45000000)</f>
        <v>45000000</v>
      </c>
      <c r="P1988" s="4">
        <f ca="1">IFERROR(__xludf.DUMMYFUNCTION("IF(Cost_in_dollars!E1988=""USD"",Cost_in_dollars!C1988,Cost_in_dollars!C1988 * GOOGLEFINANCE(""CURRENCY:"" &amp; Cost_in_dollars!E1988 &amp; ""USD""))
"),76261036)</f>
        <v>76261036</v>
      </c>
      <c r="Q1988" s="4">
        <f t="shared" ca="1" si="42"/>
        <v>31261036</v>
      </c>
      <c r="R1988" s="5" t="str">
        <f t="shared" si="43"/>
        <v>Training Day</v>
      </c>
      <c r="S1988" s="43" t="str">
        <f t="shared" si="47"/>
        <v>Crime</v>
      </c>
    </row>
    <row r="1989" spans="1:19" ht="15.75" customHeight="1" x14ac:dyDescent="0.25">
      <c r="A1989" s="6" t="s">
        <v>1389</v>
      </c>
      <c r="B1989" s="6">
        <v>126</v>
      </c>
      <c r="C1989" s="6">
        <v>11854694</v>
      </c>
      <c r="D1989" s="6" t="s">
        <v>102</v>
      </c>
      <c r="E1989" s="6" t="s">
        <v>640</v>
      </c>
      <c r="F1989" s="6" t="s">
        <v>6629</v>
      </c>
      <c r="G1989" s="6">
        <v>14281</v>
      </c>
      <c r="H1989" s="6" t="s">
        <v>6630</v>
      </c>
      <c r="I1989" s="6">
        <v>64</v>
      </c>
      <c r="J1989" s="6" t="s">
        <v>23</v>
      </c>
      <c r="K1989" s="6" t="s">
        <v>24</v>
      </c>
      <c r="L1989" s="6">
        <v>31000000</v>
      </c>
      <c r="M1989" s="6">
        <v>2010</v>
      </c>
      <c r="N1989" s="6">
        <v>6.5</v>
      </c>
      <c r="O1989" s="4">
        <f ca="1">IFERROR(__xludf.DUMMYFUNCTION("IF(Cost_in_dollars!E1989=""USD"",Cost_in_dollars!B1989,Cost_in_dollars!B1989 * GOOGLEFINANCE(""CURRENCY:"" &amp; Cost_in_dollars!E1989 &amp; ""USD""))
"),31000000)</f>
        <v>31000000</v>
      </c>
      <c r="P1989" s="4">
        <f ca="1">IFERROR(__xludf.DUMMYFUNCTION("IF(Cost_in_dollars!E1989=""USD"",Cost_in_dollars!C1989,Cost_in_dollars!C1989 * GOOGLEFINANCE(""CURRENCY:"" &amp; Cost_in_dollars!E1989 &amp; ""USD""))
"),11854694)</f>
        <v>11854694</v>
      </c>
      <c r="Q1989" s="6">
        <f t="shared" ca="1" si="42"/>
        <v>-19145306</v>
      </c>
      <c r="R1989" s="7" t="str">
        <f t="shared" si="43"/>
        <v>Extraordinary Measures</v>
      </c>
      <c r="S1989" s="43" t="str">
        <f t="shared" si="47"/>
        <v>Drama</v>
      </c>
    </row>
    <row r="1990" spans="1:19" ht="15.75" customHeight="1" x14ac:dyDescent="0.25">
      <c r="A1990" s="4" t="s">
        <v>6631</v>
      </c>
      <c r="B1990" s="4">
        <v>226</v>
      </c>
      <c r="C1990" s="4">
        <v>6857096</v>
      </c>
      <c r="D1990" s="4" t="s">
        <v>6632</v>
      </c>
      <c r="E1990" s="4" t="s">
        <v>6633</v>
      </c>
      <c r="F1990" s="4" t="s">
        <v>6634</v>
      </c>
      <c r="G1990" s="4">
        <v>80429</v>
      </c>
      <c r="H1990" s="4" t="s">
        <v>6635</v>
      </c>
      <c r="I1990" s="4">
        <v>156</v>
      </c>
      <c r="J1990" s="4" t="s">
        <v>661</v>
      </c>
      <c r="K1990" s="4" t="s">
        <v>627</v>
      </c>
      <c r="L1990" s="4">
        <v>6800000</v>
      </c>
      <c r="M1990" s="4">
        <v>2010</v>
      </c>
      <c r="N1990" s="4">
        <v>8.1999999999999993</v>
      </c>
      <c r="O1990" s="4">
        <f ca="1">IFERROR(__xludf.DUMMYFUNCTION("IF(Cost_in_dollars!E1990=""USD"",Cost_in_dollars!B1990,Cost_in_dollars!B1990 * GOOGLEFINANCE(""CURRENCY:"" &amp; Cost_in_dollars!E1990 &amp; ""USD""))
"),4919154)</f>
        <v>4919154</v>
      </c>
      <c r="P1990" s="4">
        <f ca="1">IFERROR(__xludf.DUMMYFUNCTION("IF(Cost_in_dollars!E1990=""USD"",Cost_in_dollars!C1990,Cost_in_dollars!C1990 * GOOGLEFINANCE(""CURRENCY:"" &amp; Cost_in_dollars!E1990 &amp; ""USD""))
"),4960457.53188)</f>
        <v>4960457.5318799997</v>
      </c>
      <c r="Q1990" s="4">
        <f t="shared" ca="1" si="42"/>
        <v>41303.531879999675</v>
      </c>
      <c r="R1990" s="5" t="str">
        <f t="shared" si="43"/>
        <v>Incendies</v>
      </c>
      <c r="S1990" s="43" t="str">
        <f t="shared" si="47"/>
        <v>Drama</v>
      </c>
    </row>
    <row r="1991" spans="1:19" ht="15.75" customHeight="1" x14ac:dyDescent="0.25">
      <c r="A1991" s="6" t="s">
        <v>1484</v>
      </c>
      <c r="B1991" s="6">
        <v>575</v>
      </c>
      <c r="C1991" s="6">
        <v>101785482</v>
      </c>
      <c r="D1991" s="6" t="s">
        <v>188</v>
      </c>
      <c r="E1991" s="6" t="s">
        <v>1768</v>
      </c>
      <c r="F1991" s="6" t="s">
        <v>6636</v>
      </c>
      <c r="G1991" s="6">
        <v>381148</v>
      </c>
      <c r="H1991" s="6" t="s">
        <v>6637</v>
      </c>
      <c r="I1991" s="6">
        <v>1106</v>
      </c>
      <c r="J1991" s="6" t="s">
        <v>23</v>
      </c>
      <c r="K1991" s="6" t="s">
        <v>24</v>
      </c>
      <c r="L1991" s="6">
        <v>190000000</v>
      </c>
      <c r="M1991" s="6">
        <v>2013</v>
      </c>
      <c r="N1991" s="6">
        <v>7</v>
      </c>
      <c r="O1991" s="4">
        <f ca="1">IFERROR(__xludf.DUMMYFUNCTION("IF(Cost_in_dollars!E1991=""USD"",Cost_in_dollars!B1991,Cost_in_dollars!B1991 * GOOGLEFINANCE(""CURRENCY:"" &amp; Cost_in_dollars!E1991 &amp; ""USD""))
"),190000000)</f>
        <v>190000000</v>
      </c>
      <c r="P1991" s="4">
        <f ca="1">IFERROR(__xludf.DUMMYFUNCTION("IF(Cost_in_dollars!E1991=""USD"",Cost_in_dollars!C1991,Cost_in_dollars!C1991 * GOOGLEFINANCE(""CURRENCY:"" &amp; Cost_in_dollars!E1991 &amp; ""USD""))
"),101785482)</f>
        <v>101785482</v>
      </c>
      <c r="Q1991" s="6">
        <f t="shared" ca="1" si="42"/>
        <v>-88214518</v>
      </c>
      <c r="R1991" s="7" t="str">
        <f t="shared" si="43"/>
        <v>Pacific Rim</v>
      </c>
      <c r="S1991" s="43" t="str">
        <f t="shared" si="47"/>
        <v>Action</v>
      </c>
    </row>
    <row r="1992" spans="1:19" ht="15.75" customHeight="1" x14ac:dyDescent="0.25">
      <c r="A1992" s="4" t="s">
        <v>3647</v>
      </c>
      <c r="B1992" s="4">
        <v>199</v>
      </c>
      <c r="C1992" s="4">
        <v>28341469</v>
      </c>
      <c r="D1992" s="4" t="s">
        <v>53</v>
      </c>
      <c r="E1992" s="4" t="s">
        <v>173</v>
      </c>
      <c r="F1992" s="4" t="s">
        <v>6638</v>
      </c>
      <c r="G1992" s="4">
        <v>1689764</v>
      </c>
      <c r="H1992" s="4" t="s">
        <v>6639</v>
      </c>
      <c r="I1992" s="4">
        <v>4144</v>
      </c>
      <c r="J1992" s="4" t="s">
        <v>23</v>
      </c>
      <c r="K1992" s="4" t="s">
        <v>24</v>
      </c>
      <c r="L1992" s="4">
        <v>25000000</v>
      </c>
      <c r="M1992" s="4">
        <v>1994</v>
      </c>
      <c r="N1992" s="4">
        <v>9.3000000000000007</v>
      </c>
      <c r="O1992" s="4">
        <f ca="1">IFERROR(__xludf.DUMMYFUNCTION("IF(Cost_in_dollars!E1992=""USD"",Cost_in_dollars!B1992,Cost_in_dollars!B1992 * GOOGLEFINANCE(""CURRENCY:"" &amp; Cost_in_dollars!E1992 &amp; ""USD""))
"),25000000)</f>
        <v>25000000</v>
      </c>
      <c r="P1992" s="4">
        <f ca="1">IFERROR(__xludf.DUMMYFUNCTION("IF(Cost_in_dollars!E1992=""USD"",Cost_in_dollars!C1992,Cost_in_dollars!C1992 * GOOGLEFINANCE(""CURRENCY:"" &amp; Cost_in_dollars!E1992 &amp; ""USD""))
"),28341469)</f>
        <v>28341469</v>
      </c>
      <c r="Q1992" s="4">
        <f t="shared" ca="1" si="42"/>
        <v>3341469</v>
      </c>
      <c r="R1992" s="5" t="str">
        <f t="shared" si="43"/>
        <v>The Shawshank Redemption</v>
      </c>
      <c r="S1992" s="43" t="str">
        <f t="shared" si="47"/>
        <v>Crime</v>
      </c>
    </row>
    <row r="1993" spans="1:19" ht="15.75" customHeight="1" x14ac:dyDescent="0.25">
      <c r="A1993" s="6" t="s">
        <v>6640</v>
      </c>
      <c r="B1993" s="6">
        <v>195</v>
      </c>
      <c r="C1993" s="6">
        <v>21426805</v>
      </c>
      <c r="D1993" s="6" t="s">
        <v>3542</v>
      </c>
      <c r="E1993" s="6" t="s">
        <v>5375</v>
      </c>
      <c r="F1993" s="6" t="s">
        <v>6641</v>
      </c>
      <c r="G1993" s="6">
        <v>49312</v>
      </c>
      <c r="H1993" s="6" t="s">
        <v>6642</v>
      </c>
      <c r="I1993" s="6">
        <v>211</v>
      </c>
      <c r="J1993" s="6" t="s">
        <v>23</v>
      </c>
      <c r="K1993" s="6" t="s">
        <v>24</v>
      </c>
      <c r="L1993" s="6">
        <v>30000000</v>
      </c>
      <c r="M1993" s="6">
        <v>2011</v>
      </c>
      <c r="N1993" s="6">
        <v>4.9000000000000004</v>
      </c>
      <c r="O1993" s="4">
        <f ca="1">IFERROR(__xludf.DUMMYFUNCTION("IF(Cost_in_dollars!E1993=""USD"",Cost_in_dollars!B1993,Cost_in_dollars!B1993 * GOOGLEFINANCE(""CURRENCY:"" &amp; Cost_in_dollars!E1993 &amp; ""USD""))
"),30000000)</f>
        <v>30000000</v>
      </c>
      <c r="P1993" s="4">
        <f ca="1">IFERROR(__xludf.DUMMYFUNCTION("IF(Cost_in_dollars!E1993=""USD"",Cost_in_dollars!C1993,Cost_in_dollars!C1993 * GOOGLEFINANCE(""CURRENCY:"" &amp; Cost_in_dollars!E1993 &amp; ""USD""))
"),21426805)</f>
        <v>21426805</v>
      </c>
      <c r="Q1993" s="6">
        <f t="shared" ca="1" si="42"/>
        <v>-8573195</v>
      </c>
      <c r="R1993" s="7" t="str">
        <f t="shared" si="43"/>
        <v>The Darkest Hour</v>
      </c>
      <c r="S1993" s="43" t="str">
        <f t="shared" si="47"/>
        <v>Action</v>
      </c>
    </row>
    <row r="1994" spans="1:19" ht="15.75" customHeight="1" x14ac:dyDescent="0.25">
      <c r="A1994" s="4" t="s">
        <v>4460</v>
      </c>
      <c r="B1994" s="4">
        <v>72</v>
      </c>
      <c r="C1994" s="4">
        <v>7292175</v>
      </c>
      <c r="D1994" s="4" t="s">
        <v>162</v>
      </c>
      <c r="E1994" s="4" t="s">
        <v>6643</v>
      </c>
      <c r="F1994" s="4" t="s">
        <v>6644</v>
      </c>
      <c r="G1994" s="4">
        <v>7736</v>
      </c>
      <c r="H1994" s="4" t="s">
        <v>6645</v>
      </c>
      <c r="I1994" s="4">
        <v>100</v>
      </c>
      <c r="J1994" s="4" t="s">
        <v>23</v>
      </c>
      <c r="K1994" s="4" t="s">
        <v>24</v>
      </c>
      <c r="L1994" s="4">
        <v>7000000</v>
      </c>
      <c r="M1994" s="4">
        <v>1999</v>
      </c>
      <c r="N1994" s="4">
        <v>6.4</v>
      </c>
      <c r="O1994" s="4">
        <f ca="1">IFERROR(__xludf.DUMMYFUNCTION("IF(Cost_in_dollars!E1994=""USD"",Cost_in_dollars!B1994,Cost_in_dollars!B1994 * GOOGLEFINANCE(""CURRENCY:"" &amp; Cost_in_dollars!E1994 &amp; ""USD""))
"),7000000)</f>
        <v>7000000</v>
      </c>
      <c r="P1994" s="4">
        <f ca="1">IFERROR(__xludf.DUMMYFUNCTION("IF(Cost_in_dollars!E1994=""USD"",Cost_in_dollars!C1994,Cost_in_dollars!C1994 * GOOGLEFINANCE(""CURRENCY:"" &amp; Cost_in_dollars!E1994 &amp; ""USD""))
"),7292175)</f>
        <v>7292175</v>
      </c>
      <c r="Q1994" s="4">
        <f t="shared" ca="1" si="42"/>
        <v>292175</v>
      </c>
      <c r="R1994" s="5" t="str">
        <f t="shared" si="43"/>
        <v>Outside Providence</v>
      </c>
      <c r="S1994" s="43" t="str">
        <f t="shared" si="47"/>
        <v>Comedy</v>
      </c>
    </row>
    <row r="1995" spans="1:19" ht="15.75" customHeight="1" x14ac:dyDescent="0.25">
      <c r="A1995" s="6" t="s">
        <v>371</v>
      </c>
      <c r="B1995" s="6">
        <v>39</v>
      </c>
      <c r="C1995" s="6">
        <v>68856263</v>
      </c>
      <c r="D1995" s="6" t="s">
        <v>6646</v>
      </c>
      <c r="E1995" s="6" t="s">
        <v>6647</v>
      </c>
      <c r="F1995" s="6" t="s">
        <v>6648</v>
      </c>
      <c r="G1995" s="6">
        <v>69733</v>
      </c>
      <c r="H1995" s="6" t="s">
        <v>6649</v>
      </c>
      <c r="I1995" s="6">
        <v>97</v>
      </c>
      <c r="J1995" s="6" t="s">
        <v>23</v>
      </c>
      <c r="K1995" s="6" t="s">
        <v>24</v>
      </c>
      <c r="L1995" s="6">
        <v>15000000</v>
      </c>
      <c r="M1995" s="6">
        <v>1993</v>
      </c>
      <c r="N1995" s="6">
        <v>6.9</v>
      </c>
      <c r="O1995" s="4">
        <f ca="1">IFERROR(__xludf.DUMMYFUNCTION("IF(Cost_in_dollars!E1995=""USD"",Cost_in_dollars!B1995,Cost_in_dollars!B1995 * GOOGLEFINANCE(""CURRENCY:"" &amp; Cost_in_dollars!E1995 &amp; ""USD""))
"),15000000)</f>
        <v>15000000</v>
      </c>
      <c r="P1995" s="4">
        <f ca="1">IFERROR(__xludf.DUMMYFUNCTION("IF(Cost_in_dollars!E1995=""USD"",Cost_in_dollars!C1995,Cost_in_dollars!C1995 * GOOGLEFINANCE(""CURRENCY:"" &amp; Cost_in_dollars!E1995 &amp; ""USD""))
"),68856263)</f>
        <v>68856263</v>
      </c>
      <c r="Q1995" s="6">
        <f t="shared" ca="1" si="42"/>
        <v>53856263</v>
      </c>
      <c r="R1995" s="7" t="str">
        <f t="shared" si="43"/>
        <v>Cool Runnings</v>
      </c>
      <c r="S1995" s="43" t="str">
        <f t="shared" si="47"/>
        <v>Adventure</v>
      </c>
    </row>
    <row r="1996" spans="1:19" ht="15.75" customHeight="1" x14ac:dyDescent="0.25">
      <c r="A1996" s="4" t="s">
        <v>2461</v>
      </c>
      <c r="B1996" s="4">
        <v>204</v>
      </c>
      <c r="C1996" s="4">
        <v>1082044</v>
      </c>
      <c r="D1996" s="4" t="s">
        <v>372</v>
      </c>
      <c r="E1996" s="4" t="s">
        <v>1595</v>
      </c>
      <c r="F1996" s="4" t="s">
        <v>6650</v>
      </c>
      <c r="G1996" s="4">
        <v>281649</v>
      </c>
      <c r="H1996" s="4" t="s">
        <v>6651</v>
      </c>
      <c r="I1996" s="4">
        <v>458</v>
      </c>
      <c r="J1996" s="4" t="s">
        <v>23</v>
      </c>
      <c r="K1996" s="4" t="s">
        <v>1111</v>
      </c>
      <c r="L1996" s="4">
        <v>5000000</v>
      </c>
      <c r="M1996" s="4">
        <v>2004</v>
      </c>
      <c r="N1996" s="4">
        <v>7.7</v>
      </c>
      <c r="O1996" s="4">
        <f ca="1">IFERROR(__xludf.DUMMYFUNCTION("IF(Cost_in_dollars!E1996=""USD"",Cost_in_dollars!B1996,Cost_in_dollars!B1996 * GOOGLEFINANCE(""CURRENCY:"" &amp; Cost_in_dollars!E1996 &amp; ""USD""))
"),5423700)</f>
        <v>5423700</v>
      </c>
      <c r="P1996" s="4">
        <f ca="1">IFERROR(__xludf.DUMMYFUNCTION("IF(Cost_in_dollars!E1996=""USD"",Cost_in_dollars!C1996,Cost_in_dollars!C1996 * GOOGLEFINANCE(""CURRENCY:"" &amp; Cost_in_dollars!E1996 &amp; ""USD""))
"),1173736.40856)</f>
        <v>1173736.4085599999</v>
      </c>
      <c r="Q1996" s="4">
        <f t="shared" ca="1" si="42"/>
        <v>-4249963.5914399996</v>
      </c>
      <c r="R1996" s="5" t="str">
        <f t="shared" si="43"/>
        <v>The Machinist</v>
      </c>
      <c r="S1996" s="43" t="str">
        <f t="shared" si="47"/>
        <v>Drama</v>
      </c>
    </row>
    <row r="1997" spans="1:19" ht="15.75" customHeight="1" x14ac:dyDescent="0.25">
      <c r="A1997" s="6" t="s">
        <v>628</v>
      </c>
      <c r="B1997" s="6">
        <v>65</v>
      </c>
      <c r="C1997" s="6">
        <v>58918501</v>
      </c>
      <c r="D1997" s="6" t="s">
        <v>6652</v>
      </c>
      <c r="E1997" s="6" t="s">
        <v>69</v>
      </c>
      <c r="F1997" s="6" t="s">
        <v>6653</v>
      </c>
      <c r="G1997" s="6">
        <v>40126</v>
      </c>
      <c r="H1997" s="6" t="s">
        <v>6654</v>
      </c>
      <c r="I1997" s="6">
        <v>107</v>
      </c>
      <c r="J1997" s="6" t="s">
        <v>23</v>
      </c>
      <c r="K1997" s="6" t="s">
        <v>24</v>
      </c>
      <c r="L1997" s="6">
        <v>46000000</v>
      </c>
      <c r="M1997" s="6">
        <v>1996</v>
      </c>
      <c r="N1997" s="6">
        <v>6.6</v>
      </c>
      <c r="O1997" s="4">
        <f ca="1">IFERROR(__xludf.DUMMYFUNCTION("IF(Cost_in_dollars!E1997=""USD"",Cost_in_dollars!B1997,Cost_in_dollars!B1997 * GOOGLEFINANCE(""CURRENCY:"" &amp; Cost_in_dollars!E1997 &amp; ""USD""))
"),46000000)</f>
        <v>46000000</v>
      </c>
      <c r="P1997" s="4">
        <f ca="1">IFERROR(__xludf.DUMMYFUNCTION("IF(Cost_in_dollars!E1997=""USD"",Cost_in_dollars!C1997,Cost_in_dollars!C1997 * GOOGLEFINANCE(""CURRENCY:"" &amp; Cost_in_dollars!E1997 &amp; ""USD""))
"),58918501)</f>
        <v>58918501</v>
      </c>
      <c r="Q1997" s="6">
        <f t="shared" ca="1" si="42"/>
        <v>12918501</v>
      </c>
      <c r="R1997" s="7" t="str">
        <f t="shared" si="43"/>
        <v>Courage Under Fire</v>
      </c>
      <c r="S1997" s="43" t="str">
        <f t="shared" si="47"/>
        <v>Action</v>
      </c>
    </row>
    <row r="1998" spans="1:19" ht="15.75" customHeight="1" x14ac:dyDescent="0.25">
      <c r="A1998" s="4" t="s">
        <v>6655</v>
      </c>
      <c r="B1998" s="4">
        <v>221</v>
      </c>
      <c r="C1998" s="4">
        <v>95328937</v>
      </c>
      <c r="D1998" s="4" t="s">
        <v>162</v>
      </c>
      <c r="E1998" s="4" t="s">
        <v>4319</v>
      </c>
      <c r="F1998" s="4" t="s">
        <v>6656</v>
      </c>
      <c r="G1998" s="4">
        <v>59581</v>
      </c>
      <c r="H1998" s="4" t="s">
        <v>6657</v>
      </c>
      <c r="I1998" s="4">
        <v>293</v>
      </c>
      <c r="J1998" s="4" t="s">
        <v>23</v>
      </c>
      <c r="K1998" s="4" t="s">
        <v>24</v>
      </c>
      <c r="L1998" s="4">
        <v>100000000</v>
      </c>
      <c r="M1998" s="4">
        <v>2010</v>
      </c>
      <c r="N1998" s="4">
        <v>4.3</v>
      </c>
      <c r="O1998" s="4">
        <f ca="1">IFERROR(__xludf.DUMMYFUNCTION("IF(Cost_in_dollars!E1998=""USD"",Cost_in_dollars!B1998,Cost_in_dollars!B1998 * GOOGLEFINANCE(""CURRENCY:"" &amp; Cost_in_dollars!E1998 &amp; ""USD""))
"),100000000)</f>
        <v>100000000</v>
      </c>
      <c r="P1998" s="4">
        <f ca="1">IFERROR(__xludf.DUMMYFUNCTION("IF(Cost_in_dollars!E1998=""USD"",Cost_in_dollars!C1998,Cost_in_dollars!C1998 * GOOGLEFINANCE(""CURRENCY:"" &amp; Cost_in_dollars!E1998 &amp; ""USD""))
"),95328937)</f>
        <v>95328937</v>
      </c>
      <c r="Q1998" s="4">
        <f t="shared" ca="1" si="42"/>
        <v>-4671063</v>
      </c>
      <c r="R1998" s="5" t="str">
        <f t="shared" si="43"/>
        <v>Sex and the City 2</v>
      </c>
      <c r="S1998" s="43" t="str">
        <f t="shared" si="47"/>
        <v>Comedy</v>
      </c>
    </row>
    <row r="1999" spans="1:19" ht="15.75" customHeight="1" x14ac:dyDescent="0.25">
      <c r="A1999" s="6" t="s">
        <v>6658</v>
      </c>
      <c r="B1999" s="6">
        <v>270</v>
      </c>
      <c r="C1999" s="6">
        <v>18112929</v>
      </c>
      <c r="D1999" s="6" t="s">
        <v>1920</v>
      </c>
      <c r="E1999" s="6" t="s">
        <v>6659</v>
      </c>
      <c r="F1999" s="6" t="s">
        <v>6660</v>
      </c>
      <c r="G1999" s="6">
        <v>52642</v>
      </c>
      <c r="H1999" s="6" t="s">
        <v>6661</v>
      </c>
      <c r="I1999" s="6">
        <v>271</v>
      </c>
      <c r="J1999" s="6" t="s">
        <v>23</v>
      </c>
      <c r="K1999" s="6" t="s">
        <v>24</v>
      </c>
      <c r="L1999" s="6">
        <v>1000000</v>
      </c>
      <c r="M1999" s="6">
        <v>2012</v>
      </c>
      <c r="N1999" s="6">
        <v>5</v>
      </c>
      <c r="O1999" s="4">
        <f ca="1">IFERROR(__xludf.DUMMYFUNCTION("IF(Cost_in_dollars!E1999=""USD"",Cost_in_dollars!B1999,Cost_in_dollars!B1999 * GOOGLEFINANCE(""CURRENCY:"" &amp; Cost_in_dollars!E1999 &amp; ""USD""))
"),1000000)</f>
        <v>1000000</v>
      </c>
      <c r="P1999" s="4">
        <f ca="1">IFERROR(__xludf.DUMMYFUNCTION("IF(Cost_in_dollars!E1999=""USD"",Cost_in_dollars!C1999,Cost_in_dollars!C1999 * GOOGLEFINANCE(""CURRENCY:"" &amp; Cost_in_dollars!E1999 &amp; ""USD""))
"),18112929)</f>
        <v>18112929</v>
      </c>
      <c r="Q1999" s="6">
        <f t="shared" ca="1" si="42"/>
        <v>17112929</v>
      </c>
      <c r="R1999" s="7" t="str">
        <f t="shared" si="43"/>
        <v>Chernobyl Diaries</v>
      </c>
      <c r="S1999" s="43" t="str">
        <f t="shared" si="47"/>
        <v>Horror</v>
      </c>
    </row>
    <row r="2000" spans="1:19" ht="15.75" customHeight="1" x14ac:dyDescent="0.25">
      <c r="A2000" s="4" t="s">
        <v>3825</v>
      </c>
      <c r="B2000" s="4">
        <v>450</v>
      </c>
      <c r="C2000" s="4">
        <v>18329466</v>
      </c>
      <c r="D2000" s="4" t="s">
        <v>3253</v>
      </c>
      <c r="E2000" s="4" t="s">
        <v>407</v>
      </c>
      <c r="F2000" s="4" t="s">
        <v>6662</v>
      </c>
      <c r="G2000" s="4">
        <v>279179</v>
      </c>
      <c r="H2000" s="4" t="s">
        <v>6663</v>
      </c>
      <c r="I2000" s="4">
        <v>440</v>
      </c>
      <c r="J2000" s="4" t="s">
        <v>23</v>
      </c>
      <c r="K2000" s="4" t="s">
        <v>24</v>
      </c>
      <c r="L2000" s="4">
        <v>18000000</v>
      </c>
      <c r="M2000" s="4">
        <v>2010</v>
      </c>
      <c r="N2000" s="4">
        <v>7.6</v>
      </c>
      <c r="O2000" s="4">
        <f ca="1">IFERROR(__xludf.DUMMYFUNCTION("IF(Cost_in_dollars!E2000=""USD"",Cost_in_dollars!B2000,Cost_in_dollars!B2000 * GOOGLEFINANCE(""CURRENCY:"" &amp; Cost_in_dollars!E2000 &amp; ""USD""))
"),18000000)</f>
        <v>18000000</v>
      </c>
      <c r="P2000" s="4">
        <f ca="1">IFERROR(__xludf.DUMMYFUNCTION("IF(Cost_in_dollars!E2000=""USD"",Cost_in_dollars!C2000,Cost_in_dollars!C2000 * GOOGLEFINANCE(""CURRENCY:"" &amp; Cost_in_dollars!E2000 &amp; ""USD""))
"),18329466)</f>
        <v>18329466</v>
      </c>
      <c r="Q2000" s="4">
        <f t="shared" ca="1" si="42"/>
        <v>329466</v>
      </c>
      <c r="R2000" s="5" t="str">
        <f t="shared" si="43"/>
        <v>127 Hours</v>
      </c>
      <c r="S2000" s="43" t="str">
        <f t="shared" si="47"/>
        <v>Adventure</v>
      </c>
    </row>
    <row r="2001" spans="1:19" ht="15.75" customHeight="1" x14ac:dyDescent="0.25">
      <c r="A2001" s="6" t="s">
        <v>221</v>
      </c>
      <c r="B2001" s="6">
        <v>440</v>
      </c>
      <c r="C2001" s="6">
        <v>132550960</v>
      </c>
      <c r="D2001" s="6" t="s">
        <v>797</v>
      </c>
      <c r="E2001" s="6" t="s">
        <v>977</v>
      </c>
      <c r="F2001" s="6" t="s">
        <v>6664</v>
      </c>
      <c r="G2001" s="6">
        <v>328067</v>
      </c>
      <c r="H2001" s="6" t="s">
        <v>6665</v>
      </c>
      <c r="I2001" s="6">
        <v>533</v>
      </c>
      <c r="J2001" s="6" t="s">
        <v>23</v>
      </c>
      <c r="K2001" s="6" t="s">
        <v>24</v>
      </c>
      <c r="L2001" s="6">
        <v>120000000</v>
      </c>
      <c r="M2001" s="6">
        <v>2013</v>
      </c>
      <c r="N2001" s="6">
        <v>6.7</v>
      </c>
      <c r="O2001" s="4">
        <f ca="1">IFERROR(__xludf.DUMMYFUNCTION("IF(Cost_in_dollars!E2001=""USD"",Cost_in_dollars!B2001,Cost_in_dollars!B2001 * GOOGLEFINANCE(""CURRENCY:"" &amp; Cost_in_dollars!E2001 &amp; ""USD""))
"),120000000)</f>
        <v>120000000</v>
      </c>
      <c r="P2001" s="4">
        <f ca="1">IFERROR(__xludf.DUMMYFUNCTION("IF(Cost_in_dollars!E2001=""USD"",Cost_in_dollars!C2001,Cost_in_dollars!C2001 * GOOGLEFINANCE(""CURRENCY:"" &amp; Cost_in_dollars!E2001 &amp; ""USD""))
"),132550960)</f>
        <v>132550960</v>
      </c>
      <c r="Q2001" s="6">
        <f t="shared" ca="1" si="42"/>
        <v>12550960</v>
      </c>
      <c r="R2001" s="7" t="str">
        <f t="shared" si="43"/>
        <v>The Wolverine</v>
      </c>
      <c r="S2001" s="43" t="str">
        <f t="shared" si="47"/>
        <v>Action</v>
      </c>
    </row>
    <row r="2002" spans="1:19" ht="15.75" customHeight="1" x14ac:dyDescent="0.25">
      <c r="A2002" s="4" t="s">
        <v>5425</v>
      </c>
      <c r="B2002" s="4">
        <v>22</v>
      </c>
      <c r="C2002" s="4">
        <v>10769960</v>
      </c>
      <c r="D2002" s="4" t="s">
        <v>73</v>
      </c>
      <c r="E2002" s="4" t="s">
        <v>1108</v>
      </c>
      <c r="F2002" s="4" t="s">
        <v>6666</v>
      </c>
      <c r="G2002" s="4">
        <v>21940</v>
      </c>
      <c r="H2002" s="4" t="s">
        <v>6667</v>
      </c>
      <c r="I2002" s="4">
        <v>256</v>
      </c>
      <c r="J2002" s="4" t="s">
        <v>23</v>
      </c>
      <c r="K2002" s="4" t="s">
        <v>24</v>
      </c>
      <c r="L2002" s="4">
        <v>25000000</v>
      </c>
      <c r="M2002" s="4">
        <v>1993</v>
      </c>
      <c r="N2002" s="4">
        <v>7.7</v>
      </c>
      <c r="O2002" s="4">
        <f ca="1">IFERROR(__xludf.DUMMYFUNCTION("IF(Cost_in_dollars!E2002=""USD"",Cost_in_dollars!B2002,Cost_in_dollars!B2002 * GOOGLEFINANCE(""CURRENCY:"" &amp; Cost_in_dollars!E2002 &amp; ""USD""))
"),25000000)</f>
        <v>25000000</v>
      </c>
      <c r="P2002" s="4">
        <f ca="1">IFERROR(__xludf.DUMMYFUNCTION("IF(Cost_in_dollars!E2002=""USD"",Cost_in_dollars!C2002,Cost_in_dollars!C2002 * GOOGLEFINANCE(""CURRENCY:"" &amp; Cost_in_dollars!E2002 &amp; ""USD""))
"),10769960)</f>
        <v>10769960</v>
      </c>
      <c r="Q2002" s="4">
        <f t="shared" ca="1" si="42"/>
        <v>-14230040</v>
      </c>
      <c r="R2002" s="5" t="str">
        <f t="shared" si="43"/>
        <v>Gettysburg</v>
      </c>
      <c r="S2002" s="43" t="str">
        <f t="shared" si="47"/>
        <v>Drama</v>
      </c>
    </row>
    <row r="2003" spans="1:19" ht="15.75" customHeight="1" x14ac:dyDescent="0.25">
      <c r="A2003" s="6" t="s">
        <v>6668</v>
      </c>
      <c r="B2003" s="6">
        <v>189</v>
      </c>
      <c r="C2003" s="6">
        <v>25093607</v>
      </c>
      <c r="D2003" s="6" t="s">
        <v>155</v>
      </c>
      <c r="E2003" s="6" t="s">
        <v>818</v>
      </c>
      <c r="F2003" s="6" t="s">
        <v>6669</v>
      </c>
      <c r="G2003" s="6">
        <v>105556</v>
      </c>
      <c r="H2003" s="6" t="s">
        <v>6670</v>
      </c>
      <c r="I2003" s="6">
        <v>157</v>
      </c>
      <c r="J2003" s="6" t="s">
        <v>23</v>
      </c>
      <c r="K2003" s="6" t="s">
        <v>133</v>
      </c>
      <c r="L2003" s="6">
        <v>35000000</v>
      </c>
      <c r="M2003" s="6">
        <v>2011</v>
      </c>
      <c r="N2003" s="6">
        <v>6.5</v>
      </c>
      <c r="O2003" s="4">
        <f ca="1">IFERROR(__xludf.DUMMYFUNCTION("IF(Cost_in_dollars!E2003=""USD"",Cost_in_dollars!B2003,Cost_in_dollars!B2003 * GOOGLEFINANCE(""CURRENCY:"" &amp; Cost_in_dollars!E2003 &amp; ""USD""))
"),44988999.9999999)</f>
        <v>44988999.999999903</v>
      </c>
      <c r="P2003" s="4">
        <f ca="1">IFERROR(__xludf.DUMMYFUNCTION("IF(Cost_in_dollars!E2003=""USD"",Cost_in_dollars!C2003,Cost_in_dollars!C2003 * GOOGLEFINANCE(""CURRENCY:"" &amp; Cost_in_dollars!E2003 &amp; ""USD""))
"),32255322.4377999)</f>
        <v>32255322.437799901</v>
      </c>
      <c r="Q2003" s="6">
        <f t="shared" ca="1" si="42"/>
        <v>-12733677.562200002</v>
      </c>
      <c r="R2003" s="7" t="str">
        <f t="shared" si="43"/>
        <v>Killer Elite</v>
      </c>
      <c r="S2003" s="43" t="str">
        <f t="shared" si="47"/>
        <v>Action</v>
      </c>
    </row>
    <row r="2004" spans="1:19" ht="15.75" customHeight="1" x14ac:dyDescent="0.25">
      <c r="A2004" s="4" t="s">
        <v>1626</v>
      </c>
      <c r="B2004" s="4">
        <v>122</v>
      </c>
      <c r="C2004" s="4">
        <v>45857453</v>
      </c>
      <c r="D2004" s="4" t="s">
        <v>465</v>
      </c>
      <c r="E2004" s="4" t="s">
        <v>1503</v>
      </c>
      <c r="F2004" s="4" t="s">
        <v>6671</v>
      </c>
      <c r="G2004" s="4">
        <v>82232</v>
      </c>
      <c r="H2004" s="4" t="s">
        <v>6672</v>
      </c>
      <c r="I2004" s="4">
        <v>174</v>
      </c>
      <c r="J2004" s="4" t="s">
        <v>23</v>
      </c>
      <c r="K2004" s="4" t="s">
        <v>133</v>
      </c>
      <c r="L2004" s="4">
        <v>3500000</v>
      </c>
      <c r="M2004" s="4">
        <v>1997</v>
      </c>
      <c r="N2004" s="4">
        <v>7.2</v>
      </c>
      <c r="O2004" s="4">
        <f ca="1">IFERROR(__xludf.DUMMYFUNCTION("IF(Cost_in_dollars!E2004=""USD"",Cost_in_dollars!B2004,Cost_in_dollars!B2004 * GOOGLEFINANCE(""CURRENCY:"" &amp; Cost_in_dollars!E2004 &amp; ""USD""))
"),4498900)</f>
        <v>4498900</v>
      </c>
      <c r="P2004" s="4">
        <f ca="1">IFERROR(__xludf.DUMMYFUNCTION("IF(Cost_in_dollars!E2004=""USD"",Cost_in_dollars!C2004,Cost_in_dollars!C2004 * GOOGLEFINANCE(""CURRENCY:"" &amp; Cost_in_dollars!E2004 &amp; ""USD""))
"),58945170.0861999)</f>
        <v>58945170.086199902</v>
      </c>
      <c r="Q2004" s="4">
        <f t="shared" ca="1" si="42"/>
        <v>54446270.086199902</v>
      </c>
      <c r="R2004" s="5" t="str">
        <f t="shared" si="43"/>
        <v>The Full Monty</v>
      </c>
      <c r="S2004" s="43" t="str">
        <f t="shared" si="47"/>
        <v>Comedy</v>
      </c>
    </row>
    <row r="2005" spans="1:19" ht="15.75" customHeight="1" x14ac:dyDescent="0.25">
      <c r="A2005" s="6" t="s">
        <v>4716</v>
      </c>
      <c r="B2005" s="6">
        <v>137</v>
      </c>
      <c r="C2005" s="6">
        <v>13876974</v>
      </c>
      <c r="D2005" s="6" t="s">
        <v>162</v>
      </c>
      <c r="E2005" s="6" t="s">
        <v>6673</v>
      </c>
      <c r="F2005" s="6" t="s">
        <v>6674</v>
      </c>
      <c r="G2005" s="6">
        <v>19397</v>
      </c>
      <c r="H2005" s="6" t="s">
        <v>6675</v>
      </c>
      <c r="I2005" s="6">
        <v>214</v>
      </c>
      <c r="J2005" s="6" t="s">
        <v>673</v>
      </c>
      <c r="K2005" s="6" t="s">
        <v>674</v>
      </c>
      <c r="L2005" s="6">
        <v>7000000</v>
      </c>
      <c r="M2005" s="6">
        <v>2001</v>
      </c>
      <c r="N2005" s="6">
        <v>7.4</v>
      </c>
      <c r="O2005" s="4">
        <f ca="1">IFERROR(__xludf.DUMMYFUNCTION("IF(Cost_in_dollars!E2005=""USD"",Cost_in_dollars!B2005,Cost_in_dollars!B2005 * GOOGLEFINANCE(""CURRENCY:"" &amp; Cost_in_dollars!E2005 &amp; ""USD""))
"),83590.22)</f>
        <v>83590.22</v>
      </c>
      <c r="P2005" s="4">
        <f ca="1">IFERROR(__xludf.DUMMYFUNCTION("IF(Cost_in_dollars!E2005=""USD"",Cost_in_dollars!C2005,Cost_in_dollars!C2005 * GOOGLEFINANCE(""CURRENCY:"" &amp; Cost_in_dollars!E2005 &amp; ""USD""))
"),165711.32994204)</f>
        <v>165711.32994204</v>
      </c>
      <c r="Q2005" s="6">
        <f t="shared" ca="1" si="42"/>
        <v>82121.109942039999</v>
      </c>
      <c r="R2005" s="7" t="str">
        <f t="shared" si="43"/>
        <v>Monsoon Wedding</v>
      </c>
      <c r="S2005" s="43" t="str">
        <f t="shared" si="47"/>
        <v>Comedy</v>
      </c>
    </row>
    <row r="2006" spans="1:19" ht="15.75" customHeight="1" x14ac:dyDescent="0.25">
      <c r="A2006" s="4" t="s">
        <v>5828</v>
      </c>
      <c r="B2006" s="4">
        <v>218</v>
      </c>
      <c r="C2006" s="4">
        <v>59365105</v>
      </c>
      <c r="D2006" s="4" t="s">
        <v>162</v>
      </c>
      <c r="E2006" s="4" t="s">
        <v>545</v>
      </c>
      <c r="F2006" s="4" t="s">
        <v>6676</v>
      </c>
      <c r="G2006" s="4">
        <v>318634</v>
      </c>
      <c r="H2006" s="4" t="s">
        <v>6677</v>
      </c>
      <c r="I2006" s="4">
        <v>1004</v>
      </c>
      <c r="J2006" s="4" t="s">
        <v>23</v>
      </c>
      <c r="K2006" s="4" t="s">
        <v>133</v>
      </c>
      <c r="L2006" s="4">
        <v>45000000</v>
      </c>
      <c r="M2006" s="4">
        <v>2003</v>
      </c>
      <c r="N2006" s="4">
        <v>7.7</v>
      </c>
      <c r="O2006" s="4">
        <f ca="1">IFERROR(__xludf.DUMMYFUNCTION("IF(Cost_in_dollars!E2006=""USD"",Cost_in_dollars!B2006,Cost_in_dollars!B2006 * GOOGLEFINANCE(""CURRENCY:"" &amp; Cost_in_dollars!E2006 &amp; ""USD""))
"),57842999.9999999)</f>
        <v>57842999.999999903</v>
      </c>
      <c r="P2006" s="4">
        <f ca="1">IFERROR(__xludf.DUMMYFUNCTION("IF(Cost_in_dollars!E2006=""USD"",Cost_in_dollars!C2006,Cost_in_dollars!C2006 * GOOGLEFINANCE(""CURRENCY:"" &amp; Cost_in_dollars!E2006 &amp; ""USD""))
"),76307905.967)</f>
        <v>76307905.966999993</v>
      </c>
      <c r="Q2006" s="4">
        <f t="shared" ca="1" si="42"/>
        <v>18464905.96700009</v>
      </c>
      <c r="R2006" s="5" t="str">
        <f t="shared" si="43"/>
        <v>Love Actually</v>
      </c>
      <c r="S2006" s="43" t="str">
        <f t="shared" si="47"/>
        <v>Comedy</v>
      </c>
    </row>
    <row r="2007" spans="1:19" ht="15.75" customHeight="1" x14ac:dyDescent="0.25">
      <c r="A2007" s="6" t="s">
        <v>597</v>
      </c>
      <c r="B2007" s="6">
        <v>435</v>
      </c>
      <c r="C2007" s="6">
        <v>257756197</v>
      </c>
      <c r="D2007" s="6" t="s">
        <v>5441</v>
      </c>
      <c r="E2007" s="6" t="s">
        <v>173</v>
      </c>
      <c r="F2007" s="6" t="s">
        <v>6678</v>
      </c>
      <c r="G2007" s="6">
        <v>246698</v>
      </c>
      <c r="H2007" s="6" t="s">
        <v>6679</v>
      </c>
      <c r="I2007" s="6">
        <v>471</v>
      </c>
      <c r="J2007" s="6" t="s">
        <v>23</v>
      </c>
      <c r="K2007" s="6" t="s">
        <v>149</v>
      </c>
      <c r="L2007" s="6">
        <v>60000000</v>
      </c>
      <c r="M2007" s="6">
        <v>2014</v>
      </c>
      <c r="N2007" s="6">
        <v>7.8</v>
      </c>
      <c r="O2007" s="4">
        <f ca="1">IFERROR(__xludf.DUMMYFUNCTION("IF(Cost_in_dollars!E2007=""USD"",Cost_in_dollars!B2007,Cost_in_dollars!B2007 * GOOGLEFINANCE(""CURRENCY:"" &amp; Cost_in_dollars!E2007 &amp; ""USD""))
"),39232800)</f>
        <v>39232800</v>
      </c>
      <c r="P2007" s="4">
        <f ca="1">IFERROR(__xludf.DUMMYFUNCTION("IF(Cost_in_dollars!E2007=""USD"",Cost_in_dollars!C2007,Cost_in_dollars!C2007 * GOOGLEFINANCE(""CURRENCY:"" &amp; Cost_in_dollars!E2007 &amp; ""USD""))
"),168541622.09436)</f>
        <v>168541622.09435999</v>
      </c>
      <c r="Q2007" s="6">
        <f t="shared" ca="1" si="42"/>
        <v>129308822.09435999</v>
      </c>
      <c r="R2007" s="7" t="str">
        <f t="shared" si="43"/>
        <v>The Lego Movie</v>
      </c>
      <c r="S2007" s="43" t="str">
        <f t="shared" si="47"/>
        <v>Action</v>
      </c>
    </row>
    <row r="2008" spans="1:19" ht="15.75" customHeight="1" x14ac:dyDescent="0.25">
      <c r="A2008" s="4" t="s">
        <v>1327</v>
      </c>
      <c r="B2008" s="4">
        <v>159</v>
      </c>
      <c r="C2008" s="4">
        <v>8025872</v>
      </c>
      <c r="D2008" s="4" t="s">
        <v>367</v>
      </c>
      <c r="E2008" s="4" t="s">
        <v>6680</v>
      </c>
      <c r="F2008" s="4" t="s">
        <v>6681</v>
      </c>
      <c r="G2008" s="4">
        <v>19234</v>
      </c>
      <c r="H2008" s="4" t="s">
        <v>6682</v>
      </c>
      <c r="I2008" s="4">
        <v>258</v>
      </c>
      <c r="J2008" s="4" t="s">
        <v>23</v>
      </c>
      <c r="K2008" s="4" t="s">
        <v>24</v>
      </c>
      <c r="L2008" s="4">
        <v>4700000</v>
      </c>
      <c r="M2008" s="4">
        <v>1986</v>
      </c>
      <c r="N2008" s="4">
        <v>5.5</v>
      </c>
      <c r="O2008" s="4">
        <f ca="1">IFERROR(__xludf.DUMMYFUNCTION("IF(Cost_in_dollars!E2008=""USD"",Cost_in_dollars!B2008,Cost_in_dollars!B2008 * GOOGLEFINANCE(""CURRENCY:"" &amp; Cost_in_dollars!E2008 &amp; ""USD""))
"),4700000)</f>
        <v>4700000</v>
      </c>
      <c r="P2008" s="4">
        <f ca="1">IFERROR(__xludf.DUMMYFUNCTION("IF(Cost_in_dollars!E2008=""USD"",Cost_in_dollars!C2008,Cost_in_dollars!C2008 * GOOGLEFINANCE(""CURRENCY:"" &amp; Cost_in_dollars!E2008 &amp; ""USD""))
"),8025872)</f>
        <v>8025872</v>
      </c>
      <c r="Q2008" s="4">
        <f t="shared" ca="1" si="42"/>
        <v>3325872</v>
      </c>
      <c r="R2008" s="5" t="str">
        <f t="shared" si="43"/>
        <v>The Texas Chainsaw Massacre 2</v>
      </c>
      <c r="S2008" s="43" t="str">
        <f t="shared" si="47"/>
        <v>Comedy</v>
      </c>
    </row>
    <row r="2009" spans="1:19" ht="15.75" customHeight="1" x14ac:dyDescent="0.25">
      <c r="A2009" s="6" t="s">
        <v>2063</v>
      </c>
      <c r="B2009" s="6">
        <v>130</v>
      </c>
      <c r="C2009" s="6">
        <v>102308900</v>
      </c>
      <c r="D2009" s="6" t="s">
        <v>6683</v>
      </c>
      <c r="E2009" s="6" t="s">
        <v>4055</v>
      </c>
      <c r="F2009" s="6" t="s">
        <v>6684</v>
      </c>
      <c r="G2009" s="6">
        <v>152089</v>
      </c>
      <c r="H2009" s="6" t="s">
        <v>6685</v>
      </c>
      <c r="I2009" s="6">
        <v>309</v>
      </c>
      <c r="J2009" s="6" t="s">
        <v>23</v>
      </c>
      <c r="K2009" s="6" t="s">
        <v>24</v>
      </c>
      <c r="L2009" s="6">
        <v>6000000</v>
      </c>
      <c r="M2009" s="6">
        <v>1969</v>
      </c>
      <c r="N2009" s="6">
        <v>8.1</v>
      </c>
      <c r="O2009" s="4">
        <f ca="1">IFERROR(__xludf.DUMMYFUNCTION("IF(Cost_in_dollars!E2009=""USD"",Cost_in_dollars!B2009,Cost_in_dollars!B2009 * GOOGLEFINANCE(""CURRENCY:"" &amp; Cost_in_dollars!E2009 &amp; ""USD""))
"),6000000)</f>
        <v>6000000</v>
      </c>
      <c r="P2009" s="4">
        <f ca="1">IFERROR(__xludf.DUMMYFUNCTION("IF(Cost_in_dollars!E2009=""USD"",Cost_in_dollars!C2009,Cost_in_dollars!C2009 * GOOGLEFINANCE(""CURRENCY:"" &amp; Cost_in_dollars!E2009 &amp; ""USD""))
"),102308900)</f>
        <v>102308900</v>
      </c>
      <c r="Q2009" s="6">
        <f t="shared" ca="1" si="42"/>
        <v>96308900</v>
      </c>
      <c r="R2009" s="7" t="str">
        <f t="shared" si="43"/>
        <v>Butch Cassidy and the Sundance Kid</v>
      </c>
      <c r="S2009" s="43" t="str">
        <f t="shared" si="47"/>
        <v>Biography</v>
      </c>
    </row>
    <row r="2010" spans="1:19" ht="15.75" customHeight="1" x14ac:dyDescent="0.25">
      <c r="A2010" s="4" t="s">
        <v>2265</v>
      </c>
      <c r="B2010" s="4">
        <v>445</v>
      </c>
      <c r="C2010" s="4">
        <v>75590286</v>
      </c>
      <c r="D2010" s="4" t="s">
        <v>6686</v>
      </c>
      <c r="E2010" s="4" t="s">
        <v>500</v>
      </c>
      <c r="F2010" s="4" t="s">
        <v>6687</v>
      </c>
      <c r="G2010" s="4">
        <v>386217</v>
      </c>
      <c r="H2010" s="4" t="s">
        <v>6688</v>
      </c>
      <c r="I2010" s="4">
        <v>553</v>
      </c>
      <c r="J2010" s="4" t="s">
        <v>23</v>
      </c>
      <c r="K2010" s="4" t="s">
        <v>24</v>
      </c>
      <c r="L2010" s="4">
        <v>23600000</v>
      </c>
      <c r="M2010" s="4">
        <v>2009</v>
      </c>
      <c r="N2010" s="4">
        <v>7.7</v>
      </c>
      <c r="O2010" s="4">
        <f ca="1">IFERROR(__xludf.DUMMYFUNCTION("IF(Cost_in_dollars!E2010=""USD"",Cost_in_dollars!B2010,Cost_in_dollars!B2010 * GOOGLEFINANCE(""CURRENCY:"" &amp; Cost_in_dollars!E2010 &amp; ""USD""))
"),23600000)</f>
        <v>23600000</v>
      </c>
      <c r="P2010" s="4">
        <f ca="1">IFERROR(__xludf.DUMMYFUNCTION("IF(Cost_in_dollars!E2010=""USD"",Cost_in_dollars!C2010,Cost_in_dollars!C2010 * GOOGLEFINANCE(""CURRENCY:"" &amp; Cost_in_dollars!E2010 &amp; ""USD""))
"),75590286)</f>
        <v>75590286</v>
      </c>
      <c r="Q2010" s="4">
        <f t="shared" ca="1" si="42"/>
        <v>51990286</v>
      </c>
      <c r="R2010" s="5" t="str">
        <f t="shared" si="43"/>
        <v>Zombieland</v>
      </c>
      <c r="S2010" s="43" t="str">
        <f t="shared" si="47"/>
        <v>Adventure</v>
      </c>
    </row>
    <row r="2011" spans="1:19" ht="15.75" customHeight="1" x14ac:dyDescent="0.25">
      <c r="A2011" s="6" t="s">
        <v>6689</v>
      </c>
      <c r="B2011" s="6">
        <v>50</v>
      </c>
      <c r="C2011" s="6">
        <v>44726644</v>
      </c>
      <c r="D2011" s="6" t="s">
        <v>5513</v>
      </c>
      <c r="E2011" s="6" t="s">
        <v>6690</v>
      </c>
      <c r="F2011" s="6" t="s">
        <v>6691</v>
      </c>
      <c r="G2011" s="6">
        <v>42614</v>
      </c>
      <c r="H2011" s="6" t="s">
        <v>6692</v>
      </c>
      <c r="I2011" s="6">
        <v>120</v>
      </c>
      <c r="J2011" s="6" t="s">
        <v>23</v>
      </c>
      <c r="K2011" s="6" t="s">
        <v>24</v>
      </c>
      <c r="L2011" s="6">
        <v>13000000</v>
      </c>
      <c r="M2011" s="6">
        <v>1988</v>
      </c>
      <c r="N2011" s="6">
        <v>6.8</v>
      </c>
      <c r="O2011" s="4">
        <f ca="1">IFERROR(__xludf.DUMMYFUNCTION("IF(Cost_in_dollars!E2011=""USD"",Cost_in_dollars!B2011,Cost_in_dollars!B2011 * GOOGLEFINANCE(""CURRENCY:"" &amp; Cost_in_dollars!E2011 &amp; ""USD""))
"),13000000)</f>
        <v>13000000</v>
      </c>
      <c r="P2011" s="4">
        <f ca="1">IFERROR(__xludf.DUMMYFUNCTION("IF(Cost_in_dollars!E2011=""USD"",Cost_in_dollars!C2011,Cost_in_dollars!C2011 * GOOGLEFINANCE(""CURRENCY:"" &amp; Cost_in_dollars!E2011 &amp; ""USD""))
"),44726644)</f>
        <v>44726644</v>
      </c>
      <c r="Q2011" s="6">
        <f t="shared" ca="1" si="42"/>
        <v>31726644</v>
      </c>
      <c r="R2011" s="7" t="str">
        <f t="shared" si="43"/>
        <v>Young Guns</v>
      </c>
      <c r="S2011" s="43" t="str">
        <f t="shared" si="47"/>
        <v>Action</v>
      </c>
    </row>
    <row r="2012" spans="1:19" ht="15.75" customHeight="1" x14ac:dyDescent="0.25">
      <c r="A2012" s="4" t="s">
        <v>6693</v>
      </c>
      <c r="B2012" s="4">
        <v>90</v>
      </c>
      <c r="C2012" s="4">
        <v>33864342</v>
      </c>
      <c r="D2012" s="4" t="s">
        <v>244</v>
      </c>
      <c r="E2012" s="4" t="s">
        <v>1402</v>
      </c>
      <c r="F2012" s="4" t="s">
        <v>6694</v>
      </c>
      <c r="G2012" s="4">
        <v>29968</v>
      </c>
      <c r="H2012" s="4" t="s">
        <v>6695</v>
      </c>
      <c r="I2012" s="4">
        <v>117</v>
      </c>
      <c r="J2012" s="4" t="s">
        <v>23</v>
      </c>
      <c r="K2012" s="4" t="s">
        <v>133</v>
      </c>
      <c r="L2012" s="4">
        <v>40000000</v>
      </c>
      <c r="M2012" s="4">
        <v>1999</v>
      </c>
      <c r="N2012" s="4">
        <v>5.8</v>
      </c>
      <c r="O2012" s="4">
        <f ca="1">IFERROR(__xludf.DUMMYFUNCTION("IF(Cost_in_dollars!E2012=""USD"",Cost_in_dollars!B2012,Cost_in_dollars!B2012 * GOOGLEFINANCE(""CURRENCY:"" &amp; Cost_in_dollars!E2012 &amp; ""USD""))
"),51415999.9999999)</f>
        <v>51415999.999999903</v>
      </c>
      <c r="P2012" s="4">
        <f ca="1">IFERROR(__xludf.DUMMYFUNCTION("IF(Cost_in_dollars!E2012=""USD"",Cost_in_dollars!C2012,Cost_in_dollars!C2012 * GOOGLEFINANCE(""CURRENCY:"" &amp; Cost_in_dollars!E2012 &amp; ""USD""))
"),43529225.2068)</f>
        <v>43529225.206799999</v>
      </c>
      <c r="Q2012" s="4">
        <f t="shared" ca="1" si="42"/>
        <v>-7886774.7931999043</v>
      </c>
      <c r="R2012" s="5" t="str">
        <f t="shared" si="43"/>
        <v>Mickey Blue Eyes</v>
      </c>
      <c r="S2012" s="43" t="str">
        <f t="shared" si="47"/>
        <v>Comedy</v>
      </c>
    </row>
    <row r="2013" spans="1:19" ht="15.75" customHeight="1" x14ac:dyDescent="0.25">
      <c r="A2013" s="6" t="s">
        <v>6696</v>
      </c>
      <c r="B2013" s="6">
        <v>20</v>
      </c>
      <c r="C2013" s="6">
        <v>475000</v>
      </c>
      <c r="D2013" s="6" t="s">
        <v>3417</v>
      </c>
      <c r="E2013" s="6" t="s">
        <v>1864</v>
      </c>
      <c r="F2013" s="6" t="s">
        <v>6697</v>
      </c>
      <c r="G2013" s="6">
        <v>6930</v>
      </c>
      <c r="H2013" s="6" t="s">
        <v>6698</v>
      </c>
      <c r="I2013" s="6">
        <v>53</v>
      </c>
      <c r="J2013" s="6" t="s">
        <v>23</v>
      </c>
      <c r="K2013" s="6" t="s">
        <v>24</v>
      </c>
      <c r="L2013" s="6">
        <v>2800000</v>
      </c>
      <c r="M2013" s="6">
        <v>2006</v>
      </c>
      <c r="N2013" s="6">
        <v>6</v>
      </c>
      <c r="O2013" s="4">
        <f ca="1">IFERROR(__xludf.DUMMYFUNCTION("IF(Cost_in_dollars!E2013=""USD"",Cost_in_dollars!B2013,Cost_in_dollars!B2013 * GOOGLEFINANCE(""CURRENCY:"" &amp; Cost_in_dollars!E2013 &amp; ""USD""))
"),2800000)</f>
        <v>2800000</v>
      </c>
      <c r="P2013" s="4">
        <f ca="1">IFERROR(__xludf.DUMMYFUNCTION("IF(Cost_in_dollars!E2013=""USD"",Cost_in_dollars!C2013,Cost_in_dollars!C2013 * GOOGLEFINANCE(""CURRENCY:"" &amp; Cost_in_dollars!E2013 &amp; ""USD""))
"),475000)</f>
        <v>475000</v>
      </c>
      <c r="Q2013" s="6">
        <f t="shared" ca="1" si="42"/>
        <v>-2325000</v>
      </c>
      <c r="R2013" s="7" t="str">
        <f t="shared" si="43"/>
        <v>Beer League</v>
      </c>
      <c r="S2013" s="43" t="str">
        <f t="shared" si="47"/>
        <v>Comedy</v>
      </c>
    </row>
    <row r="2014" spans="1:19" ht="15.75" customHeight="1" x14ac:dyDescent="0.25">
      <c r="A2014" s="4" t="s">
        <v>5385</v>
      </c>
      <c r="B2014" s="4">
        <v>333</v>
      </c>
      <c r="C2014" s="4">
        <v>77222184</v>
      </c>
      <c r="D2014" s="4" t="s">
        <v>509</v>
      </c>
      <c r="E2014" s="4" t="s">
        <v>5188</v>
      </c>
      <c r="F2014" s="4" t="s">
        <v>6699</v>
      </c>
      <c r="G2014" s="4">
        <v>87677</v>
      </c>
      <c r="H2014" s="4" t="s">
        <v>6700</v>
      </c>
      <c r="I2014" s="4">
        <v>388</v>
      </c>
      <c r="J2014" s="4" t="s">
        <v>23</v>
      </c>
      <c r="K2014" s="4" t="s">
        <v>176</v>
      </c>
      <c r="L2014" s="4">
        <v>100000000</v>
      </c>
      <c r="M2014" s="4">
        <v>2009</v>
      </c>
      <c r="N2014" s="4">
        <v>6.8</v>
      </c>
      <c r="O2014" s="4">
        <f ca="1">IFERROR(__xludf.DUMMYFUNCTION("IF(Cost_in_dollars!E2014=""USD"",Cost_in_dollars!B2014,Cost_in_dollars!B2014 * GOOGLEFINANCE(""CURRENCY:"" &amp; Cost_in_dollars!E2014 &amp; ""USD""))
"),108474000)</f>
        <v>108474000</v>
      </c>
      <c r="P2014" s="4">
        <f ca="1">IFERROR(__xludf.DUMMYFUNCTION("IF(Cost_in_dollars!E2014=""USD"",Cost_in_dollars!C2014,Cost_in_dollars!C2014 * GOOGLEFINANCE(""CURRENCY:"" &amp; Cost_in_dollars!E2014 &amp; ""USD""))
"),83765991.87216)</f>
        <v>83765991.872160003</v>
      </c>
      <c r="Q2014" s="4">
        <f t="shared" ca="1" si="42"/>
        <v>-24708008.127839997</v>
      </c>
      <c r="R2014" s="5" t="str">
        <f t="shared" si="43"/>
        <v>Where the Wild Things Are</v>
      </c>
      <c r="S2014" s="43" t="str">
        <f t="shared" si="47"/>
        <v>Adventure</v>
      </c>
    </row>
    <row r="2015" spans="1:19" ht="15.75" customHeight="1" x14ac:dyDescent="0.25">
      <c r="A2015" s="6" t="s">
        <v>3225</v>
      </c>
      <c r="B2015" s="6">
        <v>5</v>
      </c>
      <c r="C2015" s="6">
        <v>252726</v>
      </c>
      <c r="D2015" s="6" t="s">
        <v>6701</v>
      </c>
      <c r="E2015" s="6" t="s">
        <v>6702</v>
      </c>
      <c r="F2015" s="6" t="s">
        <v>6703</v>
      </c>
      <c r="G2015" s="6">
        <v>1289</v>
      </c>
      <c r="H2015" s="6" t="s">
        <v>6704</v>
      </c>
      <c r="I2015" s="6">
        <v>18</v>
      </c>
      <c r="J2015" s="6" t="s">
        <v>23</v>
      </c>
      <c r="K2015" s="6" t="s">
        <v>24</v>
      </c>
      <c r="L2015" s="6">
        <v>3000000</v>
      </c>
      <c r="M2015" s="6">
        <v>2006</v>
      </c>
      <c r="N2015" s="6">
        <v>7.2</v>
      </c>
      <c r="O2015" s="4">
        <f ca="1">IFERROR(__xludf.DUMMYFUNCTION("IF(Cost_in_dollars!E2015=""USD"",Cost_in_dollars!B2015,Cost_in_dollars!B2015 * GOOGLEFINANCE(""CURRENCY:"" &amp; Cost_in_dollars!E2015 &amp; ""USD""))
"),3000000)</f>
        <v>3000000</v>
      </c>
      <c r="P2015" s="4">
        <f ca="1">IFERROR(__xludf.DUMMYFUNCTION("IF(Cost_in_dollars!E2015=""USD"",Cost_in_dollars!C2015,Cost_in_dollars!C2015 * GOOGLEFINANCE(""CURRENCY:"" &amp; Cost_in_dollars!E2015 &amp; ""USD""))
"),252726)</f>
        <v>252726</v>
      </c>
      <c r="Q2015" s="6">
        <f t="shared" ca="1" si="42"/>
        <v>-2747274</v>
      </c>
      <c r="R2015" s="7" t="str">
        <f t="shared" si="43"/>
        <v>Love's Abiding Joy</v>
      </c>
      <c r="S2015" s="43" t="str">
        <f t="shared" si="47"/>
        <v>Drama</v>
      </c>
    </row>
    <row r="2016" spans="1:19" ht="15.75" customHeight="1" x14ac:dyDescent="0.25">
      <c r="A2016" s="4" t="s">
        <v>4130</v>
      </c>
      <c r="B2016" s="4">
        <v>166</v>
      </c>
      <c r="C2016" s="4">
        <v>10268846</v>
      </c>
      <c r="D2016" s="4" t="s">
        <v>1180</v>
      </c>
      <c r="E2016" s="4" t="s">
        <v>3222</v>
      </c>
      <c r="F2016" s="4" t="s">
        <v>6705</v>
      </c>
      <c r="G2016" s="4">
        <v>31918</v>
      </c>
      <c r="H2016" s="4" t="s">
        <v>6706</v>
      </c>
      <c r="I2016" s="4">
        <v>142</v>
      </c>
      <c r="J2016" s="4" t="s">
        <v>23</v>
      </c>
      <c r="K2016" s="4" t="s">
        <v>24</v>
      </c>
      <c r="L2016" s="4">
        <v>35000000</v>
      </c>
      <c r="M2016" s="4">
        <v>2009</v>
      </c>
      <c r="N2016" s="4">
        <v>5.5</v>
      </c>
      <c r="O2016" s="4">
        <f ca="1">IFERROR(__xludf.DUMMYFUNCTION("IF(Cost_in_dollars!E2016=""USD"",Cost_in_dollars!B2016,Cost_in_dollars!B2016 * GOOGLEFINANCE(""CURRENCY:"" &amp; Cost_in_dollars!E2016 &amp; ""USD""))
"),35000000)</f>
        <v>35000000</v>
      </c>
      <c r="P2016" s="4">
        <f ca="1">IFERROR(__xludf.DUMMYFUNCTION("IF(Cost_in_dollars!E2016=""USD"",Cost_in_dollars!C2016,Cost_in_dollars!C2016 * GOOGLEFINANCE(""CURRENCY:"" &amp; Cost_in_dollars!E2016 &amp; ""USD""))
"),10268846)</f>
        <v>10268846</v>
      </c>
      <c r="Q2016" s="4">
        <f t="shared" ca="1" si="42"/>
        <v>-24731154</v>
      </c>
      <c r="R2016" s="5" t="str">
        <f t="shared" si="43"/>
        <v>Whiteout</v>
      </c>
      <c r="S2016" s="43" t="str">
        <f t="shared" si="47"/>
        <v>Action</v>
      </c>
    </row>
    <row r="2017" spans="1:19" ht="15.75" customHeight="1" x14ac:dyDescent="0.25">
      <c r="A2017" s="6" t="s">
        <v>6707</v>
      </c>
      <c r="B2017" s="6">
        <v>2</v>
      </c>
      <c r="C2017" s="6">
        <v>10508</v>
      </c>
      <c r="D2017" s="6" t="s">
        <v>102</v>
      </c>
      <c r="E2017" s="6" t="s">
        <v>6708</v>
      </c>
      <c r="F2017" s="6" t="s">
        <v>6709</v>
      </c>
      <c r="G2017" s="6">
        <v>103</v>
      </c>
      <c r="H2017" s="6" t="s">
        <v>6710</v>
      </c>
      <c r="I2017" s="6">
        <v>6</v>
      </c>
      <c r="J2017" s="6" t="s">
        <v>23</v>
      </c>
      <c r="K2017" s="6" t="s">
        <v>24</v>
      </c>
      <c r="L2017" s="6">
        <v>700000</v>
      </c>
      <c r="M2017" s="6">
        <v>1998</v>
      </c>
      <c r="N2017" s="6">
        <v>6.5</v>
      </c>
      <c r="O2017" s="4">
        <f ca="1">IFERROR(__xludf.DUMMYFUNCTION("IF(Cost_in_dollars!E2017=""USD"",Cost_in_dollars!B2017,Cost_in_dollars!B2017 * GOOGLEFINANCE(""CURRENCY:"" &amp; Cost_in_dollars!E2017 &amp; ""USD""))
"),700000)</f>
        <v>700000</v>
      </c>
      <c r="P2017" s="4">
        <f ca="1">IFERROR(__xludf.DUMMYFUNCTION("IF(Cost_in_dollars!E2017=""USD"",Cost_in_dollars!C2017,Cost_in_dollars!C2017 * GOOGLEFINANCE(""CURRENCY:"" &amp; Cost_in_dollars!E2017 &amp; ""USD""))
"),10508)</f>
        <v>10508</v>
      </c>
      <c r="Q2017" s="6">
        <f t="shared" ca="1" si="42"/>
        <v>-689492</v>
      </c>
      <c r="R2017" s="7" t="str">
        <f t="shared" si="43"/>
        <v>Naturally Native</v>
      </c>
      <c r="S2017" s="43" t="str">
        <f t="shared" si="47"/>
        <v>Drama</v>
      </c>
    </row>
    <row r="2018" spans="1:19" ht="15.75" customHeight="1" x14ac:dyDescent="0.25">
      <c r="A2018" s="4" t="s">
        <v>1439</v>
      </c>
      <c r="B2018" s="4">
        <v>66</v>
      </c>
      <c r="C2018" s="4">
        <v>4411102</v>
      </c>
      <c r="D2018" s="4" t="s">
        <v>1719</v>
      </c>
      <c r="E2018" s="4" t="s">
        <v>3590</v>
      </c>
      <c r="F2018" s="4" t="s">
        <v>6711</v>
      </c>
      <c r="G2018" s="4">
        <v>20295</v>
      </c>
      <c r="H2018" s="4" t="s">
        <v>6712</v>
      </c>
      <c r="I2018" s="4">
        <v>164</v>
      </c>
      <c r="J2018" s="4" t="s">
        <v>23</v>
      </c>
      <c r="K2018" s="4" t="s">
        <v>24</v>
      </c>
      <c r="L2018" s="4">
        <v>100000000</v>
      </c>
      <c r="M2018" s="4">
        <v>2002</v>
      </c>
      <c r="N2018" s="4">
        <v>3.8</v>
      </c>
      <c r="O2018" s="4">
        <f ca="1">IFERROR(__xludf.DUMMYFUNCTION("IF(Cost_in_dollars!E2018=""USD"",Cost_in_dollars!B2018,Cost_in_dollars!B2018 * GOOGLEFINANCE(""CURRENCY:"" &amp; Cost_in_dollars!E2018 &amp; ""USD""))
"),100000000)</f>
        <v>100000000</v>
      </c>
      <c r="P2018" s="4">
        <f ca="1">IFERROR(__xludf.DUMMYFUNCTION("IF(Cost_in_dollars!E2018=""USD"",Cost_in_dollars!C2018,Cost_in_dollars!C2018 * GOOGLEFINANCE(""CURRENCY:"" &amp; Cost_in_dollars!E2018 &amp; ""USD""))
"),4411102)</f>
        <v>4411102</v>
      </c>
      <c r="Q2018" s="4">
        <f t="shared" ca="1" si="42"/>
        <v>-95588898</v>
      </c>
      <c r="R2018" s="5" t="str">
        <f t="shared" si="43"/>
        <v>The Adventures of Pluto Nash</v>
      </c>
      <c r="S2018" s="43" t="str">
        <f t="shared" si="47"/>
        <v>Action</v>
      </c>
    </row>
    <row r="2019" spans="1:19" ht="15.75" customHeight="1" x14ac:dyDescent="0.25">
      <c r="A2019" s="6" t="s">
        <v>4412</v>
      </c>
      <c r="B2019" s="6">
        <v>32</v>
      </c>
      <c r="C2019" s="6">
        <v>7000000</v>
      </c>
      <c r="D2019" s="6" t="s">
        <v>928</v>
      </c>
      <c r="E2019" s="6" t="s">
        <v>6713</v>
      </c>
      <c r="F2019" s="6" t="s">
        <v>6714</v>
      </c>
      <c r="G2019" s="6">
        <v>2933</v>
      </c>
      <c r="H2019" s="6" t="s">
        <v>6715</v>
      </c>
      <c r="I2019" s="6">
        <v>70</v>
      </c>
      <c r="J2019" s="6" t="s">
        <v>23</v>
      </c>
      <c r="K2019" s="6" t="s">
        <v>133</v>
      </c>
      <c r="L2019" s="6">
        <v>36000000</v>
      </c>
      <c r="M2019" s="6">
        <v>1980</v>
      </c>
      <c r="N2019" s="6">
        <v>4.7</v>
      </c>
      <c r="O2019" s="4">
        <f ca="1">IFERROR(__xludf.DUMMYFUNCTION("IF(Cost_in_dollars!E2019=""USD"",Cost_in_dollars!B2019,Cost_in_dollars!B2019 * GOOGLEFINANCE(""CURRENCY:"" &amp; Cost_in_dollars!E2019 &amp; ""USD""))
"),46274399.9999999)</f>
        <v>46274399.999999903</v>
      </c>
      <c r="P2019" s="4">
        <f ca="1">IFERROR(__xludf.DUMMYFUNCTION("IF(Cost_in_dollars!E2019=""USD"",Cost_in_dollars!C2019,Cost_in_dollars!C2019 * GOOGLEFINANCE(""CURRENCY:"" &amp; Cost_in_dollars!E2019 &amp; ""USD""))
"),8997800)</f>
        <v>8997800</v>
      </c>
      <c r="Q2019" s="6">
        <f t="shared" ca="1" si="42"/>
        <v>-37276599.999999903</v>
      </c>
      <c r="R2019" s="7" t="str">
        <f t="shared" si="43"/>
        <v>Raise the Titanic</v>
      </c>
      <c r="S2019" s="43" t="str">
        <f t="shared" si="47"/>
        <v>Action</v>
      </c>
    </row>
    <row r="2020" spans="1:19" ht="15.75" customHeight="1" x14ac:dyDescent="0.25">
      <c r="A2020" s="4" t="s">
        <v>5918</v>
      </c>
      <c r="B2020" s="4">
        <v>71</v>
      </c>
      <c r="C2020" s="4">
        <v>4186931</v>
      </c>
      <c r="D2020" s="4" t="s">
        <v>162</v>
      </c>
      <c r="E2020" s="4" t="s">
        <v>6716</v>
      </c>
      <c r="F2020" s="4" t="s">
        <v>6717</v>
      </c>
      <c r="G2020" s="4">
        <v>6041</v>
      </c>
      <c r="H2020" s="4" t="s">
        <v>6718</v>
      </c>
      <c r="I2020" s="4">
        <v>85</v>
      </c>
      <c r="J2020" s="4" t="s">
        <v>23</v>
      </c>
      <c r="K2020" s="4" t="s">
        <v>24</v>
      </c>
      <c r="L2020" s="4">
        <v>250000</v>
      </c>
      <c r="M2020" s="4">
        <v>2001</v>
      </c>
      <c r="N2020" s="4">
        <v>6.9</v>
      </c>
      <c r="O2020" s="4">
        <f ca="1">IFERROR(__xludf.DUMMYFUNCTION("IF(Cost_in_dollars!E2020=""USD"",Cost_in_dollars!B2020,Cost_in_dollars!B2020 * GOOGLEFINANCE(""CURRENCY:"" &amp; Cost_in_dollars!E2020 &amp; ""USD""))
"),250000)</f>
        <v>250000</v>
      </c>
      <c r="P2020" s="4">
        <f ca="1">IFERROR(__xludf.DUMMYFUNCTION("IF(Cost_in_dollars!E2020=""USD"",Cost_in_dollars!C2020,Cost_in_dollars!C2020 * GOOGLEFINANCE(""CURRENCY:"" &amp; Cost_in_dollars!E2020 &amp; ""USD""))
"),4186931)</f>
        <v>4186931</v>
      </c>
      <c r="Q2020" s="4">
        <f t="shared" ca="1" si="42"/>
        <v>3936931</v>
      </c>
      <c r="R2020" s="5" t="str">
        <f t="shared" si="43"/>
        <v>Lovely &amp; Amazing</v>
      </c>
      <c r="S2020" s="43" t="str">
        <f t="shared" si="47"/>
        <v>Comedy</v>
      </c>
    </row>
    <row r="2021" spans="1:19" ht="15.75" customHeight="1" x14ac:dyDescent="0.25">
      <c r="A2021" s="6" t="s">
        <v>4853</v>
      </c>
      <c r="B2021" s="6">
        <v>191</v>
      </c>
      <c r="C2021" s="6">
        <v>54132596</v>
      </c>
      <c r="D2021" s="6" t="s">
        <v>582</v>
      </c>
      <c r="E2021" s="6" t="s">
        <v>986</v>
      </c>
      <c r="F2021" s="6" t="s">
        <v>6719</v>
      </c>
      <c r="G2021" s="6">
        <v>53786</v>
      </c>
      <c r="H2021" s="6" t="s">
        <v>6720</v>
      </c>
      <c r="I2021" s="6">
        <v>211</v>
      </c>
      <c r="J2021" s="6" t="s">
        <v>23</v>
      </c>
      <c r="K2021" s="6" t="s">
        <v>160</v>
      </c>
      <c r="L2021" s="6">
        <v>34000000</v>
      </c>
      <c r="M2021" s="6">
        <v>2007</v>
      </c>
      <c r="N2021" s="6">
        <v>6.3</v>
      </c>
      <c r="O2021" s="4">
        <f ca="1">IFERROR(__xludf.DUMMYFUNCTION("IF(Cost_in_dollars!E2021=""USD"",Cost_in_dollars!B2021,Cost_in_dollars!B2021 * GOOGLEFINANCE(""CURRENCY:"" &amp; Cost_in_dollars!E2021 &amp; ""USD""))
"),4355206.2)</f>
        <v>4355206.2</v>
      </c>
      <c r="P2021" s="4">
        <f ca="1">IFERROR(__xludf.DUMMYFUNCTION("IF(Cost_in_dollars!E2021=""USD"",Cost_in_dollars!C2021,Cost_in_dollars!C2021 * GOOGLEFINANCE(""CURRENCY:"" &amp; Cost_in_dollars!E2021 &amp; ""USD""))
"),6934076.99180279)</f>
        <v>6934076.9918027902</v>
      </c>
      <c r="Q2021" s="6">
        <f t="shared" ca="1" si="42"/>
        <v>2578870.79180279</v>
      </c>
      <c r="R2021" s="7" t="str">
        <f t="shared" si="43"/>
        <v>TMNT</v>
      </c>
      <c r="S2021" s="43" t="str">
        <f t="shared" si="47"/>
        <v>Action</v>
      </c>
    </row>
    <row r="2022" spans="1:19" ht="15.75" customHeight="1" x14ac:dyDescent="0.25">
      <c r="A2022" s="4" t="s">
        <v>52</v>
      </c>
      <c r="B2022" s="4">
        <v>354</v>
      </c>
      <c r="C2022" s="4">
        <v>70098138</v>
      </c>
      <c r="D2022" s="4" t="s">
        <v>183</v>
      </c>
      <c r="E2022" s="4" t="s">
        <v>4359</v>
      </c>
      <c r="F2022" s="4" t="s">
        <v>6721</v>
      </c>
      <c r="G2022" s="4">
        <v>735784</v>
      </c>
      <c r="H2022" s="4" t="s">
        <v>6722</v>
      </c>
      <c r="I2022" s="4">
        <v>2105</v>
      </c>
      <c r="J2022" s="4" t="s">
        <v>23</v>
      </c>
      <c r="K2022" s="4" t="s">
        <v>24</v>
      </c>
      <c r="L2022" s="4">
        <v>30000000</v>
      </c>
      <c r="M2022" s="4">
        <v>2003</v>
      </c>
      <c r="N2022" s="4">
        <v>8.1</v>
      </c>
      <c r="O2022" s="4">
        <f ca="1">IFERROR(__xludf.DUMMYFUNCTION("IF(Cost_in_dollars!E2022=""USD"",Cost_in_dollars!B2022,Cost_in_dollars!B2022 * GOOGLEFINANCE(""CURRENCY:"" &amp; Cost_in_dollars!E2022 &amp; ""USD""))
"),30000000)</f>
        <v>30000000</v>
      </c>
      <c r="P2022" s="4">
        <f ca="1">IFERROR(__xludf.DUMMYFUNCTION("IF(Cost_in_dollars!E2022=""USD"",Cost_in_dollars!C2022,Cost_in_dollars!C2022 * GOOGLEFINANCE(""CURRENCY:"" &amp; Cost_in_dollars!E2022 &amp; ""USD""))
"),70098138)</f>
        <v>70098138</v>
      </c>
      <c r="Q2022" s="4">
        <f t="shared" ca="1" si="42"/>
        <v>40098138</v>
      </c>
      <c r="R2022" s="5" t="str">
        <f t="shared" si="43"/>
        <v>Kill Bill: Vol. 1</v>
      </c>
      <c r="S2022" s="43" t="str">
        <f t="shared" si="47"/>
        <v>Action</v>
      </c>
    </row>
    <row r="2023" spans="1:19" ht="15.75" customHeight="1" x14ac:dyDescent="0.25">
      <c r="A2023" s="6" t="s">
        <v>6723</v>
      </c>
      <c r="B2023" s="6">
        <v>213</v>
      </c>
      <c r="C2023" s="6">
        <v>22202612</v>
      </c>
      <c r="D2023" s="6" t="s">
        <v>2913</v>
      </c>
      <c r="E2023" s="6" t="s">
        <v>6724</v>
      </c>
      <c r="F2023" s="6" t="s">
        <v>6725</v>
      </c>
      <c r="G2023" s="6">
        <v>291875</v>
      </c>
      <c r="H2023" s="6" t="s">
        <v>6726</v>
      </c>
      <c r="I2023" s="6">
        <v>533</v>
      </c>
      <c r="J2023" s="6" t="s">
        <v>23</v>
      </c>
      <c r="K2023" s="6" t="s">
        <v>24</v>
      </c>
      <c r="L2023" s="6">
        <v>2800000</v>
      </c>
      <c r="M2023" s="6">
        <v>1939</v>
      </c>
      <c r="N2023" s="6">
        <v>8.1</v>
      </c>
      <c r="O2023" s="4">
        <f ca="1">IFERROR(__xludf.DUMMYFUNCTION("IF(Cost_in_dollars!E2023=""USD"",Cost_in_dollars!B2023,Cost_in_dollars!B2023 * GOOGLEFINANCE(""CURRENCY:"" &amp; Cost_in_dollars!E2023 &amp; ""USD""))
"),2800000)</f>
        <v>2800000</v>
      </c>
      <c r="P2023" s="4">
        <f ca="1">IFERROR(__xludf.DUMMYFUNCTION("IF(Cost_in_dollars!E2023=""USD"",Cost_in_dollars!C2023,Cost_in_dollars!C2023 * GOOGLEFINANCE(""CURRENCY:"" &amp; Cost_in_dollars!E2023 &amp; ""USD""))
"),22202612)</f>
        <v>22202612</v>
      </c>
      <c r="Q2023" s="6">
        <f t="shared" ca="1" si="42"/>
        <v>19402612</v>
      </c>
      <c r="R2023" s="7" t="str">
        <f t="shared" si="43"/>
        <v>The Wizard of Oz</v>
      </c>
      <c r="S2023" s="43" t="str">
        <f t="shared" si="47"/>
        <v>Adventure</v>
      </c>
    </row>
    <row r="2024" spans="1:19" ht="15.75" customHeight="1" x14ac:dyDescent="0.25">
      <c r="A2024" s="4" t="s">
        <v>6727</v>
      </c>
      <c r="B2024" s="4">
        <v>43</v>
      </c>
      <c r="C2024" s="4">
        <v>100240</v>
      </c>
      <c r="D2024" s="4" t="s">
        <v>254</v>
      </c>
      <c r="E2024" s="4" t="s">
        <v>6728</v>
      </c>
      <c r="F2024" s="4" t="s">
        <v>6729</v>
      </c>
      <c r="G2024" s="4">
        <v>1220</v>
      </c>
      <c r="H2024" s="4" t="s">
        <v>6730</v>
      </c>
      <c r="I2024" s="4">
        <v>11</v>
      </c>
      <c r="J2024" s="4" t="s">
        <v>23</v>
      </c>
      <c r="K2024" s="4" t="s">
        <v>4041</v>
      </c>
      <c r="L2024" s="4">
        <v>1000000</v>
      </c>
      <c r="M2024" s="4">
        <v>2014</v>
      </c>
      <c r="N2024" s="4">
        <v>6.8</v>
      </c>
      <c r="O2024" s="4">
        <f ca="1">IFERROR(__xludf.DUMMYFUNCTION("IF(Cost_in_dollars!E2024=""USD"",Cost_in_dollars!B2024,Cost_in_dollars!B2024 * GOOGLEFINANCE(""CURRENCY:"" &amp; Cost_in_dollars!E2024 &amp; ""USD""))
"),145342.5)</f>
        <v>145342.5</v>
      </c>
      <c r="P2024" s="4">
        <f ca="1">IFERROR(__xludf.DUMMYFUNCTION("IF(Cost_in_dollars!E2024=""USD"",Cost_in_dollars!C2024,Cost_in_dollars!C2024 * GOOGLEFINANCE(""CURRENCY:"" &amp; Cost_in_dollars!E2024 &amp; ""USD""))
"),14569.1321999999)</f>
        <v>14569.1321999999</v>
      </c>
      <c r="Q2024" s="4">
        <f t="shared" ca="1" si="42"/>
        <v>-130773.36780000009</v>
      </c>
      <c r="R2024" s="5" t="str">
        <f t="shared" si="43"/>
        <v>A Lego Brickumentary</v>
      </c>
      <c r="S2024" s="43" t="str">
        <f t="shared" si="47"/>
        <v>Documentary</v>
      </c>
    </row>
    <row r="2025" spans="1:19" ht="15.75" customHeight="1" x14ac:dyDescent="0.25">
      <c r="A2025" s="6" t="s">
        <v>766</v>
      </c>
      <c r="B2025" s="6">
        <v>123</v>
      </c>
      <c r="C2025" s="6">
        <v>11533945</v>
      </c>
      <c r="D2025" s="6" t="s">
        <v>3821</v>
      </c>
      <c r="E2025" s="6" t="s">
        <v>6731</v>
      </c>
      <c r="F2025" s="6" t="s">
        <v>6732</v>
      </c>
      <c r="G2025" s="6">
        <v>77551</v>
      </c>
      <c r="H2025" s="6" t="s">
        <v>6733</v>
      </c>
      <c r="I2025" s="6">
        <v>434</v>
      </c>
      <c r="J2025" s="6" t="s">
        <v>23</v>
      </c>
      <c r="K2025" s="6" t="s">
        <v>24</v>
      </c>
      <c r="L2025" s="6">
        <v>2000000</v>
      </c>
      <c r="M2025" s="6">
        <v>1999</v>
      </c>
      <c r="N2025" s="6">
        <v>7.6</v>
      </c>
      <c r="O2025" s="4">
        <f ca="1">IFERROR(__xludf.DUMMYFUNCTION("IF(Cost_in_dollars!E2025=""USD"",Cost_in_dollars!B2025,Cost_in_dollars!B2025 * GOOGLEFINANCE(""CURRENCY:"" &amp; Cost_in_dollars!E2025 &amp; ""USD""))
"),2000000)</f>
        <v>2000000</v>
      </c>
      <c r="P2025" s="4">
        <f ca="1">IFERROR(__xludf.DUMMYFUNCTION("IF(Cost_in_dollars!E2025=""USD"",Cost_in_dollars!C2025,Cost_in_dollars!C2025 * GOOGLEFINANCE(""CURRENCY:"" &amp; Cost_in_dollars!E2025 &amp; ""USD""))
"),11533945)</f>
        <v>11533945</v>
      </c>
      <c r="Q2025" s="6">
        <f t="shared" ca="1" si="42"/>
        <v>9533945</v>
      </c>
      <c r="R2025" s="7" t="str">
        <f t="shared" si="43"/>
        <v>Boys Don't Cry</v>
      </c>
      <c r="S2025" s="43" t="str">
        <f t="shared" si="47"/>
        <v>Biography</v>
      </c>
    </row>
    <row r="2026" spans="1:19" ht="15.75" customHeight="1" x14ac:dyDescent="0.25">
      <c r="A2026" s="4" t="s">
        <v>4490</v>
      </c>
      <c r="B2026" s="4">
        <v>365</v>
      </c>
      <c r="C2026" s="4">
        <v>25003072</v>
      </c>
      <c r="D2026" s="4" t="s">
        <v>367</v>
      </c>
      <c r="E2026" s="4" t="s">
        <v>2682</v>
      </c>
      <c r="F2026" s="4" t="s">
        <v>6734</v>
      </c>
      <c r="G2026" s="4">
        <v>72552</v>
      </c>
      <c r="H2026" s="4" t="s">
        <v>6735</v>
      </c>
      <c r="I2026" s="4">
        <v>374</v>
      </c>
      <c r="J2026" s="4" t="s">
        <v>23</v>
      </c>
      <c r="K2026" s="4" t="s">
        <v>24</v>
      </c>
      <c r="L2026" s="4">
        <v>24000000</v>
      </c>
      <c r="M2026" s="4">
        <v>2010</v>
      </c>
      <c r="N2026" s="4">
        <v>5.5</v>
      </c>
      <c r="O2026" s="4">
        <f ca="1">IFERROR(__xludf.DUMMYFUNCTION("IF(Cost_in_dollars!E2026=""USD"",Cost_in_dollars!B2026,Cost_in_dollars!B2026 * GOOGLEFINANCE(""CURRENCY:"" &amp; Cost_in_dollars!E2026 &amp; ""USD""))
"),24000000)</f>
        <v>24000000</v>
      </c>
      <c r="P2026" s="4">
        <f ca="1">IFERROR(__xludf.DUMMYFUNCTION("IF(Cost_in_dollars!E2026=""USD"",Cost_in_dollars!C2026,Cost_in_dollars!C2026 * GOOGLEFINANCE(""CURRENCY:"" &amp; Cost_in_dollars!E2026 &amp; ""USD""))
"),25003072)</f>
        <v>25003072</v>
      </c>
      <c r="Q2026" s="4">
        <f t="shared" ca="1" si="42"/>
        <v>1003072</v>
      </c>
      <c r="R2026" s="5" t="str">
        <f t="shared" si="43"/>
        <v>Piranha 3D</v>
      </c>
      <c r="S2026" s="43" t="str">
        <f t="shared" si="47"/>
        <v>Comedy</v>
      </c>
    </row>
    <row r="2027" spans="1:19" ht="15.75" customHeight="1" x14ac:dyDescent="0.25">
      <c r="A2027" s="6" t="s">
        <v>6736</v>
      </c>
      <c r="B2027" s="6">
        <v>12</v>
      </c>
      <c r="C2027" s="6">
        <v>199228</v>
      </c>
      <c r="D2027" s="6" t="s">
        <v>457</v>
      </c>
      <c r="E2027" s="6" t="s">
        <v>6737</v>
      </c>
      <c r="F2027" s="6" t="s">
        <v>6738</v>
      </c>
      <c r="G2027" s="6">
        <v>7295</v>
      </c>
      <c r="H2027" s="6" t="s">
        <v>6739</v>
      </c>
      <c r="I2027" s="6">
        <v>49</v>
      </c>
      <c r="J2027" s="6" t="s">
        <v>673</v>
      </c>
      <c r="K2027" s="6" t="s">
        <v>674</v>
      </c>
      <c r="L2027" s="6">
        <v>150000000</v>
      </c>
      <c r="M2027" s="6">
        <v>2009</v>
      </c>
      <c r="N2027" s="6">
        <v>7.2</v>
      </c>
      <c r="O2027" s="4">
        <f ca="1">IFERROR(__xludf.DUMMYFUNCTION("IF(Cost_in_dollars!E2027=""USD"",Cost_in_dollars!B2027,Cost_in_dollars!B2027 * GOOGLEFINANCE(""CURRENCY:"" &amp; Cost_in_dollars!E2027 &amp; ""USD""))
"),1791219)</f>
        <v>1791219</v>
      </c>
      <c r="P2027" s="4">
        <f ca="1">IFERROR(__xludf.DUMMYFUNCTION("IF(Cost_in_dollars!E2027=""USD"",Cost_in_dollars!C2027,Cost_in_dollars!C2027 * GOOGLEFINANCE(""CURRENCY:"" &amp; Cost_in_dollars!E2027 &amp; ""USD""))
"),2379.07319288)</f>
        <v>2379.0731928800001</v>
      </c>
      <c r="Q2027" s="6">
        <f t="shared" ca="1" si="42"/>
        <v>-1788839.92680712</v>
      </c>
      <c r="R2027" s="7" t="str">
        <f t="shared" si="43"/>
        <v>Paa</v>
      </c>
      <c r="S2027" s="43" t="str">
        <f t="shared" si="47"/>
        <v>Comedy</v>
      </c>
    </row>
    <row r="2028" spans="1:19" ht="15.75" customHeight="1" x14ac:dyDescent="0.25">
      <c r="A2028" s="4" t="s">
        <v>2261</v>
      </c>
      <c r="B2028" s="4">
        <v>92</v>
      </c>
      <c r="C2028" s="4">
        <v>65703412</v>
      </c>
      <c r="D2028" s="4" t="s">
        <v>162</v>
      </c>
      <c r="E2028" s="4" t="s">
        <v>1617</v>
      </c>
      <c r="F2028" s="4" t="s">
        <v>6740</v>
      </c>
      <c r="G2028" s="4">
        <v>57958</v>
      </c>
      <c r="H2028" s="4" t="s">
        <v>6741</v>
      </c>
      <c r="I2028" s="4">
        <v>345</v>
      </c>
      <c r="J2028" s="4" t="s">
        <v>23</v>
      </c>
      <c r="K2028" s="4" t="s">
        <v>24</v>
      </c>
      <c r="L2028" s="4">
        <v>26000000</v>
      </c>
      <c r="M2028" s="4">
        <v>1998</v>
      </c>
      <c r="N2028" s="4">
        <v>7</v>
      </c>
      <c r="O2028" s="4">
        <f ca="1">IFERROR(__xludf.DUMMYFUNCTION("IF(Cost_in_dollars!E2028=""USD"",Cost_in_dollars!B2028,Cost_in_dollars!B2028 * GOOGLEFINANCE(""CURRENCY:"" &amp; Cost_in_dollars!E2028 &amp; ""USD""))
"),26000000)</f>
        <v>26000000</v>
      </c>
      <c r="P2028" s="4">
        <f ca="1">IFERROR(__xludf.DUMMYFUNCTION("IF(Cost_in_dollars!E2028=""USD"",Cost_in_dollars!C2028,Cost_in_dollars!C2028 * GOOGLEFINANCE(""CURRENCY:"" &amp; Cost_in_dollars!E2028 &amp; ""USD""))
"),65703412)</f>
        <v>65703412</v>
      </c>
      <c r="Q2028" s="4">
        <f t="shared" ca="1" si="42"/>
        <v>39703412</v>
      </c>
      <c r="R2028" s="5" t="str">
        <f t="shared" si="43"/>
        <v>Ever After: A Cinderella Story</v>
      </c>
      <c r="S2028" s="43" t="str">
        <f t="shared" si="47"/>
        <v>Comedy</v>
      </c>
    </row>
    <row r="2029" spans="1:19" ht="15.75" customHeight="1" x14ac:dyDescent="0.25">
      <c r="A2029" s="6" t="s">
        <v>763</v>
      </c>
      <c r="B2029" s="6">
        <v>120</v>
      </c>
      <c r="C2029" s="6">
        <v>79100000</v>
      </c>
      <c r="D2029" s="6" t="s">
        <v>319</v>
      </c>
      <c r="E2029" s="6" t="s">
        <v>886</v>
      </c>
      <c r="F2029" s="6" t="s">
        <v>6742</v>
      </c>
      <c r="G2029" s="6">
        <v>127503</v>
      </c>
      <c r="H2029" s="6" t="s">
        <v>6743</v>
      </c>
      <c r="I2029" s="6">
        <v>261</v>
      </c>
      <c r="J2029" s="6" t="s">
        <v>23</v>
      </c>
      <c r="K2029" s="6" t="s">
        <v>24</v>
      </c>
      <c r="L2029" s="6">
        <v>35000000</v>
      </c>
      <c r="M2029" s="6">
        <v>1991</v>
      </c>
      <c r="N2029" s="6">
        <v>7.3</v>
      </c>
      <c r="O2029" s="4">
        <f ca="1">IFERROR(__xludf.DUMMYFUNCTION("IF(Cost_in_dollars!E2029=""USD"",Cost_in_dollars!B2029,Cost_in_dollars!B2029 * GOOGLEFINANCE(""CURRENCY:"" &amp; Cost_in_dollars!E2029 &amp; ""USD""))
"),35000000)</f>
        <v>35000000</v>
      </c>
      <c r="P2029" s="4">
        <f ca="1">IFERROR(__xludf.DUMMYFUNCTION("IF(Cost_in_dollars!E2029=""USD"",Cost_in_dollars!C2029,Cost_in_dollars!C2029 * GOOGLEFINANCE(""CURRENCY:"" &amp; Cost_in_dollars!E2029 &amp; ""USD""))
"),79100000)</f>
        <v>79100000</v>
      </c>
      <c r="Q2029" s="6">
        <f t="shared" ca="1" si="42"/>
        <v>44100000</v>
      </c>
      <c r="R2029" s="7" t="str">
        <f t="shared" si="43"/>
        <v>Cape Fear</v>
      </c>
      <c r="S2029" s="43" t="str">
        <f t="shared" si="47"/>
        <v>Crime</v>
      </c>
    </row>
    <row r="2030" spans="1:19" ht="15.75" customHeight="1" x14ac:dyDescent="0.25">
      <c r="A2030" s="4" t="s">
        <v>4505</v>
      </c>
      <c r="B2030" s="4">
        <v>152</v>
      </c>
      <c r="C2030" s="4">
        <v>58715510</v>
      </c>
      <c r="D2030" s="4" t="s">
        <v>88</v>
      </c>
      <c r="E2030" s="4" t="s">
        <v>422</v>
      </c>
      <c r="F2030" s="4" t="s">
        <v>6744</v>
      </c>
      <c r="G2030" s="4">
        <v>79094</v>
      </c>
      <c r="H2030" s="4" t="s">
        <v>6745</v>
      </c>
      <c r="I2030" s="4">
        <v>129</v>
      </c>
      <c r="J2030" s="4" t="s">
        <v>23</v>
      </c>
      <c r="K2030" s="4" t="s">
        <v>24</v>
      </c>
      <c r="L2030" s="4">
        <v>30000000</v>
      </c>
      <c r="M2030" s="4">
        <v>2009</v>
      </c>
      <c r="N2030" s="4">
        <v>5.4</v>
      </c>
      <c r="O2030" s="4">
        <f ca="1">IFERROR(__xludf.DUMMYFUNCTION("IF(Cost_in_dollars!E2030=""USD"",Cost_in_dollars!B2030,Cost_in_dollars!B2030 * GOOGLEFINANCE(""CURRENCY:"" &amp; Cost_in_dollars!E2030 &amp; ""USD""))
"),30000000)</f>
        <v>30000000</v>
      </c>
      <c r="P2030" s="4">
        <f ca="1">IFERROR(__xludf.DUMMYFUNCTION("IF(Cost_in_dollars!E2030=""USD"",Cost_in_dollars!C2030,Cost_in_dollars!C2030 * GOOGLEFINANCE(""CURRENCY:"" &amp; Cost_in_dollars!E2030 &amp; ""USD""))
"),58715510)</f>
        <v>58715510</v>
      </c>
      <c r="Q2030" s="4">
        <f t="shared" ca="1" si="42"/>
        <v>28715510</v>
      </c>
      <c r="R2030" s="5" t="str">
        <f t="shared" si="43"/>
        <v>Bride Wars</v>
      </c>
      <c r="S2030" s="43" t="str">
        <f t="shared" si="47"/>
        <v>Comedy</v>
      </c>
    </row>
    <row r="2031" spans="1:19" ht="15.75" customHeight="1" x14ac:dyDescent="0.25">
      <c r="A2031" s="6" t="s">
        <v>6746</v>
      </c>
      <c r="B2031" s="6">
        <v>336</v>
      </c>
      <c r="C2031" s="6">
        <v>27689474</v>
      </c>
      <c r="D2031" s="6" t="s">
        <v>568</v>
      </c>
      <c r="E2031" s="6" t="s">
        <v>6747</v>
      </c>
      <c r="F2031" s="6" t="s">
        <v>6748</v>
      </c>
      <c r="G2031" s="6">
        <v>85688</v>
      </c>
      <c r="H2031" s="6" t="s">
        <v>6749</v>
      </c>
      <c r="I2031" s="6">
        <v>339</v>
      </c>
      <c r="J2031" s="6" t="s">
        <v>23</v>
      </c>
      <c r="K2031" s="6" t="s">
        <v>24</v>
      </c>
      <c r="L2031" s="6">
        <v>5000000</v>
      </c>
      <c r="M2031" s="6">
        <v>2013</v>
      </c>
      <c r="N2031" s="6">
        <v>6.5</v>
      </c>
      <c r="O2031" s="4">
        <f ca="1">IFERROR(__xludf.DUMMYFUNCTION("IF(Cost_in_dollars!E2031=""USD"",Cost_in_dollars!B2031,Cost_in_dollars!B2031 * GOOGLEFINANCE(""CURRENCY:"" &amp; Cost_in_dollars!E2031 &amp; ""USD""))
"),5000000)</f>
        <v>5000000</v>
      </c>
      <c r="P2031" s="4">
        <f ca="1">IFERROR(__xludf.DUMMYFUNCTION("IF(Cost_in_dollars!E2031=""USD"",Cost_in_dollars!C2031,Cost_in_dollars!C2031 * GOOGLEFINANCE(""CURRENCY:"" &amp; Cost_in_dollars!E2031 &amp; ""USD""))
"),27689474)</f>
        <v>27689474</v>
      </c>
      <c r="Q2031" s="6">
        <f t="shared" ca="1" si="42"/>
        <v>22689474</v>
      </c>
      <c r="R2031" s="7" t="str">
        <f t="shared" si="43"/>
        <v>Oculus</v>
      </c>
      <c r="S2031" s="43" t="str">
        <f t="shared" si="47"/>
        <v>Horror</v>
      </c>
    </row>
    <row r="2032" spans="1:19" ht="15.75" customHeight="1" x14ac:dyDescent="0.25">
      <c r="A2032" s="4" t="s">
        <v>5343</v>
      </c>
      <c r="B2032" s="4">
        <v>253</v>
      </c>
      <c r="C2032" s="4">
        <v>1330827</v>
      </c>
      <c r="D2032" s="4" t="s">
        <v>309</v>
      </c>
      <c r="E2032" s="4" t="s">
        <v>1173</v>
      </c>
      <c r="F2032" s="4" t="s">
        <v>6750</v>
      </c>
      <c r="G2032" s="4">
        <v>9866</v>
      </c>
      <c r="H2032" s="4" t="s">
        <v>6751</v>
      </c>
      <c r="I2032" s="4">
        <v>73</v>
      </c>
      <c r="J2032" s="4" t="s">
        <v>23</v>
      </c>
      <c r="K2032" s="4" t="s">
        <v>611</v>
      </c>
      <c r="L2032" s="4">
        <v>7000000</v>
      </c>
      <c r="M2032" s="4">
        <v>2016</v>
      </c>
      <c r="N2032" s="4">
        <v>7</v>
      </c>
      <c r="O2032" s="4">
        <f ca="1">IFERROR(__xludf.DUMMYFUNCTION("IF(Cost_in_dollars!E2032=""USD"",Cost_in_dollars!B2032,Cost_in_dollars!B2032 * GOOGLEFINANCE(""CURRENCY:"" &amp; Cost_in_dollars!E2032 &amp; ""USD""))
"),7593180)</f>
        <v>7593180</v>
      </c>
      <c r="P2032" s="4">
        <f ca="1">IFERROR(__xludf.DUMMYFUNCTION("IF(Cost_in_dollars!E2032=""USD"",Cost_in_dollars!C2032,Cost_in_dollars!C2032 * GOOGLEFINANCE(""CURRENCY:"" &amp; Cost_in_dollars!E2032 &amp; ""USD""))
"),1443601.27998)</f>
        <v>1443601.2799800001</v>
      </c>
      <c r="Q2032" s="4">
        <f t="shared" ca="1" si="42"/>
        <v>-6149578.7200199999</v>
      </c>
      <c r="R2032" s="5" t="str">
        <f t="shared" si="43"/>
        <v>The Neon Demon</v>
      </c>
      <c r="S2032" s="43" t="str">
        <f t="shared" si="47"/>
        <v>Horror</v>
      </c>
    </row>
    <row r="2033" spans="1:19" ht="15.75" customHeight="1" x14ac:dyDescent="0.25">
      <c r="A2033" s="6" t="s">
        <v>586</v>
      </c>
      <c r="B2033" s="6">
        <v>63</v>
      </c>
      <c r="C2033" s="6">
        <v>6401336</v>
      </c>
      <c r="D2033" s="6" t="s">
        <v>102</v>
      </c>
      <c r="E2033" s="6" t="s">
        <v>1173</v>
      </c>
      <c r="F2033" s="6" t="s">
        <v>6752</v>
      </c>
      <c r="G2033" s="6">
        <v>36996</v>
      </c>
      <c r="H2033" s="6" t="s">
        <v>6753</v>
      </c>
      <c r="I2033" s="6">
        <v>153</v>
      </c>
      <c r="J2033" s="6" t="s">
        <v>23</v>
      </c>
      <c r="K2033" s="6" t="s">
        <v>24</v>
      </c>
      <c r="L2033" s="6">
        <v>2500000</v>
      </c>
      <c r="M2033" s="6">
        <v>1991</v>
      </c>
      <c r="N2033" s="6">
        <v>7.1</v>
      </c>
      <c r="O2033" s="4">
        <f ca="1">IFERROR(__xludf.DUMMYFUNCTION("IF(Cost_in_dollars!E2033=""USD"",Cost_in_dollars!B2033,Cost_in_dollars!B2033 * GOOGLEFINANCE(""CURRENCY:"" &amp; Cost_in_dollars!E2033 &amp; ""USD""))
"),2500000)</f>
        <v>2500000</v>
      </c>
      <c r="P2033" s="4">
        <f ca="1">IFERROR(__xludf.DUMMYFUNCTION("IF(Cost_in_dollars!E2033=""USD"",Cost_in_dollars!C2033,Cost_in_dollars!C2033 * GOOGLEFINANCE(""CURRENCY:"" &amp; Cost_in_dollars!E2033 &amp; ""USD""))
"),6401336)</f>
        <v>6401336</v>
      </c>
      <c r="Q2033" s="6">
        <f t="shared" ca="1" si="42"/>
        <v>3901336</v>
      </c>
      <c r="R2033" s="7" t="str">
        <f t="shared" si="43"/>
        <v>My Own Private Idaho</v>
      </c>
      <c r="S2033" s="43" t="str">
        <f t="shared" si="47"/>
        <v>Drama</v>
      </c>
    </row>
    <row r="2034" spans="1:19" ht="15.75" customHeight="1" x14ac:dyDescent="0.25">
      <c r="A2034" s="4" t="s">
        <v>4530</v>
      </c>
      <c r="B2034" s="4">
        <v>36</v>
      </c>
      <c r="C2034" s="4">
        <v>39514713</v>
      </c>
      <c r="D2034" s="4" t="s">
        <v>517</v>
      </c>
      <c r="E2034" s="4" t="s">
        <v>6754</v>
      </c>
      <c r="F2034" s="4" t="s">
        <v>6755</v>
      </c>
      <c r="G2034" s="4">
        <v>60494</v>
      </c>
      <c r="H2034" s="4" t="s">
        <v>6756</v>
      </c>
      <c r="I2034" s="4">
        <v>132</v>
      </c>
      <c r="J2034" s="4" t="s">
        <v>23</v>
      </c>
      <c r="K2034" s="4" t="s">
        <v>24</v>
      </c>
      <c r="L2034" s="4">
        <v>28000000</v>
      </c>
      <c r="M2034" s="4">
        <v>1993</v>
      </c>
      <c r="N2034" s="4">
        <v>6.7</v>
      </c>
      <c r="O2034" s="4">
        <f ca="1">IFERROR(__xludf.DUMMYFUNCTION("IF(Cost_in_dollars!E2034=""USD"",Cost_in_dollars!B2034,Cost_in_dollars!B2034 * GOOGLEFINANCE(""CURRENCY:"" &amp; Cost_in_dollars!E2034 &amp; ""USD""))
"),28000000)</f>
        <v>28000000</v>
      </c>
      <c r="P2034" s="4">
        <f ca="1">IFERROR(__xludf.DUMMYFUNCTION("IF(Cost_in_dollars!E2034=""USD"",Cost_in_dollars!C2034,Cost_in_dollars!C2034 * GOOGLEFINANCE(""CURRENCY:"" &amp; Cost_in_dollars!E2034 &amp; ""USD""))
"),39514713)</f>
        <v>39514713</v>
      </c>
      <c r="Q2034" s="4">
        <f t="shared" ca="1" si="42"/>
        <v>11514713</v>
      </c>
      <c r="R2034" s="5" t="str">
        <f t="shared" si="43"/>
        <v>Hocus Pocus</v>
      </c>
      <c r="S2034" s="43" t="str">
        <f t="shared" si="47"/>
        <v>Comedy</v>
      </c>
    </row>
    <row r="2035" spans="1:19" ht="15.75" customHeight="1" x14ac:dyDescent="0.25">
      <c r="A2035" s="6" t="s">
        <v>3696</v>
      </c>
      <c r="B2035" s="6">
        <v>59</v>
      </c>
      <c r="C2035" s="6">
        <v>11675178</v>
      </c>
      <c r="D2035" s="6" t="s">
        <v>140</v>
      </c>
      <c r="E2035" s="6" t="s">
        <v>6757</v>
      </c>
      <c r="F2035" s="6" t="s">
        <v>6758</v>
      </c>
      <c r="G2035" s="6">
        <v>9509</v>
      </c>
      <c r="H2035" s="6" t="s">
        <v>6759</v>
      </c>
      <c r="I2035" s="6">
        <v>53</v>
      </c>
      <c r="J2035" s="6" t="s">
        <v>23</v>
      </c>
      <c r="K2035" s="6" t="s">
        <v>24</v>
      </c>
      <c r="L2035" s="6">
        <v>5000000</v>
      </c>
      <c r="M2035" s="6">
        <v>2016</v>
      </c>
      <c r="N2035" s="6">
        <v>3.5</v>
      </c>
      <c r="O2035" s="4">
        <f ca="1">IFERROR(__xludf.DUMMYFUNCTION("IF(Cost_in_dollars!E2035=""USD"",Cost_in_dollars!B2035,Cost_in_dollars!B2035 * GOOGLEFINANCE(""CURRENCY:"" &amp; Cost_in_dollars!E2035 &amp; ""USD""))
"),5000000)</f>
        <v>5000000</v>
      </c>
      <c r="P2035" s="4">
        <f ca="1">IFERROR(__xludf.DUMMYFUNCTION("IF(Cost_in_dollars!E2035=""USD"",Cost_in_dollars!C2035,Cost_in_dollars!C2035 * GOOGLEFINANCE(""CURRENCY:"" &amp; Cost_in_dollars!E2035 &amp; ""USD""))
"),11675178)</f>
        <v>11675178</v>
      </c>
      <c r="Q2035" s="6">
        <f t="shared" ca="1" si="42"/>
        <v>6675178</v>
      </c>
      <c r="R2035" s="7" t="str">
        <f t="shared" si="43"/>
        <v>Fifty Shades of Black</v>
      </c>
      <c r="S2035" s="43" t="str">
        <f t="shared" si="47"/>
        <v>Comedy</v>
      </c>
    </row>
    <row r="2036" spans="1:19" ht="15.75" customHeight="1" x14ac:dyDescent="0.25">
      <c r="A2036" s="4" t="s">
        <v>472</v>
      </c>
      <c r="B2036" s="4">
        <v>536</v>
      </c>
      <c r="C2036" s="4">
        <v>59073773</v>
      </c>
      <c r="D2036" s="4" t="s">
        <v>6760</v>
      </c>
      <c r="E2036" s="4" t="s">
        <v>473</v>
      </c>
      <c r="F2036" s="4" t="s">
        <v>6761</v>
      </c>
      <c r="G2036" s="4">
        <v>475518</v>
      </c>
      <c r="H2036" s="4" t="s">
        <v>6762</v>
      </c>
      <c r="I2036" s="4">
        <v>644</v>
      </c>
      <c r="J2036" s="4" t="s">
        <v>23</v>
      </c>
      <c r="K2036" s="4" t="s">
        <v>24</v>
      </c>
      <c r="L2036" s="4">
        <v>25000000</v>
      </c>
      <c r="M2036" s="4">
        <v>2014</v>
      </c>
      <c r="N2036" s="4">
        <v>8.1</v>
      </c>
      <c r="O2036" s="4">
        <f ca="1">IFERROR(__xludf.DUMMYFUNCTION("IF(Cost_in_dollars!E2036=""USD"",Cost_in_dollars!B2036,Cost_in_dollars!B2036 * GOOGLEFINANCE(""CURRENCY:"" &amp; Cost_in_dollars!E2036 &amp; ""USD""))
"),25000000)</f>
        <v>25000000</v>
      </c>
      <c r="P2036" s="4">
        <f ca="1">IFERROR(__xludf.DUMMYFUNCTION("IF(Cost_in_dollars!E2036=""USD"",Cost_in_dollars!C2036,Cost_in_dollars!C2036 * GOOGLEFINANCE(""CURRENCY:"" &amp; Cost_in_dollars!E2036 &amp; ""USD""))
"),59073773)</f>
        <v>59073773</v>
      </c>
      <c r="Q2036" s="4">
        <f t="shared" ca="1" si="42"/>
        <v>34073773</v>
      </c>
      <c r="R2036" s="5" t="str">
        <f t="shared" si="43"/>
        <v>The Grand Budapest Hotel</v>
      </c>
      <c r="S2036" s="43" t="str">
        <f t="shared" si="47"/>
        <v>Adventure</v>
      </c>
    </row>
    <row r="2037" spans="1:19" ht="15.75" customHeight="1" x14ac:dyDescent="0.25">
      <c r="A2037" s="6" t="s">
        <v>4075</v>
      </c>
      <c r="B2037" s="6">
        <v>274</v>
      </c>
      <c r="C2037" s="6">
        <v>249358727</v>
      </c>
      <c r="D2037" s="6" t="s">
        <v>1025</v>
      </c>
      <c r="E2037" s="6" t="s">
        <v>2107</v>
      </c>
      <c r="F2037" s="6" t="s">
        <v>6763</v>
      </c>
      <c r="G2037" s="6">
        <v>382255</v>
      </c>
      <c r="H2037" s="6" t="s">
        <v>6764</v>
      </c>
      <c r="I2037" s="6">
        <v>1504</v>
      </c>
      <c r="J2037" s="6" t="s">
        <v>23</v>
      </c>
      <c r="K2037" s="6" t="s">
        <v>133</v>
      </c>
      <c r="L2037" s="6">
        <v>130000000</v>
      </c>
      <c r="M2037" s="6">
        <v>2004</v>
      </c>
      <c r="N2037" s="6">
        <v>7.8</v>
      </c>
      <c r="O2037" s="4">
        <f ca="1">IFERROR(__xludf.DUMMYFUNCTION("IF(Cost_in_dollars!E2037=""USD"",Cost_in_dollars!B2037,Cost_in_dollars!B2037 * GOOGLEFINANCE(""CURRENCY:"" &amp; Cost_in_dollars!E2037 &amp; ""USD""))
"),167101999.999999)</f>
        <v>167101999.99999899</v>
      </c>
      <c r="P2037" s="4">
        <f ca="1">IFERROR(__xludf.DUMMYFUNCTION("IF(Cost_in_dollars!E2037=""USD"",Cost_in_dollars!C2037,Cost_in_dollars!C2037 * GOOGLEFINANCE(""CURRENCY:"" &amp; Cost_in_dollars!E2037 &amp; ""USD""))
"),320525707.685799)</f>
        <v>320525707.685799</v>
      </c>
      <c r="Q2037" s="6">
        <f t="shared" ca="1" si="42"/>
        <v>153423707.68580002</v>
      </c>
      <c r="R2037" s="7" t="str">
        <f t="shared" si="43"/>
        <v>Harry Potter and the Prisoner of Azkaban</v>
      </c>
      <c r="S2037" s="43" t="str">
        <f t="shared" si="47"/>
        <v>Adventure</v>
      </c>
    </row>
    <row r="2038" spans="1:19" ht="15.75" customHeight="1" x14ac:dyDescent="0.25">
      <c r="A2038" s="4" t="s">
        <v>6765</v>
      </c>
      <c r="B2038" s="4">
        <v>244</v>
      </c>
      <c r="C2038" s="4">
        <v>23070045</v>
      </c>
      <c r="D2038" s="4" t="s">
        <v>3098</v>
      </c>
      <c r="E2038" s="4" t="s">
        <v>74</v>
      </c>
      <c r="F2038" s="4" t="s">
        <v>6766</v>
      </c>
      <c r="G2038" s="4">
        <v>47003</v>
      </c>
      <c r="H2038" s="4" t="s">
        <v>6767</v>
      </c>
      <c r="I2038" s="4">
        <v>215</v>
      </c>
      <c r="J2038" s="4" t="s">
        <v>23</v>
      </c>
      <c r="K2038" s="4" t="s">
        <v>24</v>
      </c>
      <c r="L2038" s="4">
        <v>30000000</v>
      </c>
      <c r="M2038" s="4">
        <v>2011</v>
      </c>
      <c r="N2038" s="4">
        <v>5.9</v>
      </c>
      <c r="O2038" s="4">
        <f ca="1">IFERROR(__xludf.DUMMYFUNCTION("IF(Cost_in_dollars!E2038=""USD"",Cost_in_dollars!B2038,Cost_in_dollars!B2038 * GOOGLEFINANCE(""CURRENCY:"" &amp; Cost_in_dollars!E2038 &amp; ""USD""))
"),30000000)</f>
        <v>30000000</v>
      </c>
      <c r="P2038" s="4">
        <f ca="1">IFERROR(__xludf.DUMMYFUNCTION("IF(Cost_in_dollars!E2038=""USD"",Cost_in_dollars!C2038,Cost_in_dollars!C2038 * GOOGLEFINANCE(""CURRENCY:"" &amp; Cost_in_dollars!E2038 &amp; ""USD""))
"),23070045)</f>
        <v>23070045</v>
      </c>
      <c r="Q2038" s="4">
        <f t="shared" ca="1" si="42"/>
        <v>-6929955</v>
      </c>
      <c r="R2038" s="5" t="str">
        <f t="shared" si="43"/>
        <v>Sanctum</v>
      </c>
      <c r="S2038" s="43" t="str">
        <f t="shared" si="47"/>
        <v>Adventure</v>
      </c>
    </row>
    <row r="2039" spans="1:19" ht="15.75" customHeight="1" x14ac:dyDescent="0.25">
      <c r="A2039" s="6" t="s">
        <v>2745</v>
      </c>
      <c r="B2039" s="6">
        <v>149</v>
      </c>
      <c r="C2039" s="6">
        <v>2338695</v>
      </c>
      <c r="D2039" s="6" t="s">
        <v>116</v>
      </c>
      <c r="E2039" s="6" t="s">
        <v>1649</v>
      </c>
      <c r="F2039" s="6" t="s">
        <v>6768</v>
      </c>
      <c r="G2039" s="6">
        <v>134070</v>
      </c>
      <c r="H2039" s="6" t="s">
        <v>6769</v>
      </c>
      <c r="I2039" s="6">
        <v>263</v>
      </c>
      <c r="J2039" s="6" t="s">
        <v>23</v>
      </c>
      <c r="K2039" s="6" t="s">
        <v>133</v>
      </c>
      <c r="L2039" s="6">
        <v>4000000</v>
      </c>
      <c r="M2039" s="6">
        <v>2004</v>
      </c>
      <c r="N2039" s="6">
        <v>7.4</v>
      </c>
      <c r="O2039" s="4">
        <f ca="1">IFERROR(__xludf.DUMMYFUNCTION("IF(Cost_in_dollars!E2039=""USD"",Cost_in_dollars!B2039,Cost_in_dollars!B2039 * GOOGLEFINANCE(""CURRENCY:"" &amp; Cost_in_dollars!E2039 &amp; ""USD""))
"),5141599.99999999)</f>
        <v>5141599.9999999898</v>
      </c>
      <c r="P2039" s="4">
        <f ca="1">IFERROR(__xludf.DUMMYFUNCTION("IF(Cost_in_dollars!E2039=""USD"",Cost_in_dollars!C2039,Cost_in_dollars!C2039 * GOOGLEFINANCE(""CURRENCY:"" &amp; Cost_in_dollars!E2039 &amp; ""USD""))
"),3006158.553)</f>
        <v>3006158.5529999998</v>
      </c>
      <c r="Q2039" s="6">
        <f t="shared" ca="1" si="42"/>
        <v>-2135441.4469999899</v>
      </c>
      <c r="R2039" s="7" t="str">
        <f t="shared" si="43"/>
        <v>Layer Cake</v>
      </c>
      <c r="S2039" s="43" t="str">
        <f t="shared" si="47"/>
        <v>Crime</v>
      </c>
    </row>
    <row r="2040" spans="1:19" ht="15.75" customHeight="1" x14ac:dyDescent="0.25">
      <c r="A2040" s="4" t="s">
        <v>927</v>
      </c>
      <c r="B2040" s="4">
        <v>220</v>
      </c>
      <c r="C2040" s="4">
        <v>133228348</v>
      </c>
      <c r="D2040" s="4" t="s">
        <v>5648</v>
      </c>
      <c r="E2040" s="4" t="s">
        <v>1436</v>
      </c>
      <c r="F2040" s="4" t="s">
        <v>6770</v>
      </c>
      <c r="G2040" s="4">
        <v>381672</v>
      </c>
      <c r="H2040" s="4" t="s">
        <v>6771</v>
      </c>
      <c r="I2040" s="4">
        <v>1694</v>
      </c>
      <c r="J2040" s="4" t="s">
        <v>23</v>
      </c>
      <c r="K2040" s="4" t="s">
        <v>24</v>
      </c>
      <c r="L2040" s="4">
        <v>175000000</v>
      </c>
      <c r="M2040" s="4">
        <v>2004</v>
      </c>
      <c r="N2040" s="4">
        <v>7.2</v>
      </c>
      <c r="O2040" s="4">
        <f ca="1">IFERROR(__xludf.DUMMYFUNCTION("IF(Cost_in_dollars!E2040=""USD"",Cost_in_dollars!B2040,Cost_in_dollars!B2040 * GOOGLEFINANCE(""CURRENCY:"" &amp; Cost_in_dollars!E2040 &amp; ""USD""))
"),175000000)</f>
        <v>175000000</v>
      </c>
      <c r="P2040" s="4">
        <f ca="1">IFERROR(__xludf.DUMMYFUNCTION("IF(Cost_in_dollars!E2040=""USD"",Cost_in_dollars!C2040,Cost_in_dollars!C2040 * GOOGLEFINANCE(""CURRENCY:"" &amp; Cost_in_dollars!E2040 &amp; ""USD""))
"),133228348)</f>
        <v>133228348</v>
      </c>
      <c r="Q2040" s="4">
        <f t="shared" ca="1" si="42"/>
        <v>-41771652</v>
      </c>
      <c r="R2040" s="5" t="str">
        <f t="shared" si="43"/>
        <v>Troy</v>
      </c>
      <c r="S2040" s="43" t="str">
        <f t="shared" si="47"/>
        <v>Adventure</v>
      </c>
    </row>
    <row r="2041" spans="1:19" ht="15.75" customHeight="1" x14ac:dyDescent="0.25">
      <c r="A2041" s="6" t="s">
        <v>6772</v>
      </c>
      <c r="B2041" s="6">
        <v>63</v>
      </c>
      <c r="C2041" s="6">
        <v>927107</v>
      </c>
      <c r="D2041" s="6" t="s">
        <v>2655</v>
      </c>
      <c r="E2041" s="6" t="s">
        <v>6773</v>
      </c>
      <c r="F2041" s="6" t="s">
        <v>6774</v>
      </c>
      <c r="G2041" s="6">
        <v>5153</v>
      </c>
      <c r="H2041" s="6" t="s">
        <v>6775</v>
      </c>
      <c r="I2041" s="6">
        <v>51</v>
      </c>
      <c r="J2041" s="6" t="s">
        <v>1045</v>
      </c>
      <c r="K2041" s="6" t="s">
        <v>176</v>
      </c>
      <c r="L2041" s="6">
        <v>15000000</v>
      </c>
      <c r="M2041" s="6">
        <v>1999</v>
      </c>
      <c r="N2041" s="6">
        <v>7.3</v>
      </c>
      <c r="O2041" s="4">
        <f ca="1">IFERROR(__xludf.DUMMYFUNCTION("IF(Cost_in_dollars!E2041=""USD"",Cost_in_dollars!B2041,Cost_in_dollars!B2041 * GOOGLEFINANCE(""CURRENCY:"" &amp; Cost_in_dollars!E2041 &amp; ""USD""))
"),16271100)</f>
        <v>16271100</v>
      </c>
      <c r="P2041" s="4">
        <f ca="1">IFERROR(__xludf.DUMMYFUNCTION("IF(Cost_in_dollars!E2041=""USD"",Cost_in_dollars!C2041,Cost_in_dollars!C2041 * GOOGLEFINANCE(""CURRENCY:"" &amp; Cost_in_dollars!E2041 &amp; ""USD""))
"),1005670.04718)</f>
        <v>1005670.04718</v>
      </c>
      <c r="Q2041" s="6">
        <f t="shared" ca="1" si="42"/>
        <v>-15265429.952819999</v>
      </c>
      <c r="R2041" s="7" t="str">
        <f t="shared" si="43"/>
        <v>Aimee &amp; Jaguar</v>
      </c>
      <c r="S2041" s="43" t="str">
        <f t="shared" si="47"/>
        <v>Biography</v>
      </c>
    </row>
    <row r="2042" spans="1:19" ht="15.75" customHeight="1" x14ac:dyDescent="0.25">
      <c r="A2042" s="4" t="s">
        <v>6776</v>
      </c>
      <c r="B2042" s="4">
        <v>298</v>
      </c>
      <c r="C2042" s="4">
        <v>19692608</v>
      </c>
      <c r="D2042" s="4" t="s">
        <v>116</v>
      </c>
      <c r="E2042" s="4" t="s">
        <v>6777</v>
      </c>
      <c r="F2042" s="4" t="s">
        <v>6778</v>
      </c>
      <c r="G2042" s="4">
        <v>63548</v>
      </c>
      <c r="H2042" s="4" t="s">
        <v>6779</v>
      </c>
      <c r="I2042" s="4">
        <v>134</v>
      </c>
      <c r="J2042" s="4" t="s">
        <v>23</v>
      </c>
      <c r="K2042" s="4" t="s">
        <v>24</v>
      </c>
      <c r="L2042" s="4">
        <v>35000000</v>
      </c>
      <c r="M2042" s="4">
        <v>2013</v>
      </c>
      <c r="N2042" s="4">
        <v>6.2</v>
      </c>
      <c r="O2042" s="4">
        <f ca="1">IFERROR(__xludf.DUMMYFUNCTION("IF(Cost_in_dollars!E2042=""USD"",Cost_in_dollars!B2042,Cost_in_dollars!B2042 * GOOGLEFINANCE(""CURRENCY:"" &amp; Cost_in_dollars!E2042 &amp; ""USD""))
"),35000000)</f>
        <v>35000000</v>
      </c>
      <c r="P2042" s="4">
        <f ca="1">IFERROR(__xludf.DUMMYFUNCTION("IF(Cost_in_dollars!E2042=""USD"",Cost_in_dollars!C2042,Cost_in_dollars!C2042 * GOOGLEFINANCE(""CURRENCY:"" &amp; Cost_in_dollars!E2042 &amp; ""USD""))
"),19692608)</f>
        <v>19692608</v>
      </c>
      <c r="Q2042" s="4">
        <f t="shared" ref="Q2042:Q2296" ca="1" si="48">P2042-O2042</f>
        <v>-15307392</v>
      </c>
      <c r="R2042" s="5" t="str">
        <f t="shared" ref="R2042:R2296" si="49">LEFT(F2042,LEN(F2042)-2)</f>
        <v>Broken City</v>
      </c>
      <c r="S2042" s="43" t="str">
        <f t="shared" si="47"/>
        <v>Crime</v>
      </c>
    </row>
    <row r="2043" spans="1:19" ht="15.75" customHeight="1" x14ac:dyDescent="0.25">
      <c r="A2043" s="6" t="s">
        <v>763</v>
      </c>
      <c r="B2043" s="6">
        <v>56</v>
      </c>
      <c r="C2043" s="6">
        <v>32000000</v>
      </c>
      <c r="D2043" s="6" t="s">
        <v>235</v>
      </c>
      <c r="E2043" s="6" t="s">
        <v>3990</v>
      </c>
      <c r="F2043" s="6" t="s">
        <v>6780</v>
      </c>
      <c r="G2043" s="6">
        <v>36267</v>
      </c>
      <c r="H2043" s="6" t="s">
        <v>6781</v>
      </c>
      <c r="I2043" s="6">
        <v>150</v>
      </c>
      <c r="J2043" s="6" t="s">
        <v>23</v>
      </c>
      <c r="K2043" s="6" t="s">
        <v>24</v>
      </c>
      <c r="L2043" s="6">
        <v>30000000</v>
      </c>
      <c r="M2043" s="6">
        <v>1993</v>
      </c>
      <c r="N2043" s="6">
        <v>7.2</v>
      </c>
      <c r="O2043" s="4">
        <f ca="1">IFERROR(__xludf.DUMMYFUNCTION("IF(Cost_in_dollars!E2043=""USD"",Cost_in_dollars!B2043,Cost_in_dollars!B2043 * GOOGLEFINANCE(""CURRENCY:"" &amp; Cost_in_dollars!E2043 &amp; ""USD""))
"),30000000)</f>
        <v>30000000</v>
      </c>
      <c r="P2043" s="4">
        <f ca="1">IFERROR(__xludf.DUMMYFUNCTION("IF(Cost_in_dollars!E2043=""USD"",Cost_in_dollars!C2043,Cost_in_dollars!C2043 * GOOGLEFINANCE(""CURRENCY:"" &amp; Cost_in_dollars!E2043 &amp; ""USD""))
"),32000000)</f>
        <v>32000000</v>
      </c>
      <c r="Q2043" s="6">
        <f t="shared" ca="1" si="48"/>
        <v>2000000</v>
      </c>
      <c r="R2043" s="7" t="str">
        <f t="shared" si="49"/>
        <v>The Age of Innocence</v>
      </c>
      <c r="S2043" s="43" t="str">
        <f t="shared" si="47"/>
        <v>Drama</v>
      </c>
    </row>
    <row r="2044" spans="1:19" ht="15.75" customHeight="1" x14ac:dyDescent="0.25">
      <c r="A2044" s="4" t="s">
        <v>2461</v>
      </c>
      <c r="B2044" s="4">
        <v>127</v>
      </c>
      <c r="C2044" s="4">
        <v>373967</v>
      </c>
      <c r="D2044" s="4" t="s">
        <v>568</v>
      </c>
      <c r="E2044" s="4" t="s">
        <v>6782</v>
      </c>
      <c r="F2044" s="4" t="s">
        <v>6783</v>
      </c>
      <c r="G2044" s="4">
        <v>43839</v>
      </c>
      <c r="H2044" s="4" t="s">
        <v>6784</v>
      </c>
      <c r="I2044" s="4">
        <v>481</v>
      </c>
      <c r="J2044" s="4" t="s">
        <v>23</v>
      </c>
      <c r="K2044" s="4" t="s">
        <v>24</v>
      </c>
      <c r="L2044" s="4">
        <v>1500000</v>
      </c>
      <c r="M2044" s="4">
        <v>2001</v>
      </c>
      <c r="N2044" s="4">
        <v>6.5</v>
      </c>
      <c r="O2044" s="4">
        <f ca="1">IFERROR(__xludf.DUMMYFUNCTION("IF(Cost_in_dollars!E2044=""USD"",Cost_in_dollars!B2044,Cost_in_dollars!B2044 * GOOGLEFINANCE(""CURRENCY:"" &amp; Cost_in_dollars!E2044 &amp; ""USD""))
"),1500000)</f>
        <v>1500000</v>
      </c>
      <c r="P2044" s="4">
        <f ca="1">IFERROR(__xludf.DUMMYFUNCTION("IF(Cost_in_dollars!E2044=""USD"",Cost_in_dollars!C2044,Cost_in_dollars!C2044 * GOOGLEFINANCE(""CURRENCY:"" &amp; Cost_in_dollars!E2044 &amp; ""USD""))
"),373967)</f>
        <v>373967</v>
      </c>
      <c r="Q2044" s="4">
        <f t="shared" ca="1" si="48"/>
        <v>-1126033</v>
      </c>
      <c r="R2044" s="5" t="str">
        <f t="shared" si="49"/>
        <v>Session 9</v>
      </c>
      <c r="S2044" s="43" t="str">
        <f t="shared" si="47"/>
        <v>Horror</v>
      </c>
    </row>
    <row r="2045" spans="1:19" ht="15.75" customHeight="1" x14ac:dyDescent="0.25">
      <c r="A2045" s="6" t="s">
        <v>4047</v>
      </c>
      <c r="B2045" s="6">
        <v>70</v>
      </c>
      <c r="C2045" s="6">
        <v>16290976</v>
      </c>
      <c r="D2045" s="6" t="s">
        <v>6785</v>
      </c>
      <c r="E2045" s="6" t="s">
        <v>3912</v>
      </c>
      <c r="F2045" s="6" t="s">
        <v>6786</v>
      </c>
      <c r="G2045" s="6">
        <v>14637</v>
      </c>
      <c r="H2045" s="6" t="s">
        <v>6787</v>
      </c>
      <c r="I2045" s="6">
        <v>100</v>
      </c>
      <c r="J2045" s="6" t="s">
        <v>23</v>
      </c>
      <c r="K2045" s="6" t="s">
        <v>24</v>
      </c>
      <c r="L2045" s="6">
        <v>24000000</v>
      </c>
      <c r="M2045" s="6">
        <v>1999</v>
      </c>
      <c r="N2045" s="6">
        <v>6.2</v>
      </c>
      <c r="O2045" s="4">
        <f ca="1">IFERROR(__xludf.DUMMYFUNCTION("IF(Cost_in_dollars!E2045=""USD"",Cost_in_dollars!B2045,Cost_in_dollars!B2045 * GOOGLEFINANCE(""CURRENCY:"" &amp; Cost_in_dollars!E2045 &amp; ""USD""))
"),24000000)</f>
        <v>24000000</v>
      </c>
      <c r="P2045" s="4">
        <f ca="1">IFERROR(__xludf.DUMMYFUNCTION("IF(Cost_in_dollars!E2045=""USD"",Cost_in_dollars!C2045,Cost_in_dollars!C2045 * GOOGLEFINANCE(""CURRENCY:"" &amp; Cost_in_dollars!E2045 &amp; ""USD""))
"),16290976)</f>
        <v>16290976</v>
      </c>
      <c r="Q2045" s="6">
        <f t="shared" ca="1" si="48"/>
        <v>-7709024</v>
      </c>
      <c r="R2045" s="7" t="str">
        <f t="shared" si="49"/>
        <v>Muppets from Space</v>
      </c>
      <c r="S2045" s="43" t="str">
        <f t="shared" si="47"/>
        <v>Adventure</v>
      </c>
    </row>
    <row r="2046" spans="1:19" ht="15.75" customHeight="1" x14ac:dyDescent="0.25">
      <c r="A2046" s="4" t="s">
        <v>6788</v>
      </c>
      <c r="B2046" s="4">
        <v>42</v>
      </c>
      <c r="C2046" s="4">
        <v>4693919</v>
      </c>
      <c r="D2046" s="4" t="s">
        <v>140</v>
      </c>
      <c r="E2046" s="4" t="s">
        <v>1930</v>
      </c>
      <c r="F2046" s="4" t="s">
        <v>6789</v>
      </c>
      <c r="G2046" s="4">
        <v>11011</v>
      </c>
      <c r="H2046" s="4" t="s">
        <v>6790</v>
      </c>
      <c r="I2046" s="4">
        <v>78</v>
      </c>
      <c r="J2046" s="4" t="s">
        <v>23</v>
      </c>
      <c r="K2046" s="4" t="s">
        <v>24</v>
      </c>
      <c r="L2046" s="4">
        <v>6500000</v>
      </c>
      <c r="M2046" s="4">
        <v>2008</v>
      </c>
      <c r="N2046" s="4">
        <v>4.5999999999999996</v>
      </c>
      <c r="O2046" s="4">
        <f ca="1">IFERROR(__xludf.DUMMYFUNCTION("IF(Cost_in_dollars!E2046=""USD"",Cost_in_dollars!B2046,Cost_in_dollars!B2046 * GOOGLEFINANCE(""CURRENCY:"" &amp; Cost_in_dollars!E2046 &amp; ""USD""))
"),6500000)</f>
        <v>6500000</v>
      </c>
      <c r="P2046" s="4">
        <f ca="1">IFERROR(__xludf.DUMMYFUNCTION("IF(Cost_in_dollars!E2046=""USD"",Cost_in_dollars!C2046,Cost_in_dollars!C2046 * GOOGLEFINANCE(""CURRENCY:"" &amp; Cost_in_dollars!E2046 &amp; ""USD""))
"),4693919)</f>
        <v>4693919</v>
      </c>
      <c r="Q2046" s="4">
        <f t="shared" ca="1" si="48"/>
        <v>-1806081</v>
      </c>
      <c r="R2046" s="5" t="str">
        <f t="shared" si="49"/>
        <v>College</v>
      </c>
      <c r="S2046" s="43" t="str">
        <f t="shared" si="47"/>
        <v>Comedy</v>
      </c>
    </row>
    <row r="2047" spans="1:19" ht="15.75" customHeight="1" x14ac:dyDescent="0.25">
      <c r="A2047" s="6" t="s">
        <v>1118</v>
      </c>
      <c r="B2047" s="6">
        <v>387</v>
      </c>
      <c r="C2047" s="6">
        <v>80033643</v>
      </c>
      <c r="D2047" s="6" t="s">
        <v>1180</v>
      </c>
      <c r="E2047" s="6" t="s">
        <v>223</v>
      </c>
      <c r="F2047" s="6" t="s">
        <v>1181</v>
      </c>
      <c r="G2047" s="6">
        <v>226583</v>
      </c>
      <c r="H2047" s="6" t="s">
        <v>1182</v>
      </c>
      <c r="I2047" s="6">
        <v>448</v>
      </c>
      <c r="J2047" s="6" t="s">
        <v>23</v>
      </c>
      <c r="K2047" s="6" t="s">
        <v>24</v>
      </c>
      <c r="L2047" s="6">
        <v>60000000</v>
      </c>
      <c r="M2047" s="6">
        <v>2012</v>
      </c>
      <c r="N2047" s="6">
        <v>7</v>
      </c>
      <c r="O2047" s="4">
        <f ca="1">IFERROR(__xludf.DUMMYFUNCTION("IF(Cost_in_dollars!E2047=""USD"",Cost_in_dollars!B2047,Cost_in_dollars!B2047 * GOOGLEFINANCE(""CURRENCY:"" &amp; Cost_in_dollars!E2047 &amp; ""USD""))
"),60000000)</f>
        <v>60000000</v>
      </c>
      <c r="P2047" s="4">
        <f ca="1">IFERROR(__xludf.DUMMYFUNCTION("IF(Cost_in_dollars!E2047=""USD"",Cost_in_dollars!C2047,Cost_in_dollars!C2047 * GOOGLEFINANCE(""CURRENCY:"" &amp; Cost_in_dollars!E2047 &amp; ""USD""))
"),80033643)</f>
        <v>80033643</v>
      </c>
      <c r="Q2047" s="6">
        <f t="shared" ca="1" si="48"/>
        <v>20033643</v>
      </c>
      <c r="R2047" s="7" t="str">
        <f t="shared" si="49"/>
        <v>Jack Reacher</v>
      </c>
      <c r="S2047" s="43" t="str">
        <f t="shared" si="47"/>
        <v>Action</v>
      </c>
    </row>
    <row r="2048" spans="1:19" ht="15.75" customHeight="1" x14ac:dyDescent="0.25">
      <c r="A2048" s="4" t="s">
        <v>1900</v>
      </c>
      <c r="B2048" s="4">
        <v>120</v>
      </c>
      <c r="C2048" s="4">
        <v>20384136</v>
      </c>
      <c r="D2048" s="4" t="s">
        <v>93</v>
      </c>
      <c r="E2048" s="4" t="s">
        <v>3830</v>
      </c>
      <c r="F2048" s="4" t="s">
        <v>6791</v>
      </c>
      <c r="G2048" s="4">
        <v>20467</v>
      </c>
      <c r="H2048" s="4" t="s">
        <v>6792</v>
      </c>
      <c r="I2048" s="4">
        <v>371</v>
      </c>
      <c r="J2048" s="4" t="s">
        <v>23</v>
      </c>
      <c r="K2048" s="4" t="s">
        <v>24</v>
      </c>
      <c r="L2048" s="4">
        <v>10000000</v>
      </c>
      <c r="M2048" s="4">
        <v>2001</v>
      </c>
      <c r="N2048" s="4">
        <v>4.7</v>
      </c>
      <c r="O2048" s="4">
        <f ca="1">IFERROR(__xludf.DUMMYFUNCTION("IF(Cost_in_dollars!E2048=""USD"",Cost_in_dollars!B2048,Cost_in_dollars!B2048 * GOOGLEFINANCE(""CURRENCY:"" &amp; Cost_in_dollars!E2048 &amp; ""USD""))
"),10000000)</f>
        <v>10000000</v>
      </c>
      <c r="P2048" s="4">
        <f ca="1">IFERROR(__xludf.DUMMYFUNCTION("IF(Cost_in_dollars!E2048=""USD"",Cost_in_dollars!C2048,Cost_in_dollars!C2048 * GOOGLEFINANCE(""CURRENCY:"" &amp; Cost_in_dollars!E2048 &amp; ""USD""))
"),20384136)</f>
        <v>20384136</v>
      </c>
      <c r="Q2048" s="4">
        <f t="shared" ca="1" si="48"/>
        <v>10384136</v>
      </c>
      <c r="R2048" s="5" t="str">
        <f t="shared" si="49"/>
        <v>Valentine</v>
      </c>
      <c r="S2048" s="43" t="str">
        <f t="shared" si="47"/>
        <v>Horror</v>
      </c>
    </row>
    <row r="2049" spans="1:19" ht="15.75" customHeight="1" x14ac:dyDescent="0.25">
      <c r="A2049" s="6" t="s">
        <v>37</v>
      </c>
      <c r="B2049" s="6">
        <v>146</v>
      </c>
      <c r="C2049" s="6">
        <v>26199517</v>
      </c>
      <c r="D2049" s="6" t="s">
        <v>613</v>
      </c>
      <c r="E2049" s="6" t="s">
        <v>37</v>
      </c>
      <c r="F2049" s="6" t="s">
        <v>6793</v>
      </c>
      <c r="G2049" s="6">
        <v>34356</v>
      </c>
      <c r="H2049" s="6" t="s">
        <v>6794</v>
      </c>
      <c r="I2049" s="6">
        <v>260</v>
      </c>
      <c r="J2049" s="6" t="s">
        <v>23</v>
      </c>
      <c r="K2049" s="6" t="s">
        <v>24</v>
      </c>
      <c r="L2049" s="6">
        <v>50000000</v>
      </c>
      <c r="M2049" s="6">
        <v>2002</v>
      </c>
      <c r="N2049" s="6">
        <v>6.4</v>
      </c>
      <c r="O2049" s="4">
        <f ca="1">IFERROR(__xludf.DUMMYFUNCTION("IF(Cost_in_dollars!E2049=""USD"",Cost_in_dollars!B2049,Cost_in_dollars!B2049 * GOOGLEFINANCE(""CURRENCY:"" &amp; Cost_in_dollars!E2049 &amp; ""USD""))
"),50000000)</f>
        <v>50000000</v>
      </c>
      <c r="P2049" s="4">
        <f ca="1">IFERROR(__xludf.DUMMYFUNCTION("IF(Cost_in_dollars!E2049=""USD"",Cost_in_dollars!C2049,Cost_in_dollars!C2049 * GOOGLEFINANCE(""CURRENCY:"" &amp; Cost_in_dollars!E2049 &amp; ""USD""))
"),26199517)</f>
        <v>26199517</v>
      </c>
      <c r="Q2049" s="6">
        <f t="shared" ca="1" si="48"/>
        <v>-23800483</v>
      </c>
      <c r="R2049" s="7" t="str">
        <f t="shared" si="49"/>
        <v>Blood Work</v>
      </c>
      <c r="S2049" s="43" t="str">
        <f t="shared" si="47"/>
        <v>Action</v>
      </c>
    </row>
    <row r="2050" spans="1:19" ht="15.75" customHeight="1" x14ac:dyDescent="0.25">
      <c r="A2050" s="4" t="s">
        <v>5491</v>
      </c>
      <c r="B2050" s="4">
        <v>388</v>
      </c>
      <c r="C2050" s="4">
        <v>15700000</v>
      </c>
      <c r="D2050" s="4" t="s">
        <v>5492</v>
      </c>
      <c r="E2050" s="4" t="s">
        <v>483</v>
      </c>
      <c r="F2050" s="4" t="s">
        <v>6795</v>
      </c>
      <c r="G2050" s="4">
        <v>332065</v>
      </c>
      <c r="H2050" s="4" t="s">
        <v>6796</v>
      </c>
      <c r="I2050" s="4">
        <v>876</v>
      </c>
      <c r="J2050" s="4" t="s">
        <v>23</v>
      </c>
      <c r="K2050" s="4" t="s">
        <v>24</v>
      </c>
      <c r="L2050" s="4">
        <v>15000000</v>
      </c>
      <c r="M2050" s="4">
        <v>2008</v>
      </c>
      <c r="N2050" s="4">
        <v>7.6</v>
      </c>
      <c r="O2050" s="4">
        <f ca="1">IFERROR(__xludf.DUMMYFUNCTION("IF(Cost_in_dollars!E2050=""USD"",Cost_in_dollars!B2050,Cost_in_dollars!B2050 * GOOGLEFINANCE(""CURRENCY:"" &amp; Cost_in_dollars!E2050 &amp; ""USD""))
"),15000000)</f>
        <v>15000000</v>
      </c>
      <c r="P2050" s="4">
        <f ca="1">IFERROR(__xludf.DUMMYFUNCTION("IF(Cost_in_dollars!E2050=""USD"",Cost_in_dollars!C2050,Cost_in_dollars!C2050 * GOOGLEFINANCE(""CURRENCY:"" &amp; Cost_in_dollars!E2050 &amp; ""USD""))
"),15700000)</f>
        <v>15700000</v>
      </c>
      <c r="Q2050" s="4">
        <f t="shared" ca="1" si="48"/>
        <v>700000</v>
      </c>
      <c r="R2050" s="5" t="str">
        <f t="shared" si="49"/>
        <v>The Hurt Locker</v>
      </c>
      <c r="S2050" s="43" t="str">
        <f t="shared" ref="S2050:S2113" si="50">IF(ISNUMBER(FIND("|", D2050)), LEFT(D2050, FIND("|", D2050) - 1), D2050)</f>
        <v>Drama</v>
      </c>
    </row>
    <row r="2051" spans="1:19" ht="15.75" customHeight="1" x14ac:dyDescent="0.25">
      <c r="A2051" s="6" t="s">
        <v>1078</v>
      </c>
      <c r="B2051" s="6">
        <v>53</v>
      </c>
      <c r="C2051" s="6">
        <v>50728000</v>
      </c>
      <c r="D2051" s="6" t="s">
        <v>613</v>
      </c>
      <c r="E2051" s="6" t="s">
        <v>277</v>
      </c>
      <c r="F2051" s="6" t="s">
        <v>6797</v>
      </c>
      <c r="G2051" s="6">
        <v>48909</v>
      </c>
      <c r="H2051" s="6" t="s">
        <v>6798</v>
      </c>
      <c r="I2051" s="6">
        <v>166</v>
      </c>
      <c r="J2051" s="6" t="s">
        <v>23</v>
      </c>
      <c r="K2051" s="6" t="s">
        <v>24</v>
      </c>
      <c r="L2051" s="6">
        <v>22000000</v>
      </c>
      <c r="M2051" s="6">
        <v>1995</v>
      </c>
      <c r="N2051" s="6">
        <v>5.8</v>
      </c>
      <c r="O2051" s="4">
        <f ca="1">IFERROR(__xludf.DUMMYFUNCTION("IF(Cost_in_dollars!E2051=""USD"",Cost_in_dollars!B2051,Cost_in_dollars!B2051 * GOOGLEFINANCE(""CURRENCY:"" &amp; Cost_in_dollars!E2051 &amp; ""USD""))
"),22000000)</f>
        <v>22000000</v>
      </c>
      <c r="P2051" s="4">
        <f ca="1">IFERROR(__xludf.DUMMYFUNCTION("IF(Cost_in_dollars!E2051=""USD"",Cost_in_dollars!C2051,Cost_in_dollars!C2051 * GOOGLEFINANCE(""CURRENCY:"" &amp; Cost_in_dollars!E2051 &amp; ""USD""))
"),50728000)</f>
        <v>50728000</v>
      </c>
      <c r="Q2051" s="6">
        <f t="shared" ca="1" si="48"/>
        <v>28728000</v>
      </c>
      <c r="R2051" s="7" t="str">
        <f t="shared" si="49"/>
        <v>The Net</v>
      </c>
      <c r="S2051" s="43" t="str">
        <f t="shared" si="50"/>
        <v>Action</v>
      </c>
    </row>
    <row r="2052" spans="1:19" ht="15.75" customHeight="1" x14ac:dyDescent="0.25">
      <c r="A2052" s="4" t="s">
        <v>6799</v>
      </c>
      <c r="B2052" s="4">
        <v>224</v>
      </c>
      <c r="C2052" s="4">
        <v>31607598</v>
      </c>
      <c r="D2052" s="4" t="s">
        <v>1854</v>
      </c>
      <c r="E2052" s="4" t="s">
        <v>1507</v>
      </c>
      <c r="F2052" s="4" t="s">
        <v>6800</v>
      </c>
      <c r="G2052" s="4">
        <v>58366</v>
      </c>
      <c r="H2052" s="4" t="s">
        <v>6801</v>
      </c>
      <c r="I2052" s="4">
        <v>160</v>
      </c>
      <c r="J2052" s="4" t="s">
        <v>23</v>
      </c>
      <c r="K2052" s="4" t="s">
        <v>627</v>
      </c>
      <c r="L2052" s="4">
        <v>6900000</v>
      </c>
      <c r="M2052" s="4">
        <v>2012</v>
      </c>
      <c r="N2052" s="4">
        <v>5.6</v>
      </c>
      <c r="O2052" s="4">
        <f ca="1">IFERROR(__xludf.DUMMYFUNCTION("IF(Cost_in_dollars!E2052=""USD"",Cost_in_dollars!B2052,Cost_in_dollars!B2052 * GOOGLEFINANCE(""CURRENCY:"" &amp; Cost_in_dollars!E2052 &amp; ""USD""))
"),4991494.5)</f>
        <v>4991494.5</v>
      </c>
      <c r="P2052" s="4">
        <f ca="1">IFERROR(__xludf.DUMMYFUNCTION("IF(Cost_in_dollars!E2052=""USD"",Cost_in_dollars!C2052,Cost_in_dollars!C2052 * GOOGLEFINANCE(""CURRENCY:"" &amp; Cost_in_dollars!E2052 &amp; ""USD""))
"),22865094.43119)</f>
        <v>22865094.431189999</v>
      </c>
      <c r="Q2052" s="4">
        <f t="shared" ca="1" si="48"/>
        <v>17873599.931189999</v>
      </c>
      <c r="R2052" s="5" t="str">
        <f t="shared" si="49"/>
        <v>House at the End of the Street</v>
      </c>
      <c r="S2052" s="43" t="str">
        <f t="shared" si="50"/>
        <v>Drama</v>
      </c>
    </row>
    <row r="2053" spans="1:19" ht="15.75" customHeight="1" x14ac:dyDescent="0.25">
      <c r="A2053" s="6" t="s">
        <v>6802</v>
      </c>
      <c r="B2053" s="6">
        <v>9</v>
      </c>
      <c r="C2053" s="6">
        <v>123777</v>
      </c>
      <c r="D2053" s="6" t="s">
        <v>6803</v>
      </c>
      <c r="E2053" s="6" t="s">
        <v>6804</v>
      </c>
      <c r="F2053" s="6" t="s">
        <v>6805</v>
      </c>
      <c r="G2053" s="6">
        <v>342</v>
      </c>
      <c r="H2053" s="6" t="s">
        <v>109</v>
      </c>
      <c r="I2053" s="6">
        <v>15</v>
      </c>
      <c r="J2053" s="6" t="s">
        <v>23</v>
      </c>
      <c r="K2053" s="6" t="s">
        <v>627</v>
      </c>
      <c r="L2053" s="6">
        <v>3500000</v>
      </c>
      <c r="M2053" s="6">
        <v>2016</v>
      </c>
      <c r="N2053" s="6">
        <v>4.7</v>
      </c>
      <c r="O2053" s="4">
        <f ca="1">IFERROR(__xludf.DUMMYFUNCTION("IF(Cost_in_dollars!E2053=""USD"",Cost_in_dollars!B2053,Cost_in_dollars!B2053 * GOOGLEFINANCE(""CURRENCY:"" &amp; Cost_in_dollars!E2053 &amp; ""USD""))
"),2531917.5)</f>
        <v>2531917.5</v>
      </c>
      <c r="P2053" s="4">
        <f ca="1">IFERROR(__xludf.DUMMYFUNCTION("IF(Cost_in_dollars!E2053=""USD"",Cost_in_dollars!C2053,Cost_in_dollars!C2053 * GOOGLEFINANCE(""CURRENCY:"" &amp; Cost_in_dollars!E2053 &amp; ""USD""))
"),89540.900685)</f>
        <v>89540.900685000001</v>
      </c>
      <c r="Q2053" s="6">
        <f t="shared" ca="1" si="48"/>
        <v>-2442376.5993149998</v>
      </c>
      <c r="R2053" s="7" t="str">
        <f t="shared" si="49"/>
        <v>The Masked Saint</v>
      </c>
      <c r="S2053" s="43" t="str">
        <f t="shared" si="50"/>
        <v>Action</v>
      </c>
    </row>
    <row r="2054" spans="1:19" ht="15.75" customHeight="1" x14ac:dyDescent="0.25">
      <c r="A2054" s="4" t="s">
        <v>1126</v>
      </c>
      <c r="B2054" s="4">
        <v>115</v>
      </c>
      <c r="C2054" s="4">
        <v>22362500</v>
      </c>
      <c r="D2054" s="4" t="s">
        <v>457</v>
      </c>
      <c r="E2054" s="4" t="s">
        <v>79</v>
      </c>
      <c r="F2054" s="4" t="s">
        <v>6806</v>
      </c>
      <c r="G2054" s="4">
        <v>35599</v>
      </c>
      <c r="H2054" s="4" t="s">
        <v>6807</v>
      </c>
      <c r="I2054" s="4">
        <v>195</v>
      </c>
      <c r="J2054" s="4" t="s">
        <v>23</v>
      </c>
      <c r="K2054" s="4" t="s">
        <v>24</v>
      </c>
      <c r="L2054" s="4">
        <v>55000000</v>
      </c>
      <c r="M2054" s="4">
        <v>1999</v>
      </c>
      <c r="N2054" s="4">
        <v>6.1</v>
      </c>
      <c r="O2054" s="4">
        <f ca="1">IFERROR(__xludf.DUMMYFUNCTION("IF(Cost_in_dollars!E2054=""USD"",Cost_in_dollars!B2054,Cost_in_dollars!B2054 * GOOGLEFINANCE(""CURRENCY:"" &amp; Cost_in_dollars!E2054 &amp; ""USD""))
"),55000000)</f>
        <v>55000000</v>
      </c>
      <c r="P2054" s="4">
        <f ca="1">IFERROR(__xludf.DUMMYFUNCTION("IF(Cost_in_dollars!E2054=""USD"",Cost_in_dollars!C2054,Cost_in_dollars!C2054 * GOOGLEFINANCE(""CURRENCY:"" &amp; Cost_in_dollars!E2054 &amp; ""USD""))
"),22362500)</f>
        <v>22362500</v>
      </c>
      <c r="Q2054" s="4">
        <f t="shared" ca="1" si="48"/>
        <v>-32637500</v>
      </c>
      <c r="R2054" s="5" t="str">
        <f t="shared" si="49"/>
        <v>Edtv</v>
      </c>
      <c r="S2054" s="43" t="str">
        <f t="shared" si="50"/>
        <v>Comedy</v>
      </c>
    </row>
    <row r="2055" spans="1:19" ht="15.75" customHeight="1" x14ac:dyDescent="0.25">
      <c r="A2055" s="6" t="s">
        <v>1858</v>
      </c>
      <c r="B2055" s="6">
        <v>262</v>
      </c>
      <c r="C2055" s="6">
        <v>3958500</v>
      </c>
      <c r="D2055" s="6" t="s">
        <v>623</v>
      </c>
      <c r="E2055" s="6" t="s">
        <v>4395</v>
      </c>
      <c r="F2055" s="6" t="s">
        <v>6808</v>
      </c>
      <c r="G2055" s="6">
        <v>17933</v>
      </c>
      <c r="H2055" s="6" t="s">
        <v>6809</v>
      </c>
      <c r="I2055" s="6">
        <v>165</v>
      </c>
      <c r="J2055" s="6" t="s">
        <v>23</v>
      </c>
      <c r="K2055" s="6" t="s">
        <v>133</v>
      </c>
      <c r="L2055" s="6">
        <v>8200000</v>
      </c>
      <c r="M2055" s="6">
        <v>2014</v>
      </c>
      <c r="N2055" s="6">
        <v>6.8</v>
      </c>
      <c r="O2055" s="4">
        <f ca="1">IFERROR(__xludf.DUMMYFUNCTION("IF(Cost_in_dollars!E2055=""USD"",Cost_in_dollars!B2055,Cost_in_dollars!B2055 * GOOGLEFINANCE(""CURRENCY:"" &amp; Cost_in_dollars!E2055 &amp; ""USD""))
"),10540279.9999999)</f>
        <v>10540279.999999899</v>
      </c>
      <c r="P2055" s="4">
        <f ca="1">IFERROR(__xludf.DUMMYFUNCTION("IF(Cost_in_dollars!E2055=""USD"",Cost_in_dollars!C2055,Cost_in_dollars!C2055 * GOOGLEFINANCE(""CURRENCY:"" &amp; Cost_in_dollars!E2055 &amp; ""USD""))
"),5088255.89999999)</f>
        <v>5088255.8999999901</v>
      </c>
      <c r="Q2055" s="6">
        <f t="shared" ca="1" si="48"/>
        <v>-5452024.0999999093</v>
      </c>
      <c r="R2055" s="7" t="str">
        <f t="shared" si="49"/>
        <v>Mr. Turner</v>
      </c>
      <c r="S2055" s="43" t="str">
        <f t="shared" si="50"/>
        <v>Biography</v>
      </c>
    </row>
    <row r="2056" spans="1:19" ht="15.75" customHeight="1" x14ac:dyDescent="0.25">
      <c r="A2056" s="4" t="s">
        <v>508</v>
      </c>
      <c r="B2056" s="4">
        <v>81</v>
      </c>
      <c r="C2056" s="4">
        <v>5308707</v>
      </c>
      <c r="D2056" s="4" t="s">
        <v>3234</v>
      </c>
      <c r="E2056" s="4" t="s">
        <v>508</v>
      </c>
      <c r="F2056" s="4" t="s">
        <v>6810</v>
      </c>
      <c r="G2056" s="4">
        <v>15053</v>
      </c>
      <c r="H2056" s="4" t="s">
        <v>6811</v>
      </c>
      <c r="I2056" s="4">
        <v>165</v>
      </c>
      <c r="J2056" s="4" t="s">
        <v>23</v>
      </c>
      <c r="K2056" s="4" t="s">
        <v>24</v>
      </c>
      <c r="L2056" s="4">
        <v>5000000</v>
      </c>
      <c r="M2056" s="4">
        <v>2001</v>
      </c>
      <c r="N2056" s="4">
        <v>6.4</v>
      </c>
      <c r="O2056" s="4">
        <f ca="1">IFERROR(__xludf.DUMMYFUNCTION("IF(Cost_in_dollars!E2056=""USD"",Cost_in_dollars!B2056,Cost_in_dollars!B2056 * GOOGLEFINANCE(""CURRENCY:"" &amp; Cost_in_dollars!E2056 &amp; ""USD""))
"),5000000)</f>
        <v>5000000</v>
      </c>
      <c r="P2056" s="4">
        <f ca="1">IFERROR(__xludf.DUMMYFUNCTION("IF(Cost_in_dollars!E2056=""USD"",Cost_in_dollars!C2056,Cost_in_dollars!C2056 * GOOGLEFINANCE(""CURRENCY:"" &amp; Cost_in_dollars!E2056 &amp; ""USD""))
"),5308707)</f>
        <v>5308707</v>
      </c>
      <c r="Q2056" s="4">
        <f t="shared" ca="1" si="48"/>
        <v>308707</v>
      </c>
      <c r="R2056" s="5" t="str">
        <f t="shared" si="49"/>
        <v>Made</v>
      </c>
      <c r="S2056" s="43" t="str">
        <f t="shared" si="50"/>
        <v>Comedy</v>
      </c>
    </row>
    <row r="2057" spans="1:19" ht="15.75" customHeight="1" x14ac:dyDescent="0.25">
      <c r="A2057" s="6" t="s">
        <v>4999</v>
      </c>
      <c r="B2057" s="6">
        <v>35</v>
      </c>
      <c r="C2057" s="6">
        <v>52850</v>
      </c>
      <c r="D2057" s="6" t="s">
        <v>140</v>
      </c>
      <c r="E2057" s="6" t="s">
        <v>6812</v>
      </c>
      <c r="F2057" s="6" t="s">
        <v>6813</v>
      </c>
      <c r="G2057" s="6">
        <v>1656</v>
      </c>
      <c r="H2057" s="6" t="s">
        <v>6814</v>
      </c>
      <c r="I2057" s="6">
        <v>12</v>
      </c>
      <c r="J2057" s="6" t="s">
        <v>23</v>
      </c>
      <c r="K2057" s="6" t="s">
        <v>24</v>
      </c>
      <c r="L2057" s="6">
        <v>500000</v>
      </c>
      <c r="M2057" s="6">
        <v>2007</v>
      </c>
      <c r="N2057" s="6">
        <v>6.2</v>
      </c>
      <c r="O2057" s="4">
        <f ca="1">IFERROR(__xludf.DUMMYFUNCTION("IF(Cost_in_dollars!E2057=""USD"",Cost_in_dollars!B2057,Cost_in_dollars!B2057 * GOOGLEFINANCE(""CURRENCY:"" &amp; Cost_in_dollars!E2057 &amp; ""USD""))
"),500000)</f>
        <v>500000</v>
      </c>
      <c r="P2057" s="4">
        <f ca="1">IFERROR(__xludf.DUMMYFUNCTION("IF(Cost_in_dollars!E2057=""USD"",Cost_in_dollars!C2057,Cost_in_dollars!C2057 * GOOGLEFINANCE(""CURRENCY:"" &amp; Cost_in_dollars!E2057 &amp; ""USD""))
"),52850)</f>
        <v>52850</v>
      </c>
      <c r="Q2057" s="6">
        <f t="shared" ca="1" si="48"/>
        <v>-447150</v>
      </c>
      <c r="R2057" s="7" t="str">
        <f t="shared" si="49"/>
        <v>Finishing the Game: The Search for a New Bruce Lee</v>
      </c>
      <c r="S2057" s="43" t="str">
        <f t="shared" si="50"/>
        <v>Comedy</v>
      </c>
    </row>
    <row r="2058" spans="1:19" ht="15.75" customHeight="1" x14ac:dyDescent="0.25">
      <c r="A2058" s="4" t="s">
        <v>3685</v>
      </c>
      <c r="B2058" s="4">
        <v>149</v>
      </c>
      <c r="C2058" s="4">
        <v>20772796</v>
      </c>
      <c r="D2058" s="4" t="s">
        <v>2179</v>
      </c>
      <c r="E2058" s="4" t="s">
        <v>6815</v>
      </c>
      <c r="F2058" s="4" t="s">
        <v>6816</v>
      </c>
      <c r="G2058" s="4">
        <v>34232</v>
      </c>
      <c r="H2058" s="4" t="s">
        <v>6817</v>
      </c>
      <c r="I2058" s="4">
        <v>346</v>
      </c>
      <c r="J2058" s="4" t="s">
        <v>23</v>
      </c>
      <c r="K2058" s="4" t="s">
        <v>1005</v>
      </c>
      <c r="L2058" s="4">
        <v>6000000</v>
      </c>
      <c r="M2058" s="4">
        <v>2002</v>
      </c>
      <c r="N2058" s="4">
        <v>7.6</v>
      </c>
      <c r="O2058" s="4">
        <f ca="1">IFERROR(__xludf.DUMMYFUNCTION("IF(Cost_in_dollars!E2058=""USD"",Cost_in_dollars!B2058,Cost_in_dollars!B2058 * GOOGLEFINANCE(""CURRENCY:"" &amp; Cost_in_dollars!E2058 &amp; ""USD""))
"),3532470)</f>
        <v>3532470</v>
      </c>
      <c r="P2058" s="4">
        <f ca="1">IFERROR(__xludf.DUMMYFUNCTION("IF(Cost_in_dollars!E2058=""USD"",Cost_in_dollars!C2058,Cost_in_dollars!C2058 * GOOGLEFINANCE(""CURRENCY:"" &amp; Cost_in_dollars!E2058 &amp; ""USD""))
"),12229879.7810199)</f>
        <v>12229879.7810199</v>
      </c>
      <c r="Q2058" s="4">
        <f t="shared" ca="1" si="48"/>
        <v>8697409.7810199</v>
      </c>
      <c r="R2058" s="5" t="str">
        <f t="shared" si="49"/>
        <v>Whale Rider</v>
      </c>
      <c r="S2058" s="43" t="str">
        <f t="shared" si="50"/>
        <v>Drama</v>
      </c>
    </row>
    <row r="2059" spans="1:19" ht="15.75" customHeight="1" x14ac:dyDescent="0.25">
      <c r="A2059" s="6" t="s">
        <v>355</v>
      </c>
      <c r="B2059" s="6">
        <v>34</v>
      </c>
      <c r="C2059" s="6">
        <v>34522221</v>
      </c>
      <c r="D2059" s="6" t="s">
        <v>102</v>
      </c>
      <c r="E2059" s="6" t="s">
        <v>6818</v>
      </c>
      <c r="F2059" s="6" t="s">
        <v>6819</v>
      </c>
      <c r="G2059" s="6">
        <v>15401</v>
      </c>
      <c r="H2059" s="6" t="s">
        <v>6820</v>
      </c>
      <c r="I2059" s="6">
        <v>175</v>
      </c>
      <c r="J2059" s="6" t="s">
        <v>23</v>
      </c>
      <c r="K2059" s="6" t="s">
        <v>24</v>
      </c>
      <c r="L2059" s="6">
        <v>2000000</v>
      </c>
      <c r="M2059" s="6">
        <v>2011</v>
      </c>
      <c r="N2059" s="6">
        <v>7</v>
      </c>
      <c r="O2059" s="4">
        <f ca="1">IFERROR(__xludf.DUMMYFUNCTION("IF(Cost_in_dollars!E2059=""USD"",Cost_in_dollars!B2059,Cost_in_dollars!B2059 * GOOGLEFINANCE(""CURRENCY:"" &amp; Cost_in_dollars!E2059 &amp; ""USD""))
"),2000000)</f>
        <v>2000000</v>
      </c>
      <c r="P2059" s="4">
        <f ca="1">IFERROR(__xludf.DUMMYFUNCTION("IF(Cost_in_dollars!E2059=""USD"",Cost_in_dollars!C2059,Cost_in_dollars!C2059 * GOOGLEFINANCE(""CURRENCY:"" &amp; Cost_in_dollars!E2059 &amp; ""USD""))
"),34522221)</f>
        <v>34522221</v>
      </c>
      <c r="Q2059" s="6">
        <f t="shared" ca="1" si="48"/>
        <v>32522221</v>
      </c>
      <c r="R2059" s="7" t="str">
        <f t="shared" si="49"/>
        <v>Courageous</v>
      </c>
      <c r="S2059" s="43" t="str">
        <f t="shared" si="50"/>
        <v>Drama</v>
      </c>
    </row>
    <row r="2060" spans="1:19" ht="15.75" customHeight="1" x14ac:dyDescent="0.25">
      <c r="A2060" s="4" t="s">
        <v>3790</v>
      </c>
      <c r="B2060" s="4">
        <v>169</v>
      </c>
      <c r="C2060" s="4">
        <v>51853450</v>
      </c>
      <c r="D2060" s="4" t="s">
        <v>2073</v>
      </c>
      <c r="E2060" s="4" t="s">
        <v>865</v>
      </c>
      <c r="F2060" s="4" t="s">
        <v>6821</v>
      </c>
      <c r="G2060" s="4">
        <v>37398</v>
      </c>
      <c r="H2060" s="4" t="s">
        <v>6822</v>
      </c>
      <c r="I2060" s="4">
        <v>110</v>
      </c>
      <c r="J2060" s="4" t="s">
        <v>23</v>
      </c>
      <c r="K2060" s="4" t="s">
        <v>24</v>
      </c>
      <c r="L2060" s="4">
        <v>25000000</v>
      </c>
      <c r="M2060" s="4">
        <v>2012</v>
      </c>
      <c r="N2060" s="4">
        <v>6.6</v>
      </c>
      <c r="O2060" s="4">
        <f ca="1">IFERROR(__xludf.DUMMYFUNCTION("IF(Cost_in_dollars!E2060=""USD"",Cost_in_dollars!B2060,Cost_in_dollars!B2060 * GOOGLEFINANCE(""CURRENCY:"" &amp; Cost_in_dollars!E2060 &amp; ""USD""))
"),25000000)</f>
        <v>25000000</v>
      </c>
      <c r="P2060" s="4">
        <f ca="1">IFERROR(__xludf.DUMMYFUNCTION("IF(Cost_in_dollars!E2060=""USD"",Cost_in_dollars!C2060,Cost_in_dollars!C2060 * GOOGLEFINANCE(""CURRENCY:"" &amp; Cost_in_dollars!E2060 &amp; ""USD""))
"),51853450)</f>
        <v>51853450</v>
      </c>
      <c r="Q2060" s="4">
        <f t="shared" ca="1" si="48"/>
        <v>26853450</v>
      </c>
      <c r="R2060" s="5" t="str">
        <f t="shared" si="49"/>
        <v>The Odd Life of Timothy Green</v>
      </c>
      <c r="S2060" s="43" t="str">
        <f t="shared" si="50"/>
        <v>Comedy</v>
      </c>
    </row>
    <row r="2061" spans="1:19" ht="15.75" customHeight="1" x14ac:dyDescent="0.25">
      <c r="A2061" s="6" t="s">
        <v>6823</v>
      </c>
      <c r="B2061" s="6">
        <v>14</v>
      </c>
      <c r="C2061" s="6">
        <v>92362</v>
      </c>
      <c r="D2061" s="6" t="s">
        <v>457</v>
      </c>
      <c r="E2061" s="6" t="s">
        <v>168</v>
      </c>
      <c r="F2061" s="6" t="s">
        <v>6824</v>
      </c>
      <c r="G2061" s="6">
        <v>444</v>
      </c>
      <c r="H2061" s="6" t="s">
        <v>109</v>
      </c>
      <c r="I2061" s="6">
        <v>5</v>
      </c>
      <c r="J2061" s="6" t="s">
        <v>23</v>
      </c>
      <c r="K2061" s="6" t="s">
        <v>24</v>
      </c>
      <c r="L2061" s="6">
        <v>1500000</v>
      </c>
      <c r="M2061" s="6">
        <v>2005</v>
      </c>
      <c r="N2061" s="6">
        <v>4.3</v>
      </c>
      <c r="O2061" s="4">
        <f ca="1">IFERROR(__xludf.DUMMYFUNCTION("IF(Cost_in_dollars!E2061=""USD"",Cost_in_dollars!B2061,Cost_in_dollars!B2061 * GOOGLEFINANCE(""CURRENCY:"" &amp; Cost_in_dollars!E2061 &amp; ""USD""))
"),1500000)</f>
        <v>1500000</v>
      </c>
      <c r="P2061" s="4">
        <f ca="1">IFERROR(__xludf.DUMMYFUNCTION("IF(Cost_in_dollars!E2061=""USD"",Cost_in_dollars!C2061,Cost_in_dollars!C2061 * GOOGLEFINANCE(""CURRENCY:"" &amp; Cost_in_dollars!E2061 &amp; ""USD""))
"),92362)</f>
        <v>92362</v>
      </c>
      <c r="Q2061" s="6">
        <f t="shared" ca="1" si="48"/>
        <v>-1407638</v>
      </c>
      <c r="R2061" s="7" t="str">
        <f t="shared" si="49"/>
        <v>The Salon</v>
      </c>
      <c r="S2061" s="43" t="str">
        <f t="shared" si="50"/>
        <v>Comedy</v>
      </c>
    </row>
    <row r="2062" spans="1:19" ht="15.75" customHeight="1" x14ac:dyDescent="0.25">
      <c r="A2062" s="4" t="s">
        <v>1350</v>
      </c>
      <c r="B2062" s="4">
        <v>83</v>
      </c>
      <c r="C2062" s="4">
        <v>10106233</v>
      </c>
      <c r="D2062" s="4" t="s">
        <v>457</v>
      </c>
      <c r="E2062" s="4" t="s">
        <v>6825</v>
      </c>
      <c r="F2062" s="4" t="s">
        <v>6826</v>
      </c>
      <c r="G2062" s="4">
        <v>12702</v>
      </c>
      <c r="H2062" s="4" t="s">
        <v>6827</v>
      </c>
      <c r="I2062" s="4">
        <v>32</v>
      </c>
      <c r="J2062" s="4" t="s">
        <v>23</v>
      </c>
      <c r="K2062" s="4" t="s">
        <v>24</v>
      </c>
      <c r="L2062" s="4">
        <v>8000000</v>
      </c>
      <c r="M2062" s="4">
        <v>2011</v>
      </c>
      <c r="N2062" s="4">
        <v>5.4</v>
      </c>
      <c r="O2062" s="4">
        <f ca="1">IFERROR(__xludf.DUMMYFUNCTION("IF(Cost_in_dollars!E2062=""USD"",Cost_in_dollars!B2062,Cost_in_dollars!B2062 * GOOGLEFINANCE(""CURRENCY:"" &amp; Cost_in_dollars!E2062 &amp; ""USD""))
"),8000000)</f>
        <v>8000000</v>
      </c>
      <c r="P2062" s="4">
        <f ca="1">IFERROR(__xludf.DUMMYFUNCTION("IF(Cost_in_dollars!E2062=""USD"",Cost_in_dollars!C2062,Cost_in_dollars!C2062 * GOOGLEFINANCE(""CURRENCY:"" &amp; Cost_in_dollars!E2062 &amp; ""USD""))
"),10106233)</f>
        <v>10106233</v>
      </c>
      <c r="Q2062" s="4">
        <f t="shared" ca="1" si="48"/>
        <v>2106233</v>
      </c>
      <c r="R2062" s="5" t="str">
        <f t="shared" si="49"/>
        <v>Prom</v>
      </c>
      <c r="S2062" s="43" t="str">
        <f t="shared" si="50"/>
        <v>Comedy</v>
      </c>
    </row>
    <row r="2063" spans="1:19" ht="15.75" customHeight="1" x14ac:dyDescent="0.25">
      <c r="A2063" s="6" t="s">
        <v>2148</v>
      </c>
      <c r="B2063" s="6">
        <v>153</v>
      </c>
      <c r="C2063" s="6">
        <v>115731542</v>
      </c>
      <c r="D2063" s="6" t="s">
        <v>162</v>
      </c>
      <c r="E2063" s="6" t="s">
        <v>464</v>
      </c>
      <c r="F2063" s="6" t="s">
        <v>6828</v>
      </c>
      <c r="G2063" s="6">
        <v>151812</v>
      </c>
      <c r="H2063" s="6" t="s">
        <v>6829</v>
      </c>
      <c r="I2063" s="6">
        <v>556</v>
      </c>
      <c r="J2063" s="6" t="s">
        <v>23</v>
      </c>
      <c r="K2063" s="6" t="s">
        <v>24</v>
      </c>
      <c r="L2063" s="6">
        <v>65000000</v>
      </c>
      <c r="M2063" s="6">
        <v>1998</v>
      </c>
      <c r="N2063" s="6">
        <v>6.5</v>
      </c>
      <c r="O2063" s="4">
        <f ca="1">IFERROR(__xludf.DUMMYFUNCTION("IF(Cost_in_dollars!E2063=""USD"",Cost_in_dollars!B2063,Cost_in_dollars!B2063 * GOOGLEFINANCE(""CURRENCY:"" &amp; Cost_in_dollars!E2063 &amp; ""USD""))
"),65000000)</f>
        <v>65000000</v>
      </c>
      <c r="P2063" s="4">
        <f ca="1">IFERROR(__xludf.DUMMYFUNCTION("IF(Cost_in_dollars!E2063=""USD"",Cost_in_dollars!C2063,Cost_in_dollars!C2063 * GOOGLEFINANCE(""CURRENCY:"" &amp; Cost_in_dollars!E2063 &amp; ""USD""))
"),115731542)</f>
        <v>115731542</v>
      </c>
      <c r="Q2063" s="6">
        <f t="shared" ca="1" si="48"/>
        <v>50731542</v>
      </c>
      <c r="R2063" s="7" t="str">
        <f t="shared" si="49"/>
        <v>You've Got Mail</v>
      </c>
      <c r="S2063" s="43" t="str">
        <f t="shared" si="50"/>
        <v>Comedy</v>
      </c>
    </row>
    <row r="2064" spans="1:19" ht="15.75" customHeight="1" x14ac:dyDescent="0.25">
      <c r="A2064" s="4" t="s">
        <v>6830</v>
      </c>
      <c r="B2064" s="4">
        <v>104</v>
      </c>
      <c r="C2064" s="4">
        <v>13491653</v>
      </c>
      <c r="D2064" s="4" t="s">
        <v>372</v>
      </c>
      <c r="E2064" s="4" t="s">
        <v>2107</v>
      </c>
      <c r="F2064" s="4" t="s">
        <v>6831</v>
      </c>
      <c r="G2064" s="4">
        <v>23728</v>
      </c>
      <c r="H2064" s="4" t="s">
        <v>6832</v>
      </c>
      <c r="I2064" s="4">
        <v>213</v>
      </c>
      <c r="J2064" s="4" t="s">
        <v>23</v>
      </c>
      <c r="K2064" s="4" t="s">
        <v>24</v>
      </c>
      <c r="L2064" s="4">
        <v>18000000</v>
      </c>
      <c r="M2064" s="4">
        <v>2001</v>
      </c>
      <c r="N2064" s="4">
        <v>6.1</v>
      </c>
      <c r="O2064" s="4">
        <f ca="1">IFERROR(__xludf.DUMMYFUNCTION("IF(Cost_in_dollars!E2064=""USD"",Cost_in_dollars!B2064,Cost_in_dollars!B2064 * GOOGLEFINANCE(""CURRENCY:"" &amp; Cost_in_dollars!E2064 &amp; ""USD""))
"),18000000)</f>
        <v>18000000</v>
      </c>
      <c r="P2064" s="4">
        <f ca="1">IFERROR(__xludf.DUMMYFUNCTION("IF(Cost_in_dollars!E2064=""USD"",Cost_in_dollars!C2064,Cost_in_dollars!C2064 * GOOGLEFINANCE(""CURRENCY:"" &amp; Cost_in_dollars!E2064 &amp; ""USD""))
"),13491653)</f>
        <v>13491653</v>
      </c>
      <c r="Q2064" s="4">
        <f t="shared" ca="1" si="48"/>
        <v>-4508347</v>
      </c>
      <c r="R2064" s="5" t="str">
        <f t="shared" si="49"/>
        <v>The Tailor of Panama</v>
      </c>
      <c r="S2064" s="43" t="str">
        <f t="shared" si="50"/>
        <v>Drama</v>
      </c>
    </row>
    <row r="2065" spans="1:19" ht="15.75" customHeight="1" x14ac:dyDescent="0.25">
      <c r="A2065" s="6" t="s">
        <v>6833</v>
      </c>
      <c r="B2065" s="6">
        <v>51</v>
      </c>
      <c r="C2065" s="6">
        <v>265107</v>
      </c>
      <c r="D2065" s="6" t="s">
        <v>6834</v>
      </c>
      <c r="E2065" s="6" t="s">
        <v>6835</v>
      </c>
      <c r="F2065" s="6" t="s">
        <v>6836</v>
      </c>
      <c r="G2065" s="6">
        <v>4617</v>
      </c>
      <c r="H2065" s="6" t="s">
        <v>6837</v>
      </c>
      <c r="I2065" s="6">
        <v>93</v>
      </c>
      <c r="J2065" s="6" t="s">
        <v>23</v>
      </c>
      <c r="K2065" s="6" t="s">
        <v>149</v>
      </c>
      <c r="L2065" s="6">
        <v>1500000</v>
      </c>
      <c r="M2065" s="6">
        <v>2000</v>
      </c>
      <c r="N2065" s="6">
        <v>6.3</v>
      </c>
      <c r="O2065" s="4">
        <f ca="1">IFERROR(__xludf.DUMMYFUNCTION("IF(Cost_in_dollars!E2065=""USD"",Cost_in_dollars!B2065,Cost_in_dollars!B2065 * GOOGLEFINANCE(""CURRENCY:"" &amp; Cost_in_dollars!E2065 &amp; ""USD""))
"),980820)</f>
        <v>980820</v>
      </c>
      <c r="P2065" s="4">
        <f ca="1">IFERROR(__xludf.DUMMYFUNCTION("IF(Cost_in_dollars!E2065=""USD"",Cost_in_dollars!C2065,Cost_in_dollars!C2065 * GOOGLEFINANCE(""CURRENCY:"" &amp; Cost_in_dollars!E2065 &amp; ""USD""))
"),173348.16516)</f>
        <v>173348.16516</v>
      </c>
      <c r="Q2065" s="6">
        <f t="shared" ca="1" si="48"/>
        <v>-807471.83484000002</v>
      </c>
      <c r="R2065" s="7" t="str">
        <f t="shared" si="49"/>
        <v>Psycho Beach Party</v>
      </c>
      <c r="S2065" s="43" t="str">
        <f t="shared" si="50"/>
        <v>Comedy</v>
      </c>
    </row>
    <row r="2066" spans="1:19" ht="15.75" customHeight="1" x14ac:dyDescent="0.25">
      <c r="A2066" s="4" t="s">
        <v>4692</v>
      </c>
      <c r="B2066" s="4">
        <v>83</v>
      </c>
      <c r="C2066" s="4">
        <v>56876365</v>
      </c>
      <c r="D2066" s="4" t="s">
        <v>639</v>
      </c>
      <c r="E2066" s="4" t="s">
        <v>1358</v>
      </c>
      <c r="F2066" s="4" t="s">
        <v>6838</v>
      </c>
      <c r="G2066" s="4">
        <v>125219</v>
      </c>
      <c r="H2066" s="4" t="s">
        <v>6839</v>
      </c>
      <c r="I2066" s="4">
        <v>244</v>
      </c>
      <c r="J2066" s="4" t="s">
        <v>23</v>
      </c>
      <c r="K2066" s="4" t="s">
        <v>24</v>
      </c>
      <c r="L2066" s="4">
        <v>35000000</v>
      </c>
      <c r="M2066" s="4">
        <v>1998</v>
      </c>
      <c r="N2066" s="4">
        <v>6.4</v>
      </c>
      <c r="O2066" s="4">
        <f ca="1">IFERROR(__xludf.DUMMYFUNCTION("IF(Cost_in_dollars!E2066=""USD"",Cost_in_dollars!B2066,Cost_in_dollars!B2066 * GOOGLEFINANCE(""CURRENCY:"" &amp; Cost_in_dollars!E2066 &amp; ""USD""))
"),35000000)</f>
        <v>35000000</v>
      </c>
      <c r="P2066" s="4">
        <f ca="1">IFERROR(__xludf.DUMMYFUNCTION("IF(Cost_in_dollars!E2066=""USD"",Cost_in_dollars!C2066,Cost_in_dollars!C2066 * GOOGLEFINANCE(""CURRENCY:"" &amp; Cost_in_dollars!E2066 &amp; ""USD""))
"),56876365)</f>
        <v>56876365</v>
      </c>
      <c r="Q2066" s="4">
        <f t="shared" ca="1" si="48"/>
        <v>21876365</v>
      </c>
      <c r="R2066" s="5" t="str">
        <f t="shared" si="49"/>
        <v>The Man in the Iron Mask</v>
      </c>
      <c r="S2066" s="43" t="str">
        <f t="shared" si="50"/>
        <v>Action</v>
      </c>
    </row>
    <row r="2067" spans="1:19" ht="15.75" customHeight="1" x14ac:dyDescent="0.25">
      <c r="A2067" s="6" t="s">
        <v>847</v>
      </c>
      <c r="B2067" s="6">
        <v>110</v>
      </c>
      <c r="C2067" s="6">
        <v>301305</v>
      </c>
      <c r="D2067" s="6" t="s">
        <v>3446</v>
      </c>
      <c r="E2067" s="6" t="s">
        <v>6840</v>
      </c>
      <c r="F2067" s="6" t="s">
        <v>6841</v>
      </c>
      <c r="G2067" s="6">
        <v>31414</v>
      </c>
      <c r="H2067" s="6" t="s">
        <v>6842</v>
      </c>
      <c r="I2067" s="6">
        <v>180</v>
      </c>
      <c r="J2067" s="6" t="s">
        <v>6843</v>
      </c>
      <c r="K2067" s="6" t="s">
        <v>24</v>
      </c>
      <c r="L2067" s="6">
        <v>13000000</v>
      </c>
      <c r="M2067" s="6">
        <v>2011</v>
      </c>
      <c r="N2067" s="6">
        <v>4.3</v>
      </c>
      <c r="O2067" s="4">
        <f ca="1">IFERROR(__xludf.DUMMYFUNCTION("IF(Cost_in_dollars!E2067=""USD"",Cost_in_dollars!B2067,Cost_in_dollars!B2067 * GOOGLEFINANCE(""CURRENCY:"" &amp; Cost_in_dollars!E2067 &amp; ""USD""))
"),13000000)</f>
        <v>13000000</v>
      </c>
      <c r="P2067" s="4">
        <f ca="1">IFERROR(__xludf.DUMMYFUNCTION("IF(Cost_in_dollars!E2067=""USD"",Cost_in_dollars!C2067,Cost_in_dollars!C2067 * GOOGLEFINANCE(""CURRENCY:"" &amp; Cost_in_dollars!E2067 &amp; ""USD""))
"),301305)</f>
        <v>301305</v>
      </c>
      <c r="Q2067" s="6">
        <f t="shared" ca="1" si="48"/>
        <v>-12698695</v>
      </c>
      <c r="R2067" s="7" t="str">
        <f t="shared" si="49"/>
        <v>In the Land of Blood and Honey</v>
      </c>
      <c r="S2067" s="43" t="str">
        <f t="shared" si="50"/>
        <v>Drama</v>
      </c>
    </row>
    <row r="2068" spans="1:19" ht="15.75" customHeight="1" x14ac:dyDescent="0.25">
      <c r="A2068" s="4" t="s">
        <v>291</v>
      </c>
      <c r="B2068" s="4">
        <v>59</v>
      </c>
      <c r="C2068" s="4">
        <v>48114556</v>
      </c>
      <c r="D2068" s="4" t="s">
        <v>4756</v>
      </c>
      <c r="E2068" s="4" t="s">
        <v>6844</v>
      </c>
      <c r="F2068" s="4" t="s">
        <v>6845</v>
      </c>
      <c r="G2068" s="4">
        <v>9380</v>
      </c>
      <c r="H2068" s="4" t="s">
        <v>6846</v>
      </c>
      <c r="I2068" s="4">
        <v>91</v>
      </c>
      <c r="J2068" s="4" t="s">
        <v>23</v>
      </c>
      <c r="K2068" s="4" t="s">
        <v>24</v>
      </c>
      <c r="L2068" s="4">
        <v>26000000</v>
      </c>
      <c r="M2068" s="4">
        <v>2004</v>
      </c>
      <c r="N2068" s="4">
        <v>4.3</v>
      </c>
      <c r="O2068" s="4">
        <f ca="1">IFERROR(__xludf.DUMMYFUNCTION("IF(Cost_in_dollars!E2068=""USD"",Cost_in_dollars!B2068,Cost_in_dollars!B2068 * GOOGLEFINANCE(""CURRENCY:"" &amp; Cost_in_dollars!E2068 &amp; ""USD""))
"),26000000)</f>
        <v>26000000</v>
      </c>
      <c r="P2068" s="4">
        <f ca="1">IFERROR(__xludf.DUMMYFUNCTION("IF(Cost_in_dollars!E2068=""USD"",Cost_in_dollars!C2068,Cost_in_dollars!C2068 * GOOGLEFINANCE(""CURRENCY:"" &amp; Cost_in_dollars!E2068 &amp; ""USD""))
"),48114556)</f>
        <v>48114556</v>
      </c>
      <c r="Q2068" s="4">
        <f t="shared" ca="1" si="48"/>
        <v>22114556</v>
      </c>
      <c r="R2068" s="5" t="str">
        <f t="shared" si="49"/>
        <v>Fat Albert</v>
      </c>
      <c r="S2068" s="43" t="str">
        <f t="shared" si="50"/>
        <v>Comedy</v>
      </c>
    </row>
    <row r="2069" spans="1:19" ht="15.75" customHeight="1" x14ac:dyDescent="0.25">
      <c r="A2069" s="6" t="s">
        <v>6847</v>
      </c>
      <c r="B2069" s="6">
        <v>358</v>
      </c>
      <c r="C2069" s="6">
        <v>155181732</v>
      </c>
      <c r="D2069" s="6" t="s">
        <v>928</v>
      </c>
      <c r="E2069" s="6" t="s">
        <v>49</v>
      </c>
      <c r="F2069" s="6" t="s">
        <v>6848</v>
      </c>
      <c r="G2069" s="6">
        <v>147497</v>
      </c>
      <c r="H2069" s="6" t="s">
        <v>6849</v>
      </c>
      <c r="I2069" s="6">
        <v>499</v>
      </c>
      <c r="J2069" s="6" t="s">
        <v>23</v>
      </c>
      <c r="K2069" s="6" t="s">
        <v>24</v>
      </c>
      <c r="L2069" s="6">
        <v>110000000</v>
      </c>
      <c r="M2069" s="6">
        <v>2015</v>
      </c>
      <c r="N2069" s="6">
        <v>6.1</v>
      </c>
      <c r="O2069" s="4">
        <f ca="1">IFERROR(__xludf.DUMMYFUNCTION("IF(Cost_in_dollars!E2069=""USD"",Cost_in_dollars!B2069,Cost_in_dollars!B2069 * GOOGLEFINANCE(""CURRENCY:"" &amp; Cost_in_dollars!E2069 &amp; ""USD""))
"),110000000)</f>
        <v>110000000</v>
      </c>
      <c r="P2069" s="4">
        <f ca="1">IFERROR(__xludf.DUMMYFUNCTION("IF(Cost_in_dollars!E2069=""USD"",Cost_in_dollars!C2069,Cost_in_dollars!C2069 * GOOGLEFINANCE(""CURRENCY:"" &amp; Cost_in_dollars!E2069 &amp; ""USD""))
"),155181732)</f>
        <v>155181732</v>
      </c>
      <c r="Q2069" s="6">
        <f t="shared" ca="1" si="48"/>
        <v>45181732</v>
      </c>
      <c r="R2069" s="7" t="str">
        <f t="shared" si="49"/>
        <v>San Andreas</v>
      </c>
      <c r="S2069" s="43" t="str">
        <f t="shared" si="50"/>
        <v>Action</v>
      </c>
    </row>
    <row r="2070" spans="1:19" ht="15.75" customHeight="1" x14ac:dyDescent="0.25">
      <c r="A2070" s="4" t="s">
        <v>3989</v>
      </c>
      <c r="B2070" s="4">
        <v>160</v>
      </c>
      <c r="C2070" s="4">
        <v>476270</v>
      </c>
      <c r="D2070" s="4" t="s">
        <v>6850</v>
      </c>
      <c r="E2070" s="4" t="s">
        <v>1586</v>
      </c>
      <c r="F2070" s="4" t="s">
        <v>6851</v>
      </c>
      <c r="G2070" s="4">
        <v>29602</v>
      </c>
      <c r="H2070" s="4" t="s">
        <v>6852</v>
      </c>
      <c r="I2070" s="4">
        <v>110</v>
      </c>
      <c r="J2070" s="4" t="s">
        <v>1045</v>
      </c>
      <c r="K2070" s="4" t="s">
        <v>176</v>
      </c>
      <c r="L2070" s="4">
        <v>20000000</v>
      </c>
      <c r="M2070" s="4">
        <v>2008</v>
      </c>
      <c r="N2070" s="4">
        <v>7.4</v>
      </c>
      <c r="O2070" s="4">
        <f ca="1">IFERROR(__xludf.DUMMYFUNCTION("IF(Cost_in_dollars!E2070=""USD"",Cost_in_dollars!B2070,Cost_in_dollars!B2070 * GOOGLEFINANCE(""CURRENCY:"" &amp; Cost_in_dollars!E2070 &amp; ""USD""))
"),21694800)</f>
        <v>21694800</v>
      </c>
      <c r="P2070" s="4">
        <f ca="1">IFERROR(__xludf.DUMMYFUNCTION("IF(Cost_in_dollars!E2070=""USD"",Cost_in_dollars!C2070,Cost_in_dollars!C2070 * GOOGLEFINANCE(""CURRENCY:"" &amp; Cost_in_dollars!E2070 &amp; ""USD""))
"),516629.1198)</f>
        <v>516629.11979999999</v>
      </c>
      <c r="Q2070" s="4">
        <f t="shared" ca="1" si="48"/>
        <v>-21178170.880199999</v>
      </c>
      <c r="R2070" s="5" t="str">
        <f t="shared" si="49"/>
        <v>The Baader Meinhof Complex</v>
      </c>
      <c r="S2070" s="43" t="str">
        <f t="shared" si="50"/>
        <v>Action</v>
      </c>
    </row>
    <row r="2071" spans="1:19" ht="15.75" customHeight="1" x14ac:dyDescent="0.25">
      <c r="A2071" s="6" t="s">
        <v>1155</v>
      </c>
      <c r="B2071" s="6">
        <v>225</v>
      </c>
      <c r="C2071" s="6">
        <v>29136626</v>
      </c>
      <c r="D2071" s="6" t="s">
        <v>6853</v>
      </c>
      <c r="E2071" s="6" t="s">
        <v>6854</v>
      </c>
      <c r="F2071" s="6" t="s">
        <v>6855</v>
      </c>
      <c r="G2071" s="6">
        <v>97089</v>
      </c>
      <c r="H2071" s="6" t="s">
        <v>6856</v>
      </c>
      <c r="I2071" s="6">
        <v>233</v>
      </c>
      <c r="J2071" s="6" t="s">
        <v>23</v>
      </c>
      <c r="K2071" s="6" t="s">
        <v>24</v>
      </c>
      <c r="L2071" s="6">
        <v>60000000</v>
      </c>
      <c r="M2071" s="6">
        <v>2011</v>
      </c>
      <c r="N2071" s="6">
        <v>5.7</v>
      </c>
      <c r="O2071" s="4">
        <f ca="1">IFERROR(__xludf.DUMMYFUNCTION("IF(Cost_in_dollars!E2071=""USD"",Cost_in_dollars!B2071,Cost_in_dollars!B2071 * GOOGLEFINANCE(""CURRENCY:"" &amp; Cost_in_dollars!E2071 &amp; ""USD""))
"),60000000)</f>
        <v>60000000</v>
      </c>
      <c r="P2071" s="4">
        <f ca="1">IFERROR(__xludf.DUMMYFUNCTION("IF(Cost_in_dollars!E2071=""USD"",Cost_in_dollars!C2071,Cost_in_dollars!C2071 * GOOGLEFINANCE(""CURRENCY:"" &amp; Cost_in_dollars!E2071 &amp; ""USD""))
"),29136626)</f>
        <v>29136626</v>
      </c>
      <c r="Q2071" s="6">
        <f t="shared" ca="1" si="48"/>
        <v>-30863374</v>
      </c>
      <c r="R2071" s="7" t="str">
        <f t="shared" si="49"/>
        <v>Priest</v>
      </c>
      <c r="S2071" s="43" t="str">
        <f t="shared" si="50"/>
        <v>Action</v>
      </c>
    </row>
    <row r="2072" spans="1:19" ht="15.75" customHeight="1" x14ac:dyDescent="0.25">
      <c r="A2072" s="4" t="s">
        <v>6857</v>
      </c>
      <c r="B2072" s="4">
        <v>62</v>
      </c>
      <c r="C2072" s="4">
        <v>23978402</v>
      </c>
      <c r="D2072" s="4" t="s">
        <v>443</v>
      </c>
      <c r="E2072" s="4" t="s">
        <v>5761</v>
      </c>
      <c r="F2072" s="4" t="s">
        <v>6858</v>
      </c>
      <c r="G2072" s="4">
        <v>10966</v>
      </c>
      <c r="H2072" s="4" t="s">
        <v>6859</v>
      </c>
      <c r="I2072" s="4">
        <v>100</v>
      </c>
      <c r="J2072" s="4" t="s">
        <v>23</v>
      </c>
      <c r="K2072" s="4" t="s">
        <v>24</v>
      </c>
      <c r="L2072" s="4">
        <v>11000000</v>
      </c>
      <c r="M2072" s="4">
        <v>2001</v>
      </c>
      <c r="N2072" s="4">
        <v>4.5999999999999996</v>
      </c>
      <c r="O2072" s="4">
        <f ca="1">IFERROR(__xludf.DUMMYFUNCTION("IF(Cost_in_dollars!E2072=""USD"",Cost_in_dollars!B2072,Cost_in_dollars!B2072 * GOOGLEFINANCE(""CURRENCY:"" &amp; Cost_in_dollars!E2072 &amp; ""USD""))
"),11000000)</f>
        <v>11000000</v>
      </c>
      <c r="P2072" s="4">
        <f ca="1">IFERROR(__xludf.DUMMYFUNCTION("IF(Cost_in_dollars!E2072=""USD"",Cost_in_dollars!C2072,Cost_in_dollars!C2072 * GOOGLEFINANCE(""CURRENCY:"" &amp; Cost_in_dollars!E2072 &amp; ""USD""))
"),23978402)</f>
        <v>23978402</v>
      </c>
      <c r="Q2072" s="4">
        <f t="shared" ca="1" si="48"/>
        <v>12978402</v>
      </c>
      <c r="R2072" s="5" t="str">
        <f t="shared" si="49"/>
        <v>Corky Romano</v>
      </c>
      <c r="S2072" s="43" t="str">
        <f t="shared" si="50"/>
        <v>Comedy</v>
      </c>
    </row>
    <row r="2073" spans="1:19" ht="15.75" customHeight="1" x14ac:dyDescent="0.25">
      <c r="A2073" s="6" t="s">
        <v>6860</v>
      </c>
      <c r="B2073" s="6">
        <v>47</v>
      </c>
      <c r="C2073" s="6">
        <v>50024083</v>
      </c>
      <c r="D2073" s="6" t="s">
        <v>1099</v>
      </c>
      <c r="E2073" s="6" t="s">
        <v>496</v>
      </c>
      <c r="F2073" s="6" t="s">
        <v>6861</v>
      </c>
      <c r="G2073" s="6">
        <v>35918</v>
      </c>
      <c r="H2073" s="6" t="s">
        <v>6862</v>
      </c>
      <c r="I2073" s="6">
        <v>126</v>
      </c>
      <c r="J2073" s="6" t="s">
        <v>23</v>
      </c>
      <c r="K2073" s="6" t="s">
        <v>24</v>
      </c>
      <c r="L2073" s="6">
        <v>60000000</v>
      </c>
      <c r="M2073" s="6">
        <v>1995</v>
      </c>
      <c r="N2073" s="6">
        <v>5.4</v>
      </c>
      <c r="O2073" s="4">
        <f ca="1">IFERROR(__xludf.DUMMYFUNCTION("IF(Cost_in_dollars!E2073=""USD"",Cost_in_dollars!B2073,Cost_in_dollars!B2073 * GOOGLEFINANCE(""CURRENCY:"" &amp; Cost_in_dollars!E2073 &amp; ""USD""))
"),60000000)</f>
        <v>60000000</v>
      </c>
      <c r="P2073" s="4">
        <f ca="1">IFERROR(__xludf.DUMMYFUNCTION("IF(Cost_in_dollars!E2073=""USD"",Cost_in_dollars!C2073,Cost_in_dollars!C2073 * GOOGLEFINANCE(""CURRENCY:"" &amp; Cost_in_dollars!E2073 &amp; ""USD""))
"),50024083)</f>
        <v>50024083</v>
      </c>
      <c r="Q2073" s="6">
        <f t="shared" ca="1" si="48"/>
        <v>-9975917</v>
      </c>
      <c r="R2073" s="7" t="str">
        <f t="shared" si="49"/>
        <v>Under Siege 2: Dark Territory</v>
      </c>
      <c r="S2073" s="43" t="str">
        <f t="shared" si="50"/>
        <v>Action</v>
      </c>
    </row>
    <row r="2074" spans="1:19" ht="15.75" customHeight="1" x14ac:dyDescent="0.25">
      <c r="A2074" s="4" t="s">
        <v>952</v>
      </c>
      <c r="B2074" s="4">
        <v>24</v>
      </c>
      <c r="C2074" s="4">
        <v>48092846</v>
      </c>
      <c r="D2074" s="4" t="s">
        <v>6863</v>
      </c>
      <c r="E2074" s="4" t="s">
        <v>2050</v>
      </c>
      <c r="F2074" s="4" t="s">
        <v>6864</v>
      </c>
      <c r="G2074" s="4">
        <v>61753</v>
      </c>
      <c r="H2074" s="4" t="s">
        <v>6865</v>
      </c>
      <c r="I2074" s="4">
        <v>133</v>
      </c>
      <c r="J2074" s="4" t="s">
        <v>23</v>
      </c>
      <c r="K2074" s="4" t="s">
        <v>24</v>
      </c>
      <c r="L2074" s="4">
        <v>12500000</v>
      </c>
      <c r="M2074" s="4">
        <v>1988</v>
      </c>
      <c r="N2074" s="4">
        <v>7.3</v>
      </c>
      <c r="O2074" s="4">
        <f ca="1">IFERROR(__xludf.DUMMYFUNCTION("IF(Cost_in_dollars!E2074=""USD"",Cost_in_dollars!B2074,Cost_in_dollars!B2074 * GOOGLEFINANCE(""CURRENCY:"" &amp; Cost_in_dollars!E2074 &amp; ""USD""))
"),12500000)</f>
        <v>12500000</v>
      </c>
      <c r="P2074" s="4">
        <f ca="1">IFERROR(__xludf.DUMMYFUNCTION("IF(Cost_in_dollars!E2074=""USD"",Cost_in_dollars!C2074,Cost_in_dollars!C2074 * GOOGLEFINANCE(""CURRENCY:"" &amp; Cost_in_dollars!E2074 &amp; ""USD""))
"),48092846)</f>
        <v>48092846</v>
      </c>
      <c r="Q2074" s="4">
        <f t="shared" ca="1" si="48"/>
        <v>35592846</v>
      </c>
      <c r="R2074" s="5" t="str">
        <f t="shared" si="49"/>
        <v>The Land Before Time</v>
      </c>
      <c r="S2074" s="43" t="str">
        <f t="shared" si="50"/>
        <v>Adventure</v>
      </c>
    </row>
    <row r="2075" spans="1:19" ht="15.75" customHeight="1" x14ac:dyDescent="0.25">
      <c r="A2075" s="6" t="s">
        <v>6866</v>
      </c>
      <c r="B2075" s="6">
        <v>252</v>
      </c>
      <c r="C2075" s="6">
        <v>21483154</v>
      </c>
      <c r="D2075" s="6" t="s">
        <v>682</v>
      </c>
      <c r="E2075" s="6" t="s">
        <v>6867</v>
      </c>
      <c r="F2075" s="6" t="s">
        <v>6868</v>
      </c>
      <c r="G2075" s="6">
        <v>98741</v>
      </c>
      <c r="H2075" s="6" t="s">
        <v>6869</v>
      </c>
      <c r="I2075" s="6">
        <v>236</v>
      </c>
      <c r="J2075" s="6" t="s">
        <v>23</v>
      </c>
      <c r="K2075" s="6" t="s">
        <v>24</v>
      </c>
      <c r="L2075" s="6">
        <v>19000000</v>
      </c>
      <c r="M2075" s="6">
        <v>2013</v>
      </c>
      <c r="N2075" s="6">
        <v>7.6</v>
      </c>
      <c r="O2075" s="4">
        <f ca="1">IFERROR(__xludf.DUMMYFUNCTION("IF(Cost_in_dollars!E2075=""USD"",Cost_in_dollars!B2075,Cost_in_dollars!B2075 * GOOGLEFINANCE(""CURRENCY:"" &amp; Cost_in_dollars!E2075 &amp; ""USD""))
"),19000000)</f>
        <v>19000000</v>
      </c>
      <c r="P2075" s="4">
        <f ca="1">IFERROR(__xludf.DUMMYFUNCTION("IF(Cost_in_dollars!E2075=""USD"",Cost_in_dollars!C2075,Cost_in_dollars!C2075 * GOOGLEFINANCE(""CURRENCY:"" &amp; Cost_in_dollars!E2075 &amp; ""USD""))
"),21483154)</f>
        <v>21483154</v>
      </c>
      <c r="Q2075" s="6">
        <f t="shared" ca="1" si="48"/>
        <v>2483154</v>
      </c>
      <c r="R2075" s="7" t="str">
        <f t="shared" si="49"/>
        <v>The Book Thief</v>
      </c>
      <c r="S2075" s="43" t="str">
        <f t="shared" si="50"/>
        <v>Drama</v>
      </c>
    </row>
    <row r="2076" spans="1:19" ht="15.75" customHeight="1" x14ac:dyDescent="0.25">
      <c r="A2076" s="4" t="s">
        <v>4332</v>
      </c>
      <c r="B2076" s="4">
        <v>288</v>
      </c>
      <c r="C2076" s="4">
        <v>11326836</v>
      </c>
      <c r="D2076" s="4" t="s">
        <v>116</v>
      </c>
      <c r="E2076" s="4" t="s">
        <v>1595</v>
      </c>
      <c r="F2076" s="4" t="s">
        <v>6870</v>
      </c>
      <c r="G2076" s="4">
        <v>83171</v>
      </c>
      <c r="H2076" s="4" t="s">
        <v>6871</v>
      </c>
      <c r="I2076" s="4">
        <v>231</v>
      </c>
      <c r="J2076" s="4" t="s">
        <v>23</v>
      </c>
      <c r="K2076" s="4" t="s">
        <v>24</v>
      </c>
      <c r="L2076" s="4">
        <v>22000000</v>
      </c>
      <c r="M2076" s="4">
        <v>2013</v>
      </c>
      <c r="N2076" s="4">
        <v>6.8</v>
      </c>
      <c r="O2076" s="4">
        <f ca="1">IFERROR(__xludf.DUMMYFUNCTION("IF(Cost_in_dollars!E2076=""USD"",Cost_in_dollars!B2076,Cost_in_dollars!B2076 * GOOGLEFINANCE(""CURRENCY:"" &amp; Cost_in_dollars!E2076 &amp; ""USD""))
"),22000000)</f>
        <v>22000000</v>
      </c>
      <c r="P2076" s="4">
        <f ca="1">IFERROR(__xludf.DUMMYFUNCTION("IF(Cost_in_dollars!E2076=""USD"",Cost_in_dollars!C2076,Cost_in_dollars!C2076 * GOOGLEFINANCE(""CURRENCY:"" &amp; Cost_in_dollars!E2076 &amp; ""USD""))
"),11326836)</f>
        <v>11326836</v>
      </c>
      <c r="Q2076" s="4">
        <f t="shared" ca="1" si="48"/>
        <v>-10673164</v>
      </c>
      <c r="R2076" s="5" t="str">
        <f t="shared" si="49"/>
        <v>Out of the Furnace</v>
      </c>
      <c r="S2076" s="43" t="str">
        <f t="shared" si="50"/>
        <v>Crime</v>
      </c>
    </row>
    <row r="2077" spans="1:19" ht="15.75" customHeight="1" x14ac:dyDescent="0.25">
      <c r="A2077" s="6" t="s">
        <v>6872</v>
      </c>
      <c r="B2077" s="6">
        <v>16</v>
      </c>
      <c r="C2077" s="6">
        <v>399611</v>
      </c>
      <c r="D2077" s="6" t="s">
        <v>1127</v>
      </c>
      <c r="E2077" s="6" t="s">
        <v>6873</v>
      </c>
      <c r="F2077" s="6" t="s">
        <v>6874</v>
      </c>
      <c r="G2077" s="6">
        <v>1245</v>
      </c>
      <c r="H2077" s="6" t="s">
        <v>6875</v>
      </c>
      <c r="I2077" s="6">
        <v>29</v>
      </c>
      <c r="J2077" s="6" t="s">
        <v>23</v>
      </c>
      <c r="K2077" s="6" t="s">
        <v>24</v>
      </c>
      <c r="L2077" s="6">
        <v>6000000</v>
      </c>
      <c r="M2077" s="6">
        <v>2010</v>
      </c>
      <c r="N2077" s="6">
        <v>5.7</v>
      </c>
      <c r="O2077" s="4">
        <f ca="1">IFERROR(__xludf.DUMMYFUNCTION("IF(Cost_in_dollars!E2077=""USD"",Cost_in_dollars!B2077,Cost_in_dollars!B2077 * GOOGLEFINANCE(""CURRENCY:"" &amp; Cost_in_dollars!E2077 &amp; ""USD""))
"),6000000)</f>
        <v>6000000</v>
      </c>
      <c r="P2077" s="4">
        <f ca="1">IFERROR(__xludf.DUMMYFUNCTION("IF(Cost_in_dollars!E2077=""USD"",Cost_in_dollars!C2077,Cost_in_dollars!C2077 * GOOGLEFINANCE(""CURRENCY:"" &amp; Cost_in_dollars!E2077 &amp; ""USD""))
"),399611)</f>
        <v>399611</v>
      </c>
      <c r="Q2077" s="6">
        <f t="shared" ca="1" si="48"/>
        <v>-5600389</v>
      </c>
      <c r="R2077" s="7" t="str">
        <f t="shared" si="49"/>
        <v>The 5th Quarter</v>
      </c>
      <c r="S2077" s="43" t="str">
        <f t="shared" si="50"/>
        <v>Biography</v>
      </c>
    </row>
    <row r="2078" spans="1:19" ht="15.75" customHeight="1" x14ac:dyDescent="0.25">
      <c r="A2078" s="4" t="s">
        <v>2350</v>
      </c>
      <c r="B2078" s="4">
        <v>143</v>
      </c>
      <c r="C2078" s="4">
        <v>92001027</v>
      </c>
      <c r="D2078" s="4" t="s">
        <v>6547</v>
      </c>
      <c r="E2078" s="4" t="s">
        <v>6876</v>
      </c>
      <c r="F2078" s="4" t="s">
        <v>6877</v>
      </c>
      <c r="G2078" s="4">
        <v>97838</v>
      </c>
      <c r="H2078" s="4" t="s">
        <v>6878</v>
      </c>
      <c r="I2078" s="4">
        <v>286</v>
      </c>
      <c r="J2078" s="4" t="s">
        <v>23</v>
      </c>
      <c r="K2078" s="4" t="s">
        <v>24</v>
      </c>
      <c r="L2078" s="4">
        <v>45000000</v>
      </c>
      <c r="M2078" s="4">
        <v>1996</v>
      </c>
      <c r="N2078" s="4">
        <v>7.6</v>
      </c>
      <c r="O2078" s="4">
        <f ca="1">IFERROR(__xludf.DUMMYFUNCTION("IF(Cost_in_dollars!E2078=""USD"",Cost_in_dollars!B2078,Cost_in_dollars!B2078 * GOOGLEFINANCE(""CURRENCY:"" &amp; Cost_in_dollars!E2078 &amp; ""USD""))
"),45000000)</f>
        <v>45000000</v>
      </c>
      <c r="P2078" s="4">
        <f ca="1">IFERROR(__xludf.DUMMYFUNCTION("IF(Cost_in_dollars!E2078=""USD"",Cost_in_dollars!C2078,Cost_in_dollars!C2078 * GOOGLEFINANCE(""CURRENCY:"" &amp; Cost_in_dollars!E2078 &amp; ""USD""))
"),92001027)</f>
        <v>92001027</v>
      </c>
      <c r="Q2078" s="4">
        <f t="shared" ca="1" si="48"/>
        <v>47001027</v>
      </c>
      <c r="R2078" s="5" t="str">
        <f t="shared" si="49"/>
        <v>Star Trek: First Contact</v>
      </c>
      <c r="S2078" s="43" t="str">
        <f t="shared" si="50"/>
        <v>Action</v>
      </c>
    </row>
    <row r="2079" spans="1:19" ht="15.75" customHeight="1" x14ac:dyDescent="0.25">
      <c r="A2079" s="6" t="s">
        <v>5644</v>
      </c>
      <c r="B2079" s="6">
        <v>314</v>
      </c>
      <c r="C2079" s="6">
        <v>71975611</v>
      </c>
      <c r="D2079" s="6" t="s">
        <v>1242</v>
      </c>
      <c r="E2079" s="6" t="s">
        <v>6879</v>
      </c>
      <c r="F2079" s="6" t="s">
        <v>6880</v>
      </c>
      <c r="G2079" s="6">
        <v>209396</v>
      </c>
      <c r="H2079" s="6" t="s">
        <v>6881</v>
      </c>
      <c r="I2079" s="6">
        <v>580</v>
      </c>
      <c r="J2079" s="6" t="s">
        <v>23</v>
      </c>
      <c r="K2079" s="6" t="s">
        <v>24</v>
      </c>
      <c r="L2079" s="6">
        <v>25000000</v>
      </c>
      <c r="M2079" s="6">
        <v>2007</v>
      </c>
      <c r="N2079" s="6">
        <v>6.8</v>
      </c>
      <c r="O2079" s="4">
        <f ca="1">IFERROR(__xludf.DUMMYFUNCTION("IF(Cost_in_dollars!E2079=""USD"",Cost_in_dollars!B2079,Cost_in_dollars!B2079 * GOOGLEFINANCE(""CURRENCY:"" &amp; Cost_in_dollars!E2079 &amp; ""USD""))
"),25000000)</f>
        <v>25000000</v>
      </c>
      <c r="P2079" s="4">
        <f ca="1">IFERROR(__xludf.DUMMYFUNCTION("IF(Cost_in_dollars!E2079=""USD"",Cost_in_dollars!C2079,Cost_in_dollars!C2079 * GOOGLEFINANCE(""CURRENCY:"" &amp; Cost_in_dollars!E2079 &amp; ""USD""))
"),71975611)</f>
        <v>71975611</v>
      </c>
      <c r="Q2079" s="6">
        <f t="shared" ca="1" si="48"/>
        <v>46975611</v>
      </c>
      <c r="R2079" s="7" t="str">
        <f t="shared" si="49"/>
        <v>1408</v>
      </c>
      <c r="S2079" s="43" t="str">
        <f t="shared" si="50"/>
        <v>Fantasy</v>
      </c>
    </row>
    <row r="2080" spans="1:19" ht="15.75" customHeight="1" x14ac:dyDescent="0.25">
      <c r="A2080" s="4" t="s">
        <v>6882</v>
      </c>
      <c r="B2080" s="4">
        <v>146</v>
      </c>
      <c r="C2080" s="4">
        <v>134141530</v>
      </c>
      <c r="D2080" s="4" t="s">
        <v>3264</v>
      </c>
      <c r="E2080" s="4" t="s">
        <v>107</v>
      </c>
      <c r="F2080" s="4" t="s">
        <v>6883</v>
      </c>
      <c r="G2080" s="4">
        <v>75903</v>
      </c>
      <c r="H2080" s="4" t="s">
        <v>6884</v>
      </c>
      <c r="I2080" s="4">
        <v>109</v>
      </c>
      <c r="J2080" s="4" t="s">
        <v>23</v>
      </c>
      <c r="K2080" s="4" t="s">
        <v>24</v>
      </c>
      <c r="L2080" s="4">
        <v>25000000</v>
      </c>
      <c r="M2080" s="4">
        <v>2014</v>
      </c>
      <c r="N2080" s="4">
        <v>6.2</v>
      </c>
      <c r="O2080" s="4">
        <f ca="1">IFERROR(__xludf.DUMMYFUNCTION("IF(Cost_in_dollars!E2080=""USD"",Cost_in_dollars!B2080,Cost_in_dollars!B2080 * GOOGLEFINANCE(""CURRENCY:"" &amp; Cost_in_dollars!E2080 &amp; ""USD""))
"),25000000)</f>
        <v>25000000</v>
      </c>
      <c r="P2080" s="4">
        <f ca="1">IFERROR(__xludf.DUMMYFUNCTION("IF(Cost_in_dollars!E2080=""USD"",Cost_in_dollars!C2080,Cost_in_dollars!C2080 * GOOGLEFINANCE(""CURRENCY:"" &amp; Cost_in_dollars!E2080 &amp; ""USD""))
"),134141530)</f>
        <v>134141530</v>
      </c>
      <c r="Q2080" s="4">
        <f t="shared" ca="1" si="48"/>
        <v>109141530</v>
      </c>
      <c r="R2080" s="5" t="str">
        <f t="shared" si="49"/>
        <v>Ride Along</v>
      </c>
      <c r="S2080" s="43" t="str">
        <f t="shared" si="50"/>
        <v>Action</v>
      </c>
    </row>
    <row r="2081" spans="1:19" ht="15.75" customHeight="1" x14ac:dyDescent="0.25">
      <c r="A2081" s="6" t="s">
        <v>6885</v>
      </c>
      <c r="B2081" s="6">
        <v>162</v>
      </c>
      <c r="C2081" s="6">
        <v>26687172</v>
      </c>
      <c r="D2081" s="6" t="s">
        <v>6041</v>
      </c>
      <c r="E2081" s="6" t="s">
        <v>6886</v>
      </c>
      <c r="F2081" s="6" t="s">
        <v>6887</v>
      </c>
      <c r="G2081" s="6">
        <v>15600</v>
      </c>
      <c r="H2081" s="6" t="s">
        <v>6888</v>
      </c>
      <c r="I2081" s="6">
        <v>55</v>
      </c>
      <c r="J2081" s="6" t="s">
        <v>23</v>
      </c>
      <c r="K2081" s="6" t="s">
        <v>24</v>
      </c>
      <c r="L2081" s="6">
        <v>30000000</v>
      </c>
      <c r="M2081" s="6">
        <v>2011</v>
      </c>
      <c r="N2081" s="6">
        <v>7.3</v>
      </c>
      <c r="O2081" s="4">
        <f ca="1">IFERROR(__xludf.DUMMYFUNCTION("IF(Cost_in_dollars!E2081=""USD"",Cost_in_dollars!B2081,Cost_in_dollars!B2081 * GOOGLEFINANCE(""CURRENCY:"" &amp; Cost_in_dollars!E2081 &amp; ""USD""))
"),30000000)</f>
        <v>30000000</v>
      </c>
      <c r="P2081" s="4">
        <f ca="1">IFERROR(__xludf.DUMMYFUNCTION("IF(Cost_in_dollars!E2081=""USD"",Cost_in_dollars!C2081,Cost_in_dollars!C2081 * GOOGLEFINANCE(""CURRENCY:"" &amp; Cost_in_dollars!E2081 &amp; ""USD""))
"),26687172)</f>
        <v>26687172</v>
      </c>
      <c r="Q2081" s="6">
        <f t="shared" ca="1" si="48"/>
        <v>-3312828</v>
      </c>
      <c r="R2081" s="7" t="str">
        <f t="shared" si="49"/>
        <v>Winnie the Pooh</v>
      </c>
      <c r="S2081" s="43" t="str">
        <f t="shared" si="50"/>
        <v>Adventure</v>
      </c>
    </row>
    <row r="2082" spans="1:19" ht="15.75" customHeight="1" x14ac:dyDescent="0.25">
      <c r="A2082" s="4" t="s">
        <v>72</v>
      </c>
      <c r="B2082" s="4">
        <v>97</v>
      </c>
      <c r="C2082" s="4">
        <v>48154732</v>
      </c>
      <c r="D2082" s="4" t="s">
        <v>406</v>
      </c>
      <c r="E2082" s="4" t="s">
        <v>487</v>
      </c>
      <c r="F2082" s="4" t="s">
        <v>6889</v>
      </c>
      <c r="G2082" s="4">
        <v>60326</v>
      </c>
      <c r="H2082" s="4" t="s">
        <v>6890</v>
      </c>
      <c r="I2082" s="4">
        <v>142</v>
      </c>
      <c r="J2082" s="4" t="s">
        <v>23</v>
      </c>
      <c r="K2082" s="4" t="s">
        <v>24</v>
      </c>
      <c r="L2082" s="4">
        <v>50000000</v>
      </c>
      <c r="M2082" s="4">
        <v>1997</v>
      </c>
      <c r="N2082" s="4">
        <v>5.8</v>
      </c>
      <c r="O2082" s="4">
        <f ca="1">IFERROR(__xludf.DUMMYFUNCTION("IF(Cost_in_dollars!E2082=""USD"",Cost_in_dollars!B2082,Cost_in_dollars!B2082 * GOOGLEFINANCE(""CURRENCY:"" &amp; Cost_in_dollars!E2082 &amp; ""USD""))
"),50000000)</f>
        <v>50000000</v>
      </c>
      <c r="P2082" s="4">
        <f ca="1">IFERROR(__xludf.DUMMYFUNCTION("IF(Cost_in_dollars!E2082=""USD"",Cost_in_dollars!C2082,Cost_in_dollars!C2082 * GOOGLEFINANCE(""CURRENCY:"" &amp; Cost_in_dollars!E2082 &amp; ""USD""))
"),48154732)</f>
        <v>48154732</v>
      </c>
      <c r="Q2082" s="4">
        <f t="shared" ca="1" si="48"/>
        <v>-1845268</v>
      </c>
      <c r="R2082" s="5" t="str">
        <f t="shared" si="49"/>
        <v>G.I. Jane</v>
      </c>
      <c r="S2082" s="43" t="str">
        <f t="shared" si="50"/>
        <v>Action</v>
      </c>
    </row>
    <row r="2083" spans="1:19" ht="15.75" customHeight="1" x14ac:dyDescent="0.25">
      <c r="A2083" s="6" t="s">
        <v>6891</v>
      </c>
      <c r="B2083" s="6">
        <v>21</v>
      </c>
      <c r="C2083" s="6">
        <v>8000000</v>
      </c>
      <c r="D2083" s="6" t="s">
        <v>6892</v>
      </c>
      <c r="E2083" s="6" t="s">
        <v>6893</v>
      </c>
      <c r="F2083" s="6" t="s">
        <v>6894</v>
      </c>
      <c r="G2083" s="6">
        <v>3167</v>
      </c>
      <c r="H2083" s="6" t="s">
        <v>6895</v>
      </c>
      <c r="I2083" s="6">
        <v>90</v>
      </c>
      <c r="J2083" s="6" t="s">
        <v>23</v>
      </c>
      <c r="K2083" s="6" t="s">
        <v>24</v>
      </c>
      <c r="L2083" s="6">
        <v>3768785</v>
      </c>
      <c r="M2083" s="6">
        <v>1950</v>
      </c>
      <c r="N2083" s="6">
        <v>7</v>
      </c>
      <c r="O2083" s="4">
        <f ca="1">IFERROR(__xludf.DUMMYFUNCTION("IF(Cost_in_dollars!E2083=""USD"",Cost_in_dollars!B2083,Cost_in_dollars!B2083 * GOOGLEFINANCE(""CURRENCY:"" &amp; Cost_in_dollars!E2083 &amp; ""USD""))
"),3768785)</f>
        <v>3768785</v>
      </c>
      <c r="P2083" s="4">
        <f ca="1">IFERROR(__xludf.DUMMYFUNCTION("IF(Cost_in_dollars!E2083=""USD"",Cost_in_dollars!C2083,Cost_in_dollars!C2083 * GOOGLEFINANCE(""CURRENCY:"" &amp; Cost_in_dollars!E2083 &amp; ""USD""))
"),8000000)</f>
        <v>8000000</v>
      </c>
      <c r="Q2083" s="6">
        <f t="shared" ca="1" si="48"/>
        <v>4231215</v>
      </c>
      <c r="R2083" s="7" t="str">
        <f t="shared" si="49"/>
        <v>Annie Get Your Gun</v>
      </c>
      <c r="S2083" s="43" t="str">
        <f t="shared" si="50"/>
        <v>Biography</v>
      </c>
    </row>
    <row r="2084" spans="1:19" ht="15.75" customHeight="1" x14ac:dyDescent="0.25">
      <c r="A2084" s="4" t="s">
        <v>831</v>
      </c>
      <c r="B2084" s="4">
        <v>202</v>
      </c>
      <c r="C2084" s="4">
        <v>69951824</v>
      </c>
      <c r="D2084" s="4" t="s">
        <v>235</v>
      </c>
      <c r="E2084" s="4" t="s">
        <v>2732</v>
      </c>
      <c r="F2084" s="4" t="s">
        <v>6896</v>
      </c>
      <c r="G2084" s="4">
        <v>232710</v>
      </c>
      <c r="H2084" s="4" t="s">
        <v>6897</v>
      </c>
      <c r="I2084" s="4">
        <v>599</v>
      </c>
      <c r="J2084" s="4" t="s">
        <v>23</v>
      </c>
      <c r="K2084" s="4" t="s">
        <v>24</v>
      </c>
      <c r="L2084" s="4">
        <v>55000000</v>
      </c>
      <c r="M2084" s="4">
        <v>2008</v>
      </c>
      <c r="N2084" s="4">
        <v>7.7</v>
      </c>
      <c r="O2084" s="4">
        <f ca="1">IFERROR(__xludf.DUMMYFUNCTION("IF(Cost_in_dollars!E2084=""USD"",Cost_in_dollars!B2084,Cost_in_dollars!B2084 * GOOGLEFINANCE(""CURRENCY:"" &amp; Cost_in_dollars!E2084 &amp; ""USD""))
"),55000000)</f>
        <v>55000000</v>
      </c>
      <c r="P2084" s="4">
        <f ca="1">IFERROR(__xludf.DUMMYFUNCTION("IF(Cost_in_dollars!E2084=""USD"",Cost_in_dollars!C2084,Cost_in_dollars!C2084 * GOOGLEFINANCE(""CURRENCY:"" &amp; Cost_in_dollars!E2084 &amp; ""USD""))
"),69951824)</f>
        <v>69951824</v>
      </c>
      <c r="Q2084" s="4">
        <f t="shared" ca="1" si="48"/>
        <v>14951824</v>
      </c>
      <c r="R2084" s="5" t="str">
        <f t="shared" si="49"/>
        <v>Seven Pounds</v>
      </c>
      <c r="S2084" s="43" t="str">
        <f t="shared" si="50"/>
        <v>Drama</v>
      </c>
    </row>
    <row r="2085" spans="1:19" ht="15.75" customHeight="1" x14ac:dyDescent="0.25">
      <c r="A2085" s="6" t="s">
        <v>37</v>
      </c>
      <c r="B2085" s="6">
        <v>392</v>
      </c>
      <c r="C2085" s="6">
        <v>37304950</v>
      </c>
      <c r="D2085" s="6" t="s">
        <v>1788</v>
      </c>
      <c r="E2085" s="6" t="s">
        <v>1358</v>
      </c>
      <c r="F2085" s="6" t="s">
        <v>6898</v>
      </c>
      <c r="G2085" s="6">
        <v>102728</v>
      </c>
      <c r="H2085" s="6" t="s">
        <v>6899</v>
      </c>
      <c r="I2085" s="6">
        <v>279</v>
      </c>
      <c r="J2085" s="6" t="s">
        <v>23</v>
      </c>
      <c r="K2085" s="6" t="s">
        <v>24</v>
      </c>
      <c r="L2085" s="6">
        <v>35000000</v>
      </c>
      <c r="M2085" s="6">
        <v>2011</v>
      </c>
      <c r="N2085" s="6">
        <v>6.6</v>
      </c>
      <c r="O2085" s="4">
        <f ca="1">IFERROR(__xludf.DUMMYFUNCTION("IF(Cost_in_dollars!E2085=""USD"",Cost_in_dollars!B2085,Cost_in_dollars!B2085 * GOOGLEFINANCE(""CURRENCY:"" &amp; Cost_in_dollars!E2085 &amp; ""USD""))
"),35000000)</f>
        <v>35000000</v>
      </c>
      <c r="P2085" s="4">
        <f ca="1">IFERROR(__xludf.DUMMYFUNCTION("IF(Cost_in_dollars!E2085=""USD"",Cost_in_dollars!C2085,Cost_in_dollars!C2085 * GOOGLEFINANCE(""CURRENCY:"" &amp; Cost_in_dollars!E2085 &amp; ""USD""))
"),37304950)</f>
        <v>37304950</v>
      </c>
      <c r="Q2085" s="6">
        <f t="shared" ca="1" si="48"/>
        <v>2304950</v>
      </c>
      <c r="R2085" s="7" t="str">
        <f t="shared" si="49"/>
        <v>J. Edgar</v>
      </c>
      <c r="S2085" s="43" t="str">
        <f t="shared" si="50"/>
        <v>Biography</v>
      </c>
    </row>
    <row r="2086" spans="1:19" ht="15.75" customHeight="1" x14ac:dyDescent="0.25">
      <c r="A2086" s="4" t="s">
        <v>6900</v>
      </c>
      <c r="B2086" s="4">
        <v>150</v>
      </c>
      <c r="C2086" s="4">
        <v>32178777</v>
      </c>
      <c r="D2086" s="4" t="s">
        <v>832</v>
      </c>
      <c r="E2086" s="4" t="s">
        <v>305</v>
      </c>
      <c r="F2086" s="4" t="s">
        <v>6901</v>
      </c>
      <c r="G2086" s="4">
        <v>43300</v>
      </c>
      <c r="H2086" s="4" t="s">
        <v>6902</v>
      </c>
      <c r="I2086" s="4">
        <v>250</v>
      </c>
      <c r="J2086" s="4" t="s">
        <v>23</v>
      </c>
      <c r="K2086" s="4" t="s">
        <v>24</v>
      </c>
      <c r="L2086" s="4">
        <v>62000000</v>
      </c>
      <c r="M2086" s="4">
        <v>2008</v>
      </c>
      <c r="N2086" s="4">
        <v>3.8</v>
      </c>
      <c r="O2086" s="4">
        <f ca="1">IFERROR(__xludf.DUMMYFUNCTION("IF(Cost_in_dollars!E2086=""USD"",Cost_in_dollars!B2086,Cost_in_dollars!B2086 * GOOGLEFINANCE(""CURRENCY:"" &amp; Cost_in_dollars!E2086 &amp; ""USD""))
"),62000000)</f>
        <v>62000000</v>
      </c>
      <c r="P2086" s="4">
        <f ca="1">IFERROR(__xludf.DUMMYFUNCTION("IF(Cost_in_dollars!E2086=""USD"",Cost_in_dollars!C2086,Cost_in_dollars!C2086 * GOOGLEFINANCE(""CURRENCY:"" &amp; Cost_in_dollars!E2086 &amp; ""USD""))
"),32178777)</f>
        <v>32178777</v>
      </c>
      <c r="Q2086" s="4">
        <f t="shared" ca="1" si="48"/>
        <v>-29821223</v>
      </c>
      <c r="R2086" s="5" t="str">
        <f t="shared" si="49"/>
        <v>The Love Guru</v>
      </c>
      <c r="S2086" s="43" t="str">
        <f t="shared" si="50"/>
        <v>Comedy</v>
      </c>
    </row>
    <row r="2087" spans="1:19" ht="15.75" customHeight="1" x14ac:dyDescent="0.25">
      <c r="A2087" s="6" t="s">
        <v>6903</v>
      </c>
      <c r="B2087" s="6">
        <v>212</v>
      </c>
      <c r="C2087" s="6">
        <v>40198710</v>
      </c>
      <c r="D2087" s="6" t="s">
        <v>6904</v>
      </c>
      <c r="E2087" s="6" t="s">
        <v>856</v>
      </c>
      <c r="F2087" s="6" t="s">
        <v>6905</v>
      </c>
      <c r="G2087" s="6">
        <v>87451</v>
      </c>
      <c r="H2087" s="6" t="s">
        <v>6906</v>
      </c>
      <c r="I2087" s="6">
        <v>660</v>
      </c>
      <c r="J2087" s="6" t="s">
        <v>23</v>
      </c>
      <c r="K2087" s="6" t="s">
        <v>24</v>
      </c>
      <c r="L2087" s="6">
        <v>100000000</v>
      </c>
      <c r="M2087" s="6">
        <v>2004</v>
      </c>
      <c r="N2087" s="6">
        <v>3.3</v>
      </c>
      <c r="O2087" s="4">
        <f ca="1">IFERROR(__xludf.DUMMYFUNCTION("IF(Cost_in_dollars!E2087=""USD"",Cost_in_dollars!B2087,Cost_in_dollars!B2087 * GOOGLEFINANCE(""CURRENCY:"" &amp; Cost_in_dollars!E2087 &amp; ""USD""))
"),100000000)</f>
        <v>100000000</v>
      </c>
      <c r="P2087" s="4">
        <f ca="1">IFERROR(__xludf.DUMMYFUNCTION("IF(Cost_in_dollars!E2087=""USD"",Cost_in_dollars!C2087,Cost_in_dollars!C2087 * GOOGLEFINANCE(""CURRENCY:"" &amp; Cost_in_dollars!E2087 &amp; ""USD""))
"),40198710)</f>
        <v>40198710</v>
      </c>
      <c r="Q2087" s="6">
        <f t="shared" ca="1" si="48"/>
        <v>-59801290</v>
      </c>
      <c r="R2087" s="7" t="str">
        <f t="shared" si="49"/>
        <v>Catwoman</v>
      </c>
      <c r="S2087" s="43" t="str">
        <f t="shared" si="50"/>
        <v>Action</v>
      </c>
    </row>
    <row r="2088" spans="1:19" ht="15.75" customHeight="1" x14ac:dyDescent="0.25">
      <c r="A2088" s="4" t="s">
        <v>695</v>
      </c>
      <c r="B2088" s="4">
        <v>94</v>
      </c>
      <c r="C2088" s="4">
        <v>123307945</v>
      </c>
      <c r="D2088" s="4" t="s">
        <v>1465</v>
      </c>
      <c r="E2088" s="4" t="s">
        <v>6907</v>
      </c>
      <c r="F2088" s="4" t="s">
        <v>6908</v>
      </c>
      <c r="G2088" s="4">
        <v>39391</v>
      </c>
      <c r="H2088" s="4" t="s">
        <v>6909</v>
      </c>
      <c r="I2088" s="4">
        <v>171</v>
      </c>
      <c r="J2088" s="4" t="s">
        <v>23</v>
      </c>
      <c r="K2088" s="4" t="s">
        <v>24</v>
      </c>
      <c r="L2088" s="4">
        <v>65000000</v>
      </c>
      <c r="M2088" s="4">
        <v>2000</v>
      </c>
      <c r="N2088" s="4">
        <v>4.3</v>
      </c>
      <c r="O2088" s="4">
        <f ca="1">IFERROR(__xludf.DUMMYFUNCTION("IF(Cost_in_dollars!E2088=""USD"",Cost_in_dollars!B2088,Cost_in_dollars!B2088 * GOOGLEFINANCE(""CURRENCY:"" &amp; Cost_in_dollars!E2088 &amp; ""USD""))
"),65000000)</f>
        <v>65000000</v>
      </c>
      <c r="P2088" s="4">
        <f ca="1">IFERROR(__xludf.DUMMYFUNCTION("IF(Cost_in_dollars!E2088=""USD"",Cost_in_dollars!C2088,Cost_in_dollars!C2088 * GOOGLEFINANCE(""CURRENCY:"" &amp; Cost_in_dollars!E2088 &amp; ""USD""))
"),123307945)</f>
        <v>123307945</v>
      </c>
      <c r="Q2088" s="4">
        <f t="shared" ca="1" si="48"/>
        <v>58307945</v>
      </c>
      <c r="R2088" s="5" t="str">
        <f t="shared" si="49"/>
        <v>Nutty Professor II: The Klumps</v>
      </c>
      <c r="S2088" s="43" t="str">
        <f t="shared" si="50"/>
        <v>Comedy</v>
      </c>
    </row>
    <row r="2089" spans="1:19" ht="15.75" customHeight="1" x14ac:dyDescent="0.25">
      <c r="A2089" s="6" t="s">
        <v>6910</v>
      </c>
      <c r="B2089" s="6">
        <v>95</v>
      </c>
      <c r="C2089" s="6">
        <v>14000000</v>
      </c>
      <c r="D2089" s="6" t="s">
        <v>2340</v>
      </c>
      <c r="E2089" s="6" t="s">
        <v>2019</v>
      </c>
      <c r="F2089" s="6" t="s">
        <v>6911</v>
      </c>
      <c r="G2089" s="6">
        <v>15956</v>
      </c>
      <c r="H2089" s="6" t="s">
        <v>6912</v>
      </c>
      <c r="I2089" s="6">
        <v>118</v>
      </c>
      <c r="J2089" s="6" t="s">
        <v>23</v>
      </c>
      <c r="K2089" s="6" t="s">
        <v>24</v>
      </c>
      <c r="L2089" s="6">
        <v>3500000</v>
      </c>
      <c r="M2089" s="6">
        <v>1987</v>
      </c>
      <c r="N2089" s="6">
        <v>6</v>
      </c>
      <c r="O2089" s="4">
        <f ca="1">IFERROR(__xludf.DUMMYFUNCTION("IF(Cost_in_dollars!E2089=""USD"",Cost_in_dollars!B2089,Cost_in_dollars!B2089 * GOOGLEFINANCE(""CURRENCY:"" &amp; Cost_in_dollars!E2089 &amp; ""USD""))
"),3500000)</f>
        <v>3500000</v>
      </c>
      <c r="P2089" s="4">
        <f ca="1">IFERROR(__xludf.DUMMYFUNCTION("IF(Cost_in_dollars!E2089=""USD"",Cost_in_dollars!C2089,Cost_in_dollars!C2089 * GOOGLEFINANCE(""CURRENCY:"" &amp; Cost_in_dollars!E2089 &amp; ""USD""))
"),14000000)</f>
        <v>14000000</v>
      </c>
      <c r="Q2089" s="6">
        <f t="shared" ca="1" si="48"/>
        <v>10500000</v>
      </c>
      <c r="R2089" s="7" t="str">
        <f t="shared" si="49"/>
        <v>Creepshow 2</v>
      </c>
      <c r="S2089" s="43" t="str">
        <f t="shared" si="50"/>
        <v>Comedy</v>
      </c>
    </row>
    <row r="2090" spans="1:19" ht="15.75" customHeight="1" x14ac:dyDescent="0.25">
      <c r="A2090" s="4" t="s">
        <v>4908</v>
      </c>
      <c r="B2090" s="4">
        <v>174</v>
      </c>
      <c r="C2090" s="4">
        <v>2298191</v>
      </c>
      <c r="D2090" s="4" t="s">
        <v>6913</v>
      </c>
      <c r="E2090" s="4" t="s">
        <v>1407</v>
      </c>
      <c r="F2090" s="4" t="s">
        <v>6914</v>
      </c>
      <c r="G2090" s="4">
        <v>221552</v>
      </c>
      <c r="H2090" s="4" t="s">
        <v>6915</v>
      </c>
      <c r="I2090" s="4">
        <v>570</v>
      </c>
      <c r="J2090" s="4" t="s">
        <v>1550</v>
      </c>
      <c r="K2090" s="4" t="s">
        <v>1551</v>
      </c>
      <c r="L2090" s="4">
        <v>2400000000</v>
      </c>
      <c r="M2090" s="4">
        <v>1997</v>
      </c>
      <c r="N2090" s="4">
        <v>8.4</v>
      </c>
      <c r="O2090" s="4">
        <f ca="1">IFERROR(__xludf.DUMMYFUNCTION("IF(Cost_in_dollars!E2090=""USD"",Cost_in_dollars!B2090,Cost_in_dollars!B2090 * GOOGLEFINANCE(""CURRENCY:"" &amp; Cost_in_dollars!E2090 &amp; ""USD""))
"),15591840)</f>
        <v>15591840</v>
      </c>
      <c r="P2090" s="4">
        <f ca="1">IFERROR(__xludf.DUMMYFUNCTION("IF(Cost_in_dollars!E2090=""USD"",Cost_in_dollars!C2090,Cost_in_dollars!C2090 * GOOGLEFINANCE(""CURRENCY:"" &amp; Cost_in_dollars!E2090 &amp; ""USD""))
"),14930.4276506)</f>
        <v>14930.427650600001</v>
      </c>
      <c r="Q2090" s="4">
        <f t="shared" ca="1" si="48"/>
        <v>-15576909.572349399</v>
      </c>
      <c r="R2090" s="5" t="str">
        <f t="shared" si="49"/>
        <v>Princess Mononoke</v>
      </c>
      <c r="S2090" s="43" t="str">
        <f t="shared" si="50"/>
        <v>Adventure</v>
      </c>
    </row>
    <row r="2091" spans="1:19" ht="15.75" customHeight="1" x14ac:dyDescent="0.25">
      <c r="A2091" s="6" t="s">
        <v>1126</v>
      </c>
      <c r="B2091" s="6">
        <v>302</v>
      </c>
      <c r="C2091" s="6">
        <v>18593156</v>
      </c>
      <c r="D2091" s="6" t="s">
        <v>102</v>
      </c>
      <c r="E2091" s="6" t="s">
        <v>6916</v>
      </c>
      <c r="F2091" s="6" t="s">
        <v>6917</v>
      </c>
      <c r="G2091" s="6">
        <v>88682</v>
      </c>
      <c r="H2091" s="6" t="s">
        <v>6918</v>
      </c>
      <c r="I2091" s="6">
        <v>241</v>
      </c>
      <c r="J2091" s="6" t="s">
        <v>23</v>
      </c>
      <c r="K2091" s="6" t="s">
        <v>24</v>
      </c>
      <c r="L2091" s="6">
        <v>35000000</v>
      </c>
      <c r="M2091" s="6">
        <v>2008</v>
      </c>
      <c r="N2091" s="6">
        <v>7.7</v>
      </c>
      <c r="O2091" s="4">
        <f ca="1">IFERROR(__xludf.DUMMYFUNCTION("IF(Cost_in_dollars!E2091=""USD"",Cost_in_dollars!B2091,Cost_in_dollars!B2091 * GOOGLEFINANCE(""CURRENCY:"" &amp; Cost_in_dollars!E2091 &amp; ""USD""))
"),35000000)</f>
        <v>35000000</v>
      </c>
      <c r="P2091" s="4">
        <f ca="1">IFERROR(__xludf.DUMMYFUNCTION("IF(Cost_in_dollars!E2091=""USD"",Cost_in_dollars!C2091,Cost_in_dollars!C2091 * GOOGLEFINANCE(""CURRENCY:"" &amp; Cost_in_dollars!E2091 &amp; ""USD""))
"),18593156)</f>
        <v>18593156</v>
      </c>
      <c r="Q2091" s="6">
        <f t="shared" ca="1" si="48"/>
        <v>-16406844</v>
      </c>
      <c r="R2091" s="7" t="str">
        <f t="shared" si="49"/>
        <v>Frost/Nixon</v>
      </c>
      <c r="S2091" s="43" t="str">
        <f t="shared" si="50"/>
        <v>Drama</v>
      </c>
    </row>
    <row r="2092" spans="1:19" ht="15.75" customHeight="1" x14ac:dyDescent="0.25">
      <c r="A2092" s="4" t="s">
        <v>1327</v>
      </c>
      <c r="B2092" s="4">
        <v>223</v>
      </c>
      <c r="C2092" s="4">
        <v>76600000</v>
      </c>
      <c r="D2092" s="4" t="s">
        <v>1242</v>
      </c>
      <c r="E2092" s="4" t="s">
        <v>3665</v>
      </c>
      <c r="F2092" s="4" t="s">
        <v>3666</v>
      </c>
      <c r="G2092" s="4">
        <v>105448</v>
      </c>
      <c r="H2092" s="4" t="s">
        <v>3667</v>
      </c>
      <c r="I2092" s="4">
        <v>321</v>
      </c>
      <c r="J2092" s="4" t="s">
        <v>23</v>
      </c>
      <c r="K2092" s="4" t="s">
        <v>24</v>
      </c>
      <c r="L2092" s="4">
        <v>10700000</v>
      </c>
      <c r="M2092" s="4">
        <v>1982</v>
      </c>
      <c r="N2092" s="4">
        <v>7.4</v>
      </c>
      <c r="O2092" s="4">
        <f ca="1">IFERROR(__xludf.DUMMYFUNCTION("IF(Cost_in_dollars!E2092=""USD"",Cost_in_dollars!B2092,Cost_in_dollars!B2092 * GOOGLEFINANCE(""CURRENCY:"" &amp; Cost_in_dollars!E2092 &amp; ""USD""))
"),10700000)</f>
        <v>10700000</v>
      </c>
      <c r="P2092" s="4">
        <f ca="1">IFERROR(__xludf.DUMMYFUNCTION("IF(Cost_in_dollars!E2092=""USD"",Cost_in_dollars!C2092,Cost_in_dollars!C2092 * GOOGLEFINANCE(""CURRENCY:"" &amp; Cost_in_dollars!E2092 &amp; ""USD""))
"),76600000)</f>
        <v>76600000</v>
      </c>
      <c r="Q2092" s="4">
        <f t="shared" ca="1" si="48"/>
        <v>65900000</v>
      </c>
      <c r="R2092" s="5" t="str">
        <f t="shared" si="49"/>
        <v>Poltergeist</v>
      </c>
      <c r="S2092" s="43" t="str">
        <f t="shared" si="50"/>
        <v>Fantasy</v>
      </c>
    </row>
    <row r="2093" spans="1:19" ht="15.75" customHeight="1" x14ac:dyDescent="0.25">
      <c r="A2093" s="6" t="s">
        <v>37</v>
      </c>
      <c r="B2093" s="6">
        <v>315</v>
      </c>
      <c r="C2093" s="6">
        <v>32741596</v>
      </c>
      <c r="D2093" s="6" t="s">
        <v>686</v>
      </c>
      <c r="E2093" s="6" t="s">
        <v>588</v>
      </c>
      <c r="F2093" s="6" t="s">
        <v>6919</v>
      </c>
      <c r="G2093" s="6">
        <v>80140</v>
      </c>
      <c r="H2093" s="6" t="s">
        <v>6920</v>
      </c>
      <c r="I2093" s="6">
        <v>323</v>
      </c>
      <c r="J2093" s="6" t="s">
        <v>23</v>
      </c>
      <c r="K2093" s="6" t="s">
        <v>24</v>
      </c>
      <c r="L2093" s="6">
        <v>50000000</v>
      </c>
      <c r="M2093" s="6">
        <v>2010</v>
      </c>
      <c r="N2093" s="6">
        <v>6.5</v>
      </c>
      <c r="O2093" s="4">
        <f ca="1">IFERROR(__xludf.DUMMYFUNCTION("IF(Cost_in_dollars!E2093=""USD"",Cost_in_dollars!B2093,Cost_in_dollars!B2093 * GOOGLEFINANCE(""CURRENCY:"" &amp; Cost_in_dollars!E2093 &amp; ""USD""))
"),50000000)</f>
        <v>50000000</v>
      </c>
      <c r="P2093" s="4">
        <f ca="1">IFERROR(__xludf.DUMMYFUNCTION("IF(Cost_in_dollars!E2093=""USD"",Cost_in_dollars!C2093,Cost_in_dollars!C2093 * GOOGLEFINANCE(""CURRENCY:"" &amp; Cost_in_dollars!E2093 &amp; ""USD""))
"),32741596)</f>
        <v>32741596</v>
      </c>
      <c r="Q2093" s="6">
        <f t="shared" ca="1" si="48"/>
        <v>-17258404</v>
      </c>
      <c r="R2093" s="7" t="str">
        <f t="shared" si="49"/>
        <v>Hereafter</v>
      </c>
      <c r="S2093" s="43" t="str">
        <f t="shared" si="50"/>
        <v>Drama</v>
      </c>
    </row>
    <row r="2094" spans="1:19" ht="15.75" customHeight="1" x14ac:dyDescent="0.25">
      <c r="A2094" s="4" t="s">
        <v>3713</v>
      </c>
      <c r="B2094" s="4">
        <v>161</v>
      </c>
      <c r="C2094" s="4">
        <v>135381507</v>
      </c>
      <c r="D2094" s="4" t="s">
        <v>19</v>
      </c>
      <c r="E2094" s="4" t="s">
        <v>5188</v>
      </c>
      <c r="F2094" s="4" t="s">
        <v>6921</v>
      </c>
      <c r="G2094" s="4">
        <v>63912</v>
      </c>
      <c r="H2094" s="4" t="s">
        <v>6922</v>
      </c>
      <c r="I2094" s="4">
        <v>251</v>
      </c>
      <c r="J2094" s="4" t="s">
        <v>23</v>
      </c>
      <c r="K2094" s="4" t="s">
        <v>24</v>
      </c>
      <c r="L2094" s="4">
        <v>150000000</v>
      </c>
      <c r="M2094" s="4">
        <v>2005</v>
      </c>
      <c r="N2094" s="4">
        <v>5.8</v>
      </c>
      <c r="O2094" s="4">
        <f ca="1">IFERROR(__xludf.DUMMYFUNCTION("IF(Cost_in_dollars!E2094=""USD"",Cost_in_dollars!B2094,Cost_in_dollars!B2094 * GOOGLEFINANCE(""CURRENCY:"" &amp; Cost_in_dollars!E2094 &amp; ""USD""))
"),150000000)</f>
        <v>150000000</v>
      </c>
      <c r="P2094" s="4">
        <f ca="1">IFERROR(__xludf.DUMMYFUNCTION("IF(Cost_in_dollars!E2094=""USD"",Cost_in_dollars!C2094,Cost_in_dollars!C2094 * GOOGLEFINANCE(""CURRENCY:"" &amp; Cost_in_dollars!E2094 &amp; ""USD""))
"),135381507)</f>
        <v>135381507</v>
      </c>
      <c r="Q2094" s="4">
        <f t="shared" ca="1" si="48"/>
        <v>-14618493</v>
      </c>
      <c r="R2094" s="5" t="str">
        <f t="shared" si="49"/>
        <v>Chicken Little</v>
      </c>
      <c r="S2094" s="43" t="str">
        <f t="shared" si="50"/>
        <v>Adventure</v>
      </c>
    </row>
    <row r="2095" spans="1:19" ht="15.75" customHeight="1" x14ac:dyDescent="0.25">
      <c r="A2095" s="6" t="s">
        <v>5185</v>
      </c>
      <c r="B2095" s="6">
        <v>77</v>
      </c>
      <c r="C2095" s="6">
        <v>1068392</v>
      </c>
      <c r="D2095" s="6" t="s">
        <v>6923</v>
      </c>
      <c r="E2095" s="6" t="s">
        <v>6924</v>
      </c>
      <c r="F2095" s="6" t="s">
        <v>6925</v>
      </c>
      <c r="G2095" s="6">
        <v>3865</v>
      </c>
      <c r="H2095" s="6" t="s">
        <v>6926</v>
      </c>
      <c r="I2095" s="6">
        <v>53</v>
      </c>
      <c r="J2095" s="6" t="s">
        <v>23</v>
      </c>
      <c r="K2095" s="6" t="s">
        <v>1111</v>
      </c>
      <c r="L2095" s="6">
        <v>36000000</v>
      </c>
      <c r="M2095" s="6">
        <v>2011</v>
      </c>
      <c r="N2095" s="6">
        <v>5.9</v>
      </c>
      <c r="O2095" s="4">
        <f ca="1">IFERROR(__xludf.DUMMYFUNCTION("IF(Cost_in_dollars!E2095=""USD"",Cost_in_dollars!B2095,Cost_in_dollars!B2095 * GOOGLEFINANCE(""CURRENCY:"" &amp; Cost_in_dollars!E2095 &amp; ""USD""))
"),39050640)</f>
        <v>39050640</v>
      </c>
      <c r="P2095" s="4">
        <f ca="1">IFERROR(__xludf.DUMMYFUNCTION("IF(Cost_in_dollars!E2095=""USD"",Cost_in_dollars!C2095,Cost_in_dollars!C2095 * GOOGLEFINANCE(""CURRENCY:"" &amp; Cost_in_dollars!E2095 &amp; ""USD""))
"),1158927.53808)</f>
        <v>1158927.5380800001</v>
      </c>
      <c r="Q2095" s="6">
        <f t="shared" ca="1" si="48"/>
        <v>-37891712.461920001</v>
      </c>
      <c r="R2095" s="7" t="str">
        <f t="shared" si="49"/>
        <v>There Be Dragons</v>
      </c>
      <c r="S2095" s="43" t="str">
        <f t="shared" si="50"/>
        <v>Biography</v>
      </c>
    </row>
    <row r="2096" spans="1:19" ht="15.75" customHeight="1" x14ac:dyDescent="0.25">
      <c r="A2096" s="4" t="s">
        <v>1401</v>
      </c>
      <c r="B2096" s="4">
        <v>67</v>
      </c>
      <c r="C2096" s="4">
        <v>165500000</v>
      </c>
      <c r="D2096" s="4" t="s">
        <v>1002</v>
      </c>
      <c r="E2096" s="4" t="s">
        <v>650</v>
      </c>
      <c r="F2096" s="4" t="s">
        <v>6927</v>
      </c>
      <c r="G2096" s="4">
        <v>145257</v>
      </c>
      <c r="H2096" s="4" t="s">
        <v>6928</v>
      </c>
      <c r="I2096" s="4">
        <v>322</v>
      </c>
      <c r="J2096" s="4" t="s">
        <v>23</v>
      </c>
      <c r="K2096" s="4" t="s">
        <v>24</v>
      </c>
      <c r="L2096" s="4">
        <v>48000000</v>
      </c>
      <c r="M2096" s="4">
        <v>1991</v>
      </c>
      <c r="N2096" s="4">
        <v>6.9</v>
      </c>
      <c r="O2096" s="4">
        <f ca="1">IFERROR(__xludf.DUMMYFUNCTION("IF(Cost_in_dollars!E2096=""USD"",Cost_in_dollars!B2096,Cost_in_dollars!B2096 * GOOGLEFINANCE(""CURRENCY:"" &amp; Cost_in_dollars!E2096 &amp; ""USD""))
"),48000000)</f>
        <v>48000000</v>
      </c>
      <c r="P2096" s="4">
        <f ca="1">IFERROR(__xludf.DUMMYFUNCTION("IF(Cost_in_dollars!E2096=""USD"",Cost_in_dollars!C2096,Cost_in_dollars!C2096 * GOOGLEFINANCE(""CURRENCY:"" &amp; Cost_in_dollars!E2096 &amp; ""USD""))
"),165500000)</f>
        <v>165500000</v>
      </c>
      <c r="Q2096" s="4">
        <f t="shared" ca="1" si="48"/>
        <v>117500000</v>
      </c>
      <c r="R2096" s="5" t="str">
        <f t="shared" si="49"/>
        <v>Robin Hood: Prince of Thieves</v>
      </c>
      <c r="S2096" s="43" t="str">
        <f t="shared" si="50"/>
        <v>Action</v>
      </c>
    </row>
    <row r="2097" spans="1:19" ht="15.75" customHeight="1" x14ac:dyDescent="0.25">
      <c r="A2097" s="6" t="s">
        <v>4544</v>
      </c>
      <c r="B2097" s="6">
        <v>739</v>
      </c>
      <c r="C2097" s="6">
        <v>153629485</v>
      </c>
      <c r="D2097" s="6" t="s">
        <v>797</v>
      </c>
      <c r="E2097" s="6" t="s">
        <v>1649</v>
      </c>
      <c r="F2097" s="6" t="s">
        <v>6929</v>
      </c>
      <c r="G2097" s="6">
        <v>552503</v>
      </c>
      <c r="H2097" s="6" t="s">
        <v>6930</v>
      </c>
      <c r="I2097" s="6">
        <v>1588</v>
      </c>
      <c r="J2097" s="6" t="s">
        <v>23</v>
      </c>
      <c r="K2097" s="6" t="s">
        <v>149</v>
      </c>
      <c r="L2097" s="6">
        <v>150000000</v>
      </c>
      <c r="M2097" s="6">
        <v>2015</v>
      </c>
      <c r="N2097" s="6">
        <v>8.1</v>
      </c>
      <c r="O2097" s="4">
        <f ca="1">IFERROR(__xludf.DUMMYFUNCTION("IF(Cost_in_dollars!E2097=""USD"",Cost_in_dollars!B2097,Cost_in_dollars!B2097 * GOOGLEFINANCE(""CURRENCY:"" &amp; Cost_in_dollars!E2097 &amp; ""USD""))
"),98082000)</f>
        <v>98082000</v>
      </c>
      <c r="P2097" s="4">
        <f ca="1">IFERROR(__xludf.DUMMYFUNCTION("IF(Cost_in_dollars!E2097=""USD"",Cost_in_dollars!C2097,Cost_in_dollars!C2097 * GOOGLEFINANCE(""CURRENCY:"" &amp; Cost_in_dollars!E2097 &amp; ""USD""))
"),100455247.6518)</f>
        <v>100455247.65180001</v>
      </c>
      <c r="Q2097" s="6">
        <f t="shared" ca="1" si="48"/>
        <v>2373247.6518000066</v>
      </c>
      <c r="R2097" s="7" t="str">
        <f t="shared" si="49"/>
        <v>Mad Max: Fury Road</v>
      </c>
      <c r="S2097" s="43" t="str">
        <f t="shared" si="50"/>
        <v>Action</v>
      </c>
    </row>
    <row r="2098" spans="1:19" ht="15.75" customHeight="1" x14ac:dyDescent="0.25">
      <c r="A2098" s="4" t="s">
        <v>6931</v>
      </c>
      <c r="B2098" s="4">
        <v>39</v>
      </c>
      <c r="C2098" s="4">
        <v>3050934</v>
      </c>
      <c r="D2098" s="4" t="s">
        <v>421</v>
      </c>
      <c r="E2098" s="4" t="s">
        <v>6873</v>
      </c>
      <c r="F2098" s="4" t="s">
        <v>6932</v>
      </c>
      <c r="G2098" s="4">
        <v>2794</v>
      </c>
      <c r="H2098" s="4" t="s">
        <v>6933</v>
      </c>
      <c r="I2098" s="4">
        <v>78</v>
      </c>
      <c r="J2098" s="4" t="s">
        <v>23</v>
      </c>
      <c r="K2098" s="4" t="s">
        <v>24</v>
      </c>
      <c r="L2098" s="4">
        <v>1800000</v>
      </c>
      <c r="M2098" s="4">
        <v>2000</v>
      </c>
      <c r="N2098" s="4">
        <v>7.3</v>
      </c>
      <c r="O2098" s="4">
        <f ca="1">IFERROR(__xludf.DUMMYFUNCTION("IF(Cost_in_dollars!E2098=""USD"",Cost_in_dollars!B2098,Cost_in_dollars!B2098 * GOOGLEFINANCE(""CURRENCY:"" &amp; Cost_in_dollars!E2098 &amp; ""USD""))
"),1800000)</f>
        <v>1800000</v>
      </c>
      <c r="P2098" s="4">
        <f ca="1">IFERROR(__xludf.DUMMYFUNCTION("IF(Cost_in_dollars!E2098=""USD"",Cost_in_dollars!C2098,Cost_in_dollars!C2098 * GOOGLEFINANCE(""CURRENCY:"" &amp; Cost_in_dollars!E2098 &amp; ""USD""))
"),3050934)</f>
        <v>3050934</v>
      </c>
      <c r="Q2098" s="4">
        <f t="shared" ca="1" si="48"/>
        <v>1250934</v>
      </c>
      <c r="R2098" s="5" t="str">
        <f t="shared" si="49"/>
        <v>Songcatcher</v>
      </c>
      <c r="S2098" s="43" t="str">
        <f t="shared" si="50"/>
        <v>Drama</v>
      </c>
    </row>
    <row r="2099" spans="1:19" ht="15.75" customHeight="1" x14ac:dyDescent="0.25">
      <c r="A2099" s="6" t="s">
        <v>6934</v>
      </c>
      <c r="B2099" s="6">
        <v>462</v>
      </c>
      <c r="C2099" s="6">
        <v>73058679</v>
      </c>
      <c r="D2099" s="6" t="s">
        <v>188</v>
      </c>
      <c r="E2099" s="6" t="s">
        <v>6935</v>
      </c>
      <c r="F2099" s="6" t="s">
        <v>6936</v>
      </c>
      <c r="G2099" s="6">
        <v>212204</v>
      </c>
      <c r="H2099" s="6" t="s">
        <v>6937</v>
      </c>
      <c r="I2099" s="6">
        <v>738</v>
      </c>
      <c r="J2099" s="6" t="s">
        <v>23</v>
      </c>
      <c r="K2099" s="6" t="s">
        <v>24</v>
      </c>
      <c r="L2099" s="6">
        <v>263700000</v>
      </c>
      <c r="M2099" s="6">
        <v>2012</v>
      </c>
      <c r="N2099" s="6">
        <v>6.6</v>
      </c>
      <c r="O2099" s="4">
        <f ca="1">IFERROR(__xludf.DUMMYFUNCTION("IF(Cost_in_dollars!E2099=""USD"",Cost_in_dollars!B2099,Cost_in_dollars!B2099 * GOOGLEFINANCE(""CURRENCY:"" &amp; Cost_in_dollars!E2099 &amp; ""USD""))
"),263700000)</f>
        <v>263700000</v>
      </c>
      <c r="P2099" s="4">
        <f ca="1">IFERROR(__xludf.DUMMYFUNCTION("IF(Cost_in_dollars!E2099=""USD"",Cost_in_dollars!C2099,Cost_in_dollars!C2099 * GOOGLEFINANCE(""CURRENCY:"" &amp; Cost_in_dollars!E2099 &amp; ""USD""))
"),73058679)</f>
        <v>73058679</v>
      </c>
      <c r="Q2099" s="6">
        <f t="shared" ca="1" si="48"/>
        <v>-190641321</v>
      </c>
      <c r="R2099" s="7" t="str">
        <f t="shared" si="49"/>
        <v>John Carter</v>
      </c>
      <c r="S2099" s="43" t="str">
        <f t="shared" si="50"/>
        <v>Action</v>
      </c>
    </row>
    <row r="2100" spans="1:19" ht="15.75" customHeight="1" x14ac:dyDescent="0.25">
      <c r="A2100" s="4" t="s">
        <v>6938</v>
      </c>
      <c r="B2100" s="4">
        <v>98</v>
      </c>
      <c r="C2100" s="4">
        <v>20668843</v>
      </c>
      <c r="D2100" s="4" t="s">
        <v>592</v>
      </c>
      <c r="E2100" s="4" t="s">
        <v>900</v>
      </c>
      <c r="F2100" s="4" t="s">
        <v>6939</v>
      </c>
      <c r="G2100" s="4">
        <v>16831</v>
      </c>
      <c r="H2100" s="4" t="s">
        <v>6940</v>
      </c>
      <c r="I2100" s="4">
        <v>54</v>
      </c>
      <c r="J2100" s="4" t="s">
        <v>23</v>
      </c>
      <c r="K2100" s="4" t="s">
        <v>24</v>
      </c>
      <c r="L2100" s="4">
        <v>22000000</v>
      </c>
      <c r="M2100" s="4">
        <v>2008</v>
      </c>
      <c r="N2100" s="4">
        <v>5.8</v>
      </c>
      <c r="O2100" s="4">
        <f ca="1">IFERROR(__xludf.DUMMYFUNCTION("IF(Cost_in_dollars!E2100=""USD"",Cost_in_dollars!B2100,Cost_in_dollars!B2100 * GOOGLEFINANCE(""CURRENCY:"" &amp; Cost_in_dollars!E2100 &amp; ""USD""))
"),22000000)</f>
        <v>22000000</v>
      </c>
      <c r="P2100" s="4">
        <f ca="1">IFERROR(__xludf.DUMMYFUNCTION("IF(Cost_in_dollars!E2100=""USD"",Cost_in_dollars!C2100,Cost_in_dollars!C2100 * GOOGLEFINANCE(""CURRENCY:"" &amp; Cost_in_dollars!E2100 &amp; ""USD""))
"),20668843)</f>
        <v>20668843</v>
      </c>
      <c r="Q2100" s="4">
        <f t="shared" ca="1" si="48"/>
        <v>-1331157</v>
      </c>
      <c r="R2100" s="5" t="str">
        <f t="shared" si="49"/>
        <v>Mad Money</v>
      </c>
      <c r="S2100" s="43" t="str">
        <f t="shared" si="50"/>
        <v>Comedy</v>
      </c>
    </row>
    <row r="2101" spans="1:19" ht="15.75" customHeight="1" x14ac:dyDescent="0.25">
      <c r="A2101" s="6" t="s">
        <v>6941</v>
      </c>
      <c r="B2101" s="6">
        <v>118</v>
      </c>
      <c r="C2101" s="6">
        <v>50818750</v>
      </c>
      <c r="D2101" s="6" t="s">
        <v>304</v>
      </c>
      <c r="E2101" s="6" t="s">
        <v>6942</v>
      </c>
      <c r="F2101" s="6" t="s">
        <v>6943</v>
      </c>
      <c r="G2101" s="6">
        <v>31209</v>
      </c>
      <c r="H2101" s="6" t="s">
        <v>6944</v>
      </c>
      <c r="I2101" s="6">
        <v>106</v>
      </c>
      <c r="J2101" s="6" t="s">
        <v>23</v>
      </c>
      <c r="K2101" s="6" t="s">
        <v>133</v>
      </c>
      <c r="L2101" s="6">
        <v>60000000</v>
      </c>
      <c r="M2101" s="6">
        <v>2008</v>
      </c>
      <c r="N2101" s="6">
        <v>6.1</v>
      </c>
      <c r="O2101" s="4">
        <f ca="1">IFERROR(__xludf.DUMMYFUNCTION("IF(Cost_in_dollars!E2101=""USD"",Cost_in_dollars!B2101,Cost_in_dollars!B2101 * GOOGLEFINANCE(""CURRENCY:"" &amp; Cost_in_dollars!E2101 &amp; ""USD""))
"),77124000)</f>
        <v>77124000</v>
      </c>
      <c r="P2101" s="4">
        <f ca="1">IFERROR(__xludf.DUMMYFUNCTION("IF(Cost_in_dollars!E2101=""USD"",Cost_in_dollars!C2101,Cost_in_dollars!C2101 * GOOGLEFINANCE(""CURRENCY:"" &amp; Cost_in_dollars!E2101 &amp; ""USD""))
"),65322421.2499999)</f>
        <v>65322421.249999903</v>
      </c>
      <c r="Q2101" s="6">
        <f t="shared" ca="1" si="48"/>
        <v>-11801578.750000097</v>
      </c>
      <c r="R2101" s="7" t="str">
        <f t="shared" si="49"/>
        <v>The Tale of Despereaux</v>
      </c>
      <c r="S2101" s="43" t="str">
        <f t="shared" si="50"/>
        <v>Adventure</v>
      </c>
    </row>
    <row r="2102" spans="1:19" ht="15.75" customHeight="1" x14ac:dyDescent="0.25">
      <c r="A2102" s="4" t="s">
        <v>1019</v>
      </c>
      <c r="B2102" s="4">
        <v>203</v>
      </c>
      <c r="C2102" s="4">
        <v>27285953</v>
      </c>
      <c r="D2102" s="4" t="s">
        <v>1099</v>
      </c>
      <c r="E2102" s="4" t="s">
        <v>6945</v>
      </c>
      <c r="F2102" s="4" t="s">
        <v>6946</v>
      </c>
      <c r="G2102" s="4">
        <v>48675</v>
      </c>
      <c r="H2102" s="4" t="s">
        <v>6947</v>
      </c>
      <c r="I2102" s="4">
        <v>214</v>
      </c>
      <c r="J2102" s="4" t="s">
        <v>23</v>
      </c>
      <c r="K2102" s="4" t="s">
        <v>24</v>
      </c>
      <c r="L2102" s="4">
        <v>5000000</v>
      </c>
      <c r="M2102" s="4">
        <v>2015</v>
      </c>
      <c r="N2102" s="4">
        <v>6.8</v>
      </c>
      <c r="O2102" s="4">
        <f ca="1">IFERROR(__xludf.DUMMYFUNCTION("IF(Cost_in_dollars!E2102=""USD"",Cost_in_dollars!B2102,Cost_in_dollars!B2102 * GOOGLEFINANCE(""CURRENCY:"" &amp; Cost_in_dollars!E2102 &amp; ""USD""))
"),5000000)</f>
        <v>5000000</v>
      </c>
      <c r="P2102" s="4">
        <f ca="1">IFERROR(__xludf.DUMMYFUNCTION("IF(Cost_in_dollars!E2102=""USD"",Cost_in_dollars!C2102,Cost_in_dollars!C2102 * GOOGLEFINANCE(""CURRENCY:"" &amp; Cost_in_dollars!E2102 &amp; ""USD""))
"),27285953)</f>
        <v>27285953</v>
      </c>
      <c r="Q2102" s="4">
        <f t="shared" ca="1" si="48"/>
        <v>22285953</v>
      </c>
      <c r="R2102" s="5" t="str">
        <f t="shared" si="49"/>
        <v>No Escape</v>
      </c>
      <c r="S2102" s="43" t="str">
        <f t="shared" si="50"/>
        <v>Action</v>
      </c>
    </row>
    <row r="2103" spans="1:19" ht="15.75" customHeight="1" x14ac:dyDescent="0.25">
      <c r="A2103" s="6" t="s">
        <v>4014</v>
      </c>
      <c r="B2103" s="6">
        <v>322</v>
      </c>
      <c r="C2103" s="6">
        <v>3219029</v>
      </c>
      <c r="D2103" s="6" t="s">
        <v>6948</v>
      </c>
      <c r="E2103" s="6" t="s">
        <v>6949</v>
      </c>
      <c r="F2103" s="6" t="s">
        <v>6950</v>
      </c>
      <c r="G2103" s="6">
        <v>28845</v>
      </c>
      <c r="H2103" s="6" t="s">
        <v>6951</v>
      </c>
      <c r="I2103" s="6">
        <v>125</v>
      </c>
      <c r="J2103" s="6" t="s">
        <v>23</v>
      </c>
      <c r="K2103" s="6" t="s">
        <v>24</v>
      </c>
      <c r="L2103" s="6">
        <v>5000000</v>
      </c>
      <c r="M2103" s="6">
        <v>2015</v>
      </c>
      <c r="N2103" s="6">
        <v>7.1</v>
      </c>
      <c r="O2103" s="4">
        <f ca="1">IFERROR(__xludf.DUMMYFUNCTION("IF(Cost_in_dollars!E2103=""USD"",Cost_in_dollars!B2103,Cost_in_dollars!B2103 * GOOGLEFINANCE(""CURRENCY:"" &amp; Cost_in_dollars!E2103 &amp; ""USD""))
"),5000000)</f>
        <v>5000000</v>
      </c>
      <c r="P2103" s="4">
        <f ca="1">IFERROR(__xludf.DUMMYFUNCTION("IF(Cost_in_dollars!E2103=""USD"",Cost_in_dollars!C2103,Cost_in_dollars!C2103 * GOOGLEFINANCE(""CURRENCY:"" &amp; Cost_in_dollars!E2103 &amp; ""USD""))
"),3219029)</f>
        <v>3219029</v>
      </c>
      <c r="Q2103" s="6">
        <f t="shared" ca="1" si="48"/>
        <v>-1780971</v>
      </c>
      <c r="R2103" s="7" t="str">
        <f t="shared" si="49"/>
        <v>Green Room</v>
      </c>
      <c r="S2103" s="43" t="str">
        <f t="shared" si="50"/>
        <v>Crime</v>
      </c>
    </row>
    <row r="2104" spans="1:19" ht="15.75" customHeight="1" x14ac:dyDescent="0.25">
      <c r="A2104" s="4" t="s">
        <v>6952</v>
      </c>
      <c r="B2104" s="4">
        <v>39</v>
      </c>
      <c r="C2104" s="4">
        <v>196067</v>
      </c>
      <c r="D2104" s="4" t="s">
        <v>235</v>
      </c>
      <c r="E2104" s="4" t="s">
        <v>6953</v>
      </c>
      <c r="F2104" s="4" t="s">
        <v>6954</v>
      </c>
      <c r="G2104" s="4">
        <v>1966</v>
      </c>
      <c r="H2104" s="4" t="s">
        <v>6955</v>
      </c>
      <c r="I2104" s="4">
        <v>25</v>
      </c>
      <c r="J2104" s="4" t="s">
        <v>23</v>
      </c>
      <c r="K2104" s="4" t="s">
        <v>133</v>
      </c>
      <c r="L2104" s="4">
        <v>7000000</v>
      </c>
      <c r="M2104" s="4">
        <v>2002</v>
      </c>
      <c r="N2104" s="4">
        <v>6.7</v>
      </c>
      <c r="O2104" s="4">
        <f ca="1">IFERROR(__xludf.DUMMYFUNCTION("IF(Cost_in_dollars!E2104=""USD"",Cost_in_dollars!B2104,Cost_in_dollars!B2104 * GOOGLEFINANCE(""CURRENCY:"" &amp; Cost_in_dollars!E2104 &amp; ""USD""))
"),8997800)</f>
        <v>8997800</v>
      </c>
      <c r="P2104" s="4">
        <f ca="1">IFERROR(__xludf.DUMMYFUNCTION("IF(Cost_in_dollars!E2104=""USD"",Cost_in_dollars!C2104,Cost_in_dollars!C2104 * GOOGLEFINANCE(""CURRENCY:"" &amp; Cost_in_dollars!E2104 &amp; ""USD""))
"),252024.5218)</f>
        <v>252024.52179999999</v>
      </c>
      <c r="Q2104" s="4">
        <f t="shared" ca="1" si="48"/>
        <v>-8745775.4781999998</v>
      </c>
      <c r="R2104" s="5" t="str">
        <f t="shared" si="49"/>
        <v>The Heart of Me</v>
      </c>
      <c r="S2104" s="43" t="str">
        <f t="shared" si="50"/>
        <v>Drama</v>
      </c>
    </row>
    <row r="2105" spans="1:19" ht="15.75" customHeight="1" x14ac:dyDescent="0.25">
      <c r="A2105" s="6" t="s">
        <v>871</v>
      </c>
      <c r="B2105" s="6">
        <v>160</v>
      </c>
      <c r="C2105" s="6">
        <v>626809</v>
      </c>
      <c r="D2105" s="6" t="s">
        <v>1492</v>
      </c>
      <c r="E2105" s="6" t="s">
        <v>5605</v>
      </c>
      <c r="F2105" s="6" t="s">
        <v>6956</v>
      </c>
      <c r="G2105" s="6">
        <v>36894</v>
      </c>
      <c r="H2105" s="6" t="s">
        <v>6957</v>
      </c>
      <c r="I2105" s="6">
        <v>105</v>
      </c>
      <c r="J2105" s="6" t="s">
        <v>3279</v>
      </c>
      <c r="K2105" s="6" t="s">
        <v>220</v>
      </c>
      <c r="L2105" s="6">
        <v>553632000</v>
      </c>
      <c r="M2105" s="6">
        <v>2008</v>
      </c>
      <c r="N2105" s="6">
        <v>7.4</v>
      </c>
      <c r="O2105" s="4">
        <f ca="1">IFERROR(__xludf.DUMMYFUNCTION("IF(Cost_in_dollars!E2105=""USD"",Cost_in_dollars!B2105,Cost_in_dollars!B2105 * GOOGLEFINANCE(""CURRENCY:"" &amp; Cost_in_dollars!E2105 &amp; ""USD""))
"),76558392.1248)</f>
        <v>76558392.124799997</v>
      </c>
      <c r="P2105" s="4">
        <f ca="1">IFERROR(__xludf.DUMMYFUNCTION("IF(Cost_in_dollars!E2105=""USD"",Cost_in_dollars!C2105,Cost_in_dollars!C2105 * GOOGLEFINANCE(""CURRENCY:"" &amp; Cost_in_dollars!E2105 &amp; ""USD""))
"),86677.5930751)</f>
        <v>86677.593075099998</v>
      </c>
      <c r="Q2105" s="6">
        <f t="shared" ca="1" si="48"/>
        <v>-76471714.5317249</v>
      </c>
      <c r="R2105" s="7" t="str">
        <f t="shared" si="49"/>
        <v>Red Cliff</v>
      </c>
      <c r="S2105" s="43" t="str">
        <f t="shared" si="50"/>
        <v>Action</v>
      </c>
    </row>
    <row r="2106" spans="1:19" ht="15.75" customHeight="1" x14ac:dyDescent="0.25">
      <c r="A2106" s="4" t="s">
        <v>6958</v>
      </c>
      <c r="B2106" s="4">
        <v>25</v>
      </c>
      <c r="C2106" s="4">
        <v>978908</v>
      </c>
      <c r="D2106" s="4" t="s">
        <v>2396</v>
      </c>
      <c r="E2106" s="4" t="s">
        <v>6959</v>
      </c>
      <c r="F2106" s="4" t="s">
        <v>6960</v>
      </c>
      <c r="G2106" s="4">
        <v>4057</v>
      </c>
      <c r="H2106" s="4" t="s">
        <v>6961</v>
      </c>
      <c r="I2106" s="4">
        <v>90</v>
      </c>
      <c r="J2106" s="4" t="s">
        <v>23</v>
      </c>
      <c r="K2106" s="4" t="s">
        <v>6962</v>
      </c>
      <c r="L2106" s="4">
        <v>2400000</v>
      </c>
      <c r="M2106" s="4">
        <v>2006</v>
      </c>
      <c r="N2106" s="4">
        <v>5.0999999999999996</v>
      </c>
      <c r="O2106" s="4">
        <f ca="1">IFERROR(__xludf.DUMMYFUNCTION("IF(Cost_in_dollars!E2106=""USD"",Cost_in_dollars!B2106,Cost_in_dollars!B2106 * GOOGLEFINANCE(""CURRENCY:"" &amp; Cost_in_dollars!E2106 &amp; ""USD""))
"),607187.999999999)</f>
        <v>607187.99999999895</v>
      </c>
      <c r="P2106" s="4">
        <f ca="1">IFERROR(__xludf.DUMMYFUNCTION("IF(Cost_in_dollars!E2106=""USD"",Cost_in_dollars!C2106,Cost_in_dollars!C2106 * GOOGLEFINANCE(""CURRENCY:"" &amp; Cost_in_dollars!E2106 &amp; ""USD""))
"),247658.829459999)</f>
        <v>247658.82945999899</v>
      </c>
      <c r="Q2106" s="4">
        <f t="shared" ca="1" si="48"/>
        <v>-359529.17053999996</v>
      </c>
      <c r="R2106" s="5" t="str">
        <f t="shared" si="49"/>
        <v>Thr3e</v>
      </c>
      <c r="S2106" s="43" t="str">
        <f t="shared" si="50"/>
        <v>Drama</v>
      </c>
    </row>
    <row r="2107" spans="1:19" ht="15.75" customHeight="1" x14ac:dyDescent="0.25">
      <c r="A2107" s="6" t="s">
        <v>710</v>
      </c>
      <c r="B2107" s="6">
        <v>145</v>
      </c>
      <c r="C2107" s="6">
        <v>449558</v>
      </c>
      <c r="D2107" s="6" t="s">
        <v>1127</v>
      </c>
      <c r="E2107" s="6" t="s">
        <v>3723</v>
      </c>
      <c r="F2107" s="6" t="s">
        <v>6963</v>
      </c>
      <c r="G2107" s="6">
        <v>32307</v>
      </c>
      <c r="H2107" s="6" t="s">
        <v>6964</v>
      </c>
      <c r="I2107" s="6">
        <v>75</v>
      </c>
      <c r="J2107" s="6" t="s">
        <v>23</v>
      </c>
      <c r="K2107" s="6" t="s">
        <v>133</v>
      </c>
      <c r="L2107" s="6">
        <v>10000000</v>
      </c>
      <c r="M2107" s="6">
        <v>2009</v>
      </c>
      <c r="N2107" s="6">
        <v>7.6</v>
      </c>
      <c r="O2107" s="4">
        <f ca="1">IFERROR(__xludf.DUMMYFUNCTION("IF(Cost_in_dollars!E2107=""USD"",Cost_in_dollars!B2107,Cost_in_dollars!B2107 * GOOGLEFINANCE(""CURRENCY:"" &amp; Cost_in_dollars!E2107 &amp; ""USD""))
"),12853999.9999999)</f>
        <v>12853999.999999899</v>
      </c>
      <c r="P2107" s="4">
        <f ca="1">IFERROR(__xludf.DUMMYFUNCTION("IF(Cost_in_dollars!E2107=""USD"",Cost_in_dollars!C2107,Cost_in_dollars!C2107 * GOOGLEFINANCE(""CURRENCY:"" &amp; Cost_in_dollars!E2107 &amp; ""USD""))
"),577861.853199999)</f>
        <v>577861.85319999896</v>
      </c>
      <c r="Q2107" s="6">
        <f t="shared" ca="1" si="48"/>
        <v>-12276138.1467999</v>
      </c>
      <c r="R2107" s="7" t="str">
        <f t="shared" si="49"/>
        <v>The Damned United</v>
      </c>
      <c r="S2107" s="43" t="str">
        <f t="shared" si="50"/>
        <v>Biography</v>
      </c>
    </row>
    <row r="2108" spans="1:19" ht="15.75" customHeight="1" x14ac:dyDescent="0.25">
      <c r="A2108" s="4" t="s">
        <v>2877</v>
      </c>
      <c r="B2108" s="4">
        <v>177</v>
      </c>
      <c r="C2108" s="4">
        <v>24520892</v>
      </c>
      <c r="D2108" s="4" t="s">
        <v>504</v>
      </c>
      <c r="E2108" s="4" t="s">
        <v>173</v>
      </c>
      <c r="F2108" s="4" t="s">
        <v>6965</v>
      </c>
      <c r="G2108" s="4">
        <v>85198</v>
      </c>
      <c r="H2108" s="4" t="s">
        <v>6966</v>
      </c>
      <c r="I2108" s="4">
        <v>303</v>
      </c>
      <c r="J2108" s="4" t="s">
        <v>23</v>
      </c>
      <c r="K2108" s="4" t="s">
        <v>611</v>
      </c>
      <c r="L2108" s="4">
        <v>45000000</v>
      </c>
      <c r="M2108" s="4">
        <v>2005</v>
      </c>
      <c r="N2108" s="4">
        <v>7</v>
      </c>
      <c r="O2108" s="4">
        <f ca="1">IFERROR(__xludf.DUMMYFUNCTION("IF(Cost_in_dollars!E2108=""USD"",Cost_in_dollars!B2108,Cost_in_dollars!B2108 * GOOGLEFINANCE(""CURRENCY:"" &amp; Cost_in_dollars!E2108 &amp; ""USD""))
"),48813300)</f>
        <v>48813300</v>
      </c>
      <c r="P2108" s="4">
        <f ca="1">IFERROR(__xludf.DUMMYFUNCTION("IF(Cost_in_dollars!E2108=""USD"",Cost_in_dollars!C2108,Cost_in_dollars!C2108 * GOOGLEFINANCE(""CURRENCY:"" &amp; Cost_in_dollars!E2108 &amp; ""USD""))
"),26598792.38808)</f>
        <v>26598792.388080001</v>
      </c>
      <c r="Q2108" s="4">
        <f t="shared" ca="1" si="48"/>
        <v>-22214507.611919999</v>
      </c>
      <c r="R2108" s="5" t="str">
        <f t="shared" si="49"/>
        <v>Unleashed</v>
      </c>
      <c r="S2108" s="43" t="str">
        <f t="shared" si="50"/>
        <v>Action</v>
      </c>
    </row>
    <row r="2109" spans="1:19" ht="15.75" customHeight="1" x14ac:dyDescent="0.25">
      <c r="A2109" s="6" t="s">
        <v>1001</v>
      </c>
      <c r="B2109" s="6">
        <v>509</v>
      </c>
      <c r="C2109" s="6">
        <v>258355354</v>
      </c>
      <c r="D2109" s="6" t="s">
        <v>3118</v>
      </c>
      <c r="E2109" s="6" t="s">
        <v>6502</v>
      </c>
      <c r="F2109" s="6" t="s">
        <v>6967</v>
      </c>
      <c r="G2109" s="6">
        <v>483540</v>
      </c>
      <c r="H2109" s="6" t="s">
        <v>6968</v>
      </c>
      <c r="I2109" s="6">
        <v>951</v>
      </c>
      <c r="J2109" s="6" t="s">
        <v>23</v>
      </c>
      <c r="K2109" s="6" t="s">
        <v>24</v>
      </c>
      <c r="L2109" s="6">
        <v>225000000</v>
      </c>
      <c r="M2109" s="6">
        <v>2013</v>
      </c>
      <c r="N2109" s="6">
        <v>7.9</v>
      </c>
      <c r="O2109" s="4">
        <f ca="1">IFERROR(__xludf.DUMMYFUNCTION("IF(Cost_in_dollars!E2109=""USD"",Cost_in_dollars!B2109,Cost_in_dollars!B2109 * GOOGLEFINANCE(""CURRENCY:"" &amp; Cost_in_dollars!E2109 &amp; ""USD""))
"),225000000)</f>
        <v>225000000</v>
      </c>
      <c r="P2109" s="4">
        <f ca="1">IFERROR(__xludf.DUMMYFUNCTION("IF(Cost_in_dollars!E2109=""USD"",Cost_in_dollars!C2109,Cost_in_dollars!C2109 * GOOGLEFINANCE(""CURRENCY:"" &amp; Cost_in_dollars!E2109 &amp; ""USD""))
"),258355354)</f>
        <v>258355354</v>
      </c>
      <c r="Q2109" s="6">
        <f t="shared" ca="1" si="48"/>
        <v>33355354</v>
      </c>
      <c r="R2109" s="7" t="str">
        <f t="shared" si="49"/>
        <v>The Hobbit: The Desolation of Smaug</v>
      </c>
      <c r="S2109" s="43" t="str">
        <f t="shared" si="50"/>
        <v>Adventure</v>
      </c>
    </row>
    <row r="2110" spans="1:19" ht="15.75" customHeight="1" x14ac:dyDescent="0.25">
      <c r="A2110" s="4" t="s">
        <v>899</v>
      </c>
      <c r="B2110" s="4">
        <v>93</v>
      </c>
      <c r="C2110" s="4">
        <v>2122561</v>
      </c>
      <c r="D2110" s="4" t="s">
        <v>88</v>
      </c>
      <c r="E2110" s="4" t="s">
        <v>2797</v>
      </c>
      <c r="F2110" s="4" t="s">
        <v>6969</v>
      </c>
      <c r="G2110" s="4">
        <v>99033</v>
      </c>
      <c r="H2110" s="4" t="s">
        <v>6970</v>
      </c>
      <c r="I2110" s="4">
        <v>434</v>
      </c>
      <c r="J2110" s="4" t="s">
        <v>23</v>
      </c>
      <c r="K2110" s="4" t="s">
        <v>24</v>
      </c>
      <c r="L2110" s="4">
        <v>6000000</v>
      </c>
      <c r="M2110" s="4">
        <v>1995</v>
      </c>
      <c r="N2110" s="4">
        <v>7.2</v>
      </c>
      <c r="O2110" s="4">
        <f ca="1">IFERROR(__xludf.DUMMYFUNCTION("IF(Cost_in_dollars!E2110=""USD"",Cost_in_dollars!B2110,Cost_in_dollars!B2110 * GOOGLEFINANCE(""CURRENCY:"" &amp; Cost_in_dollars!E2110 &amp; ""USD""))
"),6000000)</f>
        <v>6000000</v>
      </c>
      <c r="P2110" s="4">
        <f ca="1">IFERROR(__xludf.DUMMYFUNCTION("IF(Cost_in_dollars!E2110=""USD"",Cost_in_dollars!C2110,Cost_in_dollars!C2110 * GOOGLEFINANCE(""CURRENCY:"" &amp; Cost_in_dollars!E2110 &amp; ""USD""))
"),2122561)</f>
        <v>2122561</v>
      </c>
      <c r="Q2110" s="4">
        <f t="shared" ca="1" si="48"/>
        <v>-3877439</v>
      </c>
      <c r="R2110" s="5" t="str">
        <f t="shared" si="49"/>
        <v>Mallrats</v>
      </c>
      <c r="S2110" s="43" t="str">
        <f t="shared" si="50"/>
        <v>Comedy</v>
      </c>
    </row>
    <row r="2111" spans="1:19" ht="15.75" customHeight="1" x14ac:dyDescent="0.25">
      <c r="A2111" s="6" t="s">
        <v>6971</v>
      </c>
      <c r="B2111" s="6">
        <v>54</v>
      </c>
      <c r="C2111" s="6">
        <v>92191</v>
      </c>
      <c r="D2111" s="6" t="s">
        <v>6972</v>
      </c>
      <c r="E2111" s="6" t="s">
        <v>818</v>
      </c>
      <c r="F2111" s="6" t="s">
        <v>6973</v>
      </c>
      <c r="G2111" s="6">
        <v>29463</v>
      </c>
      <c r="H2111" s="6" t="s">
        <v>6974</v>
      </c>
      <c r="I2111" s="6">
        <v>84</v>
      </c>
      <c r="J2111" s="6" t="s">
        <v>23</v>
      </c>
      <c r="K2111" s="6" t="s">
        <v>133</v>
      </c>
      <c r="L2111" s="6">
        <v>2500000</v>
      </c>
      <c r="M2111" s="6">
        <v>2001</v>
      </c>
      <c r="N2111" s="6">
        <v>6.5</v>
      </c>
      <c r="O2111" s="4">
        <f ca="1">IFERROR(__xludf.DUMMYFUNCTION("IF(Cost_in_dollars!E2111=""USD"",Cost_in_dollars!B2111,Cost_in_dollars!B2111 * GOOGLEFINANCE(""CURRENCY:"" &amp; Cost_in_dollars!E2111 &amp; ""USD""))
"),3213499.99999999)</f>
        <v>3213499.9999999902</v>
      </c>
      <c r="P2111" s="4">
        <f ca="1">IFERROR(__xludf.DUMMYFUNCTION("IF(Cost_in_dollars!E2111=""USD"",Cost_in_dollars!C2111,Cost_in_dollars!C2111 * GOOGLEFINANCE(""CURRENCY:"" &amp; Cost_in_dollars!E2111 &amp; ""USD""))
"),118502.311399999)</f>
        <v>118502.311399999</v>
      </c>
      <c r="Q2111" s="6">
        <f t="shared" ca="1" si="48"/>
        <v>-3094997.6885999911</v>
      </c>
      <c r="R2111" s="7" t="str">
        <f t="shared" si="49"/>
        <v>Mean Machine</v>
      </c>
      <c r="S2111" s="43" t="str">
        <f t="shared" si="50"/>
        <v>Comedy</v>
      </c>
    </row>
    <row r="2112" spans="1:19" ht="15.75" customHeight="1" x14ac:dyDescent="0.25">
      <c r="A2112" s="4" t="s">
        <v>4325</v>
      </c>
      <c r="B2112" s="4">
        <v>60</v>
      </c>
      <c r="C2112" s="4">
        <v>4922166</v>
      </c>
      <c r="D2112" s="4" t="s">
        <v>1949</v>
      </c>
      <c r="E2112" s="4" t="s">
        <v>6975</v>
      </c>
      <c r="F2112" s="4" t="s">
        <v>6976</v>
      </c>
      <c r="G2112" s="4">
        <v>23606</v>
      </c>
      <c r="H2112" s="4" t="s">
        <v>6977</v>
      </c>
      <c r="I2112" s="4">
        <v>304</v>
      </c>
      <c r="J2112" s="4" t="s">
        <v>23</v>
      </c>
      <c r="K2112" s="4" t="s">
        <v>24</v>
      </c>
      <c r="L2112" s="4">
        <v>12000000</v>
      </c>
      <c r="M2112" s="4">
        <v>2003</v>
      </c>
      <c r="N2112" s="4">
        <v>2.1</v>
      </c>
      <c r="O2112" s="4">
        <f ca="1">IFERROR(__xludf.DUMMYFUNCTION("IF(Cost_in_dollars!E2112=""USD"",Cost_in_dollars!B2112,Cost_in_dollars!B2112 * GOOGLEFINANCE(""CURRENCY:"" &amp; Cost_in_dollars!E2112 &amp; ""USD""))
"),12000000)</f>
        <v>12000000</v>
      </c>
      <c r="P2112" s="4">
        <f ca="1">IFERROR(__xludf.DUMMYFUNCTION("IF(Cost_in_dollars!E2112=""USD"",Cost_in_dollars!C2112,Cost_in_dollars!C2112 * GOOGLEFINANCE(""CURRENCY:"" &amp; Cost_in_dollars!E2112 &amp; ""USD""))
"),4922166)</f>
        <v>4922166</v>
      </c>
      <c r="Q2112" s="4">
        <f t="shared" ca="1" si="48"/>
        <v>-7077834</v>
      </c>
      <c r="R2112" s="5" t="str">
        <f t="shared" si="49"/>
        <v>From Justin to Kelly</v>
      </c>
      <c r="S2112" s="43" t="str">
        <f t="shared" si="50"/>
        <v>Comedy</v>
      </c>
    </row>
    <row r="2113" spans="1:19" ht="15.75" customHeight="1" x14ac:dyDescent="0.25">
      <c r="A2113" s="6" t="s">
        <v>6978</v>
      </c>
      <c r="B2113" s="6">
        <v>54</v>
      </c>
      <c r="C2113" s="6">
        <v>1950218</v>
      </c>
      <c r="D2113" s="6" t="s">
        <v>457</v>
      </c>
      <c r="E2113" s="6" t="s">
        <v>330</v>
      </c>
      <c r="F2113" s="6" t="s">
        <v>6979</v>
      </c>
      <c r="G2113" s="6">
        <v>5933</v>
      </c>
      <c r="H2113" s="6" t="s">
        <v>6980</v>
      </c>
      <c r="I2113" s="6">
        <v>102</v>
      </c>
      <c r="J2113" s="6" t="s">
        <v>23</v>
      </c>
      <c r="K2113" s="6" t="s">
        <v>24</v>
      </c>
      <c r="L2113" s="6">
        <v>1000000</v>
      </c>
      <c r="M2113" s="6">
        <v>1997</v>
      </c>
      <c r="N2113" s="6">
        <v>5.6</v>
      </c>
      <c r="O2113" s="4">
        <f ca="1">IFERROR(__xludf.DUMMYFUNCTION("IF(Cost_in_dollars!E2113=""USD"",Cost_in_dollars!B2113,Cost_in_dollars!B2113 * GOOGLEFINANCE(""CURRENCY:"" &amp; Cost_in_dollars!E2113 &amp; ""USD""))
"),1000000)</f>
        <v>1000000</v>
      </c>
      <c r="P2113" s="4">
        <f ca="1">IFERROR(__xludf.DUMMYFUNCTION("IF(Cost_in_dollars!E2113=""USD"",Cost_in_dollars!C2113,Cost_in_dollars!C2113 * GOOGLEFINANCE(""CURRENCY:"" &amp; Cost_in_dollars!E2113 &amp; ""USD""))
"),1950218)</f>
        <v>1950218</v>
      </c>
      <c r="Q2113" s="6">
        <f t="shared" ca="1" si="48"/>
        <v>950218</v>
      </c>
      <c r="R2113" s="7" t="str">
        <f t="shared" si="49"/>
        <v>Two Girls and a Guy</v>
      </c>
      <c r="S2113" s="43" t="str">
        <f t="shared" si="50"/>
        <v>Comedy</v>
      </c>
    </row>
    <row r="2114" spans="1:19" ht="15.75" customHeight="1" x14ac:dyDescent="0.25">
      <c r="A2114" s="4" t="s">
        <v>638</v>
      </c>
      <c r="B2114" s="4">
        <v>298</v>
      </c>
      <c r="C2114" s="4">
        <v>47379090</v>
      </c>
      <c r="D2114" s="4" t="s">
        <v>963</v>
      </c>
      <c r="E2114" s="4" t="s">
        <v>6981</v>
      </c>
      <c r="F2114" s="4" t="s">
        <v>6982</v>
      </c>
      <c r="G2114" s="4">
        <v>176936</v>
      </c>
      <c r="H2114" s="4" t="s">
        <v>6983</v>
      </c>
      <c r="I2114" s="4">
        <v>824</v>
      </c>
      <c r="J2114" s="4" t="s">
        <v>23</v>
      </c>
      <c r="K2114" s="4" t="s">
        <v>611</v>
      </c>
      <c r="L2114" s="4">
        <v>70000000</v>
      </c>
      <c r="M2114" s="4">
        <v>2005</v>
      </c>
      <c r="N2114" s="4">
        <v>7.6</v>
      </c>
      <c r="O2114" s="4">
        <f ca="1">IFERROR(__xludf.DUMMYFUNCTION("IF(Cost_in_dollars!E2114=""USD"",Cost_in_dollars!B2114,Cost_in_dollars!B2114 * GOOGLEFINANCE(""CURRENCY:"" &amp; Cost_in_dollars!E2114 &amp; ""USD""))
"),75931800)</f>
        <v>75931800</v>
      </c>
      <c r="P2114" s="4">
        <f ca="1">IFERROR(__xludf.DUMMYFUNCTION("IF(Cost_in_dollars!E2114=""USD"",Cost_in_dollars!C2114,Cost_in_dollars!C2114 * GOOGLEFINANCE(""CURRENCY:"" &amp; Cost_in_dollars!E2114 &amp; ""USD""))
"),51393994.0866)</f>
        <v>51393994.086599998</v>
      </c>
      <c r="Q2114" s="4">
        <f t="shared" ca="1" si="48"/>
        <v>-24537805.913400002</v>
      </c>
      <c r="R2114" s="5" t="str">
        <f t="shared" si="49"/>
        <v>Munich</v>
      </c>
      <c r="S2114" s="43" t="str">
        <f t="shared" ref="S2114:S2177" si="51">IF(ISNUMBER(FIND("|", D2114)), LEFT(D2114, FIND("|", D2114) - 1), D2114)</f>
        <v>Drama</v>
      </c>
    </row>
    <row r="2115" spans="1:19" ht="15.75" customHeight="1" x14ac:dyDescent="0.25">
      <c r="A2115" s="6" t="s">
        <v>6984</v>
      </c>
      <c r="B2115" s="6">
        <v>60</v>
      </c>
      <c r="C2115" s="6">
        <v>317040</v>
      </c>
      <c r="D2115" s="6" t="s">
        <v>235</v>
      </c>
      <c r="E2115" s="6" t="s">
        <v>1982</v>
      </c>
      <c r="F2115" s="6" t="s">
        <v>6985</v>
      </c>
      <c r="G2115" s="6">
        <v>6723</v>
      </c>
      <c r="H2115" s="6" t="s">
        <v>6986</v>
      </c>
      <c r="I2115" s="6">
        <v>36</v>
      </c>
      <c r="J2115" s="6" t="s">
        <v>23</v>
      </c>
      <c r="K2115" s="6" t="s">
        <v>24</v>
      </c>
      <c r="L2115" s="6">
        <v>15500000</v>
      </c>
      <c r="M2115" s="6">
        <v>2008</v>
      </c>
      <c r="N2115" s="6">
        <v>6.8</v>
      </c>
      <c r="O2115" s="4">
        <f ca="1">IFERROR(__xludf.DUMMYFUNCTION("IF(Cost_in_dollars!E2115=""USD"",Cost_in_dollars!B2115,Cost_in_dollars!B2115 * GOOGLEFINANCE(""CURRENCY:"" &amp; Cost_in_dollars!E2115 &amp; ""USD""))
"),15500000)</f>
        <v>15500000</v>
      </c>
      <c r="P2115" s="4">
        <f ca="1">IFERROR(__xludf.DUMMYFUNCTION("IF(Cost_in_dollars!E2115=""USD"",Cost_in_dollars!C2115,Cost_in_dollars!C2115 * GOOGLEFINANCE(""CURRENCY:"" &amp; Cost_in_dollars!E2115 &amp; ""USD""))
"),317040)</f>
        <v>317040</v>
      </c>
      <c r="Q2115" s="6">
        <f t="shared" ca="1" si="48"/>
        <v>-15182960</v>
      </c>
      <c r="R2115" s="7" t="str">
        <f t="shared" si="49"/>
        <v>The Yellow Handkerchief</v>
      </c>
      <c r="S2115" s="43" t="str">
        <f t="shared" si="51"/>
        <v>Drama</v>
      </c>
    </row>
    <row r="2116" spans="1:19" ht="15.75" customHeight="1" x14ac:dyDescent="0.25">
      <c r="A2116" s="4" t="s">
        <v>429</v>
      </c>
      <c r="B2116" s="4">
        <v>436</v>
      </c>
      <c r="C2116" s="4">
        <v>116593191</v>
      </c>
      <c r="D2116" s="4" t="s">
        <v>188</v>
      </c>
      <c r="E2116" s="4" t="s">
        <v>2466</v>
      </c>
      <c r="F2116" s="4" t="s">
        <v>6987</v>
      </c>
      <c r="G2116" s="4">
        <v>223393</v>
      </c>
      <c r="H2116" s="4" t="s">
        <v>6988</v>
      </c>
      <c r="I2116" s="4">
        <v>550</v>
      </c>
      <c r="J2116" s="4" t="s">
        <v>23</v>
      </c>
      <c r="K2116" s="4" t="s">
        <v>24</v>
      </c>
      <c r="L2116" s="4">
        <v>200000000</v>
      </c>
      <c r="M2116" s="4">
        <v>2011</v>
      </c>
      <c r="N2116" s="4">
        <v>5.6</v>
      </c>
      <c r="O2116" s="4">
        <f ca="1">IFERROR(__xludf.DUMMYFUNCTION("IF(Cost_in_dollars!E2116=""USD"",Cost_in_dollars!B2116,Cost_in_dollars!B2116 * GOOGLEFINANCE(""CURRENCY:"" &amp; Cost_in_dollars!E2116 &amp; ""USD""))
"),200000000)</f>
        <v>200000000</v>
      </c>
      <c r="P2116" s="4">
        <f ca="1">IFERROR(__xludf.DUMMYFUNCTION("IF(Cost_in_dollars!E2116=""USD"",Cost_in_dollars!C2116,Cost_in_dollars!C2116 * GOOGLEFINANCE(""CURRENCY:"" &amp; Cost_in_dollars!E2116 &amp; ""USD""))
"),116593191)</f>
        <v>116593191</v>
      </c>
      <c r="Q2116" s="4">
        <f t="shared" ca="1" si="48"/>
        <v>-83406809</v>
      </c>
      <c r="R2116" s="5" t="str">
        <f t="shared" si="49"/>
        <v>Green Lantern</v>
      </c>
      <c r="S2116" s="43" t="str">
        <f t="shared" si="51"/>
        <v>Action</v>
      </c>
    </row>
    <row r="2117" spans="1:19" ht="15.75" customHeight="1" x14ac:dyDescent="0.25">
      <c r="A2117" s="6" t="s">
        <v>405</v>
      </c>
      <c r="B2117" s="6">
        <v>128</v>
      </c>
      <c r="C2117" s="6">
        <v>22905674</v>
      </c>
      <c r="D2117" s="6" t="s">
        <v>53</v>
      </c>
      <c r="E2117" s="6" t="s">
        <v>588</v>
      </c>
      <c r="F2117" s="6" t="s">
        <v>6989</v>
      </c>
      <c r="G2117" s="6">
        <v>121676</v>
      </c>
      <c r="H2117" s="6" t="s">
        <v>6990</v>
      </c>
      <c r="I2117" s="6">
        <v>290</v>
      </c>
      <c r="J2117" s="6" t="s">
        <v>23</v>
      </c>
      <c r="K2117" s="6" t="s">
        <v>24</v>
      </c>
      <c r="L2117" s="6">
        <v>12000000</v>
      </c>
      <c r="M2117" s="6">
        <v>1998</v>
      </c>
      <c r="N2117" s="6">
        <v>7.4</v>
      </c>
      <c r="O2117" s="4">
        <f ca="1">IFERROR(__xludf.DUMMYFUNCTION("IF(Cost_in_dollars!E2117=""USD"",Cost_in_dollars!B2117,Cost_in_dollars!B2117 * GOOGLEFINANCE(""CURRENCY:"" &amp; Cost_in_dollars!E2117 &amp; ""USD""))
"),12000000)</f>
        <v>12000000</v>
      </c>
      <c r="P2117" s="4">
        <f ca="1">IFERROR(__xludf.DUMMYFUNCTION("IF(Cost_in_dollars!E2117=""USD"",Cost_in_dollars!C2117,Cost_in_dollars!C2117 * GOOGLEFINANCE(""CURRENCY:"" &amp; Cost_in_dollars!E2117 &amp; ""USD""))
"),22905674)</f>
        <v>22905674</v>
      </c>
      <c r="Q2117" s="6">
        <f t="shared" ca="1" si="48"/>
        <v>10905674</v>
      </c>
      <c r="R2117" s="7" t="str">
        <f t="shared" si="49"/>
        <v>Rounders</v>
      </c>
      <c r="S2117" s="43" t="str">
        <f t="shared" si="51"/>
        <v>Crime</v>
      </c>
    </row>
    <row r="2118" spans="1:19" ht="15.75" customHeight="1" x14ac:dyDescent="0.25">
      <c r="A2118" s="4" t="s">
        <v>1435</v>
      </c>
      <c r="B2118" s="4">
        <v>377</v>
      </c>
      <c r="C2118" s="4">
        <v>33048353</v>
      </c>
      <c r="D2118" s="4" t="s">
        <v>6991</v>
      </c>
      <c r="E2118" s="4" t="s">
        <v>330</v>
      </c>
      <c r="F2118" s="4" t="s">
        <v>6992</v>
      </c>
      <c r="G2118" s="4">
        <v>301279</v>
      </c>
      <c r="H2118" s="4" t="s">
        <v>6993</v>
      </c>
      <c r="I2118" s="4">
        <v>589</v>
      </c>
      <c r="J2118" s="4" t="s">
        <v>23</v>
      </c>
      <c r="K2118" s="4" t="s">
        <v>24</v>
      </c>
      <c r="L2118" s="4">
        <v>65000000</v>
      </c>
      <c r="M2118" s="4">
        <v>2007</v>
      </c>
      <c r="N2118" s="4">
        <v>7.7</v>
      </c>
      <c r="O2118" s="4">
        <f ca="1">IFERROR(__xludf.DUMMYFUNCTION("IF(Cost_in_dollars!E2118=""USD"",Cost_in_dollars!B2118,Cost_in_dollars!B2118 * GOOGLEFINANCE(""CURRENCY:"" &amp; Cost_in_dollars!E2118 &amp; ""USD""))
"),65000000)</f>
        <v>65000000</v>
      </c>
      <c r="P2118" s="4">
        <f ca="1">IFERROR(__xludf.DUMMYFUNCTION("IF(Cost_in_dollars!E2118=""USD"",Cost_in_dollars!C2118,Cost_in_dollars!C2118 * GOOGLEFINANCE(""CURRENCY:"" &amp; Cost_in_dollars!E2118 &amp; ""USD""))
"),33048353)</f>
        <v>33048353</v>
      </c>
      <c r="Q2118" s="4">
        <f t="shared" ca="1" si="48"/>
        <v>-31951647</v>
      </c>
      <c r="R2118" s="5" t="str">
        <f t="shared" si="49"/>
        <v>Zodiac</v>
      </c>
      <c r="S2118" s="43" t="str">
        <f t="shared" si="51"/>
        <v>Crime</v>
      </c>
    </row>
    <row r="2119" spans="1:19" ht="15.75" customHeight="1" x14ac:dyDescent="0.25">
      <c r="A2119" s="6" t="s">
        <v>4716</v>
      </c>
      <c r="B2119" s="6">
        <v>15</v>
      </c>
      <c r="C2119" s="6">
        <v>2832826</v>
      </c>
      <c r="D2119" s="6" t="s">
        <v>162</v>
      </c>
      <c r="E2119" s="6" t="s">
        <v>1617</v>
      </c>
      <c r="F2119" s="6" t="s">
        <v>6994</v>
      </c>
      <c r="G2119" s="6">
        <v>1761</v>
      </c>
      <c r="H2119" s="6" t="s">
        <v>6995</v>
      </c>
      <c r="I2119" s="6">
        <v>19</v>
      </c>
      <c r="J2119" s="6" t="s">
        <v>23</v>
      </c>
      <c r="K2119" s="6" t="s">
        <v>24</v>
      </c>
      <c r="L2119" s="6">
        <v>11000000</v>
      </c>
      <c r="M2119" s="6">
        <v>1995</v>
      </c>
      <c r="N2119" s="6">
        <v>6.2</v>
      </c>
      <c r="O2119" s="4">
        <f ca="1">IFERROR(__xludf.DUMMYFUNCTION("IF(Cost_in_dollars!E2119=""USD"",Cost_in_dollars!B2119,Cost_in_dollars!B2119 * GOOGLEFINANCE(""CURRENCY:"" &amp; Cost_in_dollars!E2119 &amp; ""USD""))
"),11000000)</f>
        <v>11000000</v>
      </c>
      <c r="P2119" s="4">
        <f ca="1">IFERROR(__xludf.DUMMYFUNCTION("IF(Cost_in_dollars!E2119=""USD"",Cost_in_dollars!C2119,Cost_in_dollars!C2119 * GOOGLEFINANCE(""CURRENCY:"" &amp; Cost_in_dollars!E2119 &amp; ""USD""))
"),2832826)</f>
        <v>2832826</v>
      </c>
      <c r="Q2119" s="6">
        <f t="shared" ca="1" si="48"/>
        <v>-8167174</v>
      </c>
      <c r="R2119" s="7" t="str">
        <f t="shared" si="49"/>
        <v>The Perez Family</v>
      </c>
      <c r="S2119" s="43" t="str">
        <f t="shared" si="51"/>
        <v>Comedy</v>
      </c>
    </row>
    <row r="2120" spans="1:19" ht="15.75" customHeight="1" x14ac:dyDescent="0.25">
      <c r="A2120" s="4" t="s">
        <v>880</v>
      </c>
      <c r="B2120" s="4">
        <v>406</v>
      </c>
      <c r="C2120" s="4">
        <v>85707116</v>
      </c>
      <c r="D2120" s="4" t="s">
        <v>406</v>
      </c>
      <c r="E2120" s="4" t="s">
        <v>1436</v>
      </c>
      <c r="F2120" s="4" t="s">
        <v>6996</v>
      </c>
      <c r="G2120" s="4">
        <v>303185</v>
      </c>
      <c r="H2120" s="4" t="s">
        <v>6997</v>
      </c>
      <c r="I2120" s="4">
        <v>701</v>
      </c>
      <c r="J2120" s="4" t="s">
        <v>23</v>
      </c>
      <c r="K2120" s="4" t="s">
        <v>24</v>
      </c>
      <c r="L2120" s="4">
        <v>68000000</v>
      </c>
      <c r="M2120" s="4">
        <v>2014</v>
      </c>
      <c r="N2120" s="4">
        <v>7.6</v>
      </c>
      <c r="O2120" s="4">
        <f ca="1">IFERROR(__xludf.DUMMYFUNCTION("IF(Cost_in_dollars!E2120=""USD"",Cost_in_dollars!B2120,Cost_in_dollars!B2120 * GOOGLEFINANCE(""CURRENCY:"" &amp; Cost_in_dollars!E2120 &amp; ""USD""))
"),68000000)</f>
        <v>68000000</v>
      </c>
      <c r="P2120" s="4">
        <f ca="1">IFERROR(__xludf.DUMMYFUNCTION("IF(Cost_in_dollars!E2120=""USD"",Cost_in_dollars!C2120,Cost_in_dollars!C2120 * GOOGLEFINANCE(""CURRENCY:"" &amp; Cost_in_dollars!E2120 &amp; ""USD""))
"),85707116)</f>
        <v>85707116</v>
      </c>
      <c r="Q2120" s="4">
        <f t="shared" ca="1" si="48"/>
        <v>17707116</v>
      </c>
      <c r="R2120" s="5" t="str">
        <f t="shared" si="49"/>
        <v>Fury</v>
      </c>
      <c r="S2120" s="43" t="str">
        <f t="shared" si="51"/>
        <v>Action</v>
      </c>
    </row>
    <row r="2121" spans="1:19" ht="15.75" customHeight="1" x14ac:dyDescent="0.25">
      <c r="A2121" s="6" t="s">
        <v>6998</v>
      </c>
      <c r="B2121" s="6">
        <v>85</v>
      </c>
      <c r="C2121" s="6">
        <v>11576087</v>
      </c>
      <c r="D2121" s="6" t="s">
        <v>188</v>
      </c>
      <c r="E2121" s="6" t="s">
        <v>6999</v>
      </c>
      <c r="F2121" s="6" t="s">
        <v>7000</v>
      </c>
      <c r="G2121" s="6">
        <v>14747</v>
      </c>
      <c r="H2121" s="6" t="s">
        <v>7001</v>
      </c>
      <c r="I2121" s="6">
        <v>338</v>
      </c>
      <c r="J2121" s="6" t="s">
        <v>23</v>
      </c>
      <c r="K2121" s="6" t="s">
        <v>24</v>
      </c>
      <c r="L2121" s="6">
        <v>30000000</v>
      </c>
      <c r="M2121" s="6">
        <v>1999</v>
      </c>
      <c r="N2121" s="6">
        <v>4.0999999999999996</v>
      </c>
      <c r="O2121" s="4">
        <f ca="1">IFERROR(__xludf.DUMMYFUNCTION("IF(Cost_in_dollars!E2121=""USD"",Cost_in_dollars!B2121,Cost_in_dollars!B2121 * GOOGLEFINANCE(""CURRENCY:"" &amp; Cost_in_dollars!E2121 &amp; ""USD""))
"),30000000)</f>
        <v>30000000</v>
      </c>
      <c r="P2121" s="4">
        <f ca="1">IFERROR(__xludf.DUMMYFUNCTION("IF(Cost_in_dollars!E2121=""USD"",Cost_in_dollars!C2121,Cost_in_dollars!C2121 * GOOGLEFINANCE(""CURRENCY:"" &amp; Cost_in_dollars!E2121 &amp; ""USD""))
"),11576087)</f>
        <v>11576087</v>
      </c>
      <c r="Q2121" s="6">
        <f t="shared" ca="1" si="48"/>
        <v>-18423913</v>
      </c>
      <c r="R2121" s="7" t="str">
        <f t="shared" si="49"/>
        <v>Wing Commander</v>
      </c>
      <c r="S2121" s="43" t="str">
        <f t="shared" si="51"/>
        <v>Action</v>
      </c>
    </row>
    <row r="2122" spans="1:19" ht="15.75" customHeight="1" x14ac:dyDescent="0.25">
      <c r="A2122" s="4" t="s">
        <v>4490</v>
      </c>
      <c r="B2122" s="4">
        <v>208</v>
      </c>
      <c r="C2122" s="4">
        <v>30691439</v>
      </c>
      <c r="D2122" s="4" t="s">
        <v>568</v>
      </c>
      <c r="E2122" s="4" t="s">
        <v>6484</v>
      </c>
      <c r="F2122" s="4" t="s">
        <v>7002</v>
      </c>
      <c r="G2122" s="4">
        <v>86205</v>
      </c>
      <c r="H2122" s="4" t="s">
        <v>7003</v>
      </c>
      <c r="I2122" s="4">
        <v>232</v>
      </c>
      <c r="J2122" s="4" t="s">
        <v>23</v>
      </c>
      <c r="K2122" s="4" t="s">
        <v>24</v>
      </c>
      <c r="L2122" s="4">
        <v>35000000</v>
      </c>
      <c r="M2122" s="4">
        <v>2008</v>
      </c>
      <c r="N2122" s="4">
        <v>6.2</v>
      </c>
      <c r="O2122" s="4">
        <f ca="1">IFERROR(__xludf.DUMMYFUNCTION("IF(Cost_in_dollars!E2122=""USD"",Cost_in_dollars!B2122,Cost_in_dollars!B2122 * GOOGLEFINANCE(""CURRENCY:"" &amp; Cost_in_dollars!E2122 &amp; ""USD""))
"),35000000)</f>
        <v>35000000</v>
      </c>
      <c r="P2122" s="4">
        <f ca="1">IFERROR(__xludf.DUMMYFUNCTION("IF(Cost_in_dollars!E2122=""USD"",Cost_in_dollars!C2122,Cost_in_dollars!C2122 * GOOGLEFINANCE(""CURRENCY:"" &amp; Cost_in_dollars!E2122 &amp; ""USD""))
"),30691439)</f>
        <v>30691439</v>
      </c>
      <c r="Q2122" s="4">
        <f t="shared" ca="1" si="48"/>
        <v>-4308561</v>
      </c>
      <c r="R2122" s="5" t="str">
        <f t="shared" si="49"/>
        <v>Mirrors</v>
      </c>
      <c r="S2122" s="43" t="str">
        <f t="shared" si="51"/>
        <v>Horror</v>
      </c>
    </row>
    <row r="2123" spans="1:19" ht="15.75" customHeight="1" x14ac:dyDescent="0.25">
      <c r="A2123" s="6" t="s">
        <v>384</v>
      </c>
      <c r="B2123" s="6">
        <v>149</v>
      </c>
      <c r="C2123" s="6">
        <v>6592103</v>
      </c>
      <c r="D2123" s="6" t="s">
        <v>438</v>
      </c>
      <c r="E2123" s="6" t="s">
        <v>687</v>
      </c>
      <c r="F2123" s="6" t="s">
        <v>7004</v>
      </c>
      <c r="G2123" s="6">
        <v>28584</v>
      </c>
      <c r="H2123" s="6" t="s">
        <v>7005</v>
      </c>
      <c r="I2123" s="6">
        <v>232</v>
      </c>
      <c r="J2123" s="6" t="s">
        <v>23</v>
      </c>
      <c r="K2123" s="6" t="s">
        <v>611</v>
      </c>
      <c r="L2123" s="6">
        <v>35000000</v>
      </c>
      <c r="M2123" s="6">
        <v>2002</v>
      </c>
      <c r="N2123" s="6">
        <v>6.3</v>
      </c>
      <c r="O2123" s="4">
        <f ca="1">IFERROR(__xludf.DUMMYFUNCTION("IF(Cost_in_dollars!E2123=""USD"",Cost_in_dollars!B2123,Cost_in_dollars!B2123 * GOOGLEFINANCE(""CURRENCY:"" &amp; Cost_in_dollars!E2123 &amp; ""USD""))
"),37965900)</f>
        <v>37965900</v>
      </c>
      <c r="P2123" s="4">
        <f ca="1">IFERROR(__xludf.DUMMYFUNCTION("IF(Cost_in_dollars!E2123=""USD"",Cost_in_dollars!C2123,Cost_in_dollars!C2123 * GOOGLEFINANCE(""CURRENCY:"" &amp; Cost_in_dollars!E2123 &amp; ""USD""))
"),7150717.80822)</f>
        <v>7150717.80822</v>
      </c>
      <c r="Q2123" s="6">
        <f t="shared" ca="1" si="48"/>
        <v>-30815182.191780001</v>
      </c>
      <c r="R2123" s="7" t="str">
        <f t="shared" si="49"/>
        <v>Femme Fatale</v>
      </c>
      <c r="S2123" s="43" t="str">
        <f t="shared" si="51"/>
        <v>Crime</v>
      </c>
    </row>
    <row r="2124" spans="1:19" ht="15.75" customHeight="1" x14ac:dyDescent="0.25">
      <c r="A2124" s="4" t="s">
        <v>3194</v>
      </c>
      <c r="B2124" s="4">
        <v>177</v>
      </c>
      <c r="C2124" s="4">
        <v>64604977</v>
      </c>
      <c r="D2124" s="4" t="s">
        <v>438</v>
      </c>
      <c r="E2124" s="4" t="s">
        <v>486</v>
      </c>
      <c r="F2124" s="4" t="s">
        <v>7006</v>
      </c>
      <c r="G2124" s="4">
        <v>414219</v>
      </c>
      <c r="H2124" s="4" t="s">
        <v>7007</v>
      </c>
      <c r="I2124" s="4">
        <v>625</v>
      </c>
      <c r="J2124" s="4" t="s">
        <v>23</v>
      </c>
      <c r="K2124" s="4" t="s">
        <v>24</v>
      </c>
      <c r="L2124" s="4">
        <v>35000000</v>
      </c>
      <c r="M2124" s="4">
        <v>1997</v>
      </c>
      <c r="N2124" s="4">
        <v>8.3000000000000007</v>
      </c>
      <c r="O2124" s="4">
        <f ca="1">IFERROR(__xludf.DUMMYFUNCTION("IF(Cost_in_dollars!E2124=""USD"",Cost_in_dollars!B2124,Cost_in_dollars!B2124 * GOOGLEFINANCE(""CURRENCY:"" &amp; Cost_in_dollars!E2124 &amp; ""USD""))
"),35000000)</f>
        <v>35000000</v>
      </c>
      <c r="P2124" s="4">
        <f ca="1">IFERROR(__xludf.DUMMYFUNCTION("IF(Cost_in_dollars!E2124=""USD"",Cost_in_dollars!C2124,Cost_in_dollars!C2124 * GOOGLEFINANCE(""CURRENCY:"" &amp; Cost_in_dollars!E2124 &amp; ""USD""))
"),64604977)</f>
        <v>64604977</v>
      </c>
      <c r="Q2124" s="4">
        <f t="shared" ca="1" si="48"/>
        <v>29604977</v>
      </c>
      <c r="R2124" s="5" t="str">
        <f t="shared" si="49"/>
        <v>L.A. Confidential</v>
      </c>
      <c r="S2124" s="43" t="str">
        <f t="shared" si="51"/>
        <v>Crime</v>
      </c>
    </row>
    <row r="2125" spans="1:19" ht="15.75" customHeight="1" x14ac:dyDescent="0.25">
      <c r="A2125" s="6" t="s">
        <v>3306</v>
      </c>
      <c r="B2125" s="6">
        <v>184</v>
      </c>
      <c r="C2125" s="6">
        <v>42776259</v>
      </c>
      <c r="D2125" s="6" t="s">
        <v>1888</v>
      </c>
      <c r="E2125" s="6" t="s">
        <v>207</v>
      </c>
      <c r="F2125" s="6" t="s">
        <v>7008</v>
      </c>
      <c r="G2125" s="6">
        <v>53160</v>
      </c>
      <c r="H2125" s="6" t="s">
        <v>7009</v>
      </c>
      <c r="I2125" s="6">
        <v>121</v>
      </c>
      <c r="J2125" s="6" t="s">
        <v>23</v>
      </c>
      <c r="K2125" s="6" t="s">
        <v>24</v>
      </c>
      <c r="L2125" s="6">
        <v>112000000</v>
      </c>
      <c r="M2125" s="6">
        <v>2010</v>
      </c>
      <c r="N2125" s="6">
        <v>4.9000000000000004</v>
      </c>
      <c r="O2125" s="4">
        <f ca="1">IFERROR(__xludf.DUMMYFUNCTION("IF(Cost_in_dollars!E2125=""USD"",Cost_in_dollars!B2125,Cost_in_dollars!B2125 * GOOGLEFINANCE(""CURRENCY:"" &amp; Cost_in_dollars!E2125 &amp; ""USD""))
"),112000000)</f>
        <v>112000000</v>
      </c>
      <c r="P2125" s="4">
        <f ca="1">IFERROR(__xludf.DUMMYFUNCTION("IF(Cost_in_dollars!E2125=""USD"",Cost_in_dollars!C2125,Cost_in_dollars!C2125 * GOOGLEFINANCE(""CURRENCY:"" &amp; Cost_in_dollars!E2125 &amp; ""USD""))
"),42776259)</f>
        <v>42776259</v>
      </c>
      <c r="Q2125" s="6">
        <f t="shared" ca="1" si="48"/>
        <v>-69223741</v>
      </c>
      <c r="R2125" s="7" t="str">
        <f t="shared" si="49"/>
        <v>Gulliver's Travels</v>
      </c>
      <c r="S2125" s="43" t="str">
        <f t="shared" si="51"/>
        <v>Adventure</v>
      </c>
    </row>
    <row r="2126" spans="1:19" ht="15.75" customHeight="1" x14ac:dyDescent="0.25">
      <c r="A2126" s="4" t="s">
        <v>7010</v>
      </c>
      <c r="B2126" s="4">
        <v>229</v>
      </c>
      <c r="C2126" s="4">
        <v>54724272</v>
      </c>
      <c r="D2126" s="4" t="s">
        <v>443</v>
      </c>
      <c r="E2126" s="4" t="s">
        <v>7011</v>
      </c>
      <c r="F2126" s="4" t="s">
        <v>7012</v>
      </c>
      <c r="G2126" s="4">
        <v>157051</v>
      </c>
      <c r="H2126" s="4" t="s">
        <v>7013</v>
      </c>
      <c r="I2126" s="4">
        <v>261</v>
      </c>
      <c r="J2126" s="4" t="s">
        <v>23</v>
      </c>
      <c r="K2126" s="4" t="s">
        <v>24</v>
      </c>
      <c r="L2126" s="4">
        <v>12000000</v>
      </c>
      <c r="M2126" s="4">
        <v>2012</v>
      </c>
      <c r="N2126" s="4">
        <v>6.7</v>
      </c>
      <c r="O2126" s="4">
        <f ca="1">IFERROR(__xludf.DUMMYFUNCTION("IF(Cost_in_dollars!E2126=""USD"",Cost_in_dollars!B2126,Cost_in_dollars!B2126 * GOOGLEFINANCE(""CURRENCY:"" &amp; Cost_in_dollars!E2126 &amp; ""USD""))
"),12000000)</f>
        <v>12000000</v>
      </c>
      <c r="P2126" s="4">
        <f ca="1">IFERROR(__xludf.DUMMYFUNCTION("IF(Cost_in_dollars!E2126=""USD"",Cost_in_dollars!C2126,Cost_in_dollars!C2126 * GOOGLEFINANCE(""CURRENCY:"" &amp; Cost_in_dollars!E2126 &amp; ""USD""))
"),54724272)</f>
        <v>54724272</v>
      </c>
      <c r="Q2126" s="4">
        <f t="shared" ca="1" si="48"/>
        <v>42724272</v>
      </c>
      <c r="R2126" s="5" t="str">
        <f t="shared" si="49"/>
        <v>Project X</v>
      </c>
      <c r="S2126" s="43" t="str">
        <f t="shared" si="51"/>
        <v>Comedy</v>
      </c>
    </row>
    <row r="2127" spans="1:19" ht="15.75" customHeight="1" x14ac:dyDescent="0.25">
      <c r="A2127" s="6" t="s">
        <v>1171</v>
      </c>
      <c r="B2127" s="6">
        <v>42</v>
      </c>
      <c r="C2127" s="6">
        <v>22359293</v>
      </c>
      <c r="D2127" s="6" t="s">
        <v>1888</v>
      </c>
      <c r="E2127" s="6" t="s">
        <v>1860</v>
      </c>
      <c r="F2127" s="6" t="s">
        <v>7014</v>
      </c>
      <c r="G2127" s="6">
        <v>16222</v>
      </c>
      <c r="H2127" s="6" t="s">
        <v>7015</v>
      </c>
      <c r="I2127" s="6">
        <v>39</v>
      </c>
      <c r="J2127" s="6" t="s">
        <v>23</v>
      </c>
      <c r="K2127" s="6" t="s">
        <v>133</v>
      </c>
      <c r="L2127" s="6">
        <v>29000000</v>
      </c>
      <c r="M2127" s="6">
        <v>1997</v>
      </c>
      <c r="N2127" s="6">
        <v>5.8</v>
      </c>
      <c r="O2127" s="4">
        <f ca="1">IFERROR(__xludf.DUMMYFUNCTION("IF(Cost_in_dollars!E2127=""USD"",Cost_in_dollars!B2127,Cost_in_dollars!B2127 * GOOGLEFINANCE(""CURRENCY:"" &amp; Cost_in_dollars!E2127 &amp; ""USD""))
"),37276600)</f>
        <v>37276600</v>
      </c>
      <c r="P2127" s="4">
        <f ca="1">IFERROR(__xludf.DUMMYFUNCTION("IF(Cost_in_dollars!E2127=""USD"",Cost_in_dollars!C2127,Cost_in_dollars!C2127 * GOOGLEFINANCE(""CURRENCY:"" &amp; Cost_in_dollars!E2127 &amp; ""USD""))
"),28740635.2222)</f>
        <v>28740635.222199999</v>
      </c>
      <c r="Q2127" s="6">
        <f t="shared" ca="1" si="48"/>
        <v>-8535964.7778000012</v>
      </c>
      <c r="R2127" s="7" t="str">
        <f t="shared" si="49"/>
        <v>The Borrowers</v>
      </c>
      <c r="S2127" s="43" t="str">
        <f t="shared" si="51"/>
        <v>Adventure</v>
      </c>
    </row>
    <row r="2128" spans="1:19" ht="15.75" customHeight="1" x14ac:dyDescent="0.25">
      <c r="A2128" s="4" t="s">
        <v>476</v>
      </c>
      <c r="B2128" s="4">
        <v>148</v>
      </c>
      <c r="C2128" s="4">
        <v>100012500</v>
      </c>
      <c r="D2128" s="4" t="s">
        <v>477</v>
      </c>
      <c r="E2128" s="4" t="s">
        <v>54</v>
      </c>
      <c r="F2128" s="4" t="s">
        <v>7016</v>
      </c>
      <c r="G2128" s="4">
        <v>299258</v>
      </c>
      <c r="H2128" s="4" t="s">
        <v>7017</v>
      </c>
      <c r="I2128" s="4">
        <v>346</v>
      </c>
      <c r="J2128" s="4" t="s">
        <v>23</v>
      </c>
      <c r="K2128" s="4" t="s">
        <v>24</v>
      </c>
      <c r="L2128" s="4">
        <v>90000000</v>
      </c>
      <c r="M2128" s="4">
        <v>1995</v>
      </c>
      <c r="N2128" s="4">
        <v>7.6</v>
      </c>
      <c r="O2128" s="4">
        <f ca="1">IFERROR(__xludf.DUMMYFUNCTION("IF(Cost_in_dollars!E2128=""USD"",Cost_in_dollars!B2128,Cost_in_dollars!B2128 * GOOGLEFINANCE(""CURRENCY:"" &amp; Cost_in_dollars!E2128 &amp; ""USD""))
"),90000000)</f>
        <v>90000000</v>
      </c>
      <c r="P2128" s="4">
        <f ca="1">IFERROR(__xludf.DUMMYFUNCTION("IF(Cost_in_dollars!E2128=""USD"",Cost_in_dollars!C2128,Cost_in_dollars!C2128 * GOOGLEFINANCE(""CURRENCY:"" &amp; Cost_in_dollars!E2128 &amp; ""USD""))
"),100012500)</f>
        <v>100012500</v>
      </c>
      <c r="Q2128" s="4">
        <f t="shared" ca="1" si="48"/>
        <v>10012500</v>
      </c>
      <c r="R2128" s="5" t="str">
        <f t="shared" si="49"/>
        <v>Die Hard with a Vengeance</v>
      </c>
      <c r="S2128" s="43" t="str">
        <f t="shared" si="51"/>
        <v>Action</v>
      </c>
    </row>
    <row r="2129" spans="1:19" ht="15.75" customHeight="1" x14ac:dyDescent="0.25">
      <c r="A2129" s="6" t="s">
        <v>7018</v>
      </c>
      <c r="B2129" s="6">
        <v>14</v>
      </c>
      <c r="C2129" s="6">
        <v>2807854</v>
      </c>
      <c r="D2129" s="6" t="s">
        <v>2002</v>
      </c>
      <c r="E2129" s="6" t="s">
        <v>64</v>
      </c>
      <c r="F2129" s="6" t="s">
        <v>7019</v>
      </c>
      <c r="G2129" s="6">
        <v>14129</v>
      </c>
      <c r="H2129" s="6" t="s">
        <v>7020</v>
      </c>
      <c r="I2129" s="6">
        <v>39</v>
      </c>
      <c r="J2129" s="6" t="s">
        <v>23</v>
      </c>
      <c r="K2129" s="6" t="s">
        <v>24</v>
      </c>
      <c r="L2129" s="6">
        <v>11000000</v>
      </c>
      <c r="M2129" s="6">
        <v>1991</v>
      </c>
      <c r="N2129" s="6">
        <v>5.0999999999999996</v>
      </c>
      <c r="O2129" s="4">
        <f ca="1">IFERROR(__xludf.DUMMYFUNCTION("IF(Cost_in_dollars!E2129=""USD"",Cost_in_dollars!B2129,Cost_in_dollars!B2129 * GOOGLEFINANCE(""CURRENCY:"" &amp; Cost_in_dollars!E2129 &amp; ""USD""))
"),11000000)</f>
        <v>11000000</v>
      </c>
      <c r="P2129" s="4">
        <f ca="1">IFERROR(__xludf.DUMMYFUNCTION("IF(Cost_in_dollars!E2129=""USD"",Cost_in_dollars!C2129,Cost_in_dollars!C2129 * GOOGLEFINANCE(""CURRENCY:"" &amp; Cost_in_dollars!E2129 &amp; ""USD""))
"),2807854)</f>
        <v>2807854</v>
      </c>
      <c r="Q2129" s="6">
        <f t="shared" ca="1" si="48"/>
        <v>-8192146</v>
      </c>
      <c r="R2129" s="7" t="str">
        <f t="shared" si="49"/>
        <v>Return to the Blue Lagoon</v>
      </c>
      <c r="S2129" s="43" t="str">
        <f t="shared" si="51"/>
        <v>Adventure</v>
      </c>
    </row>
    <row r="2130" spans="1:19" ht="15.75" customHeight="1" x14ac:dyDescent="0.25">
      <c r="A2130" s="4" t="s">
        <v>5179</v>
      </c>
      <c r="B2130" s="4">
        <v>118</v>
      </c>
      <c r="C2130" s="4">
        <v>183662</v>
      </c>
      <c r="D2130" s="4" t="s">
        <v>457</v>
      </c>
      <c r="E2130" s="4" t="s">
        <v>7021</v>
      </c>
      <c r="F2130" s="4" t="s">
        <v>7022</v>
      </c>
      <c r="G2130" s="4">
        <v>18395</v>
      </c>
      <c r="H2130" s="4" t="s">
        <v>7023</v>
      </c>
      <c r="I2130" s="4">
        <v>48</v>
      </c>
      <c r="J2130" s="4" t="s">
        <v>661</v>
      </c>
      <c r="K2130" s="4" t="s">
        <v>611</v>
      </c>
      <c r="L2130" s="4">
        <v>25000000</v>
      </c>
      <c r="M2130" s="4">
        <v>2010</v>
      </c>
      <c r="N2130" s="4">
        <v>7.1</v>
      </c>
      <c r="O2130" s="4">
        <f ca="1">IFERROR(__xludf.DUMMYFUNCTION("IF(Cost_in_dollars!E2130=""USD"",Cost_in_dollars!B2130,Cost_in_dollars!B2130 * GOOGLEFINANCE(""CURRENCY:"" &amp; Cost_in_dollars!E2130 &amp; ""USD""))
"),27118500)</f>
        <v>27118500</v>
      </c>
      <c r="P2130" s="4">
        <f ca="1">IFERROR(__xludf.DUMMYFUNCTION("IF(Cost_in_dollars!E2130=""USD"",Cost_in_dollars!C2130,Cost_in_dollars!C2130 * GOOGLEFINANCE(""CURRENCY:"" &amp; Cost_in_dollars!E2130 &amp; ""USD""))
"),199225.51788)</f>
        <v>199225.51788</v>
      </c>
      <c r="Q2130" s="4">
        <f t="shared" ca="1" si="48"/>
        <v>-26919274.48212</v>
      </c>
      <c r="R2130" s="5" t="str">
        <f t="shared" si="49"/>
        <v>Little White Lies</v>
      </c>
      <c r="S2130" s="43" t="str">
        <f t="shared" si="51"/>
        <v>Comedy</v>
      </c>
    </row>
    <row r="2131" spans="1:19" ht="15.75" customHeight="1" x14ac:dyDescent="0.25">
      <c r="A2131" s="6" t="s">
        <v>1604</v>
      </c>
      <c r="B2131" s="6">
        <v>168</v>
      </c>
      <c r="C2131" s="6">
        <v>8579684</v>
      </c>
      <c r="D2131" s="6" t="s">
        <v>140</v>
      </c>
      <c r="E2131" s="6" t="s">
        <v>352</v>
      </c>
      <c r="F2131" s="6" t="s">
        <v>7024</v>
      </c>
      <c r="G2131" s="6">
        <v>89547</v>
      </c>
      <c r="H2131" s="6" t="s">
        <v>7025</v>
      </c>
      <c r="I2131" s="6">
        <v>199</v>
      </c>
      <c r="J2131" s="6" t="s">
        <v>23</v>
      </c>
      <c r="K2131" s="6" t="s">
        <v>24</v>
      </c>
      <c r="L2131" s="6">
        <v>9000000</v>
      </c>
      <c r="M2131" s="6">
        <v>2007</v>
      </c>
      <c r="N2131" s="6">
        <v>7.4</v>
      </c>
      <c r="O2131" s="4">
        <f ca="1">IFERROR(__xludf.DUMMYFUNCTION("IF(Cost_in_dollars!E2131=""USD"",Cost_in_dollars!B2131,Cost_in_dollars!B2131 * GOOGLEFINANCE(""CURRENCY:"" &amp; Cost_in_dollars!E2131 &amp; ""USD""))
"),9000000)</f>
        <v>9000000</v>
      </c>
      <c r="P2131" s="4">
        <f ca="1">IFERROR(__xludf.DUMMYFUNCTION("IF(Cost_in_dollars!E2131=""USD"",Cost_in_dollars!C2131,Cost_in_dollars!C2131 * GOOGLEFINANCE(""CURRENCY:"" &amp; Cost_in_dollars!E2131 &amp; ""USD""))
"),8579684)</f>
        <v>8579684</v>
      </c>
      <c r="Q2131" s="6">
        <f t="shared" ca="1" si="48"/>
        <v>-420316</v>
      </c>
      <c r="R2131" s="7" t="str">
        <f t="shared" si="49"/>
        <v>Death at a Funeral</v>
      </c>
      <c r="S2131" s="43" t="str">
        <f t="shared" si="51"/>
        <v>Comedy</v>
      </c>
    </row>
    <row r="2132" spans="1:19" ht="15.75" customHeight="1" x14ac:dyDescent="0.25">
      <c r="A2132" s="4" t="s">
        <v>433</v>
      </c>
      <c r="B2132" s="4">
        <v>196</v>
      </c>
      <c r="C2132" s="4">
        <v>2840417</v>
      </c>
      <c r="D2132" s="4" t="s">
        <v>1020</v>
      </c>
      <c r="E2132" s="4" t="s">
        <v>5029</v>
      </c>
      <c r="F2132" s="4" t="s">
        <v>7026</v>
      </c>
      <c r="G2132" s="4">
        <v>77493</v>
      </c>
      <c r="H2132" s="4" t="s">
        <v>7027</v>
      </c>
      <c r="I2132" s="4">
        <v>527</v>
      </c>
      <c r="J2132" s="4" t="s">
        <v>23</v>
      </c>
      <c r="K2132" s="4" t="s">
        <v>627</v>
      </c>
      <c r="L2132" s="4">
        <v>31000000</v>
      </c>
      <c r="M2132" s="4">
        <v>1999</v>
      </c>
      <c r="N2132" s="4">
        <v>6.8</v>
      </c>
      <c r="O2132" s="4">
        <f ca="1">IFERROR(__xludf.DUMMYFUNCTION("IF(Cost_in_dollars!E2132=""USD"",Cost_in_dollars!B2132,Cost_in_dollars!B2132 * GOOGLEFINANCE(""CURRENCY:"" &amp; Cost_in_dollars!E2132 &amp; ""USD""))
"),22425555)</f>
        <v>22425555</v>
      </c>
      <c r="P2132" s="4">
        <f ca="1">IFERROR(__xludf.DUMMYFUNCTION("IF(Cost_in_dollars!E2132=""USD"",Cost_in_dollars!C2132,Cost_in_dollars!C2132 * GOOGLEFINANCE(""CURRENCY:"" &amp; Cost_in_dollars!E2132 &amp; ""USD""))
"),2054771.859885)</f>
        <v>2054771.8598849999</v>
      </c>
      <c r="Q2132" s="4">
        <f t="shared" ca="1" si="48"/>
        <v>-20370783.140115</v>
      </c>
      <c r="R2132" s="5" t="str">
        <f t="shared" si="49"/>
        <v>eXistenZ</v>
      </c>
      <c r="S2132" s="43" t="str">
        <f t="shared" si="51"/>
        <v>Horror</v>
      </c>
    </row>
    <row r="2133" spans="1:19" ht="15.75" customHeight="1" x14ac:dyDescent="0.25">
      <c r="A2133" s="6" t="s">
        <v>2877</v>
      </c>
      <c r="B2133" s="6">
        <v>354</v>
      </c>
      <c r="C2133" s="6">
        <v>134518390</v>
      </c>
      <c r="D2133" s="6" t="s">
        <v>188</v>
      </c>
      <c r="E2133" s="6" t="s">
        <v>1724</v>
      </c>
      <c r="F2133" s="6" t="s">
        <v>7028</v>
      </c>
      <c r="G2133" s="6">
        <v>326286</v>
      </c>
      <c r="H2133" s="6" t="s">
        <v>7029</v>
      </c>
      <c r="I2133" s="6">
        <v>643</v>
      </c>
      <c r="J2133" s="6" t="s">
        <v>23</v>
      </c>
      <c r="K2133" s="6" t="s">
        <v>24</v>
      </c>
      <c r="L2133" s="6">
        <v>150000000</v>
      </c>
      <c r="M2133" s="6">
        <v>2008</v>
      </c>
      <c r="N2133" s="6">
        <v>6.8</v>
      </c>
      <c r="O2133" s="4">
        <f ca="1">IFERROR(__xludf.DUMMYFUNCTION("IF(Cost_in_dollars!E2133=""USD"",Cost_in_dollars!B2133,Cost_in_dollars!B2133 * GOOGLEFINANCE(""CURRENCY:"" &amp; Cost_in_dollars!E2133 &amp; ""USD""))
"),150000000)</f>
        <v>150000000</v>
      </c>
      <c r="P2133" s="4">
        <f ca="1">IFERROR(__xludf.DUMMYFUNCTION("IF(Cost_in_dollars!E2133=""USD"",Cost_in_dollars!C2133,Cost_in_dollars!C2133 * GOOGLEFINANCE(""CURRENCY:"" &amp; Cost_in_dollars!E2133 &amp; ""USD""))
"),134518390)</f>
        <v>134518390</v>
      </c>
      <c r="Q2133" s="6">
        <f t="shared" ca="1" si="48"/>
        <v>-15481610</v>
      </c>
      <c r="R2133" s="7" t="str">
        <f t="shared" si="49"/>
        <v>The Incredible Hulk</v>
      </c>
      <c r="S2133" s="43" t="str">
        <f t="shared" si="51"/>
        <v>Action</v>
      </c>
    </row>
    <row r="2134" spans="1:19" ht="15.75" customHeight="1" x14ac:dyDescent="0.25">
      <c r="A2134" s="4" t="s">
        <v>5108</v>
      </c>
      <c r="B2134" s="4">
        <v>424</v>
      </c>
      <c r="C2134" s="4">
        <v>350034110</v>
      </c>
      <c r="D2134" s="4" t="s">
        <v>155</v>
      </c>
      <c r="E2134" s="4" t="s">
        <v>818</v>
      </c>
      <c r="F2134" s="4" t="s">
        <v>7030</v>
      </c>
      <c r="G2134" s="4">
        <v>278232</v>
      </c>
      <c r="H2134" s="4" t="s">
        <v>7031</v>
      </c>
      <c r="I2134" s="4">
        <v>657</v>
      </c>
      <c r="J2134" s="4" t="s">
        <v>23</v>
      </c>
      <c r="K2134" s="4" t="s">
        <v>24</v>
      </c>
      <c r="L2134" s="4">
        <v>190000000</v>
      </c>
      <c r="M2134" s="4">
        <v>2015</v>
      </c>
      <c r="N2134" s="4">
        <v>7.2</v>
      </c>
      <c r="O2134" s="4">
        <f ca="1">IFERROR(__xludf.DUMMYFUNCTION("IF(Cost_in_dollars!E2134=""USD"",Cost_in_dollars!B2134,Cost_in_dollars!B2134 * GOOGLEFINANCE(""CURRENCY:"" &amp; Cost_in_dollars!E2134 &amp; ""USD""))
"),190000000)</f>
        <v>190000000</v>
      </c>
      <c r="P2134" s="4">
        <f ca="1">IFERROR(__xludf.DUMMYFUNCTION("IF(Cost_in_dollars!E2134=""USD"",Cost_in_dollars!C2134,Cost_in_dollars!C2134 * GOOGLEFINANCE(""CURRENCY:"" &amp; Cost_in_dollars!E2134 &amp; ""USD""))
"),350034110)</f>
        <v>350034110</v>
      </c>
      <c r="Q2134" s="4">
        <f t="shared" ca="1" si="48"/>
        <v>160034110</v>
      </c>
      <c r="R2134" s="5" t="str">
        <f t="shared" si="49"/>
        <v>Furious 7</v>
      </c>
      <c r="S2134" s="43" t="str">
        <f t="shared" si="51"/>
        <v>Action</v>
      </c>
    </row>
    <row r="2135" spans="1:19" ht="15.75" customHeight="1" x14ac:dyDescent="0.25">
      <c r="A2135" s="6" t="s">
        <v>7032</v>
      </c>
      <c r="B2135" s="6">
        <v>416</v>
      </c>
      <c r="C2135" s="6">
        <v>155111815</v>
      </c>
      <c r="D2135" s="6" t="s">
        <v>1032</v>
      </c>
      <c r="E2135" s="6" t="s">
        <v>1449</v>
      </c>
      <c r="F2135" s="6" t="s">
        <v>7033</v>
      </c>
      <c r="G2135" s="6">
        <v>228554</v>
      </c>
      <c r="H2135" s="6" t="s">
        <v>7034</v>
      </c>
      <c r="I2135" s="6">
        <v>710</v>
      </c>
      <c r="J2135" s="6" t="s">
        <v>23</v>
      </c>
      <c r="K2135" s="6" t="s">
        <v>24</v>
      </c>
      <c r="L2135" s="6">
        <v>170000000</v>
      </c>
      <c r="M2135" s="6">
        <v>2012</v>
      </c>
      <c r="N2135" s="6">
        <v>6.1</v>
      </c>
      <c r="O2135" s="4">
        <f ca="1">IFERROR(__xludf.DUMMYFUNCTION("IF(Cost_in_dollars!E2135=""USD"",Cost_in_dollars!B2135,Cost_in_dollars!B2135 * GOOGLEFINANCE(""CURRENCY:"" &amp; Cost_in_dollars!E2135 &amp; ""USD""))
"),170000000)</f>
        <v>170000000</v>
      </c>
      <c r="P2135" s="4">
        <f ca="1">IFERROR(__xludf.DUMMYFUNCTION("IF(Cost_in_dollars!E2135=""USD"",Cost_in_dollars!C2135,Cost_in_dollars!C2135 * GOOGLEFINANCE(""CURRENCY:"" &amp; Cost_in_dollars!E2135 &amp; ""USD""))
"),155111815)</f>
        <v>155111815</v>
      </c>
      <c r="Q2135" s="6">
        <f t="shared" ca="1" si="48"/>
        <v>-14888185</v>
      </c>
      <c r="R2135" s="7" t="str">
        <f t="shared" si="49"/>
        <v>Snow White and the Huntsman</v>
      </c>
      <c r="S2135" s="43" t="str">
        <f t="shared" si="51"/>
        <v>Action</v>
      </c>
    </row>
    <row r="2136" spans="1:19" ht="15.75" customHeight="1" x14ac:dyDescent="0.25">
      <c r="A2136" s="4" t="s">
        <v>7035</v>
      </c>
      <c r="B2136" s="4">
        <v>5</v>
      </c>
      <c r="C2136" s="4">
        <v>4914</v>
      </c>
      <c r="D2136" s="4" t="s">
        <v>7036</v>
      </c>
      <c r="E2136" s="4" t="s">
        <v>7037</v>
      </c>
      <c r="F2136" s="4" t="s">
        <v>7038</v>
      </c>
      <c r="G2136" s="4">
        <v>123</v>
      </c>
      <c r="H2136" s="4" t="s">
        <v>109</v>
      </c>
      <c r="I2136" s="4">
        <v>2</v>
      </c>
      <c r="J2136" s="4" t="s">
        <v>23</v>
      </c>
      <c r="K2136" s="4" t="s">
        <v>24</v>
      </c>
      <c r="L2136" s="4">
        <v>150000</v>
      </c>
      <c r="M2136" s="4">
        <v>2015</v>
      </c>
      <c r="N2136" s="4">
        <v>7</v>
      </c>
      <c r="O2136" s="4">
        <f ca="1">IFERROR(__xludf.DUMMYFUNCTION("IF(Cost_in_dollars!E2136=""USD"",Cost_in_dollars!B2136,Cost_in_dollars!B2136 * GOOGLEFINANCE(""CURRENCY:"" &amp; Cost_in_dollars!E2136 &amp; ""USD""))
"),150000)</f>
        <v>150000</v>
      </c>
      <c r="P2136" s="4">
        <f ca="1">IFERROR(__xludf.DUMMYFUNCTION("IF(Cost_in_dollars!E2136=""USD"",Cost_in_dollars!C2136,Cost_in_dollars!C2136 * GOOGLEFINANCE(""CURRENCY:"" &amp; Cost_in_dollars!E2136 &amp; ""USD""))
"),4914)</f>
        <v>4914</v>
      </c>
      <c r="Q2136" s="4">
        <f t="shared" ca="1" si="48"/>
        <v>-145086</v>
      </c>
      <c r="R2136" s="5" t="str">
        <f t="shared" si="49"/>
        <v>Antarctic Edge: 70Â° South</v>
      </c>
      <c r="S2136" s="43" t="str">
        <f t="shared" si="51"/>
        <v>Adventure</v>
      </c>
    </row>
    <row r="2137" spans="1:19" ht="15.75" customHeight="1" x14ac:dyDescent="0.25">
      <c r="A2137" s="6" t="s">
        <v>850</v>
      </c>
      <c r="B2137" s="6">
        <v>313</v>
      </c>
      <c r="C2137" s="6">
        <v>171383253</v>
      </c>
      <c r="D2137" s="6" t="s">
        <v>851</v>
      </c>
      <c r="E2137" s="6" t="s">
        <v>1173</v>
      </c>
      <c r="F2137" s="6" t="s">
        <v>7039</v>
      </c>
      <c r="G2137" s="6">
        <v>1217752</v>
      </c>
      <c r="H2137" s="6" t="s">
        <v>7040</v>
      </c>
      <c r="I2137" s="6">
        <v>3646</v>
      </c>
      <c r="J2137" s="6" t="s">
        <v>23</v>
      </c>
      <c r="K2137" s="6" t="s">
        <v>24</v>
      </c>
      <c r="L2137" s="6">
        <v>63000000</v>
      </c>
      <c r="M2137" s="6">
        <v>1999</v>
      </c>
      <c r="N2137" s="6">
        <v>8.6999999999999993</v>
      </c>
      <c r="O2137" s="4">
        <f ca="1">IFERROR(__xludf.DUMMYFUNCTION("IF(Cost_in_dollars!E2137=""USD"",Cost_in_dollars!B2137,Cost_in_dollars!B2137 * GOOGLEFINANCE(""CURRENCY:"" &amp; Cost_in_dollars!E2137 &amp; ""USD""))
"),63000000)</f>
        <v>63000000</v>
      </c>
      <c r="P2137" s="4">
        <f ca="1">IFERROR(__xludf.DUMMYFUNCTION("IF(Cost_in_dollars!E2137=""USD"",Cost_in_dollars!C2137,Cost_in_dollars!C2137 * GOOGLEFINANCE(""CURRENCY:"" &amp; Cost_in_dollars!E2137 &amp; ""USD""))
"),171383253)</f>
        <v>171383253</v>
      </c>
      <c r="Q2137" s="6">
        <f t="shared" ca="1" si="48"/>
        <v>108383253</v>
      </c>
      <c r="R2137" s="7" t="str">
        <f t="shared" si="49"/>
        <v>The Matrix</v>
      </c>
      <c r="S2137" s="43" t="str">
        <f t="shared" si="51"/>
        <v>Action</v>
      </c>
    </row>
    <row r="2138" spans="1:19" ht="15.75" customHeight="1" x14ac:dyDescent="0.25">
      <c r="A2138" s="4" t="s">
        <v>7041</v>
      </c>
      <c r="B2138" s="4">
        <v>120</v>
      </c>
      <c r="C2138" s="4">
        <v>23838</v>
      </c>
      <c r="D2138" s="4" t="s">
        <v>1020</v>
      </c>
      <c r="E2138" s="4" t="s">
        <v>1375</v>
      </c>
      <c r="F2138" s="4" t="s">
        <v>7042</v>
      </c>
      <c r="G2138" s="4">
        <v>28570</v>
      </c>
      <c r="H2138" s="4" t="s">
        <v>7043</v>
      </c>
      <c r="I2138" s="4">
        <v>160</v>
      </c>
      <c r="J2138" s="4" t="s">
        <v>23</v>
      </c>
      <c r="K2138" s="4" t="s">
        <v>133</v>
      </c>
      <c r="L2138" s="4">
        <v>7000000</v>
      </c>
      <c r="M2138" s="4">
        <v>2013</v>
      </c>
      <c r="N2138" s="4">
        <v>5.5</v>
      </c>
      <c r="O2138" s="4">
        <f ca="1">IFERROR(__xludf.DUMMYFUNCTION("IF(Cost_in_dollars!E2138=""USD"",Cost_in_dollars!B2138,Cost_in_dollars!B2138 * GOOGLEFINANCE(""CURRENCY:"" &amp; Cost_in_dollars!E2138 &amp; ""USD""))
"),8997800)</f>
        <v>8997800</v>
      </c>
      <c r="P2138" s="4">
        <f ca="1">IFERROR(__xludf.DUMMYFUNCTION("IF(Cost_in_dollars!E2138=""USD"",Cost_in_dollars!C2138,Cost_in_dollars!C2138 * GOOGLEFINANCE(""CURRENCY:"" &amp; Cost_in_dollars!E2138 &amp; ""USD""))
"),30641.3651999999)</f>
        <v>30641.365199999898</v>
      </c>
      <c r="Q2138" s="4">
        <f t="shared" ca="1" si="48"/>
        <v>-8967158.6348000001</v>
      </c>
      <c r="R2138" s="5" t="str">
        <f t="shared" si="49"/>
        <v>The Last Days on Mars</v>
      </c>
      <c r="S2138" s="43" t="str">
        <f t="shared" si="51"/>
        <v>Horror</v>
      </c>
    </row>
    <row r="2139" spans="1:19" ht="15.75" customHeight="1" x14ac:dyDescent="0.25">
      <c r="A2139" s="6" t="s">
        <v>808</v>
      </c>
      <c r="B2139" s="6">
        <v>104</v>
      </c>
      <c r="C2139" s="6">
        <v>3169424</v>
      </c>
      <c r="D2139" s="6" t="s">
        <v>135</v>
      </c>
      <c r="E2139" s="6" t="s">
        <v>6205</v>
      </c>
      <c r="F2139" s="6" t="s">
        <v>7044</v>
      </c>
      <c r="G2139" s="6">
        <v>18442</v>
      </c>
      <c r="H2139" s="6" t="s">
        <v>7045</v>
      </c>
      <c r="I2139" s="6">
        <v>59</v>
      </c>
      <c r="J2139" s="6" t="s">
        <v>23</v>
      </c>
      <c r="K2139" s="6" t="s">
        <v>24</v>
      </c>
      <c r="L2139" s="6">
        <v>13000000</v>
      </c>
      <c r="M2139" s="6">
        <v>2007</v>
      </c>
      <c r="N2139" s="6">
        <v>6.8</v>
      </c>
      <c r="O2139" s="4">
        <f ca="1">IFERROR(__xludf.DUMMYFUNCTION("IF(Cost_in_dollars!E2139=""USD"",Cost_in_dollars!B2139,Cost_in_dollars!B2139 * GOOGLEFINANCE(""CURRENCY:"" &amp; Cost_in_dollars!E2139 &amp; ""USD""))
"),13000000)</f>
        <v>13000000</v>
      </c>
      <c r="P2139" s="4">
        <f ca="1">IFERROR(__xludf.DUMMYFUNCTION("IF(Cost_in_dollars!E2139=""USD"",Cost_in_dollars!C2139,Cost_in_dollars!C2139 * GOOGLEFINANCE(""CURRENCY:"" &amp; Cost_in_dollars!E2139 &amp; ""USD""))
"),3169424)</f>
        <v>3169424</v>
      </c>
      <c r="Q2139" s="6">
        <f t="shared" ca="1" si="48"/>
        <v>-9830576</v>
      </c>
      <c r="R2139" s="7" t="str">
        <f t="shared" si="49"/>
        <v>Resurrecting the Champ</v>
      </c>
      <c r="S2139" s="43" t="str">
        <f t="shared" si="51"/>
        <v>Drama</v>
      </c>
    </row>
    <row r="2140" spans="1:19" ht="15.75" customHeight="1" x14ac:dyDescent="0.25">
      <c r="A2140" s="4" t="s">
        <v>5108</v>
      </c>
      <c r="B2140" s="4">
        <v>445</v>
      </c>
      <c r="C2140" s="4">
        <v>53991137</v>
      </c>
      <c r="D2140" s="4" t="s">
        <v>822</v>
      </c>
      <c r="E2140" s="4" t="s">
        <v>1728</v>
      </c>
      <c r="F2140" s="4" t="s">
        <v>7046</v>
      </c>
      <c r="G2140" s="4">
        <v>202800</v>
      </c>
      <c r="H2140" s="4" t="s">
        <v>7047</v>
      </c>
      <c r="I2140" s="4">
        <v>752</v>
      </c>
      <c r="J2140" s="4" t="s">
        <v>23</v>
      </c>
      <c r="K2140" s="4" t="s">
        <v>24</v>
      </c>
      <c r="L2140" s="4">
        <v>1500000</v>
      </c>
      <c r="M2140" s="4">
        <v>2010</v>
      </c>
      <c r="N2140" s="4">
        <v>6.8</v>
      </c>
      <c r="O2140" s="4">
        <f ca="1">IFERROR(__xludf.DUMMYFUNCTION("IF(Cost_in_dollars!E2140=""USD"",Cost_in_dollars!B2140,Cost_in_dollars!B2140 * GOOGLEFINANCE(""CURRENCY:"" &amp; Cost_in_dollars!E2140 &amp; ""USD""))
"),1500000)</f>
        <v>1500000</v>
      </c>
      <c r="P2140" s="4">
        <f ca="1">IFERROR(__xludf.DUMMYFUNCTION("IF(Cost_in_dollars!E2140=""USD"",Cost_in_dollars!C2140,Cost_in_dollars!C2140 * GOOGLEFINANCE(""CURRENCY:"" &amp; Cost_in_dollars!E2140 &amp; ""USD""))
"),53991137)</f>
        <v>53991137</v>
      </c>
      <c r="Q2140" s="4">
        <f t="shared" ca="1" si="48"/>
        <v>52491137</v>
      </c>
      <c r="R2140" s="5" t="str">
        <f t="shared" si="49"/>
        <v>Insidious</v>
      </c>
      <c r="S2140" s="43" t="str">
        <f t="shared" si="51"/>
        <v>Fantasy</v>
      </c>
    </row>
    <row r="2141" spans="1:19" ht="15.75" customHeight="1" x14ac:dyDescent="0.25">
      <c r="A2141" s="6" t="s">
        <v>7048</v>
      </c>
      <c r="B2141" s="6">
        <v>58</v>
      </c>
      <c r="C2141" s="6">
        <v>6739141</v>
      </c>
      <c r="D2141" s="6" t="s">
        <v>774</v>
      </c>
      <c r="E2141" s="6" t="s">
        <v>3492</v>
      </c>
      <c r="F2141" s="6" t="s">
        <v>7049</v>
      </c>
      <c r="G2141" s="6">
        <v>23383</v>
      </c>
      <c r="H2141" s="6" t="s">
        <v>7050</v>
      </c>
      <c r="I2141" s="6">
        <v>68</v>
      </c>
      <c r="J2141" s="6" t="s">
        <v>23</v>
      </c>
      <c r="K2141" s="6" t="s">
        <v>149</v>
      </c>
      <c r="L2141" s="6">
        <v>8000000</v>
      </c>
      <c r="M2141" s="6">
        <v>1992</v>
      </c>
      <c r="N2141" s="6">
        <v>5.9</v>
      </c>
      <c r="O2141" s="4">
        <f ca="1">IFERROR(__xludf.DUMMYFUNCTION("IF(Cost_in_dollars!E2141=""USD"",Cost_in_dollars!B2141,Cost_in_dollars!B2141 * GOOGLEFINANCE(""CURRENCY:"" &amp; Cost_in_dollars!E2141 &amp; ""USD""))
"),5231040)</f>
        <v>5231040</v>
      </c>
      <c r="P2141" s="4">
        <f ca="1">IFERROR(__xludf.DUMMYFUNCTION("IF(Cost_in_dollars!E2141=""USD"",Cost_in_dollars!C2141,Cost_in_dollars!C2141 * GOOGLEFINANCE(""CURRENCY:"" &amp; Cost_in_dollars!E2141 &amp; ""USD""))
"),4406589.51708)</f>
        <v>4406589.5170799997</v>
      </c>
      <c r="Q2141" s="6">
        <f t="shared" ca="1" si="48"/>
        <v>-824450.48292000033</v>
      </c>
      <c r="R2141" s="7" t="str">
        <f t="shared" si="49"/>
        <v>Fortress</v>
      </c>
      <c r="S2141" s="43" t="str">
        <f t="shared" si="51"/>
        <v>Action</v>
      </c>
    </row>
    <row r="2142" spans="1:19" ht="15.75" customHeight="1" x14ac:dyDescent="0.25">
      <c r="A2142" s="4" t="s">
        <v>1810</v>
      </c>
      <c r="B2142" s="4">
        <v>55</v>
      </c>
      <c r="C2142" s="4">
        <v>61400000</v>
      </c>
      <c r="D2142" s="4" t="s">
        <v>696</v>
      </c>
      <c r="E2142" s="4" t="s">
        <v>7051</v>
      </c>
      <c r="F2142" s="4" t="s">
        <v>7052</v>
      </c>
      <c r="G2142" s="4">
        <v>71183</v>
      </c>
      <c r="H2142" s="4" t="s">
        <v>7053</v>
      </c>
      <c r="I2142" s="4">
        <v>183</v>
      </c>
      <c r="J2142" s="4" t="s">
        <v>23</v>
      </c>
      <c r="K2142" s="4" t="s">
        <v>24</v>
      </c>
      <c r="L2142" s="4">
        <v>15000000</v>
      </c>
      <c r="M2142" s="4">
        <v>1983</v>
      </c>
      <c r="N2142" s="4">
        <v>7.4</v>
      </c>
      <c r="O2142" s="4">
        <f ca="1">IFERROR(__xludf.DUMMYFUNCTION("IF(Cost_in_dollars!E2142=""USD"",Cost_in_dollars!B2142,Cost_in_dollars!B2142 * GOOGLEFINANCE(""CURRENCY:"" &amp; Cost_in_dollars!E2142 &amp; ""USD""))
"),15000000)</f>
        <v>15000000</v>
      </c>
      <c r="P2142" s="4">
        <f ca="1">IFERROR(__xludf.DUMMYFUNCTION("IF(Cost_in_dollars!E2142=""USD"",Cost_in_dollars!C2142,Cost_in_dollars!C2142 * GOOGLEFINANCE(""CURRENCY:"" &amp; Cost_in_dollars!E2142 &amp; ""USD""))
"),61400000)</f>
        <v>61400000</v>
      </c>
      <c r="Q2142" s="4">
        <f t="shared" ca="1" si="48"/>
        <v>46400000</v>
      </c>
      <c r="R2142" s="5" t="str">
        <f t="shared" si="49"/>
        <v>National Lampoon's Vacation</v>
      </c>
      <c r="S2142" s="43" t="str">
        <f t="shared" si="51"/>
        <v>Adventure</v>
      </c>
    </row>
    <row r="2143" spans="1:19" ht="15.75" customHeight="1" x14ac:dyDescent="0.25">
      <c r="A2143" s="6" t="s">
        <v>4010</v>
      </c>
      <c r="B2143" s="6">
        <v>73</v>
      </c>
      <c r="C2143" s="6">
        <v>14208384</v>
      </c>
      <c r="D2143" s="6" t="s">
        <v>88</v>
      </c>
      <c r="E2143" s="6" t="s">
        <v>4242</v>
      </c>
      <c r="F2143" s="6" t="s">
        <v>7054</v>
      </c>
      <c r="G2143" s="6">
        <v>11520</v>
      </c>
      <c r="H2143" s="6" t="s">
        <v>7055</v>
      </c>
      <c r="I2143" s="6">
        <v>105</v>
      </c>
      <c r="J2143" s="6" t="s">
        <v>23</v>
      </c>
      <c r="K2143" s="6" t="s">
        <v>24</v>
      </c>
      <c r="L2143" s="6">
        <v>30000000</v>
      </c>
      <c r="M2143" s="6">
        <v>2003</v>
      </c>
      <c r="N2143" s="6">
        <v>5.6</v>
      </c>
      <c r="O2143" s="4">
        <f ca="1">IFERROR(__xludf.DUMMYFUNCTION("IF(Cost_in_dollars!E2143=""USD"",Cost_in_dollars!B2143,Cost_in_dollars!B2143 * GOOGLEFINANCE(""CURRENCY:"" &amp; Cost_in_dollars!E2143 &amp; ""USD""))
"),30000000)</f>
        <v>30000000</v>
      </c>
      <c r="P2143" s="4">
        <f ca="1">IFERROR(__xludf.DUMMYFUNCTION("IF(Cost_in_dollars!E2143=""USD"",Cost_in_dollars!C2143,Cost_in_dollars!C2143 * GOOGLEFINANCE(""CURRENCY:"" &amp; Cost_in_dollars!E2143 &amp; ""USD""))
"),14208384)</f>
        <v>14208384</v>
      </c>
      <c r="Q2143" s="6">
        <f t="shared" ca="1" si="48"/>
        <v>-15791616</v>
      </c>
      <c r="R2143" s="7" t="str">
        <f t="shared" si="49"/>
        <v>Alex &amp; Emma</v>
      </c>
      <c r="S2143" s="43" t="str">
        <f t="shared" si="51"/>
        <v>Comedy</v>
      </c>
    </row>
    <row r="2144" spans="1:19" ht="15.75" customHeight="1" x14ac:dyDescent="0.25">
      <c r="A2144" s="4" t="s">
        <v>1872</v>
      </c>
      <c r="B2144" s="4">
        <v>201</v>
      </c>
      <c r="C2144" s="4">
        <v>101702060</v>
      </c>
      <c r="D2144" s="4" t="s">
        <v>7056</v>
      </c>
      <c r="E2144" s="4" t="s">
        <v>814</v>
      </c>
      <c r="F2144" s="4" t="s">
        <v>7057</v>
      </c>
      <c r="G2144" s="4">
        <v>85323</v>
      </c>
      <c r="H2144" s="4" t="s">
        <v>7058</v>
      </c>
      <c r="I2144" s="4">
        <v>212</v>
      </c>
      <c r="J2144" s="4" t="s">
        <v>23</v>
      </c>
      <c r="K2144" s="4" t="s">
        <v>24</v>
      </c>
      <c r="L2144" s="4">
        <v>45000000</v>
      </c>
      <c r="M2144" s="4">
        <v>2008</v>
      </c>
      <c r="N2144" s="4">
        <v>5.8</v>
      </c>
      <c r="O2144" s="4">
        <f ca="1">IFERROR(__xludf.DUMMYFUNCTION("IF(Cost_in_dollars!E2144=""USD"",Cost_in_dollars!B2144,Cost_in_dollars!B2144 * GOOGLEFINANCE(""CURRENCY:"" &amp; Cost_in_dollars!E2144 &amp; ""USD""))
"),45000000)</f>
        <v>45000000</v>
      </c>
      <c r="P2144" s="4">
        <f ca="1">IFERROR(__xludf.DUMMYFUNCTION("IF(Cost_in_dollars!E2144=""USD"",Cost_in_dollars!C2144,Cost_in_dollars!C2144 * GOOGLEFINANCE(""CURRENCY:"" &amp; Cost_in_dollars!E2144 &amp; ""USD""))
"),101702060)</f>
        <v>101702060</v>
      </c>
      <c r="Q2144" s="4">
        <f t="shared" ca="1" si="48"/>
        <v>56702060</v>
      </c>
      <c r="R2144" s="5" t="str">
        <f t="shared" si="49"/>
        <v>Journey to the Center of the Earth</v>
      </c>
      <c r="S2144" s="43" t="str">
        <f t="shared" si="51"/>
        <v>Action</v>
      </c>
    </row>
    <row r="2145" spans="1:19" ht="15.75" customHeight="1" x14ac:dyDescent="0.25">
      <c r="A2145" s="6" t="s">
        <v>7059</v>
      </c>
      <c r="B2145" s="6">
        <v>56</v>
      </c>
      <c r="C2145" s="6">
        <v>6755271</v>
      </c>
      <c r="D2145" s="6" t="s">
        <v>309</v>
      </c>
      <c r="E2145" s="6" t="s">
        <v>7060</v>
      </c>
      <c r="F2145" s="6" t="s">
        <v>7061</v>
      </c>
      <c r="G2145" s="6">
        <v>7319</v>
      </c>
      <c r="H2145" s="6" t="s">
        <v>7062</v>
      </c>
      <c r="I2145" s="6">
        <v>131</v>
      </c>
      <c r="J2145" s="6" t="s">
        <v>23</v>
      </c>
      <c r="K2145" s="6" t="s">
        <v>24</v>
      </c>
      <c r="L2145" s="6">
        <v>5000000</v>
      </c>
      <c r="M2145" s="6">
        <v>2001</v>
      </c>
      <c r="N2145" s="6">
        <v>5.3</v>
      </c>
      <c r="O2145" s="4">
        <f ca="1">IFERROR(__xludf.DUMMYFUNCTION("IF(Cost_in_dollars!E2145=""USD"",Cost_in_dollars!B2145,Cost_in_dollars!B2145 * GOOGLEFINANCE(""CURRENCY:"" &amp; Cost_in_dollars!E2145 &amp; ""USD""))
"),5000000)</f>
        <v>5000000</v>
      </c>
      <c r="P2145" s="4">
        <f ca="1">IFERROR(__xludf.DUMMYFUNCTION("IF(Cost_in_dollars!E2145=""USD"",Cost_in_dollars!C2145,Cost_in_dollars!C2145 * GOOGLEFINANCE(""CURRENCY:"" &amp; Cost_in_dollars!E2145 &amp; ""USD""))
"),6755271)</f>
        <v>6755271</v>
      </c>
      <c r="Q2145" s="6">
        <f t="shared" ca="1" si="48"/>
        <v>1755271</v>
      </c>
      <c r="R2145" s="7" t="str">
        <f t="shared" si="49"/>
        <v>The Forsaken</v>
      </c>
      <c r="S2145" s="43" t="str">
        <f t="shared" si="51"/>
        <v>Horror</v>
      </c>
    </row>
    <row r="2146" spans="1:19" ht="15.75" customHeight="1" x14ac:dyDescent="0.25">
      <c r="A2146" s="4" t="s">
        <v>1024</v>
      </c>
      <c r="B2146" s="4">
        <v>248</v>
      </c>
      <c r="C2146" s="4">
        <v>124051759</v>
      </c>
      <c r="D2146" s="4" t="s">
        <v>1002</v>
      </c>
      <c r="E2146" s="4" t="s">
        <v>3822</v>
      </c>
      <c r="F2146" s="4" t="s">
        <v>7063</v>
      </c>
      <c r="G2146" s="4">
        <v>42372</v>
      </c>
      <c r="H2146" s="4" t="s">
        <v>7064</v>
      </c>
      <c r="I2146" s="4">
        <v>239</v>
      </c>
      <c r="J2146" s="4" t="s">
        <v>23</v>
      </c>
      <c r="K2146" s="4" t="s">
        <v>24</v>
      </c>
      <c r="L2146" s="4">
        <v>180000000</v>
      </c>
      <c r="M2146" s="4">
        <v>2016</v>
      </c>
      <c r="N2146" s="4">
        <v>6.6</v>
      </c>
      <c r="O2146" s="4">
        <f ca="1">IFERROR(__xludf.DUMMYFUNCTION("IF(Cost_in_dollars!E2146=""USD"",Cost_in_dollars!B2146,Cost_in_dollars!B2146 * GOOGLEFINANCE(""CURRENCY:"" &amp; Cost_in_dollars!E2146 &amp; ""USD""))
"),180000000)</f>
        <v>180000000</v>
      </c>
      <c r="P2146" s="4">
        <f ca="1">IFERROR(__xludf.DUMMYFUNCTION("IF(Cost_in_dollars!E2146=""USD"",Cost_in_dollars!C2146,Cost_in_dollars!C2146 * GOOGLEFINANCE(""CURRENCY:"" &amp; Cost_in_dollars!E2146 &amp; ""USD""))
"),124051759)</f>
        <v>124051759</v>
      </c>
      <c r="Q2146" s="4">
        <f t="shared" ca="1" si="48"/>
        <v>-55948241</v>
      </c>
      <c r="R2146" s="5" t="str">
        <f t="shared" si="49"/>
        <v>The Legend of Tarzan</v>
      </c>
      <c r="S2146" s="43" t="str">
        <f t="shared" si="51"/>
        <v>Action</v>
      </c>
    </row>
    <row r="2147" spans="1:19" ht="15.75" customHeight="1" x14ac:dyDescent="0.25">
      <c r="A2147" s="6" t="s">
        <v>7065</v>
      </c>
      <c r="B2147" s="6">
        <v>103</v>
      </c>
      <c r="C2147" s="6">
        <v>31585300</v>
      </c>
      <c r="D2147" s="6" t="s">
        <v>88</v>
      </c>
      <c r="E2147" s="6" t="s">
        <v>7066</v>
      </c>
      <c r="F2147" s="6" t="s">
        <v>7067</v>
      </c>
      <c r="G2147" s="6">
        <v>38248</v>
      </c>
      <c r="H2147" s="6" t="s">
        <v>7068</v>
      </c>
      <c r="I2147" s="6">
        <v>250</v>
      </c>
      <c r="J2147" s="6" t="s">
        <v>23</v>
      </c>
      <c r="K2147" s="6" t="s">
        <v>24</v>
      </c>
      <c r="L2147" s="6">
        <v>15000000</v>
      </c>
      <c r="M2147" s="6">
        <v>2005</v>
      </c>
      <c r="N2147" s="6">
        <v>6.1</v>
      </c>
      <c r="O2147" s="4">
        <f ca="1">IFERROR(__xludf.DUMMYFUNCTION("IF(Cost_in_dollars!E2147=""USD"",Cost_in_dollars!B2147,Cost_in_dollars!B2147 * GOOGLEFINANCE(""CURRENCY:"" &amp; Cost_in_dollars!E2147 &amp; ""USD""))
"),15000000)</f>
        <v>15000000</v>
      </c>
      <c r="P2147" s="4">
        <f ca="1">IFERROR(__xludf.DUMMYFUNCTION("IF(Cost_in_dollars!E2147=""USD"",Cost_in_dollars!C2147,Cost_in_dollars!C2147 * GOOGLEFINANCE(""CURRENCY:"" &amp; Cost_in_dollars!E2147 &amp; ""USD""))
"),31585300)</f>
        <v>31585300</v>
      </c>
      <c r="Q2147" s="6">
        <f t="shared" ca="1" si="48"/>
        <v>16585300</v>
      </c>
      <c r="R2147" s="7" t="str">
        <f t="shared" si="49"/>
        <v>The Wedding Date</v>
      </c>
      <c r="S2147" s="43" t="str">
        <f t="shared" si="51"/>
        <v>Comedy</v>
      </c>
    </row>
    <row r="2148" spans="1:19" ht="15.75" customHeight="1" x14ac:dyDescent="0.25">
      <c r="A2148" s="4" t="s">
        <v>7069</v>
      </c>
      <c r="B2148" s="4">
        <v>327</v>
      </c>
      <c r="C2148" s="4">
        <v>43568507</v>
      </c>
      <c r="D2148" s="4" t="s">
        <v>504</v>
      </c>
      <c r="E2148" s="4" t="s">
        <v>7070</v>
      </c>
      <c r="F2148" s="4" t="s">
        <v>7071</v>
      </c>
      <c r="G2148" s="4">
        <v>136954</v>
      </c>
      <c r="H2148" s="4" t="s">
        <v>7072</v>
      </c>
      <c r="I2148" s="4">
        <v>346</v>
      </c>
      <c r="J2148" s="4" t="s">
        <v>23</v>
      </c>
      <c r="K2148" s="4" t="s">
        <v>24</v>
      </c>
      <c r="L2148" s="4">
        <v>66000000</v>
      </c>
      <c r="M2148" s="4">
        <v>2014</v>
      </c>
      <c r="N2148" s="4">
        <v>6.5</v>
      </c>
      <c r="O2148" s="4">
        <f ca="1">IFERROR(__xludf.DUMMYFUNCTION("IF(Cost_in_dollars!E2148=""USD"",Cost_in_dollars!B2148,Cost_in_dollars!B2148 * GOOGLEFINANCE(""CURRENCY:"" &amp; Cost_in_dollars!E2148 &amp; ""USD""))
"),66000000)</f>
        <v>66000000</v>
      </c>
      <c r="P2148" s="4">
        <f ca="1">IFERROR(__xludf.DUMMYFUNCTION("IF(Cost_in_dollars!E2148=""USD"",Cost_in_dollars!C2148,Cost_in_dollars!C2148 * GOOGLEFINANCE(""CURRENCY:"" &amp; Cost_in_dollars!E2148 &amp; ""USD""))
"),43568507)</f>
        <v>43568507</v>
      </c>
      <c r="Q2148" s="4">
        <f t="shared" ca="1" si="48"/>
        <v>-22431493</v>
      </c>
      <c r="R2148" s="5" t="str">
        <f t="shared" si="49"/>
        <v>Need for Speed</v>
      </c>
      <c r="S2148" s="43" t="str">
        <f t="shared" si="51"/>
        <v>Action</v>
      </c>
    </row>
    <row r="2149" spans="1:19" ht="15.75" customHeight="1" x14ac:dyDescent="0.25">
      <c r="A2149" s="6" t="s">
        <v>2749</v>
      </c>
      <c r="B2149" s="6">
        <v>285</v>
      </c>
      <c r="C2149" s="6">
        <v>71502303</v>
      </c>
      <c r="D2149" s="6" t="s">
        <v>4783</v>
      </c>
      <c r="E2149" s="6" t="s">
        <v>342</v>
      </c>
      <c r="F2149" s="6" t="s">
        <v>7073</v>
      </c>
      <c r="G2149" s="6">
        <v>149966</v>
      </c>
      <c r="H2149" s="6" t="s">
        <v>7074</v>
      </c>
      <c r="I2149" s="6">
        <v>835</v>
      </c>
      <c r="J2149" s="6" t="s">
        <v>23</v>
      </c>
      <c r="K2149" s="6" t="s">
        <v>24</v>
      </c>
      <c r="L2149" s="6">
        <v>12000000</v>
      </c>
      <c r="M2149" s="6">
        <v>2004</v>
      </c>
      <c r="N2149" s="6">
        <v>7.5</v>
      </c>
      <c r="O2149" s="4">
        <f ca="1">IFERROR(__xludf.DUMMYFUNCTION("IF(Cost_in_dollars!E2149=""USD"",Cost_in_dollars!B2149,Cost_in_dollars!B2149 * GOOGLEFINANCE(""CURRENCY:"" &amp; Cost_in_dollars!E2149 &amp; ""USD""))
"),12000000)</f>
        <v>12000000</v>
      </c>
      <c r="P2149" s="4">
        <f ca="1">IFERROR(__xludf.DUMMYFUNCTION("IF(Cost_in_dollars!E2149=""USD"",Cost_in_dollars!C2149,Cost_in_dollars!C2149 * GOOGLEFINANCE(""CURRENCY:"" &amp; Cost_in_dollars!E2149 &amp; ""USD""))
"),71502303)</f>
        <v>71502303</v>
      </c>
      <c r="Q2149" s="6">
        <f t="shared" ca="1" si="48"/>
        <v>59502303</v>
      </c>
      <c r="R2149" s="7" t="str">
        <f t="shared" si="49"/>
        <v>Sideways</v>
      </c>
      <c r="S2149" s="43" t="str">
        <f t="shared" si="51"/>
        <v>Adventure</v>
      </c>
    </row>
    <row r="2150" spans="1:19" ht="15.75" customHeight="1" x14ac:dyDescent="0.25">
      <c r="A2150" s="4" t="s">
        <v>2793</v>
      </c>
      <c r="B2150" s="4">
        <v>361</v>
      </c>
      <c r="C2150" s="4">
        <v>43247140</v>
      </c>
      <c r="D2150" s="4" t="s">
        <v>7075</v>
      </c>
      <c r="E2150" s="4" t="s">
        <v>2197</v>
      </c>
      <c r="F2150" s="4" t="s">
        <v>7076</v>
      </c>
      <c r="G2150" s="4">
        <v>134625</v>
      </c>
      <c r="H2150" s="4" t="s">
        <v>7077</v>
      </c>
      <c r="I2150" s="4">
        <v>265</v>
      </c>
      <c r="J2150" s="4" t="s">
        <v>23</v>
      </c>
      <c r="K2150" s="4" t="s">
        <v>133</v>
      </c>
      <c r="L2150" s="4">
        <v>55000000</v>
      </c>
      <c r="M2150" s="4">
        <v>2015</v>
      </c>
      <c r="N2150" s="4">
        <v>7.1</v>
      </c>
      <c r="O2150" s="4">
        <f ca="1">IFERROR(__xludf.DUMMYFUNCTION("IF(Cost_in_dollars!E2150=""USD"",Cost_in_dollars!B2150,Cost_in_dollars!B2150 * GOOGLEFINANCE(""CURRENCY:"" &amp; Cost_in_dollars!E2150 &amp; ""USD""))
"),70697000)</f>
        <v>70697000</v>
      </c>
      <c r="P2150" s="4">
        <f ca="1">IFERROR(__xludf.DUMMYFUNCTION("IF(Cost_in_dollars!E2150=""USD"",Cost_in_dollars!C2150,Cost_in_dollars!C2150 * GOOGLEFINANCE(""CURRENCY:"" &amp; Cost_in_dollars!E2150 &amp; ""USD""))
"),55589873.756)</f>
        <v>55589873.755999997</v>
      </c>
      <c r="Q2150" s="4">
        <f t="shared" ca="1" si="48"/>
        <v>-15107126.244000003</v>
      </c>
      <c r="R2150" s="5" t="str">
        <f t="shared" si="49"/>
        <v>Everest</v>
      </c>
      <c r="S2150" s="43" t="str">
        <f t="shared" si="51"/>
        <v>Adventure</v>
      </c>
    </row>
    <row r="2151" spans="1:19" ht="15.75" customHeight="1" x14ac:dyDescent="0.25">
      <c r="A2151" s="6" t="s">
        <v>3486</v>
      </c>
      <c r="B2151" s="6">
        <v>180</v>
      </c>
      <c r="C2151" s="6">
        <v>54235441</v>
      </c>
      <c r="D2151" s="6" t="s">
        <v>457</v>
      </c>
      <c r="E2151" s="6" t="s">
        <v>7078</v>
      </c>
      <c r="F2151" s="6" t="s">
        <v>7079</v>
      </c>
      <c r="G2151" s="6">
        <v>52894</v>
      </c>
      <c r="H2151" s="6" t="s">
        <v>7080</v>
      </c>
      <c r="I2151" s="6">
        <v>185</v>
      </c>
      <c r="J2151" s="6" t="s">
        <v>23</v>
      </c>
      <c r="K2151" s="6" t="s">
        <v>24</v>
      </c>
      <c r="L2151" s="6">
        <v>22000000</v>
      </c>
      <c r="M2151" s="6">
        <v>2014</v>
      </c>
      <c r="N2151" s="6">
        <v>7.3</v>
      </c>
      <c r="O2151" s="4">
        <f ca="1">IFERROR(__xludf.DUMMYFUNCTION("IF(Cost_in_dollars!E2151=""USD"",Cost_in_dollars!B2151,Cost_in_dollars!B2151 * GOOGLEFINANCE(""CURRENCY:"" &amp; Cost_in_dollars!E2151 &amp; ""USD""))
"),22000000)</f>
        <v>22000000</v>
      </c>
      <c r="P2151" s="4">
        <f ca="1">IFERROR(__xludf.DUMMYFUNCTION("IF(Cost_in_dollars!E2151=""USD"",Cost_in_dollars!C2151,Cost_in_dollars!C2151 * GOOGLEFINANCE(""CURRENCY:"" &amp; Cost_in_dollars!E2151 &amp; ""USD""))
"),54235441)</f>
        <v>54235441</v>
      </c>
      <c r="Q2151" s="6">
        <f t="shared" ca="1" si="48"/>
        <v>32235441</v>
      </c>
      <c r="R2151" s="7" t="str">
        <f t="shared" si="49"/>
        <v>The Hundred-Foot Journey</v>
      </c>
      <c r="S2151" s="43" t="str">
        <f t="shared" si="51"/>
        <v>Comedy</v>
      </c>
    </row>
    <row r="2152" spans="1:19" ht="15.75" customHeight="1" x14ac:dyDescent="0.25">
      <c r="A2152" s="4" t="s">
        <v>7081</v>
      </c>
      <c r="B2152" s="4">
        <v>129</v>
      </c>
      <c r="C2152" s="4">
        <v>6852144</v>
      </c>
      <c r="D2152" s="4" t="s">
        <v>2336</v>
      </c>
      <c r="E2152" s="4" t="s">
        <v>5357</v>
      </c>
      <c r="F2152" s="4" t="s">
        <v>7082</v>
      </c>
      <c r="G2152" s="4">
        <v>15169</v>
      </c>
      <c r="H2152" s="4" t="s">
        <v>7083</v>
      </c>
      <c r="I2152" s="4">
        <v>213</v>
      </c>
      <c r="J2152" s="4" t="s">
        <v>23</v>
      </c>
      <c r="K2152" s="4" t="s">
        <v>627</v>
      </c>
      <c r="L2152" s="4">
        <v>22000000</v>
      </c>
      <c r="M2152" s="4">
        <v>2003</v>
      </c>
      <c r="N2152" s="4">
        <v>6.2</v>
      </c>
      <c r="O2152" s="4">
        <f ca="1">IFERROR(__xludf.DUMMYFUNCTION("IF(Cost_in_dollars!E2152=""USD"",Cost_in_dollars!B2152,Cost_in_dollars!B2152 * GOOGLEFINANCE(""CURRENCY:"" &amp; Cost_in_dollars!E2152 &amp; ""USD""))
"),15914910)</f>
        <v>15914910</v>
      </c>
      <c r="P2152" s="4">
        <f ca="1">IFERROR(__xludf.DUMMYFUNCTION("IF(Cost_in_dollars!E2152=""USD"",Cost_in_dollars!C2152,Cost_in_dollars!C2152 * GOOGLEFINANCE(""CURRENCY:"" &amp; Cost_in_dollars!E2152 &amp; ""USD""))
"),4956875.23032)</f>
        <v>4956875.2303200001</v>
      </c>
      <c r="Q2152" s="4">
        <f t="shared" ca="1" si="48"/>
        <v>-10958034.769680001</v>
      </c>
      <c r="R2152" s="5" t="str">
        <f t="shared" si="49"/>
        <v>Willard</v>
      </c>
      <c r="S2152" s="43" t="str">
        <f t="shared" si="51"/>
        <v>Drama</v>
      </c>
    </row>
    <row r="2153" spans="1:19" ht="15.75" customHeight="1" x14ac:dyDescent="0.25">
      <c r="A2153" s="6" t="s">
        <v>7084</v>
      </c>
      <c r="B2153" s="6">
        <v>233</v>
      </c>
      <c r="C2153" s="6">
        <v>17427926</v>
      </c>
      <c r="D2153" s="6" t="s">
        <v>151</v>
      </c>
      <c r="E2153" s="6" t="s">
        <v>255</v>
      </c>
      <c r="F2153" s="6" t="s">
        <v>7085</v>
      </c>
      <c r="G2153" s="6">
        <v>60062</v>
      </c>
      <c r="H2153" s="6" t="s">
        <v>7086</v>
      </c>
      <c r="I2153" s="6">
        <v>351</v>
      </c>
      <c r="J2153" s="6" t="s">
        <v>23</v>
      </c>
      <c r="K2153" s="6" t="s">
        <v>24</v>
      </c>
      <c r="L2153" s="6">
        <v>8000000</v>
      </c>
      <c r="M2153" s="6">
        <v>2008</v>
      </c>
      <c r="N2153" s="6">
        <v>5.9</v>
      </c>
      <c r="O2153" s="4">
        <f ca="1">IFERROR(__xludf.DUMMYFUNCTION("IF(Cost_in_dollars!E2153=""USD"",Cost_in_dollars!B2153,Cost_in_dollars!B2153 * GOOGLEFINANCE(""CURRENCY:"" &amp; Cost_in_dollars!E2153 &amp; ""USD""))
"),8000000)</f>
        <v>8000000</v>
      </c>
      <c r="P2153" s="4">
        <f ca="1">IFERROR(__xludf.DUMMYFUNCTION("IF(Cost_in_dollars!E2153=""USD"",Cost_in_dollars!C2153,Cost_in_dollars!C2153 * GOOGLEFINANCE(""CURRENCY:"" &amp; Cost_in_dollars!E2153 &amp; ""USD""))
"),17427926)</f>
        <v>17427926</v>
      </c>
      <c r="Q2153" s="6">
        <f t="shared" ca="1" si="48"/>
        <v>9427926</v>
      </c>
      <c r="R2153" s="7" t="str">
        <f t="shared" si="49"/>
        <v>The Ruins</v>
      </c>
      <c r="S2153" s="43" t="str">
        <f t="shared" si="51"/>
        <v>Horror</v>
      </c>
    </row>
    <row r="2154" spans="1:19" ht="15.75" customHeight="1" x14ac:dyDescent="0.25">
      <c r="A2154" s="4" t="s">
        <v>7087</v>
      </c>
      <c r="B2154" s="4">
        <v>110</v>
      </c>
      <c r="C2154" s="4">
        <v>56702901</v>
      </c>
      <c r="D2154" s="4" t="s">
        <v>102</v>
      </c>
      <c r="E2154" s="4" t="s">
        <v>413</v>
      </c>
      <c r="F2154" s="4" t="s">
        <v>7088</v>
      </c>
      <c r="G2154" s="4">
        <v>23302</v>
      </c>
      <c r="H2154" s="4" t="s">
        <v>7089</v>
      </c>
      <c r="I2154" s="4">
        <v>181</v>
      </c>
      <c r="J2154" s="4" t="s">
        <v>23</v>
      </c>
      <c r="K2154" s="4" t="s">
        <v>24</v>
      </c>
      <c r="L2154" s="4">
        <v>60000000</v>
      </c>
      <c r="M2154" s="4">
        <v>1998</v>
      </c>
      <c r="N2154" s="4">
        <v>6.5</v>
      </c>
      <c r="O2154" s="4">
        <f ca="1">IFERROR(__xludf.DUMMYFUNCTION("IF(Cost_in_dollars!E2154=""USD"",Cost_in_dollars!B2154,Cost_in_dollars!B2154 * GOOGLEFINANCE(""CURRENCY:"" &amp; Cost_in_dollars!E2154 &amp; ""USD""))
"),60000000)</f>
        <v>60000000</v>
      </c>
      <c r="P2154" s="4">
        <f ca="1">IFERROR(__xludf.DUMMYFUNCTION("IF(Cost_in_dollars!E2154=""USD"",Cost_in_dollars!C2154,Cost_in_dollars!C2154 * GOOGLEFINANCE(""CURRENCY:"" &amp; Cost_in_dollars!E2154 &amp; ""USD""))
"),56702901)</f>
        <v>56702901</v>
      </c>
      <c r="Q2154" s="4">
        <f t="shared" ca="1" si="48"/>
        <v>-3297099</v>
      </c>
      <c r="R2154" s="5" t="str">
        <f t="shared" si="49"/>
        <v>A Civil Action</v>
      </c>
      <c r="S2154" s="43" t="str">
        <f t="shared" si="51"/>
        <v>Drama</v>
      </c>
    </row>
    <row r="2155" spans="1:19" ht="15.75" customHeight="1" x14ac:dyDescent="0.25">
      <c r="A2155" s="6" t="s">
        <v>2689</v>
      </c>
      <c r="B2155" s="6">
        <v>299</v>
      </c>
      <c r="C2155" s="6">
        <v>100003492</v>
      </c>
      <c r="D2155" s="6" t="s">
        <v>116</v>
      </c>
      <c r="E2155" s="6" t="s">
        <v>223</v>
      </c>
      <c r="F2155" s="6" t="s">
        <v>7090</v>
      </c>
      <c r="G2155" s="6">
        <v>293662</v>
      </c>
      <c r="H2155" s="6" t="s">
        <v>7091</v>
      </c>
      <c r="I2155" s="6">
        <v>836</v>
      </c>
      <c r="J2155" s="6" t="s">
        <v>23</v>
      </c>
      <c r="K2155" s="6" t="s">
        <v>24</v>
      </c>
      <c r="L2155" s="6">
        <v>65000000</v>
      </c>
      <c r="M2155" s="6">
        <v>2004</v>
      </c>
      <c r="N2155" s="6">
        <v>7.6</v>
      </c>
      <c r="O2155" s="4">
        <f ca="1">IFERROR(__xludf.DUMMYFUNCTION("IF(Cost_in_dollars!E2155=""USD"",Cost_in_dollars!B2155,Cost_in_dollars!B2155 * GOOGLEFINANCE(""CURRENCY:"" &amp; Cost_in_dollars!E2155 &amp; ""USD""))
"),65000000)</f>
        <v>65000000</v>
      </c>
      <c r="P2155" s="4">
        <f ca="1">IFERROR(__xludf.DUMMYFUNCTION("IF(Cost_in_dollars!E2155=""USD"",Cost_in_dollars!C2155,Cost_in_dollars!C2155 * GOOGLEFINANCE(""CURRENCY:"" &amp; Cost_in_dollars!E2155 &amp; ""USD""))
"),100003492)</f>
        <v>100003492</v>
      </c>
      <c r="Q2155" s="6">
        <f t="shared" ca="1" si="48"/>
        <v>35003492</v>
      </c>
      <c r="R2155" s="7" t="str">
        <f t="shared" si="49"/>
        <v>Collateral</v>
      </c>
      <c r="S2155" s="43" t="str">
        <f t="shared" si="51"/>
        <v>Crime</v>
      </c>
    </row>
    <row r="2156" spans="1:19" ht="15.75" customHeight="1" x14ac:dyDescent="0.25">
      <c r="A2156" s="4" t="s">
        <v>1985</v>
      </c>
      <c r="B2156" s="4">
        <v>153</v>
      </c>
      <c r="C2156" s="4">
        <v>104354205</v>
      </c>
      <c r="D2156" s="4" t="s">
        <v>88</v>
      </c>
      <c r="E2156" s="4" t="s">
        <v>3892</v>
      </c>
      <c r="F2156" s="4" t="s">
        <v>7092</v>
      </c>
      <c r="G2156" s="4">
        <v>162331</v>
      </c>
      <c r="H2156" s="4" t="s">
        <v>7093</v>
      </c>
      <c r="I2156" s="4">
        <v>332</v>
      </c>
      <c r="J2156" s="4" t="s">
        <v>23</v>
      </c>
      <c r="K2156" s="4" t="s">
        <v>24</v>
      </c>
      <c r="L2156" s="4">
        <v>55000000</v>
      </c>
      <c r="M2156" s="4">
        <v>2003</v>
      </c>
      <c r="N2156" s="4">
        <v>6.3</v>
      </c>
      <c r="O2156" s="4">
        <f ca="1">IFERROR(__xludf.DUMMYFUNCTION("IF(Cost_in_dollars!E2156=""USD"",Cost_in_dollars!B2156,Cost_in_dollars!B2156 * GOOGLEFINANCE(""CURRENCY:"" &amp; Cost_in_dollars!E2156 &amp; ""USD""))
"),55000000)</f>
        <v>55000000</v>
      </c>
      <c r="P2156" s="4">
        <f ca="1">IFERROR(__xludf.DUMMYFUNCTION("IF(Cost_in_dollars!E2156=""USD"",Cost_in_dollars!C2156,Cost_in_dollars!C2156 * GOOGLEFINANCE(""CURRENCY:"" &amp; Cost_in_dollars!E2156 &amp; ""USD""))
"),104354205)</f>
        <v>104354205</v>
      </c>
      <c r="Q2156" s="4">
        <f t="shared" ca="1" si="48"/>
        <v>49354205</v>
      </c>
      <c r="R2156" s="5" t="str">
        <f t="shared" si="49"/>
        <v>American Wedding</v>
      </c>
      <c r="S2156" s="43" t="str">
        <f t="shared" si="51"/>
        <v>Comedy</v>
      </c>
    </row>
    <row r="2157" spans="1:19" ht="15.75" customHeight="1" x14ac:dyDescent="0.25">
      <c r="A2157" s="6" t="s">
        <v>1561</v>
      </c>
      <c r="B2157" s="6">
        <v>48</v>
      </c>
      <c r="C2157" s="6">
        <v>121945720</v>
      </c>
      <c r="D2157" s="6" t="s">
        <v>7094</v>
      </c>
      <c r="E2157" s="6" t="s">
        <v>945</v>
      </c>
      <c r="F2157" s="6" t="s">
        <v>7095</v>
      </c>
      <c r="G2157" s="6">
        <v>89972</v>
      </c>
      <c r="H2157" s="6" t="s">
        <v>7096</v>
      </c>
      <c r="I2157" s="6">
        <v>126</v>
      </c>
      <c r="J2157" s="6" t="s">
        <v>23</v>
      </c>
      <c r="K2157" s="6" t="s">
        <v>24</v>
      </c>
      <c r="L2157" s="6">
        <v>25000000</v>
      </c>
      <c r="M2157" s="6">
        <v>1992</v>
      </c>
      <c r="N2157" s="6">
        <v>6.1</v>
      </c>
      <c r="O2157" s="4">
        <f ca="1">IFERROR(__xludf.DUMMYFUNCTION("IF(Cost_in_dollars!E2157=""USD"",Cost_in_dollars!B2157,Cost_in_dollars!B2157 * GOOGLEFINANCE(""CURRENCY:"" &amp; Cost_in_dollars!E2157 &amp; ""USD""))
"),25000000)</f>
        <v>25000000</v>
      </c>
      <c r="P2157" s="4">
        <f ca="1">IFERROR(__xludf.DUMMYFUNCTION("IF(Cost_in_dollars!E2157=""USD"",Cost_in_dollars!C2157,Cost_in_dollars!C2157 * GOOGLEFINANCE(""CURRENCY:"" &amp; Cost_in_dollars!E2157 &amp; ""USD""))
"),121945720)</f>
        <v>121945720</v>
      </c>
      <c r="Q2157" s="6">
        <f t="shared" ca="1" si="48"/>
        <v>96945720</v>
      </c>
      <c r="R2157" s="7" t="str">
        <f t="shared" si="49"/>
        <v>The Bodyguard</v>
      </c>
      <c r="S2157" s="43" t="str">
        <f t="shared" si="51"/>
        <v>Action</v>
      </c>
    </row>
    <row r="2158" spans="1:19" ht="15.75" customHeight="1" x14ac:dyDescent="0.25">
      <c r="A2158" s="4" t="s">
        <v>2482</v>
      </c>
      <c r="B2158" s="4">
        <v>95</v>
      </c>
      <c r="C2158" s="4">
        <v>60000000</v>
      </c>
      <c r="D2158" s="4" t="s">
        <v>1719</v>
      </c>
      <c r="E2158" s="4" t="s">
        <v>3701</v>
      </c>
      <c r="F2158" s="4" t="s">
        <v>7097</v>
      </c>
      <c r="G2158" s="4">
        <v>49934</v>
      </c>
      <c r="H2158" s="4" t="s">
        <v>7098</v>
      </c>
      <c r="I2158" s="4">
        <v>224</v>
      </c>
      <c r="J2158" s="4" t="s">
        <v>23</v>
      </c>
      <c r="K2158" s="4" t="s">
        <v>133</v>
      </c>
      <c r="L2158" s="4">
        <v>39000000</v>
      </c>
      <c r="M2158" s="4">
        <v>1983</v>
      </c>
      <c r="N2158" s="4">
        <v>4.9000000000000004</v>
      </c>
      <c r="O2158" s="4">
        <f ca="1">IFERROR(__xludf.DUMMYFUNCTION("IF(Cost_in_dollars!E2158=""USD"",Cost_in_dollars!B2158,Cost_in_dollars!B2158 * GOOGLEFINANCE(""CURRENCY:"" &amp; Cost_in_dollars!E2158 &amp; ""USD""))
"),50130599.9999999)</f>
        <v>50130599.999999903</v>
      </c>
      <c r="P2158" s="4">
        <f ca="1">IFERROR(__xludf.DUMMYFUNCTION("IF(Cost_in_dollars!E2158=""USD"",Cost_in_dollars!C2158,Cost_in_dollars!C2158 * GOOGLEFINANCE(""CURRENCY:"" &amp; Cost_in_dollars!E2158 &amp; ""USD""))
"),77124000)</f>
        <v>77124000</v>
      </c>
      <c r="Q2158" s="4">
        <f t="shared" ca="1" si="48"/>
        <v>26993400.000000097</v>
      </c>
      <c r="R2158" s="5" t="str">
        <f t="shared" si="49"/>
        <v>Superman III</v>
      </c>
      <c r="S2158" s="43" t="str">
        <f t="shared" si="51"/>
        <v>Action</v>
      </c>
    </row>
    <row r="2159" spans="1:19" ht="15.75" customHeight="1" x14ac:dyDescent="0.25">
      <c r="A2159" s="6" t="s">
        <v>722</v>
      </c>
      <c r="B2159" s="6">
        <v>118</v>
      </c>
      <c r="C2159" s="6">
        <v>7871693</v>
      </c>
      <c r="D2159" s="6" t="s">
        <v>7099</v>
      </c>
      <c r="E2159" s="6" t="s">
        <v>473</v>
      </c>
      <c r="F2159" s="6" t="s">
        <v>7100</v>
      </c>
      <c r="G2159" s="6">
        <v>52908</v>
      </c>
      <c r="H2159" s="6" t="s">
        <v>7101</v>
      </c>
      <c r="I2159" s="6">
        <v>102</v>
      </c>
      <c r="J2159" s="6" t="s">
        <v>23</v>
      </c>
      <c r="K2159" s="6" t="s">
        <v>24</v>
      </c>
      <c r="L2159" s="6">
        <v>55000000</v>
      </c>
      <c r="M2159" s="6">
        <v>2008</v>
      </c>
      <c r="N2159" s="6">
        <v>6.5</v>
      </c>
      <c r="O2159" s="4">
        <f ca="1">IFERROR(__xludf.DUMMYFUNCTION("IF(Cost_in_dollars!E2159=""USD"",Cost_in_dollars!B2159,Cost_in_dollars!B2159 * GOOGLEFINANCE(""CURRENCY:"" &amp; Cost_in_dollars!E2159 &amp; ""USD""))
"),55000000)</f>
        <v>55000000</v>
      </c>
      <c r="P2159" s="4">
        <f ca="1">IFERROR(__xludf.DUMMYFUNCTION("IF(Cost_in_dollars!E2159=""USD"",Cost_in_dollars!C2159,Cost_in_dollars!C2159 * GOOGLEFINANCE(""CURRENCY:"" &amp; Cost_in_dollars!E2159 &amp; ""USD""))
"),7871693)</f>
        <v>7871693</v>
      </c>
      <c r="Q2159" s="6">
        <f t="shared" ca="1" si="48"/>
        <v>-47128307</v>
      </c>
      <c r="R2159" s="7" t="str">
        <f t="shared" si="49"/>
        <v>City of Ember</v>
      </c>
      <c r="S2159" s="43" t="str">
        <f t="shared" si="51"/>
        <v>Adventure</v>
      </c>
    </row>
    <row r="2160" spans="1:19" ht="15.75" customHeight="1" x14ac:dyDescent="0.25">
      <c r="A2160" s="4" t="s">
        <v>5108</v>
      </c>
      <c r="B2160" s="4">
        <v>166</v>
      </c>
      <c r="C2160" s="4">
        <v>9525276</v>
      </c>
      <c r="D2160" s="4" t="s">
        <v>155</v>
      </c>
      <c r="E2160" s="4" t="s">
        <v>7102</v>
      </c>
      <c r="F2160" s="4" t="s">
        <v>7103</v>
      </c>
      <c r="G2160" s="4">
        <v>60156</v>
      </c>
      <c r="H2160" s="4" t="s">
        <v>7104</v>
      </c>
      <c r="I2160" s="4">
        <v>299</v>
      </c>
      <c r="J2160" s="4" t="s">
        <v>23</v>
      </c>
      <c r="K2160" s="4" t="s">
        <v>24</v>
      </c>
      <c r="L2160" s="4">
        <v>20000000</v>
      </c>
      <c r="M2160" s="4">
        <v>2007</v>
      </c>
      <c r="N2160" s="4">
        <v>6.8</v>
      </c>
      <c r="O2160" s="4">
        <f ca="1">IFERROR(__xludf.DUMMYFUNCTION("IF(Cost_in_dollars!E2160=""USD"",Cost_in_dollars!B2160,Cost_in_dollars!B2160 * GOOGLEFINANCE(""CURRENCY:"" &amp; Cost_in_dollars!E2160 &amp; ""USD""))
"),20000000)</f>
        <v>20000000</v>
      </c>
      <c r="P2160" s="4">
        <f ca="1">IFERROR(__xludf.DUMMYFUNCTION("IF(Cost_in_dollars!E2160=""USD"",Cost_in_dollars!C2160,Cost_in_dollars!C2160 * GOOGLEFINANCE(""CURRENCY:"" &amp; Cost_in_dollars!E2160 &amp; ""USD""))
"),9525276)</f>
        <v>9525276</v>
      </c>
      <c r="Q2160" s="4">
        <f t="shared" ca="1" si="48"/>
        <v>-10474724</v>
      </c>
      <c r="R2160" s="5" t="str">
        <f t="shared" si="49"/>
        <v>Death Sentence</v>
      </c>
      <c r="S2160" s="43" t="str">
        <f t="shared" si="51"/>
        <v>Action</v>
      </c>
    </row>
    <row r="2161" spans="1:19" ht="15.75" customHeight="1" x14ac:dyDescent="0.25">
      <c r="A2161" s="6" t="s">
        <v>1542</v>
      </c>
      <c r="B2161" s="6">
        <v>450</v>
      </c>
      <c r="C2161" s="6">
        <v>89289910</v>
      </c>
      <c r="D2161" s="6" t="s">
        <v>4180</v>
      </c>
      <c r="E2161" s="6" t="s">
        <v>84</v>
      </c>
      <c r="F2161" s="6" t="s">
        <v>7105</v>
      </c>
      <c r="G2161" s="6">
        <v>181792</v>
      </c>
      <c r="H2161" s="6" t="s">
        <v>7106</v>
      </c>
      <c r="I2161" s="6">
        <v>711</v>
      </c>
      <c r="J2161" s="6" t="s">
        <v>23</v>
      </c>
      <c r="K2161" s="6" t="s">
        <v>24</v>
      </c>
      <c r="L2161" s="6">
        <v>215000000</v>
      </c>
      <c r="M2161" s="6">
        <v>2013</v>
      </c>
      <c r="N2161" s="6">
        <v>6.5</v>
      </c>
      <c r="O2161" s="4">
        <f ca="1">IFERROR(__xludf.DUMMYFUNCTION("IF(Cost_in_dollars!E2161=""USD"",Cost_in_dollars!B2161,Cost_in_dollars!B2161 * GOOGLEFINANCE(""CURRENCY:"" &amp; Cost_in_dollars!E2161 &amp; ""USD""))
"),215000000)</f>
        <v>215000000</v>
      </c>
      <c r="P2161" s="4">
        <f ca="1">IFERROR(__xludf.DUMMYFUNCTION("IF(Cost_in_dollars!E2161=""USD"",Cost_in_dollars!C2161,Cost_in_dollars!C2161 * GOOGLEFINANCE(""CURRENCY:"" &amp; Cost_in_dollars!E2161 &amp; ""USD""))
"),89289910)</f>
        <v>89289910</v>
      </c>
      <c r="Q2161" s="6">
        <f t="shared" ca="1" si="48"/>
        <v>-125710090</v>
      </c>
      <c r="R2161" s="7" t="str">
        <f t="shared" si="49"/>
        <v>The Lone Ranger</v>
      </c>
      <c r="S2161" s="43" t="str">
        <f t="shared" si="51"/>
        <v>Action</v>
      </c>
    </row>
    <row r="2162" spans="1:19" ht="15.75" customHeight="1" x14ac:dyDescent="0.25">
      <c r="A2162" s="4" t="s">
        <v>7107</v>
      </c>
      <c r="B2162" s="4">
        <v>112</v>
      </c>
      <c r="C2162" s="4">
        <v>25000000</v>
      </c>
      <c r="D2162" s="4" t="s">
        <v>188</v>
      </c>
      <c r="E2162" s="4" t="s">
        <v>7108</v>
      </c>
      <c r="F2162" s="4" t="s">
        <v>7109</v>
      </c>
      <c r="G2162" s="4">
        <v>39847</v>
      </c>
      <c r="H2162" s="4" t="s">
        <v>7110</v>
      </c>
      <c r="I2162" s="4">
        <v>242</v>
      </c>
      <c r="J2162" s="4" t="s">
        <v>23</v>
      </c>
      <c r="K2162" s="4" t="s">
        <v>24</v>
      </c>
      <c r="L2162" s="4">
        <v>9000000</v>
      </c>
      <c r="M2162" s="4">
        <v>1976</v>
      </c>
      <c r="N2162" s="4">
        <v>6.8</v>
      </c>
      <c r="O2162" s="4">
        <f ca="1">IFERROR(__xludf.DUMMYFUNCTION("IF(Cost_in_dollars!E2162=""USD"",Cost_in_dollars!B2162,Cost_in_dollars!B2162 * GOOGLEFINANCE(""CURRENCY:"" &amp; Cost_in_dollars!E2162 &amp; ""USD""))
"),9000000)</f>
        <v>9000000</v>
      </c>
      <c r="P2162" s="4">
        <f ca="1">IFERROR(__xludf.DUMMYFUNCTION("IF(Cost_in_dollars!E2162=""USD"",Cost_in_dollars!C2162,Cost_in_dollars!C2162 * GOOGLEFINANCE(""CURRENCY:"" &amp; Cost_in_dollars!E2162 &amp; ""USD""))
"),25000000)</f>
        <v>25000000</v>
      </c>
      <c r="Q2162" s="4">
        <f t="shared" ca="1" si="48"/>
        <v>16000000</v>
      </c>
      <c r="R2162" s="5" t="str">
        <f t="shared" si="49"/>
        <v>Logan's Run</v>
      </c>
      <c r="S2162" s="43" t="str">
        <f t="shared" si="51"/>
        <v>Action</v>
      </c>
    </row>
    <row r="2163" spans="1:19" ht="15.75" customHeight="1" x14ac:dyDescent="0.25">
      <c r="A2163" s="6" t="s">
        <v>7111</v>
      </c>
      <c r="B2163" s="6">
        <v>42</v>
      </c>
      <c r="C2163" s="6">
        <v>1075288</v>
      </c>
      <c r="D2163" s="6" t="s">
        <v>116</v>
      </c>
      <c r="E2163" s="6" t="s">
        <v>3261</v>
      </c>
      <c r="F2163" s="6" t="s">
        <v>7112</v>
      </c>
      <c r="G2163" s="6">
        <v>7772</v>
      </c>
      <c r="H2163" s="6" t="s">
        <v>7113</v>
      </c>
      <c r="I2163" s="6">
        <v>55</v>
      </c>
      <c r="J2163" s="6" t="s">
        <v>23</v>
      </c>
      <c r="K2163" s="6" t="s">
        <v>24</v>
      </c>
      <c r="L2163" s="6">
        <v>22000000</v>
      </c>
      <c r="M2163" s="6">
        <v>1996</v>
      </c>
      <c r="N2163" s="6">
        <v>6.1</v>
      </c>
      <c r="O2163" s="4">
        <f ca="1">IFERROR(__xludf.DUMMYFUNCTION("IF(Cost_in_dollars!E2163=""USD"",Cost_in_dollars!B2163,Cost_in_dollars!B2163 * GOOGLEFINANCE(""CURRENCY:"" &amp; Cost_in_dollars!E2163 &amp; ""USD""))
"),22000000)</f>
        <v>22000000</v>
      </c>
      <c r="P2163" s="4">
        <f ca="1">IFERROR(__xludf.DUMMYFUNCTION("IF(Cost_in_dollars!E2163=""USD"",Cost_in_dollars!C2163,Cost_in_dollars!C2163 * GOOGLEFINANCE(""CURRENCY:"" &amp; Cost_in_dollars!E2163 &amp; ""USD""))
"),1075288)</f>
        <v>1075288</v>
      </c>
      <c r="Q2163" s="6">
        <f t="shared" ca="1" si="48"/>
        <v>-20924712</v>
      </c>
      <c r="R2163" s="7" t="str">
        <f t="shared" si="49"/>
        <v>Blood and Wine</v>
      </c>
      <c r="S2163" s="43" t="str">
        <f t="shared" si="51"/>
        <v>Crime</v>
      </c>
    </row>
    <row r="2164" spans="1:19" ht="15.75" customHeight="1" x14ac:dyDescent="0.25">
      <c r="A2164" s="4" t="s">
        <v>7114</v>
      </c>
      <c r="B2164" s="4">
        <v>32</v>
      </c>
      <c r="C2164" s="4">
        <v>536767</v>
      </c>
      <c r="D2164" s="4" t="s">
        <v>7115</v>
      </c>
      <c r="E2164" s="4" t="s">
        <v>3035</v>
      </c>
      <c r="F2164" s="4" t="s">
        <v>7116</v>
      </c>
      <c r="G2164" s="4">
        <v>1622</v>
      </c>
      <c r="H2164" s="4" t="s">
        <v>7117</v>
      </c>
      <c r="I2164" s="4">
        <v>83</v>
      </c>
      <c r="J2164" s="4" t="s">
        <v>23</v>
      </c>
      <c r="K2164" s="4" t="s">
        <v>24</v>
      </c>
      <c r="L2164" s="4">
        <v>60000</v>
      </c>
      <c r="M2164" s="4">
        <v>1998</v>
      </c>
      <c r="N2164" s="4">
        <v>5.3</v>
      </c>
      <c r="O2164" s="4">
        <f ca="1">IFERROR(__xludf.DUMMYFUNCTION("IF(Cost_in_dollars!E2164=""USD"",Cost_in_dollars!B2164,Cost_in_dollars!B2164 * GOOGLEFINANCE(""CURRENCY:"" &amp; Cost_in_dollars!E2164 &amp; ""USD""))
"),60000)</f>
        <v>60000</v>
      </c>
      <c r="P2164" s="4">
        <f ca="1">IFERROR(__xludf.DUMMYFUNCTION("IF(Cost_in_dollars!E2164=""USD"",Cost_in_dollars!C2164,Cost_in_dollars!C2164 * GOOGLEFINANCE(""CURRENCY:"" &amp; Cost_in_dollars!E2164 &amp; ""USD""))
"),536767)</f>
        <v>536767</v>
      </c>
      <c r="Q2164" s="4">
        <f t="shared" ca="1" si="48"/>
        <v>476767</v>
      </c>
      <c r="R2164" s="5" t="str">
        <f t="shared" si="49"/>
        <v>20 Dates</v>
      </c>
      <c r="S2164" s="43" t="str">
        <f t="shared" si="51"/>
        <v>Biography</v>
      </c>
    </row>
    <row r="2165" spans="1:19" ht="15.75" customHeight="1" x14ac:dyDescent="0.25">
      <c r="A2165" s="6" t="s">
        <v>4603</v>
      </c>
      <c r="B2165" s="6">
        <v>232</v>
      </c>
      <c r="C2165" s="6">
        <v>87341380</v>
      </c>
      <c r="D2165" s="6" t="s">
        <v>268</v>
      </c>
      <c r="E2165" s="6" t="s">
        <v>407</v>
      </c>
      <c r="F2165" s="6" t="s">
        <v>7118</v>
      </c>
      <c r="G2165" s="6">
        <v>255257</v>
      </c>
      <c r="H2165" s="6" t="s">
        <v>7119</v>
      </c>
      <c r="I2165" s="6">
        <v>374</v>
      </c>
      <c r="J2165" s="6" t="s">
        <v>23</v>
      </c>
      <c r="K2165" s="6" t="s">
        <v>24</v>
      </c>
      <c r="L2165" s="6">
        <v>27000000</v>
      </c>
      <c r="M2165" s="6">
        <v>2008</v>
      </c>
      <c r="N2165" s="6">
        <v>7</v>
      </c>
      <c r="O2165" s="4">
        <f ca="1">IFERROR(__xludf.DUMMYFUNCTION("IF(Cost_in_dollars!E2165=""USD"",Cost_in_dollars!B2165,Cost_in_dollars!B2165 * GOOGLEFINANCE(""CURRENCY:"" &amp; Cost_in_dollars!E2165 &amp; ""USD""))
"),27000000)</f>
        <v>27000000</v>
      </c>
      <c r="P2165" s="4">
        <f ca="1">IFERROR(__xludf.DUMMYFUNCTION("IF(Cost_in_dollars!E2165=""USD"",Cost_in_dollars!C2165,Cost_in_dollars!C2165 * GOOGLEFINANCE(""CURRENCY:"" &amp; Cost_in_dollars!E2165 &amp; ""USD""))
"),87341380)</f>
        <v>87341380</v>
      </c>
      <c r="Q2165" s="6">
        <f t="shared" ca="1" si="48"/>
        <v>60341380</v>
      </c>
      <c r="R2165" s="7" t="str">
        <f t="shared" si="49"/>
        <v>Pineapple Express</v>
      </c>
      <c r="S2165" s="43" t="str">
        <f t="shared" si="51"/>
        <v>Action</v>
      </c>
    </row>
    <row r="2166" spans="1:19" ht="15.75" customHeight="1" x14ac:dyDescent="0.25">
      <c r="A2166" s="4" t="s">
        <v>7120</v>
      </c>
      <c r="B2166" s="4">
        <v>50</v>
      </c>
      <c r="C2166" s="4">
        <v>11278</v>
      </c>
      <c r="D2166" s="4" t="s">
        <v>457</v>
      </c>
      <c r="E2166" s="4" t="s">
        <v>7121</v>
      </c>
      <c r="F2166" s="4" t="s">
        <v>7122</v>
      </c>
      <c r="G2166" s="4">
        <v>1229</v>
      </c>
      <c r="H2166" s="4" t="s">
        <v>7123</v>
      </c>
      <c r="I2166" s="4">
        <v>2</v>
      </c>
      <c r="J2166" s="4" t="s">
        <v>1569</v>
      </c>
      <c r="K2166" s="4" t="s">
        <v>1220</v>
      </c>
      <c r="L2166" s="4">
        <v>1300000</v>
      </c>
      <c r="M2166" s="4">
        <v>2013</v>
      </c>
      <c r="N2166" s="4">
        <v>7</v>
      </c>
      <c r="O2166" s="4">
        <f ca="1">IFERROR(__xludf.DUMMYFUNCTION("IF(Cost_in_dollars!E2166=""USD"",Cost_in_dollars!B2166,Cost_in_dollars!B2166 * GOOGLEFINANCE(""CURRENCY:"" &amp; Cost_in_dollars!E2166 &amp; ""USD""))
"),70466.097)</f>
        <v>70466.096999999994</v>
      </c>
      <c r="P2166" s="4">
        <f ca="1">IFERROR(__xludf.DUMMYFUNCTION("IF(Cost_in_dollars!E2166=""USD"",Cost_in_dollars!C2166,Cost_in_dollars!C2166 * GOOGLEFINANCE(""CURRENCY:"" &amp; Cost_in_dollars!E2166 &amp; ""USD""))
"),611.32049382)</f>
        <v>611.32049382000002</v>
      </c>
      <c r="Q2166" s="4">
        <f t="shared" ca="1" si="48"/>
        <v>-69854.776506179987</v>
      </c>
      <c r="R2166" s="5" t="str">
        <f t="shared" si="49"/>
        <v>The Amazing Catfish</v>
      </c>
      <c r="S2166" s="43" t="str">
        <f t="shared" si="51"/>
        <v>Comedy</v>
      </c>
    </row>
    <row r="2167" spans="1:19" ht="15.75" customHeight="1" x14ac:dyDescent="0.25">
      <c r="A2167" s="6" t="s">
        <v>1145</v>
      </c>
      <c r="B2167" s="6">
        <v>302</v>
      </c>
      <c r="C2167" s="6">
        <v>41997790</v>
      </c>
      <c r="D2167" s="6" t="s">
        <v>1749</v>
      </c>
      <c r="E2167" s="6" t="s">
        <v>920</v>
      </c>
      <c r="F2167" s="6" t="s">
        <v>7124</v>
      </c>
      <c r="G2167" s="6">
        <v>125305</v>
      </c>
      <c r="H2167" s="6" t="s">
        <v>7125</v>
      </c>
      <c r="I2167" s="6">
        <v>343</v>
      </c>
      <c r="J2167" s="6" t="s">
        <v>23</v>
      </c>
      <c r="K2167" s="6" t="s">
        <v>24</v>
      </c>
      <c r="L2167" s="6">
        <v>38000000</v>
      </c>
      <c r="M2167" s="6">
        <v>2013</v>
      </c>
      <c r="N2167" s="6">
        <v>6.4</v>
      </c>
      <c r="O2167" s="4">
        <f ca="1">IFERROR(__xludf.DUMMYFUNCTION("IF(Cost_in_dollars!E2167=""USD"",Cost_in_dollars!B2167,Cost_in_dollars!B2167 * GOOGLEFINANCE(""CURRENCY:"" &amp; Cost_in_dollars!E2167 &amp; ""USD""))
"),38000000)</f>
        <v>38000000</v>
      </c>
      <c r="P2167" s="4">
        <f ca="1">IFERROR(__xludf.DUMMYFUNCTION("IF(Cost_in_dollars!E2167=""USD"",Cost_in_dollars!C2167,Cost_in_dollars!C2167 * GOOGLEFINANCE(""CURRENCY:"" &amp; Cost_in_dollars!E2167 &amp; ""USD""))
"),41997790)</f>
        <v>41997790</v>
      </c>
      <c r="Q2167" s="6">
        <f t="shared" ca="1" si="48"/>
        <v>3997790</v>
      </c>
      <c r="R2167" s="7" t="str">
        <f t="shared" si="49"/>
        <v>Riddick</v>
      </c>
      <c r="S2167" s="43" t="str">
        <f t="shared" si="51"/>
        <v>Action</v>
      </c>
    </row>
    <row r="2168" spans="1:19" ht="15.75" customHeight="1" x14ac:dyDescent="0.25">
      <c r="A2168" s="4" t="s">
        <v>2110</v>
      </c>
      <c r="B2168" s="4">
        <v>198</v>
      </c>
      <c r="C2168" s="4">
        <v>100018837</v>
      </c>
      <c r="D2168" s="4" t="s">
        <v>971</v>
      </c>
      <c r="E2168" s="4" t="s">
        <v>619</v>
      </c>
      <c r="F2168" s="4" t="s">
        <v>7126</v>
      </c>
      <c r="G2168" s="4">
        <v>156348</v>
      </c>
      <c r="H2168" s="4" t="s">
        <v>7127</v>
      </c>
      <c r="I2168" s="4">
        <v>380</v>
      </c>
      <c r="J2168" s="4" t="s">
        <v>23</v>
      </c>
      <c r="K2168" s="4" t="s">
        <v>24</v>
      </c>
      <c r="L2168" s="4">
        <v>90000000</v>
      </c>
      <c r="M2168" s="4">
        <v>2008</v>
      </c>
      <c r="N2168" s="4">
        <v>5.5</v>
      </c>
      <c r="O2168" s="4">
        <f ca="1">IFERROR(__xludf.DUMMYFUNCTION("IF(Cost_in_dollars!E2168=""USD"",Cost_in_dollars!B2168,Cost_in_dollars!B2168 * GOOGLEFINANCE(""CURRENCY:"" &amp; Cost_in_dollars!E2168 &amp; ""USD""))
"),90000000)</f>
        <v>90000000</v>
      </c>
      <c r="P2168" s="4">
        <f ca="1">IFERROR(__xludf.DUMMYFUNCTION("IF(Cost_in_dollars!E2168=""USD"",Cost_in_dollars!C2168,Cost_in_dollars!C2168 * GOOGLEFINANCE(""CURRENCY:"" &amp; Cost_in_dollars!E2168 &amp; ""USD""))
"),100018837)</f>
        <v>100018837</v>
      </c>
      <c r="Q2168" s="4">
        <f t="shared" ca="1" si="48"/>
        <v>10018837</v>
      </c>
      <c r="R2168" s="5" t="str">
        <f t="shared" si="49"/>
        <v>You Don't Mess with the Zohan</v>
      </c>
      <c r="S2168" s="43" t="str">
        <f t="shared" si="51"/>
        <v>Action</v>
      </c>
    </row>
    <row r="2169" spans="1:19" ht="15.75" customHeight="1" x14ac:dyDescent="0.25">
      <c r="A2169" s="6" t="s">
        <v>7128</v>
      </c>
      <c r="B2169" s="6">
        <v>71</v>
      </c>
      <c r="C2169" s="6">
        <v>9059588</v>
      </c>
      <c r="D2169" s="6" t="s">
        <v>813</v>
      </c>
      <c r="E2169" s="6" t="s">
        <v>7129</v>
      </c>
      <c r="F2169" s="6" t="s">
        <v>7130</v>
      </c>
      <c r="G2169" s="6">
        <v>17261</v>
      </c>
      <c r="H2169" s="6" t="s">
        <v>7131</v>
      </c>
      <c r="I2169" s="6">
        <v>125</v>
      </c>
      <c r="J2169" s="6" t="s">
        <v>23</v>
      </c>
      <c r="K2169" s="6" t="s">
        <v>24</v>
      </c>
      <c r="L2169" s="6">
        <v>15000000</v>
      </c>
      <c r="M2169" s="6">
        <v>2002</v>
      </c>
      <c r="N2169" s="6">
        <v>6.6</v>
      </c>
      <c r="O2169" s="4">
        <f ca="1">IFERROR(__xludf.DUMMYFUNCTION("IF(Cost_in_dollars!E2169=""USD"",Cost_in_dollars!B2169,Cost_in_dollars!B2169 * GOOGLEFINANCE(""CURRENCY:"" &amp; Cost_in_dollars!E2169 &amp; ""USD""))
"),15000000)</f>
        <v>15000000</v>
      </c>
      <c r="P2169" s="4">
        <f ca="1">IFERROR(__xludf.DUMMYFUNCTION("IF(Cost_in_dollars!E2169=""USD"",Cost_in_dollars!C2169,Cost_in_dollars!C2169 * GOOGLEFINANCE(""CURRENCY:"" &amp; Cost_in_dollars!E2169 &amp; ""USD""))
"),9059588)</f>
        <v>9059588</v>
      </c>
      <c r="Q2169" s="6">
        <f t="shared" ca="1" si="48"/>
        <v>-5940412</v>
      </c>
      <c r="R2169" s="7" t="str">
        <f t="shared" si="49"/>
        <v>Dark Blue</v>
      </c>
      <c r="S2169" s="43" t="str">
        <f t="shared" si="51"/>
        <v>Crime</v>
      </c>
    </row>
    <row r="2170" spans="1:19" ht="15.75" customHeight="1" x14ac:dyDescent="0.25">
      <c r="A2170" s="4" t="s">
        <v>7132</v>
      </c>
      <c r="B2170" s="4">
        <v>66</v>
      </c>
      <c r="C2170" s="4">
        <v>4992159</v>
      </c>
      <c r="D2170" s="4" t="s">
        <v>392</v>
      </c>
      <c r="E2170" s="4" t="s">
        <v>5709</v>
      </c>
      <c r="F2170" s="4" t="s">
        <v>7133</v>
      </c>
      <c r="G2170" s="4">
        <v>23823</v>
      </c>
      <c r="H2170" s="4" t="s">
        <v>7134</v>
      </c>
      <c r="I2170" s="4">
        <v>201</v>
      </c>
      <c r="J2170" s="4" t="s">
        <v>23</v>
      </c>
      <c r="K2170" s="4" t="s">
        <v>24</v>
      </c>
      <c r="L2170" s="4">
        <v>8550000</v>
      </c>
      <c r="M2170" s="4">
        <v>2004</v>
      </c>
      <c r="N2170" s="4">
        <v>5.6</v>
      </c>
      <c r="O2170" s="4">
        <f ca="1">IFERROR(__xludf.DUMMYFUNCTION("IF(Cost_in_dollars!E2170=""USD"",Cost_in_dollars!B2170,Cost_in_dollars!B2170 * GOOGLEFINANCE(""CURRENCY:"" &amp; Cost_in_dollars!E2170 &amp; ""USD""))
"),8550000)</f>
        <v>8550000</v>
      </c>
      <c r="P2170" s="4">
        <f ca="1">IFERROR(__xludf.DUMMYFUNCTION("IF(Cost_in_dollars!E2170=""USD"",Cost_in_dollars!C2170,Cost_in_dollars!C2170 * GOOGLEFINANCE(""CURRENCY:"" &amp; Cost_in_dollars!E2170 &amp; ""USD""))
"),4992159)</f>
        <v>4992159</v>
      </c>
      <c r="Q2170" s="4">
        <f t="shared" ca="1" si="48"/>
        <v>-3557841</v>
      </c>
      <c r="R2170" s="5" t="str">
        <f t="shared" si="49"/>
        <v>Club Dread</v>
      </c>
      <c r="S2170" s="43" t="str">
        <f t="shared" si="51"/>
        <v>Comedy</v>
      </c>
    </row>
    <row r="2171" spans="1:19" ht="15.75" customHeight="1" x14ac:dyDescent="0.25">
      <c r="A2171" s="6" t="s">
        <v>7135</v>
      </c>
      <c r="B2171" s="6">
        <v>98</v>
      </c>
      <c r="C2171" s="6">
        <v>22108977</v>
      </c>
      <c r="D2171" s="6" t="s">
        <v>2465</v>
      </c>
      <c r="E2171" s="6" t="s">
        <v>1037</v>
      </c>
      <c r="F2171" s="6" t="s">
        <v>7136</v>
      </c>
      <c r="G2171" s="6">
        <v>29861</v>
      </c>
      <c r="H2171" s="6" t="s">
        <v>7137</v>
      </c>
      <c r="I2171" s="6">
        <v>132</v>
      </c>
      <c r="J2171" s="6" t="s">
        <v>23</v>
      </c>
      <c r="K2171" s="6" t="s">
        <v>160</v>
      </c>
      <c r="L2171" s="6">
        <v>41000000</v>
      </c>
      <c r="M2171" s="6">
        <v>2003</v>
      </c>
      <c r="N2171" s="6">
        <v>5.2</v>
      </c>
      <c r="O2171" s="4">
        <f ca="1">IFERROR(__xludf.DUMMYFUNCTION("IF(Cost_in_dollars!E2171=""USD"",Cost_in_dollars!B2171,Cost_in_dollars!B2171 * GOOGLEFINANCE(""CURRENCY:"" &amp; Cost_in_dollars!E2171 &amp; ""USD""))
"),5251866.3)</f>
        <v>5251866.3</v>
      </c>
      <c r="P2171" s="4">
        <f ca="1">IFERROR(__xludf.DUMMYFUNCTION("IF(Cost_in_dollars!E2171=""USD"",Cost_in_dollars!C2171,Cost_in_dollars!C2171 * GOOGLEFINANCE(""CURRENCY:"" &amp; Cost_in_dollars!E2171 &amp; ""USD""))
"),2832033.93253109)</f>
        <v>2832033.93253109</v>
      </c>
      <c r="Q2171" s="6">
        <f t="shared" ca="1" si="48"/>
        <v>-2419832.3674689098</v>
      </c>
      <c r="R2171" s="7" t="str">
        <f t="shared" si="49"/>
        <v>The Medallion</v>
      </c>
      <c r="S2171" s="43" t="str">
        <f t="shared" si="51"/>
        <v>Action</v>
      </c>
    </row>
    <row r="2172" spans="1:19" ht="15.75" customHeight="1" x14ac:dyDescent="0.25">
      <c r="A2172" s="4" t="s">
        <v>5093</v>
      </c>
      <c r="B2172" s="4">
        <v>94</v>
      </c>
      <c r="C2172" s="4">
        <v>1172769</v>
      </c>
      <c r="D2172" s="4" t="s">
        <v>6412</v>
      </c>
      <c r="E2172" s="4" t="s">
        <v>352</v>
      </c>
      <c r="F2172" s="4" t="s">
        <v>7138</v>
      </c>
      <c r="G2172" s="4">
        <v>28068</v>
      </c>
      <c r="H2172" s="4" t="s">
        <v>7139</v>
      </c>
      <c r="I2172" s="4">
        <v>108</v>
      </c>
      <c r="J2172" s="4" t="s">
        <v>23</v>
      </c>
      <c r="K2172" s="4" t="s">
        <v>176</v>
      </c>
      <c r="L2172" s="4">
        <v>13000000</v>
      </c>
      <c r="M2172" s="4">
        <v>2006</v>
      </c>
      <c r="N2172" s="4">
        <v>7.1</v>
      </c>
      <c r="O2172" s="4">
        <f ca="1">IFERROR(__xludf.DUMMYFUNCTION("IF(Cost_in_dollars!E2172=""USD"",Cost_in_dollars!B2172,Cost_in_dollars!B2172 * GOOGLEFINANCE(""CURRENCY:"" &amp; Cost_in_dollars!E2172 &amp; ""USD""))
"),14101620)</f>
        <v>14101620</v>
      </c>
      <c r="P2172" s="4">
        <f ca="1">IFERROR(__xludf.DUMMYFUNCTION("IF(Cost_in_dollars!E2172=""USD"",Cost_in_dollars!C2172,Cost_in_dollars!C2172 * GOOGLEFINANCE(""CURRENCY:"" &amp; Cost_in_dollars!E2172 &amp; ""USD""))
"),1272149.44506)</f>
        <v>1272149.4450600001</v>
      </c>
      <c r="Q2172" s="4">
        <f t="shared" ca="1" si="48"/>
        <v>-12829470.55494</v>
      </c>
      <c r="R2172" s="5" t="str">
        <f t="shared" si="49"/>
        <v>Find Me Guilty</v>
      </c>
      <c r="S2172" s="43" t="str">
        <f t="shared" si="51"/>
        <v>Biography</v>
      </c>
    </row>
    <row r="2173" spans="1:19" ht="15.75" customHeight="1" x14ac:dyDescent="0.25">
      <c r="A2173" s="6" t="s">
        <v>1339</v>
      </c>
      <c r="B2173" s="6">
        <v>170</v>
      </c>
      <c r="C2173" s="6">
        <v>41102171</v>
      </c>
      <c r="D2173" s="6" t="s">
        <v>162</v>
      </c>
      <c r="E2173" s="6" t="s">
        <v>2905</v>
      </c>
      <c r="F2173" s="6" t="s">
        <v>7140</v>
      </c>
      <c r="G2173" s="6">
        <v>57266</v>
      </c>
      <c r="H2173" s="6" t="s">
        <v>7141</v>
      </c>
      <c r="I2173" s="6">
        <v>89</v>
      </c>
      <c r="J2173" s="6" t="s">
        <v>23</v>
      </c>
      <c r="K2173" s="6" t="s">
        <v>24</v>
      </c>
      <c r="L2173" s="6">
        <v>40000000</v>
      </c>
      <c r="M2173" s="6">
        <v>2012</v>
      </c>
      <c r="N2173" s="6">
        <v>5.7</v>
      </c>
      <c r="O2173" s="4">
        <f ca="1">IFERROR(__xludf.DUMMYFUNCTION("IF(Cost_in_dollars!E2173=""USD"",Cost_in_dollars!B2173,Cost_in_dollars!B2173 * GOOGLEFINANCE(""CURRENCY:"" &amp; Cost_in_dollars!E2173 &amp; ""USD""))
"),40000000)</f>
        <v>40000000</v>
      </c>
      <c r="P2173" s="4">
        <f ca="1">IFERROR(__xludf.DUMMYFUNCTION("IF(Cost_in_dollars!E2173=""USD"",Cost_in_dollars!C2173,Cost_in_dollars!C2173 * GOOGLEFINANCE(""CURRENCY:"" &amp; Cost_in_dollars!E2173 &amp; ""USD""))
"),41102171)</f>
        <v>41102171</v>
      </c>
      <c r="Q2173" s="6">
        <f t="shared" ca="1" si="48"/>
        <v>1102171</v>
      </c>
      <c r="R2173" s="7" t="str">
        <f t="shared" si="49"/>
        <v>What to Expect When You're Expecting</v>
      </c>
      <c r="S2173" s="43" t="str">
        <f t="shared" si="51"/>
        <v>Comedy</v>
      </c>
    </row>
    <row r="2174" spans="1:19" ht="15.75" customHeight="1" x14ac:dyDescent="0.25">
      <c r="A2174" s="4" t="s">
        <v>7142</v>
      </c>
      <c r="B2174" s="4">
        <v>382</v>
      </c>
      <c r="C2174" s="4">
        <v>64933670</v>
      </c>
      <c r="D2174" s="4" t="s">
        <v>7143</v>
      </c>
      <c r="E2174" s="4" t="s">
        <v>536</v>
      </c>
      <c r="F2174" s="4" t="s">
        <v>7144</v>
      </c>
      <c r="G2174" s="4">
        <v>70838</v>
      </c>
      <c r="H2174" s="4" t="s">
        <v>7145</v>
      </c>
      <c r="I2174" s="4">
        <v>208</v>
      </c>
      <c r="J2174" s="4" t="s">
        <v>23</v>
      </c>
      <c r="K2174" s="4" t="s">
        <v>24</v>
      </c>
      <c r="L2174" s="4">
        <v>85000000</v>
      </c>
      <c r="M2174" s="4">
        <v>2012</v>
      </c>
      <c r="N2174" s="4">
        <v>5.6</v>
      </c>
      <c r="O2174" s="4">
        <f ca="1">IFERROR(__xludf.DUMMYFUNCTION("IF(Cost_in_dollars!E2174=""USD"",Cost_in_dollars!B2174,Cost_in_dollars!B2174 * GOOGLEFINANCE(""CURRENCY:"" &amp; Cost_in_dollars!E2174 &amp; ""USD""))
"),85000000)</f>
        <v>85000000</v>
      </c>
      <c r="P2174" s="4">
        <f ca="1">IFERROR(__xludf.DUMMYFUNCTION("IF(Cost_in_dollars!E2174=""USD"",Cost_in_dollars!C2174,Cost_in_dollars!C2174 * GOOGLEFINANCE(""CURRENCY:"" &amp; Cost_in_dollars!E2174 &amp; ""USD""))
"),64933670)</f>
        <v>64933670</v>
      </c>
      <c r="Q2174" s="4">
        <f t="shared" ca="1" si="48"/>
        <v>-20066330</v>
      </c>
      <c r="R2174" s="5" t="str">
        <f t="shared" si="49"/>
        <v>Mirror Mirror</v>
      </c>
      <c r="S2174" s="43" t="str">
        <f t="shared" si="51"/>
        <v>Adventure</v>
      </c>
    </row>
    <row r="2175" spans="1:19" ht="15.75" customHeight="1" x14ac:dyDescent="0.25">
      <c r="A2175" s="6" t="s">
        <v>7146</v>
      </c>
      <c r="B2175" s="6">
        <v>202</v>
      </c>
      <c r="C2175" s="6">
        <v>22494487</v>
      </c>
      <c r="D2175" s="6" t="s">
        <v>438</v>
      </c>
      <c r="E2175" s="6" t="s">
        <v>54</v>
      </c>
      <c r="F2175" s="6" t="s">
        <v>7147</v>
      </c>
      <c r="G2175" s="6">
        <v>262160</v>
      </c>
      <c r="H2175" s="6" t="s">
        <v>7148</v>
      </c>
      <c r="I2175" s="6">
        <v>507</v>
      </c>
      <c r="J2175" s="6" t="s">
        <v>23</v>
      </c>
      <c r="K2175" s="6" t="s">
        <v>176</v>
      </c>
      <c r="L2175" s="6">
        <v>27000000</v>
      </c>
      <c r="M2175" s="6">
        <v>2006</v>
      </c>
      <c r="N2175" s="6">
        <v>7.8</v>
      </c>
      <c r="O2175" s="4">
        <f ca="1">IFERROR(__xludf.DUMMYFUNCTION("IF(Cost_in_dollars!E2175=""USD"",Cost_in_dollars!B2175,Cost_in_dollars!B2175 * GOOGLEFINANCE(""CURRENCY:"" &amp; Cost_in_dollars!E2175 &amp; ""USD""))
"),29287980)</f>
        <v>29287980</v>
      </c>
      <c r="P2175" s="4">
        <f ca="1">IFERROR(__xludf.DUMMYFUNCTION("IF(Cost_in_dollars!E2175=""USD"",Cost_in_dollars!C2175,Cost_in_dollars!C2175 * GOOGLEFINANCE(""CURRENCY:"" &amp; Cost_in_dollars!E2175 &amp; ""USD""))
"),24400669.82838)</f>
        <v>24400669.82838</v>
      </c>
      <c r="Q2175" s="6">
        <f t="shared" ca="1" si="48"/>
        <v>-4887310.1716200002</v>
      </c>
      <c r="R2175" s="7" t="str">
        <f t="shared" si="49"/>
        <v>Lucky Number Slevin</v>
      </c>
      <c r="S2175" s="43" t="str">
        <f t="shared" si="51"/>
        <v>Crime</v>
      </c>
    </row>
    <row r="2176" spans="1:19" ht="15.75" customHeight="1" x14ac:dyDescent="0.25">
      <c r="A2176" s="4" t="s">
        <v>975</v>
      </c>
      <c r="B2176" s="4">
        <v>154</v>
      </c>
      <c r="C2176" s="4">
        <v>113733726</v>
      </c>
      <c r="D2176" s="4" t="s">
        <v>1888</v>
      </c>
      <c r="E2176" s="4" t="s">
        <v>676</v>
      </c>
      <c r="F2176" s="4" t="s">
        <v>7149</v>
      </c>
      <c r="G2176" s="4">
        <v>67223</v>
      </c>
      <c r="H2176" s="4" t="s">
        <v>7150</v>
      </c>
      <c r="I2176" s="4">
        <v>126</v>
      </c>
      <c r="J2176" s="4" t="s">
        <v>23</v>
      </c>
      <c r="K2176" s="4" t="s">
        <v>24</v>
      </c>
      <c r="L2176" s="4">
        <v>127000000</v>
      </c>
      <c r="M2176" s="4">
        <v>2014</v>
      </c>
      <c r="N2176" s="4">
        <v>6.2</v>
      </c>
      <c r="O2176" s="4">
        <f ca="1">IFERROR(__xludf.DUMMYFUNCTION("IF(Cost_in_dollars!E2176=""USD"",Cost_in_dollars!B2176,Cost_in_dollars!B2176 * GOOGLEFINANCE(""CURRENCY:"" &amp; Cost_in_dollars!E2176 &amp; ""USD""))
"),127000000)</f>
        <v>127000000</v>
      </c>
      <c r="P2176" s="4">
        <f ca="1">IFERROR(__xludf.DUMMYFUNCTION("IF(Cost_in_dollars!E2176=""USD"",Cost_in_dollars!C2176,Cost_in_dollars!C2176 * GOOGLEFINANCE(""CURRENCY:"" &amp; Cost_in_dollars!E2176 &amp; ""USD""))
"),113733726)</f>
        <v>113733726</v>
      </c>
      <c r="Q2176" s="4">
        <f t="shared" ca="1" si="48"/>
        <v>-13266274</v>
      </c>
      <c r="R2176" s="5" t="str">
        <f t="shared" si="49"/>
        <v>Night at the Museum: Secret of the Tomb</v>
      </c>
      <c r="S2176" s="43" t="str">
        <f t="shared" si="51"/>
        <v>Adventure</v>
      </c>
    </row>
    <row r="2177" spans="1:19" ht="15.75" customHeight="1" x14ac:dyDescent="0.25">
      <c r="A2177" s="6" t="s">
        <v>7151</v>
      </c>
      <c r="B2177" s="6">
        <v>12</v>
      </c>
      <c r="C2177" s="6">
        <v>830210</v>
      </c>
      <c r="D2177" s="6" t="s">
        <v>2995</v>
      </c>
      <c r="E2177" s="6" t="s">
        <v>692</v>
      </c>
      <c r="F2177" s="6" t="s">
        <v>7152</v>
      </c>
      <c r="G2177" s="6">
        <v>1900</v>
      </c>
      <c r="H2177" s="6" t="s">
        <v>7153</v>
      </c>
      <c r="I2177" s="6">
        <v>56</v>
      </c>
      <c r="J2177" s="6" t="s">
        <v>23</v>
      </c>
      <c r="K2177" s="6" t="s">
        <v>24</v>
      </c>
      <c r="L2177" s="6">
        <v>5000000</v>
      </c>
      <c r="M2177" s="6">
        <v>2014</v>
      </c>
      <c r="N2177" s="6">
        <v>4.4000000000000004</v>
      </c>
      <c r="O2177" s="4">
        <f ca="1">IFERROR(__xludf.DUMMYFUNCTION("IF(Cost_in_dollars!E2177=""USD"",Cost_in_dollars!B2177,Cost_in_dollars!B2177 * GOOGLEFINANCE(""CURRENCY:"" &amp; Cost_in_dollars!E2177 &amp; ""USD""))
"),5000000)</f>
        <v>5000000</v>
      </c>
      <c r="P2177" s="4">
        <f ca="1">IFERROR(__xludf.DUMMYFUNCTION("IF(Cost_in_dollars!E2177=""USD"",Cost_in_dollars!C2177,Cost_in_dollars!C2177 * GOOGLEFINANCE(""CURRENCY:"" &amp; Cost_in_dollars!E2177 &amp; ""USD""))
"),830210)</f>
        <v>830210</v>
      </c>
      <c r="Q2177" s="6">
        <f t="shared" ca="1" si="48"/>
        <v>-4169790</v>
      </c>
      <c r="R2177" s="7" t="str">
        <f t="shared" si="49"/>
        <v>Atlas Shrugged: Who Is John Galt?</v>
      </c>
      <c r="S2177" s="43" t="str">
        <f t="shared" si="51"/>
        <v>Drama</v>
      </c>
    </row>
    <row r="2178" spans="1:19" ht="15.75" customHeight="1" x14ac:dyDescent="0.25">
      <c r="A2178" s="4" t="s">
        <v>2638</v>
      </c>
      <c r="B2178" s="4">
        <v>118</v>
      </c>
      <c r="C2178" s="4">
        <v>50693162</v>
      </c>
      <c r="D2178" s="4" t="s">
        <v>7154</v>
      </c>
      <c r="E2178" s="4" t="s">
        <v>3851</v>
      </c>
      <c r="F2178" s="4" t="s">
        <v>7155</v>
      </c>
      <c r="G2178" s="4">
        <v>136580</v>
      </c>
      <c r="H2178" s="4" t="s">
        <v>7156</v>
      </c>
      <c r="I2178" s="4">
        <v>545</v>
      </c>
      <c r="J2178" s="4" t="s">
        <v>23</v>
      </c>
      <c r="K2178" s="4" t="s">
        <v>24</v>
      </c>
      <c r="L2178" s="4">
        <v>23000000</v>
      </c>
      <c r="M2178" s="4">
        <v>1994</v>
      </c>
      <c r="N2178" s="4">
        <v>7.6</v>
      </c>
      <c r="O2178" s="4">
        <f ca="1">IFERROR(__xludf.DUMMYFUNCTION("IF(Cost_in_dollars!E2178=""USD"",Cost_in_dollars!B2178,Cost_in_dollars!B2178 * GOOGLEFINANCE(""CURRENCY:"" &amp; Cost_in_dollars!E2178 &amp; ""USD""))
"),23000000)</f>
        <v>23000000</v>
      </c>
      <c r="P2178" s="4">
        <f ca="1">IFERROR(__xludf.DUMMYFUNCTION("IF(Cost_in_dollars!E2178=""USD"",Cost_in_dollars!C2178,Cost_in_dollars!C2178 * GOOGLEFINANCE(""CURRENCY:"" &amp; Cost_in_dollars!E2178 &amp; ""USD""))
"),50693162)</f>
        <v>50693162</v>
      </c>
      <c r="Q2178" s="4">
        <f t="shared" ca="1" si="48"/>
        <v>27693162</v>
      </c>
      <c r="R2178" s="5" t="str">
        <f t="shared" si="49"/>
        <v>The Crow</v>
      </c>
      <c r="S2178" s="43" t="str">
        <f t="shared" ref="S2178:S2241" si="52">IF(ISNUMBER(FIND("|", D2178)), LEFT(D2178, FIND("|", D2178) - 1), D2178)</f>
        <v>Action</v>
      </c>
    </row>
    <row r="2179" spans="1:19" ht="15.75" customHeight="1" x14ac:dyDescent="0.25">
      <c r="A2179" s="6" t="s">
        <v>7157</v>
      </c>
      <c r="B2179" s="6">
        <v>5</v>
      </c>
      <c r="C2179" s="6">
        <v>1250798</v>
      </c>
      <c r="D2179" s="6" t="s">
        <v>162</v>
      </c>
      <c r="E2179" s="6" t="s">
        <v>7158</v>
      </c>
      <c r="F2179" s="6" t="s">
        <v>7159</v>
      </c>
      <c r="G2179" s="6">
        <v>1099</v>
      </c>
      <c r="H2179" s="6" t="s">
        <v>7160</v>
      </c>
      <c r="I2179" s="6">
        <v>53</v>
      </c>
      <c r="J2179" s="6" t="s">
        <v>23</v>
      </c>
      <c r="K2179" s="6" t="s">
        <v>24</v>
      </c>
      <c r="L2179" s="6">
        <v>500000</v>
      </c>
      <c r="M2179" s="6">
        <v>2002</v>
      </c>
      <c r="N2179" s="6">
        <v>6.4</v>
      </c>
      <c r="O2179" s="4">
        <f ca="1">IFERROR(__xludf.DUMMYFUNCTION("IF(Cost_in_dollars!E2179=""USD"",Cost_in_dollars!B2179,Cost_in_dollars!B2179 * GOOGLEFINANCE(""CURRENCY:"" &amp; Cost_in_dollars!E2179 &amp; ""USD""))
"),500000)</f>
        <v>500000</v>
      </c>
      <c r="P2179" s="4">
        <f ca="1">IFERROR(__xludf.DUMMYFUNCTION("IF(Cost_in_dollars!E2179=""USD"",Cost_in_dollars!C2179,Cost_in_dollars!C2179 * GOOGLEFINANCE(""CURRENCY:"" &amp; Cost_in_dollars!E2179 &amp; ""USD""))
"),1250798)</f>
        <v>1250798</v>
      </c>
      <c r="Q2179" s="6">
        <f t="shared" ca="1" si="48"/>
        <v>750798</v>
      </c>
      <c r="R2179" s="7" t="str">
        <f t="shared" si="49"/>
        <v>The Singles Ward</v>
      </c>
      <c r="S2179" s="43" t="str">
        <f t="shared" si="52"/>
        <v>Comedy</v>
      </c>
    </row>
    <row r="2180" spans="1:19" ht="15.75" customHeight="1" x14ac:dyDescent="0.25">
      <c r="A2180" s="4" t="s">
        <v>1781</v>
      </c>
      <c r="B2180" s="4">
        <v>62</v>
      </c>
      <c r="C2180" s="4">
        <v>123922370</v>
      </c>
      <c r="D2180" s="4" t="s">
        <v>7161</v>
      </c>
      <c r="E2180" s="4" t="s">
        <v>676</v>
      </c>
      <c r="F2180" s="4" t="s">
        <v>7162</v>
      </c>
      <c r="G2180" s="4">
        <v>98348</v>
      </c>
      <c r="H2180" s="4" t="s">
        <v>7163</v>
      </c>
      <c r="I2180" s="4">
        <v>131</v>
      </c>
      <c r="J2180" s="4" t="s">
        <v>23</v>
      </c>
      <c r="K2180" s="4" t="s">
        <v>24</v>
      </c>
      <c r="L2180" s="4">
        <v>13000000</v>
      </c>
      <c r="M2180" s="4">
        <v>1987</v>
      </c>
      <c r="N2180" s="4">
        <v>7.3</v>
      </c>
      <c r="O2180" s="4">
        <f ca="1">IFERROR(__xludf.DUMMYFUNCTION("IF(Cost_in_dollars!E2180=""USD"",Cost_in_dollars!B2180,Cost_in_dollars!B2180 * GOOGLEFINANCE(""CURRENCY:"" &amp; Cost_in_dollars!E2180 &amp; ""USD""))
"),13000000)</f>
        <v>13000000</v>
      </c>
      <c r="P2180" s="4">
        <f ca="1">IFERROR(__xludf.DUMMYFUNCTION("IF(Cost_in_dollars!E2180=""USD"",Cost_in_dollars!C2180,Cost_in_dollars!C2180 * GOOGLEFINANCE(""CURRENCY:"" &amp; Cost_in_dollars!E2180 &amp; ""USD""))
"),123922370)</f>
        <v>123922370</v>
      </c>
      <c r="Q2180" s="4">
        <f t="shared" ca="1" si="48"/>
        <v>110922370</v>
      </c>
      <c r="R2180" s="5" t="str">
        <f t="shared" si="49"/>
        <v>Good Morning, Vietnam</v>
      </c>
      <c r="S2180" s="43" t="str">
        <f t="shared" si="52"/>
        <v>Biography</v>
      </c>
    </row>
    <row r="2181" spans="1:19" ht="15.75" customHeight="1" x14ac:dyDescent="0.25">
      <c r="A2181" s="6" t="s">
        <v>4807</v>
      </c>
      <c r="B2181" s="6">
        <v>223</v>
      </c>
      <c r="C2181" s="6">
        <v>4235837</v>
      </c>
      <c r="D2181" s="6" t="s">
        <v>904</v>
      </c>
      <c r="E2181" s="6" t="s">
        <v>330</v>
      </c>
      <c r="F2181" s="6" t="s">
        <v>7164</v>
      </c>
      <c r="G2181" s="6">
        <v>175962</v>
      </c>
      <c r="H2181" s="6" t="s">
        <v>7165</v>
      </c>
      <c r="I2181" s="6">
        <v>336</v>
      </c>
      <c r="J2181" s="6" t="s">
        <v>23</v>
      </c>
      <c r="K2181" s="6" t="s">
        <v>24</v>
      </c>
      <c r="L2181" s="6">
        <v>15000000</v>
      </c>
      <c r="M2181" s="6">
        <v>2005</v>
      </c>
      <c r="N2181" s="6">
        <v>7.6</v>
      </c>
      <c r="O2181" s="4">
        <f ca="1">IFERROR(__xludf.DUMMYFUNCTION("IF(Cost_in_dollars!E2181=""USD"",Cost_in_dollars!B2181,Cost_in_dollars!B2181 * GOOGLEFINANCE(""CURRENCY:"" &amp; Cost_in_dollars!E2181 &amp; ""USD""))
"),15000000)</f>
        <v>15000000</v>
      </c>
      <c r="P2181" s="4">
        <f ca="1">IFERROR(__xludf.DUMMYFUNCTION("IF(Cost_in_dollars!E2181=""USD"",Cost_in_dollars!C2181,Cost_in_dollars!C2181 * GOOGLEFINANCE(""CURRENCY:"" &amp; Cost_in_dollars!E2181 &amp; ""USD""))
"),4235837)</f>
        <v>4235837</v>
      </c>
      <c r="Q2181" s="6">
        <f t="shared" ca="1" si="48"/>
        <v>-10764163</v>
      </c>
      <c r="R2181" s="7" t="str">
        <f t="shared" si="49"/>
        <v>Kiss Kiss Bang Bang</v>
      </c>
      <c r="S2181" s="43" t="str">
        <f t="shared" si="52"/>
        <v>Comedy</v>
      </c>
    </row>
    <row r="2182" spans="1:19" ht="15.75" customHeight="1" x14ac:dyDescent="0.25">
      <c r="A2182" s="4" t="s">
        <v>7166</v>
      </c>
      <c r="B2182" s="4">
        <v>32</v>
      </c>
      <c r="C2182" s="4">
        <v>194568</v>
      </c>
      <c r="D2182" s="4" t="s">
        <v>88</v>
      </c>
      <c r="E2182" s="4" t="s">
        <v>7167</v>
      </c>
      <c r="F2182" s="4" t="s">
        <v>7168</v>
      </c>
      <c r="G2182" s="4">
        <v>2963</v>
      </c>
      <c r="H2182" s="4" t="s">
        <v>7169</v>
      </c>
      <c r="I2182" s="4">
        <v>28</v>
      </c>
      <c r="J2182" s="4" t="s">
        <v>23</v>
      </c>
      <c r="K2182" s="4" t="s">
        <v>24</v>
      </c>
      <c r="L2182" s="4">
        <v>1500000</v>
      </c>
      <c r="M2182" s="4">
        <v>2006</v>
      </c>
      <c r="N2182" s="4">
        <v>6.2</v>
      </c>
      <c r="O2182" s="4">
        <f ca="1">IFERROR(__xludf.DUMMYFUNCTION("IF(Cost_in_dollars!E2182=""USD"",Cost_in_dollars!B2182,Cost_in_dollars!B2182 * GOOGLEFINANCE(""CURRENCY:"" &amp; Cost_in_dollars!E2182 &amp; ""USD""))
"),1500000)</f>
        <v>1500000</v>
      </c>
      <c r="P2182" s="4">
        <f ca="1">IFERROR(__xludf.DUMMYFUNCTION("IF(Cost_in_dollars!E2182=""USD"",Cost_in_dollars!C2182,Cost_in_dollars!C2182 * GOOGLEFINANCE(""CURRENCY:"" &amp; Cost_in_dollars!E2182 &amp; ""USD""))
"),194568)</f>
        <v>194568</v>
      </c>
      <c r="Q2182" s="4">
        <f t="shared" ca="1" si="48"/>
        <v>-1305432</v>
      </c>
      <c r="R2182" s="5" t="str">
        <f t="shared" si="49"/>
        <v>I Want Someone to Eat Cheese With</v>
      </c>
      <c r="S2182" s="43" t="str">
        <f t="shared" si="52"/>
        <v>Comedy</v>
      </c>
    </row>
    <row r="2183" spans="1:19" ht="15.75" customHeight="1" x14ac:dyDescent="0.25">
      <c r="A2183" s="6" t="s">
        <v>962</v>
      </c>
      <c r="B2183" s="6">
        <v>114</v>
      </c>
      <c r="C2183" s="6">
        <v>43848100</v>
      </c>
      <c r="D2183" s="6" t="s">
        <v>53</v>
      </c>
      <c r="E2183" s="6" t="s">
        <v>7170</v>
      </c>
      <c r="F2183" s="6" t="s">
        <v>7171</v>
      </c>
      <c r="G2183" s="6">
        <v>119150</v>
      </c>
      <c r="H2183" s="6" t="s">
        <v>7172</v>
      </c>
      <c r="I2183" s="6">
        <v>219</v>
      </c>
      <c r="J2183" s="6" t="s">
        <v>23</v>
      </c>
      <c r="K2183" s="6" t="s">
        <v>24</v>
      </c>
      <c r="L2183" s="6">
        <v>15000000</v>
      </c>
      <c r="M2183" s="6">
        <v>1987</v>
      </c>
      <c r="N2183" s="6">
        <v>7.4</v>
      </c>
      <c r="O2183" s="4">
        <f ca="1">IFERROR(__xludf.DUMMYFUNCTION("IF(Cost_in_dollars!E2183=""USD"",Cost_in_dollars!B2183,Cost_in_dollars!B2183 * GOOGLEFINANCE(""CURRENCY:"" &amp; Cost_in_dollars!E2183 &amp; ""USD""))
"),15000000)</f>
        <v>15000000</v>
      </c>
      <c r="P2183" s="4">
        <f ca="1">IFERROR(__xludf.DUMMYFUNCTION("IF(Cost_in_dollars!E2183=""USD"",Cost_in_dollars!C2183,Cost_in_dollars!C2183 * GOOGLEFINANCE(""CURRENCY:"" &amp; Cost_in_dollars!E2183 &amp; ""USD""))
"),43848100)</f>
        <v>43848100</v>
      </c>
      <c r="Q2183" s="6">
        <f t="shared" ca="1" si="48"/>
        <v>28848100</v>
      </c>
      <c r="R2183" s="7" t="str">
        <f t="shared" si="49"/>
        <v>Wall Street</v>
      </c>
      <c r="S2183" s="43" t="str">
        <f t="shared" si="52"/>
        <v>Crime</v>
      </c>
    </row>
    <row r="2184" spans="1:19" ht="15.75" customHeight="1" x14ac:dyDescent="0.25">
      <c r="A2184" s="4" t="s">
        <v>7173</v>
      </c>
      <c r="B2184" s="4">
        <v>21</v>
      </c>
      <c r="C2184" s="4">
        <v>5228617</v>
      </c>
      <c r="D2184" s="4" t="s">
        <v>140</v>
      </c>
      <c r="E2184" s="4" t="s">
        <v>7173</v>
      </c>
      <c r="F2184" s="4" t="s">
        <v>7174</v>
      </c>
      <c r="G2184" s="4">
        <v>2770</v>
      </c>
      <c r="H2184" s="4" t="s">
        <v>7175</v>
      </c>
      <c r="I2184" s="4">
        <v>32</v>
      </c>
      <c r="J2184" s="4" t="s">
        <v>23</v>
      </c>
      <c r="K2184" s="4" t="s">
        <v>24</v>
      </c>
      <c r="L2184" s="4">
        <v>100000</v>
      </c>
      <c r="M2184" s="4">
        <v>1987</v>
      </c>
      <c r="N2184" s="4">
        <v>7</v>
      </c>
      <c r="O2184" s="4">
        <f ca="1">IFERROR(__xludf.DUMMYFUNCTION("IF(Cost_in_dollars!E2184=""USD"",Cost_in_dollars!B2184,Cost_in_dollars!B2184 * GOOGLEFINANCE(""CURRENCY:"" &amp; Cost_in_dollars!E2184 &amp; ""USD""))
"),100000)</f>
        <v>100000</v>
      </c>
      <c r="P2184" s="4">
        <f ca="1">IFERROR(__xludf.DUMMYFUNCTION("IF(Cost_in_dollars!E2184=""USD"",Cost_in_dollars!C2184,Cost_in_dollars!C2184 * GOOGLEFINANCE(""CURRENCY:"" &amp; Cost_in_dollars!E2184 &amp; ""USD""))
"),5228617)</f>
        <v>5228617</v>
      </c>
      <c r="Q2184" s="4">
        <f t="shared" ca="1" si="48"/>
        <v>5128617</v>
      </c>
      <c r="R2184" s="5" t="str">
        <f t="shared" si="49"/>
        <v>Hollywood Shuffle</v>
      </c>
      <c r="S2184" s="43" t="str">
        <f t="shared" si="52"/>
        <v>Comedy</v>
      </c>
    </row>
    <row r="2185" spans="1:19" ht="15.75" customHeight="1" x14ac:dyDescent="0.25">
      <c r="A2185" s="6" t="s">
        <v>1066</v>
      </c>
      <c r="B2185" s="6">
        <v>106</v>
      </c>
      <c r="C2185" s="6">
        <v>64267897</v>
      </c>
      <c r="D2185" s="6" t="s">
        <v>3803</v>
      </c>
      <c r="E2185" s="6" t="s">
        <v>7176</v>
      </c>
      <c r="F2185" s="6" t="s">
        <v>7177</v>
      </c>
      <c r="G2185" s="6">
        <v>67992</v>
      </c>
      <c r="H2185" s="6" t="s">
        <v>7178</v>
      </c>
      <c r="I2185" s="6">
        <v>327</v>
      </c>
      <c r="J2185" s="6" t="s">
        <v>23</v>
      </c>
      <c r="K2185" s="6" t="s">
        <v>24</v>
      </c>
      <c r="L2185" s="6">
        <v>5000000</v>
      </c>
      <c r="M2185" s="6">
        <v>2002</v>
      </c>
      <c r="N2185" s="6">
        <v>6.6</v>
      </c>
      <c r="O2185" s="4">
        <f ca="1">IFERROR(__xludf.DUMMYFUNCTION("IF(Cost_in_dollars!E2185=""USD"",Cost_in_dollars!B2185,Cost_in_dollars!B2185 * GOOGLEFINANCE(""CURRENCY:"" &amp; Cost_in_dollars!E2185 &amp; ""USD""))
"),5000000)</f>
        <v>5000000</v>
      </c>
      <c r="P2185" s="4">
        <f ca="1">IFERROR(__xludf.DUMMYFUNCTION("IF(Cost_in_dollars!E2185=""USD"",Cost_in_dollars!C2185,Cost_in_dollars!C2185 * GOOGLEFINANCE(""CURRENCY:"" &amp; Cost_in_dollars!E2185 &amp; ""USD""))
"),64267897)</f>
        <v>64267897</v>
      </c>
      <c r="Q2185" s="6">
        <f t="shared" ca="1" si="48"/>
        <v>59267897</v>
      </c>
      <c r="R2185" s="7" t="str">
        <f t="shared" si="49"/>
        <v>Jackass: The Movie</v>
      </c>
      <c r="S2185" s="43" t="str">
        <f t="shared" si="52"/>
        <v>Comedy</v>
      </c>
    </row>
    <row r="2186" spans="1:19" ht="15.75" customHeight="1" x14ac:dyDescent="0.25">
      <c r="A2186" s="4" t="s">
        <v>1755</v>
      </c>
      <c r="B2186" s="4">
        <v>64</v>
      </c>
      <c r="C2186" s="4">
        <v>14792779</v>
      </c>
      <c r="D2186" s="4" t="s">
        <v>140</v>
      </c>
      <c r="E2186" s="4" t="s">
        <v>3342</v>
      </c>
      <c r="F2186" s="4" t="s">
        <v>7179</v>
      </c>
      <c r="G2186" s="4">
        <v>24256</v>
      </c>
      <c r="H2186" s="4" t="s">
        <v>7180</v>
      </c>
      <c r="I2186" s="4">
        <v>91</v>
      </c>
      <c r="J2186" s="4" t="s">
        <v>23</v>
      </c>
      <c r="K2186" s="4" t="s">
        <v>24</v>
      </c>
      <c r="L2186" s="4">
        <v>16000000</v>
      </c>
      <c r="M2186" s="4">
        <v>1987</v>
      </c>
      <c r="N2186" s="4">
        <v>7.6</v>
      </c>
      <c r="O2186" s="4">
        <f ca="1">IFERROR(__xludf.DUMMYFUNCTION("IF(Cost_in_dollars!E2186=""USD"",Cost_in_dollars!B2186,Cost_in_dollars!B2186 * GOOGLEFINANCE(""CURRENCY:"" &amp; Cost_in_dollars!E2186 &amp; ""USD""))
"),16000000)</f>
        <v>16000000</v>
      </c>
      <c r="P2186" s="4">
        <f ca="1">IFERROR(__xludf.DUMMYFUNCTION("IF(Cost_in_dollars!E2186=""USD"",Cost_in_dollars!C2186,Cost_in_dollars!C2186 * GOOGLEFINANCE(""CURRENCY:"" &amp; Cost_in_dollars!E2186 &amp; ""USD""))
"),14792779)</f>
        <v>14792779</v>
      </c>
      <c r="Q2186" s="4">
        <f t="shared" ca="1" si="48"/>
        <v>-1207221</v>
      </c>
      <c r="R2186" s="5" t="str">
        <f t="shared" si="49"/>
        <v>Radio Days</v>
      </c>
      <c r="S2186" s="43" t="str">
        <f t="shared" si="52"/>
        <v>Comedy</v>
      </c>
    </row>
    <row r="2187" spans="1:19" ht="15.75" customHeight="1" x14ac:dyDescent="0.25">
      <c r="A2187" s="6" t="s">
        <v>7181</v>
      </c>
      <c r="B2187" s="6">
        <v>139</v>
      </c>
      <c r="C2187" s="6">
        <v>5348317</v>
      </c>
      <c r="D2187" s="6" t="s">
        <v>465</v>
      </c>
      <c r="E2187" s="6" t="s">
        <v>320</v>
      </c>
      <c r="F2187" s="6" t="s">
        <v>7182</v>
      </c>
      <c r="G2187" s="6">
        <v>20810</v>
      </c>
      <c r="H2187" s="6" t="s">
        <v>7183</v>
      </c>
      <c r="I2187" s="6">
        <v>100</v>
      </c>
      <c r="J2187" s="6" t="s">
        <v>23</v>
      </c>
      <c r="K2187" s="6" t="s">
        <v>24</v>
      </c>
      <c r="L2187" s="6">
        <v>10000000</v>
      </c>
      <c r="M2187" s="6">
        <v>2015</v>
      </c>
      <c r="N2187" s="6">
        <v>7.1</v>
      </c>
      <c r="O2187" s="4">
        <f ca="1">IFERROR(__xludf.DUMMYFUNCTION("IF(Cost_in_dollars!E2187=""USD"",Cost_in_dollars!B2187,Cost_in_dollars!B2187 * GOOGLEFINANCE(""CURRENCY:"" &amp; Cost_in_dollars!E2187 &amp; ""USD""))
"),10000000)</f>
        <v>10000000</v>
      </c>
      <c r="P2187" s="4">
        <f ca="1">IFERROR(__xludf.DUMMYFUNCTION("IF(Cost_in_dollars!E2187=""USD"",Cost_in_dollars!C2187,Cost_in_dollars!C2187 * GOOGLEFINANCE(""CURRENCY:"" &amp; Cost_in_dollars!E2187 &amp; ""USD""))
"),5348317)</f>
        <v>5348317</v>
      </c>
      <c r="Q2187" s="6">
        <f t="shared" ca="1" si="48"/>
        <v>-4651683</v>
      </c>
      <c r="R2187" s="7" t="str">
        <f t="shared" si="49"/>
        <v>Danny Collins</v>
      </c>
      <c r="S2187" s="43" t="str">
        <f t="shared" si="52"/>
        <v>Comedy</v>
      </c>
    </row>
    <row r="2188" spans="1:19" ht="15.75" customHeight="1" x14ac:dyDescent="0.25">
      <c r="A2188" s="4" t="s">
        <v>7184</v>
      </c>
      <c r="B2188" s="4">
        <v>80</v>
      </c>
      <c r="C2188" s="4">
        <v>139225854</v>
      </c>
      <c r="D2188" s="4" t="s">
        <v>517</v>
      </c>
      <c r="E2188" s="4" t="s">
        <v>2074</v>
      </c>
      <c r="F2188" s="4" t="s">
        <v>7185</v>
      </c>
      <c r="G2188" s="4">
        <v>34561</v>
      </c>
      <c r="H2188" s="4" t="s">
        <v>7186</v>
      </c>
      <c r="I2188" s="4">
        <v>116</v>
      </c>
      <c r="J2188" s="4" t="s">
        <v>23</v>
      </c>
      <c r="K2188" s="4" t="s">
        <v>24</v>
      </c>
      <c r="L2188" s="4">
        <v>60000000</v>
      </c>
      <c r="M2188" s="4">
        <v>2002</v>
      </c>
      <c r="N2188" s="4">
        <v>5.5</v>
      </c>
      <c r="O2188" s="4">
        <f ca="1">IFERROR(__xludf.DUMMYFUNCTION("IF(Cost_in_dollars!E2188=""USD"",Cost_in_dollars!B2188,Cost_in_dollars!B2188 * GOOGLEFINANCE(""CURRENCY:"" &amp; Cost_in_dollars!E2188 &amp; ""USD""))
"),60000000)</f>
        <v>60000000</v>
      </c>
      <c r="P2188" s="4">
        <f ca="1">IFERROR(__xludf.DUMMYFUNCTION("IF(Cost_in_dollars!E2188=""USD"",Cost_in_dollars!C2188,Cost_in_dollars!C2188 * GOOGLEFINANCE(""CURRENCY:"" &amp; Cost_in_dollars!E2188 &amp; ""USD""))
"),139225854)</f>
        <v>139225854</v>
      </c>
      <c r="Q2188" s="4">
        <f t="shared" ca="1" si="48"/>
        <v>79225854</v>
      </c>
      <c r="R2188" s="5" t="str">
        <f t="shared" si="49"/>
        <v>The Santa Clause 2</v>
      </c>
      <c r="S2188" s="43" t="str">
        <f t="shared" si="52"/>
        <v>Comedy</v>
      </c>
    </row>
    <row r="2189" spans="1:19" ht="15.75" customHeight="1" x14ac:dyDescent="0.25">
      <c r="A2189" s="6" t="s">
        <v>7187</v>
      </c>
      <c r="B2189" s="6">
        <v>131</v>
      </c>
      <c r="C2189" s="6">
        <v>2060953</v>
      </c>
      <c r="D2189" s="6" t="s">
        <v>958</v>
      </c>
      <c r="E2189" s="6" t="s">
        <v>7188</v>
      </c>
      <c r="F2189" s="6" t="s">
        <v>7189</v>
      </c>
      <c r="G2189" s="6">
        <v>29990</v>
      </c>
      <c r="H2189" s="6" t="s">
        <v>7190</v>
      </c>
      <c r="I2189" s="6">
        <v>316</v>
      </c>
      <c r="J2189" s="6" t="s">
        <v>23</v>
      </c>
      <c r="K2189" s="6" t="s">
        <v>7191</v>
      </c>
      <c r="L2189" s="6">
        <v>12000000</v>
      </c>
      <c r="M2189" s="6">
        <v>1999</v>
      </c>
      <c r="N2189" s="6">
        <v>7.1</v>
      </c>
      <c r="O2189" s="4">
        <f ca="1">IFERROR(__xludf.DUMMYFUNCTION("IF(Cost_in_dollars!E2189=""USD"",Cost_in_dollars!B2189,Cost_in_dollars!B2189 * GOOGLEFINANCE(""CURRENCY:"" &amp; Cost_in_dollars!E2189 &amp; ""USD""))
"),512983.32)</f>
        <v>512983.32</v>
      </c>
      <c r="P2189" s="4">
        <f ca="1">IFERROR(__xludf.DUMMYFUNCTION("IF(Cost_in_dollars!E2189=""USD"",Cost_in_dollars!C2189,Cost_in_dollars!C2189 * GOOGLEFINANCE(""CURRENCY:"" &amp; Cost_in_dollars!E2189 &amp; ""USD""))
"),88102.87602533)</f>
        <v>88102.876025329999</v>
      </c>
      <c r="Q2189" s="6">
        <f t="shared" ca="1" si="48"/>
        <v>-424880.44397467002</v>
      </c>
      <c r="R2189" s="7" t="str">
        <f t="shared" si="49"/>
        <v>Ravenous</v>
      </c>
      <c r="S2189" s="43" t="str">
        <f t="shared" si="52"/>
        <v>Fantasy</v>
      </c>
    </row>
    <row r="2190" spans="1:19" ht="15.75" customHeight="1" x14ac:dyDescent="0.25">
      <c r="A2190" s="4" t="s">
        <v>5736</v>
      </c>
      <c r="B2190" s="4">
        <v>77</v>
      </c>
      <c r="C2190" s="4">
        <v>217631306</v>
      </c>
      <c r="D2190" s="4" t="s">
        <v>7192</v>
      </c>
      <c r="E2190" s="4" t="s">
        <v>1575</v>
      </c>
      <c r="F2190" s="4" t="s">
        <v>7193</v>
      </c>
      <c r="G2190" s="4">
        <v>154199</v>
      </c>
      <c r="H2190" s="4" t="s">
        <v>7194</v>
      </c>
      <c r="I2190" s="4">
        <v>252</v>
      </c>
      <c r="J2190" s="4" t="s">
        <v>23</v>
      </c>
      <c r="K2190" s="4" t="s">
        <v>24</v>
      </c>
      <c r="L2190" s="4">
        <v>22000000</v>
      </c>
      <c r="M2190" s="4">
        <v>1990</v>
      </c>
      <c r="N2190" s="4">
        <v>7</v>
      </c>
      <c r="O2190" s="4">
        <f ca="1">IFERROR(__xludf.DUMMYFUNCTION("IF(Cost_in_dollars!E2190=""USD"",Cost_in_dollars!B2190,Cost_in_dollars!B2190 * GOOGLEFINANCE(""CURRENCY:"" &amp; Cost_in_dollars!E2190 &amp; ""USD""))
"),22000000)</f>
        <v>22000000</v>
      </c>
      <c r="P2190" s="4">
        <f ca="1">IFERROR(__xludf.DUMMYFUNCTION("IF(Cost_in_dollars!E2190=""USD"",Cost_in_dollars!C2190,Cost_in_dollars!C2190 * GOOGLEFINANCE(""CURRENCY:"" &amp; Cost_in_dollars!E2190 &amp; ""USD""))
"),217631306)</f>
        <v>217631306</v>
      </c>
      <c r="Q2190" s="4">
        <f t="shared" ca="1" si="48"/>
        <v>195631306</v>
      </c>
      <c r="R2190" s="5" t="str">
        <f t="shared" si="49"/>
        <v>Ghost</v>
      </c>
      <c r="S2190" s="43" t="str">
        <f t="shared" si="52"/>
        <v>Drama</v>
      </c>
    </row>
    <row r="2191" spans="1:19" ht="15.75" customHeight="1" x14ac:dyDescent="0.25">
      <c r="A2191" s="6" t="s">
        <v>907</v>
      </c>
      <c r="B2191" s="6">
        <v>265</v>
      </c>
      <c r="C2191" s="6">
        <v>16005978</v>
      </c>
      <c r="D2191" s="6" t="s">
        <v>578</v>
      </c>
      <c r="E2191" s="6" t="s">
        <v>7195</v>
      </c>
      <c r="F2191" s="6" t="s">
        <v>7196</v>
      </c>
      <c r="G2191" s="6">
        <v>72886</v>
      </c>
      <c r="H2191" s="6" t="s">
        <v>7197</v>
      </c>
      <c r="I2191" s="6">
        <v>190</v>
      </c>
      <c r="J2191" s="6" t="s">
        <v>23</v>
      </c>
      <c r="K2191" s="6" t="s">
        <v>24</v>
      </c>
      <c r="L2191" s="6">
        <v>26000000</v>
      </c>
      <c r="M2191" s="6">
        <v>2012</v>
      </c>
      <c r="N2191" s="6">
        <v>6.4</v>
      </c>
      <c r="O2191" s="4">
        <f ca="1">IFERROR(__xludf.DUMMYFUNCTION("IF(Cost_in_dollars!E2191=""USD"",Cost_in_dollars!B2191,Cost_in_dollars!B2191 * GOOGLEFINANCE(""CURRENCY:"" &amp; Cost_in_dollars!E2191 &amp; ""USD""))
"),26000000)</f>
        <v>26000000</v>
      </c>
      <c r="P2191" s="4">
        <f ca="1">IFERROR(__xludf.DUMMYFUNCTION("IF(Cost_in_dollars!E2191=""USD"",Cost_in_dollars!C2191,Cost_in_dollars!C2191 * GOOGLEFINANCE(""CURRENCY:"" &amp; Cost_in_dollars!E2191 &amp; ""USD""))
"),16005978)</f>
        <v>16005978</v>
      </c>
      <c r="Q2191" s="6">
        <f t="shared" ca="1" si="48"/>
        <v>-9994022</v>
      </c>
      <c r="R2191" s="7" t="str">
        <f t="shared" si="49"/>
        <v>The Raven</v>
      </c>
      <c r="S2191" s="43" t="str">
        <f t="shared" si="52"/>
        <v>Crime</v>
      </c>
    </row>
    <row r="2192" spans="1:19" ht="15.75" customHeight="1" x14ac:dyDescent="0.25">
      <c r="A2192" s="4" t="s">
        <v>472</v>
      </c>
      <c r="B2192" s="4">
        <v>259</v>
      </c>
      <c r="C2192" s="4">
        <v>24006726</v>
      </c>
      <c r="D2192" s="4" t="s">
        <v>5215</v>
      </c>
      <c r="E2192" s="4" t="s">
        <v>473</v>
      </c>
      <c r="F2192" s="4" t="s">
        <v>7198</v>
      </c>
      <c r="G2192" s="4">
        <v>139535</v>
      </c>
      <c r="H2192" s="4" t="s">
        <v>7199</v>
      </c>
      <c r="I2192" s="4">
        <v>632</v>
      </c>
      <c r="J2192" s="4" t="s">
        <v>23</v>
      </c>
      <c r="K2192" s="4" t="s">
        <v>24</v>
      </c>
      <c r="L2192" s="4">
        <v>50000000</v>
      </c>
      <c r="M2192" s="4">
        <v>2004</v>
      </c>
      <c r="N2192" s="4">
        <v>7.3</v>
      </c>
      <c r="O2192" s="4">
        <f ca="1">IFERROR(__xludf.DUMMYFUNCTION("IF(Cost_in_dollars!E2192=""USD"",Cost_in_dollars!B2192,Cost_in_dollars!B2192 * GOOGLEFINANCE(""CURRENCY:"" &amp; Cost_in_dollars!E2192 &amp; ""USD""))
"),50000000)</f>
        <v>50000000</v>
      </c>
      <c r="P2192" s="4">
        <f ca="1">IFERROR(__xludf.DUMMYFUNCTION("IF(Cost_in_dollars!E2192=""USD"",Cost_in_dollars!C2192,Cost_in_dollars!C2192 * GOOGLEFINANCE(""CURRENCY:"" &amp; Cost_in_dollars!E2192 &amp; ""USD""))
"),24006726)</f>
        <v>24006726</v>
      </c>
      <c r="Q2192" s="4">
        <f t="shared" ca="1" si="48"/>
        <v>-25993274</v>
      </c>
      <c r="R2192" s="5" t="str">
        <f t="shared" si="49"/>
        <v>The Life Aquatic with Steve Zissou</v>
      </c>
      <c r="S2192" s="43" t="str">
        <f t="shared" si="52"/>
        <v>Adventure</v>
      </c>
    </row>
    <row r="2193" spans="1:19" ht="15.75" customHeight="1" x14ac:dyDescent="0.25">
      <c r="A2193" s="6" t="s">
        <v>4441</v>
      </c>
      <c r="B2193" s="6">
        <v>25</v>
      </c>
      <c r="C2193" s="6">
        <v>48856</v>
      </c>
      <c r="D2193" s="6" t="s">
        <v>102</v>
      </c>
      <c r="E2193" s="6" t="s">
        <v>7200</v>
      </c>
      <c r="F2193" s="6" t="s">
        <v>7201</v>
      </c>
      <c r="G2193" s="6">
        <v>3466</v>
      </c>
      <c r="H2193" s="6" t="s">
        <v>7202</v>
      </c>
      <c r="I2193" s="6">
        <v>40</v>
      </c>
      <c r="J2193" s="6" t="s">
        <v>1550</v>
      </c>
      <c r="K2193" s="6" t="s">
        <v>1551</v>
      </c>
      <c r="L2193" s="6">
        <v>11900000</v>
      </c>
      <c r="M2193" s="6">
        <v>1993</v>
      </c>
      <c r="N2193" s="6">
        <v>7.5</v>
      </c>
      <c r="O2193" s="4">
        <f ca="1">IFERROR(__xludf.DUMMYFUNCTION("IF(Cost_in_dollars!E2193=""USD"",Cost_in_dollars!B2193,Cost_in_dollars!B2193 * GOOGLEFINANCE(""CURRENCY:"" &amp; Cost_in_dollars!E2193 &amp; ""USD""))
"),77309.54)</f>
        <v>77309.539999999994</v>
      </c>
      <c r="P2193" s="4">
        <f ca="1">IFERROR(__xludf.DUMMYFUNCTION("IF(Cost_in_dollars!E2193=""USD"",Cost_in_dollars!C2193,Cost_in_dollars!C2193 * GOOGLEFINANCE(""CURRENCY:"" &amp; Cost_in_dollars!E2193 &amp; ""USD""))
"),317.3978896)</f>
        <v>317.39788959999998</v>
      </c>
      <c r="Q2193" s="6">
        <f t="shared" ca="1" si="48"/>
        <v>-76992.142110399989</v>
      </c>
      <c r="R2193" s="7" t="str">
        <f t="shared" si="49"/>
        <v>Madadayo</v>
      </c>
      <c r="S2193" s="43" t="str">
        <f t="shared" si="52"/>
        <v>Drama</v>
      </c>
    </row>
    <row r="2194" spans="1:19" ht="15.75" customHeight="1" x14ac:dyDescent="0.25">
      <c r="A2194" s="4" t="s">
        <v>3218</v>
      </c>
      <c r="B2194" s="4">
        <v>343</v>
      </c>
      <c r="C2194" s="4">
        <v>201148159</v>
      </c>
      <c r="D2194" s="4" t="s">
        <v>6551</v>
      </c>
      <c r="E2194" s="4" t="s">
        <v>2727</v>
      </c>
      <c r="F2194" s="4" t="s">
        <v>7203</v>
      </c>
      <c r="G2194" s="4">
        <v>103737</v>
      </c>
      <c r="H2194" s="4" t="s">
        <v>7204</v>
      </c>
      <c r="I2194" s="4">
        <v>322</v>
      </c>
      <c r="J2194" s="4" t="s">
        <v>23</v>
      </c>
      <c r="K2194" s="4" t="s">
        <v>24</v>
      </c>
      <c r="L2194" s="4">
        <v>95000000</v>
      </c>
      <c r="M2194" s="4">
        <v>2015</v>
      </c>
      <c r="N2194" s="4">
        <v>7</v>
      </c>
      <c r="O2194" s="4">
        <f ca="1">IFERROR(__xludf.DUMMYFUNCTION("IF(Cost_in_dollars!E2194=""USD"",Cost_in_dollars!B2194,Cost_in_dollars!B2194 * GOOGLEFINANCE(""CURRENCY:"" &amp; Cost_in_dollars!E2194 &amp; ""USD""))
"),95000000)</f>
        <v>95000000</v>
      </c>
      <c r="P2194" s="4">
        <f ca="1">IFERROR(__xludf.DUMMYFUNCTION("IF(Cost_in_dollars!E2194=""USD"",Cost_in_dollars!C2194,Cost_in_dollars!C2194 * GOOGLEFINANCE(""CURRENCY:"" &amp; Cost_in_dollars!E2194 &amp; ""USD""))
"),201148159)</f>
        <v>201148159</v>
      </c>
      <c r="Q2194" s="4">
        <f t="shared" ca="1" si="48"/>
        <v>106148159</v>
      </c>
      <c r="R2194" s="5" t="str">
        <f t="shared" si="49"/>
        <v>Cinderella</v>
      </c>
      <c r="S2194" s="43" t="str">
        <f t="shared" si="52"/>
        <v>Drama</v>
      </c>
    </row>
    <row r="2195" spans="1:19" ht="15.75" customHeight="1" x14ac:dyDescent="0.25">
      <c r="A2195" s="6" t="s">
        <v>1271</v>
      </c>
      <c r="B2195" s="6">
        <v>216</v>
      </c>
      <c r="C2195" s="6">
        <v>50648679</v>
      </c>
      <c r="D2195" s="6" t="s">
        <v>63</v>
      </c>
      <c r="E2195" s="6" t="s">
        <v>64</v>
      </c>
      <c r="F2195" s="6" t="s">
        <v>7205</v>
      </c>
      <c r="G2195" s="6">
        <v>149549</v>
      </c>
      <c r="H2195" s="6" t="s">
        <v>7206</v>
      </c>
      <c r="I2195" s="6">
        <v>348</v>
      </c>
      <c r="J2195" s="6" t="s">
        <v>23</v>
      </c>
      <c r="K2195" s="6" t="s">
        <v>611</v>
      </c>
      <c r="L2195" s="6">
        <v>45000000</v>
      </c>
      <c r="M2195" s="6">
        <v>2007</v>
      </c>
      <c r="N2195" s="6">
        <v>6.3</v>
      </c>
      <c r="O2195" s="4">
        <f ca="1">IFERROR(__xludf.DUMMYFUNCTION("IF(Cost_in_dollars!E2195=""USD"",Cost_in_dollars!B2195,Cost_in_dollars!B2195 * GOOGLEFINANCE(""CURRENCY:"" &amp; Cost_in_dollars!E2195 &amp; ""USD""))
"),48813300)</f>
        <v>48813300</v>
      </c>
      <c r="P2195" s="4">
        <f ca="1">IFERROR(__xludf.DUMMYFUNCTION("IF(Cost_in_dollars!E2195=""USD"",Cost_in_dollars!C2195,Cost_in_dollars!C2195 * GOOGLEFINANCE(""CURRENCY:"" &amp; Cost_in_dollars!E2195 &amp; ""USD""))
"),54940648.05846)</f>
        <v>54940648.058459997</v>
      </c>
      <c r="Q2195" s="6">
        <f t="shared" ca="1" si="48"/>
        <v>6127348.0584599972</v>
      </c>
      <c r="R2195" s="7" t="str">
        <f t="shared" si="49"/>
        <v>Resident Evil: Extinction</v>
      </c>
      <c r="S2195" s="43" t="str">
        <f t="shared" si="52"/>
        <v>Action</v>
      </c>
    </row>
    <row r="2196" spans="1:19" ht="15.75" customHeight="1" x14ac:dyDescent="0.25">
      <c r="A2196" s="4" t="s">
        <v>7207</v>
      </c>
      <c r="B2196" s="4">
        <v>128</v>
      </c>
      <c r="C2196" s="4">
        <v>33860010</v>
      </c>
      <c r="D2196" s="4" t="s">
        <v>88</v>
      </c>
      <c r="E2196" s="4" t="s">
        <v>1916</v>
      </c>
      <c r="F2196" s="4" t="s">
        <v>7208</v>
      </c>
      <c r="G2196" s="4">
        <v>33088</v>
      </c>
      <c r="H2196" s="4" t="s">
        <v>7209</v>
      </c>
      <c r="I2196" s="4">
        <v>143</v>
      </c>
      <c r="J2196" s="4" t="s">
        <v>23</v>
      </c>
      <c r="K2196" s="4" t="s">
        <v>24</v>
      </c>
      <c r="L2196" s="4">
        <v>15000000</v>
      </c>
      <c r="M2196" s="4">
        <v>2009</v>
      </c>
      <c r="N2196" s="4">
        <v>4.8</v>
      </c>
      <c r="O2196" s="4">
        <f ca="1">IFERROR(__xludf.DUMMYFUNCTION("IF(Cost_in_dollars!E2196=""USD"",Cost_in_dollars!B2196,Cost_in_dollars!B2196 * GOOGLEFINANCE(""CURRENCY:"" &amp; Cost_in_dollars!E2196 &amp; ""USD""))
"),15000000)</f>
        <v>15000000</v>
      </c>
      <c r="P2196" s="4">
        <f ca="1">IFERROR(__xludf.DUMMYFUNCTION("IF(Cost_in_dollars!E2196=""USD"",Cost_in_dollars!C2196,Cost_in_dollars!C2196 * GOOGLEFINANCE(""CURRENCY:"" &amp; Cost_in_dollars!E2196 &amp; ""USD""))
"),33860010)</f>
        <v>33860010</v>
      </c>
      <c r="Q2196" s="4">
        <f t="shared" ca="1" si="48"/>
        <v>18860010</v>
      </c>
      <c r="R2196" s="5" t="str">
        <f t="shared" si="49"/>
        <v>All About Steve</v>
      </c>
      <c r="S2196" s="43" t="str">
        <f t="shared" si="52"/>
        <v>Comedy</v>
      </c>
    </row>
    <row r="2197" spans="1:19" ht="15.75" customHeight="1" x14ac:dyDescent="0.25">
      <c r="A2197" s="6" t="s">
        <v>634</v>
      </c>
      <c r="B2197" s="6">
        <v>10</v>
      </c>
      <c r="C2197" s="6">
        <v>4651977</v>
      </c>
      <c r="D2197" s="6" t="s">
        <v>102</v>
      </c>
      <c r="E2197" s="6" t="s">
        <v>5353</v>
      </c>
      <c r="F2197" s="6" t="s">
        <v>7210</v>
      </c>
      <c r="G2197" s="6">
        <v>10410</v>
      </c>
      <c r="H2197" s="6" t="s">
        <v>7211</v>
      </c>
      <c r="I2197" s="6">
        <v>71</v>
      </c>
      <c r="J2197" s="6" t="s">
        <v>23</v>
      </c>
      <c r="K2197" s="6" t="s">
        <v>24</v>
      </c>
      <c r="L2197" s="6">
        <v>35000000</v>
      </c>
      <c r="M2197" s="6">
        <v>1992</v>
      </c>
      <c r="N2197" s="6">
        <v>6.9</v>
      </c>
      <c r="O2197" s="4">
        <f ca="1">IFERROR(__xludf.DUMMYFUNCTION("IF(Cost_in_dollars!E2197=""USD"",Cost_in_dollars!B2197,Cost_in_dollars!B2197 * GOOGLEFINANCE(""CURRENCY:"" &amp; Cost_in_dollars!E2197 &amp; ""USD""))
"),35000000)</f>
        <v>35000000</v>
      </c>
      <c r="P2197" s="4">
        <f ca="1">IFERROR(__xludf.DUMMYFUNCTION("IF(Cost_in_dollars!E2197=""USD"",Cost_in_dollars!C2197,Cost_in_dollars!C2197 * GOOGLEFINANCE(""CURRENCY:"" &amp; Cost_in_dollars!E2197 &amp; ""USD""))
"),4651977)</f>
        <v>4651977</v>
      </c>
      <c r="Q2197" s="6">
        <f t="shared" ca="1" si="48"/>
        <v>-30348023</v>
      </c>
      <c r="R2197" s="7" t="str">
        <f t="shared" si="49"/>
        <v>Radio Flyer</v>
      </c>
      <c r="S2197" s="43" t="str">
        <f t="shared" si="52"/>
        <v>Drama</v>
      </c>
    </row>
    <row r="2198" spans="1:19" ht="15.75" customHeight="1" x14ac:dyDescent="0.25">
      <c r="A2198" s="4" t="s">
        <v>2203</v>
      </c>
      <c r="B2198" s="4">
        <v>135</v>
      </c>
      <c r="C2198" s="4">
        <v>45162741</v>
      </c>
      <c r="D2198" s="4" t="s">
        <v>140</v>
      </c>
      <c r="E2198" s="4" t="s">
        <v>64</v>
      </c>
      <c r="F2198" s="4" t="s">
        <v>7212</v>
      </c>
      <c r="G2198" s="4">
        <v>201084</v>
      </c>
      <c r="H2198" s="4" t="s">
        <v>7213</v>
      </c>
      <c r="I2198" s="4">
        <v>523</v>
      </c>
      <c r="J2198" s="4" t="s">
        <v>23</v>
      </c>
      <c r="K2198" s="4" t="s">
        <v>176</v>
      </c>
      <c r="L2198" s="4">
        <v>28000000</v>
      </c>
      <c r="M2198" s="4">
        <v>2001</v>
      </c>
      <c r="N2198" s="4">
        <v>6.6</v>
      </c>
      <c r="O2198" s="4">
        <f ca="1">IFERROR(__xludf.DUMMYFUNCTION("IF(Cost_in_dollars!E2198=""USD"",Cost_in_dollars!B2198,Cost_in_dollars!B2198 * GOOGLEFINANCE(""CURRENCY:"" &amp; Cost_in_dollars!E2198 &amp; ""USD""))
"),30372720)</f>
        <v>30372720</v>
      </c>
      <c r="P2198" s="4">
        <f ca="1">IFERROR(__xludf.DUMMYFUNCTION("IF(Cost_in_dollars!E2198=""USD"",Cost_in_dollars!C2198,Cost_in_dollars!C2198 * GOOGLEFINANCE(""CURRENCY:"" &amp; Cost_in_dollars!E2198 &amp; ""USD""))
"),48989831.67234)</f>
        <v>48989831.672339998</v>
      </c>
      <c r="Q2198" s="4">
        <f t="shared" ca="1" si="48"/>
        <v>18617111.672339998</v>
      </c>
      <c r="R2198" s="5" t="str">
        <f t="shared" si="49"/>
        <v>Zoolander</v>
      </c>
      <c r="S2198" s="43" t="str">
        <f t="shared" si="52"/>
        <v>Comedy</v>
      </c>
    </row>
    <row r="2199" spans="1:19" ht="15.75" customHeight="1" x14ac:dyDescent="0.25">
      <c r="A2199" s="6" t="s">
        <v>447</v>
      </c>
      <c r="B2199" s="6">
        <v>190</v>
      </c>
      <c r="C2199" s="6">
        <v>9172810</v>
      </c>
      <c r="D2199" s="6" t="s">
        <v>7214</v>
      </c>
      <c r="E2199" s="6" t="s">
        <v>847</v>
      </c>
      <c r="F2199" s="6" t="s">
        <v>7215</v>
      </c>
      <c r="G2199" s="6">
        <v>24150</v>
      </c>
      <c r="H2199" s="6" t="s">
        <v>7216</v>
      </c>
      <c r="I2199" s="6">
        <v>118</v>
      </c>
      <c r="J2199" s="6" t="s">
        <v>23</v>
      </c>
      <c r="K2199" s="6" t="s">
        <v>24</v>
      </c>
      <c r="L2199" s="6">
        <v>16000000</v>
      </c>
      <c r="M2199" s="6">
        <v>2007</v>
      </c>
      <c r="N2199" s="6">
        <v>6.7</v>
      </c>
      <c r="O2199" s="4">
        <f ca="1">IFERROR(__xludf.DUMMYFUNCTION("IF(Cost_in_dollars!E2199=""USD"",Cost_in_dollars!B2199,Cost_in_dollars!B2199 * GOOGLEFINANCE(""CURRENCY:"" &amp; Cost_in_dollars!E2199 &amp; ""USD""))
"),16000000)</f>
        <v>16000000</v>
      </c>
      <c r="P2199" s="4">
        <f ca="1">IFERROR(__xludf.DUMMYFUNCTION("IF(Cost_in_dollars!E2199=""USD"",Cost_in_dollars!C2199,Cost_in_dollars!C2199 * GOOGLEFINANCE(""CURRENCY:"" &amp; Cost_in_dollars!E2199 &amp; ""USD""))
"),9172810)</f>
        <v>9172810</v>
      </c>
      <c r="Q2199" s="6">
        <f t="shared" ca="1" si="48"/>
        <v>-6827190</v>
      </c>
      <c r="R2199" s="7" t="str">
        <f t="shared" si="49"/>
        <v>A Mighty Heart</v>
      </c>
      <c r="S2199" s="43" t="str">
        <f t="shared" si="52"/>
        <v>Biography</v>
      </c>
    </row>
    <row r="2200" spans="1:19" ht="15.75" customHeight="1" x14ac:dyDescent="0.25">
      <c r="A2200" s="4" t="s">
        <v>7217</v>
      </c>
      <c r="B2200" s="4">
        <v>374</v>
      </c>
      <c r="C2200" s="4">
        <v>74098862</v>
      </c>
      <c r="D2200" s="4" t="s">
        <v>319</v>
      </c>
      <c r="E2200" s="4" t="s">
        <v>3590</v>
      </c>
      <c r="F2200" s="4" t="s">
        <v>7218</v>
      </c>
      <c r="G2200" s="4">
        <v>656640</v>
      </c>
      <c r="H2200" s="4" t="s">
        <v>7219</v>
      </c>
      <c r="I2200" s="4">
        <v>1732</v>
      </c>
      <c r="J2200" s="4" t="s">
        <v>23</v>
      </c>
      <c r="K2200" s="4" t="s">
        <v>24</v>
      </c>
      <c r="L2200" s="4">
        <v>40000000</v>
      </c>
      <c r="M2200" s="4">
        <v>2005</v>
      </c>
      <c r="N2200" s="4">
        <v>8.1</v>
      </c>
      <c r="O2200" s="4">
        <f ca="1">IFERROR(__xludf.DUMMYFUNCTION("IF(Cost_in_dollars!E2200=""USD"",Cost_in_dollars!B2200,Cost_in_dollars!B2200 * GOOGLEFINANCE(""CURRENCY:"" &amp; Cost_in_dollars!E2200 &amp; ""USD""))
"),40000000)</f>
        <v>40000000</v>
      </c>
      <c r="P2200" s="4">
        <f ca="1">IFERROR(__xludf.DUMMYFUNCTION("IF(Cost_in_dollars!E2200=""USD"",Cost_in_dollars!C2200,Cost_in_dollars!C2200 * GOOGLEFINANCE(""CURRENCY:"" &amp; Cost_in_dollars!E2200 &amp; ""USD""))
"),74098862)</f>
        <v>74098862</v>
      </c>
      <c r="Q2200" s="4">
        <f t="shared" ca="1" si="48"/>
        <v>34098862</v>
      </c>
      <c r="R2200" s="5" t="str">
        <f t="shared" si="49"/>
        <v>Sin City</v>
      </c>
      <c r="S2200" s="43" t="str">
        <f t="shared" si="52"/>
        <v>Crime</v>
      </c>
    </row>
    <row r="2201" spans="1:19" ht="15.75" customHeight="1" x14ac:dyDescent="0.25">
      <c r="A2201" s="6" t="s">
        <v>1353</v>
      </c>
      <c r="B2201" s="6">
        <v>125</v>
      </c>
      <c r="C2201" s="6">
        <v>16311763</v>
      </c>
      <c r="D2201" s="6" t="s">
        <v>116</v>
      </c>
      <c r="E2201" s="6" t="s">
        <v>3710</v>
      </c>
      <c r="F2201" s="6" t="s">
        <v>7220</v>
      </c>
      <c r="G2201" s="6">
        <v>50656</v>
      </c>
      <c r="H2201" s="6" t="s">
        <v>7221</v>
      </c>
      <c r="I2201" s="6">
        <v>416</v>
      </c>
      <c r="J2201" s="6" t="s">
        <v>23</v>
      </c>
      <c r="K2201" s="6" t="s">
        <v>133</v>
      </c>
      <c r="L2201" s="6">
        <v>17000000</v>
      </c>
      <c r="M2201" s="6">
        <v>1998</v>
      </c>
      <c r="N2201" s="6">
        <v>7.5</v>
      </c>
      <c r="O2201" s="4">
        <f ca="1">IFERROR(__xludf.DUMMYFUNCTION("IF(Cost_in_dollars!E2201=""USD"",Cost_in_dollars!B2201,Cost_in_dollars!B2201 * GOOGLEFINANCE(""CURRENCY:"" &amp; Cost_in_dollars!E2201 &amp; ""USD""))
"),21851799.9999999)</f>
        <v>21851799.999999899</v>
      </c>
      <c r="P2201" s="4">
        <f ca="1">IFERROR(__xludf.DUMMYFUNCTION("IF(Cost_in_dollars!E2201=""USD"",Cost_in_dollars!C2201,Cost_in_dollars!C2201 * GOOGLEFINANCE(""CURRENCY:"" &amp; Cost_in_dollars!E2201 &amp; ""USD""))
"),20967140.1602)</f>
        <v>20967140.1602</v>
      </c>
      <c r="Q2201" s="6">
        <f t="shared" ca="1" si="48"/>
        <v>-884659.83979989961</v>
      </c>
      <c r="R2201" s="7" t="str">
        <f t="shared" si="49"/>
        <v>A Simple Plan</v>
      </c>
      <c r="S2201" s="43" t="str">
        <f t="shared" si="52"/>
        <v>Crime</v>
      </c>
    </row>
    <row r="2202" spans="1:19" ht="15.75" customHeight="1" x14ac:dyDescent="0.25">
      <c r="A2202" s="4" t="s">
        <v>2730</v>
      </c>
      <c r="B2202" s="4">
        <v>96</v>
      </c>
      <c r="C2202" s="4">
        <v>72077000</v>
      </c>
      <c r="D2202" s="4" t="s">
        <v>592</v>
      </c>
      <c r="E2202" s="4" t="s">
        <v>872</v>
      </c>
      <c r="F2202" s="4" t="s">
        <v>7222</v>
      </c>
      <c r="G2202" s="4">
        <v>62986</v>
      </c>
      <c r="H2202" s="4" t="s">
        <v>7223</v>
      </c>
      <c r="I2202" s="4">
        <v>150</v>
      </c>
      <c r="J2202" s="4" t="s">
        <v>23</v>
      </c>
      <c r="K2202" s="4" t="s">
        <v>24</v>
      </c>
      <c r="L2202" s="4">
        <v>30250000</v>
      </c>
      <c r="M2202" s="4">
        <v>1995</v>
      </c>
      <c r="N2202" s="4">
        <v>6.9</v>
      </c>
      <c r="O2202" s="4">
        <f ca="1">IFERROR(__xludf.DUMMYFUNCTION("IF(Cost_in_dollars!E2202=""USD"",Cost_in_dollars!B2202,Cost_in_dollars!B2202 * GOOGLEFINANCE(""CURRENCY:"" &amp; Cost_in_dollars!E2202 &amp; ""USD""))
"),30250000)</f>
        <v>30250000</v>
      </c>
      <c r="P2202" s="4">
        <f ca="1">IFERROR(__xludf.DUMMYFUNCTION("IF(Cost_in_dollars!E2202=""USD"",Cost_in_dollars!C2202,Cost_in_dollars!C2202 * GOOGLEFINANCE(""CURRENCY:"" &amp; Cost_in_dollars!E2202 &amp; ""USD""))
"),72077000)</f>
        <v>72077000</v>
      </c>
      <c r="Q2202" s="4">
        <f t="shared" ca="1" si="48"/>
        <v>41827000</v>
      </c>
      <c r="R2202" s="5" t="str">
        <f t="shared" si="49"/>
        <v>Get Shorty</v>
      </c>
      <c r="S2202" s="43" t="str">
        <f t="shared" si="52"/>
        <v>Comedy</v>
      </c>
    </row>
    <row r="2203" spans="1:19" ht="15.75" customHeight="1" x14ac:dyDescent="0.25">
      <c r="A2203" s="6" t="s">
        <v>3733</v>
      </c>
      <c r="B2203" s="6">
        <v>94</v>
      </c>
      <c r="C2203" s="6">
        <v>234760500</v>
      </c>
      <c r="D2203" s="6" t="s">
        <v>268</v>
      </c>
      <c r="E2203" s="6" t="s">
        <v>2074</v>
      </c>
      <c r="F2203" s="6" t="s">
        <v>7224</v>
      </c>
      <c r="G2203" s="6">
        <v>126464</v>
      </c>
      <c r="H2203" s="6" t="s">
        <v>7225</v>
      </c>
      <c r="I2203" s="6">
        <v>175</v>
      </c>
      <c r="J2203" s="6" t="s">
        <v>23</v>
      </c>
      <c r="K2203" s="6" t="s">
        <v>24</v>
      </c>
      <c r="L2203" s="6">
        <v>14000000</v>
      </c>
      <c r="M2203" s="6">
        <v>1984</v>
      </c>
      <c r="N2203" s="6">
        <v>7.3</v>
      </c>
      <c r="O2203" s="4">
        <f ca="1">IFERROR(__xludf.DUMMYFUNCTION("IF(Cost_in_dollars!E2203=""USD"",Cost_in_dollars!B2203,Cost_in_dollars!B2203 * GOOGLEFINANCE(""CURRENCY:"" &amp; Cost_in_dollars!E2203 &amp; ""USD""))
"),14000000)</f>
        <v>14000000</v>
      </c>
      <c r="P2203" s="4">
        <f ca="1">IFERROR(__xludf.DUMMYFUNCTION("IF(Cost_in_dollars!E2203=""USD"",Cost_in_dollars!C2203,Cost_in_dollars!C2203 * GOOGLEFINANCE(""CURRENCY:"" &amp; Cost_in_dollars!E2203 &amp; ""USD""))
"),234760500)</f>
        <v>234760500</v>
      </c>
      <c r="Q2203" s="6">
        <f t="shared" ca="1" si="48"/>
        <v>220760500</v>
      </c>
      <c r="R2203" s="7" t="str">
        <f t="shared" si="49"/>
        <v>Beverly Hills Cop</v>
      </c>
      <c r="S2203" s="43" t="str">
        <f t="shared" si="52"/>
        <v>Action</v>
      </c>
    </row>
    <row r="2204" spans="1:19" ht="15.75" customHeight="1" x14ac:dyDescent="0.25">
      <c r="A2204" s="4" t="s">
        <v>472</v>
      </c>
      <c r="B2204" s="4">
        <v>220</v>
      </c>
      <c r="C2204" s="4">
        <v>52353636</v>
      </c>
      <c r="D2204" s="4" t="s">
        <v>457</v>
      </c>
      <c r="E2204" s="4" t="s">
        <v>473</v>
      </c>
      <c r="F2204" s="4" t="s">
        <v>7226</v>
      </c>
      <c r="G2204" s="4">
        <v>209133</v>
      </c>
      <c r="H2204" s="4" t="s">
        <v>7227</v>
      </c>
      <c r="I2204" s="4">
        <v>962</v>
      </c>
      <c r="J2204" s="4" t="s">
        <v>23</v>
      </c>
      <c r="K2204" s="4" t="s">
        <v>24</v>
      </c>
      <c r="L2204" s="4">
        <v>21000000</v>
      </c>
      <c r="M2204" s="4">
        <v>2001</v>
      </c>
      <c r="N2204" s="4">
        <v>7.6</v>
      </c>
      <c r="O2204" s="4">
        <f ca="1">IFERROR(__xludf.DUMMYFUNCTION("IF(Cost_in_dollars!E2204=""USD"",Cost_in_dollars!B2204,Cost_in_dollars!B2204 * GOOGLEFINANCE(""CURRENCY:"" &amp; Cost_in_dollars!E2204 &amp; ""USD""))
"),21000000)</f>
        <v>21000000</v>
      </c>
      <c r="P2204" s="4">
        <f ca="1">IFERROR(__xludf.DUMMYFUNCTION("IF(Cost_in_dollars!E2204=""USD"",Cost_in_dollars!C2204,Cost_in_dollars!C2204 * GOOGLEFINANCE(""CURRENCY:"" &amp; Cost_in_dollars!E2204 &amp; ""USD""))
"),52353636)</f>
        <v>52353636</v>
      </c>
      <c r="Q2204" s="4">
        <f t="shared" ca="1" si="48"/>
        <v>31353636</v>
      </c>
      <c r="R2204" s="5" t="str">
        <f t="shared" si="49"/>
        <v>The Royal Tenenbaums</v>
      </c>
      <c r="S2204" s="43" t="str">
        <f t="shared" si="52"/>
        <v>Comedy</v>
      </c>
    </row>
    <row r="2205" spans="1:19" ht="15.75" customHeight="1" x14ac:dyDescent="0.25">
      <c r="A2205" s="6" t="s">
        <v>5389</v>
      </c>
      <c r="B2205" s="6">
        <v>53</v>
      </c>
      <c r="C2205" s="6">
        <v>7830611</v>
      </c>
      <c r="D2205" s="6" t="s">
        <v>7228</v>
      </c>
      <c r="E2205" s="6" t="s">
        <v>7229</v>
      </c>
      <c r="F2205" s="6" t="s">
        <v>7230</v>
      </c>
      <c r="G2205" s="6">
        <v>18980</v>
      </c>
      <c r="H2205" s="6" t="s">
        <v>7231</v>
      </c>
      <c r="I2205" s="6">
        <v>74</v>
      </c>
      <c r="J2205" s="6" t="s">
        <v>23</v>
      </c>
      <c r="K2205" s="6" t="s">
        <v>24</v>
      </c>
      <c r="L2205" s="6">
        <v>700000</v>
      </c>
      <c r="M2205" s="6">
        <v>1994</v>
      </c>
      <c r="N2205" s="6">
        <v>8.3000000000000007</v>
      </c>
      <c r="O2205" s="4">
        <f ca="1">IFERROR(__xludf.DUMMYFUNCTION("IF(Cost_in_dollars!E2205=""USD"",Cost_in_dollars!B2205,Cost_in_dollars!B2205 * GOOGLEFINANCE(""CURRENCY:"" &amp; Cost_in_dollars!E2205 &amp; ""USD""))
"),700000)</f>
        <v>700000</v>
      </c>
      <c r="P2205" s="4">
        <f ca="1">IFERROR(__xludf.DUMMYFUNCTION("IF(Cost_in_dollars!E2205=""USD"",Cost_in_dollars!C2205,Cost_in_dollars!C2205 * GOOGLEFINANCE(""CURRENCY:"" &amp; Cost_in_dollars!E2205 &amp; ""USD""))
"),7830611)</f>
        <v>7830611</v>
      </c>
      <c r="Q2205" s="6">
        <f t="shared" ca="1" si="48"/>
        <v>7130611</v>
      </c>
      <c r="R2205" s="7" t="str">
        <f t="shared" si="49"/>
        <v>Hoop Dreams</v>
      </c>
      <c r="S2205" s="43" t="str">
        <f t="shared" si="52"/>
        <v>Documentary</v>
      </c>
    </row>
    <row r="2206" spans="1:19" ht="15.75" customHeight="1" x14ac:dyDescent="0.25">
      <c r="A2206" s="4" t="s">
        <v>182</v>
      </c>
      <c r="B2206" s="4">
        <v>109</v>
      </c>
      <c r="C2206" s="4">
        <v>73326666</v>
      </c>
      <c r="D2206" s="4" t="s">
        <v>618</v>
      </c>
      <c r="E2206" s="4" t="s">
        <v>5188</v>
      </c>
      <c r="F2206" s="4" t="s">
        <v>7232</v>
      </c>
      <c r="G2206" s="4">
        <v>189413</v>
      </c>
      <c r="H2206" s="4" t="s">
        <v>7233</v>
      </c>
      <c r="I2206" s="4">
        <v>306</v>
      </c>
      <c r="J2206" s="4" t="s">
        <v>23</v>
      </c>
      <c r="K2206" s="4" t="s">
        <v>24</v>
      </c>
      <c r="L2206" s="4">
        <v>15000000</v>
      </c>
      <c r="M2206" s="4">
        <v>1988</v>
      </c>
      <c r="N2206" s="4">
        <v>7.5</v>
      </c>
      <c r="O2206" s="4">
        <f ca="1">IFERROR(__xludf.DUMMYFUNCTION("IF(Cost_in_dollars!E2206=""USD"",Cost_in_dollars!B2206,Cost_in_dollars!B2206 * GOOGLEFINANCE(""CURRENCY:"" &amp; Cost_in_dollars!E2206 &amp; ""USD""))
"),15000000)</f>
        <v>15000000</v>
      </c>
      <c r="P2206" s="4">
        <f ca="1">IFERROR(__xludf.DUMMYFUNCTION("IF(Cost_in_dollars!E2206=""USD"",Cost_in_dollars!C2206,Cost_in_dollars!C2206 * GOOGLEFINANCE(""CURRENCY:"" &amp; Cost_in_dollars!E2206 &amp; ""USD""))
"),73326666)</f>
        <v>73326666</v>
      </c>
      <c r="Q2206" s="4">
        <f t="shared" ca="1" si="48"/>
        <v>58326666</v>
      </c>
      <c r="R2206" s="5" t="str">
        <f t="shared" si="49"/>
        <v>Beetlejuice</v>
      </c>
      <c r="S2206" s="43" t="str">
        <f t="shared" si="52"/>
        <v>Comedy</v>
      </c>
    </row>
    <row r="2207" spans="1:19" ht="15.75" customHeight="1" x14ac:dyDescent="0.25">
      <c r="A2207" s="6" t="s">
        <v>2614</v>
      </c>
      <c r="B2207" s="6">
        <v>61</v>
      </c>
      <c r="C2207" s="6">
        <v>1227508</v>
      </c>
      <c r="D2207" s="6" t="s">
        <v>457</v>
      </c>
      <c r="E2207" s="6" t="s">
        <v>7234</v>
      </c>
      <c r="F2207" s="6" t="s">
        <v>7235</v>
      </c>
      <c r="G2207" s="6">
        <v>15103</v>
      </c>
      <c r="H2207" s="6" t="s">
        <v>7236</v>
      </c>
      <c r="I2207" s="6">
        <v>80</v>
      </c>
      <c r="J2207" s="6" t="s">
        <v>23</v>
      </c>
      <c r="K2207" s="6" t="s">
        <v>24</v>
      </c>
      <c r="L2207" s="6">
        <v>23000</v>
      </c>
      <c r="M2207" s="6">
        <v>1991</v>
      </c>
      <c r="N2207" s="6">
        <v>7.1</v>
      </c>
      <c r="O2207" s="4">
        <f ca="1">IFERROR(__xludf.DUMMYFUNCTION("IF(Cost_in_dollars!E2207=""USD"",Cost_in_dollars!B2207,Cost_in_dollars!B2207 * GOOGLEFINANCE(""CURRENCY:"" &amp; Cost_in_dollars!E2207 &amp; ""USD""))
"),23000)</f>
        <v>23000</v>
      </c>
      <c r="P2207" s="4">
        <f ca="1">IFERROR(__xludf.DUMMYFUNCTION("IF(Cost_in_dollars!E2207=""USD"",Cost_in_dollars!C2207,Cost_in_dollars!C2207 * GOOGLEFINANCE(""CURRENCY:"" &amp; Cost_in_dollars!E2207 &amp; ""USD""))
"),1227508)</f>
        <v>1227508</v>
      </c>
      <c r="Q2207" s="6">
        <f t="shared" ca="1" si="48"/>
        <v>1204508</v>
      </c>
      <c r="R2207" s="7" t="str">
        <f t="shared" si="49"/>
        <v>Slacker</v>
      </c>
      <c r="S2207" s="43" t="str">
        <f t="shared" si="52"/>
        <v>Comedy</v>
      </c>
    </row>
    <row r="2208" spans="1:19" ht="15.75" customHeight="1" x14ac:dyDescent="0.25">
      <c r="A2208" s="4" t="s">
        <v>5591</v>
      </c>
      <c r="B2208" s="4">
        <v>122</v>
      </c>
      <c r="C2208" s="4">
        <v>9180275</v>
      </c>
      <c r="D2208" s="4" t="s">
        <v>102</v>
      </c>
      <c r="E2208" s="4" t="s">
        <v>2205</v>
      </c>
      <c r="F2208" s="4" t="s">
        <v>7237</v>
      </c>
      <c r="G2208" s="4">
        <v>22145</v>
      </c>
      <c r="H2208" s="4" t="s">
        <v>7238</v>
      </c>
      <c r="I2208" s="4">
        <v>231</v>
      </c>
      <c r="J2208" s="4" t="s">
        <v>23</v>
      </c>
      <c r="K2208" s="4" t="s">
        <v>24</v>
      </c>
      <c r="L2208" s="4">
        <v>1200000</v>
      </c>
      <c r="M2208" s="4">
        <v>2000</v>
      </c>
      <c r="N2208" s="4">
        <v>7.7</v>
      </c>
      <c r="O2208" s="4">
        <f ca="1">IFERROR(__xludf.DUMMYFUNCTION("IF(Cost_in_dollars!E2208=""USD"",Cost_in_dollars!B2208,Cost_in_dollars!B2208 * GOOGLEFINANCE(""CURRENCY:"" &amp; Cost_in_dollars!E2208 &amp; ""USD""))
"),1200000)</f>
        <v>1200000</v>
      </c>
      <c r="P2208" s="4">
        <f ca="1">IFERROR(__xludf.DUMMYFUNCTION("IF(Cost_in_dollars!E2208=""USD"",Cost_in_dollars!C2208,Cost_in_dollars!C2208 * GOOGLEFINANCE(""CURRENCY:"" &amp; Cost_in_dollars!E2208 &amp; ""USD""))
"),9180275)</f>
        <v>9180275</v>
      </c>
      <c r="Q2208" s="4">
        <f t="shared" ca="1" si="48"/>
        <v>7980275</v>
      </c>
      <c r="R2208" s="5" t="str">
        <f t="shared" si="49"/>
        <v>You Can Count on Me</v>
      </c>
      <c r="S2208" s="43" t="str">
        <f t="shared" si="52"/>
        <v>Drama</v>
      </c>
    </row>
    <row r="2209" spans="1:19" ht="15.75" customHeight="1" x14ac:dyDescent="0.25">
      <c r="A2209" s="6" t="s">
        <v>1755</v>
      </c>
      <c r="B2209" s="6">
        <v>114</v>
      </c>
      <c r="C2209" s="6">
        <v>5032496</v>
      </c>
      <c r="D2209" s="6" t="s">
        <v>457</v>
      </c>
      <c r="E2209" s="6" t="s">
        <v>7239</v>
      </c>
      <c r="F2209" s="6" t="s">
        <v>7240</v>
      </c>
      <c r="G2209" s="6">
        <v>20576</v>
      </c>
      <c r="H2209" s="6" t="s">
        <v>7241</v>
      </c>
      <c r="I2209" s="6">
        <v>161</v>
      </c>
      <c r="J2209" s="6" t="s">
        <v>23</v>
      </c>
      <c r="K2209" s="6" t="s">
        <v>24</v>
      </c>
      <c r="L2209" s="6">
        <v>12000000</v>
      </c>
      <c r="M2209" s="6">
        <v>1998</v>
      </c>
      <c r="N2209" s="6">
        <v>6.3</v>
      </c>
      <c r="O2209" s="4">
        <f ca="1">IFERROR(__xludf.DUMMYFUNCTION("IF(Cost_in_dollars!E2209=""USD"",Cost_in_dollars!B2209,Cost_in_dollars!B2209 * GOOGLEFINANCE(""CURRENCY:"" &amp; Cost_in_dollars!E2209 &amp; ""USD""))
"),12000000)</f>
        <v>12000000</v>
      </c>
      <c r="P2209" s="4">
        <f ca="1">IFERROR(__xludf.DUMMYFUNCTION("IF(Cost_in_dollars!E2209=""USD"",Cost_in_dollars!C2209,Cost_in_dollars!C2209 * GOOGLEFINANCE(""CURRENCY:"" &amp; Cost_in_dollars!E2209 &amp; ""USD""))
"),5032496)</f>
        <v>5032496</v>
      </c>
      <c r="Q2209" s="6">
        <f t="shared" ca="1" si="48"/>
        <v>-6967504</v>
      </c>
      <c r="R2209" s="7" t="str">
        <f t="shared" si="49"/>
        <v>Celebrity</v>
      </c>
      <c r="S2209" s="43" t="str">
        <f t="shared" si="52"/>
        <v>Comedy</v>
      </c>
    </row>
    <row r="2210" spans="1:19" ht="15.75" customHeight="1" x14ac:dyDescent="0.25">
      <c r="A2210" s="4" t="s">
        <v>5832</v>
      </c>
      <c r="B2210" s="4">
        <v>386</v>
      </c>
      <c r="C2210" s="4">
        <v>14597405</v>
      </c>
      <c r="D2210" s="4" t="s">
        <v>362</v>
      </c>
      <c r="E2210" s="4" t="s">
        <v>3626</v>
      </c>
      <c r="F2210" s="4" t="s">
        <v>7242</v>
      </c>
      <c r="G2210" s="4">
        <v>71679</v>
      </c>
      <c r="H2210" s="4" t="s">
        <v>7243</v>
      </c>
      <c r="I2210" s="4">
        <v>216</v>
      </c>
      <c r="J2210" s="4" t="s">
        <v>23</v>
      </c>
      <c r="K2210" s="4" t="s">
        <v>133</v>
      </c>
      <c r="L2210" s="4">
        <v>6400000</v>
      </c>
      <c r="M2210" s="4">
        <v>2011</v>
      </c>
      <c r="N2210" s="4">
        <v>7</v>
      </c>
      <c r="O2210" s="4">
        <f ca="1">IFERROR(__xludf.DUMMYFUNCTION("IF(Cost_in_dollars!E2210=""USD"",Cost_in_dollars!B2210,Cost_in_dollars!B2210 * GOOGLEFINANCE(""CURRENCY:"" &amp; Cost_in_dollars!E2210 &amp; ""USD""))
"),8226559.99999999)</f>
        <v>8226559.9999999898</v>
      </c>
      <c r="P2210" s="4">
        <f ca="1">IFERROR(__xludf.DUMMYFUNCTION("IF(Cost_in_dollars!E2210=""USD"",Cost_in_dollars!C2210,Cost_in_dollars!C2210 * GOOGLEFINANCE(""CURRENCY:"" &amp; Cost_in_dollars!E2210 &amp; ""USD""))
"),18763504.387)</f>
        <v>18763504.386999998</v>
      </c>
      <c r="Q2210" s="4">
        <f t="shared" ca="1" si="48"/>
        <v>10536944.387000009</v>
      </c>
      <c r="R2210" s="5" t="str">
        <f t="shared" si="49"/>
        <v>My Week with Marilyn</v>
      </c>
      <c r="S2210" s="43" t="str">
        <f t="shared" si="52"/>
        <v>Biography</v>
      </c>
    </row>
    <row r="2211" spans="1:19" ht="15.75" customHeight="1" x14ac:dyDescent="0.25">
      <c r="A2211" s="6" t="s">
        <v>5108</v>
      </c>
      <c r="B2211" s="6">
        <v>287</v>
      </c>
      <c r="C2211" s="6">
        <v>55153403</v>
      </c>
      <c r="D2211" s="6" t="s">
        <v>93</v>
      </c>
      <c r="E2211" s="6" t="s">
        <v>7244</v>
      </c>
      <c r="F2211" s="6" t="s">
        <v>7245</v>
      </c>
      <c r="G2211" s="6">
        <v>299127</v>
      </c>
      <c r="H2211" s="6" t="s">
        <v>7246</v>
      </c>
      <c r="I2211" s="6">
        <v>1509</v>
      </c>
      <c r="J2211" s="6" t="s">
        <v>23</v>
      </c>
      <c r="K2211" s="6" t="s">
        <v>24</v>
      </c>
      <c r="L2211" s="6">
        <v>1200000</v>
      </c>
      <c r="M2211" s="6">
        <v>2004</v>
      </c>
      <c r="N2211" s="6">
        <v>7.7</v>
      </c>
      <c r="O2211" s="4">
        <f ca="1">IFERROR(__xludf.DUMMYFUNCTION("IF(Cost_in_dollars!E2211=""USD"",Cost_in_dollars!B2211,Cost_in_dollars!B2211 * GOOGLEFINANCE(""CURRENCY:"" &amp; Cost_in_dollars!E2211 &amp; ""USD""))
"),1200000)</f>
        <v>1200000</v>
      </c>
      <c r="P2211" s="4">
        <f ca="1">IFERROR(__xludf.DUMMYFUNCTION("IF(Cost_in_dollars!E2211=""USD"",Cost_in_dollars!C2211,Cost_in_dollars!C2211 * GOOGLEFINANCE(""CURRENCY:"" &amp; Cost_in_dollars!E2211 &amp; ""USD""))
"),55153403)</f>
        <v>55153403</v>
      </c>
      <c r="Q2211" s="6">
        <f t="shared" ca="1" si="48"/>
        <v>53953403</v>
      </c>
      <c r="R2211" s="7" t="str">
        <f t="shared" si="49"/>
        <v>Saw</v>
      </c>
      <c r="S2211" s="43" t="str">
        <f t="shared" si="52"/>
        <v>Horror</v>
      </c>
    </row>
    <row r="2212" spans="1:19" ht="15.75" customHeight="1" x14ac:dyDescent="0.25">
      <c r="A2212" s="4" t="s">
        <v>3514</v>
      </c>
      <c r="B2212" s="4">
        <v>34</v>
      </c>
      <c r="C2212" s="4">
        <v>51045801</v>
      </c>
      <c r="D2212" s="4" t="s">
        <v>235</v>
      </c>
      <c r="E2212" s="4" t="s">
        <v>1994</v>
      </c>
      <c r="F2212" s="4" t="s">
        <v>7247</v>
      </c>
      <c r="G2212" s="4">
        <v>11370</v>
      </c>
      <c r="H2212" s="4" t="s">
        <v>7248</v>
      </c>
      <c r="I2212" s="4">
        <v>54</v>
      </c>
      <c r="J2212" s="4" t="s">
        <v>23</v>
      </c>
      <c r="K2212" s="4" t="s">
        <v>24</v>
      </c>
      <c r="L2212" s="4">
        <v>60000000</v>
      </c>
      <c r="M2212" s="4">
        <v>1996</v>
      </c>
      <c r="N2212" s="4">
        <v>6.1</v>
      </c>
      <c r="O2212" s="4">
        <f ca="1">IFERROR(__xludf.DUMMYFUNCTION("IF(Cost_in_dollars!E2212=""USD"",Cost_in_dollars!B2212,Cost_in_dollars!B2212 * GOOGLEFINANCE(""CURRENCY:"" &amp; Cost_in_dollars!E2212 &amp; ""USD""))
"),60000000)</f>
        <v>60000000</v>
      </c>
      <c r="P2212" s="4">
        <f ca="1">IFERROR(__xludf.DUMMYFUNCTION("IF(Cost_in_dollars!E2212=""USD"",Cost_in_dollars!C2212,Cost_in_dollars!C2212 * GOOGLEFINANCE(""CURRENCY:"" &amp; Cost_in_dollars!E2212 &amp; ""USD""))
"),51045801)</f>
        <v>51045801</v>
      </c>
      <c r="Q2212" s="4">
        <f t="shared" ca="1" si="48"/>
        <v>-8954199</v>
      </c>
      <c r="R2212" s="5" t="str">
        <f t="shared" si="49"/>
        <v>Up Close &amp; Personal</v>
      </c>
      <c r="S2212" s="43" t="str">
        <f t="shared" si="52"/>
        <v>Drama</v>
      </c>
    </row>
    <row r="2213" spans="1:19" ht="15.75" customHeight="1" x14ac:dyDescent="0.25">
      <c r="A2213" s="6" t="s">
        <v>7249</v>
      </c>
      <c r="B2213" s="6">
        <v>10</v>
      </c>
      <c r="C2213" s="6">
        <v>444044</v>
      </c>
      <c r="D2213" s="6" t="s">
        <v>102</v>
      </c>
      <c r="E2213" s="6" t="s">
        <v>7250</v>
      </c>
      <c r="F2213" s="6" t="s">
        <v>7251</v>
      </c>
      <c r="G2213" s="6">
        <v>744</v>
      </c>
      <c r="H2213" s="6" t="s">
        <v>7252</v>
      </c>
      <c r="I2213" s="6">
        <v>19</v>
      </c>
      <c r="J2213" s="6" t="s">
        <v>23</v>
      </c>
      <c r="K2213" s="6" t="s">
        <v>24</v>
      </c>
      <c r="L2213" s="6">
        <v>1900000</v>
      </c>
      <c r="M2213" s="6">
        <v>2015</v>
      </c>
      <c r="N2213" s="6">
        <v>7.2</v>
      </c>
      <c r="O2213" s="4">
        <f ca="1">IFERROR(__xludf.DUMMYFUNCTION("IF(Cost_in_dollars!E2213=""USD"",Cost_in_dollars!B2213,Cost_in_dollars!B2213 * GOOGLEFINANCE(""CURRENCY:"" &amp; Cost_in_dollars!E2213 &amp; ""USD""))
"),1900000)</f>
        <v>1900000</v>
      </c>
      <c r="P2213" s="4">
        <f ca="1">IFERROR(__xludf.DUMMYFUNCTION("IF(Cost_in_dollars!E2213=""USD"",Cost_in_dollars!C2213,Cost_in_dollars!C2213 * GOOGLEFINANCE(""CURRENCY:"" &amp; Cost_in_dollars!E2213 &amp; ""USD""))
"),444044)</f>
        <v>444044</v>
      </c>
      <c r="Q2213" s="6">
        <f t="shared" ca="1" si="48"/>
        <v>-1455956</v>
      </c>
      <c r="R2213" s="7" t="str">
        <f t="shared" si="49"/>
        <v>Brotherly Love</v>
      </c>
      <c r="S2213" s="43" t="str">
        <f t="shared" si="52"/>
        <v>Drama</v>
      </c>
    </row>
    <row r="2214" spans="1:19" ht="15.75" customHeight="1" x14ac:dyDescent="0.25">
      <c r="A2214" s="4" t="s">
        <v>1289</v>
      </c>
      <c r="B2214" s="4">
        <v>284</v>
      </c>
      <c r="C2214" s="4">
        <v>310675583</v>
      </c>
      <c r="D2214" s="4" t="s">
        <v>1290</v>
      </c>
      <c r="E2214" s="4" t="s">
        <v>1091</v>
      </c>
      <c r="F2214" s="4" t="s">
        <v>7253</v>
      </c>
      <c r="G2214" s="4">
        <v>464310</v>
      </c>
      <c r="H2214" s="4" t="s">
        <v>7254</v>
      </c>
      <c r="I2214" s="4">
        <v>3516</v>
      </c>
      <c r="J2214" s="4" t="s">
        <v>23</v>
      </c>
      <c r="K2214" s="4" t="s">
        <v>24</v>
      </c>
      <c r="L2214" s="4">
        <v>115000000</v>
      </c>
      <c r="M2214" s="4">
        <v>2002</v>
      </c>
      <c r="N2214" s="4">
        <v>6.7</v>
      </c>
      <c r="O2214" s="4">
        <f ca="1">IFERROR(__xludf.DUMMYFUNCTION("IF(Cost_in_dollars!E2214=""USD"",Cost_in_dollars!B2214,Cost_in_dollars!B2214 * GOOGLEFINANCE(""CURRENCY:"" &amp; Cost_in_dollars!E2214 &amp; ""USD""))
"),115000000)</f>
        <v>115000000</v>
      </c>
      <c r="P2214" s="4">
        <f ca="1">IFERROR(__xludf.DUMMYFUNCTION("IF(Cost_in_dollars!E2214=""USD"",Cost_in_dollars!C2214,Cost_in_dollars!C2214 * GOOGLEFINANCE(""CURRENCY:"" &amp; Cost_in_dollars!E2214 &amp; ""USD""))
"),310675583)</f>
        <v>310675583</v>
      </c>
      <c r="Q2214" s="4">
        <f t="shared" ca="1" si="48"/>
        <v>195675583</v>
      </c>
      <c r="R2214" s="5" t="str">
        <f t="shared" si="49"/>
        <v>Star Wars: Episode II - Attack of the Clones</v>
      </c>
      <c r="S2214" s="43" t="str">
        <f t="shared" si="52"/>
        <v>Action</v>
      </c>
    </row>
    <row r="2215" spans="1:19" ht="15.75" customHeight="1" x14ac:dyDescent="0.25">
      <c r="A2215" s="6" t="s">
        <v>539</v>
      </c>
      <c r="B2215" s="6">
        <v>149</v>
      </c>
      <c r="C2215" s="6">
        <v>329691196</v>
      </c>
      <c r="D2215" s="6" t="s">
        <v>457</v>
      </c>
      <c r="E2215" s="6" t="s">
        <v>464</v>
      </c>
      <c r="F2215" s="6" t="s">
        <v>7255</v>
      </c>
      <c r="G2215" s="6">
        <v>1251222</v>
      </c>
      <c r="H2215" s="6" t="s">
        <v>7256</v>
      </c>
      <c r="I2215" s="6">
        <v>1398</v>
      </c>
      <c r="J2215" s="6" t="s">
        <v>23</v>
      </c>
      <c r="K2215" s="6" t="s">
        <v>24</v>
      </c>
      <c r="L2215" s="6">
        <v>55000000</v>
      </c>
      <c r="M2215" s="6">
        <v>1994</v>
      </c>
      <c r="N2215" s="6">
        <v>8.8000000000000007</v>
      </c>
      <c r="O2215" s="4">
        <f ca="1">IFERROR(__xludf.DUMMYFUNCTION("IF(Cost_in_dollars!E2215=""USD"",Cost_in_dollars!B2215,Cost_in_dollars!B2215 * GOOGLEFINANCE(""CURRENCY:"" &amp; Cost_in_dollars!E2215 &amp; ""USD""))
"),55000000)</f>
        <v>55000000</v>
      </c>
      <c r="P2215" s="4">
        <f ca="1">IFERROR(__xludf.DUMMYFUNCTION("IF(Cost_in_dollars!E2215=""USD"",Cost_in_dollars!C2215,Cost_in_dollars!C2215 * GOOGLEFINANCE(""CURRENCY:"" &amp; Cost_in_dollars!E2215 &amp; ""USD""))
"),329691196)</f>
        <v>329691196</v>
      </c>
      <c r="Q2215" s="6">
        <f t="shared" ca="1" si="48"/>
        <v>274691196</v>
      </c>
      <c r="R2215" s="7" t="str">
        <f t="shared" si="49"/>
        <v>Forrest Gump</v>
      </c>
      <c r="S2215" s="43" t="str">
        <f t="shared" si="52"/>
        <v>Comedy</v>
      </c>
    </row>
    <row r="2216" spans="1:19" ht="15.75" customHeight="1" x14ac:dyDescent="0.25">
      <c r="A2216" s="4" t="s">
        <v>3204</v>
      </c>
      <c r="B2216" s="4">
        <v>239</v>
      </c>
      <c r="C2216" s="4">
        <v>24792061</v>
      </c>
      <c r="D2216" s="4" t="s">
        <v>457</v>
      </c>
      <c r="E2216" s="4" t="s">
        <v>881</v>
      </c>
      <c r="F2216" s="4" t="s">
        <v>7257</v>
      </c>
      <c r="G2216" s="4">
        <v>191998</v>
      </c>
      <c r="H2216" s="4" t="s">
        <v>7258</v>
      </c>
      <c r="I2216" s="4">
        <v>323</v>
      </c>
      <c r="J2216" s="4" t="s">
        <v>23</v>
      </c>
      <c r="K2216" s="4" t="s">
        <v>24</v>
      </c>
      <c r="L2216" s="4">
        <v>6500000</v>
      </c>
      <c r="M2216" s="4">
        <v>2005</v>
      </c>
      <c r="N2216" s="4">
        <v>7.6</v>
      </c>
      <c r="O2216" s="4">
        <f ca="1">IFERROR(__xludf.DUMMYFUNCTION("IF(Cost_in_dollars!E2216=""USD"",Cost_in_dollars!B2216,Cost_in_dollars!B2216 * GOOGLEFINANCE(""CURRENCY:"" &amp; Cost_in_dollars!E2216 &amp; ""USD""))
"),6500000)</f>
        <v>6500000</v>
      </c>
      <c r="P2216" s="4">
        <f ca="1">IFERROR(__xludf.DUMMYFUNCTION("IF(Cost_in_dollars!E2216=""USD"",Cost_in_dollars!C2216,Cost_in_dollars!C2216 * GOOGLEFINANCE(""CURRENCY:"" &amp; Cost_in_dollars!E2216 &amp; ""USD""))
"),24792061)</f>
        <v>24792061</v>
      </c>
      <c r="Q2216" s="4">
        <f t="shared" ca="1" si="48"/>
        <v>18292061</v>
      </c>
      <c r="R2216" s="5" t="str">
        <f t="shared" si="49"/>
        <v>Thank You for Smoking</v>
      </c>
      <c r="S2216" s="43" t="str">
        <f t="shared" si="52"/>
        <v>Comedy</v>
      </c>
    </row>
    <row r="2217" spans="1:19" ht="15.75" customHeight="1" x14ac:dyDescent="0.25">
      <c r="A2217" s="6" t="s">
        <v>7259</v>
      </c>
      <c r="B2217" s="6">
        <v>14</v>
      </c>
      <c r="C2217" s="6">
        <v>18272447</v>
      </c>
      <c r="D2217" s="6" t="s">
        <v>372</v>
      </c>
      <c r="E2217" s="6" t="s">
        <v>7129</v>
      </c>
      <c r="F2217" s="6" t="s">
        <v>7260</v>
      </c>
      <c r="G2217" s="6">
        <v>3119</v>
      </c>
      <c r="H2217" s="6" t="s">
        <v>7261</v>
      </c>
      <c r="I2217" s="6">
        <v>35</v>
      </c>
      <c r="J2217" s="6" t="s">
        <v>23</v>
      </c>
      <c r="K2217" s="6" t="s">
        <v>24</v>
      </c>
      <c r="L2217" s="6">
        <v>10000000</v>
      </c>
      <c r="M2217" s="6">
        <v>1993</v>
      </c>
      <c r="N2217" s="6">
        <v>5.9</v>
      </c>
      <c r="O2217" s="4">
        <f ca="1">IFERROR(__xludf.DUMMYFUNCTION("IF(Cost_in_dollars!E2217=""USD"",Cost_in_dollars!B2217,Cost_in_dollars!B2217 * GOOGLEFINANCE(""CURRENCY:"" &amp; Cost_in_dollars!E2217 &amp; ""USD""))
"),10000000)</f>
        <v>10000000</v>
      </c>
      <c r="P2217" s="4">
        <f ca="1">IFERROR(__xludf.DUMMYFUNCTION("IF(Cost_in_dollars!E2217=""USD"",Cost_in_dollars!C2217,Cost_in_dollars!C2217 * GOOGLEFINANCE(""CURRENCY:"" &amp; Cost_in_dollars!E2217 &amp; ""USD""))
"),18272447)</f>
        <v>18272447</v>
      </c>
      <c r="Q2217" s="6">
        <f t="shared" ca="1" si="48"/>
        <v>8272447</v>
      </c>
      <c r="R2217" s="7" t="str">
        <f t="shared" si="49"/>
        <v>Sugar Hill</v>
      </c>
      <c r="S2217" s="43" t="str">
        <f t="shared" si="52"/>
        <v>Drama</v>
      </c>
    </row>
    <row r="2218" spans="1:19" ht="15.75" customHeight="1" x14ac:dyDescent="0.25">
      <c r="A2218" s="4" t="s">
        <v>1289</v>
      </c>
      <c r="B2218" s="4">
        <v>320</v>
      </c>
      <c r="C2218" s="4">
        <v>474544677</v>
      </c>
      <c r="D2218" s="4" t="s">
        <v>1290</v>
      </c>
      <c r="E2218" s="4" t="s">
        <v>1091</v>
      </c>
      <c r="F2218" s="4" t="s">
        <v>7262</v>
      </c>
      <c r="G2218" s="4">
        <v>534658</v>
      </c>
      <c r="H2218" s="4" t="s">
        <v>7263</v>
      </c>
      <c r="I2218" s="4">
        <v>3597</v>
      </c>
      <c r="J2218" s="4" t="s">
        <v>23</v>
      </c>
      <c r="K2218" s="4" t="s">
        <v>24</v>
      </c>
      <c r="L2218" s="4">
        <v>115000000</v>
      </c>
      <c r="M2218" s="4">
        <v>1999</v>
      </c>
      <c r="N2218" s="4">
        <v>6.5</v>
      </c>
      <c r="O2218" s="4">
        <f ca="1">IFERROR(__xludf.DUMMYFUNCTION("IF(Cost_in_dollars!E2218=""USD"",Cost_in_dollars!B2218,Cost_in_dollars!B2218 * GOOGLEFINANCE(""CURRENCY:"" &amp; Cost_in_dollars!E2218 &amp; ""USD""))
"),115000000)</f>
        <v>115000000</v>
      </c>
      <c r="P2218" s="4">
        <f ca="1">IFERROR(__xludf.DUMMYFUNCTION("IF(Cost_in_dollars!E2218=""USD"",Cost_in_dollars!C2218,Cost_in_dollars!C2218 * GOOGLEFINANCE(""CURRENCY:"" &amp; Cost_in_dollars!E2218 &amp; ""USD""))
"),474544677)</f>
        <v>474544677</v>
      </c>
      <c r="Q2218" s="4">
        <f t="shared" ca="1" si="48"/>
        <v>359544677</v>
      </c>
      <c r="R2218" s="5" t="str">
        <f t="shared" si="49"/>
        <v>Star Wars: Episode I - The Phantom Menace</v>
      </c>
      <c r="S2218" s="43" t="str">
        <f t="shared" si="52"/>
        <v>Action</v>
      </c>
    </row>
    <row r="2219" spans="1:19" ht="15.75" customHeight="1" x14ac:dyDescent="0.25">
      <c r="A2219" s="6" t="s">
        <v>7264</v>
      </c>
      <c r="B2219" s="6">
        <v>137</v>
      </c>
      <c r="C2219" s="6">
        <v>11642254</v>
      </c>
      <c r="D2219" s="6" t="s">
        <v>309</v>
      </c>
      <c r="E2219" s="6" t="s">
        <v>1632</v>
      </c>
      <c r="F2219" s="6" t="s">
        <v>7265</v>
      </c>
      <c r="G2219" s="6">
        <v>22929</v>
      </c>
      <c r="H2219" s="6" t="s">
        <v>7266</v>
      </c>
      <c r="I2219" s="6">
        <v>287</v>
      </c>
      <c r="J2219" s="6" t="s">
        <v>23</v>
      </c>
      <c r="K2219" s="6" t="s">
        <v>24</v>
      </c>
      <c r="L2219" s="6">
        <v>3000000</v>
      </c>
      <c r="M2219" s="6">
        <v>1989</v>
      </c>
      <c r="N2219" s="6">
        <v>5.2</v>
      </c>
      <c r="O2219" s="4">
        <f ca="1">IFERROR(__xludf.DUMMYFUNCTION("IF(Cost_in_dollars!E2219=""USD"",Cost_in_dollars!B2219,Cost_in_dollars!B2219 * GOOGLEFINANCE(""CURRENCY:"" &amp; Cost_in_dollars!E2219 &amp; ""USD""))
"),3000000)</f>
        <v>3000000</v>
      </c>
      <c r="P2219" s="4">
        <f ca="1">IFERROR(__xludf.DUMMYFUNCTION("IF(Cost_in_dollars!E2219=""USD"",Cost_in_dollars!C2219,Cost_in_dollars!C2219 * GOOGLEFINANCE(""CURRENCY:"" &amp; Cost_in_dollars!E2219 &amp; ""USD""))
"),11642254)</f>
        <v>11642254</v>
      </c>
      <c r="Q2219" s="6">
        <f t="shared" ca="1" si="48"/>
        <v>8642254</v>
      </c>
      <c r="R2219" s="7" t="str">
        <f t="shared" si="49"/>
        <v>Halloween 5</v>
      </c>
      <c r="S2219" s="43" t="str">
        <f t="shared" si="52"/>
        <v>Horror</v>
      </c>
    </row>
    <row r="2220" spans="1:19" ht="15.75" customHeight="1" x14ac:dyDescent="0.25">
      <c r="A2220" s="4" t="s">
        <v>2994</v>
      </c>
      <c r="B2220" s="4">
        <v>161</v>
      </c>
      <c r="C2220" s="4">
        <v>17281832</v>
      </c>
      <c r="D2220" s="4" t="s">
        <v>1259</v>
      </c>
      <c r="E2220" s="4" t="s">
        <v>20</v>
      </c>
      <c r="F2220" s="4" t="s">
        <v>7267</v>
      </c>
      <c r="G2220" s="4">
        <v>60232</v>
      </c>
      <c r="H2220" s="4" t="s">
        <v>7268</v>
      </c>
      <c r="I2220" s="4">
        <v>110</v>
      </c>
      <c r="J2220" s="4" t="s">
        <v>23</v>
      </c>
      <c r="K2220" s="4" t="s">
        <v>176</v>
      </c>
      <c r="L2220" s="4">
        <v>60000000</v>
      </c>
      <c r="M2220" s="4">
        <v>2008</v>
      </c>
      <c r="N2220" s="4">
        <v>6.1</v>
      </c>
      <c r="O2220" s="4">
        <f ca="1">IFERROR(__xludf.DUMMYFUNCTION("IF(Cost_in_dollars!E2220=""USD"",Cost_in_dollars!B2220,Cost_in_dollars!B2220 * GOOGLEFINANCE(""CURRENCY:"" &amp; Cost_in_dollars!E2220 &amp; ""USD""))
"),65084400)</f>
        <v>65084400</v>
      </c>
      <c r="P2220" s="4">
        <f ca="1">IFERROR(__xludf.DUMMYFUNCTION("IF(Cost_in_dollars!E2220=""USD"",Cost_in_dollars!C2220,Cost_in_dollars!C2220 * GOOGLEFINANCE(""CURRENCY:"" &amp; Cost_in_dollars!E2220 &amp; ""USD""))
"),18746294.44368)</f>
        <v>18746294.44368</v>
      </c>
      <c r="Q2220" s="4">
        <f t="shared" ca="1" si="48"/>
        <v>-46338105.556319997</v>
      </c>
      <c r="R2220" s="5" t="str">
        <f t="shared" si="49"/>
        <v>Inkheart</v>
      </c>
      <c r="S2220" s="43" t="str">
        <f t="shared" si="52"/>
        <v>Adventure</v>
      </c>
    </row>
    <row r="2221" spans="1:19" ht="15.75" customHeight="1" x14ac:dyDescent="0.25">
      <c r="A2221" s="6" t="s">
        <v>3811</v>
      </c>
      <c r="B2221" s="6">
        <v>141</v>
      </c>
      <c r="C2221" s="6">
        <v>120136047</v>
      </c>
      <c r="D2221" s="6" t="s">
        <v>162</v>
      </c>
      <c r="E2221" s="6" t="s">
        <v>508</v>
      </c>
      <c r="F2221" s="6" t="s">
        <v>7269</v>
      </c>
      <c r="G2221" s="6">
        <v>48500</v>
      </c>
      <c r="H2221" s="6" t="s">
        <v>7270</v>
      </c>
      <c r="I2221" s="6">
        <v>124</v>
      </c>
      <c r="J2221" s="6" t="s">
        <v>23</v>
      </c>
      <c r="K2221" s="6" t="s">
        <v>176</v>
      </c>
      <c r="L2221" s="6">
        <v>80000000</v>
      </c>
      <c r="M2221" s="6">
        <v>2008</v>
      </c>
      <c r="N2221" s="6">
        <v>5.6</v>
      </c>
      <c r="O2221" s="4">
        <f ca="1">IFERROR(__xludf.DUMMYFUNCTION("IF(Cost_in_dollars!E2221=""USD"",Cost_in_dollars!B2221,Cost_in_dollars!B2221 * GOOGLEFINANCE(""CURRENCY:"" &amp; Cost_in_dollars!E2221 &amp; ""USD""))
"),86779200)</f>
        <v>86779200</v>
      </c>
      <c r="P2221" s="4">
        <f ca="1">IFERROR(__xludf.DUMMYFUNCTION("IF(Cost_in_dollars!E2221=""USD"",Cost_in_dollars!C2221,Cost_in_dollars!C2221 * GOOGLEFINANCE(""CURRENCY:"" &amp; Cost_in_dollars!E2221 &amp; ""USD""))
"),130316375.62278)</f>
        <v>130316375.62278</v>
      </c>
      <c r="Q2221" s="6">
        <f t="shared" ca="1" si="48"/>
        <v>43537175.622779995</v>
      </c>
      <c r="R2221" s="7" t="str">
        <f t="shared" si="49"/>
        <v>Four Christmases</v>
      </c>
      <c r="S2221" s="43" t="str">
        <f t="shared" si="52"/>
        <v>Comedy</v>
      </c>
    </row>
    <row r="2222" spans="1:19" ht="15.75" customHeight="1" x14ac:dyDescent="0.25">
      <c r="A2222" s="4" t="s">
        <v>763</v>
      </c>
      <c r="B2222" s="4">
        <v>267</v>
      </c>
      <c r="C2222" s="4">
        <v>102608827</v>
      </c>
      <c r="D2222" s="4" t="s">
        <v>362</v>
      </c>
      <c r="E2222" s="4" t="s">
        <v>1358</v>
      </c>
      <c r="F2222" s="4" t="s">
        <v>7271</v>
      </c>
      <c r="G2222" s="4">
        <v>264318</v>
      </c>
      <c r="H2222" s="4" t="s">
        <v>7272</v>
      </c>
      <c r="I2222" s="4">
        <v>799</v>
      </c>
      <c r="J2222" s="4" t="s">
        <v>23</v>
      </c>
      <c r="K2222" s="4" t="s">
        <v>24</v>
      </c>
      <c r="L2222" s="4">
        <v>110000000</v>
      </c>
      <c r="M2222" s="4">
        <v>2004</v>
      </c>
      <c r="N2222" s="4">
        <v>7.5</v>
      </c>
      <c r="O2222" s="4">
        <f ca="1">IFERROR(__xludf.DUMMYFUNCTION("IF(Cost_in_dollars!E2222=""USD"",Cost_in_dollars!B2222,Cost_in_dollars!B2222 * GOOGLEFINANCE(""CURRENCY:"" &amp; Cost_in_dollars!E2222 &amp; ""USD""))
"),110000000)</f>
        <v>110000000</v>
      </c>
      <c r="P2222" s="4">
        <f ca="1">IFERROR(__xludf.DUMMYFUNCTION("IF(Cost_in_dollars!E2222=""USD"",Cost_in_dollars!C2222,Cost_in_dollars!C2222 * GOOGLEFINANCE(""CURRENCY:"" &amp; Cost_in_dollars!E2222 &amp; ""USD""))
"),102608827)</f>
        <v>102608827</v>
      </c>
      <c r="Q2222" s="4">
        <f t="shared" ca="1" si="48"/>
        <v>-7391173</v>
      </c>
      <c r="R2222" s="5" t="str">
        <f t="shared" si="49"/>
        <v>The Aviator</v>
      </c>
      <c r="S2222" s="43" t="str">
        <f t="shared" si="52"/>
        <v>Biography</v>
      </c>
    </row>
    <row r="2223" spans="1:19" ht="15.75" customHeight="1" x14ac:dyDescent="0.25">
      <c r="A2223" s="6" t="s">
        <v>3709</v>
      </c>
      <c r="B2223" s="6">
        <v>154</v>
      </c>
      <c r="C2223" s="6">
        <v>63034755</v>
      </c>
      <c r="D2223" s="6" t="s">
        <v>140</v>
      </c>
      <c r="E2223" s="6" t="s">
        <v>352</v>
      </c>
      <c r="F2223" s="6" t="s">
        <v>7273</v>
      </c>
      <c r="G2223" s="6">
        <v>16984</v>
      </c>
      <c r="H2223" s="6" t="s">
        <v>7274</v>
      </c>
      <c r="I2223" s="6">
        <v>96</v>
      </c>
      <c r="J2223" s="6" t="s">
        <v>23</v>
      </c>
      <c r="K2223" s="6" t="s">
        <v>24</v>
      </c>
      <c r="L2223" s="6">
        <v>29000000</v>
      </c>
      <c r="M2223" s="6">
        <v>2016</v>
      </c>
      <c r="N2223" s="6">
        <v>5.3</v>
      </c>
      <c r="O2223" s="4">
        <f ca="1">IFERROR(__xludf.DUMMYFUNCTION("IF(Cost_in_dollars!E2223=""USD"",Cost_in_dollars!B2223,Cost_in_dollars!B2223 * GOOGLEFINANCE(""CURRENCY:"" &amp; Cost_in_dollars!E2223 &amp; ""USD""))
"),29000000)</f>
        <v>29000000</v>
      </c>
      <c r="P2223" s="4">
        <f ca="1">IFERROR(__xludf.DUMMYFUNCTION("IF(Cost_in_dollars!E2223=""USD"",Cost_in_dollars!C2223,Cost_in_dollars!C2223 * GOOGLEFINANCE(""CURRENCY:"" &amp; Cost_in_dollars!E2223 &amp; ""USD""))
"),63034755)</f>
        <v>63034755</v>
      </c>
      <c r="Q2223" s="6">
        <f t="shared" ca="1" si="48"/>
        <v>34034755</v>
      </c>
      <c r="R2223" s="7" t="str">
        <f t="shared" si="49"/>
        <v>The Boss</v>
      </c>
      <c r="S2223" s="43" t="str">
        <f t="shared" si="52"/>
        <v>Comedy</v>
      </c>
    </row>
    <row r="2224" spans="1:19" ht="15.75" customHeight="1" x14ac:dyDescent="0.25">
      <c r="A2224" s="4" t="s">
        <v>7275</v>
      </c>
      <c r="B2224" s="4">
        <v>231</v>
      </c>
      <c r="C2224" s="4">
        <v>47952020</v>
      </c>
      <c r="D2224" s="4" t="s">
        <v>1032</v>
      </c>
      <c r="E2224" s="4" t="s">
        <v>1449</v>
      </c>
      <c r="F2224" s="4" t="s">
        <v>7276</v>
      </c>
      <c r="G2224" s="4">
        <v>37750</v>
      </c>
      <c r="H2224" s="4" t="s">
        <v>7277</v>
      </c>
      <c r="I2224" s="4">
        <v>134</v>
      </c>
      <c r="J2224" s="4" t="s">
        <v>23</v>
      </c>
      <c r="K2224" s="4" t="s">
        <v>24</v>
      </c>
      <c r="L2224" s="4">
        <v>115000000</v>
      </c>
      <c r="M2224" s="4">
        <v>2016</v>
      </c>
      <c r="N2224" s="4">
        <v>6.1</v>
      </c>
      <c r="O2224" s="4">
        <f ca="1">IFERROR(__xludf.DUMMYFUNCTION("IF(Cost_in_dollars!E2224=""USD"",Cost_in_dollars!B2224,Cost_in_dollars!B2224 * GOOGLEFINANCE(""CURRENCY:"" &amp; Cost_in_dollars!E2224 &amp; ""USD""))
"),115000000)</f>
        <v>115000000</v>
      </c>
      <c r="P2224" s="4">
        <f ca="1">IFERROR(__xludf.DUMMYFUNCTION("IF(Cost_in_dollars!E2224=""USD"",Cost_in_dollars!C2224,Cost_in_dollars!C2224 * GOOGLEFINANCE(""CURRENCY:"" &amp; Cost_in_dollars!E2224 &amp; ""USD""))
"),47952020)</f>
        <v>47952020</v>
      </c>
      <c r="Q2224" s="4">
        <f t="shared" ca="1" si="48"/>
        <v>-67047980</v>
      </c>
      <c r="R2224" s="5" t="str">
        <f t="shared" si="49"/>
        <v>The Huntsman: Winter's War</v>
      </c>
      <c r="S2224" s="43" t="str">
        <f t="shared" si="52"/>
        <v>Action</v>
      </c>
    </row>
    <row r="2225" spans="1:19" ht="15.75" customHeight="1" x14ac:dyDescent="0.25">
      <c r="A2225" s="6" t="s">
        <v>4066</v>
      </c>
      <c r="B2225" s="6">
        <v>350</v>
      </c>
      <c r="C2225" s="6">
        <v>191449475</v>
      </c>
      <c r="D2225" s="6" t="s">
        <v>3272</v>
      </c>
      <c r="E2225" s="6" t="s">
        <v>1982</v>
      </c>
      <c r="F2225" s="6" t="s">
        <v>4067</v>
      </c>
      <c r="G2225" s="6">
        <v>348010</v>
      </c>
      <c r="H2225" s="6" t="s">
        <v>4068</v>
      </c>
      <c r="I2225" s="6">
        <v>1535</v>
      </c>
      <c r="J2225" s="6" t="s">
        <v>23</v>
      </c>
      <c r="K2225" s="6" t="s">
        <v>24</v>
      </c>
      <c r="L2225" s="6">
        <v>37000000</v>
      </c>
      <c r="M2225" s="6">
        <v>2008</v>
      </c>
      <c r="N2225" s="6">
        <v>5.2</v>
      </c>
      <c r="O2225" s="4">
        <f ca="1">IFERROR(__xludf.DUMMYFUNCTION("IF(Cost_in_dollars!E2225=""USD"",Cost_in_dollars!B2225,Cost_in_dollars!B2225 * GOOGLEFINANCE(""CURRENCY:"" &amp; Cost_in_dollars!E2225 &amp; ""USD""))
"),37000000)</f>
        <v>37000000</v>
      </c>
      <c r="P2225" s="4">
        <f ca="1">IFERROR(__xludf.DUMMYFUNCTION("IF(Cost_in_dollars!E2225=""USD"",Cost_in_dollars!C2225,Cost_in_dollars!C2225 * GOOGLEFINANCE(""CURRENCY:"" &amp; Cost_in_dollars!E2225 &amp; ""USD""))
"),191449475)</f>
        <v>191449475</v>
      </c>
      <c r="Q2225" s="6">
        <f t="shared" ca="1" si="48"/>
        <v>154449475</v>
      </c>
      <c r="R2225" s="7" t="str">
        <f t="shared" si="49"/>
        <v>Twilight</v>
      </c>
      <c r="S2225" s="43" t="str">
        <f t="shared" si="52"/>
        <v>Drama</v>
      </c>
    </row>
    <row r="2226" spans="1:19" ht="15.75" customHeight="1" x14ac:dyDescent="0.25">
      <c r="A2226" s="4" t="s">
        <v>638</v>
      </c>
      <c r="B2226" s="4">
        <v>459</v>
      </c>
      <c r="C2226" s="4">
        <v>72306065</v>
      </c>
      <c r="D2226" s="4" t="s">
        <v>963</v>
      </c>
      <c r="E2226" s="4" t="s">
        <v>464</v>
      </c>
      <c r="F2226" s="4" t="s">
        <v>7278</v>
      </c>
      <c r="G2226" s="4">
        <v>178118</v>
      </c>
      <c r="H2226" s="4" t="s">
        <v>7279</v>
      </c>
      <c r="I2226" s="4">
        <v>355</v>
      </c>
      <c r="J2226" s="4" t="s">
        <v>23</v>
      </c>
      <c r="K2226" s="4" t="s">
        <v>24</v>
      </c>
      <c r="L2226" s="4">
        <v>40000000</v>
      </c>
      <c r="M2226" s="4">
        <v>2015</v>
      </c>
      <c r="N2226" s="4">
        <v>7.6</v>
      </c>
      <c r="O2226" s="4">
        <f ca="1">IFERROR(__xludf.DUMMYFUNCTION("IF(Cost_in_dollars!E2226=""USD"",Cost_in_dollars!B2226,Cost_in_dollars!B2226 * GOOGLEFINANCE(""CURRENCY:"" &amp; Cost_in_dollars!E2226 &amp; ""USD""))
"),40000000)</f>
        <v>40000000</v>
      </c>
      <c r="P2226" s="4">
        <f ca="1">IFERROR(__xludf.DUMMYFUNCTION("IF(Cost_in_dollars!E2226=""USD"",Cost_in_dollars!C2226,Cost_in_dollars!C2226 * GOOGLEFINANCE(""CURRENCY:"" &amp; Cost_in_dollars!E2226 &amp; ""USD""))
"),72306065)</f>
        <v>72306065</v>
      </c>
      <c r="Q2226" s="4">
        <f t="shared" ca="1" si="48"/>
        <v>32306065</v>
      </c>
      <c r="R2226" s="5" t="str">
        <f t="shared" si="49"/>
        <v>Bridge of Spies</v>
      </c>
      <c r="S2226" s="43" t="str">
        <f t="shared" si="52"/>
        <v>Drama</v>
      </c>
    </row>
    <row r="2227" spans="1:19" ht="15.75" customHeight="1" x14ac:dyDescent="0.25">
      <c r="A2227" s="6" t="s">
        <v>7280</v>
      </c>
      <c r="B2227" s="6">
        <v>161</v>
      </c>
      <c r="C2227" s="6">
        <v>15152879</v>
      </c>
      <c r="D2227" s="6" t="s">
        <v>1854</v>
      </c>
      <c r="E2227" s="6" t="s">
        <v>1481</v>
      </c>
      <c r="F2227" s="6" t="s">
        <v>7281</v>
      </c>
      <c r="G2227" s="6">
        <v>13506</v>
      </c>
      <c r="H2227" s="6" t="s">
        <v>7282</v>
      </c>
      <c r="I2227" s="6">
        <v>68</v>
      </c>
      <c r="J2227" s="6" t="s">
        <v>23</v>
      </c>
      <c r="K2227" s="6" t="s">
        <v>611</v>
      </c>
      <c r="L2227" s="6">
        <v>5000000</v>
      </c>
      <c r="M2227" s="6">
        <v>2013</v>
      </c>
      <c r="N2227" s="6">
        <v>4</v>
      </c>
      <c r="O2227" s="4">
        <f ca="1">IFERROR(__xludf.DUMMYFUNCTION("IF(Cost_in_dollars!E2227=""USD"",Cost_in_dollars!B2227,Cost_in_dollars!B2227 * GOOGLEFINANCE(""CURRENCY:"" &amp; Cost_in_dollars!E2227 &amp; ""USD""))
"),5423700)</f>
        <v>5423700</v>
      </c>
      <c r="P2227" s="4">
        <f ca="1">IFERROR(__xludf.DUMMYFUNCTION("IF(Cost_in_dollars!E2227=""USD"",Cost_in_dollars!C2227,Cost_in_dollars!C2227 * GOOGLEFINANCE(""CURRENCY:"" &amp; Cost_in_dollars!E2227 &amp; ""USD""))
"),16436933.96646)</f>
        <v>16436933.966460001</v>
      </c>
      <c r="Q2227" s="6">
        <f t="shared" ca="1" si="48"/>
        <v>11013233.966460001</v>
      </c>
      <c r="R2227" s="7" t="str">
        <f t="shared" si="49"/>
        <v>The Last Exorcism Part II</v>
      </c>
      <c r="S2227" s="43" t="str">
        <f t="shared" si="52"/>
        <v>Drama</v>
      </c>
    </row>
    <row r="2228" spans="1:19" ht="15.75" customHeight="1" x14ac:dyDescent="0.25">
      <c r="A2228" s="4" t="s">
        <v>535</v>
      </c>
      <c r="B2228" s="4">
        <v>49</v>
      </c>
      <c r="C2228" s="4">
        <v>36830057</v>
      </c>
      <c r="D2228" s="4" t="s">
        <v>5315</v>
      </c>
      <c r="E2228" s="4" t="s">
        <v>7283</v>
      </c>
      <c r="F2228" s="4" t="s">
        <v>7284</v>
      </c>
      <c r="G2228" s="4">
        <v>10883</v>
      </c>
      <c r="H2228" s="4" t="s">
        <v>7285</v>
      </c>
      <c r="I2228" s="4">
        <v>73</v>
      </c>
      <c r="J2228" s="4" t="s">
        <v>23</v>
      </c>
      <c r="K2228" s="4" t="s">
        <v>24</v>
      </c>
      <c r="L2228" s="4">
        <v>65000000</v>
      </c>
      <c r="M2228" s="4">
        <v>1999</v>
      </c>
      <c r="N2228" s="4">
        <v>4.9000000000000004</v>
      </c>
      <c r="O2228" s="4">
        <f ca="1">IFERROR(__xludf.DUMMYFUNCTION("IF(Cost_in_dollars!E2228=""USD"",Cost_in_dollars!B2228,Cost_in_dollars!B2228 * GOOGLEFINANCE(""CURRENCY:"" &amp; Cost_in_dollars!E2228 &amp; ""USD""))
"),65000000)</f>
        <v>65000000</v>
      </c>
      <c r="P2228" s="4">
        <f ca="1">IFERROR(__xludf.DUMMYFUNCTION("IF(Cost_in_dollars!E2228=""USD"",Cost_in_dollars!C2228,Cost_in_dollars!C2228 * GOOGLEFINANCE(""CURRENCY:"" &amp; Cost_in_dollars!E2228 &amp; ""USD""))
"),36830057)</f>
        <v>36830057</v>
      </c>
      <c r="Q2228" s="4">
        <f t="shared" ca="1" si="48"/>
        <v>-28169943</v>
      </c>
      <c r="R2228" s="5" t="str">
        <f t="shared" si="49"/>
        <v>My Favorite Martian</v>
      </c>
      <c r="S2228" s="43" t="str">
        <f t="shared" si="52"/>
        <v>Comedy</v>
      </c>
    </row>
    <row r="2229" spans="1:19" ht="15.75" customHeight="1" x14ac:dyDescent="0.25">
      <c r="A2229" s="6" t="s">
        <v>3762</v>
      </c>
      <c r="B2229" s="6">
        <v>226</v>
      </c>
      <c r="C2229" s="6">
        <v>104054514</v>
      </c>
      <c r="D2229" s="6" t="s">
        <v>116</v>
      </c>
      <c r="E2229" s="6" t="s">
        <v>464</v>
      </c>
      <c r="F2229" s="6" t="s">
        <v>7286</v>
      </c>
      <c r="G2229" s="6">
        <v>200359</v>
      </c>
      <c r="H2229" s="6" t="s">
        <v>7287</v>
      </c>
      <c r="I2229" s="6">
        <v>1009</v>
      </c>
      <c r="J2229" s="6" t="s">
        <v>23</v>
      </c>
      <c r="K2229" s="6" t="s">
        <v>24</v>
      </c>
      <c r="L2229" s="6">
        <v>80000000</v>
      </c>
      <c r="M2229" s="6">
        <v>2002</v>
      </c>
      <c r="N2229" s="6">
        <v>7.7</v>
      </c>
      <c r="O2229" s="4">
        <f ca="1">IFERROR(__xludf.DUMMYFUNCTION("IF(Cost_in_dollars!E2229=""USD"",Cost_in_dollars!B2229,Cost_in_dollars!B2229 * GOOGLEFINANCE(""CURRENCY:"" &amp; Cost_in_dollars!E2229 &amp; ""USD""))
"),80000000)</f>
        <v>80000000</v>
      </c>
      <c r="P2229" s="4">
        <f ca="1">IFERROR(__xludf.DUMMYFUNCTION("IF(Cost_in_dollars!E2229=""USD"",Cost_in_dollars!C2229,Cost_in_dollars!C2229 * GOOGLEFINANCE(""CURRENCY:"" &amp; Cost_in_dollars!E2229 &amp; ""USD""))
"),104054514)</f>
        <v>104054514</v>
      </c>
      <c r="Q2229" s="6">
        <f t="shared" ca="1" si="48"/>
        <v>24054514</v>
      </c>
      <c r="R2229" s="7" t="str">
        <f t="shared" si="49"/>
        <v>Road to Perdition</v>
      </c>
      <c r="S2229" s="43" t="str">
        <f t="shared" si="52"/>
        <v>Crime</v>
      </c>
    </row>
    <row r="2230" spans="1:19" ht="15.75" customHeight="1" x14ac:dyDescent="0.25">
      <c r="A2230" s="4" t="s">
        <v>7288</v>
      </c>
      <c r="B2230" s="4">
        <v>81</v>
      </c>
      <c r="C2230" s="4">
        <v>12549485</v>
      </c>
      <c r="D2230" s="4" t="s">
        <v>7289</v>
      </c>
      <c r="E2230" s="4" t="s">
        <v>2710</v>
      </c>
      <c r="F2230" s="4" t="s">
        <v>7290</v>
      </c>
      <c r="G2230" s="4">
        <v>4603</v>
      </c>
      <c r="H2230" s="4" t="s">
        <v>7291</v>
      </c>
      <c r="I2230" s="4">
        <v>91</v>
      </c>
      <c r="J2230" s="4" t="s">
        <v>23</v>
      </c>
      <c r="K2230" s="4" t="s">
        <v>24</v>
      </c>
      <c r="L2230" s="4">
        <v>15000000</v>
      </c>
      <c r="M2230" s="4">
        <v>2006</v>
      </c>
      <c r="N2230" s="4">
        <v>6.2</v>
      </c>
      <c r="O2230" s="4">
        <f ca="1">IFERROR(__xludf.DUMMYFUNCTION("IF(Cost_in_dollars!E2230=""USD"",Cost_in_dollars!B2230,Cost_in_dollars!B2230 * GOOGLEFINANCE(""CURRENCY:"" &amp; Cost_in_dollars!E2230 &amp; ""USD""))
"),15000000)</f>
        <v>15000000</v>
      </c>
      <c r="P2230" s="4">
        <f ca="1">IFERROR(__xludf.DUMMYFUNCTION("IF(Cost_in_dollars!E2230=""USD"",Cost_in_dollars!C2230,Cost_in_dollars!C2230 * GOOGLEFINANCE(""CURRENCY:"" &amp; Cost_in_dollars!E2230 &amp; ""USD""))
"),12549485)</f>
        <v>12549485</v>
      </c>
      <c r="Q2230" s="4">
        <f t="shared" ca="1" si="48"/>
        <v>-2450515</v>
      </c>
      <c r="R2230" s="5" t="str">
        <f t="shared" si="49"/>
        <v>Idlewild</v>
      </c>
      <c r="S2230" s="43" t="str">
        <f t="shared" si="52"/>
        <v>Crime</v>
      </c>
    </row>
    <row r="2231" spans="1:19" ht="15.75" customHeight="1" x14ac:dyDescent="0.25">
      <c r="A2231" s="6" t="s">
        <v>3938</v>
      </c>
      <c r="B2231" s="6">
        <v>162</v>
      </c>
      <c r="C2231" s="6">
        <v>23159305</v>
      </c>
      <c r="D2231" s="6" t="s">
        <v>7292</v>
      </c>
      <c r="E2231" s="6" t="s">
        <v>920</v>
      </c>
      <c r="F2231" s="6" t="s">
        <v>7293</v>
      </c>
      <c r="G2231" s="6">
        <v>128455</v>
      </c>
      <c r="H2231" s="6" t="s">
        <v>7294</v>
      </c>
      <c r="I2231" s="6">
        <v>514</v>
      </c>
      <c r="J2231" s="6" t="s">
        <v>23</v>
      </c>
      <c r="K2231" s="6" t="s">
        <v>24</v>
      </c>
      <c r="L2231" s="6">
        <v>70000000</v>
      </c>
      <c r="M2231" s="6">
        <v>1999</v>
      </c>
      <c r="N2231" s="6">
        <v>8</v>
      </c>
      <c r="O2231" s="4">
        <f ca="1">IFERROR(__xludf.DUMMYFUNCTION("IF(Cost_in_dollars!E2231=""USD"",Cost_in_dollars!B2231,Cost_in_dollars!B2231 * GOOGLEFINANCE(""CURRENCY:"" &amp; Cost_in_dollars!E2231 &amp; ""USD""))
"),70000000)</f>
        <v>70000000</v>
      </c>
      <c r="P2231" s="4">
        <f ca="1">IFERROR(__xludf.DUMMYFUNCTION("IF(Cost_in_dollars!E2231=""USD"",Cost_in_dollars!C2231,Cost_in_dollars!C2231 * GOOGLEFINANCE(""CURRENCY:"" &amp; Cost_in_dollars!E2231 &amp; ""USD""))
"),23159305)</f>
        <v>23159305</v>
      </c>
      <c r="Q2231" s="6">
        <f t="shared" ca="1" si="48"/>
        <v>-46840695</v>
      </c>
      <c r="R2231" s="7" t="str">
        <f t="shared" si="49"/>
        <v>The Iron Giant</v>
      </c>
      <c r="S2231" s="43" t="str">
        <f t="shared" si="52"/>
        <v>Action</v>
      </c>
    </row>
    <row r="2232" spans="1:19" ht="15.75" customHeight="1" x14ac:dyDescent="0.25">
      <c r="A2232" s="4" t="s">
        <v>384</v>
      </c>
      <c r="B2232" s="4">
        <v>133</v>
      </c>
      <c r="C2232" s="4">
        <v>65087</v>
      </c>
      <c r="D2232" s="4" t="s">
        <v>7295</v>
      </c>
      <c r="E2232" s="4" t="s">
        <v>7296</v>
      </c>
      <c r="F2232" s="4" t="s">
        <v>7297</v>
      </c>
      <c r="G2232" s="4">
        <v>8824</v>
      </c>
      <c r="H2232" s="4" t="s">
        <v>7298</v>
      </c>
      <c r="I2232" s="4">
        <v>108</v>
      </c>
      <c r="J2232" s="4" t="s">
        <v>23</v>
      </c>
      <c r="K2232" s="4" t="s">
        <v>24</v>
      </c>
      <c r="L2232" s="4">
        <v>5000000</v>
      </c>
      <c r="M2232" s="4">
        <v>2007</v>
      </c>
      <c r="N2232" s="4">
        <v>6.2</v>
      </c>
      <c r="O2232" s="4">
        <f ca="1">IFERROR(__xludf.DUMMYFUNCTION("IF(Cost_in_dollars!E2232=""USD"",Cost_in_dollars!B2232,Cost_in_dollars!B2232 * GOOGLEFINANCE(""CURRENCY:"" &amp; Cost_in_dollars!E2232 &amp; ""USD""))
"),5000000)</f>
        <v>5000000</v>
      </c>
      <c r="P2232" s="4">
        <f ca="1">IFERROR(__xludf.DUMMYFUNCTION("IF(Cost_in_dollars!E2232=""USD"",Cost_in_dollars!C2232,Cost_in_dollars!C2232 * GOOGLEFINANCE(""CURRENCY:"" &amp; Cost_in_dollars!E2232 &amp; ""USD""))
"),65087)</f>
        <v>65087</v>
      </c>
      <c r="Q2232" s="4">
        <f t="shared" ca="1" si="48"/>
        <v>-4934913</v>
      </c>
      <c r="R2232" s="5" t="str">
        <f t="shared" si="49"/>
        <v>Redacted</v>
      </c>
      <c r="S2232" s="43" t="str">
        <f t="shared" si="52"/>
        <v>Crime</v>
      </c>
    </row>
    <row r="2233" spans="1:19" ht="15.75" customHeight="1" x14ac:dyDescent="0.25">
      <c r="A2233" s="6" t="s">
        <v>5413</v>
      </c>
      <c r="B2233" s="6">
        <v>378</v>
      </c>
      <c r="C2233" s="6">
        <v>92173235</v>
      </c>
      <c r="D2233" s="6" t="s">
        <v>116</v>
      </c>
      <c r="E2233" s="6" t="s">
        <v>483</v>
      </c>
      <c r="F2233" s="6" t="s">
        <v>7299</v>
      </c>
      <c r="G2233" s="6">
        <v>280228</v>
      </c>
      <c r="H2233" s="6" t="s">
        <v>7300</v>
      </c>
      <c r="I2233" s="6">
        <v>420</v>
      </c>
      <c r="J2233" s="6" t="s">
        <v>23</v>
      </c>
      <c r="K2233" s="6" t="s">
        <v>24</v>
      </c>
      <c r="L2233" s="6">
        <v>37000000</v>
      </c>
      <c r="M2233" s="6">
        <v>2010</v>
      </c>
      <c r="N2233" s="6">
        <v>7.6</v>
      </c>
      <c r="O2233" s="4">
        <f ca="1">IFERROR(__xludf.DUMMYFUNCTION("IF(Cost_in_dollars!E2233=""USD"",Cost_in_dollars!B2233,Cost_in_dollars!B2233 * GOOGLEFINANCE(""CURRENCY:"" &amp; Cost_in_dollars!E2233 &amp; ""USD""))
"),37000000)</f>
        <v>37000000</v>
      </c>
      <c r="P2233" s="4">
        <f ca="1">IFERROR(__xludf.DUMMYFUNCTION("IF(Cost_in_dollars!E2233=""USD"",Cost_in_dollars!C2233,Cost_in_dollars!C2233 * GOOGLEFINANCE(""CURRENCY:"" &amp; Cost_in_dollars!E2233 &amp; ""USD""))
"),92173235)</f>
        <v>92173235</v>
      </c>
      <c r="Q2233" s="6">
        <f t="shared" ca="1" si="48"/>
        <v>55173235</v>
      </c>
      <c r="R2233" s="7" t="str">
        <f t="shared" si="49"/>
        <v>The Town</v>
      </c>
      <c r="S2233" s="43" t="str">
        <f t="shared" si="52"/>
        <v>Crime</v>
      </c>
    </row>
    <row r="2234" spans="1:19" ht="15.75" customHeight="1" x14ac:dyDescent="0.25">
      <c r="A2234" s="4" t="s">
        <v>1227</v>
      </c>
      <c r="B2234" s="4">
        <v>120</v>
      </c>
      <c r="C2234" s="4">
        <v>10725228</v>
      </c>
      <c r="D2234" s="4" t="s">
        <v>1277</v>
      </c>
      <c r="E2234" s="4" t="s">
        <v>486</v>
      </c>
      <c r="F2234" s="4" t="s">
        <v>7301</v>
      </c>
      <c r="G2234" s="4">
        <v>75675</v>
      </c>
      <c r="H2234" s="4" t="s">
        <v>7302</v>
      </c>
      <c r="I2234" s="4">
        <v>365</v>
      </c>
      <c r="J2234" s="4" t="s">
        <v>23</v>
      </c>
      <c r="K2234" s="4" t="s">
        <v>24</v>
      </c>
      <c r="L2234" s="4">
        <v>12500000</v>
      </c>
      <c r="M2234" s="4">
        <v>1992</v>
      </c>
      <c r="N2234" s="4">
        <v>7.8</v>
      </c>
      <c r="O2234" s="4">
        <f ca="1">IFERROR(__xludf.DUMMYFUNCTION("IF(Cost_in_dollars!E2234=""USD"",Cost_in_dollars!B2234,Cost_in_dollars!B2234 * GOOGLEFINANCE(""CURRENCY:"" &amp; Cost_in_dollars!E2234 &amp; ""USD""))
"),12500000)</f>
        <v>12500000</v>
      </c>
      <c r="P2234" s="4">
        <f ca="1">IFERROR(__xludf.DUMMYFUNCTION("IF(Cost_in_dollars!E2234=""USD"",Cost_in_dollars!C2234,Cost_in_dollars!C2234 * GOOGLEFINANCE(""CURRENCY:"" &amp; Cost_in_dollars!E2234 &amp; ""USD""))
"),10725228)</f>
        <v>10725228</v>
      </c>
      <c r="Q2234" s="4">
        <f t="shared" ca="1" si="48"/>
        <v>-1774772</v>
      </c>
      <c r="R2234" s="5" t="str">
        <f t="shared" si="49"/>
        <v>Glengarry Glen Ross</v>
      </c>
      <c r="S2234" s="43" t="str">
        <f t="shared" si="52"/>
        <v>Crime</v>
      </c>
    </row>
    <row r="2235" spans="1:19" ht="15.75" customHeight="1" x14ac:dyDescent="0.25">
      <c r="A2235" s="6" t="s">
        <v>2614</v>
      </c>
      <c r="B2235" s="6">
        <v>204</v>
      </c>
      <c r="C2235" s="6">
        <v>81257845</v>
      </c>
      <c r="D2235" s="6" t="s">
        <v>324</v>
      </c>
      <c r="E2235" s="6" t="s">
        <v>7303</v>
      </c>
      <c r="F2235" s="6" t="s">
        <v>7304</v>
      </c>
      <c r="G2235" s="6">
        <v>210680</v>
      </c>
      <c r="H2235" s="6" t="s">
        <v>7305</v>
      </c>
      <c r="I2235" s="6">
        <v>479</v>
      </c>
      <c r="J2235" s="6" t="s">
        <v>23</v>
      </c>
      <c r="K2235" s="6" t="s">
        <v>24</v>
      </c>
      <c r="L2235" s="6">
        <v>35000000</v>
      </c>
      <c r="M2235" s="6">
        <v>2003</v>
      </c>
      <c r="N2235" s="6">
        <v>7.1</v>
      </c>
      <c r="O2235" s="4">
        <f ca="1">IFERROR(__xludf.DUMMYFUNCTION("IF(Cost_in_dollars!E2235=""USD"",Cost_in_dollars!B2235,Cost_in_dollars!B2235 * GOOGLEFINANCE(""CURRENCY:"" &amp; Cost_in_dollars!E2235 &amp; ""USD""))
"),35000000)</f>
        <v>35000000</v>
      </c>
      <c r="P2235" s="4">
        <f ca="1">IFERROR(__xludf.DUMMYFUNCTION("IF(Cost_in_dollars!E2235=""USD"",Cost_in_dollars!C2235,Cost_in_dollars!C2235 * GOOGLEFINANCE(""CURRENCY:"" &amp; Cost_in_dollars!E2235 &amp; ""USD""))
"),81257845)</f>
        <v>81257845</v>
      </c>
      <c r="Q2235" s="6">
        <f t="shared" ca="1" si="48"/>
        <v>46257845</v>
      </c>
      <c r="R2235" s="7" t="str">
        <f t="shared" si="49"/>
        <v>School of Rock</v>
      </c>
      <c r="S2235" s="43" t="str">
        <f t="shared" si="52"/>
        <v>Comedy</v>
      </c>
    </row>
    <row r="2236" spans="1:19" ht="15.75" customHeight="1" x14ac:dyDescent="0.25">
      <c r="A2236" s="4" t="s">
        <v>2916</v>
      </c>
      <c r="B2236" s="4">
        <v>262</v>
      </c>
      <c r="C2236" s="4">
        <v>58401464</v>
      </c>
      <c r="D2236" s="4" t="s">
        <v>88</v>
      </c>
      <c r="E2236" s="4" t="s">
        <v>500</v>
      </c>
      <c r="F2236" s="4" t="s">
        <v>7306</v>
      </c>
      <c r="G2236" s="4">
        <v>276746</v>
      </c>
      <c r="H2236" s="4" t="s">
        <v>7307</v>
      </c>
      <c r="I2236" s="4">
        <v>264</v>
      </c>
      <c r="J2236" s="4" t="s">
        <v>23</v>
      </c>
      <c r="K2236" s="4" t="s">
        <v>24</v>
      </c>
      <c r="L2236" s="4">
        <v>8000000</v>
      </c>
      <c r="M2236" s="4">
        <v>2010</v>
      </c>
      <c r="N2236" s="4">
        <v>7.1</v>
      </c>
      <c r="O2236" s="4">
        <f ca="1">IFERROR(__xludf.DUMMYFUNCTION("IF(Cost_in_dollars!E2236=""USD"",Cost_in_dollars!B2236,Cost_in_dollars!B2236 * GOOGLEFINANCE(""CURRENCY:"" &amp; Cost_in_dollars!E2236 &amp; ""USD""))
"),8000000)</f>
        <v>8000000</v>
      </c>
      <c r="P2236" s="4">
        <f ca="1">IFERROR(__xludf.DUMMYFUNCTION("IF(Cost_in_dollars!E2236=""USD"",Cost_in_dollars!C2236,Cost_in_dollars!C2236 * GOOGLEFINANCE(""CURRENCY:"" &amp; Cost_in_dollars!E2236 &amp; ""USD""))
"),58401464)</f>
        <v>58401464</v>
      </c>
      <c r="Q2236" s="4">
        <f t="shared" ca="1" si="48"/>
        <v>50401464</v>
      </c>
      <c r="R2236" s="5" t="str">
        <f t="shared" si="49"/>
        <v>Easy A</v>
      </c>
      <c r="S2236" s="43" t="str">
        <f t="shared" si="52"/>
        <v>Comedy</v>
      </c>
    </row>
    <row r="2237" spans="1:19" ht="15.75" customHeight="1" x14ac:dyDescent="0.25">
      <c r="A2237" s="6" t="s">
        <v>658</v>
      </c>
      <c r="B2237" s="6">
        <v>207</v>
      </c>
      <c r="C2237" s="6">
        <v>59588068</v>
      </c>
      <c r="D2237" s="6" t="s">
        <v>93</v>
      </c>
      <c r="E2237" s="6" t="s">
        <v>330</v>
      </c>
      <c r="F2237" s="6" t="s">
        <v>7308</v>
      </c>
      <c r="G2237" s="6">
        <v>89557</v>
      </c>
      <c r="H2237" s="6" t="s">
        <v>7309</v>
      </c>
      <c r="I2237" s="6">
        <v>376</v>
      </c>
      <c r="J2237" s="6" t="s">
        <v>23</v>
      </c>
      <c r="K2237" s="6" t="s">
        <v>24</v>
      </c>
      <c r="L2237" s="6">
        <v>40000000</v>
      </c>
      <c r="M2237" s="6">
        <v>2003</v>
      </c>
      <c r="N2237" s="6">
        <v>5.8</v>
      </c>
      <c r="O2237" s="4">
        <f ca="1">IFERROR(__xludf.DUMMYFUNCTION("IF(Cost_in_dollars!E2237=""USD"",Cost_in_dollars!B2237,Cost_in_dollars!B2237 * GOOGLEFINANCE(""CURRENCY:"" &amp; Cost_in_dollars!E2237 &amp; ""USD""))
"),40000000)</f>
        <v>40000000</v>
      </c>
      <c r="P2237" s="4">
        <f ca="1">IFERROR(__xludf.DUMMYFUNCTION("IF(Cost_in_dollars!E2237=""USD"",Cost_in_dollars!C2237,Cost_in_dollars!C2237 * GOOGLEFINANCE(""CURRENCY:"" &amp; Cost_in_dollars!E2237 &amp; ""USD""))
"),59588068)</f>
        <v>59588068</v>
      </c>
      <c r="Q2237" s="6">
        <f t="shared" ca="1" si="48"/>
        <v>19588068</v>
      </c>
      <c r="R2237" s="7" t="str">
        <f t="shared" si="49"/>
        <v>Gothika</v>
      </c>
      <c r="S2237" s="43" t="str">
        <f t="shared" si="52"/>
        <v>Horror</v>
      </c>
    </row>
    <row r="2238" spans="1:19" ht="15.75" customHeight="1" x14ac:dyDescent="0.25">
      <c r="A2238" s="4" t="s">
        <v>5028</v>
      </c>
      <c r="B2238" s="4">
        <v>161</v>
      </c>
      <c r="C2238" s="4">
        <v>35096190</v>
      </c>
      <c r="D2238" s="4" t="s">
        <v>244</v>
      </c>
      <c r="E2238" s="4" t="s">
        <v>7310</v>
      </c>
      <c r="F2238" s="4" t="s">
        <v>7311</v>
      </c>
      <c r="G2238" s="4">
        <v>76560</v>
      </c>
      <c r="H2238" s="4" t="s">
        <v>7312</v>
      </c>
      <c r="I2238" s="4">
        <v>322</v>
      </c>
      <c r="J2238" s="4" t="s">
        <v>23</v>
      </c>
      <c r="K2238" s="4" t="s">
        <v>24</v>
      </c>
      <c r="L2238" s="4">
        <v>60000000</v>
      </c>
      <c r="M2238" s="4">
        <v>2003</v>
      </c>
      <c r="N2238" s="4">
        <v>6.3</v>
      </c>
      <c r="O2238" s="4">
        <f ca="1">IFERROR(__xludf.DUMMYFUNCTION("IF(Cost_in_dollars!E2238=""USD"",Cost_in_dollars!B2238,Cost_in_dollars!B2238 * GOOGLEFINANCE(""CURRENCY:"" &amp; Cost_in_dollars!E2238 &amp; ""USD""))
"),60000000)</f>
        <v>60000000</v>
      </c>
      <c r="P2238" s="4">
        <f ca="1">IFERROR(__xludf.DUMMYFUNCTION("IF(Cost_in_dollars!E2238=""USD"",Cost_in_dollars!C2238,Cost_in_dollars!C2238 * GOOGLEFINANCE(""CURRENCY:"" &amp; Cost_in_dollars!E2238 &amp; ""USD""))
"),35096190)</f>
        <v>35096190</v>
      </c>
      <c r="Q2238" s="4">
        <f t="shared" ca="1" si="48"/>
        <v>-24903810</v>
      </c>
      <c r="R2238" s="5" t="str">
        <f t="shared" si="49"/>
        <v>Intolerable Cruelty</v>
      </c>
      <c r="S2238" s="43" t="str">
        <f t="shared" si="52"/>
        <v>Comedy</v>
      </c>
    </row>
    <row r="2239" spans="1:19" ht="15.75" customHeight="1" x14ac:dyDescent="0.25">
      <c r="A2239" s="6" t="s">
        <v>267</v>
      </c>
      <c r="B2239" s="6">
        <v>78</v>
      </c>
      <c r="C2239" s="6">
        <v>58255287</v>
      </c>
      <c r="D2239" s="6" t="s">
        <v>443</v>
      </c>
      <c r="E2239" s="6" t="s">
        <v>1889</v>
      </c>
      <c r="F2239" s="6" t="s">
        <v>7313</v>
      </c>
      <c r="G2239" s="6">
        <v>39471</v>
      </c>
      <c r="H2239" s="6" t="s">
        <v>7314</v>
      </c>
      <c r="I2239" s="6">
        <v>187</v>
      </c>
      <c r="J2239" s="6" t="s">
        <v>23</v>
      </c>
      <c r="K2239" s="6" t="s">
        <v>24</v>
      </c>
      <c r="L2239" s="6">
        <v>64000000</v>
      </c>
      <c r="M2239" s="6">
        <v>2006</v>
      </c>
      <c r="N2239" s="6">
        <v>4.3</v>
      </c>
      <c r="O2239" s="4">
        <f ca="1">IFERROR(__xludf.DUMMYFUNCTION("IF(Cost_in_dollars!E2239=""USD"",Cost_in_dollars!B2239,Cost_in_dollars!B2239 * GOOGLEFINANCE(""CURRENCY:"" &amp; Cost_in_dollars!E2239 &amp; ""USD""))
"),64000000)</f>
        <v>64000000</v>
      </c>
      <c r="P2239" s="4">
        <f ca="1">IFERROR(__xludf.DUMMYFUNCTION("IF(Cost_in_dollars!E2239=""USD"",Cost_in_dollars!C2239,Cost_in_dollars!C2239 * GOOGLEFINANCE(""CURRENCY:"" &amp; Cost_in_dollars!E2239 &amp; ""USD""))
"),58255287)</f>
        <v>58255287</v>
      </c>
      <c r="Q2239" s="6">
        <f t="shared" ca="1" si="48"/>
        <v>-5744713</v>
      </c>
      <c r="R2239" s="7" t="str">
        <f t="shared" si="49"/>
        <v>Littleman</v>
      </c>
      <c r="S2239" s="43" t="str">
        <f t="shared" si="52"/>
        <v>Comedy</v>
      </c>
    </row>
    <row r="2240" spans="1:19" ht="15.75" customHeight="1" x14ac:dyDescent="0.25">
      <c r="A2240" s="4" t="s">
        <v>7315</v>
      </c>
      <c r="B2240" s="4">
        <v>220</v>
      </c>
      <c r="C2240" s="4">
        <v>6851969</v>
      </c>
      <c r="D2240" s="4" t="s">
        <v>162</v>
      </c>
      <c r="E2240" s="4" t="s">
        <v>7316</v>
      </c>
      <c r="F2240" s="4" t="s">
        <v>7317</v>
      </c>
      <c r="G2240" s="4">
        <v>105591</v>
      </c>
      <c r="H2240" s="4" t="s">
        <v>7318</v>
      </c>
      <c r="I2240" s="4">
        <v>178</v>
      </c>
      <c r="J2240" s="4" t="s">
        <v>23</v>
      </c>
      <c r="K2240" s="4" t="s">
        <v>24</v>
      </c>
      <c r="L2240" s="4">
        <v>2500000</v>
      </c>
      <c r="M2240" s="4">
        <v>2013</v>
      </c>
      <c r="N2240" s="4">
        <v>7.1</v>
      </c>
      <c r="O2240" s="4">
        <f ca="1">IFERROR(__xludf.DUMMYFUNCTION("IF(Cost_in_dollars!E2240=""USD"",Cost_in_dollars!B2240,Cost_in_dollars!B2240 * GOOGLEFINANCE(""CURRENCY:"" &amp; Cost_in_dollars!E2240 &amp; ""USD""))
"),2500000)</f>
        <v>2500000</v>
      </c>
      <c r="P2240" s="4">
        <f ca="1">IFERROR(__xludf.DUMMYFUNCTION("IF(Cost_in_dollars!E2240=""USD"",Cost_in_dollars!C2240,Cost_in_dollars!C2240 * GOOGLEFINANCE(""CURRENCY:"" &amp; Cost_in_dollars!E2240 &amp; ""USD""))
"),6851969)</f>
        <v>6851969</v>
      </c>
      <c r="Q2240" s="4">
        <f t="shared" ca="1" si="48"/>
        <v>4351969</v>
      </c>
      <c r="R2240" s="5" t="str">
        <f t="shared" si="49"/>
        <v>The Spectacular Now</v>
      </c>
      <c r="S2240" s="43" t="str">
        <f t="shared" si="52"/>
        <v>Comedy</v>
      </c>
    </row>
    <row r="2241" spans="1:19" ht="15.75" customHeight="1" x14ac:dyDescent="0.25">
      <c r="A2241" s="6" t="s">
        <v>7319</v>
      </c>
      <c r="B2241" s="6">
        <v>22</v>
      </c>
      <c r="C2241" s="6">
        <v>100503</v>
      </c>
      <c r="D2241" s="6" t="s">
        <v>88</v>
      </c>
      <c r="E2241" s="6" t="s">
        <v>7320</v>
      </c>
      <c r="F2241" s="6" t="s">
        <v>7321</v>
      </c>
      <c r="G2241" s="6">
        <v>7759</v>
      </c>
      <c r="H2241" s="6" t="s">
        <v>7322</v>
      </c>
      <c r="I2241" s="6">
        <v>20</v>
      </c>
      <c r="J2241" s="6" t="s">
        <v>23</v>
      </c>
      <c r="K2241" s="6" t="s">
        <v>24</v>
      </c>
      <c r="L2241" s="6">
        <v>8000000</v>
      </c>
      <c r="M2241" s="6">
        <v>2009</v>
      </c>
      <c r="N2241" s="6">
        <v>5.9</v>
      </c>
      <c r="O2241" s="4">
        <f ca="1">IFERROR(__xludf.DUMMYFUNCTION("IF(Cost_in_dollars!E2241=""USD"",Cost_in_dollars!B2241,Cost_in_dollars!B2241 * GOOGLEFINANCE(""CURRENCY:"" &amp; Cost_in_dollars!E2241 &amp; ""USD""))
"),8000000)</f>
        <v>8000000</v>
      </c>
      <c r="P2241" s="4">
        <f ca="1">IFERROR(__xludf.DUMMYFUNCTION("IF(Cost_in_dollars!E2241=""USD"",Cost_in_dollars!C2241,Cost_in_dollars!C2241 * GOOGLEFINANCE(""CURRENCY:"" &amp; Cost_in_dollars!E2241 &amp; ""USD""))
"),100503)</f>
        <v>100503</v>
      </c>
      <c r="Q2241" s="6">
        <f t="shared" ca="1" si="48"/>
        <v>-7899497</v>
      </c>
      <c r="R2241" s="7" t="str">
        <f t="shared" si="49"/>
        <v>The Good Guy</v>
      </c>
      <c r="S2241" s="43" t="str">
        <f t="shared" si="52"/>
        <v>Comedy</v>
      </c>
    </row>
    <row r="2242" spans="1:19" ht="15.75" customHeight="1" x14ac:dyDescent="0.25">
      <c r="A2242" s="4" t="s">
        <v>4278</v>
      </c>
      <c r="B2242" s="4">
        <v>318</v>
      </c>
      <c r="C2242" s="4">
        <v>227946274</v>
      </c>
      <c r="D2242" s="4" t="s">
        <v>211</v>
      </c>
      <c r="E2242" s="4" t="s">
        <v>2732</v>
      </c>
      <c r="F2242" s="4" t="s">
        <v>7323</v>
      </c>
      <c r="G2242" s="4">
        <v>343648</v>
      </c>
      <c r="H2242" s="4" t="s">
        <v>7324</v>
      </c>
      <c r="I2242" s="4">
        <v>590</v>
      </c>
      <c r="J2242" s="4" t="s">
        <v>23</v>
      </c>
      <c r="K2242" s="4" t="s">
        <v>24</v>
      </c>
      <c r="L2242" s="4">
        <v>150000000</v>
      </c>
      <c r="M2242" s="4">
        <v>2008</v>
      </c>
      <c r="N2242" s="4">
        <v>6.4</v>
      </c>
      <c r="O2242" s="4">
        <f ca="1">IFERROR(__xludf.DUMMYFUNCTION("IF(Cost_in_dollars!E2242=""USD"",Cost_in_dollars!B2242,Cost_in_dollars!B2242 * GOOGLEFINANCE(""CURRENCY:"" &amp; Cost_in_dollars!E2242 &amp; ""USD""))
"),150000000)</f>
        <v>150000000</v>
      </c>
      <c r="P2242" s="4">
        <f ca="1">IFERROR(__xludf.DUMMYFUNCTION("IF(Cost_in_dollars!E2242=""USD"",Cost_in_dollars!C2242,Cost_in_dollars!C2242 * GOOGLEFINANCE(""CURRENCY:"" &amp; Cost_in_dollars!E2242 &amp; ""USD""))
"),227946274)</f>
        <v>227946274</v>
      </c>
      <c r="Q2242" s="4">
        <f t="shared" ca="1" si="48"/>
        <v>77946274</v>
      </c>
      <c r="R2242" s="5" t="str">
        <f t="shared" si="49"/>
        <v>Hancock</v>
      </c>
      <c r="S2242" s="43" t="str">
        <f t="shared" ref="S2242:S2305" si="53">IF(ISNUMBER(FIND("|", D2242)), LEFT(D2242, FIND("|", D2242) - 1), D2242)</f>
        <v>Action</v>
      </c>
    </row>
    <row r="2243" spans="1:19" ht="15.75" customHeight="1" x14ac:dyDescent="0.25">
      <c r="A2243" s="6" t="s">
        <v>7325</v>
      </c>
      <c r="B2243" s="6">
        <v>103</v>
      </c>
      <c r="C2243" s="6">
        <v>28927720</v>
      </c>
      <c r="D2243" s="6" t="s">
        <v>3420</v>
      </c>
      <c r="E2243" s="6" t="s">
        <v>1173</v>
      </c>
      <c r="F2243" s="6" t="s">
        <v>7326</v>
      </c>
      <c r="G2243" s="6">
        <v>22220</v>
      </c>
      <c r="H2243" s="6" t="s">
        <v>7327</v>
      </c>
      <c r="I2243" s="6">
        <v>181</v>
      </c>
      <c r="J2243" s="6" t="s">
        <v>23</v>
      </c>
      <c r="K2243" s="6" t="s">
        <v>24</v>
      </c>
      <c r="L2243" s="6">
        <v>33000000</v>
      </c>
      <c r="M2243" s="6">
        <v>2000</v>
      </c>
      <c r="N2243" s="6">
        <v>5.3</v>
      </c>
      <c r="O2243" s="4">
        <f ca="1">IFERROR(__xludf.DUMMYFUNCTION("IF(Cost_in_dollars!E2243=""USD"",Cost_in_dollars!B2243,Cost_in_dollars!B2243 * GOOGLEFINANCE(""CURRENCY:"" &amp; Cost_in_dollars!E2243 &amp; ""USD""))
"),33000000)</f>
        <v>33000000</v>
      </c>
      <c r="P2243" s="4">
        <f ca="1">IFERROR(__xludf.DUMMYFUNCTION("IF(Cost_in_dollars!E2243=""USD"",Cost_in_dollars!C2243,Cost_in_dollars!C2243 * GOOGLEFINANCE(""CURRENCY:"" &amp; Cost_in_dollars!E2243 &amp; ""USD""))
"),28927720)</f>
        <v>28927720</v>
      </c>
      <c r="Q2243" s="6">
        <f t="shared" ca="1" si="48"/>
        <v>-4072280</v>
      </c>
      <c r="R2243" s="7" t="str">
        <f t="shared" si="49"/>
        <v>The Watcher</v>
      </c>
      <c r="S2243" s="43" t="str">
        <f t="shared" si="53"/>
        <v>Crime</v>
      </c>
    </row>
    <row r="2244" spans="1:19" ht="15.75" customHeight="1" x14ac:dyDescent="0.25">
      <c r="A2244" s="4" t="s">
        <v>1405</v>
      </c>
      <c r="B2244" s="4">
        <v>59</v>
      </c>
      <c r="C2244" s="4">
        <v>582024</v>
      </c>
      <c r="D2244" s="4" t="s">
        <v>3561</v>
      </c>
      <c r="E2244" s="4" t="s">
        <v>1405</v>
      </c>
      <c r="F2244" s="4" t="s">
        <v>7328</v>
      </c>
      <c r="G2244" s="4">
        <v>30396</v>
      </c>
      <c r="H2244" s="4" t="s">
        <v>7329</v>
      </c>
      <c r="I2244" s="4">
        <v>168</v>
      </c>
      <c r="J2244" s="4" t="s">
        <v>23</v>
      </c>
      <c r="K2244" s="4" t="s">
        <v>24</v>
      </c>
      <c r="L2244" s="4">
        <v>1000000</v>
      </c>
      <c r="M2244" s="4">
        <v>1997</v>
      </c>
      <c r="N2244" s="4">
        <v>6.2</v>
      </c>
      <c r="O2244" s="4">
        <f ca="1">IFERROR(__xludf.DUMMYFUNCTION("IF(Cost_in_dollars!E2244=""USD"",Cost_in_dollars!B2244,Cost_in_dollars!B2244 * GOOGLEFINANCE(""CURRENCY:"" &amp; Cost_in_dollars!E2244 &amp; ""USD""))
"),1000000)</f>
        <v>1000000</v>
      </c>
      <c r="P2244" s="4">
        <f ca="1">IFERROR(__xludf.DUMMYFUNCTION("IF(Cost_in_dollars!E2244=""USD"",Cost_in_dollars!C2244,Cost_in_dollars!C2244 * GOOGLEFINANCE(""CURRENCY:"" &amp; Cost_in_dollars!E2244 &amp; ""USD""))
"),582024)</f>
        <v>582024</v>
      </c>
      <c r="Q2244" s="4">
        <f t="shared" ca="1" si="48"/>
        <v>-417976</v>
      </c>
      <c r="R2244" s="5" t="str">
        <f t="shared" si="49"/>
        <v>Orgazmo</v>
      </c>
      <c r="S2244" s="43" t="str">
        <f t="shared" si="53"/>
        <v>Comedy</v>
      </c>
    </row>
    <row r="2245" spans="1:19" ht="15.75" customHeight="1" x14ac:dyDescent="0.25">
      <c r="A2245" s="6" t="s">
        <v>5925</v>
      </c>
      <c r="B2245" s="6">
        <v>117</v>
      </c>
      <c r="C2245" s="6">
        <v>66002004</v>
      </c>
      <c r="D2245" s="6" t="s">
        <v>7330</v>
      </c>
      <c r="E2245" s="6" t="s">
        <v>2475</v>
      </c>
      <c r="F2245" s="6" t="s">
        <v>7331</v>
      </c>
      <c r="G2245" s="6">
        <v>36431</v>
      </c>
      <c r="H2245" s="6" t="s">
        <v>7332</v>
      </c>
      <c r="I2245" s="6">
        <v>168</v>
      </c>
      <c r="J2245" s="6" t="s">
        <v>23</v>
      </c>
      <c r="K2245" s="6" t="s">
        <v>24</v>
      </c>
      <c r="L2245" s="6">
        <v>50000000</v>
      </c>
      <c r="M2245" s="6">
        <v>2005</v>
      </c>
      <c r="N2245" s="6">
        <v>4.7</v>
      </c>
      <c r="O2245" s="4">
        <f ca="1">IFERROR(__xludf.DUMMYFUNCTION("IF(Cost_in_dollars!E2245=""USD"",Cost_in_dollars!B2245,Cost_in_dollars!B2245 * GOOGLEFINANCE(""CURRENCY:"" &amp; Cost_in_dollars!E2245 &amp; ""USD""))
"),50000000)</f>
        <v>50000000</v>
      </c>
      <c r="P2245" s="4">
        <f ca="1">IFERROR(__xludf.DUMMYFUNCTION("IF(Cost_in_dollars!E2245=""USD"",Cost_in_dollars!C2245,Cost_in_dollars!C2245 * GOOGLEFINANCE(""CURRENCY:"" &amp; Cost_in_dollars!E2245 &amp; ""USD""))
"),66002004)</f>
        <v>66002004</v>
      </c>
      <c r="Q2245" s="6">
        <f t="shared" ca="1" si="48"/>
        <v>16002004</v>
      </c>
      <c r="R2245" s="7" t="str">
        <f t="shared" si="49"/>
        <v>Herbie Fully Loaded</v>
      </c>
      <c r="S2245" s="43" t="str">
        <f t="shared" si="53"/>
        <v>Adventure</v>
      </c>
    </row>
    <row r="2246" spans="1:19" ht="15.75" customHeight="1" x14ac:dyDescent="0.25">
      <c r="A2246" s="4" t="s">
        <v>7333</v>
      </c>
      <c r="B2246" s="4">
        <v>22</v>
      </c>
      <c r="C2246" s="4">
        <v>5000000</v>
      </c>
      <c r="D2246" s="4" t="s">
        <v>7334</v>
      </c>
      <c r="E2246" s="4" t="s">
        <v>7335</v>
      </c>
      <c r="F2246" s="4" t="s">
        <v>7336</v>
      </c>
      <c r="G2246" s="4">
        <v>1547</v>
      </c>
      <c r="H2246" s="4" t="s">
        <v>7337</v>
      </c>
      <c r="I2246" s="4">
        <v>50</v>
      </c>
      <c r="J2246" s="4" t="s">
        <v>23</v>
      </c>
      <c r="K2246" s="4" t="s">
        <v>24</v>
      </c>
      <c r="L2246" s="4">
        <v>25000000</v>
      </c>
      <c r="M2246" s="4">
        <v>1970</v>
      </c>
      <c r="N2246" s="4">
        <v>6.2</v>
      </c>
      <c r="O2246" s="4">
        <f ca="1">IFERROR(__xludf.DUMMYFUNCTION("IF(Cost_in_dollars!E2246=""USD"",Cost_in_dollars!B2246,Cost_in_dollars!B2246 * GOOGLEFINANCE(""CURRENCY:"" &amp; Cost_in_dollars!E2246 &amp; ""USD""))
"),25000000)</f>
        <v>25000000</v>
      </c>
      <c r="P2246" s="4">
        <f ca="1">IFERROR(__xludf.DUMMYFUNCTION("IF(Cost_in_dollars!E2246=""USD"",Cost_in_dollars!C2246,Cost_in_dollars!C2246 * GOOGLEFINANCE(""CURRENCY:"" &amp; Cost_in_dollars!E2246 &amp; ""USD""))
"),5000000)</f>
        <v>5000000</v>
      </c>
      <c r="Q2246" s="4">
        <f t="shared" ca="1" si="48"/>
        <v>-20000000</v>
      </c>
      <c r="R2246" s="5" t="str">
        <f t="shared" si="49"/>
        <v>Darling Lili</v>
      </c>
      <c r="S2246" s="43" t="str">
        <f t="shared" si="53"/>
        <v>Comedy</v>
      </c>
    </row>
    <row r="2247" spans="1:19" ht="15.75" customHeight="1" x14ac:dyDescent="0.25">
      <c r="A2247" s="6" t="s">
        <v>3439</v>
      </c>
      <c r="B2247" s="6">
        <v>124</v>
      </c>
      <c r="C2247" s="6">
        <v>40905277</v>
      </c>
      <c r="D2247" s="6" t="s">
        <v>813</v>
      </c>
      <c r="E2247" s="6" t="s">
        <v>69</v>
      </c>
      <c r="F2247" s="6" t="s">
        <v>7338</v>
      </c>
      <c r="G2247" s="6">
        <v>45895</v>
      </c>
      <c r="H2247" s="6" t="s">
        <v>7339</v>
      </c>
      <c r="I2247" s="6">
        <v>157</v>
      </c>
      <c r="J2247" s="6" t="s">
        <v>23</v>
      </c>
      <c r="K2247" s="6" t="s">
        <v>24</v>
      </c>
      <c r="L2247" s="6">
        <v>50000000</v>
      </c>
      <c r="M2247" s="6">
        <v>2003</v>
      </c>
      <c r="N2247" s="6">
        <v>6.5</v>
      </c>
      <c r="O2247" s="4">
        <f ca="1">IFERROR(__xludf.DUMMYFUNCTION("IF(Cost_in_dollars!E2247=""USD"",Cost_in_dollars!B2247,Cost_in_dollars!B2247 * GOOGLEFINANCE(""CURRENCY:"" &amp; Cost_in_dollars!E2247 &amp; ""USD""))
"),50000000)</f>
        <v>50000000</v>
      </c>
      <c r="P2247" s="4">
        <f ca="1">IFERROR(__xludf.DUMMYFUNCTION("IF(Cost_in_dollars!E2247=""USD"",Cost_in_dollars!C2247,Cost_in_dollars!C2247 * GOOGLEFINANCE(""CURRENCY:"" &amp; Cost_in_dollars!E2247 &amp; ""USD""))
"),40905277)</f>
        <v>40905277</v>
      </c>
      <c r="Q2247" s="6">
        <f t="shared" ca="1" si="48"/>
        <v>-9094723</v>
      </c>
      <c r="R2247" s="7" t="str">
        <f t="shared" si="49"/>
        <v>Out of Time</v>
      </c>
      <c r="S2247" s="43" t="str">
        <f t="shared" si="53"/>
        <v>Crime</v>
      </c>
    </row>
    <row r="2248" spans="1:19" ht="15.75" customHeight="1" x14ac:dyDescent="0.25">
      <c r="A2248" s="4" t="s">
        <v>7340</v>
      </c>
      <c r="B2248" s="4">
        <v>39</v>
      </c>
      <c r="C2248" s="4">
        <v>5871603</v>
      </c>
      <c r="D2248" s="4" t="s">
        <v>372</v>
      </c>
      <c r="E2248" s="4" t="s">
        <v>3590</v>
      </c>
      <c r="F2248" s="4" t="s">
        <v>7341</v>
      </c>
      <c r="G2248" s="4">
        <v>3116</v>
      </c>
      <c r="H2248" s="4" t="s">
        <v>7342</v>
      </c>
      <c r="I2248" s="4">
        <v>39</v>
      </c>
      <c r="J2248" s="4" t="s">
        <v>23</v>
      </c>
      <c r="K2248" s="4" t="s">
        <v>24</v>
      </c>
      <c r="L2248" s="4">
        <v>13000000</v>
      </c>
      <c r="M2248" s="4">
        <v>1999</v>
      </c>
      <c r="N2248" s="4">
        <v>6</v>
      </c>
      <c r="O2248" s="4">
        <f ca="1">IFERROR(__xludf.DUMMYFUNCTION("IF(Cost_in_dollars!E2248=""USD"",Cost_in_dollars!B2248,Cost_in_dollars!B2248 * GOOGLEFINANCE(""CURRENCY:"" &amp; Cost_in_dollars!E2248 &amp; ""USD""))
"),13000000)</f>
        <v>13000000</v>
      </c>
      <c r="P2248" s="4">
        <f ca="1">IFERROR(__xludf.DUMMYFUNCTION("IF(Cost_in_dollars!E2248=""USD"",Cost_in_dollars!C2248,Cost_in_dollars!C2248 * GOOGLEFINANCE(""CURRENCY:"" &amp; Cost_in_dollars!E2248 &amp; ""USD""))
"),5871603)</f>
        <v>5871603</v>
      </c>
      <c r="Q2248" s="4">
        <f t="shared" ca="1" si="48"/>
        <v>-7128397</v>
      </c>
      <c r="R2248" s="5" t="str">
        <f t="shared" si="49"/>
        <v>Light It Up</v>
      </c>
      <c r="S2248" s="43" t="str">
        <f t="shared" si="53"/>
        <v>Drama</v>
      </c>
    </row>
    <row r="2249" spans="1:19" ht="15.75" customHeight="1" x14ac:dyDescent="0.25">
      <c r="A2249" s="6" t="s">
        <v>941</v>
      </c>
      <c r="B2249" s="6">
        <v>359</v>
      </c>
      <c r="C2249" s="6">
        <v>91439400</v>
      </c>
      <c r="D2249" s="6" t="s">
        <v>1158</v>
      </c>
      <c r="E2249" s="6" t="s">
        <v>608</v>
      </c>
      <c r="F2249" s="6" t="s">
        <v>7343</v>
      </c>
      <c r="G2249" s="6">
        <v>200647</v>
      </c>
      <c r="H2249" s="6" t="s">
        <v>7344</v>
      </c>
      <c r="I2249" s="6">
        <v>384</v>
      </c>
      <c r="J2249" s="6" t="s">
        <v>23</v>
      </c>
      <c r="K2249" s="6" t="s">
        <v>133</v>
      </c>
      <c r="L2249" s="6">
        <v>50000000</v>
      </c>
      <c r="M2249" s="6">
        <v>2014</v>
      </c>
      <c r="N2249" s="6">
        <v>7</v>
      </c>
      <c r="O2249" s="4">
        <f ca="1">IFERROR(__xludf.DUMMYFUNCTION("IF(Cost_in_dollars!E2249=""USD"",Cost_in_dollars!B2249,Cost_in_dollars!B2249 * GOOGLEFINANCE(""CURRENCY:"" &amp; Cost_in_dollars!E2249 &amp; ""USD""))
"),64269999.9999999)</f>
        <v>64269999.999999903</v>
      </c>
      <c r="P2249" s="4">
        <f ca="1">IFERROR(__xludf.DUMMYFUNCTION("IF(Cost_in_dollars!E2249=""USD"",Cost_in_dollars!C2249,Cost_in_dollars!C2249 * GOOGLEFINANCE(""CURRENCY:"" &amp; Cost_in_dollars!E2249 &amp; ""USD""))
"),117536204.759999)</f>
        <v>117536204.75999901</v>
      </c>
      <c r="Q2249" s="6">
        <f t="shared" ca="1" si="48"/>
        <v>53266204.759999104</v>
      </c>
      <c r="R2249" s="7" t="str">
        <f t="shared" si="49"/>
        <v>Non-Stop</v>
      </c>
      <c r="S2249" s="43" t="str">
        <f t="shared" si="53"/>
        <v>Action</v>
      </c>
    </row>
    <row r="2250" spans="1:19" ht="15.75" customHeight="1" x14ac:dyDescent="0.25">
      <c r="A2250" s="4" t="s">
        <v>7345</v>
      </c>
      <c r="B2250" s="4">
        <v>145</v>
      </c>
      <c r="C2250" s="4">
        <v>184925485</v>
      </c>
      <c r="D2250" s="4" t="s">
        <v>1194</v>
      </c>
      <c r="E2250" s="4" t="s">
        <v>7346</v>
      </c>
      <c r="F2250" s="4" t="s">
        <v>7347</v>
      </c>
      <c r="G2250" s="4">
        <v>133348</v>
      </c>
      <c r="H2250" s="4" t="s">
        <v>7348</v>
      </c>
      <c r="I2250" s="4">
        <v>204</v>
      </c>
      <c r="J2250" s="4" t="s">
        <v>23</v>
      </c>
      <c r="K2250" s="4" t="s">
        <v>24</v>
      </c>
      <c r="L2250" s="4">
        <v>2000000</v>
      </c>
      <c r="M2250" s="4">
        <v>1937</v>
      </c>
      <c r="N2250" s="4">
        <v>7.7</v>
      </c>
      <c r="O2250" s="4">
        <f ca="1">IFERROR(__xludf.DUMMYFUNCTION("IF(Cost_in_dollars!E2250=""USD"",Cost_in_dollars!B2250,Cost_in_dollars!B2250 * GOOGLEFINANCE(""CURRENCY:"" &amp; Cost_in_dollars!E2250 &amp; ""USD""))
"),2000000)</f>
        <v>2000000</v>
      </c>
      <c r="P2250" s="4">
        <f ca="1">IFERROR(__xludf.DUMMYFUNCTION("IF(Cost_in_dollars!E2250=""USD"",Cost_in_dollars!C2250,Cost_in_dollars!C2250 * GOOGLEFINANCE(""CURRENCY:"" &amp; Cost_in_dollars!E2250 &amp; ""USD""))
"),184925485)</f>
        <v>184925485</v>
      </c>
      <c r="Q2250" s="4">
        <f t="shared" ca="1" si="48"/>
        <v>182925485</v>
      </c>
      <c r="R2250" s="5" t="str">
        <f t="shared" si="49"/>
        <v>Snow White and the Seven Dwarfs</v>
      </c>
      <c r="S2250" s="43" t="str">
        <f t="shared" si="53"/>
        <v>Animation</v>
      </c>
    </row>
    <row r="2251" spans="1:19" ht="15.75" customHeight="1" x14ac:dyDescent="0.25">
      <c r="A2251" s="6" t="s">
        <v>2826</v>
      </c>
      <c r="B2251" s="6">
        <v>196</v>
      </c>
      <c r="C2251" s="6">
        <v>119412921</v>
      </c>
      <c r="D2251" s="6" t="s">
        <v>851</v>
      </c>
      <c r="E2251" s="6" t="s">
        <v>7349</v>
      </c>
      <c r="F2251" s="6" t="s">
        <v>7350</v>
      </c>
      <c r="G2251" s="6">
        <v>240241</v>
      </c>
      <c r="H2251" s="6" t="s">
        <v>7351</v>
      </c>
      <c r="I2251" s="6">
        <v>391</v>
      </c>
      <c r="J2251" s="6" t="s">
        <v>23</v>
      </c>
      <c r="K2251" s="6" t="s">
        <v>24</v>
      </c>
      <c r="L2251" s="6">
        <v>65000000</v>
      </c>
      <c r="M2251" s="6">
        <v>1990</v>
      </c>
      <c r="N2251" s="6">
        <v>7.5</v>
      </c>
      <c r="O2251" s="4">
        <f ca="1">IFERROR(__xludf.DUMMYFUNCTION("IF(Cost_in_dollars!E2251=""USD"",Cost_in_dollars!B2251,Cost_in_dollars!B2251 * GOOGLEFINANCE(""CURRENCY:"" &amp; Cost_in_dollars!E2251 &amp; ""USD""))
"),65000000)</f>
        <v>65000000</v>
      </c>
      <c r="P2251" s="4">
        <f ca="1">IFERROR(__xludf.DUMMYFUNCTION("IF(Cost_in_dollars!E2251=""USD"",Cost_in_dollars!C2251,Cost_in_dollars!C2251 * GOOGLEFINANCE(""CURRENCY:"" &amp; Cost_in_dollars!E2251 &amp; ""USD""))
"),119412921)</f>
        <v>119412921</v>
      </c>
      <c r="Q2251" s="6">
        <f t="shared" ca="1" si="48"/>
        <v>54412921</v>
      </c>
      <c r="R2251" s="7" t="str">
        <f t="shared" si="49"/>
        <v>Total Recall</v>
      </c>
      <c r="S2251" s="43" t="str">
        <f t="shared" si="53"/>
        <v>Action</v>
      </c>
    </row>
    <row r="2252" spans="1:19" ht="15.75" customHeight="1" x14ac:dyDescent="0.25">
      <c r="A2252" s="4" t="s">
        <v>989</v>
      </c>
      <c r="B2252" s="4">
        <v>98</v>
      </c>
      <c r="C2252" s="4">
        <v>183125</v>
      </c>
      <c r="D2252" s="4" t="s">
        <v>504</v>
      </c>
      <c r="E2252" s="4" t="s">
        <v>461</v>
      </c>
      <c r="F2252" s="4" t="s">
        <v>7352</v>
      </c>
      <c r="G2252" s="4">
        <v>36914</v>
      </c>
      <c r="H2252" s="4" t="s">
        <v>7353</v>
      </c>
      <c r="I2252" s="4">
        <v>86</v>
      </c>
      <c r="J2252" s="4" t="s">
        <v>23</v>
      </c>
      <c r="K2252" s="4" t="s">
        <v>24</v>
      </c>
      <c r="L2252" s="4">
        <v>35000000</v>
      </c>
      <c r="M2252" s="4">
        <v>2012</v>
      </c>
      <c r="N2252" s="4">
        <v>5.5</v>
      </c>
      <c r="O2252" s="4">
        <f ca="1">IFERROR(__xludf.DUMMYFUNCTION("IF(Cost_in_dollars!E2252=""USD"",Cost_in_dollars!B2252,Cost_in_dollars!B2252 * GOOGLEFINANCE(""CURRENCY:"" &amp; Cost_in_dollars!E2252 &amp; ""USD""))
"),35000000)</f>
        <v>35000000</v>
      </c>
      <c r="P2252" s="4">
        <f ca="1">IFERROR(__xludf.DUMMYFUNCTION("IF(Cost_in_dollars!E2252=""USD"",Cost_in_dollars!C2252,Cost_in_dollars!C2252 * GOOGLEFINANCE(""CURRENCY:"" &amp; Cost_in_dollars!E2252 &amp; ""USD""))
"),183125)</f>
        <v>183125</v>
      </c>
      <c r="Q2252" s="4">
        <f t="shared" ca="1" si="48"/>
        <v>-34816875</v>
      </c>
      <c r="R2252" s="5" t="str">
        <f t="shared" si="49"/>
        <v>Stolen</v>
      </c>
      <c r="S2252" s="43" t="str">
        <f t="shared" si="53"/>
        <v>Action</v>
      </c>
    </row>
    <row r="2253" spans="1:19" ht="15.75" customHeight="1" x14ac:dyDescent="0.25">
      <c r="A2253" s="6" t="s">
        <v>7354</v>
      </c>
      <c r="B2253" s="6">
        <v>155</v>
      </c>
      <c r="C2253" s="6">
        <v>6517198</v>
      </c>
      <c r="D2253" s="6" t="s">
        <v>53</v>
      </c>
      <c r="E2253" s="6" t="s">
        <v>7355</v>
      </c>
      <c r="F2253" s="6" t="s">
        <v>7356</v>
      </c>
      <c r="G2253" s="6">
        <v>30474</v>
      </c>
      <c r="H2253" s="6" t="s">
        <v>7357</v>
      </c>
      <c r="I2253" s="6">
        <v>172</v>
      </c>
      <c r="J2253" s="6" t="s">
        <v>1569</v>
      </c>
      <c r="K2253" s="6" t="s">
        <v>7358</v>
      </c>
      <c r="L2253" s="6">
        <v>3000000</v>
      </c>
      <c r="M2253" s="6">
        <v>2004</v>
      </c>
      <c r="N2253" s="6">
        <v>7.5</v>
      </c>
      <c r="O2253" s="4">
        <f ca="1">IFERROR(__xludf.DUMMYFUNCTION("IF(Cost_in_dollars!E2253=""USD"",Cost_in_dollars!B2253,Cost_in_dollars!B2253 * GOOGLEFINANCE(""CURRENCY:"" &amp; Cost_in_dollars!E2253 &amp; ""USD""))
"),741.7383)</f>
        <v>741.73829999999998</v>
      </c>
      <c r="P2253" s="4">
        <f ca="1">IFERROR(__xludf.DUMMYFUNCTION("IF(Cost_in_dollars!E2253=""USD"",Cost_in_dollars!C2253,Cost_in_dollars!C2253 * GOOGLEFINANCE(""CURRENCY:"" &amp; Cost_in_dollars!E2253 &amp; ""USD""))
"),1611.35178842779)</f>
        <v>1611.3517884277901</v>
      </c>
      <c r="Q2253" s="6">
        <f t="shared" ca="1" si="48"/>
        <v>869.61348842779012</v>
      </c>
      <c r="R2253" s="7" t="str">
        <f t="shared" si="49"/>
        <v>Maria Full of Grace</v>
      </c>
      <c r="S2253" s="43" t="str">
        <f t="shared" si="53"/>
        <v>Crime</v>
      </c>
    </row>
    <row r="2254" spans="1:19" ht="15.75" customHeight="1" x14ac:dyDescent="0.25">
      <c r="A2254" s="4" t="s">
        <v>1953</v>
      </c>
      <c r="B2254" s="4">
        <v>151</v>
      </c>
      <c r="C2254" s="4">
        <v>21994911</v>
      </c>
      <c r="D2254" s="4" t="s">
        <v>421</v>
      </c>
      <c r="E2254" s="4" t="s">
        <v>7359</v>
      </c>
      <c r="F2254" s="4" t="s">
        <v>7360</v>
      </c>
      <c r="G2254" s="4">
        <v>98354</v>
      </c>
      <c r="H2254" s="4" t="s">
        <v>7361</v>
      </c>
      <c r="I2254" s="4">
        <v>433</v>
      </c>
      <c r="J2254" s="4" t="s">
        <v>23</v>
      </c>
      <c r="K2254" s="4" t="s">
        <v>133</v>
      </c>
      <c r="L2254" s="4">
        <v>5000000</v>
      </c>
      <c r="M2254" s="4">
        <v>2000</v>
      </c>
      <c r="N2254" s="4">
        <v>7.7</v>
      </c>
      <c r="O2254" s="4">
        <f ca="1">IFERROR(__xludf.DUMMYFUNCTION("IF(Cost_in_dollars!E2254=""USD"",Cost_in_dollars!B2254,Cost_in_dollars!B2254 * GOOGLEFINANCE(""CURRENCY:"" &amp; Cost_in_dollars!E2254 &amp; ""USD""))
"),6426999.99999999)</f>
        <v>6426999.9999999898</v>
      </c>
      <c r="P2254" s="4">
        <f ca="1">IFERROR(__xludf.DUMMYFUNCTION("IF(Cost_in_dollars!E2254=""USD"",Cost_in_dollars!C2254,Cost_in_dollars!C2254 * GOOGLEFINANCE(""CURRENCY:"" &amp; Cost_in_dollars!E2254 &amp; ""USD""))
"),28272258.5994)</f>
        <v>28272258.599399999</v>
      </c>
      <c r="Q2254" s="4">
        <f t="shared" ca="1" si="48"/>
        <v>21845258.59940001</v>
      </c>
      <c r="R2254" s="5" t="str">
        <f t="shared" si="49"/>
        <v>Billy Elliot</v>
      </c>
      <c r="S2254" s="43" t="str">
        <f t="shared" si="53"/>
        <v>Drama</v>
      </c>
    </row>
    <row r="2255" spans="1:19" ht="15.75" customHeight="1" x14ac:dyDescent="0.25">
      <c r="A2255" s="6" t="s">
        <v>1255</v>
      </c>
      <c r="B2255" s="6">
        <v>157</v>
      </c>
      <c r="C2255" s="6">
        <v>13838130</v>
      </c>
      <c r="D2255" s="6" t="s">
        <v>3674</v>
      </c>
      <c r="E2255" s="6" t="s">
        <v>814</v>
      </c>
      <c r="F2255" s="6" t="s">
        <v>7362</v>
      </c>
      <c r="G2255" s="6">
        <v>35990</v>
      </c>
      <c r="H2255" s="6" t="s">
        <v>7363</v>
      </c>
      <c r="I2255" s="6">
        <v>157</v>
      </c>
      <c r="J2255" s="6" t="s">
        <v>23</v>
      </c>
      <c r="K2255" s="6" t="s">
        <v>24</v>
      </c>
      <c r="L2255" s="6">
        <v>40000000</v>
      </c>
      <c r="M2255" s="6">
        <v>2009</v>
      </c>
      <c r="N2255" s="6">
        <v>5.9</v>
      </c>
      <c r="O2255" s="4">
        <f ca="1">IFERROR(__xludf.DUMMYFUNCTION("IF(Cost_in_dollars!E2255=""USD"",Cost_in_dollars!B2255,Cost_in_dollars!B2255 * GOOGLEFINANCE(""CURRENCY:"" &amp; Cost_in_dollars!E2255 &amp; ""USD""))
"),40000000)</f>
        <v>40000000</v>
      </c>
      <c r="P2255" s="4">
        <f ca="1">IFERROR(__xludf.DUMMYFUNCTION("IF(Cost_in_dollars!E2255=""USD"",Cost_in_dollars!C2255,Cost_in_dollars!C2255 * GOOGLEFINANCE(""CURRENCY:"" &amp; Cost_in_dollars!E2255 &amp; ""USD""))
"),13838130)</f>
        <v>13838130</v>
      </c>
      <c r="Q2255" s="6">
        <f t="shared" ca="1" si="48"/>
        <v>-26161870</v>
      </c>
      <c r="R2255" s="7" t="str">
        <f t="shared" si="49"/>
        <v>Cirque du Freak: The Vampire's Assistant</v>
      </c>
      <c r="S2255" s="43" t="str">
        <f t="shared" si="53"/>
        <v>Action</v>
      </c>
    </row>
    <row r="2256" spans="1:19" ht="15.75" customHeight="1" x14ac:dyDescent="0.25">
      <c r="A2256" s="4" t="s">
        <v>4204</v>
      </c>
      <c r="B2256" s="4">
        <v>125</v>
      </c>
      <c r="C2256" s="4">
        <v>74540762</v>
      </c>
      <c r="D2256" s="4" t="s">
        <v>178</v>
      </c>
      <c r="E2256" s="4" t="s">
        <v>1367</v>
      </c>
      <c r="F2256" s="4" t="s">
        <v>7364</v>
      </c>
      <c r="G2256" s="4">
        <v>48753</v>
      </c>
      <c r="H2256" s="4" t="s">
        <v>7365</v>
      </c>
      <c r="I2256" s="4">
        <v>323</v>
      </c>
      <c r="J2256" s="4" t="s">
        <v>23</v>
      </c>
      <c r="K2256" s="4" t="s">
        <v>24</v>
      </c>
      <c r="L2256" s="4">
        <v>55000000</v>
      </c>
      <c r="M2256" s="4">
        <v>2004</v>
      </c>
      <c r="N2256" s="4">
        <v>6.5</v>
      </c>
      <c r="O2256" s="4">
        <f ca="1">IFERROR(__xludf.DUMMYFUNCTION("IF(Cost_in_dollars!E2256=""USD"",Cost_in_dollars!B2256,Cost_in_dollars!B2256 * GOOGLEFINANCE(""CURRENCY:"" &amp; Cost_in_dollars!E2256 &amp; ""USD""))
"),55000000)</f>
        <v>55000000</v>
      </c>
      <c r="P2256" s="4">
        <f ca="1">IFERROR(__xludf.DUMMYFUNCTION("IF(Cost_in_dollars!E2256=""USD"",Cost_in_dollars!C2256,Cost_in_dollars!C2256 * GOOGLEFINANCE(""CURRENCY:"" &amp; Cost_in_dollars!E2256 &amp; ""USD""))
"),74540762)</f>
        <v>74540762</v>
      </c>
      <c r="Q2256" s="4">
        <f t="shared" ca="1" si="48"/>
        <v>19540762</v>
      </c>
      <c r="R2256" s="5" t="str">
        <f t="shared" si="49"/>
        <v>Ladder 49</v>
      </c>
      <c r="S2256" s="43" t="str">
        <f t="shared" si="53"/>
        <v>Action</v>
      </c>
    </row>
    <row r="2257" spans="1:19" ht="15.75" customHeight="1" x14ac:dyDescent="0.25">
      <c r="A2257" s="6" t="s">
        <v>4066</v>
      </c>
      <c r="B2257" s="6">
        <v>122</v>
      </c>
      <c r="C2257" s="6">
        <v>37617947</v>
      </c>
      <c r="D2257" s="6" t="s">
        <v>7366</v>
      </c>
      <c r="E2257" s="6" t="s">
        <v>6815</v>
      </c>
      <c r="F2257" s="6" t="s">
        <v>7367</v>
      </c>
      <c r="G2257" s="6">
        <v>8143</v>
      </c>
      <c r="H2257" s="6" t="s">
        <v>7368</v>
      </c>
      <c r="I2257" s="6">
        <v>203</v>
      </c>
      <c r="J2257" s="6" t="s">
        <v>23</v>
      </c>
      <c r="K2257" s="6" t="s">
        <v>24</v>
      </c>
      <c r="L2257" s="6">
        <v>30000000</v>
      </c>
      <c r="M2257" s="6">
        <v>2006</v>
      </c>
      <c r="N2257" s="6">
        <v>6.8</v>
      </c>
      <c r="O2257" s="4">
        <f ca="1">IFERROR(__xludf.DUMMYFUNCTION("IF(Cost_in_dollars!E2257=""USD"",Cost_in_dollars!B2257,Cost_in_dollars!B2257 * GOOGLEFINANCE(""CURRENCY:"" &amp; Cost_in_dollars!E2257 &amp; ""USD""))
"),30000000)</f>
        <v>30000000</v>
      </c>
      <c r="P2257" s="4">
        <f ca="1">IFERROR(__xludf.DUMMYFUNCTION("IF(Cost_in_dollars!E2257=""USD"",Cost_in_dollars!C2257,Cost_in_dollars!C2257 * GOOGLEFINANCE(""CURRENCY:"" &amp; Cost_in_dollars!E2257 &amp; ""USD""))
"),37617947)</f>
        <v>37617947</v>
      </c>
      <c r="Q2257" s="6">
        <f t="shared" ca="1" si="48"/>
        <v>7617947</v>
      </c>
      <c r="R2257" s="7" t="str">
        <f t="shared" si="49"/>
        <v>The Nativity Story</v>
      </c>
      <c r="S2257" s="43" t="str">
        <f t="shared" si="53"/>
        <v>Drama</v>
      </c>
    </row>
    <row r="2258" spans="1:19" ht="15.75" customHeight="1" x14ac:dyDescent="0.25">
      <c r="A2258" s="4" t="s">
        <v>7369</v>
      </c>
      <c r="B2258" s="4">
        <v>49</v>
      </c>
      <c r="C2258" s="4">
        <v>8080116</v>
      </c>
      <c r="D2258" s="4" t="s">
        <v>2722</v>
      </c>
      <c r="E2258" s="4" t="s">
        <v>2026</v>
      </c>
      <c r="F2258" s="4" t="s">
        <v>7370</v>
      </c>
      <c r="G2258" s="4">
        <v>6562</v>
      </c>
      <c r="H2258" s="4" t="s">
        <v>7371</v>
      </c>
      <c r="I2258" s="4">
        <v>66</v>
      </c>
      <c r="J2258" s="4" t="s">
        <v>23</v>
      </c>
      <c r="K2258" s="4" t="s">
        <v>24</v>
      </c>
      <c r="L2258" s="4">
        <v>15000000</v>
      </c>
      <c r="M2258" s="4">
        <v>2006</v>
      </c>
      <c r="N2258" s="4">
        <v>5.6</v>
      </c>
      <c r="O2258" s="4">
        <f ca="1">IFERROR(__xludf.DUMMYFUNCTION("IF(Cost_in_dollars!E2258=""USD"",Cost_in_dollars!B2258,Cost_in_dollars!B2258 * GOOGLEFINANCE(""CURRENCY:"" &amp; Cost_in_dollars!E2258 &amp; ""USD""))
"),15000000)</f>
        <v>15000000</v>
      </c>
      <c r="P2258" s="4">
        <f ca="1">IFERROR(__xludf.DUMMYFUNCTION("IF(Cost_in_dollars!E2258=""USD"",Cost_in_dollars!C2258,Cost_in_dollars!C2258 * GOOGLEFINANCE(""CURRENCY:"" &amp; Cost_in_dollars!E2258 &amp; ""USD""))
"),8080116)</f>
        <v>8080116</v>
      </c>
      <c r="Q2258" s="4">
        <f t="shared" ca="1" si="48"/>
        <v>-6919884</v>
      </c>
      <c r="R2258" s="5" t="str">
        <f t="shared" si="49"/>
        <v>Hoot</v>
      </c>
      <c r="S2258" s="43" t="str">
        <f t="shared" si="53"/>
        <v>Adventure</v>
      </c>
    </row>
    <row r="2259" spans="1:19" ht="15.75" customHeight="1" x14ac:dyDescent="0.25">
      <c r="A2259" s="6" t="s">
        <v>535</v>
      </c>
      <c r="B2259" s="6">
        <v>19</v>
      </c>
      <c r="C2259" s="6">
        <v>38087756</v>
      </c>
      <c r="D2259" s="6" t="s">
        <v>860</v>
      </c>
      <c r="E2259" s="6" t="s">
        <v>2093</v>
      </c>
      <c r="F2259" s="6" t="s">
        <v>7372</v>
      </c>
      <c r="G2259" s="6">
        <v>49612</v>
      </c>
      <c r="H2259" s="6" t="s">
        <v>7373</v>
      </c>
      <c r="I2259" s="6">
        <v>39</v>
      </c>
      <c r="J2259" s="6" t="s">
        <v>23</v>
      </c>
      <c r="K2259" s="6" t="s">
        <v>24</v>
      </c>
      <c r="L2259" s="6">
        <v>40000000</v>
      </c>
      <c r="M2259" s="6">
        <v>1994</v>
      </c>
      <c r="N2259" s="6">
        <v>5.2</v>
      </c>
      <c r="O2259" s="4">
        <f ca="1">IFERROR(__xludf.DUMMYFUNCTION("IF(Cost_in_dollars!E2259=""USD"",Cost_in_dollars!B2259,Cost_in_dollars!B2259 * GOOGLEFINANCE(""CURRENCY:"" &amp; Cost_in_dollars!E2259 &amp; ""USD""))
"),40000000)</f>
        <v>40000000</v>
      </c>
      <c r="P2259" s="4">
        <f ca="1">IFERROR(__xludf.DUMMYFUNCTION("IF(Cost_in_dollars!E2259=""USD"",Cost_in_dollars!C2259,Cost_in_dollars!C2259 * GOOGLEFINANCE(""CURRENCY:"" &amp; Cost_in_dollars!E2259 &amp; ""USD""))
"),38087756)</f>
        <v>38087756</v>
      </c>
      <c r="Q2259" s="6">
        <f t="shared" ca="1" si="48"/>
        <v>-1912244</v>
      </c>
      <c r="R2259" s="7" t="str">
        <f t="shared" si="49"/>
        <v>RiÂ¢hie RiÂ¢h</v>
      </c>
      <c r="S2259" s="43" t="str">
        <f t="shared" si="53"/>
        <v>Comedy</v>
      </c>
    </row>
    <row r="2260" spans="1:19" ht="15.75" customHeight="1" x14ac:dyDescent="0.25">
      <c r="A2260" s="4" t="s">
        <v>248</v>
      </c>
      <c r="B2260" s="4">
        <v>270</v>
      </c>
      <c r="C2260" s="4">
        <v>159578352</v>
      </c>
      <c r="D2260" s="4" t="s">
        <v>268</v>
      </c>
      <c r="E2260" s="4" t="s">
        <v>2149</v>
      </c>
      <c r="F2260" s="4" t="s">
        <v>7374</v>
      </c>
      <c r="G2260" s="4">
        <v>133177</v>
      </c>
      <c r="H2260" s="4" t="s">
        <v>7375</v>
      </c>
      <c r="I2260" s="4">
        <v>380</v>
      </c>
      <c r="J2260" s="4" t="s">
        <v>23</v>
      </c>
      <c r="K2260" s="4" t="s">
        <v>24</v>
      </c>
      <c r="L2260" s="4">
        <v>43000000</v>
      </c>
      <c r="M2260" s="4">
        <v>2013</v>
      </c>
      <c r="N2260" s="4">
        <v>6.6</v>
      </c>
      <c r="O2260" s="4">
        <f ca="1">IFERROR(__xludf.DUMMYFUNCTION("IF(Cost_in_dollars!E2260=""USD"",Cost_in_dollars!B2260,Cost_in_dollars!B2260 * GOOGLEFINANCE(""CURRENCY:"" &amp; Cost_in_dollars!E2260 &amp; ""USD""))
"),43000000)</f>
        <v>43000000</v>
      </c>
      <c r="P2260" s="4">
        <f ca="1">IFERROR(__xludf.DUMMYFUNCTION("IF(Cost_in_dollars!E2260=""USD"",Cost_in_dollars!C2260,Cost_in_dollars!C2260 * GOOGLEFINANCE(""CURRENCY:"" &amp; Cost_in_dollars!E2260 &amp; ""USD""))
"),159578352)</f>
        <v>159578352</v>
      </c>
      <c r="Q2260" s="4">
        <f t="shared" ca="1" si="48"/>
        <v>116578352</v>
      </c>
      <c r="R2260" s="5" t="str">
        <f t="shared" si="49"/>
        <v>The Heat</v>
      </c>
      <c r="S2260" s="43" t="str">
        <f t="shared" si="53"/>
        <v>Action</v>
      </c>
    </row>
    <row r="2261" spans="1:19" ht="15.75" customHeight="1" x14ac:dyDescent="0.25">
      <c r="A2261" s="6" t="s">
        <v>2972</v>
      </c>
      <c r="B2261" s="6">
        <v>100</v>
      </c>
      <c r="C2261" s="6">
        <v>1530535</v>
      </c>
      <c r="D2261" s="6" t="s">
        <v>162</v>
      </c>
      <c r="E2261" s="6" t="s">
        <v>5471</v>
      </c>
      <c r="F2261" s="6" t="s">
        <v>7376</v>
      </c>
      <c r="G2261" s="6">
        <v>7833</v>
      </c>
      <c r="H2261" s="6" t="s">
        <v>7377</v>
      </c>
      <c r="I2261" s="6">
        <v>63</v>
      </c>
      <c r="J2261" s="6" t="s">
        <v>23</v>
      </c>
      <c r="K2261" s="6" t="s">
        <v>24</v>
      </c>
      <c r="L2261" s="6">
        <v>9000000</v>
      </c>
      <c r="M2261" s="6">
        <v>2005</v>
      </c>
      <c r="N2261" s="6">
        <v>5.7</v>
      </c>
      <c r="O2261" s="4">
        <f ca="1">IFERROR(__xludf.DUMMYFUNCTION("IF(Cost_in_dollars!E2261=""USD"",Cost_in_dollars!B2261,Cost_in_dollars!B2261 * GOOGLEFINANCE(""CURRENCY:"" &amp; Cost_in_dollars!E2261 &amp; ""USD""))
"),9000000)</f>
        <v>9000000</v>
      </c>
      <c r="P2261" s="4">
        <f ca="1">IFERROR(__xludf.DUMMYFUNCTION("IF(Cost_in_dollars!E2261=""USD"",Cost_in_dollars!C2261,Cost_in_dollars!C2261 * GOOGLEFINANCE(""CURRENCY:"" &amp; Cost_in_dollars!E2261 &amp; ""USD""))
"),1530535)</f>
        <v>1530535</v>
      </c>
      <c r="Q2261" s="6">
        <f t="shared" ca="1" si="48"/>
        <v>-7469465</v>
      </c>
      <c r="R2261" s="7" t="str">
        <f t="shared" si="49"/>
        <v>Trust the Man</v>
      </c>
      <c r="S2261" s="43" t="str">
        <f t="shared" si="53"/>
        <v>Comedy</v>
      </c>
    </row>
    <row r="2262" spans="1:19" ht="15.75" customHeight="1" x14ac:dyDescent="0.25">
      <c r="A2262" s="4" t="s">
        <v>7378</v>
      </c>
      <c r="B2262" s="4">
        <v>221</v>
      </c>
      <c r="C2262" s="4">
        <v>13766014</v>
      </c>
      <c r="D2262" s="4" t="s">
        <v>235</v>
      </c>
      <c r="E2262" s="4" t="s">
        <v>422</v>
      </c>
      <c r="F2262" s="4" t="s">
        <v>7379</v>
      </c>
      <c r="G2262" s="4">
        <v>106111</v>
      </c>
      <c r="H2262" s="4" t="s">
        <v>7380</v>
      </c>
      <c r="I2262" s="4">
        <v>181</v>
      </c>
      <c r="J2262" s="4" t="s">
        <v>23</v>
      </c>
      <c r="K2262" s="4" t="s">
        <v>24</v>
      </c>
      <c r="L2262" s="4">
        <v>15000000</v>
      </c>
      <c r="M2262" s="4">
        <v>2011</v>
      </c>
      <c r="N2262" s="4">
        <v>7</v>
      </c>
      <c r="O2262" s="4">
        <f ca="1">IFERROR(__xludf.DUMMYFUNCTION("IF(Cost_in_dollars!E2262=""USD"",Cost_in_dollars!B2262,Cost_in_dollars!B2262 * GOOGLEFINANCE(""CURRENCY:"" &amp; Cost_in_dollars!E2262 &amp; ""USD""))
"),15000000)</f>
        <v>15000000</v>
      </c>
      <c r="P2262" s="4">
        <f ca="1">IFERROR(__xludf.DUMMYFUNCTION("IF(Cost_in_dollars!E2262=""USD"",Cost_in_dollars!C2262,Cost_in_dollars!C2262 * GOOGLEFINANCE(""CURRENCY:"" &amp; Cost_in_dollars!E2262 &amp; ""USD""))
"),13766014)</f>
        <v>13766014</v>
      </c>
      <c r="Q2262" s="4">
        <f t="shared" ca="1" si="48"/>
        <v>-1233986</v>
      </c>
      <c r="R2262" s="5" t="str">
        <f t="shared" si="49"/>
        <v>One Day</v>
      </c>
      <c r="S2262" s="43" t="str">
        <f t="shared" si="53"/>
        <v>Drama</v>
      </c>
    </row>
    <row r="2263" spans="1:19" ht="15.75" customHeight="1" x14ac:dyDescent="0.25">
      <c r="A2263" s="6" t="s">
        <v>726</v>
      </c>
      <c r="B2263" s="6">
        <v>165</v>
      </c>
      <c r="C2263" s="6">
        <v>25753840</v>
      </c>
      <c r="D2263" s="6" t="s">
        <v>7381</v>
      </c>
      <c r="E2263" s="6" t="s">
        <v>52</v>
      </c>
      <c r="F2263" s="6" t="s">
        <v>7382</v>
      </c>
      <c r="G2263" s="6">
        <v>219091</v>
      </c>
      <c r="H2263" s="6" t="s">
        <v>7383</v>
      </c>
      <c r="I2263" s="6">
        <v>592</v>
      </c>
      <c r="J2263" s="6" t="s">
        <v>23</v>
      </c>
      <c r="K2263" s="6" t="s">
        <v>24</v>
      </c>
      <c r="L2263" s="6">
        <v>19000000</v>
      </c>
      <c r="M2263" s="6">
        <v>1996</v>
      </c>
      <c r="N2263" s="6">
        <v>7.3</v>
      </c>
      <c r="O2263" s="4">
        <f ca="1">IFERROR(__xludf.DUMMYFUNCTION("IF(Cost_in_dollars!E2263=""USD"",Cost_in_dollars!B2263,Cost_in_dollars!B2263 * GOOGLEFINANCE(""CURRENCY:"" &amp; Cost_in_dollars!E2263 &amp; ""USD""))
"),19000000)</f>
        <v>19000000</v>
      </c>
      <c r="P2263" s="4">
        <f ca="1">IFERROR(__xludf.DUMMYFUNCTION("IF(Cost_in_dollars!E2263=""USD"",Cost_in_dollars!C2263,Cost_in_dollars!C2263 * GOOGLEFINANCE(""CURRENCY:"" &amp; Cost_in_dollars!E2263 &amp; ""USD""))
"),25753840)</f>
        <v>25753840</v>
      </c>
      <c r="Q2263" s="6">
        <f t="shared" ca="1" si="48"/>
        <v>6753840</v>
      </c>
      <c r="R2263" s="7" t="str">
        <f t="shared" si="49"/>
        <v>From Dusk Till Dawn</v>
      </c>
      <c r="S2263" s="43" t="str">
        <f t="shared" si="53"/>
        <v>Crime</v>
      </c>
    </row>
    <row r="2264" spans="1:19" ht="15.75" customHeight="1" x14ac:dyDescent="0.25">
      <c r="A2264" s="4" t="s">
        <v>7384</v>
      </c>
      <c r="B2264" s="4">
        <v>16</v>
      </c>
      <c r="C2264" s="4">
        <v>982214</v>
      </c>
      <c r="D2264" s="4" t="s">
        <v>102</v>
      </c>
      <c r="E2264" s="4" t="s">
        <v>7385</v>
      </c>
      <c r="F2264" s="4" t="s">
        <v>7386</v>
      </c>
      <c r="G2264" s="4">
        <v>1976</v>
      </c>
      <c r="H2264" s="4" t="s">
        <v>7387</v>
      </c>
      <c r="I2264" s="4">
        <v>51</v>
      </c>
      <c r="J2264" s="4" t="s">
        <v>23</v>
      </c>
      <c r="K2264" s="4" t="s">
        <v>24</v>
      </c>
      <c r="L2264" s="4">
        <v>1000000</v>
      </c>
      <c r="M2264" s="4">
        <v>1998</v>
      </c>
      <c r="N2264" s="4">
        <v>7.2</v>
      </c>
      <c r="O2264" s="4">
        <f ca="1">IFERROR(__xludf.DUMMYFUNCTION("IF(Cost_in_dollars!E2264=""USD"",Cost_in_dollars!B2264,Cost_in_dollars!B2264 * GOOGLEFINANCE(""CURRENCY:"" &amp; Cost_in_dollars!E2264 &amp; ""USD""))
"),1000000)</f>
        <v>1000000</v>
      </c>
      <c r="P2264" s="4">
        <f ca="1">IFERROR(__xludf.DUMMYFUNCTION("IF(Cost_in_dollars!E2264=""USD"",Cost_in_dollars!C2264,Cost_in_dollars!C2264 * GOOGLEFINANCE(""CURRENCY:"" &amp; Cost_in_dollars!E2264 &amp; ""USD""))
"),982214)</f>
        <v>982214</v>
      </c>
      <c r="Q2264" s="4">
        <f t="shared" ca="1" si="48"/>
        <v>-17786</v>
      </c>
      <c r="R2264" s="5" t="str">
        <f t="shared" si="49"/>
        <v>Slam</v>
      </c>
      <c r="S2264" s="43" t="str">
        <f t="shared" si="53"/>
        <v>Drama</v>
      </c>
    </row>
    <row r="2265" spans="1:19" ht="15.75" customHeight="1" x14ac:dyDescent="0.25">
      <c r="A2265" s="6" t="s">
        <v>7388</v>
      </c>
      <c r="B2265" s="6">
        <v>98</v>
      </c>
      <c r="C2265" s="6">
        <v>75668868</v>
      </c>
      <c r="D2265" s="6" t="s">
        <v>1711</v>
      </c>
      <c r="E2265" s="6" t="s">
        <v>6876</v>
      </c>
      <c r="F2265" s="6" t="s">
        <v>7389</v>
      </c>
      <c r="G2265" s="6">
        <v>60504</v>
      </c>
      <c r="H2265" s="6" t="s">
        <v>7390</v>
      </c>
      <c r="I2265" s="6">
        <v>249</v>
      </c>
      <c r="J2265" s="6" t="s">
        <v>23</v>
      </c>
      <c r="K2265" s="6" t="s">
        <v>24</v>
      </c>
      <c r="L2265" s="6">
        <v>35000000</v>
      </c>
      <c r="M2265" s="6">
        <v>1994</v>
      </c>
      <c r="N2265" s="6">
        <v>6.6</v>
      </c>
      <c r="O2265" s="4">
        <f ca="1">IFERROR(__xludf.DUMMYFUNCTION("IF(Cost_in_dollars!E2265=""USD"",Cost_in_dollars!B2265,Cost_in_dollars!B2265 * GOOGLEFINANCE(""CURRENCY:"" &amp; Cost_in_dollars!E2265 &amp; ""USD""))
"),35000000)</f>
        <v>35000000</v>
      </c>
      <c r="P2265" s="4">
        <f ca="1">IFERROR(__xludf.DUMMYFUNCTION("IF(Cost_in_dollars!E2265=""USD"",Cost_in_dollars!C2265,Cost_in_dollars!C2265 * GOOGLEFINANCE(""CURRENCY:"" &amp; Cost_in_dollars!E2265 &amp; ""USD""))
"),75668868)</f>
        <v>75668868</v>
      </c>
      <c r="Q2265" s="6">
        <f t="shared" ca="1" si="48"/>
        <v>40668868</v>
      </c>
      <c r="R2265" s="7" t="str">
        <f t="shared" si="49"/>
        <v>Star Trek: Generations</v>
      </c>
      <c r="S2265" s="43" t="str">
        <f t="shared" si="53"/>
        <v>Action</v>
      </c>
    </row>
    <row r="2266" spans="1:19" ht="15.75" customHeight="1" x14ac:dyDescent="0.25">
      <c r="A2266" s="4" t="s">
        <v>1502</v>
      </c>
      <c r="B2266" s="4">
        <v>158</v>
      </c>
      <c r="C2266" s="4">
        <v>33071558</v>
      </c>
      <c r="D2266" s="4" t="s">
        <v>457</v>
      </c>
      <c r="E2266" s="4" t="s">
        <v>7391</v>
      </c>
      <c r="F2266" s="4" t="s">
        <v>7392</v>
      </c>
      <c r="G2266" s="4">
        <v>22369</v>
      </c>
      <c r="H2266" s="4" t="s">
        <v>7393</v>
      </c>
      <c r="I2266" s="4">
        <v>100</v>
      </c>
      <c r="J2266" s="4" t="s">
        <v>23</v>
      </c>
      <c r="K2266" s="4" t="s">
        <v>133</v>
      </c>
      <c r="L2266" s="4">
        <v>10000000</v>
      </c>
      <c r="M2266" s="4">
        <v>2015</v>
      </c>
      <c r="N2266" s="4">
        <v>6.6</v>
      </c>
      <c r="O2266" s="4">
        <f ca="1">IFERROR(__xludf.DUMMYFUNCTION("IF(Cost_in_dollars!E2266=""USD"",Cost_in_dollars!B2266,Cost_in_dollars!B2266 * GOOGLEFINANCE(""CURRENCY:"" &amp; Cost_in_dollars!E2266 &amp; ""USD""))
"),12853999.9999999)</f>
        <v>12853999.999999899</v>
      </c>
      <c r="P2266" s="4">
        <f ca="1">IFERROR(__xludf.DUMMYFUNCTION("IF(Cost_in_dollars!E2266=""USD"",Cost_in_dollars!C2266,Cost_in_dollars!C2266 * GOOGLEFINANCE(""CURRENCY:"" &amp; Cost_in_dollars!E2266 &amp; ""USD""))
"),42510180.6531999)</f>
        <v>42510180.653199904</v>
      </c>
      <c r="Q2266" s="4">
        <f t="shared" ca="1" si="48"/>
        <v>29656180.653200004</v>
      </c>
      <c r="R2266" s="5" t="str">
        <f t="shared" si="49"/>
        <v>The Second Best Exotic Marigold Hotel</v>
      </c>
      <c r="S2266" s="43" t="str">
        <f t="shared" si="53"/>
        <v>Comedy</v>
      </c>
    </row>
    <row r="2267" spans="1:19" ht="15.75" customHeight="1" x14ac:dyDescent="0.25">
      <c r="A2267" s="6" t="s">
        <v>2400</v>
      </c>
      <c r="B2267" s="6">
        <v>329</v>
      </c>
      <c r="C2267" s="6">
        <v>227137090</v>
      </c>
      <c r="D2267" s="6" t="s">
        <v>1158</v>
      </c>
      <c r="E2267" s="6" t="s">
        <v>588</v>
      </c>
      <c r="F2267" s="6" t="s">
        <v>7394</v>
      </c>
      <c r="G2267" s="6">
        <v>491077</v>
      </c>
      <c r="H2267" s="6" t="s">
        <v>7395</v>
      </c>
      <c r="I2267" s="6">
        <v>820</v>
      </c>
      <c r="J2267" s="6" t="s">
        <v>23</v>
      </c>
      <c r="K2267" s="6" t="s">
        <v>24</v>
      </c>
      <c r="L2267" s="6">
        <v>110000000</v>
      </c>
      <c r="M2267" s="6">
        <v>2007</v>
      </c>
      <c r="N2267" s="6">
        <v>8.1</v>
      </c>
      <c r="O2267" s="4">
        <f ca="1">IFERROR(__xludf.DUMMYFUNCTION("IF(Cost_in_dollars!E2267=""USD"",Cost_in_dollars!B2267,Cost_in_dollars!B2267 * GOOGLEFINANCE(""CURRENCY:"" &amp; Cost_in_dollars!E2267 &amp; ""USD""))
"),110000000)</f>
        <v>110000000</v>
      </c>
      <c r="P2267" s="4">
        <f ca="1">IFERROR(__xludf.DUMMYFUNCTION("IF(Cost_in_dollars!E2267=""USD"",Cost_in_dollars!C2267,Cost_in_dollars!C2267 * GOOGLEFINANCE(""CURRENCY:"" &amp; Cost_in_dollars!E2267 &amp; ""USD""))
"),227137090)</f>
        <v>227137090</v>
      </c>
      <c r="Q2267" s="6">
        <f t="shared" ca="1" si="48"/>
        <v>117137090</v>
      </c>
      <c r="R2267" s="7" t="str">
        <f t="shared" si="49"/>
        <v>The Bourne Ultimatum</v>
      </c>
      <c r="S2267" s="43" t="str">
        <f t="shared" si="53"/>
        <v>Action</v>
      </c>
    </row>
    <row r="2268" spans="1:19" ht="15.75" customHeight="1" x14ac:dyDescent="0.25">
      <c r="A2268" s="4" t="s">
        <v>826</v>
      </c>
      <c r="B2268" s="4">
        <v>57</v>
      </c>
      <c r="C2268" s="4">
        <v>32051917</v>
      </c>
      <c r="D2268" s="4" t="s">
        <v>438</v>
      </c>
      <c r="E2268" s="4" t="s">
        <v>7396</v>
      </c>
      <c r="F2268" s="4" t="s">
        <v>7397</v>
      </c>
      <c r="G2268" s="4">
        <v>42315</v>
      </c>
      <c r="H2268" s="4" t="s">
        <v>7398</v>
      </c>
      <c r="I2268" s="4">
        <v>140</v>
      </c>
      <c r="J2268" s="4" t="s">
        <v>23</v>
      </c>
      <c r="K2268" s="4" t="s">
        <v>24</v>
      </c>
      <c r="L2268" s="4">
        <v>20000000</v>
      </c>
      <c r="M2268" s="4">
        <v>1995</v>
      </c>
      <c r="N2268" s="4">
        <v>6.6</v>
      </c>
      <c r="O2268" s="4">
        <f ca="1">IFERROR(__xludf.DUMMYFUNCTION("IF(Cost_in_dollars!E2268=""USD"",Cost_in_dollars!B2268,Cost_in_dollars!B2268 * GOOGLEFINANCE(""CURRENCY:"" &amp; Cost_in_dollars!E2268 &amp; ""USD""))
"),20000000)</f>
        <v>20000000</v>
      </c>
      <c r="P2268" s="4">
        <f ca="1">IFERROR(__xludf.DUMMYFUNCTION("IF(Cost_in_dollars!E2268=""USD"",Cost_in_dollars!C2268,Cost_in_dollars!C2268 * GOOGLEFINANCE(""CURRENCY:"" &amp; Cost_in_dollars!E2268 &amp; ""USD""))
"),32051917)</f>
        <v>32051917</v>
      </c>
      <c r="Q2268" s="4">
        <f t="shared" ca="1" si="48"/>
        <v>12051917</v>
      </c>
      <c r="R2268" s="5" t="str">
        <f t="shared" si="49"/>
        <v>Copycat</v>
      </c>
      <c r="S2268" s="43" t="str">
        <f t="shared" si="53"/>
        <v>Crime</v>
      </c>
    </row>
    <row r="2269" spans="1:19" ht="15.75" customHeight="1" x14ac:dyDescent="0.25">
      <c r="A2269" s="6" t="s">
        <v>4603</v>
      </c>
      <c r="B2269" s="6">
        <v>75</v>
      </c>
      <c r="C2269" s="6">
        <v>241816</v>
      </c>
      <c r="D2269" s="6" t="s">
        <v>102</v>
      </c>
      <c r="E2269" s="6" t="s">
        <v>7399</v>
      </c>
      <c r="F2269" s="6" t="s">
        <v>7400</v>
      </c>
      <c r="G2269" s="6">
        <v>6246</v>
      </c>
      <c r="H2269" s="6" t="s">
        <v>7401</v>
      </c>
      <c r="I2269" s="6">
        <v>76</v>
      </c>
      <c r="J2269" s="6" t="s">
        <v>23</v>
      </c>
      <c r="K2269" s="6" t="s">
        <v>24</v>
      </c>
      <c r="L2269" s="6">
        <v>42000</v>
      </c>
      <c r="M2269" s="6">
        <v>2000</v>
      </c>
      <c r="N2269" s="6">
        <v>7.5</v>
      </c>
      <c r="O2269" s="4">
        <f ca="1">IFERROR(__xludf.DUMMYFUNCTION("IF(Cost_in_dollars!E2269=""USD"",Cost_in_dollars!B2269,Cost_in_dollars!B2269 * GOOGLEFINANCE(""CURRENCY:"" &amp; Cost_in_dollars!E2269 &amp; ""USD""))
"),42000)</f>
        <v>42000</v>
      </c>
      <c r="P2269" s="4">
        <f ca="1">IFERROR(__xludf.DUMMYFUNCTION("IF(Cost_in_dollars!E2269=""USD"",Cost_in_dollars!C2269,Cost_in_dollars!C2269 * GOOGLEFINANCE(""CURRENCY:"" &amp; Cost_in_dollars!E2269 &amp; ""USD""))
"),241816)</f>
        <v>241816</v>
      </c>
      <c r="Q2269" s="6">
        <f t="shared" ca="1" si="48"/>
        <v>199816</v>
      </c>
      <c r="R2269" s="7" t="str">
        <f t="shared" si="49"/>
        <v>George Washington</v>
      </c>
      <c r="S2269" s="43" t="str">
        <f t="shared" si="53"/>
        <v>Drama</v>
      </c>
    </row>
    <row r="2270" spans="1:19" ht="15.75" customHeight="1" x14ac:dyDescent="0.25">
      <c r="A2270" s="4" t="s">
        <v>7402</v>
      </c>
      <c r="B2270" s="4">
        <v>358</v>
      </c>
      <c r="C2270" s="4">
        <v>50815288</v>
      </c>
      <c r="D2270" s="4" t="s">
        <v>372</v>
      </c>
      <c r="E2270" s="4" t="s">
        <v>588</v>
      </c>
      <c r="F2270" s="4" t="s">
        <v>7403</v>
      </c>
      <c r="G2270" s="4">
        <v>109188</v>
      </c>
      <c r="H2270" s="4" t="s">
        <v>7404</v>
      </c>
      <c r="I2270" s="4">
        <v>625</v>
      </c>
      <c r="J2270" s="4" t="s">
        <v>23</v>
      </c>
      <c r="K2270" s="4" t="s">
        <v>24</v>
      </c>
      <c r="L2270" s="4">
        <v>50000000</v>
      </c>
      <c r="M2270" s="4">
        <v>2005</v>
      </c>
      <c r="N2270" s="4">
        <v>7</v>
      </c>
      <c r="O2270" s="4">
        <f ca="1">IFERROR(__xludf.DUMMYFUNCTION("IF(Cost_in_dollars!E2270=""USD"",Cost_in_dollars!B2270,Cost_in_dollars!B2270 * GOOGLEFINANCE(""CURRENCY:"" &amp; Cost_in_dollars!E2270 &amp; ""USD""))
"),50000000)</f>
        <v>50000000</v>
      </c>
      <c r="P2270" s="4">
        <f ca="1">IFERROR(__xludf.DUMMYFUNCTION("IF(Cost_in_dollars!E2270=""USD"",Cost_in_dollars!C2270,Cost_in_dollars!C2270 * GOOGLEFINANCE(""CURRENCY:"" &amp; Cost_in_dollars!E2270 &amp; ""USD""))
"),50815288)</f>
        <v>50815288</v>
      </c>
      <c r="Q2270" s="4">
        <f t="shared" ca="1" si="48"/>
        <v>815288</v>
      </c>
      <c r="R2270" s="5" t="str">
        <f t="shared" si="49"/>
        <v>Syriana</v>
      </c>
      <c r="S2270" s="43" t="str">
        <f t="shared" si="53"/>
        <v>Drama</v>
      </c>
    </row>
    <row r="2271" spans="1:19" ht="15.75" customHeight="1" x14ac:dyDescent="0.25">
      <c r="A2271" s="6" t="s">
        <v>182</v>
      </c>
      <c r="B2271" s="6">
        <v>132</v>
      </c>
      <c r="C2271" s="6">
        <v>37754208</v>
      </c>
      <c r="D2271" s="6" t="s">
        <v>1719</v>
      </c>
      <c r="E2271" s="6" t="s">
        <v>1091</v>
      </c>
      <c r="F2271" s="6" t="s">
        <v>7405</v>
      </c>
      <c r="G2271" s="6">
        <v>172217</v>
      </c>
      <c r="H2271" s="6" t="s">
        <v>7406</v>
      </c>
      <c r="I2271" s="6">
        <v>405</v>
      </c>
      <c r="J2271" s="6" t="s">
        <v>23</v>
      </c>
      <c r="K2271" s="6" t="s">
        <v>24</v>
      </c>
      <c r="L2271" s="6">
        <v>70000000</v>
      </c>
      <c r="M2271" s="6">
        <v>1996</v>
      </c>
      <c r="N2271" s="6">
        <v>6.3</v>
      </c>
      <c r="O2271" s="4">
        <f ca="1">IFERROR(__xludf.DUMMYFUNCTION("IF(Cost_in_dollars!E2271=""USD"",Cost_in_dollars!B2271,Cost_in_dollars!B2271 * GOOGLEFINANCE(""CURRENCY:"" &amp; Cost_in_dollars!E2271 &amp; ""USD""))
"),70000000)</f>
        <v>70000000</v>
      </c>
      <c r="P2271" s="4">
        <f ca="1">IFERROR(__xludf.DUMMYFUNCTION("IF(Cost_in_dollars!E2271=""USD"",Cost_in_dollars!C2271,Cost_in_dollars!C2271 * GOOGLEFINANCE(""CURRENCY:"" &amp; Cost_in_dollars!E2271 &amp; ""USD""))
"),37754208)</f>
        <v>37754208</v>
      </c>
      <c r="Q2271" s="6">
        <f t="shared" ca="1" si="48"/>
        <v>-32245792</v>
      </c>
      <c r="R2271" s="7" t="str">
        <f t="shared" si="49"/>
        <v>Mars Attacks!</v>
      </c>
      <c r="S2271" s="43" t="str">
        <f t="shared" si="53"/>
        <v>Action</v>
      </c>
    </row>
    <row r="2272" spans="1:19" ht="15.75" customHeight="1" x14ac:dyDescent="0.25">
      <c r="A2272" s="4" t="s">
        <v>5275</v>
      </c>
      <c r="B2272" s="4">
        <v>64</v>
      </c>
      <c r="C2272" s="4">
        <v>56398162</v>
      </c>
      <c r="D2272" s="4" t="s">
        <v>1012</v>
      </c>
      <c r="E2272" s="4" t="s">
        <v>7407</v>
      </c>
      <c r="F2272" s="4" t="s">
        <v>7408</v>
      </c>
      <c r="G2272" s="4">
        <v>28649</v>
      </c>
      <c r="H2272" s="4" t="s">
        <v>7409</v>
      </c>
      <c r="I2272" s="4">
        <v>185</v>
      </c>
      <c r="J2272" s="4" t="s">
        <v>23</v>
      </c>
      <c r="K2272" s="4" t="s">
        <v>24</v>
      </c>
      <c r="L2272" s="4">
        <v>20000000</v>
      </c>
      <c r="M2272" s="4">
        <v>2002</v>
      </c>
      <c r="N2272" s="4">
        <v>5.7</v>
      </c>
      <c r="O2272" s="4">
        <f ca="1">IFERROR(__xludf.DUMMYFUNCTION("IF(Cost_in_dollars!E2272=""USD"",Cost_in_dollars!B2272,Cost_in_dollars!B2272 * GOOGLEFINANCE(""CURRENCY:"" &amp; Cost_in_dollars!E2272 &amp; ""USD""))
"),20000000)</f>
        <v>20000000</v>
      </c>
      <c r="P2272" s="4">
        <f ca="1">IFERROR(__xludf.DUMMYFUNCTION("IF(Cost_in_dollars!E2272=""USD"",Cost_in_dollars!C2272,Cost_in_dollars!C2272 * GOOGLEFINANCE(""CURRENCY:"" &amp; Cost_in_dollars!E2272 &amp; ""USD""))
"),56398162)</f>
        <v>56398162</v>
      </c>
      <c r="Q2272" s="4">
        <f t="shared" ca="1" si="48"/>
        <v>36398162</v>
      </c>
      <c r="R2272" s="5" t="str">
        <f t="shared" si="49"/>
        <v>Drumline</v>
      </c>
      <c r="S2272" s="43" t="str">
        <f t="shared" si="53"/>
        <v>Comedy</v>
      </c>
    </row>
    <row r="2273" spans="1:19" ht="15.75" customHeight="1" x14ac:dyDescent="0.25">
      <c r="A2273" s="6" t="s">
        <v>7410</v>
      </c>
      <c r="B2273" s="6">
        <v>135</v>
      </c>
      <c r="C2273" s="6">
        <v>25926543</v>
      </c>
      <c r="D2273" s="6" t="s">
        <v>93</v>
      </c>
      <c r="E2273" s="6" t="s">
        <v>7411</v>
      </c>
      <c r="F2273" s="6" t="s">
        <v>7412</v>
      </c>
      <c r="G2273" s="6">
        <v>26609</v>
      </c>
      <c r="H2273" s="6" t="s">
        <v>7413</v>
      </c>
      <c r="I2273" s="6">
        <v>148</v>
      </c>
      <c r="J2273" s="6" t="s">
        <v>23</v>
      </c>
      <c r="K2273" s="6" t="s">
        <v>24</v>
      </c>
      <c r="L2273" s="6">
        <v>8000000</v>
      </c>
      <c r="M2273" s="6">
        <v>2008</v>
      </c>
      <c r="N2273" s="6">
        <v>5.2</v>
      </c>
      <c r="O2273" s="4">
        <f ca="1">IFERROR(__xludf.DUMMYFUNCTION("IF(Cost_in_dollars!E2273=""USD"",Cost_in_dollars!B2273,Cost_in_dollars!B2273 * GOOGLEFINANCE(""CURRENCY:"" &amp; Cost_in_dollars!E2273 &amp; ""USD""))
"),8000000)</f>
        <v>8000000</v>
      </c>
      <c r="P2273" s="4">
        <f ca="1">IFERROR(__xludf.DUMMYFUNCTION("IF(Cost_in_dollars!E2273=""USD"",Cost_in_dollars!C2273,Cost_in_dollars!C2273 * GOOGLEFINANCE(""CURRENCY:"" &amp; Cost_in_dollars!E2273 &amp; ""USD""))
"),25926543)</f>
        <v>25926543</v>
      </c>
      <c r="Q2273" s="6">
        <f t="shared" ca="1" si="48"/>
        <v>17926543</v>
      </c>
      <c r="R2273" s="7" t="str">
        <f t="shared" si="49"/>
        <v>Shutter</v>
      </c>
      <c r="S2273" s="43" t="str">
        <f t="shared" si="53"/>
        <v>Horror</v>
      </c>
    </row>
    <row r="2274" spans="1:19" ht="15.75" customHeight="1" x14ac:dyDescent="0.25">
      <c r="A2274" s="4" t="s">
        <v>7414</v>
      </c>
      <c r="B2274" s="4">
        <v>51</v>
      </c>
      <c r="C2274" s="4">
        <v>900926</v>
      </c>
      <c r="D2274" s="4" t="s">
        <v>140</v>
      </c>
      <c r="E2274" s="4" t="s">
        <v>426</v>
      </c>
      <c r="F2274" s="4" t="s">
        <v>7415</v>
      </c>
      <c r="G2274" s="4">
        <v>9517</v>
      </c>
      <c r="H2274" s="4" t="s">
        <v>7416</v>
      </c>
      <c r="I2274" s="4">
        <v>46</v>
      </c>
      <c r="J2274" s="4" t="s">
        <v>23</v>
      </c>
      <c r="K2274" s="4" t="s">
        <v>24</v>
      </c>
      <c r="L2274" s="4">
        <v>10000000</v>
      </c>
      <c r="M2274" s="4">
        <v>2007</v>
      </c>
      <c r="N2274" s="4">
        <v>5.3</v>
      </c>
      <c r="O2274" s="4">
        <f ca="1">IFERROR(__xludf.DUMMYFUNCTION("IF(Cost_in_dollars!E2274=""USD"",Cost_in_dollars!B2274,Cost_in_dollars!B2274 * GOOGLEFINANCE(""CURRENCY:"" &amp; Cost_in_dollars!E2274 &amp; ""USD""))
"),10000000)</f>
        <v>10000000</v>
      </c>
      <c r="P2274" s="4">
        <f ca="1">IFERROR(__xludf.DUMMYFUNCTION("IF(Cost_in_dollars!E2274=""USD"",Cost_in_dollars!C2274,Cost_in_dollars!C2274 * GOOGLEFINANCE(""CURRENCY:"" &amp; Cost_in_dollars!E2274 &amp; ""USD""))
"),900926)</f>
        <v>900926</v>
      </c>
      <c r="Q2274" s="4">
        <f t="shared" ca="1" si="48"/>
        <v>-9099074</v>
      </c>
      <c r="R2274" s="5" t="str">
        <f t="shared" si="49"/>
        <v>The Brothers Solomon</v>
      </c>
      <c r="S2274" s="43" t="str">
        <f t="shared" si="53"/>
        <v>Comedy</v>
      </c>
    </row>
    <row r="2275" spans="1:19" ht="15.75" customHeight="1" x14ac:dyDescent="0.25">
      <c r="A2275" s="6" t="s">
        <v>1190</v>
      </c>
      <c r="B2275" s="6">
        <v>267</v>
      </c>
      <c r="C2275" s="6">
        <v>132122995</v>
      </c>
      <c r="D2275" s="6" t="s">
        <v>851</v>
      </c>
      <c r="E2275" s="6" t="s">
        <v>7417</v>
      </c>
      <c r="F2275" s="6" t="s">
        <v>7418</v>
      </c>
      <c r="G2275" s="6">
        <v>212106</v>
      </c>
      <c r="H2275" s="6" t="s">
        <v>7419</v>
      </c>
      <c r="I2275" s="6">
        <v>1445</v>
      </c>
      <c r="J2275" s="6" t="s">
        <v>23</v>
      </c>
      <c r="K2275" s="6" t="s">
        <v>24</v>
      </c>
      <c r="L2275" s="6">
        <v>137000000</v>
      </c>
      <c r="M2275" s="6">
        <v>2003</v>
      </c>
      <c r="N2275" s="6">
        <v>5.7</v>
      </c>
      <c r="O2275" s="4">
        <f ca="1">IFERROR(__xludf.DUMMYFUNCTION("IF(Cost_in_dollars!E2275=""USD"",Cost_in_dollars!B2275,Cost_in_dollars!B2275 * GOOGLEFINANCE(""CURRENCY:"" &amp; Cost_in_dollars!E2275 &amp; ""USD""))
"),137000000)</f>
        <v>137000000</v>
      </c>
      <c r="P2275" s="4">
        <f ca="1">IFERROR(__xludf.DUMMYFUNCTION("IF(Cost_in_dollars!E2275=""USD"",Cost_in_dollars!C2275,Cost_in_dollars!C2275 * GOOGLEFINANCE(""CURRENCY:"" &amp; Cost_in_dollars!E2275 &amp; ""USD""))
"),132122995)</f>
        <v>132122995</v>
      </c>
      <c r="Q2275" s="6">
        <f t="shared" ca="1" si="48"/>
        <v>-4877005</v>
      </c>
      <c r="R2275" s="7" t="str">
        <f t="shared" si="49"/>
        <v>Hulk</v>
      </c>
      <c r="S2275" s="43" t="str">
        <f t="shared" si="53"/>
        <v>Action</v>
      </c>
    </row>
    <row r="2276" spans="1:19" ht="15.75" customHeight="1" x14ac:dyDescent="0.25">
      <c r="A2276" s="4" t="s">
        <v>1585</v>
      </c>
      <c r="B2276" s="4">
        <v>511</v>
      </c>
      <c r="C2276" s="4">
        <v>27098580</v>
      </c>
      <c r="D2276" s="4" t="s">
        <v>885</v>
      </c>
      <c r="E2276" s="4" t="s">
        <v>464</v>
      </c>
      <c r="F2276" s="4" t="s">
        <v>7420</v>
      </c>
      <c r="G2276" s="4">
        <v>284825</v>
      </c>
      <c r="H2276" s="4" t="s">
        <v>7421</v>
      </c>
      <c r="I2276" s="4">
        <v>828</v>
      </c>
      <c r="J2276" s="4" t="s">
        <v>23</v>
      </c>
      <c r="K2276" s="4" t="s">
        <v>176</v>
      </c>
      <c r="L2276" s="4">
        <v>102000000</v>
      </c>
      <c r="M2276" s="4">
        <v>2012</v>
      </c>
      <c r="N2276" s="4">
        <v>7.5</v>
      </c>
      <c r="O2276" s="4">
        <f ca="1">IFERROR(__xludf.DUMMYFUNCTION("IF(Cost_in_dollars!E2276=""USD"",Cost_in_dollars!B2276,Cost_in_dollars!B2276 * GOOGLEFINANCE(""CURRENCY:"" &amp; Cost_in_dollars!E2276 &amp; ""USD""))
"),110643480)</f>
        <v>110643480</v>
      </c>
      <c r="P2276" s="4">
        <f ca="1">IFERROR(__xludf.DUMMYFUNCTION("IF(Cost_in_dollars!E2276=""USD"",Cost_in_dollars!C2276,Cost_in_dollars!C2276 * GOOGLEFINANCE(""CURRENCY:"" &amp; Cost_in_dollars!E2276 &amp; ""USD""))
"),29394913.6692)</f>
        <v>29394913.669199999</v>
      </c>
      <c r="Q2276" s="4">
        <f t="shared" ca="1" si="48"/>
        <v>-81248566.330799997</v>
      </c>
      <c r="R2276" s="5" t="str">
        <f t="shared" si="49"/>
        <v>Cloud Atlas</v>
      </c>
      <c r="S2276" s="43" t="str">
        <f t="shared" si="53"/>
        <v>Drama</v>
      </c>
    </row>
    <row r="2277" spans="1:19" ht="15.75" customHeight="1" x14ac:dyDescent="0.25">
      <c r="A2277" s="6" t="s">
        <v>7422</v>
      </c>
      <c r="B2277" s="6">
        <v>91</v>
      </c>
      <c r="C2277" s="6">
        <v>10269307</v>
      </c>
      <c r="D2277" s="6" t="s">
        <v>155</v>
      </c>
      <c r="E2277" s="6" t="s">
        <v>1680</v>
      </c>
      <c r="F2277" s="6" t="s">
        <v>7423</v>
      </c>
      <c r="G2277" s="6">
        <v>53251</v>
      </c>
      <c r="H2277" s="6" t="s">
        <v>7424</v>
      </c>
      <c r="I2277" s="6">
        <v>188</v>
      </c>
      <c r="J2277" s="6" t="s">
        <v>23</v>
      </c>
      <c r="K2277" s="6" t="s">
        <v>24</v>
      </c>
      <c r="L2277" s="6">
        <v>8000000</v>
      </c>
      <c r="M2277" s="6">
        <v>2009</v>
      </c>
      <c r="N2277" s="6">
        <v>6.3</v>
      </c>
      <c r="O2277" s="4">
        <f ca="1">IFERROR(__xludf.DUMMYFUNCTION("IF(Cost_in_dollars!E2277=""USD"",Cost_in_dollars!B2277,Cost_in_dollars!B2277 * GOOGLEFINANCE(""CURRENCY:"" &amp; Cost_in_dollars!E2277 &amp; ""USD""))
"),8000000)</f>
        <v>8000000</v>
      </c>
      <c r="P2277" s="4">
        <f ca="1">IFERROR(__xludf.DUMMYFUNCTION("IF(Cost_in_dollars!E2277=""USD"",Cost_in_dollars!C2277,Cost_in_dollars!C2277 * GOOGLEFINANCE(""CURRENCY:"" &amp; Cost_in_dollars!E2277 &amp; ""USD""))
"),10269307)</f>
        <v>10269307</v>
      </c>
      <c r="Q2277" s="6">
        <f t="shared" ca="1" si="48"/>
        <v>2269307</v>
      </c>
      <c r="R2277" s="7" t="str">
        <f t="shared" si="49"/>
        <v>The Boondock Saints II: All Saints Day</v>
      </c>
      <c r="S2277" s="43" t="str">
        <f t="shared" si="53"/>
        <v>Action</v>
      </c>
    </row>
    <row r="2278" spans="1:19" ht="15.75" customHeight="1" x14ac:dyDescent="0.25">
      <c r="A2278" s="4" t="s">
        <v>2664</v>
      </c>
      <c r="B2278" s="4">
        <v>53</v>
      </c>
      <c r="C2278" s="4">
        <v>92969824</v>
      </c>
      <c r="D2278" s="4" t="s">
        <v>5315</v>
      </c>
      <c r="E2278" s="4" t="s">
        <v>676</v>
      </c>
      <c r="F2278" s="4" t="s">
        <v>7425</v>
      </c>
      <c r="G2278" s="4">
        <v>63625</v>
      </c>
      <c r="H2278" s="4" t="s">
        <v>7426</v>
      </c>
      <c r="I2278" s="4">
        <v>64</v>
      </c>
      <c r="J2278" s="4" t="s">
        <v>23</v>
      </c>
      <c r="K2278" s="4" t="s">
        <v>24</v>
      </c>
      <c r="L2278" s="4">
        <v>80000000</v>
      </c>
      <c r="M2278" s="4">
        <v>1997</v>
      </c>
      <c r="N2278" s="4">
        <v>5.2</v>
      </c>
      <c r="O2278" s="4">
        <f ca="1">IFERROR(__xludf.DUMMYFUNCTION("IF(Cost_in_dollars!E2278=""USD"",Cost_in_dollars!B2278,Cost_in_dollars!B2278 * GOOGLEFINANCE(""CURRENCY:"" &amp; Cost_in_dollars!E2278 &amp; ""USD""))
"),80000000)</f>
        <v>80000000</v>
      </c>
      <c r="P2278" s="4">
        <f ca="1">IFERROR(__xludf.DUMMYFUNCTION("IF(Cost_in_dollars!E2278=""USD"",Cost_in_dollars!C2278,Cost_in_dollars!C2278 * GOOGLEFINANCE(""CURRENCY:"" &amp; Cost_in_dollars!E2278 &amp; ""USD""))
"),92969824)</f>
        <v>92969824</v>
      </c>
      <c r="Q2278" s="4">
        <f t="shared" ca="1" si="48"/>
        <v>12969824</v>
      </c>
      <c r="R2278" s="5" t="str">
        <f t="shared" si="49"/>
        <v>Flubber</v>
      </c>
      <c r="S2278" s="43" t="str">
        <f t="shared" si="53"/>
        <v>Comedy</v>
      </c>
    </row>
    <row r="2279" spans="1:19" ht="15.75" customHeight="1" x14ac:dyDescent="0.25">
      <c r="A2279" s="6" t="s">
        <v>7427</v>
      </c>
      <c r="B2279" s="6">
        <v>96</v>
      </c>
      <c r="C2279" s="6">
        <v>150415432</v>
      </c>
      <c r="D2279" s="6" t="s">
        <v>7428</v>
      </c>
      <c r="E2279" s="6" t="s">
        <v>2547</v>
      </c>
      <c r="F2279" s="6" t="s">
        <v>7429</v>
      </c>
      <c r="G2279" s="6">
        <v>117606</v>
      </c>
      <c r="H2279" s="6" t="s">
        <v>7430</v>
      </c>
      <c r="I2279" s="6">
        <v>217</v>
      </c>
      <c r="J2279" s="6" t="s">
        <v>23</v>
      </c>
      <c r="K2279" s="6" t="s">
        <v>24</v>
      </c>
      <c r="L2279" s="6">
        <v>44000000</v>
      </c>
      <c r="M2279" s="6">
        <v>1985</v>
      </c>
      <c r="N2279" s="6">
        <v>6.4</v>
      </c>
      <c r="O2279" s="4">
        <f ca="1">IFERROR(__xludf.DUMMYFUNCTION("IF(Cost_in_dollars!E2279=""USD"",Cost_in_dollars!B2279,Cost_in_dollars!B2279 * GOOGLEFINANCE(""CURRENCY:"" &amp; Cost_in_dollars!E2279 &amp; ""USD""))
"),44000000)</f>
        <v>44000000</v>
      </c>
      <c r="P2279" s="4">
        <f ca="1">IFERROR(__xludf.DUMMYFUNCTION("IF(Cost_in_dollars!E2279=""USD"",Cost_in_dollars!C2279,Cost_in_dollars!C2279 * GOOGLEFINANCE(""CURRENCY:"" &amp; Cost_in_dollars!E2279 &amp; ""USD""))
"),150415432)</f>
        <v>150415432</v>
      </c>
      <c r="Q2279" s="6">
        <f t="shared" ca="1" si="48"/>
        <v>106415432</v>
      </c>
      <c r="R2279" s="7" t="str">
        <f t="shared" si="49"/>
        <v>Rambo: First Blood Part II</v>
      </c>
      <c r="S2279" s="43" t="str">
        <f t="shared" si="53"/>
        <v>Action</v>
      </c>
    </row>
    <row r="2280" spans="1:19" ht="15.75" customHeight="1" x14ac:dyDescent="0.25">
      <c r="A2280" s="4" t="s">
        <v>6136</v>
      </c>
      <c r="B2280" s="4">
        <v>94</v>
      </c>
      <c r="C2280" s="4">
        <v>23179303</v>
      </c>
      <c r="D2280" s="4" t="s">
        <v>5963</v>
      </c>
      <c r="E2280" s="4" t="s">
        <v>7431</v>
      </c>
      <c r="F2280" s="4" t="s">
        <v>7432</v>
      </c>
      <c r="G2280" s="4">
        <v>32951</v>
      </c>
      <c r="H2280" s="4" t="s">
        <v>7433</v>
      </c>
      <c r="I2280" s="4">
        <v>44</v>
      </c>
      <c r="J2280" s="4" t="s">
        <v>23</v>
      </c>
      <c r="K2280" s="4" t="s">
        <v>3634</v>
      </c>
      <c r="L2280" s="4">
        <v>20000000</v>
      </c>
      <c r="M2280" s="4">
        <v>2011</v>
      </c>
      <c r="N2280" s="4">
        <v>5.8</v>
      </c>
      <c r="O2280" s="4">
        <f ca="1">IFERROR(__xludf.DUMMYFUNCTION("IF(Cost_in_dollars!E2280=""USD"",Cost_in_dollars!B2280,Cost_in_dollars!B2280 * GOOGLEFINANCE(""CURRENCY:"" &amp; Cost_in_dollars!E2280 &amp; ""USD""))
"),55271.48)</f>
        <v>55271.48</v>
      </c>
      <c r="P2280" s="4">
        <f ca="1">IFERROR(__xludf.DUMMYFUNCTION("IF(Cost_in_dollars!E2280=""USD"",Cost_in_dollars!C2280,Cost_in_dollars!C2280 * GOOGLEFINANCE(""CURRENCY:"" &amp; Cost_in_dollars!E2280 &amp; ""USD""))
"),64057.719108922)</f>
        <v>64057.719108922</v>
      </c>
      <c r="Q2280" s="4">
        <f t="shared" ca="1" si="48"/>
        <v>8786.2391089219964</v>
      </c>
      <c r="R2280" s="5" t="str">
        <f t="shared" si="49"/>
        <v>Monte Carlo</v>
      </c>
      <c r="S2280" s="43" t="str">
        <f t="shared" si="53"/>
        <v>Adventure</v>
      </c>
    </row>
    <row r="2281" spans="1:19" ht="15.75" customHeight="1" x14ac:dyDescent="0.25">
      <c r="A2281" s="6" t="s">
        <v>3825</v>
      </c>
      <c r="B2281" s="6">
        <v>393</v>
      </c>
      <c r="C2281" s="6">
        <v>2319187</v>
      </c>
      <c r="D2281" s="6" t="s">
        <v>438</v>
      </c>
      <c r="E2281" s="6" t="s">
        <v>3590</v>
      </c>
      <c r="F2281" s="6" t="s">
        <v>7434</v>
      </c>
      <c r="G2281" s="6">
        <v>92640</v>
      </c>
      <c r="H2281" s="6" t="s">
        <v>7435</v>
      </c>
      <c r="I2281" s="6">
        <v>212</v>
      </c>
      <c r="J2281" s="6" t="s">
        <v>23</v>
      </c>
      <c r="K2281" s="6" t="s">
        <v>133</v>
      </c>
      <c r="L2281" s="6">
        <v>20000000</v>
      </c>
      <c r="M2281" s="6">
        <v>2013</v>
      </c>
      <c r="N2281" s="6">
        <v>7</v>
      </c>
      <c r="O2281" s="4">
        <f ca="1">IFERROR(__xludf.DUMMYFUNCTION("IF(Cost_in_dollars!E2281=""USD"",Cost_in_dollars!B2281,Cost_in_dollars!B2281 * GOOGLEFINANCE(""CURRENCY:"" &amp; Cost_in_dollars!E2281 &amp; ""USD""))
"),25707999.9999999)</f>
        <v>25707999.999999899</v>
      </c>
      <c r="P2281" s="4">
        <f ca="1">IFERROR(__xludf.DUMMYFUNCTION("IF(Cost_in_dollars!E2281=""USD"",Cost_in_dollars!C2281,Cost_in_dollars!C2281 * GOOGLEFINANCE(""CURRENCY:"" &amp; Cost_in_dollars!E2281 &amp; ""USD""))
"),2981082.96979999)</f>
        <v>2981082.9697999898</v>
      </c>
      <c r="Q2281" s="6">
        <f t="shared" ca="1" si="48"/>
        <v>-22726917.030199908</v>
      </c>
      <c r="R2281" s="7" t="str">
        <f t="shared" si="49"/>
        <v>Trance</v>
      </c>
      <c r="S2281" s="43" t="str">
        <f t="shared" si="53"/>
        <v>Crime</v>
      </c>
    </row>
    <row r="2282" spans="1:19" ht="15.75" customHeight="1" x14ac:dyDescent="0.25">
      <c r="A2282" s="4" t="s">
        <v>524</v>
      </c>
      <c r="B2282" s="4">
        <v>64</v>
      </c>
      <c r="C2282" s="4">
        <v>61355436</v>
      </c>
      <c r="D2282" s="4" t="s">
        <v>4916</v>
      </c>
      <c r="E2282" s="4" t="s">
        <v>7436</v>
      </c>
      <c r="F2282" s="4" t="s">
        <v>7437</v>
      </c>
      <c r="G2282" s="4">
        <v>52136</v>
      </c>
      <c r="H2282" s="4" t="s">
        <v>7438</v>
      </c>
      <c r="I2282" s="4">
        <v>184</v>
      </c>
      <c r="J2282" s="4" t="s">
        <v>23</v>
      </c>
      <c r="K2282" s="4" t="s">
        <v>24</v>
      </c>
      <c r="L2282" s="4">
        <v>68000000</v>
      </c>
      <c r="M2282" s="4">
        <v>1997</v>
      </c>
      <c r="N2282" s="4">
        <v>6.2</v>
      </c>
      <c r="O2282" s="4">
        <f ca="1">IFERROR(__xludf.DUMMYFUNCTION("IF(Cost_in_dollars!E2282=""USD"",Cost_in_dollars!B2282,Cost_in_dollars!B2282 * GOOGLEFINANCE(""CURRENCY:"" &amp; Cost_in_dollars!E2282 &amp; ""USD""))
"),68000000)</f>
        <v>68000000</v>
      </c>
      <c r="P2282" s="4">
        <f ca="1">IFERROR(__xludf.DUMMYFUNCTION("IF(Cost_in_dollars!E2282=""USD"",Cost_in_dollars!C2282,Cost_in_dollars!C2282 * GOOGLEFINANCE(""CURRENCY:"" &amp; Cost_in_dollars!E2282 &amp; ""USD""))
"),61355436)</f>
        <v>61355436</v>
      </c>
      <c r="Q2282" s="4">
        <f t="shared" ca="1" si="48"/>
        <v>-6644564</v>
      </c>
      <c r="R2282" s="5" t="str">
        <f t="shared" si="49"/>
        <v>The Saint</v>
      </c>
      <c r="S2282" s="43" t="str">
        <f t="shared" si="53"/>
        <v>Action</v>
      </c>
    </row>
    <row r="2283" spans="1:19" ht="15.75" customHeight="1" x14ac:dyDescent="0.25">
      <c r="A2283" s="6" t="s">
        <v>7132</v>
      </c>
      <c r="B2283" s="6">
        <v>144</v>
      </c>
      <c r="C2283" s="6">
        <v>80270227</v>
      </c>
      <c r="D2283" s="6" t="s">
        <v>1893</v>
      </c>
      <c r="E2283" s="6" t="s">
        <v>7439</v>
      </c>
      <c r="F2283" s="6" t="s">
        <v>7440</v>
      </c>
      <c r="G2283" s="6">
        <v>66382</v>
      </c>
      <c r="H2283" s="6" t="s">
        <v>7441</v>
      </c>
      <c r="I2283" s="6">
        <v>612</v>
      </c>
      <c r="J2283" s="6" t="s">
        <v>23</v>
      </c>
      <c r="K2283" s="6" t="s">
        <v>24</v>
      </c>
      <c r="L2283" s="6">
        <v>50000000</v>
      </c>
      <c r="M2283" s="6">
        <v>2005</v>
      </c>
      <c r="N2283" s="6">
        <v>5.0999999999999996</v>
      </c>
      <c r="O2283" s="4">
        <f ca="1">IFERROR(__xludf.DUMMYFUNCTION("IF(Cost_in_dollars!E2283=""USD"",Cost_in_dollars!B2283,Cost_in_dollars!B2283 * GOOGLEFINANCE(""CURRENCY:"" &amp; Cost_in_dollars!E2283 &amp; ""USD""))
"),50000000)</f>
        <v>50000000</v>
      </c>
      <c r="P2283" s="4">
        <f ca="1">IFERROR(__xludf.DUMMYFUNCTION("IF(Cost_in_dollars!E2283=""USD"",Cost_in_dollars!C2283,Cost_in_dollars!C2283 * GOOGLEFINANCE(""CURRENCY:"" &amp; Cost_in_dollars!E2283 &amp; ""USD""))
"),80270227)</f>
        <v>80270227</v>
      </c>
      <c r="Q2283" s="6">
        <f t="shared" ca="1" si="48"/>
        <v>30270227</v>
      </c>
      <c r="R2283" s="7" t="str">
        <f t="shared" si="49"/>
        <v>The Dukes of Hazzard</v>
      </c>
      <c r="S2283" s="43" t="str">
        <f t="shared" si="53"/>
        <v>Action</v>
      </c>
    </row>
    <row r="2284" spans="1:19" ht="15.75" customHeight="1" x14ac:dyDescent="0.25">
      <c r="A2284" s="4" t="s">
        <v>7442</v>
      </c>
      <c r="B2284" s="4">
        <v>46</v>
      </c>
      <c r="C2284" s="4">
        <v>371081</v>
      </c>
      <c r="D2284" s="4" t="s">
        <v>457</v>
      </c>
      <c r="E2284" s="4" t="s">
        <v>676</v>
      </c>
      <c r="F2284" s="4" t="s">
        <v>7443</v>
      </c>
      <c r="G2284" s="4">
        <v>7479</v>
      </c>
      <c r="H2284" s="4" t="s">
        <v>7444</v>
      </c>
      <c r="I2284" s="4">
        <v>86</v>
      </c>
      <c r="J2284" s="4" t="s">
        <v>23</v>
      </c>
      <c r="K2284" s="4" t="s">
        <v>24</v>
      </c>
      <c r="L2284" s="4">
        <v>6000000</v>
      </c>
      <c r="M2284" s="4">
        <v>2004</v>
      </c>
      <c r="N2284" s="4">
        <v>7</v>
      </c>
      <c r="O2284" s="4">
        <f ca="1">IFERROR(__xludf.DUMMYFUNCTION("IF(Cost_in_dollars!E2284=""USD"",Cost_in_dollars!B2284,Cost_in_dollars!B2284 * GOOGLEFINANCE(""CURRENCY:"" &amp; Cost_in_dollars!E2284 &amp; ""USD""))
"),6000000)</f>
        <v>6000000</v>
      </c>
      <c r="P2284" s="4">
        <f ca="1">IFERROR(__xludf.DUMMYFUNCTION("IF(Cost_in_dollars!E2284=""USD"",Cost_in_dollars!C2284,Cost_in_dollars!C2284 * GOOGLEFINANCE(""CURRENCY:"" &amp; Cost_in_dollars!E2284 &amp; ""USD""))
"),371081)</f>
        <v>371081</v>
      </c>
      <c r="Q2284" s="4">
        <f t="shared" ca="1" si="48"/>
        <v>-5628919</v>
      </c>
      <c r="R2284" s="5" t="str">
        <f t="shared" si="49"/>
        <v>House of D</v>
      </c>
      <c r="S2284" s="43" t="str">
        <f t="shared" si="53"/>
        <v>Comedy</v>
      </c>
    </row>
    <row r="2285" spans="1:19" ht="15.75" customHeight="1" x14ac:dyDescent="0.25">
      <c r="A2285" s="6" t="s">
        <v>7445</v>
      </c>
      <c r="B2285" s="6">
        <v>122</v>
      </c>
      <c r="C2285" s="6">
        <v>27972410</v>
      </c>
      <c r="D2285" s="6" t="s">
        <v>1893</v>
      </c>
      <c r="E2285" s="6" t="s">
        <v>2449</v>
      </c>
      <c r="F2285" s="6" t="s">
        <v>7446</v>
      </c>
      <c r="G2285" s="6">
        <v>114692</v>
      </c>
      <c r="H2285" s="6" t="s">
        <v>7447</v>
      </c>
      <c r="I2285" s="6">
        <v>285</v>
      </c>
      <c r="J2285" s="6" t="s">
        <v>23</v>
      </c>
      <c r="K2285" s="6" t="s">
        <v>133</v>
      </c>
      <c r="L2285" s="6">
        <v>35000000</v>
      </c>
      <c r="M2285" s="6">
        <v>2003</v>
      </c>
      <c r="N2285" s="6">
        <v>6.1</v>
      </c>
      <c r="O2285" s="4">
        <f ca="1">IFERROR(__xludf.DUMMYFUNCTION("IF(Cost_in_dollars!E2285=""USD"",Cost_in_dollars!B2285,Cost_in_dollars!B2285 * GOOGLEFINANCE(""CURRENCY:"" &amp; Cost_in_dollars!E2285 &amp; ""USD""))
"),44988999.9999999)</f>
        <v>44988999.999999903</v>
      </c>
      <c r="P2285" s="4">
        <f ca="1">IFERROR(__xludf.DUMMYFUNCTION("IF(Cost_in_dollars!E2285=""USD"",Cost_in_dollars!C2285,Cost_in_dollars!C2285 * GOOGLEFINANCE(""CURRENCY:"" &amp; Cost_in_dollars!E2285 &amp; ""USD""))
"),35955735.8139999)</f>
        <v>35955735.813999899</v>
      </c>
      <c r="Q2285" s="6">
        <f t="shared" ca="1" si="48"/>
        <v>-9033264.1860000044</v>
      </c>
      <c r="R2285" s="7" t="str">
        <f t="shared" si="49"/>
        <v>Johnny English</v>
      </c>
      <c r="S2285" s="43" t="str">
        <f t="shared" si="53"/>
        <v>Action</v>
      </c>
    </row>
    <row r="2286" spans="1:19" ht="15.75" customHeight="1" x14ac:dyDescent="0.25">
      <c r="A2286" s="4" t="s">
        <v>628</v>
      </c>
      <c r="B2286" s="4">
        <v>190</v>
      </c>
      <c r="C2286" s="4">
        <v>111110575</v>
      </c>
      <c r="D2286" s="4" t="s">
        <v>1456</v>
      </c>
      <c r="E2286" s="4" t="s">
        <v>223</v>
      </c>
      <c r="F2286" s="4" t="s">
        <v>7448</v>
      </c>
      <c r="G2286" s="4">
        <v>317166</v>
      </c>
      <c r="H2286" s="4" t="s">
        <v>7449</v>
      </c>
      <c r="I2286" s="4">
        <v>928</v>
      </c>
      <c r="J2286" s="4" t="s">
        <v>23</v>
      </c>
      <c r="K2286" s="4" t="s">
        <v>24</v>
      </c>
      <c r="L2286" s="4">
        <v>140000000</v>
      </c>
      <c r="M2286" s="4">
        <v>2003</v>
      </c>
      <c r="N2286" s="4">
        <v>7.7</v>
      </c>
      <c r="O2286" s="4">
        <f ca="1">IFERROR(__xludf.DUMMYFUNCTION("IF(Cost_in_dollars!E2286=""USD"",Cost_in_dollars!B2286,Cost_in_dollars!B2286 * GOOGLEFINANCE(""CURRENCY:"" &amp; Cost_in_dollars!E2286 &amp; ""USD""))
"),140000000)</f>
        <v>140000000</v>
      </c>
      <c r="P2286" s="4">
        <f ca="1">IFERROR(__xludf.DUMMYFUNCTION("IF(Cost_in_dollars!E2286=""USD"",Cost_in_dollars!C2286,Cost_in_dollars!C2286 * GOOGLEFINANCE(""CURRENCY:"" &amp; Cost_in_dollars!E2286 &amp; ""USD""))
"),111110575)</f>
        <v>111110575</v>
      </c>
      <c r="Q2286" s="4">
        <f t="shared" ca="1" si="48"/>
        <v>-28889425</v>
      </c>
      <c r="R2286" s="5" t="str">
        <f t="shared" si="49"/>
        <v>The Last Samurai</v>
      </c>
      <c r="S2286" s="43" t="str">
        <f t="shared" si="53"/>
        <v>Action</v>
      </c>
    </row>
    <row r="2287" spans="1:19" ht="15.75" customHeight="1" x14ac:dyDescent="0.25">
      <c r="A2287" s="6" t="s">
        <v>1098</v>
      </c>
      <c r="B2287" s="6">
        <v>167</v>
      </c>
      <c r="C2287" s="6">
        <v>41814863</v>
      </c>
      <c r="D2287" s="6" t="s">
        <v>93</v>
      </c>
      <c r="E2287" s="6" t="s">
        <v>7450</v>
      </c>
      <c r="F2287" s="6" t="s">
        <v>7451</v>
      </c>
      <c r="G2287" s="6">
        <v>28635</v>
      </c>
      <c r="H2287" s="6" t="s">
        <v>7452</v>
      </c>
      <c r="I2287" s="6">
        <v>308</v>
      </c>
      <c r="J2287" s="6" t="s">
        <v>23</v>
      </c>
      <c r="K2287" s="6" t="s">
        <v>24</v>
      </c>
      <c r="L2287" s="6">
        <v>50000000</v>
      </c>
      <c r="M2287" s="6">
        <v>2004</v>
      </c>
      <c r="N2287" s="6">
        <v>5.0999999999999996</v>
      </c>
      <c r="O2287" s="4">
        <f ca="1">IFERROR(__xludf.DUMMYFUNCTION("IF(Cost_in_dollars!E2287=""USD"",Cost_in_dollars!B2287,Cost_in_dollars!B2287 * GOOGLEFINANCE(""CURRENCY:"" &amp; Cost_in_dollars!E2287 &amp; ""USD""))
"),50000000)</f>
        <v>50000000</v>
      </c>
      <c r="P2287" s="4">
        <f ca="1">IFERROR(__xludf.DUMMYFUNCTION("IF(Cost_in_dollars!E2287=""USD"",Cost_in_dollars!C2287,Cost_in_dollars!C2287 * GOOGLEFINANCE(""CURRENCY:"" &amp; Cost_in_dollars!E2287 &amp; ""USD""))
"),41814863)</f>
        <v>41814863</v>
      </c>
      <c r="Q2287" s="6">
        <f t="shared" ca="1" si="48"/>
        <v>-8185137</v>
      </c>
      <c r="R2287" s="7" t="str">
        <f t="shared" si="49"/>
        <v>Exorcist: The Beginning</v>
      </c>
      <c r="S2287" s="43" t="str">
        <f t="shared" si="53"/>
        <v>Horror</v>
      </c>
    </row>
    <row r="2288" spans="1:19" ht="15.75" customHeight="1" x14ac:dyDescent="0.25">
      <c r="A2288" s="4" t="s">
        <v>3319</v>
      </c>
      <c r="B2288" s="4">
        <v>86</v>
      </c>
      <c r="C2288" s="4">
        <v>28876924</v>
      </c>
      <c r="D2288" s="4" t="s">
        <v>7453</v>
      </c>
      <c r="E2288" s="4" t="s">
        <v>7454</v>
      </c>
      <c r="F2288" s="4" t="s">
        <v>7455</v>
      </c>
      <c r="G2288" s="4">
        <v>4303</v>
      </c>
      <c r="H2288" s="4" t="s">
        <v>7456</v>
      </c>
      <c r="I2288" s="4">
        <v>35</v>
      </c>
      <c r="J2288" s="4" t="s">
        <v>23</v>
      </c>
      <c r="K2288" s="4" t="s">
        <v>24</v>
      </c>
      <c r="L2288" s="4">
        <v>20000000</v>
      </c>
      <c r="M2288" s="4">
        <v>2016</v>
      </c>
      <c r="N2288" s="4">
        <v>7.1</v>
      </c>
      <c r="O2288" s="4">
        <f ca="1">IFERROR(__xludf.DUMMYFUNCTION("IF(Cost_in_dollars!E2288=""USD"",Cost_in_dollars!B2288,Cost_in_dollars!B2288 * GOOGLEFINANCE(""CURRENCY:"" &amp; Cost_in_dollars!E2288 &amp; ""USD""))
"),20000000)</f>
        <v>20000000</v>
      </c>
      <c r="P2288" s="4">
        <f ca="1">IFERROR(__xludf.DUMMYFUNCTION("IF(Cost_in_dollars!E2288=""USD"",Cost_in_dollars!C2288,Cost_in_dollars!C2288 * GOOGLEFINANCE(""CURRENCY:"" &amp; Cost_in_dollars!E2288 &amp; ""USD""))
"),28876924)</f>
        <v>28876924</v>
      </c>
      <c r="Q2288" s="4">
        <f t="shared" ca="1" si="48"/>
        <v>8876924</v>
      </c>
      <c r="R2288" s="5" t="str">
        <f t="shared" si="49"/>
        <v>Nerve</v>
      </c>
      <c r="S2288" s="43" t="str">
        <f t="shared" si="53"/>
        <v>Adventure</v>
      </c>
    </row>
    <row r="2289" spans="1:19" ht="15.75" customHeight="1" x14ac:dyDescent="0.25">
      <c r="A2289" s="6" t="s">
        <v>1810</v>
      </c>
      <c r="B2289" s="6">
        <v>170</v>
      </c>
      <c r="C2289" s="6">
        <v>43337279</v>
      </c>
      <c r="D2289" s="6" t="s">
        <v>696</v>
      </c>
      <c r="E2289" s="6" t="s">
        <v>381</v>
      </c>
      <c r="F2289" s="6" t="s">
        <v>7457</v>
      </c>
      <c r="G2289" s="6">
        <v>76770</v>
      </c>
      <c r="H2289" s="6" t="s">
        <v>7458</v>
      </c>
      <c r="I2289" s="6">
        <v>203</v>
      </c>
      <c r="J2289" s="6" t="s">
        <v>23</v>
      </c>
      <c r="K2289" s="6" t="s">
        <v>24</v>
      </c>
      <c r="L2289" s="6">
        <v>60000000</v>
      </c>
      <c r="M2289" s="6">
        <v>2009</v>
      </c>
      <c r="N2289" s="6">
        <v>4.9000000000000004</v>
      </c>
      <c r="O2289" s="4">
        <f ca="1">IFERROR(__xludf.DUMMYFUNCTION("IF(Cost_in_dollars!E2289=""USD"",Cost_in_dollars!B2289,Cost_in_dollars!B2289 * GOOGLEFINANCE(""CURRENCY:"" &amp; Cost_in_dollars!E2289 &amp; ""USD""))
"),60000000)</f>
        <v>60000000</v>
      </c>
      <c r="P2289" s="4">
        <f ca="1">IFERROR(__xludf.DUMMYFUNCTION("IF(Cost_in_dollars!E2289=""USD"",Cost_in_dollars!C2289,Cost_in_dollars!C2289 * GOOGLEFINANCE(""CURRENCY:"" &amp; Cost_in_dollars!E2289 &amp; ""USD""))
"),43337279)</f>
        <v>43337279</v>
      </c>
      <c r="Q2289" s="6">
        <f t="shared" ca="1" si="48"/>
        <v>-16662721</v>
      </c>
      <c r="R2289" s="7" t="str">
        <f t="shared" si="49"/>
        <v>Year One</v>
      </c>
      <c r="S2289" s="43" t="str">
        <f t="shared" si="53"/>
        <v>Adventure</v>
      </c>
    </row>
    <row r="2290" spans="1:19" ht="15.75" customHeight="1" x14ac:dyDescent="0.25">
      <c r="A2290" s="4" t="s">
        <v>7459</v>
      </c>
      <c r="B2290" s="4">
        <v>110</v>
      </c>
      <c r="C2290" s="4">
        <v>102055</v>
      </c>
      <c r="D2290" s="4" t="s">
        <v>183</v>
      </c>
      <c r="E2290" s="4" t="s">
        <v>7460</v>
      </c>
      <c r="F2290" s="4" t="s">
        <v>7461</v>
      </c>
      <c r="G2290" s="4">
        <v>24570</v>
      </c>
      <c r="H2290" s="4" t="s">
        <v>7462</v>
      </c>
      <c r="I2290" s="4">
        <v>72</v>
      </c>
      <c r="J2290" s="4" t="s">
        <v>5267</v>
      </c>
      <c r="K2290" s="4" t="s">
        <v>5268</v>
      </c>
      <c r="L2290" s="4">
        <v>300000000</v>
      </c>
      <c r="M2290" s="4">
        <v>2008</v>
      </c>
      <c r="N2290" s="4">
        <v>6.2</v>
      </c>
      <c r="O2290" s="4">
        <f ca="1">IFERROR(__xludf.DUMMYFUNCTION("IF(Cost_in_dollars!E2290=""USD"",Cost_in_dollars!B2290,Cost_in_dollars!B2290 * GOOGLEFINANCE(""CURRENCY:"" &amp; Cost_in_dollars!E2290 &amp; ""USD""))
"),8278146)</f>
        <v>8278146</v>
      </c>
      <c r="P2290" s="4">
        <f ca="1">IFERROR(__xludf.DUMMYFUNCTION("IF(Cost_in_dollars!E2290=""USD"",Cost_in_dollars!C2290,Cost_in_dollars!C2290 * GOOGLEFINANCE(""CURRENCY:"" &amp; Cost_in_dollars!E2290 &amp; ""USD""))
"),2816.0873001)</f>
        <v>2816.0873001</v>
      </c>
      <c r="Q2290" s="4">
        <f t="shared" ca="1" si="48"/>
        <v>-8275329.9126998996</v>
      </c>
      <c r="R2290" s="5" t="str">
        <f t="shared" si="49"/>
        <v>Ong-bak 2</v>
      </c>
      <c r="S2290" s="43" t="str">
        <f t="shared" si="53"/>
        <v>Action</v>
      </c>
    </row>
    <row r="2291" spans="1:19" ht="15.75" customHeight="1" x14ac:dyDescent="0.25">
      <c r="A2291" s="6" t="s">
        <v>7463</v>
      </c>
      <c r="B2291" s="6">
        <v>110</v>
      </c>
      <c r="C2291" s="6">
        <v>7362100</v>
      </c>
      <c r="D2291" s="6" t="s">
        <v>457</v>
      </c>
      <c r="E2291" s="6" t="s">
        <v>7464</v>
      </c>
      <c r="F2291" s="6" t="s">
        <v>7465</v>
      </c>
      <c r="G2291" s="6">
        <v>60295</v>
      </c>
      <c r="H2291" s="6" t="s">
        <v>7466</v>
      </c>
      <c r="I2291" s="6">
        <v>232</v>
      </c>
      <c r="J2291" s="6" t="s">
        <v>23</v>
      </c>
      <c r="K2291" s="6" t="s">
        <v>24</v>
      </c>
      <c r="L2291" s="6">
        <v>1500000</v>
      </c>
      <c r="M2291" s="6">
        <v>2005</v>
      </c>
      <c r="N2291" s="6">
        <v>7.4</v>
      </c>
      <c r="O2291" s="4">
        <f ca="1">IFERROR(__xludf.DUMMYFUNCTION("IF(Cost_in_dollars!E2291=""USD"",Cost_in_dollars!B2291,Cost_in_dollars!B2291 * GOOGLEFINANCE(""CURRENCY:"" &amp; Cost_in_dollars!E2291 &amp; ""USD""))
"),1500000)</f>
        <v>1500000</v>
      </c>
      <c r="P2291" s="4">
        <f ca="1">IFERROR(__xludf.DUMMYFUNCTION("IF(Cost_in_dollars!E2291=""USD"",Cost_in_dollars!C2291,Cost_in_dollars!C2291 * GOOGLEFINANCE(""CURRENCY:"" &amp; Cost_in_dollars!E2291 &amp; ""USD""))
"),7362100)</f>
        <v>7362100</v>
      </c>
      <c r="Q2291" s="6">
        <f t="shared" ca="1" si="48"/>
        <v>5862100</v>
      </c>
      <c r="R2291" s="7" t="str">
        <f t="shared" si="49"/>
        <v>The Squid and the Whale</v>
      </c>
      <c r="S2291" s="43" t="str">
        <f t="shared" si="53"/>
        <v>Comedy</v>
      </c>
    </row>
    <row r="2292" spans="1:19" ht="15.75" customHeight="1" x14ac:dyDescent="0.25">
      <c r="A2292" s="4" t="s">
        <v>662</v>
      </c>
      <c r="B2292" s="4">
        <v>66</v>
      </c>
      <c r="C2292" s="4">
        <v>80920948</v>
      </c>
      <c r="D2292" s="4" t="s">
        <v>7467</v>
      </c>
      <c r="E2292" s="4" t="s">
        <v>3644</v>
      </c>
      <c r="F2292" s="4" t="s">
        <v>7468</v>
      </c>
      <c r="G2292" s="4">
        <v>23943</v>
      </c>
      <c r="H2292" s="4" t="s">
        <v>7469</v>
      </c>
      <c r="I2292" s="4">
        <v>118</v>
      </c>
      <c r="J2292" s="4" t="s">
        <v>23</v>
      </c>
      <c r="K2292" s="4" t="s">
        <v>24</v>
      </c>
      <c r="L2292" s="4">
        <v>30000000</v>
      </c>
      <c r="M2292" s="4">
        <v>2001</v>
      </c>
      <c r="N2292" s="4">
        <v>6</v>
      </c>
      <c r="O2292" s="4">
        <f ca="1">IFERROR(__xludf.DUMMYFUNCTION("IF(Cost_in_dollars!E2292=""USD"",Cost_in_dollars!B2292,Cost_in_dollars!B2292 * GOOGLEFINANCE(""CURRENCY:"" &amp; Cost_in_dollars!E2292 &amp; ""USD""))
"),30000000)</f>
        <v>30000000</v>
      </c>
      <c r="P2292" s="4">
        <f ca="1">IFERROR(__xludf.DUMMYFUNCTION("IF(Cost_in_dollars!E2292=""USD"",Cost_in_dollars!C2292,Cost_in_dollars!C2292 * GOOGLEFINANCE(""CURRENCY:"" &amp; Cost_in_dollars!E2292 &amp; ""USD""))
"),80920948)</f>
        <v>80920948</v>
      </c>
      <c r="Q2292" s="4">
        <f t="shared" ca="1" si="48"/>
        <v>50920948</v>
      </c>
      <c r="R2292" s="5" t="str">
        <f t="shared" si="49"/>
        <v>Jimmy Neutron: Boy Genius</v>
      </c>
      <c r="S2292" s="43" t="str">
        <f t="shared" si="53"/>
        <v>Action</v>
      </c>
    </row>
    <row r="2293" spans="1:19" ht="15.75" customHeight="1" x14ac:dyDescent="0.25">
      <c r="A2293" s="6" t="s">
        <v>5385</v>
      </c>
      <c r="B2293" s="6">
        <v>241</v>
      </c>
      <c r="C2293" s="6">
        <v>22245861</v>
      </c>
      <c r="D2293" s="6" t="s">
        <v>457</v>
      </c>
      <c r="E2293" s="6" t="s">
        <v>461</v>
      </c>
      <c r="F2293" s="6" t="s">
        <v>7470</v>
      </c>
      <c r="G2293" s="6">
        <v>143251</v>
      </c>
      <c r="H2293" s="6" t="s">
        <v>7471</v>
      </c>
      <c r="I2293" s="6">
        <v>710</v>
      </c>
      <c r="J2293" s="6" t="s">
        <v>23</v>
      </c>
      <c r="K2293" s="6" t="s">
        <v>24</v>
      </c>
      <c r="L2293" s="6">
        <v>19000000</v>
      </c>
      <c r="M2293" s="6">
        <v>2002</v>
      </c>
      <c r="N2293" s="6">
        <v>7.7</v>
      </c>
      <c r="O2293" s="4">
        <f ca="1">IFERROR(__xludf.DUMMYFUNCTION("IF(Cost_in_dollars!E2293=""USD"",Cost_in_dollars!B2293,Cost_in_dollars!B2293 * GOOGLEFINANCE(""CURRENCY:"" &amp; Cost_in_dollars!E2293 &amp; ""USD""))
"),19000000)</f>
        <v>19000000</v>
      </c>
      <c r="P2293" s="4">
        <f ca="1">IFERROR(__xludf.DUMMYFUNCTION("IF(Cost_in_dollars!E2293=""USD"",Cost_in_dollars!C2293,Cost_in_dollars!C2293 * GOOGLEFINANCE(""CURRENCY:"" &amp; Cost_in_dollars!E2293 &amp; ""USD""))
"),22245861)</f>
        <v>22245861</v>
      </c>
      <c r="Q2293" s="6">
        <f t="shared" ca="1" si="48"/>
        <v>3245861</v>
      </c>
      <c r="R2293" s="7" t="str">
        <f t="shared" si="49"/>
        <v>Adaptation.</v>
      </c>
      <c r="S2293" s="43" t="str">
        <f t="shared" si="53"/>
        <v>Comedy</v>
      </c>
    </row>
    <row r="2294" spans="1:19" ht="15.75" customHeight="1" x14ac:dyDescent="0.25">
      <c r="A2294" s="4" t="s">
        <v>7472</v>
      </c>
      <c r="B2294" s="4">
        <v>17</v>
      </c>
      <c r="C2294" s="4">
        <v>126247</v>
      </c>
      <c r="D2294" s="4" t="s">
        <v>443</v>
      </c>
      <c r="E2294" s="4" t="s">
        <v>1033</v>
      </c>
      <c r="F2294" s="4" t="s">
        <v>7473</v>
      </c>
      <c r="G2294" s="4">
        <v>24958</v>
      </c>
      <c r="H2294" s="4" t="s">
        <v>7474</v>
      </c>
      <c r="I2294" s="4">
        <v>103</v>
      </c>
      <c r="J2294" s="4" t="s">
        <v>23</v>
      </c>
      <c r="K2294" s="4" t="s">
        <v>24</v>
      </c>
      <c r="L2294" s="4">
        <v>6200000</v>
      </c>
      <c r="M2294" s="4">
        <v>1994</v>
      </c>
      <c r="N2294" s="4">
        <v>3.3</v>
      </c>
      <c r="O2294" s="4">
        <f ca="1">IFERROR(__xludf.DUMMYFUNCTION("IF(Cost_in_dollars!E2294=""USD"",Cost_in_dollars!B2294,Cost_in_dollars!B2294 * GOOGLEFINANCE(""CURRENCY:"" &amp; Cost_in_dollars!E2294 &amp; ""USD""))
"),6200000)</f>
        <v>6200000</v>
      </c>
      <c r="P2294" s="4">
        <f ca="1">IFERROR(__xludf.DUMMYFUNCTION("IF(Cost_in_dollars!E2294=""USD"",Cost_in_dollars!C2294,Cost_in_dollars!C2294 * GOOGLEFINANCE(""CURRENCY:"" &amp; Cost_in_dollars!E2294 &amp; ""USD""))
"),126247)</f>
        <v>126247</v>
      </c>
      <c r="Q2294" s="4">
        <f t="shared" ca="1" si="48"/>
        <v>-6073753</v>
      </c>
      <c r="R2294" s="5" t="str">
        <f t="shared" si="49"/>
        <v>Police Academy: Mission to Moscow</v>
      </c>
      <c r="S2294" s="43" t="str">
        <f t="shared" si="53"/>
        <v>Comedy</v>
      </c>
    </row>
    <row r="2295" spans="1:19" ht="15.75" customHeight="1" x14ac:dyDescent="0.25">
      <c r="A2295" s="6" t="s">
        <v>3319</v>
      </c>
      <c r="B2295" s="6">
        <v>248</v>
      </c>
      <c r="C2295" s="6">
        <v>53884821</v>
      </c>
      <c r="D2295" s="6" t="s">
        <v>151</v>
      </c>
      <c r="E2295" s="6" t="s">
        <v>7475</v>
      </c>
      <c r="F2295" s="6" t="s">
        <v>7476</v>
      </c>
      <c r="G2295" s="6">
        <v>51204</v>
      </c>
      <c r="H2295" s="6" t="s">
        <v>7477</v>
      </c>
      <c r="I2295" s="6">
        <v>247</v>
      </c>
      <c r="J2295" s="6" t="s">
        <v>23</v>
      </c>
      <c r="K2295" s="6" t="s">
        <v>24</v>
      </c>
      <c r="L2295" s="6">
        <v>5000000</v>
      </c>
      <c r="M2295" s="6">
        <v>2012</v>
      </c>
      <c r="N2295" s="6">
        <v>4.5999999999999996</v>
      </c>
      <c r="O2295" s="4">
        <f ca="1">IFERROR(__xludf.DUMMYFUNCTION("IF(Cost_in_dollars!E2295=""USD"",Cost_in_dollars!B2295,Cost_in_dollars!B2295 * GOOGLEFINANCE(""CURRENCY:"" &amp; Cost_in_dollars!E2295 &amp; ""USD""))
"),5000000)</f>
        <v>5000000</v>
      </c>
      <c r="P2295" s="4">
        <f ca="1">IFERROR(__xludf.DUMMYFUNCTION("IF(Cost_in_dollars!E2295=""USD"",Cost_in_dollars!C2295,Cost_in_dollars!C2295 * GOOGLEFINANCE(""CURRENCY:"" &amp; Cost_in_dollars!E2295 &amp; ""USD""))
"),53884821)</f>
        <v>53884821</v>
      </c>
      <c r="Q2295" s="6">
        <f t="shared" ca="1" si="48"/>
        <v>48884821</v>
      </c>
      <c r="R2295" s="7" t="str">
        <f t="shared" si="49"/>
        <v>Paranormal Activity 4</v>
      </c>
      <c r="S2295" s="43" t="str">
        <f t="shared" si="53"/>
        <v>Horror</v>
      </c>
    </row>
    <row r="2296" spans="1:19" ht="15.75" customHeight="1" x14ac:dyDescent="0.25">
      <c r="A2296" s="4" t="s">
        <v>7478</v>
      </c>
      <c r="B2296" s="4">
        <v>51</v>
      </c>
      <c r="C2296" s="4">
        <v>32800000</v>
      </c>
      <c r="D2296" s="4" t="s">
        <v>3234</v>
      </c>
      <c r="E2296" s="4" t="s">
        <v>1575</v>
      </c>
      <c r="F2296" s="4" t="s">
        <v>7479</v>
      </c>
      <c r="G2296" s="4">
        <v>34896</v>
      </c>
      <c r="H2296" s="4" t="s">
        <v>7480</v>
      </c>
      <c r="I2296" s="4">
        <v>118</v>
      </c>
      <c r="J2296" s="4" t="s">
        <v>23</v>
      </c>
      <c r="K2296" s="4" t="s">
        <v>24</v>
      </c>
      <c r="L2296" s="4">
        <v>40000000</v>
      </c>
      <c r="M2296" s="4">
        <v>1996</v>
      </c>
      <c r="N2296" s="4">
        <v>4.3</v>
      </c>
      <c r="O2296" s="4">
        <f ca="1">IFERROR(__xludf.DUMMYFUNCTION("IF(Cost_in_dollars!E2296=""USD"",Cost_in_dollars!B2296,Cost_in_dollars!B2296 * GOOGLEFINANCE(""CURRENCY:"" &amp; Cost_in_dollars!E2296 &amp; ""USD""))
"),40000000)</f>
        <v>40000000</v>
      </c>
      <c r="P2296" s="4">
        <f ca="1">IFERROR(__xludf.DUMMYFUNCTION("IF(Cost_in_dollars!E2296=""USD"",Cost_in_dollars!C2296,Cost_in_dollars!C2296 * GOOGLEFINANCE(""CURRENCY:"" &amp; Cost_in_dollars!E2296 &amp; ""USD""))
"),32800000)</f>
        <v>32800000</v>
      </c>
      <c r="Q2296" s="4">
        <f t="shared" ca="1" si="48"/>
        <v>-7200000</v>
      </c>
      <c r="R2296" s="5" t="str">
        <f t="shared" si="49"/>
        <v>Striptease</v>
      </c>
      <c r="S2296" s="43" t="str">
        <f t="shared" si="53"/>
        <v>Comedy</v>
      </c>
    </row>
    <row r="2297" spans="1:19" ht="15.75" customHeight="1" x14ac:dyDescent="0.25">
      <c r="A2297" s="6" t="s">
        <v>7481</v>
      </c>
      <c r="B2297" s="6">
        <v>43</v>
      </c>
      <c r="C2297" s="6">
        <v>92900</v>
      </c>
      <c r="D2297" s="6" t="s">
        <v>457</v>
      </c>
      <c r="E2297" s="6" t="s">
        <v>7482</v>
      </c>
      <c r="F2297" s="6" t="s">
        <v>7483</v>
      </c>
      <c r="G2297" s="6">
        <v>3662</v>
      </c>
      <c r="H2297" s="6" t="s">
        <v>7484</v>
      </c>
      <c r="I2297" s="6">
        <v>23</v>
      </c>
      <c r="J2297" s="6" t="s">
        <v>23</v>
      </c>
      <c r="K2297" s="6" t="s">
        <v>24</v>
      </c>
      <c r="L2297" s="6">
        <v>5000000</v>
      </c>
      <c r="M2297" s="6">
        <v>2009</v>
      </c>
      <c r="N2297" s="6">
        <v>4.7</v>
      </c>
      <c r="O2297" s="4">
        <f ca="1">IFERROR(__xludf.DUMMYFUNCTION("IF(Cost_in_dollars!E2297=""USD"",Cost_in_dollars!B2297,Cost_in_dollars!B2297 * GOOGLEFINANCE(""CURRENCY:"" &amp; Cost_in_dollars!E2297 &amp; ""USD""))
"),5000000)</f>
        <v>5000000</v>
      </c>
      <c r="P2297" s="4">
        <f ca="1">IFERROR(__xludf.DUMMYFUNCTION("IF(Cost_in_dollars!E2297=""USD"",Cost_in_dollars!C2297,Cost_in_dollars!C2297 * GOOGLEFINANCE(""CURRENCY:"" &amp; Cost_in_dollars!E2297 &amp; ""USD""))
"),92900)</f>
        <v>92900</v>
      </c>
      <c r="Q2297" s="6">
        <f t="shared" ref="Q2297:Q2551" ca="1" si="54">P2297-O2297</f>
        <v>-4907100</v>
      </c>
      <c r="R2297" s="7" t="str">
        <f t="shared" ref="R2297:R2551" si="55">LEFT(F2297,LEN(F2297)-2)</f>
        <v>Motherhood</v>
      </c>
      <c r="S2297" s="43" t="str">
        <f t="shared" si="53"/>
        <v>Comedy</v>
      </c>
    </row>
    <row r="2298" spans="1:19" ht="15.75" customHeight="1" x14ac:dyDescent="0.25">
      <c r="A2298" s="4" t="s">
        <v>7485</v>
      </c>
      <c r="B2298" s="4">
        <v>105</v>
      </c>
      <c r="C2298" s="4">
        <v>1127331</v>
      </c>
      <c r="D2298" s="4" t="s">
        <v>102</v>
      </c>
      <c r="E2298" s="4" t="s">
        <v>7486</v>
      </c>
      <c r="F2298" s="4" t="s">
        <v>7487</v>
      </c>
      <c r="G2298" s="4">
        <v>7559</v>
      </c>
      <c r="H2298" s="4" t="s">
        <v>7488</v>
      </c>
      <c r="I2298" s="4">
        <v>77</v>
      </c>
      <c r="J2298" s="4" t="s">
        <v>7489</v>
      </c>
      <c r="K2298" s="4" t="s">
        <v>7490</v>
      </c>
      <c r="L2298" s="4">
        <v>46000</v>
      </c>
      <c r="M2298" s="4">
        <v>2003</v>
      </c>
      <c r="N2298" s="4">
        <v>7.4</v>
      </c>
      <c r="O2298" s="4">
        <f ca="1">IFERROR(__xludf.DUMMYFUNCTION("IF(Cost_in_dollars!E2298=""USD"",Cost_in_dollars!B2298,Cost_in_dollars!B2298 * GOOGLEFINANCE(""CURRENCY:"" &amp; Cost_in_dollars!E2298 &amp; ""USD""))
"),649.516504)</f>
        <v>649.51650400000005</v>
      </c>
      <c r="P2298" s="4">
        <f ca="1">IFERROR(__xludf.DUMMYFUNCTION("IF(Cost_in_dollars!E2298=""USD"",Cost_in_dollars!C2298,Cost_in_dollars!C2298 * GOOGLEFINANCE(""CURRENCY:"" &amp; Cost_in_dollars!E2298 &amp; ""USD""))
"),15917.828042844)</f>
        <v>15917.828042843999</v>
      </c>
      <c r="Q2298" s="4">
        <f t="shared" ca="1" si="54"/>
        <v>15268.311538844</v>
      </c>
      <c r="R2298" s="5" t="str">
        <f t="shared" si="55"/>
        <v>Osama</v>
      </c>
      <c r="S2298" s="43" t="str">
        <f t="shared" si="53"/>
        <v>Drama</v>
      </c>
    </row>
    <row r="2299" spans="1:19" ht="15.75" customHeight="1" x14ac:dyDescent="0.25">
      <c r="A2299" s="6" t="s">
        <v>7491</v>
      </c>
      <c r="B2299" s="6">
        <v>153</v>
      </c>
      <c r="C2299" s="6">
        <v>38087366</v>
      </c>
      <c r="D2299" s="6" t="s">
        <v>696</v>
      </c>
      <c r="E2299" s="6" t="s">
        <v>7492</v>
      </c>
      <c r="F2299" s="6" t="s">
        <v>7493</v>
      </c>
      <c r="G2299" s="6">
        <v>113918</v>
      </c>
      <c r="H2299" s="6" t="s">
        <v>7494</v>
      </c>
      <c r="I2299" s="6">
        <v>165</v>
      </c>
      <c r="J2299" s="6" t="s">
        <v>23</v>
      </c>
      <c r="K2299" s="6" t="s">
        <v>24</v>
      </c>
      <c r="L2299" s="6">
        <v>12000000</v>
      </c>
      <c r="M2299" s="6">
        <v>2008</v>
      </c>
      <c r="N2299" s="6">
        <v>6.6</v>
      </c>
      <c r="O2299" s="4">
        <f ca="1">IFERROR(__xludf.DUMMYFUNCTION("IF(Cost_in_dollars!E2299=""USD"",Cost_in_dollars!B2299,Cost_in_dollars!B2299 * GOOGLEFINANCE(""CURRENCY:"" &amp; Cost_in_dollars!E2299 &amp; ""USD""))
"),12000000)</f>
        <v>12000000</v>
      </c>
      <c r="P2299" s="4">
        <f ca="1">IFERROR(__xludf.DUMMYFUNCTION("IF(Cost_in_dollars!E2299=""USD"",Cost_in_dollars!C2299,Cost_in_dollars!C2299 * GOOGLEFINANCE(""CURRENCY:"" &amp; Cost_in_dollars!E2299 &amp; ""USD""))
"),38087366)</f>
        <v>38087366</v>
      </c>
      <c r="Q2299" s="6">
        <f t="shared" ca="1" si="54"/>
        <v>26087366</v>
      </c>
      <c r="R2299" s="7" t="str">
        <f t="shared" si="55"/>
        <v>Harold &amp; Kumar Escape from Guantanamo Bay</v>
      </c>
      <c r="S2299" s="43" t="str">
        <f t="shared" si="53"/>
        <v>Adventure</v>
      </c>
    </row>
    <row r="2300" spans="1:19" ht="15.75" customHeight="1" x14ac:dyDescent="0.25">
      <c r="A2300" s="4" t="s">
        <v>3200</v>
      </c>
      <c r="B2300" s="4">
        <v>151</v>
      </c>
      <c r="C2300" s="4">
        <v>30093107</v>
      </c>
      <c r="D2300" s="4" t="s">
        <v>443</v>
      </c>
      <c r="E2300" s="4" t="s">
        <v>818</v>
      </c>
      <c r="F2300" s="4" t="s">
        <v>7495</v>
      </c>
      <c r="G2300" s="4">
        <v>600996</v>
      </c>
      <c r="H2300" s="4" t="s">
        <v>7496</v>
      </c>
      <c r="I2300" s="4">
        <v>726</v>
      </c>
      <c r="J2300" s="4" t="s">
        <v>23</v>
      </c>
      <c r="K2300" s="4" t="s">
        <v>133</v>
      </c>
      <c r="L2300" s="4">
        <v>6000000</v>
      </c>
      <c r="M2300" s="4">
        <v>2000</v>
      </c>
      <c r="N2300" s="4">
        <v>8.3000000000000007</v>
      </c>
      <c r="O2300" s="4">
        <f ca="1">IFERROR(__xludf.DUMMYFUNCTION("IF(Cost_in_dollars!E2300=""USD"",Cost_in_dollars!B2300,Cost_in_dollars!B2300 * GOOGLEFINANCE(""CURRENCY:"" &amp; Cost_in_dollars!E2300 &amp; ""USD""))
"),7712399.99999999)</f>
        <v>7712399.9999999898</v>
      </c>
      <c r="P2300" s="4">
        <f ca="1">IFERROR(__xludf.DUMMYFUNCTION("IF(Cost_in_dollars!E2300=""USD"",Cost_in_dollars!C2300,Cost_in_dollars!C2300 * GOOGLEFINANCE(""CURRENCY:"" &amp; Cost_in_dollars!E2300 &amp; ""USD""))
"),38681679.7377999)</f>
        <v>38681679.737799898</v>
      </c>
      <c r="Q2300" s="4">
        <f t="shared" ca="1" si="54"/>
        <v>30969279.737799909</v>
      </c>
      <c r="R2300" s="5" t="str">
        <f t="shared" si="55"/>
        <v>Snatch</v>
      </c>
      <c r="S2300" s="43" t="str">
        <f t="shared" si="53"/>
        <v>Comedy</v>
      </c>
    </row>
    <row r="2301" spans="1:19" ht="15.75" customHeight="1" x14ac:dyDescent="0.25">
      <c r="A2301" s="6" t="s">
        <v>1321</v>
      </c>
      <c r="B2301" s="6">
        <v>290</v>
      </c>
      <c r="C2301" s="6">
        <v>157299717</v>
      </c>
      <c r="D2301" s="6" t="s">
        <v>188</v>
      </c>
      <c r="E2301" s="6" t="s">
        <v>977</v>
      </c>
      <c r="F2301" s="6" t="s">
        <v>7497</v>
      </c>
      <c r="G2301" s="6">
        <v>452928</v>
      </c>
      <c r="H2301" s="6" t="s">
        <v>7498</v>
      </c>
      <c r="I2301" s="6">
        <v>1401</v>
      </c>
      <c r="J2301" s="6" t="s">
        <v>23</v>
      </c>
      <c r="K2301" s="6" t="s">
        <v>24</v>
      </c>
      <c r="L2301" s="6">
        <v>75000000</v>
      </c>
      <c r="M2301" s="6">
        <v>2000</v>
      </c>
      <c r="N2301" s="6">
        <v>7.4</v>
      </c>
      <c r="O2301" s="4">
        <f ca="1">IFERROR(__xludf.DUMMYFUNCTION("IF(Cost_in_dollars!E2301=""USD"",Cost_in_dollars!B2301,Cost_in_dollars!B2301 * GOOGLEFINANCE(""CURRENCY:"" &amp; Cost_in_dollars!E2301 &amp; ""USD""))
"),75000000)</f>
        <v>75000000</v>
      </c>
      <c r="P2301" s="4">
        <f ca="1">IFERROR(__xludf.DUMMYFUNCTION("IF(Cost_in_dollars!E2301=""USD"",Cost_in_dollars!C2301,Cost_in_dollars!C2301 * GOOGLEFINANCE(""CURRENCY:"" &amp; Cost_in_dollars!E2301 &amp; ""USD""))
"),157299717)</f>
        <v>157299717</v>
      </c>
      <c r="Q2301" s="6">
        <f t="shared" ca="1" si="54"/>
        <v>82299717</v>
      </c>
      <c r="R2301" s="7" t="str">
        <f t="shared" si="55"/>
        <v>X-Men</v>
      </c>
      <c r="S2301" s="43" t="str">
        <f t="shared" si="53"/>
        <v>Action</v>
      </c>
    </row>
    <row r="2302" spans="1:19" ht="15.75" customHeight="1" x14ac:dyDescent="0.25">
      <c r="A2302" s="4" t="s">
        <v>4278</v>
      </c>
      <c r="B2302" s="4">
        <v>377</v>
      </c>
      <c r="C2302" s="4">
        <v>65173160</v>
      </c>
      <c r="D2302" s="4" t="s">
        <v>797</v>
      </c>
      <c r="E2302" s="4" t="s">
        <v>608</v>
      </c>
      <c r="F2302" s="4" t="s">
        <v>7499</v>
      </c>
      <c r="G2302" s="4">
        <v>202382</v>
      </c>
      <c r="H2302" s="4" t="s">
        <v>7500</v>
      </c>
      <c r="I2302" s="4">
        <v>751</v>
      </c>
      <c r="J2302" s="4" t="s">
        <v>23</v>
      </c>
      <c r="K2302" s="4" t="s">
        <v>24</v>
      </c>
      <c r="L2302" s="4">
        <v>209000000</v>
      </c>
      <c r="M2302" s="4">
        <v>2012</v>
      </c>
      <c r="N2302" s="4">
        <v>5.9</v>
      </c>
      <c r="O2302" s="4">
        <f ca="1">IFERROR(__xludf.DUMMYFUNCTION("IF(Cost_in_dollars!E2302=""USD"",Cost_in_dollars!B2302,Cost_in_dollars!B2302 * GOOGLEFINANCE(""CURRENCY:"" &amp; Cost_in_dollars!E2302 &amp; ""USD""))
"),209000000)</f>
        <v>209000000</v>
      </c>
      <c r="P2302" s="4">
        <f ca="1">IFERROR(__xludf.DUMMYFUNCTION("IF(Cost_in_dollars!E2302=""USD"",Cost_in_dollars!C2302,Cost_in_dollars!C2302 * GOOGLEFINANCE(""CURRENCY:"" &amp; Cost_in_dollars!E2302 &amp; ""USD""))
"),65173160)</f>
        <v>65173160</v>
      </c>
      <c r="Q2302" s="4">
        <f t="shared" ca="1" si="54"/>
        <v>-143826840</v>
      </c>
      <c r="R2302" s="5" t="str">
        <f t="shared" si="55"/>
        <v>Battleship</v>
      </c>
      <c r="S2302" s="43" t="str">
        <f t="shared" si="53"/>
        <v>Action</v>
      </c>
    </row>
    <row r="2303" spans="1:19" ht="15.75" customHeight="1" x14ac:dyDescent="0.25">
      <c r="A2303" s="6" t="s">
        <v>7501</v>
      </c>
      <c r="B2303" s="6">
        <v>79</v>
      </c>
      <c r="C2303" s="6">
        <v>108662</v>
      </c>
      <c r="D2303" s="6" t="s">
        <v>3496</v>
      </c>
      <c r="E2303" s="6" t="s">
        <v>1811</v>
      </c>
      <c r="F2303" s="6" t="s">
        <v>7502</v>
      </c>
      <c r="G2303" s="6">
        <v>26849</v>
      </c>
      <c r="H2303" s="6" t="s">
        <v>7503</v>
      </c>
      <c r="I2303" s="6">
        <v>107</v>
      </c>
      <c r="J2303" s="6" t="s">
        <v>23</v>
      </c>
      <c r="K2303" s="6" t="s">
        <v>24</v>
      </c>
      <c r="L2303" s="6">
        <v>8000000</v>
      </c>
      <c r="M2303" s="6">
        <v>2008</v>
      </c>
      <c r="N2303" s="6">
        <v>6</v>
      </c>
      <c r="O2303" s="4">
        <f ca="1">IFERROR(__xludf.DUMMYFUNCTION("IF(Cost_in_dollars!E2303=""USD"",Cost_in_dollars!B2303,Cost_in_dollars!B2303 * GOOGLEFINANCE(""CURRENCY:"" &amp; Cost_in_dollars!E2303 &amp; ""USD""))
"),8000000)</f>
        <v>8000000</v>
      </c>
      <c r="P2303" s="4">
        <f ca="1">IFERROR(__xludf.DUMMYFUNCTION("IF(Cost_in_dollars!E2303=""USD"",Cost_in_dollars!C2303,Cost_in_dollars!C2303 * GOOGLEFINANCE(""CURRENCY:"" &amp; Cost_in_dollars!E2303 &amp; ""USD""))
"),108662)</f>
        <v>108662</v>
      </c>
      <c r="Q2303" s="6">
        <f t="shared" ca="1" si="54"/>
        <v>-7891338</v>
      </c>
      <c r="R2303" s="7" t="str">
        <f t="shared" si="55"/>
        <v>Pathology</v>
      </c>
      <c r="S2303" s="43" t="str">
        <f t="shared" si="53"/>
        <v>Crime</v>
      </c>
    </row>
    <row r="2304" spans="1:19" ht="15.75" customHeight="1" x14ac:dyDescent="0.25">
      <c r="A2304" s="4" t="s">
        <v>37</v>
      </c>
      <c r="B2304" s="4">
        <v>91</v>
      </c>
      <c r="C2304" s="4">
        <v>25078937</v>
      </c>
      <c r="D2304" s="4" t="s">
        <v>438</v>
      </c>
      <c r="E2304" s="4" t="s">
        <v>486</v>
      </c>
      <c r="F2304" s="4" t="s">
        <v>7504</v>
      </c>
      <c r="G2304" s="4">
        <v>31751</v>
      </c>
      <c r="H2304" s="4" t="s">
        <v>7505</v>
      </c>
      <c r="I2304" s="4">
        <v>216</v>
      </c>
      <c r="J2304" s="4" t="s">
        <v>23</v>
      </c>
      <c r="K2304" s="4" t="s">
        <v>24</v>
      </c>
      <c r="L2304" s="4">
        <v>30000000</v>
      </c>
      <c r="M2304" s="4">
        <v>1997</v>
      </c>
      <c r="N2304" s="4">
        <v>6.6</v>
      </c>
      <c r="O2304" s="4">
        <f ca="1">IFERROR(__xludf.DUMMYFUNCTION("IF(Cost_in_dollars!E2304=""USD"",Cost_in_dollars!B2304,Cost_in_dollars!B2304 * GOOGLEFINANCE(""CURRENCY:"" &amp; Cost_in_dollars!E2304 &amp; ""USD""))
"),30000000)</f>
        <v>30000000</v>
      </c>
      <c r="P2304" s="4">
        <f ca="1">IFERROR(__xludf.DUMMYFUNCTION("IF(Cost_in_dollars!E2304=""USD"",Cost_in_dollars!C2304,Cost_in_dollars!C2304 * GOOGLEFINANCE(""CURRENCY:"" &amp; Cost_in_dollars!E2304 &amp; ""USD""))
"),25078937)</f>
        <v>25078937</v>
      </c>
      <c r="Q2304" s="4">
        <f t="shared" ca="1" si="54"/>
        <v>-4921063</v>
      </c>
      <c r="R2304" s="5" t="str">
        <f t="shared" si="55"/>
        <v>Midnight in the Garden of Good and Evil</v>
      </c>
      <c r="S2304" s="43" t="str">
        <f t="shared" si="53"/>
        <v>Crime</v>
      </c>
    </row>
    <row r="2305" spans="1:19" ht="15.75" customHeight="1" x14ac:dyDescent="0.25">
      <c r="A2305" s="6" t="s">
        <v>72</v>
      </c>
      <c r="B2305" s="6">
        <v>775</v>
      </c>
      <c r="C2305" s="6">
        <v>126464904</v>
      </c>
      <c r="D2305" s="6" t="s">
        <v>779</v>
      </c>
      <c r="E2305" s="6" t="s">
        <v>435</v>
      </c>
      <c r="F2305" s="6" t="s">
        <v>7506</v>
      </c>
      <c r="G2305" s="6">
        <v>456260</v>
      </c>
      <c r="H2305" s="6" t="s">
        <v>7507</v>
      </c>
      <c r="I2305" s="6">
        <v>2326</v>
      </c>
      <c r="J2305" s="6" t="s">
        <v>23</v>
      </c>
      <c r="K2305" s="6" t="s">
        <v>24</v>
      </c>
      <c r="L2305" s="6">
        <v>130000000</v>
      </c>
      <c r="M2305" s="6">
        <v>2012</v>
      </c>
      <c r="N2305" s="6">
        <v>7</v>
      </c>
      <c r="O2305" s="4">
        <f ca="1">IFERROR(__xludf.DUMMYFUNCTION("IF(Cost_in_dollars!E2305=""USD"",Cost_in_dollars!B2305,Cost_in_dollars!B2305 * GOOGLEFINANCE(""CURRENCY:"" &amp; Cost_in_dollars!E2305 &amp; ""USD""))
"),130000000)</f>
        <v>130000000</v>
      </c>
      <c r="P2305" s="4">
        <f ca="1">IFERROR(__xludf.DUMMYFUNCTION("IF(Cost_in_dollars!E2305=""USD"",Cost_in_dollars!C2305,Cost_in_dollars!C2305 * GOOGLEFINANCE(""CURRENCY:"" &amp; Cost_in_dollars!E2305 &amp; ""USD""))
"),126464904)</f>
        <v>126464904</v>
      </c>
      <c r="Q2305" s="6">
        <f t="shared" ca="1" si="54"/>
        <v>-3535096</v>
      </c>
      <c r="R2305" s="7" t="str">
        <f t="shared" si="55"/>
        <v>Prometheus</v>
      </c>
      <c r="S2305" s="43" t="str">
        <f t="shared" si="53"/>
        <v>Adventure</v>
      </c>
    </row>
    <row r="2306" spans="1:19" ht="15.75" customHeight="1" x14ac:dyDescent="0.25">
      <c r="A2306" s="4" t="s">
        <v>139</v>
      </c>
      <c r="B2306" s="4">
        <v>41</v>
      </c>
      <c r="C2306" s="4">
        <v>9694105</v>
      </c>
      <c r="D2306" s="4" t="s">
        <v>292</v>
      </c>
      <c r="E2306" s="4" t="s">
        <v>20</v>
      </c>
      <c r="F2306" s="4" t="s">
        <v>7508</v>
      </c>
      <c r="G2306" s="4">
        <v>8176</v>
      </c>
      <c r="H2306" s="4" t="s">
        <v>7509</v>
      </c>
      <c r="I2306" s="4">
        <v>77</v>
      </c>
      <c r="J2306" s="4" t="s">
        <v>23</v>
      </c>
      <c r="K2306" s="4" t="s">
        <v>24</v>
      </c>
      <c r="L2306" s="4">
        <v>22000000</v>
      </c>
      <c r="M2306" s="4">
        <v>1999</v>
      </c>
      <c r="N2306" s="4">
        <v>3.8</v>
      </c>
      <c r="O2306" s="4">
        <f ca="1">IFERROR(__xludf.DUMMYFUNCTION("IF(Cost_in_dollars!E2306=""USD"",Cost_in_dollars!B2306,Cost_in_dollars!B2306 * GOOGLEFINANCE(""CURRENCY:"" &amp; Cost_in_dollars!E2306 &amp; ""USD""))
"),22000000)</f>
        <v>22000000</v>
      </c>
      <c r="P2306" s="4">
        <f ca="1">IFERROR(__xludf.DUMMYFUNCTION("IF(Cost_in_dollars!E2306=""USD"",Cost_in_dollars!C2306,Cost_in_dollars!C2306 * GOOGLEFINANCE(""CURRENCY:"" &amp; Cost_in_dollars!E2306 &amp; ""USD""))
"),9694105)</f>
        <v>9694105</v>
      </c>
      <c r="Q2306" s="4">
        <f t="shared" ca="1" si="54"/>
        <v>-12305895</v>
      </c>
      <c r="R2306" s="5" t="str">
        <f t="shared" si="55"/>
        <v>Dudley Do-Right</v>
      </c>
      <c r="S2306" s="43" t="str">
        <f t="shared" ref="S2306:S2369" si="56">IF(ISNUMBER(FIND("|", D2306)), LEFT(D2306, FIND("|", D2306) - 1), D2306)</f>
        <v>Comedy</v>
      </c>
    </row>
    <row r="2307" spans="1:19" ht="15.75" customHeight="1" x14ac:dyDescent="0.25">
      <c r="A2307" s="6" t="s">
        <v>2200</v>
      </c>
      <c r="B2307" s="6">
        <v>100</v>
      </c>
      <c r="C2307" s="6">
        <v>94497271</v>
      </c>
      <c r="D2307" s="6" t="s">
        <v>7510</v>
      </c>
      <c r="E2307" s="6" t="s">
        <v>393</v>
      </c>
      <c r="F2307" s="6" t="s">
        <v>7511</v>
      </c>
      <c r="G2307" s="6">
        <v>17829</v>
      </c>
      <c r="H2307" s="6" t="s">
        <v>7512</v>
      </c>
      <c r="I2307" s="6">
        <v>99</v>
      </c>
      <c r="J2307" s="6" t="s">
        <v>23</v>
      </c>
      <c r="K2307" s="6" t="s">
        <v>24</v>
      </c>
      <c r="L2307" s="6">
        <v>20000000</v>
      </c>
      <c r="M2307" s="6">
        <v>2008</v>
      </c>
      <c r="N2307" s="6">
        <v>3.7</v>
      </c>
      <c r="O2307" s="4">
        <f ca="1">IFERROR(__xludf.DUMMYFUNCTION("IF(Cost_in_dollars!E2307=""USD"",Cost_in_dollars!B2307,Cost_in_dollars!B2307 * GOOGLEFINANCE(""CURRENCY:"" &amp; Cost_in_dollars!E2307 &amp; ""USD""))
"),20000000)</f>
        <v>20000000</v>
      </c>
      <c r="P2307" s="4">
        <f ca="1">IFERROR(__xludf.DUMMYFUNCTION("IF(Cost_in_dollars!E2307=""USD"",Cost_in_dollars!C2307,Cost_in_dollars!C2307 * GOOGLEFINANCE(""CURRENCY:"" &amp; Cost_in_dollars!E2307 &amp; ""USD""))
"),94497271)</f>
        <v>94497271</v>
      </c>
      <c r="Q2307" s="6">
        <f t="shared" ca="1" si="54"/>
        <v>74497271</v>
      </c>
      <c r="R2307" s="7" t="str">
        <f t="shared" si="55"/>
        <v>Beverly Hills Chihuahua</v>
      </c>
      <c r="S2307" s="43" t="str">
        <f t="shared" si="56"/>
        <v>Adventure</v>
      </c>
    </row>
    <row r="2308" spans="1:19" ht="15.75" customHeight="1" x14ac:dyDescent="0.25">
      <c r="A2308" s="4" t="s">
        <v>6415</v>
      </c>
      <c r="B2308" s="4">
        <v>127</v>
      </c>
      <c r="C2308" s="4">
        <v>11802056</v>
      </c>
      <c r="D2308" s="4" t="s">
        <v>7513</v>
      </c>
      <c r="E2308" s="4" t="s">
        <v>6959</v>
      </c>
      <c r="F2308" s="4" t="s">
        <v>7514</v>
      </c>
      <c r="G2308" s="4">
        <v>31640</v>
      </c>
      <c r="H2308" s="4" t="s">
        <v>7515</v>
      </c>
      <c r="I2308" s="4">
        <v>109</v>
      </c>
      <c r="J2308" s="4" t="s">
        <v>23</v>
      </c>
      <c r="K2308" s="4" t="s">
        <v>24</v>
      </c>
      <c r="L2308" s="4">
        <v>60000000</v>
      </c>
      <c r="M2308" s="4">
        <v>2008</v>
      </c>
      <c r="N2308" s="4">
        <v>4.9000000000000004</v>
      </c>
      <c r="O2308" s="4">
        <f ca="1">IFERROR(__xludf.DUMMYFUNCTION("IF(Cost_in_dollars!E2308=""USD"",Cost_in_dollars!B2308,Cost_in_dollars!B2308 * GOOGLEFINANCE(""CURRENCY:"" &amp; Cost_in_dollars!E2308 &amp; ""USD""))
"),60000000)</f>
        <v>60000000</v>
      </c>
      <c r="P2308" s="4">
        <f ca="1">IFERROR(__xludf.DUMMYFUNCTION("IF(Cost_in_dollars!E2308=""USD"",Cost_in_dollars!C2308,Cost_in_dollars!C2308 * GOOGLEFINANCE(""CURRENCY:"" &amp; Cost_in_dollars!E2308 &amp; ""USD""))
"),11802056)</f>
        <v>11802056</v>
      </c>
      <c r="Q2308" s="4">
        <f t="shared" ca="1" si="54"/>
        <v>-48197944</v>
      </c>
      <c r="R2308" s="5" t="str">
        <f t="shared" si="55"/>
        <v>Meet Dave</v>
      </c>
      <c r="S2308" s="43" t="str">
        <f t="shared" si="56"/>
        <v>Adventure</v>
      </c>
    </row>
    <row r="2309" spans="1:19" ht="15.75" customHeight="1" x14ac:dyDescent="0.25">
      <c r="A2309" s="6" t="s">
        <v>7516</v>
      </c>
      <c r="B2309" s="6">
        <v>72</v>
      </c>
      <c r="C2309" s="6">
        <v>22770</v>
      </c>
      <c r="D2309" s="6" t="s">
        <v>457</v>
      </c>
      <c r="E2309" s="6" t="s">
        <v>7517</v>
      </c>
      <c r="F2309" s="6" t="s">
        <v>7518</v>
      </c>
      <c r="G2309" s="6">
        <v>1658</v>
      </c>
      <c r="H2309" s="6" t="s">
        <v>7519</v>
      </c>
      <c r="I2309" s="6">
        <v>12</v>
      </c>
      <c r="J2309" s="6" t="s">
        <v>1550</v>
      </c>
      <c r="K2309" s="6" t="s">
        <v>1551</v>
      </c>
      <c r="L2309" s="6">
        <v>5500000</v>
      </c>
      <c r="M2309" s="6">
        <v>2013</v>
      </c>
      <c r="N2309" s="6">
        <v>6.1</v>
      </c>
      <c r="O2309" s="4">
        <f ca="1">IFERROR(__xludf.DUMMYFUNCTION("IF(Cost_in_dollars!E2309=""USD"",Cost_in_dollars!B2309,Cost_in_dollars!B2309 * GOOGLEFINANCE(""CURRENCY:"" &amp; Cost_in_dollars!E2309 &amp; ""USD""))
"),35731.3)</f>
        <v>35731.300000000003</v>
      </c>
      <c r="P2309" s="4">
        <f ca="1">IFERROR(__xludf.DUMMYFUNCTION("IF(Cost_in_dollars!E2309=""USD"",Cost_in_dollars!C2309,Cost_in_dollars!C2309 * GOOGLEFINANCE(""CURRENCY:"" &amp; Cost_in_dollars!E2309 &amp; ""USD""))
"),147.927582)</f>
        <v>147.927582</v>
      </c>
      <c r="Q2309" s="6">
        <f t="shared" ca="1" si="54"/>
        <v>-35583.372418000006</v>
      </c>
      <c r="R2309" s="7" t="str">
        <f t="shared" si="55"/>
        <v>R100</v>
      </c>
      <c r="S2309" s="43" t="str">
        <f t="shared" si="56"/>
        <v>Comedy</v>
      </c>
    </row>
    <row r="2310" spans="1:19" ht="15.75" customHeight="1" x14ac:dyDescent="0.25">
      <c r="A2310" s="4" t="s">
        <v>7520</v>
      </c>
      <c r="B2310" s="4">
        <v>100</v>
      </c>
      <c r="C2310" s="4">
        <v>7563670</v>
      </c>
      <c r="D2310" s="4" t="s">
        <v>1756</v>
      </c>
      <c r="E2310" s="4" t="s">
        <v>900</v>
      </c>
      <c r="F2310" s="4" t="s">
        <v>7521</v>
      </c>
      <c r="G2310" s="4">
        <v>21268</v>
      </c>
      <c r="H2310" s="4" t="s">
        <v>7522</v>
      </c>
      <c r="I2310" s="4">
        <v>53</v>
      </c>
      <c r="J2310" s="4" t="s">
        <v>23</v>
      </c>
      <c r="K2310" s="4" t="s">
        <v>24</v>
      </c>
      <c r="L2310" s="4">
        <v>10000000</v>
      </c>
      <c r="M2310" s="4">
        <v>2008</v>
      </c>
      <c r="N2310" s="4">
        <v>5.2</v>
      </c>
      <c r="O2310" s="4">
        <f ca="1">IFERROR(__xludf.DUMMYFUNCTION("IF(Cost_in_dollars!E2310=""USD"",Cost_in_dollars!B2310,Cost_in_dollars!B2310 * GOOGLEFINANCE(""CURRENCY:"" &amp; Cost_in_dollars!E2310 &amp; ""USD""))
"),10000000)</f>
        <v>10000000</v>
      </c>
      <c r="P2310" s="4">
        <f ca="1">IFERROR(__xludf.DUMMYFUNCTION("IF(Cost_in_dollars!E2310=""USD"",Cost_in_dollars!C2310,Cost_in_dollars!C2310 * GOOGLEFINANCE(""CURRENCY:"" &amp; Cost_in_dollars!E2310 &amp; ""USD""))
"),7563670)</f>
        <v>7563670</v>
      </c>
      <c r="Q2310" s="4">
        <f t="shared" ca="1" si="54"/>
        <v>-2436330</v>
      </c>
      <c r="R2310" s="5" t="str">
        <f t="shared" si="55"/>
        <v>Over Her Dead Body</v>
      </c>
      <c r="S2310" s="43" t="str">
        <f t="shared" si="56"/>
        <v>Comedy</v>
      </c>
    </row>
    <row r="2311" spans="1:19" ht="15.75" customHeight="1" x14ac:dyDescent="0.25">
      <c r="A2311" s="6" t="s">
        <v>150</v>
      </c>
      <c r="B2311" s="6">
        <v>158</v>
      </c>
      <c r="C2311" s="6">
        <v>19294901</v>
      </c>
      <c r="D2311" s="6" t="s">
        <v>367</v>
      </c>
      <c r="E2311" s="6" t="s">
        <v>4632</v>
      </c>
      <c r="F2311" s="6" t="s">
        <v>7523</v>
      </c>
      <c r="G2311" s="6">
        <v>26126</v>
      </c>
      <c r="H2311" s="6" t="s">
        <v>7524</v>
      </c>
      <c r="I2311" s="6">
        <v>325</v>
      </c>
      <c r="J2311" s="6" t="s">
        <v>23</v>
      </c>
      <c r="K2311" s="6" t="s">
        <v>24</v>
      </c>
      <c r="L2311" s="6">
        <v>35000000</v>
      </c>
      <c r="M2311" s="6">
        <v>2005</v>
      </c>
      <c r="N2311" s="6">
        <v>5</v>
      </c>
      <c r="O2311" s="4">
        <f ca="1">IFERROR(__xludf.DUMMYFUNCTION("IF(Cost_in_dollars!E2311=""USD"",Cost_in_dollars!B2311,Cost_in_dollars!B2311 * GOOGLEFINANCE(""CURRENCY:"" &amp; Cost_in_dollars!E2311 &amp; ""USD""))
"),35000000)</f>
        <v>35000000</v>
      </c>
      <c r="P2311" s="4">
        <f ca="1">IFERROR(__xludf.DUMMYFUNCTION("IF(Cost_in_dollars!E2311=""USD"",Cost_in_dollars!C2311,Cost_in_dollars!C2311 * GOOGLEFINANCE(""CURRENCY:"" &amp; Cost_in_dollars!E2311 &amp; ""USD""))
"),19294901)</f>
        <v>19294901</v>
      </c>
      <c r="Q2311" s="6">
        <f t="shared" ca="1" si="54"/>
        <v>-15705099</v>
      </c>
      <c r="R2311" s="7" t="str">
        <f t="shared" si="55"/>
        <v>Cursed</v>
      </c>
      <c r="S2311" s="43" t="str">
        <f t="shared" si="56"/>
        <v>Comedy</v>
      </c>
    </row>
    <row r="2312" spans="1:19" ht="15.75" customHeight="1" x14ac:dyDescent="0.25">
      <c r="A2312" s="4" t="s">
        <v>7525</v>
      </c>
      <c r="B2312" s="4">
        <v>391</v>
      </c>
      <c r="C2312" s="4">
        <v>26589953</v>
      </c>
      <c r="D2312" s="4" t="s">
        <v>155</v>
      </c>
      <c r="E2312" s="4" t="s">
        <v>886</v>
      </c>
      <c r="F2312" s="4" t="s">
        <v>7526</v>
      </c>
      <c r="G2312" s="4">
        <v>165792</v>
      </c>
      <c r="H2312" s="4" t="s">
        <v>7527</v>
      </c>
      <c r="I2312" s="4">
        <v>392</v>
      </c>
      <c r="J2312" s="4" t="s">
        <v>23</v>
      </c>
      <c r="K2312" s="4" t="s">
        <v>24</v>
      </c>
      <c r="L2312" s="4">
        <v>10500000</v>
      </c>
      <c r="M2312" s="4">
        <v>2010</v>
      </c>
      <c r="N2312" s="4">
        <v>6.7</v>
      </c>
      <c r="O2312" s="4">
        <f ca="1">IFERROR(__xludf.DUMMYFUNCTION("IF(Cost_in_dollars!E2312=""USD"",Cost_in_dollars!B2312,Cost_in_dollars!B2312 * GOOGLEFINANCE(""CURRENCY:"" &amp; Cost_in_dollars!E2312 &amp; ""USD""))
"),10500000)</f>
        <v>10500000</v>
      </c>
      <c r="P2312" s="4">
        <f ca="1">IFERROR(__xludf.DUMMYFUNCTION("IF(Cost_in_dollars!E2312=""USD"",Cost_in_dollars!C2312,Cost_in_dollars!C2312 * GOOGLEFINANCE(""CURRENCY:"" &amp; Cost_in_dollars!E2312 &amp; ""USD""))
"),26589953)</f>
        <v>26589953</v>
      </c>
      <c r="Q2312" s="4">
        <f t="shared" ca="1" si="54"/>
        <v>16089953</v>
      </c>
      <c r="R2312" s="5" t="str">
        <f t="shared" si="55"/>
        <v>Machete</v>
      </c>
      <c r="S2312" s="43" t="str">
        <f t="shared" si="56"/>
        <v>Action</v>
      </c>
    </row>
    <row r="2313" spans="1:19" ht="15.75" customHeight="1" x14ac:dyDescent="0.25">
      <c r="A2313" s="6" t="s">
        <v>2360</v>
      </c>
      <c r="B2313" s="6">
        <v>164</v>
      </c>
      <c r="C2313" s="6">
        <v>195329763</v>
      </c>
      <c r="D2313" s="6" t="s">
        <v>5441</v>
      </c>
      <c r="E2313" s="6" t="s">
        <v>2361</v>
      </c>
      <c r="F2313" s="6" t="s">
        <v>7528</v>
      </c>
      <c r="G2313" s="6">
        <v>194249</v>
      </c>
      <c r="H2313" s="6" t="s">
        <v>7529</v>
      </c>
      <c r="I2313" s="6">
        <v>253</v>
      </c>
      <c r="J2313" s="6" t="s">
        <v>23</v>
      </c>
      <c r="K2313" s="6" t="s">
        <v>24</v>
      </c>
      <c r="L2313" s="6">
        <v>80000000</v>
      </c>
      <c r="M2313" s="6">
        <v>2006</v>
      </c>
      <c r="N2313" s="6">
        <v>6.9</v>
      </c>
      <c r="O2313" s="4">
        <f ca="1">IFERROR(__xludf.DUMMYFUNCTION("IF(Cost_in_dollars!E2313=""USD"",Cost_in_dollars!B2313,Cost_in_dollars!B2313 * GOOGLEFINANCE(""CURRENCY:"" &amp; Cost_in_dollars!E2313 &amp; ""USD""))
"),80000000)</f>
        <v>80000000</v>
      </c>
      <c r="P2313" s="4">
        <f ca="1">IFERROR(__xludf.DUMMYFUNCTION("IF(Cost_in_dollars!E2313=""USD"",Cost_in_dollars!C2313,Cost_in_dollars!C2313 * GOOGLEFINANCE(""CURRENCY:"" &amp; Cost_in_dollars!E2313 &amp; ""USD""))
"),195329763)</f>
        <v>195329763</v>
      </c>
      <c r="Q2313" s="6">
        <f t="shared" ca="1" si="54"/>
        <v>115329763</v>
      </c>
      <c r="R2313" s="7" t="str">
        <f t="shared" si="55"/>
        <v>Ice Age: The Meltdown</v>
      </c>
      <c r="S2313" s="43" t="str">
        <f t="shared" si="56"/>
        <v>Action</v>
      </c>
    </row>
    <row r="2314" spans="1:19" ht="15.75" customHeight="1" x14ac:dyDescent="0.25">
      <c r="A2314" s="4" t="s">
        <v>4743</v>
      </c>
      <c r="B2314" s="4">
        <v>290</v>
      </c>
      <c r="C2314" s="4">
        <v>5354039</v>
      </c>
      <c r="D2314" s="4" t="s">
        <v>434</v>
      </c>
      <c r="E2314" s="4" t="s">
        <v>486</v>
      </c>
      <c r="F2314" s="4" t="s">
        <v>7530</v>
      </c>
      <c r="G2314" s="4">
        <v>92599</v>
      </c>
      <c r="H2314" s="4" t="s">
        <v>7531</v>
      </c>
      <c r="I2314" s="4">
        <v>225</v>
      </c>
      <c r="J2314" s="4" t="s">
        <v>23</v>
      </c>
      <c r="K2314" s="4" t="s">
        <v>24</v>
      </c>
      <c r="L2314" s="4">
        <v>3500000</v>
      </c>
      <c r="M2314" s="4">
        <v>2011</v>
      </c>
      <c r="N2314" s="4">
        <v>7.1</v>
      </c>
      <c r="O2314" s="4">
        <f ca="1">IFERROR(__xludf.DUMMYFUNCTION("IF(Cost_in_dollars!E2314=""USD"",Cost_in_dollars!B2314,Cost_in_dollars!B2314 * GOOGLEFINANCE(""CURRENCY:"" &amp; Cost_in_dollars!E2314 &amp; ""USD""))
"),3500000)</f>
        <v>3500000</v>
      </c>
      <c r="P2314" s="4">
        <f ca="1">IFERROR(__xludf.DUMMYFUNCTION("IF(Cost_in_dollars!E2314=""USD"",Cost_in_dollars!C2314,Cost_in_dollars!C2314 * GOOGLEFINANCE(""CURRENCY:"" &amp; Cost_in_dollars!E2314 &amp; ""USD""))
"),5354039)</f>
        <v>5354039</v>
      </c>
      <c r="Q2314" s="4">
        <f t="shared" ca="1" si="54"/>
        <v>1854039</v>
      </c>
      <c r="R2314" s="5" t="str">
        <f t="shared" si="55"/>
        <v>Margin Call</v>
      </c>
      <c r="S2314" s="43" t="str">
        <f t="shared" si="56"/>
        <v>Biography</v>
      </c>
    </row>
    <row r="2315" spans="1:19" ht="15.75" customHeight="1" x14ac:dyDescent="0.25">
      <c r="A2315" s="6" t="s">
        <v>2614</v>
      </c>
      <c r="B2315" s="6">
        <v>405</v>
      </c>
      <c r="C2315" s="6">
        <v>8114507</v>
      </c>
      <c r="D2315" s="6" t="s">
        <v>235</v>
      </c>
      <c r="E2315" s="6" t="s">
        <v>7532</v>
      </c>
      <c r="F2315" s="6" t="s">
        <v>7533</v>
      </c>
      <c r="G2315" s="6">
        <v>95362</v>
      </c>
      <c r="H2315" s="6" t="s">
        <v>7534</v>
      </c>
      <c r="I2315" s="6">
        <v>270</v>
      </c>
      <c r="J2315" s="6" t="s">
        <v>23</v>
      </c>
      <c r="K2315" s="6" t="s">
        <v>24</v>
      </c>
      <c r="L2315" s="6">
        <v>3000000</v>
      </c>
      <c r="M2315" s="6">
        <v>2013</v>
      </c>
      <c r="N2315" s="6">
        <v>7.9</v>
      </c>
      <c r="O2315" s="4">
        <f ca="1">IFERROR(__xludf.DUMMYFUNCTION("IF(Cost_in_dollars!E2315=""USD"",Cost_in_dollars!B2315,Cost_in_dollars!B2315 * GOOGLEFINANCE(""CURRENCY:"" &amp; Cost_in_dollars!E2315 &amp; ""USD""))
"),3000000)</f>
        <v>3000000</v>
      </c>
      <c r="P2315" s="4">
        <f ca="1">IFERROR(__xludf.DUMMYFUNCTION("IF(Cost_in_dollars!E2315=""USD"",Cost_in_dollars!C2315,Cost_in_dollars!C2315 * GOOGLEFINANCE(""CURRENCY:"" &amp; Cost_in_dollars!E2315 &amp; ""USD""))
"),8114507)</f>
        <v>8114507</v>
      </c>
      <c r="Q2315" s="6">
        <f t="shared" ca="1" si="54"/>
        <v>5114507</v>
      </c>
      <c r="R2315" s="7" t="str">
        <f t="shared" si="55"/>
        <v>Before Midnight</v>
      </c>
      <c r="S2315" s="43" t="str">
        <f t="shared" si="56"/>
        <v>Drama</v>
      </c>
    </row>
    <row r="2316" spans="1:19" ht="15.75" customHeight="1" x14ac:dyDescent="0.25">
      <c r="A2316" s="4" t="s">
        <v>182</v>
      </c>
      <c r="B2316" s="4">
        <v>186</v>
      </c>
      <c r="C2316" s="4">
        <v>251188924</v>
      </c>
      <c r="D2316" s="4" t="s">
        <v>639</v>
      </c>
      <c r="E2316" s="4" t="s">
        <v>184</v>
      </c>
      <c r="F2316" s="4" t="s">
        <v>7535</v>
      </c>
      <c r="G2316" s="4">
        <v>269033</v>
      </c>
      <c r="H2316" s="4" t="s">
        <v>7536</v>
      </c>
      <c r="I2316" s="4">
        <v>817</v>
      </c>
      <c r="J2316" s="4" t="s">
        <v>23</v>
      </c>
      <c r="K2316" s="4" t="s">
        <v>24</v>
      </c>
      <c r="L2316" s="4">
        <v>35000000</v>
      </c>
      <c r="M2316" s="4">
        <v>1989</v>
      </c>
      <c r="N2316" s="4">
        <v>7.6</v>
      </c>
      <c r="O2316" s="4">
        <f ca="1">IFERROR(__xludf.DUMMYFUNCTION("IF(Cost_in_dollars!E2316=""USD"",Cost_in_dollars!B2316,Cost_in_dollars!B2316 * GOOGLEFINANCE(""CURRENCY:"" &amp; Cost_in_dollars!E2316 &amp; ""USD""))
"),35000000)</f>
        <v>35000000</v>
      </c>
      <c r="P2316" s="4">
        <f ca="1">IFERROR(__xludf.DUMMYFUNCTION("IF(Cost_in_dollars!E2316=""USD"",Cost_in_dollars!C2316,Cost_in_dollars!C2316 * GOOGLEFINANCE(""CURRENCY:"" &amp; Cost_in_dollars!E2316 &amp; ""USD""))
"),251188924)</f>
        <v>251188924</v>
      </c>
      <c r="Q2316" s="4">
        <f t="shared" ca="1" si="54"/>
        <v>216188924</v>
      </c>
      <c r="R2316" s="5" t="str">
        <f t="shared" si="55"/>
        <v>Batman</v>
      </c>
      <c r="S2316" s="43" t="str">
        <f t="shared" si="56"/>
        <v>Action</v>
      </c>
    </row>
    <row r="2317" spans="1:19" ht="15.75" customHeight="1" x14ac:dyDescent="0.25">
      <c r="A2317" s="6" t="s">
        <v>3204</v>
      </c>
      <c r="B2317" s="6">
        <v>391</v>
      </c>
      <c r="C2317" s="6">
        <v>83813460</v>
      </c>
      <c r="D2317" s="6" t="s">
        <v>235</v>
      </c>
      <c r="E2317" s="6" t="s">
        <v>881</v>
      </c>
      <c r="F2317" s="6" t="s">
        <v>7537</v>
      </c>
      <c r="G2317" s="6">
        <v>270238</v>
      </c>
      <c r="H2317" s="6" t="s">
        <v>7538</v>
      </c>
      <c r="I2317" s="6">
        <v>452</v>
      </c>
      <c r="J2317" s="6" t="s">
        <v>23</v>
      </c>
      <c r="K2317" s="6" t="s">
        <v>24</v>
      </c>
      <c r="L2317" s="6">
        <v>25000000</v>
      </c>
      <c r="M2317" s="6">
        <v>2009</v>
      </c>
      <c r="N2317" s="6">
        <v>7.4</v>
      </c>
      <c r="O2317" s="4">
        <f ca="1">IFERROR(__xludf.DUMMYFUNCTION("IF(Cost_in_dollars!E2317=""USD"",Cost_in_dollars!B2317,Cost_in_dollars!B2317 * GOOGLEFINANCE(""CURRENCY:"" &amp; Cost_in_dollars!E2317 &amp; ""USD""))
"),25000000)</f>
        <v>25000000</v>
      </c>
      <c r="P2317" s="4">
        <f ca="1">IFERROR(__xludf.DUMMYFUNCTION("IF(Cost_in_dollars!E2317=""USD"",Cost_in_dollars!C2317,Cost_in_dollars!C2317 * GOOGLEFINANCE(""CURRENCY:"" &amp; Cost_in_dollars!E2317 &amp; ""USD""))
"),83813460)</f>
        <v>83813460</v>
      </c>
      <c r="Q2317" s="6">
        <f t="shared" ca="1" si="54"/>
        <v>58813460</v>
      </c>
      <c r="R2317" s="7" t="str">
        <f t="shared" si="55"/>
        <v>Up in the Air</v>
      </c>
      <c r="S2317" s="43" t="str">
        <f t="shared" si="56"/>
        <v>Drama</v>
      </c>
    </row>
    <row r="2318" spans="1:19" ht="15.75" customHeight="1" x14ac:dyDescent="0.25">
      <c r="A2318" s="4" t="s">
        <v>7539</v>
      </c>
      <c r="B2318" s="4">
        <v>79</v>
      </c>
      <c r="C2318" s="4">
        <v>578527</v>
      </c>
      <c r="D2318" s="4" t="s">
        <v>4288</v>
      </c>
      <c r="E2318" s="4" t="s">
        <v>7540</v>
      </c>
      <c r="F2318" s="4" t="s">
        <v>7541</v>
      </c>
      <c r="G2318" s="4">
        <v>20008</v>
      </c>
      <c r="H2318" s="4" t="s">
        <v>7542</v>
      </c>
      <c r="I2318" s="4">
        <v>112</v>
      </c>
      <c r="J2318" s="4" t="s">
        <v>23</v>
      </c>
      <c r="K2318" s="4" t="s">
        <v>24</v>
      </c>
      <c r="L2318" s="4">
        <v>10000000</v>
      </c>
      <c r="M2318" s="4">
        <v>2008</v>
      </c>
      <c r="N2318" s="4">
        <v>5.7</v>
      </c>
      <c r="O2318" s="4">
        <f ca="1">IFERROR(__xludf.DUMMYFUNCTION("IF(Cost_in_dollars!E2318=""USD"",Cost_in_dollars!B2318,Cost_in_dollars!B2318 * GOOGLEFINANCE(""CURRENCY:"" &amp; Cost_in_dollars!E2318 &amp; ""USD""))
"),10000000)</f>
        <v>10000000</v>
      </c>
      <c r="P2318" s="4">
        <f ca="1">IFERROR(__xludf.DUMMYFUNCTION("IF(Cost_in_dollars!E2318=""USD"",Cost_in_dollars!C2318,Cost_in_dollars!C2318 * GOOGLEFINANCE(""CURRENCY:"" &amp; Cost_in_dollars!E2318 &amp; ""USD""))
"),578527)</f>
        <v>578527</v>
      </c>
      <c r="Q2318" s="4">
        <f t="shared" ca="1" si="54"/>
        <v>-9421473</v>
      </c>
      <c r="R2318" s="5" t="str">
        <f t="shared" si="55"/>
        <v>War, Inc.</v>
      </c>
      <c r="S2318" s="43" t="str">
        <f t="shared" si="56"/>
        <v>Action</v>
      </c>
    </row>
    <row r="2319" spans="1:19" ht="15.75" customHeight="1" x14ac:dyDescent="0.25">
      <c r="A2319" s="6" t="s">
        <v>7543</v>
      </c>
      <c r="B2319" s="6">
        <v>634</v>
      </c>
      <c r="C2319" s="6">
        <v>42043633</v>
      </c>
      <c r="D2319" s="6" t="s">
        <v>822</v>
      </c>
      <c r="E2319" s="6" t="s">
        <v>1449</v>
      </c>
      <c r="F2319" s="6" t="s">
        <v>7544</v>
      </c>
      <c r="G2319" s="6">
        <v>277172</v>
      </c>
      <c r="H2319" s="6" t="s">
        <v>7545</v>
      </c>
      <c r="I2319" s="6">
        <v>986</v>
      </c>
      <c r="J2319" s="6" t="s">
        <v>23</v>
      </c>
      <c r="K2319" s="6" t="s">
        <v>24</v>
      </c>
      <c r="L2319" s="6">
        <v>30000000</v>
      </c>
      <c r="M2319" s="6">
        <v>2012</v>
      </c>
      <c r="N2319" s="6">
        <v>7</v>
      </c>
      <c r="O2319" s="4">
        <f ca="1">IFERROR(__xludf.DUMMYFUNCTION("IF(Cost_in_dollars!E2319=""USD"",Cost_in_dollars!B2319,Cost_in_dollars!B2319 * GOOGLEFINANCE(""CURRENCY:"" &amp; Cost_in_dollars!E2319 &amp; ""USD""))
"),30000000)</f>
        <v>30000000</v>
      </c>
      <c r="P2319" s="4">
        <f ca="1">IFERROR(__xludf.DUMMYFUNCTION("IF(Cost_in_dollars!E2319=""USD"",Cost_in_dollars!C2319,Cost_in_dollars!C2319 * GOOGLEFINANCE(""CURRENCY:"" &amp; Cost_in_dollars!E2319 &amp; ""USD""))
"),42043633)</f>
        <v>42043633</v>
      </c>
      <c r="Q2319" s="6">
        <f t="shared" ca="1" si="54"/>
        <v>12043633</v>
      </c>
      <c r="R2319" s="7" t="str">
        <f t="shared" si="55"/>
        <v>The Cabin in the Woods</v>
      </c>
      <c r="S2319" s="43" t="str">
        <f t="shared" si="56"/>
        <v>Fantasy</v>
      </c>
    </row>
    <row r="2320" spans="1:19" ht="15.75" customHeight="1" x14ac:dyDescent="0.25">
      <c r="A2320" s="4" t="s">
        <v>880</v>
      </c>
      <c r="B2320" s="4">
        <v>418</v>
      </c>
      <c r="C2320" s="4">
        <v>161087183</v>
      </c>
      <c r="D2320" s="4" t="s">
        <v>1397</v>
      </c>
      <c r="E2320" s="4" t="s">
        <v>2732</v>
      </c>
      <c r="F2320" s="4" t="s">
        <v>7546</v>
      </c>
      <c r="G2320" s="4">
        <v>118992</v>
      </c>
      <c r="H2320" s="4" t="s">
        <v>7547</v>
      </c>
      <c r="I2320" s="4">
        <v>971</v>
      </c>
      <c r="J2320" s="4" t="s">
        <v>23</v>
      </c>
      <c r="K2320" s="4" t="s">
        <v>24</v>
      </c>
      <c r="L2320" s="4">
        <v>175000000</v>
      </c>
      <c r="M2320" s="4">
        <v>2016</v>
      </c>
      <c r="N2320" s="4">
        <v>6.9</v>
      </c>
      <c r="O2320" s="4">
        <f ca="1">IFERROR(__xludf.DUMMYFUNCTION("IF(Cost_in_dollars!E2320=""USD"",Cost_in_dollars!B2320,Cost_in_dollars!B2320 * GOOGLEFINANCE(""CURRENCY:"" &amp; Cost_in_dollars!E2320 &amp; ""USD""))
"),175000000)</f>
        <v>175000000</v>
      </c>
      <c r="P2320" s="4">
        <f ca="1">IFERROR(__xludf.DUMMYFUNCTION("IF(Cost_in_dollars!E2320=""USD"",Cost_in_dollars!C2320,Cost_in_dollars!C2320 * GOOGLEFINANCE(""CURRENCY:"" &amp; Cost_in_dollars!E2320 &amp; ""USD""))
"),161087183)</f>
        <v>161087183</v>
      </c>
      <c r="Q2320" s="4">
        <f t="shared" ca="1" si="54"/>
        <v>-13912817</v>
      </c>
      <c r="R2320" s="5" t="str">
        <f t="shared" si="55"/>
        <v>Suicide Squad</v>
      </c>
      <c r="S2320" s="43" t="str">
        <f t="shared" si="56"/>
        <v>Action</v>
      </c>
    </row>
    <row r="2321" spans="1:19" ht="15.75" customHeight="1" x14ac:dyDescent="0.25">
      <c r="A2321" s="6" t="s">
        <v>638</v>
      </c>
      <c r="B2321" s="6">
        <v>281</v>
      </c>
      <c r="C2321" s="6">
        <v>78616689</v>
      </c>
      <c r="D2321" s="6" t="s">
        <v>7548</v>
      </c>
      <c r="E2321" s="6" t="s">
        <v>1232</v>
      </c>
      <c r="F2321" s="6" t="s">
        <v>7549</v>
      </c>
      <c r="G2321" s="6">
        <v>238747</v>
      </c>
      <c r="H2321" s="6" t="s">
        <v>7550</v>
      </c>
      <c r="I2321" s="6">
        <v>2153</v>
      </c>
      <c r="J2321" s="6" t="s">
        <v>23</v>
      </c>
      <c r="K2321" s="6" t="s">
        <v>24</v>
      </c>
      <c r="L2321" s="6">
        <v>100000000</v>
      </c>
      <c r="M2321" s="6">
        <v>2001</v>
      </c>
      <c r="N2321" s="6">
        <v>7.1</v>
      </c>
      <c r="O2321" s="4">
        <f ca="1">IFERROR(__xludf.DUMMYFUNCTION("IF(Cost_in_dollars!E2321=""USD"",Cost_in_dollars!B2321,Cost_in_dollars!B2321 * GOOGLEFINANCE(""CURRENCY:"" &amp; Cost_in_dollars!E2321 &amp; ""USD""))
"),100000000)</f>
        <v>100000000</v>
      </c>
      <c r="P2321" s="4">
        <f ca="1">IFERROR(__xludf.DUMMYFUNCTION("IF(Cost_in_dollars!E2321=""USD"",Cost_in_dollars!C2321,Cost_in_dollars!C2321 * GOOGLEFINANCE(""CURRENCY:"" &amp; Cost_in_dollars!E2321 &amp; ""USD""))
"),78616689)</f>
        <v>78616689</v>
      </c>
      <c r="Q2321" s="6">
        <f t="shared" ca="1" si="54"/>
        <v>-21383311</v>
      </c>
      <c r="R2321" s="7" t="str">
        <f t="shared" si="55"/>
        <v>A.I. Artificial Intelligence</v>
      </c>
      <c r="S2321" s="43" t="str">
        <f t="shared" si="56"/>
        <v>Adventure</v>
      </c>
    </row>
    <row r="2322" spans="1:19" ht="15.75" customHeight="1" x14ac:dyDescent="0.25">
      <c r="A2322" s="4" t="s">
        <v>4637</v>
      </c>
      <c r="B2322" s="4">
        <v>435</v>
      </c>
      <c r="C2322" s="4">
        <v>36381716</v>
      </c>
      <c r="D2322" s="4" t="s">
        <v>7551</v>
      </c>
      <c r="E2322" s="4" t="s">
        <v>1703</v>
      </c>
      <c r="F2322" s="4" t="s">
        <v>7552</v>
      </c>
      <c r="G2322" s="4">
        <v>197584</v>
      </c>
      <c r="H2322" s="4" t="s">
        <v>7553</v>
      </c>
      <c r="I2322" s="4">
        <v>918</v>
      </c>
      <c r="J2322" s="4" t="s">
        <v>23</v>
      </c>
      <c r="K2322" s="4" t="s">
        <v>24</v>
      </c>
      <c r="L2322" s="4">
        <v>82000000</v>
      </c>
      <c r="M2322" s="4">
        <v>2011</v>
      </c>
      <c r="N2322" s="4">
        <v>6.1</v>
      </c>
      <c r="O2322" s="4">
        <f ca="1">IFERROR(__xludf.DUMMYFUNCTION("IF(Cost_in_dollars!E2322=""USD"",Cost_in_dollars!B2322,Cost_in_dollars!B2322 * GOOGLEFINANCE(""CURRENCY:"" &amp; Cost_in_dollars!E2322 &amp; ""USD""))
"),82000000)</f>
        <v>82000000</v>
      </c>
      <c r="P2322" s="4">
        <f ca="1">IFERROR(__xludf.DUMMYFUNCTION("IF(Cost_in_dollars!E2322=""USD"",Cost_in_dollars!C2322,Cost_in_dollars!C2322 * GOOGLEFINANCE(""CURRENCY:"" &amp; Cost_in_dollars!E2322 &amp; ""USD""))
"),36381716)</f>
        <v>36381716</v>
      </c>
      <c r="Q2322" s="4">
        <f t="shared" ca="1" si="54"/>
        <v>-45618284</v>
      </c>
      <c r="R2322" s="5" t="str">
        <f t="shared" si="55"/>
        <v>Sucker Punch</v>
      </c>
      <c r="S2322" s="43" t="str">
        <f t="shared" si="56"/>
        <v>Action</v>
      </c>
    </row>
    <row r="2323" spans="1:19" ht="15.75" customHeight="1" x14ac:dyDescent="0.25">
      <c r="A2323" s="6" t="s">
        <v>4766</v>
      </c>
      <c r="B2323" s="6">
        <v>91</v>
      </c>
      <c r="C2323" s="6">
        <v>133103929</v>
      </c>
      <c r="D2323" s="6" t="s">
        <v>7554</v>
      </c>
      <c r="E2323" s="6" t="s">
        <v>2668</v>
      </c>
      <c r="F2323" s="6" t="s">
        <v>7555</v>
      </c>
      <c r="G2323" s="6">
        <v>22838</v>
      </c>
      <c r="H2323" s="6" t="s">
        <v>7556</v>
      </c>
      <c r="I2323" s="6">
        <v>56</v>
      </c>
      <c r="J2323" s="6" t="s">
        <v>23</v>
      </c>
      <c r="K2323" s="6" t="s">
        <v>24</v>
      </c>
      <c r="L2323" s="6">
        <v>75000000</v>
      </c>
      <c r="M2323" s="6">
        <v>2011</v>
      </c>
      <c r="N2323" s="6">
        <v>4.4000000000000004</v>
      </c>
      <c r="O2323" s="4">
        <f ca="1">IFERROR(__xludf.DUMMYFUNCTION("IF(Cost_in_dollars!E2323=""USD"",Cost_in_dollars!B2323,Cost_in_dollars!B2323 * GOOGLEFINANCE(""CURRENCY:"" &amp; Cost_in_dollars!E2323 &amp; ""USD""))
"),75000000)</f>
        <v>75000000</v>
      </c>
      <c r="P2323" s="4">
        <f ca="1">IFERROR(__xludf.DUMMYFUNCTION("IF(Cost_in_dollars!E2323=""USD"",Cost_in_dollars!C2323,Cost_in_dollars!C2323 * GOOGLEFINANCE(""CURRENCY:"" &amp; Cost_in_dollars!E2323 &amp; ""USD""))
"),133103929)</f>
        <v>133103929</v>
      </c>
      <c r="Q2323" s="6">
        <f t="shared" ca="1" si="54"/>
        <v>58103929</v>
      </c>
      <c r="R2323" s="7" t="str">
        <f t="shared" si="55"/>
        <v>Alvin and the Chipmunks: Chipwrecked</v>
      </c>
      <c r="S2323" s="43" t="str">
        <f t="shared" si="56"/>
        <v>Adventure</v>
      </c>
    </row>
    <row r="2324" spans="1:19" ht="15.75" customHeight="1" x14ac:dyDescent="0.25">
      <c r="A2324" s="4" t="s">
        <v>863</v>
      </c>
      <c r="B2324" s="4">
        <v>167</v>
      </c>
      <c r="C2324" s="4">
        <v>201573391</v>
      </c>
      <c r="D2324" s="4" t="s">
        <v>797</v>
      </c>
      <c r="E2324" s="4" t="s">
        <v>54</v>
      </c>
      <c r="F2324" s="4" t="s">
        <v>7557</v>
      </c>
      <c r="G2324" s="4">
        <v>322395</v>
      </c>
      <c r="H2324" s="4" t="s">
        <v>7558</v>
      </c>
      <c r="I2324" s="4">
        <v>1171</v>
      </c>
      <c r="J2324" s="4" t="s">
        <v>23</v>
      </c>
      <c r="K2324" s="4" t="s">
        <v>24</v>
      </c>
      <c r="L2324" s="4">
        <v>140000000</v>
      </c>
      <c r="M2324" s="4">
        <v>1998</v>
      </c>
      <c r="N2324" s="4">
        <v>6.6</v>
      </c>
      <c r="O2324" s="4">
        <f ca="1">IFERROR(__xludf.DUMMYFUNCTION("IF(Cost_in_dollars!E2324=""USD"",Cost_in_dollars!B2324,Cost_in_dollars!B2324 * GOOGLEFINANCE(""CURRENCY:"" &amp; Cost_in_dollars!E2324 &amp; ""USD""))
"),140000000)</f>
        <v>140000000</v>
      </c>
      <c r="P2324" s="4">
        <f ca="1">IFERROR(__xludf.DUMMYFUNCTION("IF(Cost_in_dollars!E2324=""USD"",Cost_in_dollars!C2324,Cost_in_dollars!C2324 * GOOGLEFINANCE(""CURRENCY:"" &amp; Cost_in_dollars!E2324 &amp; ""USD""))
"),201573391)</f>
        <v>201573391</v>
      </c>
      <c r="Q2324" s="4">
        <f t="shared" ca="1" si="54"/>
        <v>61573391</v>
      </c>
      <c r="R2324" s="5" t="str">
        <f t="shared" si="55"/>
        <v>Armageddon</v>
      </c>
      <c r="S2324" s="43" t="str">
        <f t="shared" si="56"/>
        <v>Action</v>
      </c>
    </row>
    <row r="2325" spans="1:19" ht="15.75" customHeight="1" x14ac:dyDescent="0.25">
      <c r="A2325" s="6" t="s">
        <v>4901</v>
      </c>
      <c r="B2325" s="6">
        <v>40</v>
      </c>
      <c r="C2325" s="6">
        <v>30102717</v>
      </c>
      <c r="D2325" s="6" t="s">
        <v>48</v>
      </c>
      <c r="E2325" s="6" t="s">
        <v>7559</v>
      </c>
      <c r="F2325" s="6" t="s">
        <v>7560</v>
      </c>
      <c r="G2325" s="6">
        <v>28736</v>
      </c>
      <c r="H2325" s="6" t="s">
        <v>7561</v>
      </c>
      <c r="I2325" s="6">
        <v>72</v>
      </c>
      <c r="J2325" s="6" t="s">
        <v>23</v>
      </c>
      <c r="K2325" s="6" t="s">
        <v>24</v>
      </c>
      <c r="L2325" s="6">
        <v>15000000</v>
      </c>
      <c r="M2325" s="6">
        <v>1991</v>
      </c>
      <c r="N2325" s="6">
        <v>5.5</v>
      </c>
      <c r="O2325" s="4">
        <f ca="1">IFERROR(__xludf.DUMMYFUNCTION("IF(Cost_in_dollars!E2325=""USD"",Cost_in_dollars!B2325,Cost_in_dollars!B2325 * GOOGLEFINANCE(""CURRENCY:"" &amp; Cost_in_dollars!E2325 &amp; ""USD""))
"),15000000)</f>
        <v>15000000</v>
      </c>
      <c r="P2325" s="4">
        <f ca="1">IFERROR(__xludf.DUMMYFUNCTION("IF(Cost_in_dollars!E2325=""USD"",Cost_in_dollars!C2325,Cost_in_dollars!C2325 * GOOGLEFINANCE(""CURRENCY:"" &amp; Cost_in_dollars!E2325 &amp; ""USD""))
"),30102717)</f>
        <v>30102717</v>
      </c>
      <c r="Q2325" s="6">
        <f t="shared" ca="1" si="54"/>
        <v>15102717</v>
      </c>
      <c r="R2325" s="7" t="str">
        <f t="shared" si="55"/>
        <v>Double Impact</v>
      </c>
      <c r="S2325" s="43" t="str">
        <f t="shared" si="56"/>
        <v>Action</v>
      </c>
    </row>
    <row r="2326" spans="1:19" ht="15.75" customHeight="1" x14ac:dyDescent="0.25">
      <c r="A2326" s="4" t="s">
        <v>831</v>
      </c>
      <c r="B2326" s="4">
        <v>201</v>
      </c>
      <c r="C2326" s="4">
        <v>162586036</v>
      </c>
      <c r="D2326" s="4" t="s">
        <v>362</v>
      </c>
      <c r="E2326" s="4" t="s">
        <v>2732</v>
      </c>
      <c r="F2326" s="4" t="s">
        <v>7562</v>
      </c>
      <c r="G2326" s="4">
        <v>338383</v>
      </c>
      <c r="H2326" s="4" t="s">
        <v>7563</v>
      </c>
      <c r="I2326" s="4">
        <v>611</v>
      </c>
      <c r="J2326" s="4" t="s">
        <v>23</v>
      </c>
      <c r="K2326" s="4" t="s">
        <v>24</v>
      </c>
      <c r="L2326" s="4">
        <v>55000000</v>
      </c>
      <c r="M2326" s="4">
        <v>2006</v>
      </c>
      <c r="N2326" s="4">
        <v>8</v>
      </c>
      <c r="O2326" s="4">
        <f ca="1">IFERROR(__xludf.DUMMYFUNCTION("IF(Cost_in_dollars!E2326=""USD"",Cost_in_dollars!B2326,Cost_in_dollars!B2326 * GOOGLEFINANCE(""CURRENCY:"" &amp; Cost_in_dollars!E2326 &amp; ""USD""))
"),55000000)</f>
        <v>55000000</v>
      </c>
      <c r="P2326" s="4">
        <f ca="1">IFERROR(__xludf.DUMMYFUNCTION("IF(Cost_in_dollars!E2326=""USD"",Cost_in_dollars!C2326,Cost_in_dollars!C2326 * GOOGLEFINANCE(""CURRENCY:"" &amp; Cost_in_dollars!E2326 &amp; ""USD""))
"),162586036)</f>
        <v>162586036</v>
      </c>
      <c r="Q2326" s="4">
        <f t="shared" ca="1" si="54"/>
        <v>107586036</v>
      </c>
      <c r="R2326" s="5" t="str">
        <f t="shared" si="55"/>
        <v>The Pursuit of Happyness</v>
      </c>
      <c r="S2326" s="43" t="str">
        <f t="shared" si="56"/>
        <v>Biography</v>
      </c>
    </row>
    <row r="2327" spans="1:19" ht="15.75" customHeight="1" x14ac:dyDescent="0.25">
      <c r="A2327" s="6" t="s">
        <v>2943</v>
      </c>
      <c r="B2327" s="6">
        <v>52</v>
      </c>
      <c r="C2327" s="6">
        <v>37295394</v>
      </c>
      <c r="D2327" s="6" t="s">
        <v>457</v>
      </c>
      <c r="E2327" s="6" t="s">
        <v>1609</v>
      </c>
      <c r="F2327" s="6" t="s">
        <v>7564</v>
      </c>
      <c r="G2327" s="6">
        <v>7973</v>
      </c>
      <c r="H2327" s="6" t="s">
        <v>7565</v>
      </c>
      <c r="I2327" s="6">
        <v>59</v>
      </c>
      <c r="J2327" s="6" t="s">
        <v>23</v>
      </c>
      <c r="K2327" s="6" t="s">
        <v>24</v>
      </c>
      <c r="L2327" s="6">
        <v>6600000</v>
      </c>
      <c r="M2327" s="6">
        <v>2011</v>
      </c>
      <c r="N2327" s="6">
        <v>5.7</v>
      </c>
      <c r="O2327" s="4">
        <f ca="1">IFERROR(__xludf.DUMMYFUNCTION("IF(Cost_in_dollars!E2327=""USD"",Cost_in_dollars!B2327,Cost_in_dollars!B2327 * GOOGLEFINANCE(""CURRENCY:"" &amp; Cost_in_dollars!E2327 &amp; ""USD""))
"),6600000)</f>
        <v>6600000</v>
      </c>
      <c r="P2327" s="4">
        <f ca="1">IFERROR(__xludf.DUMMYFUNCTION("IF(Cost_in_dollars!E2327=""USD"",Cost_in_dollars!C2327,Cost_in_dollars!C2327 * GOOGLEFINANCE(""CURRENCY:"" &amp; Cost_in_dollars!E2327 &amp; ""USD""))
"),37295394)</f>
        <v>37295394</v>
      </c>
      <c r="Q2327" s="6">
        <f t="shared" ca="1" si="54"/>
        <v>30695394</v>
      </c>
      <c r="R2327" s="7" t="str">
        <f t="shared" si="55"/>
        <v>Jumping the Broom</v>
      </c>
      <c r="S2327" s="43" t="str">
        <f t="shared" si="56"/>
        <v>Comedy</v>
      </c>
    </row>
    <row r="2328" spans="1:19" ht="15.75" customHeight="1" x14ac:dyDescent="0.25">
      <c r="A2328" s="4" t="s">
        <v>1863</v>
      </c>
      <c r="B2328" s="4">
        <v>65</v>
      </c>
      <c r="C2328" s="4">
        <v>766487</v>
      </c>
      <c r="D2328" s="4" t="s">
        <v>88</v>
      </c>
      <c r="E2328" s="4" t="s">
        <v>1703</v>
      </c>
      <c r="F2328" s="4" t="s">
        <v>7566</v>
      </c>
      <c r="G2328" s="4">
        <v>15315</v>
      </c>
      <c r="H2328" s="4" t="s">
        <v>7567</v>
      </c>
      <c r="I2328" s="4">
        <v>117</v>
      </c>
      <c r="J2328" s="4" t="s">
        <v>23</v>
      </c>
      <c r="K2328" s="4" t="s">
        <v>24</v>
      </c>
      <c r="L2328" s="4">
        <v>5250000</v>
      </c>
      <c r="M2328" s="4">
        <v>2007</v>
      </c>
      <c r="N2328" s="4">
        <v>5</v>
      </c>
      <c r="O2328" s="4">
        <f ca="1">IFERROR(__xludf.DUMMYFUNCTION("IF(Cost_in_dollars!E2328=""USD"",Cost_in_dollars!B2328,Cost_in_dollars!B2328 * GOOGLEFINANCE(""CURRENCY:"" &amp; Cost_in_dollars!E2328 &amp; ""USD""))
"),5250000)</f>
        <v>5250000</v>
      </c>
      <c r="P2328" s="4">
        <f ca="1">IFERROR(__xludf.DUMMYFUNCTION("IF(Cost_in_dollars!E2328=""USD"",Cost_in_dollars!C2328,Cost_in_dollars!C2328 * GOOGLEFINANCE(""CURRENCY:"" &amp; Cost_in_dollars!E2328 &amp; ""USD""))
"),766487)</f>
        <v>766487</v>
      </c>
      <c r="Q2328" s="4">
        <f t="shared" ca="1" si="54"/>
        <v>-4483513</v>
      </c>
      <c r="R2328" s="5" t="str">
        <f t="shared" si="55"/>
        <v>The Ten</v>
      </c>
      <c r="S2328" s="43" t="str">
        <f t="shared" si="56"/>
        <v>Comedy</v>
      </c>
    </row>
    <row r="2329" spans="1:19" ht="15.75" customHeight="1" x14ac:dyDescent="0.25">
      <c r="A2329" s="6" t="s">
        <v>1209</v>
      </c>
      <c r="B2329" s="6">
        <v>308</v>
      </c>
      <c r="C2329" s="6">
        <v>39103378</v>
      </c>
      <c r="D2329" s="6" t="s">
        <v>309</v>
      </c>
      <c r="E2329" s="6" t="s">
        <v>4122</v>
      </c>
      <c r="F2329" s="6" t="s">
        <v>7568</v>
      </c>
      <c r="G2329" s="6">
        <v>93272</v>
      </c>
      <c r="H2329" s="6" t="s">
        <v>7569</v>
      </c>
      <c r="I2329" s="6">
        <v>251</v>
      </c>
      <c r="J2329" s="6" t="s">
        <v>23</v>
      </c>
      <c r="K2329" s="6" t="s">
        <v>24</v>
      </c>
      <c r="L2329" s="6">
        <v>20000000</v>
      </c>
      <c r="M2329" s="6">
        <v>2010</v>
      </c>
      <c r="N2329" s="6">
        <v>6.5</v>
      </c>
      <c r="O2329" s="4">
        <f ca="1">IFERROR(__xludf.DUMMYFUNCTION("IF(Cost_in_dollars!E2329=""USD"",Cost_in_dollars!B2329,Cost_in_dollars!B2329 * GOOGLEFINANCE(""CURRENCY:"" &amp; Cost_in_dollars!E2329 &amp; ""USD""))
"),20000000)</f>
        <v>20000000</v>
      </c>
      <c r="P2329" s="4">
        <f ca="1">IFERROR(__xludf.DUMMYFUNCTION("IF(Cost_in_dollars!E2329=""USD"",Cost_in_dollars!C2329,Cost_in_dollars!C2329 * GOOGLEFINANCE(""CURRENCY:"" &amp; Cost_in_dollars!E2329 &amp; ""USD""))
"),39103378)</f>
        <v>39103378</v>
      </c>
      <c r="Q2329" s="6">
        <f t="shared" ca="1" si="54"/>
        <v>19103378</v>
      </c>
      <c r="R2329" s="7" t="str">
        <f t="shared" si="55"/>
        <v>The Crazies</v>
      </c>
      <c r="S2329" s="43" t="str">
        <f t="shared" si="56"/>
        <v>Horror</v>
      </c>
    </row>
    <row r="2330" spans="1:19" ht="15.75" customHeight="1" x14ac:dyDescent="0.25">
      <c r="A2330" s="4" t="s">
        <v>7570</v>
      </c>
      <c r="B2330" s="4">
        <v>24</v>
      </c>
      <c r="C2330" s="4">
        <v>6462576</v>
      </c>
      <c r="D2330" s="4" t="s">
        <v>102</v>
      </c>
      <c r="E2330" s="4" t="s">
        <v>7571</v>
      </c>
      <c r="F2330" s="4" t="s">
        <v>7572</v>
      </c>
      <c r="G2330" s="4">
        <v>1449</v>
      </c>
      <c r="H2330" s="4" t="s">
        <v>7573</v>
      </c>
      <c r="I2330" s="4">
        <v>30</v>
      </c>
      <c r="J2330" s="4" t="s">
        <v>23</v>
      </c>
      <c r="K2330" s="4" t="s">
        <v>24</v>
      </c>
      <c r="L2330" s="4">
        <v>18500000</v>
      </c>
      <c r="M2330" s="4">
        <v>2016</v>
      </c>
      <c r="N2330" s="4">
        <v>5.4</v>
      </c>
      <c r="O2330" s="4">
        <f ca="1">IFERROR(__xludf.DUMMYFUNCTION("IF(Cost_in_dollars!E2330=""USD"",Cost_in_dollars!B2330,Cost_in_dollars!B2330 * GOOGLEFINANCE(""CURRENCY:"" &amp; Cost_in_dollars!E2330 &amp; ""USD""))
"),18500000)</f>
        <v>18500000</v>
      </c>
      <c r="P2330" s="4">
        <f ca="1">IFERROR(__xludf.DUMMYFUNCTION("IF(Cost_in_dollars!E2330=""USD"",Cost_in_dollars!C2330,Cost_in_dollars!C2330 * GOOGLEFINANCE(""CURRENCY:"" &amp; Cost_in_dollars!E2330 &amp; ""USD""))
"),6462576)</f>
        <v>6462576</v>
      </c>
      <c r="Q2330" s="4">
        <f t="shared" ca="1" si="54"/>
        <v>-12037424</v>
      </c>
      <c r="R2330" s="5" t="str">
        <f t="shared" si="55"/>
        <v>The Young Messiah</v>
      </c>
      <c r="S2330" s="43" t="str">
        <f t="shared" si="56"/>
        <v>Drama</v>
      </c>
    </row>
    <row r="2331" spans="1:19" ht="15.75" customHeight="1" x14ac:dyDescent="0.25">
      <c r="A2331" s="6" t="s">
        <v>524</v>
      </c>
      <c r="B2331" s="6">
        <v>42</v>
      </c>
      <c r="C2331" s="6">
        <v>122012710</v>
      </c>
      <c r="D2331" s="6" t="s">
        <v>504</v>
      </c>
      <c r="E2331" s="6" t="s">
        <v>640</v>
      </c>
      <c r="F2331" s="6" t="s">
        <v>7574</v>
      </c>
      <c r="G2331" s="6">
        <v>69663</v>
      </c>
      <c r="H2331" s="6" t="s">
        <v>7575</v>
      </c>
      <c r="I2331" s="6">
        <v>133</v>
      </c>
      <c r="J2331" s="6" t="s">
        <v>23</v>
      </c>
      <c r="K2331" s="6" t="s">
        <v>24</v>
      </c>
      <c r="L2331" s="6">
        <v>62000000</v>
      </c>
      <c r="M2331" s="6">
        <v>1994</v>
      </c>
      <c r="N2331" s="6">
        <v>6.9</v>
      </c>
      <c r="O2331" s="4">
        <f ca="1">IFERROR(__xludf.DUMMYFUNCTION("IF(Cost_in_dollars!E2331=""USD"",Cost_in_dollars!B2331,Cost_in_dollars!B2331 * GOOGLEFINANCE(""CURRENCY:"" &amp; Cost_in_dollars!E2331 &amp; ""USD""))
"),62000000)</f>
        <v>62000000</v>
      </c>
      <c r="P2331" s="4">
        <f ca="1">IFERROR(__xludf.DUMMYFUNCTION("IF(Cost_in_dollars!E2331=""USD"",Cost_in_dollars!C2331,Cost_in_dollars!C2331 * GOOGLEFINANCE(""CURRENCY:"" &amp; Cost_in_dollars!E2331 &amp; ""USD""))
"),122012710)</f>
        <v>122012710</v>
      </c>
      <c r="Q2331" s="6">
        <f t="shared" ca="1" si="54"/>
        <v>60012710</v>
      </c>
      <c r="R2331" s="7" t="str">
        <f t="shared" si="55"/>
        <v>Clear and Present Danger</v>
      </c>
      <c r="S2331" s="43" t="str">
        <f t="shared" si="56"/>
        <v>Action</v>
      </c>
    </row>
    <row r="2332" spans="1:19" ht="15.75" customHeight="1" x14ac:dyDescent="0.25">
      <c r="A2332" s="4" t="s">
        <v>37</v>
      </c>
      <c r="B2332" s="4">
        <v>490</v>
      </c>
      <c r="C2332" s="4">
        <v>350123553</v>
      </c>
      <c r="D2332" s="4" t="s">
        <v>7576</v>
      </c>
      <c r="E2332" s="4" t="s">
        <v>1916</v>
      </c>
      <c r="F2332" s="4" t="s">
        <v>7577</v>
      </c>
      <c r="G2332" s="4">
        <v>325264</v>
      </c>
      <c r="H2332" s="4" t="s">
        <v>7578</v>
      </c>
      <c r="I2332" s="4">
        <v>916</v>
      </c>
      <c r="J2332" s="4" t="s">
        <v>23</v>
      </c>
      <c r="K2332" s="4" t="s">
        <v>24</v>
      </c>
      <c r="L2332" s="4">
        <v>58800000</v>
      </c>
      <c r="M2332" s="4">
        <v>2014</v>
      </c>
      <c r="N2332" s="4">
        <v>7.3</v>
      </c>
      <c r="O2332" s="4">
        <f ca="1">IFERROR(__xludf.DUMMYFUNCTION("IF(Cost_in_dollars!E2332=""USD"",Cost_in_dollars!B2332,Cost_in_dollars!B2332 * GOOGLEFINANCE(""CURRENCY:"" &amp; Cost_in_dollars!E2332 &amp; ""USD""))
"),58800000)</f>
        <v>58800000</v>
      </c>
      <c r="P2332" s="4">
        <f ca="1">IFERROR(__xludf.DUMMYFUNCTION("IF(Cost_in_dollars!E2332=""USD"",Cost_in_dollars!C2332,Cost_in_dollars!C2332 * GOOGLEFINANCE(""CURRENCY:"" &amp; Cost_in_dollars!E2332 &amp; ""USD""))
"),350123553)</f>
        <v>350123553</v>
      </c>
      <c r="Q2332" s="4">
        <f t="shared" ca="1" si="54"/>
        <v>291323553</v>
      </c>
      <c r="R2332" s="5" t="str">
        <f t="shared" si="55"/>
        <v>American Sniper</v>
      </c>
      <c r="S2332" s="43" t="str">
        <f t="shared" si="56"/>
        <v>Action</v>
      </c>
    </row>
    <row r="2333" spans="1:19" ht="15.75" customHeight="1" x14ac:dyDescent="0.25">
      <c r="A2333" s="6" t="s">
        <v>7579</v>
      </c>
      <c r="B2333" s="6">
        <v>304</v>
      </c>
      <c r="C2333" s="6">
        <v>251501645</v>
      </c>
      <c r="D2333" s="6" t="s">
        <v>3522</v>
      </c>
      <c r="E2333" s="6" t="s">
        <v>1083</v>
      </c>
      <c r="F2333" s="6" t="s">
        <v>7580</v>
      </c>
      <c r="G2333" s="6">
        <v>385943</v>
      </c>
      <c r="H2333" s="6" t="s">
        <v>7581</v>
      </c>
      <c r="I2333" s="6">
        <v>296</v>
      </c>
      <c r="J2333" s="6" t="s">
        <v>23</v>
      </c>
      <c r="K2333" s="6" t="s">
        <v>24</v>
      </c>
      <c r="L2333" s="6">
        <v>69000000</v>
      </c>
      <c r="M2333" s="6">
        <v>2010</v>
      </c>
      <c r="N2333" s="6">
        <v>7.7</v>
      </c>
      <c r="O2333" s="4">
        <f ca="1">IFERROR(__xludf.DUMMYFUNCTION("IF(Cost_in_dollars!E2333=""USD"",Cost_in_dollars!B2333,Cost_in_dollars!B2333 * GOOGLEFINANCE(""CURRENCY:"" &amp; Cost_in_dollars!E2333 &amp; ""USD""))
"),69000000)</f>
        <v>69000000</v>
      </c>
      <c r="P2333" s="4">
        <f ca="1">IFERROR(__xludf.DUMMYFUNCTION("IF(Cost_in_dollars!E2333=""USD"",Cost_in_dollars!C2333,Cost_in_dollars!C2333 * GOOGLEFINANCE(""CURRENCY:"" &amp; Cost_in_dollars!E2333 &amp; ""USD""))
"),251501645)</f>
        <v>251501645</v>
      </c>
      <c r="Q2333" s="6">
        <f t="shared" ca="1" si="54"/>
        <v>182501645</v>
      </c>
      <c r="R2333" s="7" t="str">
        <f t="shared" si="55"/>
        <v>Despicable Me</v>
      </c>
      <c r="S2333" s="43" t="str">
        <f t="shared" si="56"/>
        <v>Animation</v>
      </c>
    </row>
    <row r="2334" spans="1:19" ht="15.75" customHeight="1" x14ac:dyDescent="0.25">
      <c r="A2334" s="4" t="s">
        <v>941</v>
      </c>
      <c r="B2334" s="4">
        <v>349</v>
      </c>
      <c r="C2334" s="4">
        <v>61094903</v>
      </c>
      <c r="D2334" s="4" t="s">
        <v>1158</v>
      </c>
      <c r="E2334" s="4" t="s">
        <v>608</v>
      </c>
      <c r="F2334" s="4" t="s">
        <v>3415</v>
      </c>
      <c r="G2334" s="4">
        <v>210548</v>
      </c>
      <c r="H2334" s="4" t="s">
        <v>3416</v>
      </c>
      <c r="I2334" s="4">
        <v>332</v>
      </c>
      <c r="J2334" s="4" t="s">
        <v>23</v>
      </c>
      <c r="K2334" s="4" t="s">
        <v>133</v>
      </c>
      <c r="L2334" s="4">
        <v>30000000</v>
      </c>
      <c r="M2334" s="4">
        <v>2011</v>
      </c>
      <c r="N2334" s="4">
        <v>6.9</v>
      </c>
      <c r="O2334" s="4">
        <f ca="1">IFERROR(__xludf.DUMMYFUNCTION("IF(Cost_in_dollars!E2334=""USD"",Cost_in_dollars!B2334,Cost_in_dollars!B2334 * GOOGLEFINANCE(""CURRENCY:"" &amp; Cost_in_dollars!E2334 &amp; ""USD""))
"),38562000)</f>
        <v>38562000</v>
      </c>
      <c r="P2334" s="4">
        <f ca="1">IFERROR(__xludf.DUMMYFUNCTION("IF(Cost_in_dollars!E2334=""USD"",Cost_in_dollars!C2334,Cost_in_dollars!C2334 * GOOGLEFINANCE(""CURRENCY:"" &amp; Cost_in_dollars!E2334 &amp; ""USD""))
"),78531388.3161999)</f>
        <v>78531388.316199899</v>
      </c>
      <c r="Q2334" s="4">
        <f t="shared" ca="1" si="54"/>
        <v>39969388.316199899</v>
      </c>
      <c r="R2334" s="5" t="str">
        <f t="shared" si="55"/>
        <v>Unknown</v>
      </c>
      <c r="S2334" s="43" t="str">
        <f t="shared" si="56"/>
        <v>Action</v>
      </c>
    </row>
    <row r="2335" spans="1:19" ht="15.75" customHeight="1" x14ac:dyDescent="0.25">
      <c r="A2335" s="6" t="s">
        <v>5280</v>
      </c>
      <c r="B2335" s="6">
        <v>476</v>
      </c>
      <c r="C2335" s="6">
        <v>93050117</v>
      </c>
      <c r="D2335" s="6" t="s">
        <v>1562</v>
      </c>
      <c r="E2335" s="6" t="s">
        <v>588</v>
      </c>
      <c r="F2335" s="6" t="s">
        <v>7582</v>
      </c>
      <c r="G2335" s="6">
        <v>338087</v>
      </c>
      <c r="H2335" s="6" t="s">
        <v>7583</v>
      </c>
      <c r="I2335" s="6">
        <v>814</v>
      </c>
      <c r="J2335" s="6" t="s">
        <v>23</v>
      </c>
      <c r="K2335" s="6" t="s">
        <v>24</v>
      </c>
      <c r="L2335" s="6">
        <v>115000000</v>
      </c>
      <c r="M2335" s="6">
        <v>2013</v>
      </c>
      <c r="N2335" s="6">
        <v>6.6</v>
      </c>
      <c r="O2335" s="4">
        <f ca="1">IFERROR(__xludf.DUMMYFUNCTION("IF(Cost_in_dollars!E2335=""USD"",Cost_in_dollars!B2335,Cost_in_dollars!B2335 * GOOGLEFINANCE(""CURRENCY:"" &amp; Cost_in_dollars!E2335 &amp; ""USD""))
"),115000000)</f>
        <v>115000000</v>
      </c>
      <c r="P2335" s="4">
        <f ca="1">IFERROR(__xludf.DUMMYFUNCTION("IF(Cost_in_dollars!E2335=""USD"",Cost_in_dollars!C2335,Cost_in_dollars!C2335 * GOOGLEFINANCE(""CURRENCY:"" &amp; Cost_in_dollars!E2335 &amp; ""USD""))
"),93050117)</f>
        <v>93050117</v>
      </c>
      <c r="Q2335" s="6">
        <f t="shared" ca="1" si="54"/>
        <v>-21949883</v>
      </c>
      <c r="R2335" s="7" t="str">
        <f t="shared" si="55"/>
        <v>Elysium</v>
      </c>
      <c r="S2335" s="43" t="str">
        <f t="shared" si="56"/>
        <v>Action</v>
      </c>
    </row>
    <row r="2336" spans="1:19" ht="15.75" customHeight="1" x14ac:dyDescent="0.25">
      <c r="A2336" s="4" t="s">
        <v>7584</v>
      </c>
      <c r="B2336" s="4">
        <v>27</v>
      </c>
      <c r="C2336" s="4">
        <v>46451</v>
      </c>
      <c r="D2336" s="4" t="s">
        <v>592</v>
      </c>
      <c r="E2336" s="4" t="s">
        <v>1449</v>
      </c>
      <c r="F2336" s="4" t="s">
        <v>7585</v>
      </c>
      <c r="G2336" s="4">
        <v>7663</v>
      </c>
      <c r="H2336" s="4" t="s">
        <v>7586</v>
      </c>
      <c r="I2336" s="4">
        <v>38</v>
      </c>
      <c r="J2336" s="4" t="s">
        <v>23</v>
      </c>
      <c r="K2336" s="4" t="s">
        <v>24</v>
      </c>
      <c r="L2336" s="4">
        <v>7000000</v>
      </c>
      <c r="M2336" s="4">
        <v>2010</v>
      </c>
      <c r="N2336" s="4">
        <v>6</v>
      </c>
      <c r="O2336" s="4">
        <f ca="1">IFERROR(__xludf.DUMMYFUNCTION("IF(Cost_in_dollars!E2336=""USD"",Cost_in_dollars!B2336,Cost_in_dollars!B2336 * GOOGLEFINANCE(""CURRENCY:"" &amp; Cost_in_dollars!E2336 &amp; ""USD""))
"),7000000)</f>
        <v>7000000</v>
      </c>
      <c r="P2336" s="4">
        <f ca="1">IFERROR(__xludf.DUMMYFUNCTION("IF(Cost_in_dollars!E2336=""USD"",Cost_in_dollars!C2336,Cost_in_dollars!C2336 * GOOGLEFINANCE(""CURRENCY:"" &amp; Cost_in_dollars!E2336 &amp; ""USD""))
"),46451)</f>
        <v>46451</v>
      </c>
      <c r="Q2336" s="4">
        <f t="shared" ca="1" si="54"/>
        <v>-6953549</v>
      </c>
      <c r="R2336" s="5" t="str">
        <f t="shared" si="55"/>
        <v>Ca$h</v>
      </c>
      <c r="S2336" s="43" t="str">
        <f t="shared" si="56"/>
        <v>Comedy</v>
      </c>
    </row>
    <row r="2337" spans="1:19" ht="15.75" customHeight="1" x14ac:dyDescent="0.25">
      <c r="A2337" s="6" t="s">
        <v>5242</v>
      </c>
      <c r="B2337" s="6">
        <v>355</v>
      </c>
      <c r="C2337" s="6">
        <v>56692</v>
      </c>
      <c r="D2337" s="6" t="s">
        <v>895</v>
      </c>
      <c r="E2337" s="6" t="s">
        <v>487</v>
      </c>
      <c r="F2337" s="6" t="s">
        <v>7587</v>
      </c>
      <c r="G2337" s="6">
        <v>177401</v>
      </c>
      <c r="H2337" s="6" t="s">
        <v>7588</v>
      </c>
      <c r="I2337" s="6">
        <v>504</v>
      </c>
      <c r="J2337" s="6" t="s">
        <v>23</v>
      </c>
      <c r="K2337" s="6" t="s">
        <v>24</v>
      </c>
      <c r="L2337" s="6">
        <v>25000000</v>
      </c>
      <c r="M2337" s="6">
        <v>2009</v>
      </c>
      <c r="N2337" s="6">
        <v>7.3</v>
      </c>
      <c r="O2337" s="4">
        <f ca="1">IFERROR(__xludf.DUMMYFUNCTION("IF(Cost_in_dollars!E2337=""USD"",Cost_in_dollars!B2337,Cost_in_dollars!B2337 * GOOGLEFINANCE(""CURRENCY:"" &amp; Cost_in_dollars!E2337 &amp; ""USD""))
"),25000000)</f>
        <v>25000000</v>
      </c>
      <c r="P2337" s="4">
        <f ca="1">IFERROR(__xludf.DUMMYFUNCTION("IF(Cost_in_dollars!E2337=""USD"",Cost_in_dollars!C2337,Cost_in_dollars!C2337 * GOOGLEFINANCE(""CURRENCY:"" &amp; Cost_in_dollars!E2337 &amp; ""USD""))
"),56692)</f>
        <v>56692</v>
      </c>
      <c r="Q2337" s="6">
        <f t="shared" ca="1" si="54"/>
        <v>-24943308</v>
      </c>
      <c r="R2337" s="7" t="str">
        <f t="shared" si="55"/>
        <v>The Road</v>
      </c>
      <c r="S2337" s="43" t="str">
        <f t="shared" si="56"/>
        <v>Adventure</v>
      </c>
    </row>
    <row r="2338" spans="1:19" ht="15.75" customHeight="1" x14ac:dyDescent="0.25">
      <c r="A2338" s="4" t="s">
        <v>7589</v>
      </c>
      <c r="B2338" s="4">
        <v>194</v>
      </c>
      <c r="C2338" s="4">
        <v>126597121</v>
      </c>
      <c r="D2338" s="4" t="s">
        <v>1827</v>
      </c>
      <c r="E2338" s="4" t="s">
        <v>2205</v>
      </c>
      <c r="F2338" s="4" t="s">
        <v>7590</v>
      </c>
      <c r="G2338" s="4">
        <v>105902</v>
      </c>
      <c r="H2338" s="4" t="s">
        <v>7591</v>
      </c>
      <c r="I2338" s="4">
        <v>206</v>
      </c>
      <c r="J2338" s="4" t="s">
        <v>23</v>
      </c>
      <c r="K2338" s="4" t="s">
        <v>24</v>
      </c>
      <c r="L2338" s="4">
        <v>150000000</v>
      </c>
      <c r="M2338" s="4">
        <v>2007</v>
      </c>
      <c r="N2338" s="4">
        <v>6.2</v>
      </c>
      <c r="O2338" s="4">
        <f ca="1">IFERROR(__xludf.DUMMYFUNCTION("IF(Cost_in_dollars!E2338=""USD"",Cost_in_dollars!B2338,Cost_in_dollars!B2338 * GOOGLEFINANCE(""CURRENCY:"" &amp; Cost_in_dollars!E2338 &amp; ""USD""))
"),150000000)</f>
        <v>150000000</v>
      </c>
      <c r="P2338" s="4">
        <f ca="1">IFERROR(__xludf.DUMMYFUNCTION("IF(Cost_in_dollars!E2338=""USD"",Cost_in_dollars!C2338,Cost_in_dollars!C2338 * GOOGLEFINANCE(""CURRENCY:"" &amp; Cost_in_dollars!E2338 &amp; ""USD""))
"),126597121)</f>
        <v>126597121</v>
      </c>
      <c r="Q2338" s="4">
        <f t="shared" ca="1" si="54"/>
        <v>-23402879</v>
      </c>
      <c r="R2338" s="5" t="str">
        <f t="shared" si="55"/>
        <v>Bee Movie</v>
      </c>
      <c r="S2338" s="43" t="str">
        <f t="shared" si="56"/>
        <v>Adventure</v>
      </c>
    </row>
    <row r="2339" spans="1:19" ht="15.75" customHeight="1" x14ac:dyDescent="0.25">
      <c r="A2339" s="6" t="s">
        <v>1542</v>
      </c>
      <c r="B2339" s="6">
        <v>362</v>
      </c>
      <c r="C2339" s="6">
        <v>123207194</v>
      </c>
      <c r="D2339" s="6" t="s">
        <v>7592</v>
      </c>
      <c r="E2339" s="6" t="s">
        <v>84</v>
      </c>
      <c r="F2339" s="6" t="s">
        <v>7593</v>
      </c>
      <c r="G2339" s="6">
        <v>183208</v>
      </c>
      <c r="H2339" s="6" t="s">
        <v>7594</v>
      </c>
      <c r="I2339" s="6">
        <v>337</v>
      </c>
      <c r="J2339" s="6" t="s">
        <v>23</v>
      </c>
      <c r="K2339" s="6" t="s">
        <v>24</v>
      </c>
      <c r="L2339" s="6">
        <v>135000000</v>
      </c>
      <c r="M2339" s="6">
        <v>2011</v>
      </c>
      <c r="N2339" s="6">
        <v>7.2</v>
      </c>
      <c r="O2339" s="4">
        <f ca="1">IFERROR(__xludf.DUMMYFUNCTION("IF(Cost_in_dollars!E2339=""USD"",Cost_in_dollars!B2339,Cost_in_dollars!B2339 * GOOGLEFINANCE(""CURRENCY:"" &amp; Cost_in_dollars!E2339 &amp; ""USD""))
"),135000000)</f>
        <v>135000000</v>
      </c>
      <c r="P2339" s="4">
        <f ca="1">IFERROR(__xludf.DUMMYFUNCTION("IF(Cost_in_dollars!E2339=""USD"",Cost_in_dollars!C2339,Cost_in_dollars!C2339 * GOOGLEFINANCE(""CURRENCY:"" &amp; Cost_in_dollars!E2339 &amp; ""USD""))
"),123207194)</f>
        <v>123207194</v>
      </c>
      <c r="Q2339" s="6">
        <f t="shared" ca="1" si="54"/>
        <v>-11792806</v>
      </c>
      <c r="R2339" s="7" t="str">
        <f t="shared" si="55"/>
        <v>Rango</v>
      </c>
      <c r="S2339" s="43" t="str">
        <f t="shared" si="56"/>
        <v>Adventure</v>
      </c>
    </row>
    <row r="2340" spans="1:19" ht="15.75" customHeight="1" x14ac:dyDescent="0.25">
      <c r="A2340" s="4" t="s">
        <v>3738</v>
      </c>
      <c r="B2340" s="4">
        <v>192</v>
      </c>
      <c r="C2340" s="4">
        <v>15281286</v>
      </c>
      <c r="D2340" s="4" t="s">
        <v>162</v>
      </c>
      <c r="E2340" s="4" t="s">
        <v>456</v>
      </c>
      <c r="F2340" s="4" t="s">
        <v>7595</v>
      </c>
      <c r="G2340" s="4">
        <v>64646</v>
      </c>
      <c r="H2340" s="4" t="s">
        <v>7596</v>
      </c>
      <c r="I2340" s="4">
        <v>105</v>
      </c>
      <c r="J2340" s="4" t="s">
        <v>23</v>
      </c>
      <c r="K2340" s="4" t="s">
        <v>24</v>
      </c>
      <c r="L2340" s="4">
        <v>18000000</v>
      </c>
      <c r="M2340" s="4">
        <v>2009</v>
      </c>
      <c r="N2340" s="4">
        <v>6.5</v>
      </c>
      <c r="O2340" s="4">
        <f ca="1">IFERROR(__xludf.DUMMYFUNCTION("IF(Cost_in_dollars!E2340=""USD"",Cost_in_dollars!B2340,Cost_in_dollars!B2340 * GOOGLEFINANCE(""CURRENCY:"" &amp; Cost_in_dollars!E2340 &amp; ""USD""))
"),18000000)</f>
        <v>18000000</v>
      </c>
      <c r="P2340" s="4">
        <f ca="1">IFERROR(__xludf.DUMMYFUNCTION("IF(Cost_in_dollars!E2340=""USD"",Cost_in_dollars!C2340,Cost_in_dollars!C2340 * GOOGLEFINANCE(""CURRENCY:"" &amp; Cost_in_dollars!E2340 &amp; ""USD""))
"),15281286)</f>
        <v>15281286</v>
      </c>
      <c r="Q2340" s="4">
        <f t="shared" ca="1" si="54"/>
        <v>-2718714</v>
      </c>
      <c r="R2340" s="5" t="str">
        <f t="shared" si="55"/>
        <v>Youth in Revolt</v>
      </c>
      <c r="S2340" s="43" t="str">
        <f t="shared" si="56"/>
        <v>Comedy</v>
      </c>
    </row>
    <row r="2341" spans="1:19" ht="15.75" customHeight="1" x14ac:dyDescent="0.25">
      <c r="A2341" s="6" t="s">
        <v>766</v>
      </c>
      <c r="B2341" s="6">
        <v>359</v>
      </c>
      <c r="C2341" s="6">
        <v>35266619</v>
      </c>
      <c r="D2341" s="6" t="s">
        <v>5130</v>
      </c>
      <c r="E2341" s="6" t="s">
        <v>2272</v>
      </c>
      <c r="F2341" s="6" t="s">
        <v>7597</v>
      </c>
      <c r="G2341" s="6">
        <v>108248</v>
      </c>
      <c r="H2341" s="6" t="s">
        <v>7598</v>
      </c>
      <c r="I2341" s="6">
        <v>371</v>
      </c>
      <c r="J2341" s="6" t="s">
        <v>23</v>
      </c>
      <c r="K2341" s="6" t="s">
        <v>24</v>
      </c>
      <c r="L2341" s="6">
        <v>30000000</v>
      </c>
      <c r="M2341" s="6">
        <v>2013</v>
      </c>
      <c r="N2341" s="6">
        <v>5.9</v>
      </c>
      <c r="O2341" s="4">
        <f ca="1">IFERROR(__xludf.DUMMYFUNCTION("IF(Cost_in_dollars!E2341=""USD"",Cost_in_dollars!B2341,Cost_in_dollars!B2341 * GOOGLEFINANCE(""CURRENCY:"" &amp; Cost_in_dollars!E2341 &amp; ""USD""))
"),30000000)</f>
        <v>30000000</v>
      </c>
      <c r="P2341" s="4">
        <f ca="1">IFERROR(__xludf.DUMMYFUNCTION("IF(Cost_in_dollars!E2341=""USD"",Cost_in_dollars!C2341,Cost_in_dollars!C2341 * GOOGLEFINANCE(""CURRENCY:"" &amp; Cost_in_dollars!E2341 &amp; ""USD""))
"),35266619)</f>
        <v>35266619</v>
      </c>
      <c r="Q2341" s="6">
        <f t="shared" ca="1" si="54"/>
        <v>5266619</v>
      </c>
      <c r="R2341" s="7" t="str">
        <f t="shared" si="55"/>
        <v>Carrie</v>
      </c>
      <c r="S2341" s="43" t="str">
        <f t="shared" si="56"/>
        <v>Drama</v>
      </c>
    </row>
    <row r="2342" spans="1:19" ht="15.75" customHeight="1" x14ac:dyDescent="0.25">
      <c r="A2342" s="4" t="s">
        <v>7599</v>
      </c>
      <c r="B2342" s="4">
        <v>115</v>
      </c>
      <c r="C2342" s="4">
        <v>274385</v>
      </c>
      <c r="D2342" s="4" t="s">
        <v>457</v>
      </c>
      <c r="E2342" s="4" t="s">
        <v>7600</v>
      </c>
      <c r="F2342" s="4" t="s">
        <v>7601</v>
      </c>
      <c r="G2342" s="4">
        <v>29203</v>
      </c>
      <c r="H2342" s="4" t="s">
        <v>7602</v>
      </c>
      <c r="I2342" s="4">
        <v>26</v>
      </c>
      <c r="J2342" s="4" t="s">
        <v>1045</v>
      </c>
      <c r="K2342" s="4" t="s">
        <v>176</v>
      </c>
      <c r="L2342" s="4">
        <v>4000000</v>
      </c>
      <c r="M2342" s="4">
        <v>2009</v>
      </c>
      <c r="N2342" s="4">
        <v>7.3</v>
      </c>
      <c r="O2342" s="4">
        <f ca="1">IFERROR(__xludf.DUMMYFUNCTION("IF(Cost_in_dollars!E2342=""USD"",Cost_in_dollars!B2342,Cost_in_dollars!B2342 * GOOGLEFINANCE(""CURRENCY:"" &amp; Cost_in_dollars!E2342 &amp; ""USD""))
"),4338960)</f>
        <v>4338960</v>
      </c>
      <c r="P2342" s="4">
        <f ca="1">IFERROR(__xludf.DUMMYFUNCTION("IF(Cost_in_dollars!E2342=""USD"",Cost_in_dollars!C2342,Cost_in_dollars!C2342 * GOOGLEFINANCE(""CURRENCY:"" &amp; Cost_in_dollars!E2342 &amp; ""USD""))
"),297636.3849)</f>
        <v>297636.3849</v>
      </c>
      <c r="Q2342" s="4">
        <f t="shared" ca="1" si="54"/>
        <v>-4041323.6151000001</v>
      </c>
      <c r="R2342" s="5" t="str">
        <f t="shared" si="55"/>
        <v>Soul Kitchen</v>
      </c>
      <c r="S2342" s="43" t="str">
        <f t="shared" si="56"/>
        <v>Comedy</v>
      </c>
    </row>
    <row r="2343" spans="1:19" ht="15.75" customHeight="1" x14ac:dyDescent="0.25">
      <c r="A2343" s="6" t="s">
        <v>3918</v>
      </c>
      <c r="B2343" s="6">
        <v>225</v>
      </c>
      <c r="C2343" s="6">
        <v>10907291</v>
      </c>
      <c r="D2343" s="6" t="s">
        <v>7603</v>
      </c>
      <c r="E2343" s="6" t="s">
        <v>7604</v>
      </c>
      <c r="F2343" s="6" t="s">
        <v>7605</v>
      </c>
      <c r="G2343" s="6">
        <v>23775</v>
      </c>
      <c r="H2343" s="6" t="s">
        <v>7606</v>
      </c>
      <c r="I2343" s="6">
        <v>134</v>
      </c>
      <c r="J2343" s="6" t="s">
        <v>23</v>
      </c>
      <c r="K2343" s="6" t="s">
        <v>24</v>
      </c>
      <c r="L2343" s="6">
        <v>28000000</v>
      </c>
      <c r="M2343" s="6">
        <v>2016</v>
      </c>
      <c r="N2343" s="6">
        <v>5.8</v>
      </c>
      <c r="O2343" s="4">
        <f ca="1">IFERROR(__xludf.DUMMYFUNCTION("IF(Cost_in_dollars!E2343=""USD"",Cost_in_dollars!B2343,Cost_in_dollars!B2343 * GOOGLEFINANCE(""CURRENCY:"" &amp; Cost_in_dollars!E2343 &amp; ""USD""))
"),28000000)</f>
        <v>28000000</v>
      </c>
      <c r="P2343" s="4">
        <f ca="1">IFERROR(__xludf.DUMMYFUNCTION("IF(Cost_in_dollars!E2343=""USD"",Cost_in_dollars!C2343,Cost_in_dollars!C2343 * GOOGLEFINANCE(""CURRENCY:"" &amp; Cost_in_dollars!E2343 &amp; ""USD""))
"),10907291)</f>
        <v>10907291</v>
      </c>
      <c r="Q2343" s="6">
        <f t="shared" ca="1" si="54"/>
        <v>-17092709</v>
      </c>
      <c r="R2343" s="7" t="str">
        <f t="shared" si="55"/>
        <v>Pride and Prejudice and Zombies</v>
      </c>
      <c r="S2343" s="43" t="str">
        <f t="shared" si="56"/>
        <v>Action</v>
      </c>
    </row>
    <row r="2344" spans="1:19" ht="15.75" customHeight="1" x14ac:dyDescent="0.25">
      <c r="A2344" s="4" t="s">
        <v>5028</v>
      </c>
      <c r="B2344" s="4">
        <v>249</v>
      </c>
      <c r="C2344" s="4">
        <v>17439163</v>
      </c>
      <c r="D2344" s="4" t="s">
        <v>443</v>
      </c>
      <c r="E2344" s="4" t="s">
        <v>1347</v>
      </c>
      <c r="F2344" s="4" t="s">
        <v>7607</v>
      </c>
      <c r="G2344" s="4">
        <v>537419</v>
      </c>
      <c r="H2344" s="4" t="s">
        <v>7608</v>
      </c>
      <c r="I2344" s="4">
        <v>1028</v>
      </c>
      <c r="J2344" s="4" t="s">
        <v>23</v>
      </c>
      <c r="K2344" s="4" t="s">
        <v>24</v>
      </c>
      <c r="L2344" s="4">
        <v>15000000</v>
      </c>
      <c r="M2344" s="4">
        <v>1998</v>
      </c>
      <c r="N2344" s="4">
        <v>8.1999999999999993</v>
      </c>
      <c r="O2344" s="4">
        <f ca="1">IFERROR(__xludf.DUMMYFUNCTION("IF(Cost_in_dollars!E2344=""USD"",Cost_in_dollars!B2344,Cost_in_dollars!B2344 * GOOGLEFINANCE(""CURRENCY:"" &amp; Cost_in_dollars!E2344 &amp; ""USD""))
"),15000000)</f>
        <v>15000000</v>
      </c>
      <c r="P2344" s="4">
        <f ca="1">IFERROR(__xludf.DUMMYFUNCTION("IF(Cost_in_dollars!E2344=""USD"",Cost_in_dollars!C2344,Cost_in_dollars!C2344 * GOOGLEFINANCE(""CURRENCY:"" &amp; Cost_in_dollars!E2344 &amp; ""USD""))
"),17439163)</f>
        <v>17439163</v>
      </c>
      <c r="Q2344" s="4">
        <f t="shared" ca="1" si="54"/>
        <v>2439163</v>
      </c>
      <c r="R2344" s="5" t="str">
        <f t="shared" si="55"/>
        <v>The Big Lebowski</v>
      </c>
      <c r="S2344" s="43" t="str">
        <f t="shared" si="56"/>
        <v>Comedy</v>
      </c>
    </row>
    <row r="2345" spans="1:19" ht="15.75" customHeight="1" x14ac:dyDescent="0.25">
      <c r="A2345" s="6" t="s">
        <v>1484</v>
      </c>
      <c r="B2345" s="6">
        <v>406</v>
      </c>
      <c r="C2345" s="6">
        <v>37623143</v>
      </c>
      <c r="D2345" s="6" t="s">
        <v>7609</v>
      </c>
      <c r="E2345" s="6" t="s">
        <v>7610</v>
      </c>
      <c r="F2345" s="6" t="s">
        <v>7611</v>
      </c>
      <c r="G2345" s="6">
        <v>467234</v>
      </c>
      <c r="H2345" s="6" t="s">
        <v>7612</v>
      </c>
      <c r="I2345" s="6">
        <v>1083</v>
      </c>
      <c r="J2345" s="6" t="s">
        <v>1569</v>
      </c>
      <c r="K2345" s="6" t="s">
        <v>1111</v>
      </c>
      <c r="L2345" s="6">
        <v>13500000</v>
      </c>
      <c r="M2345" s="6">
        <v>2006</v>
      </c>
      <c r="N2345" s="6">
        <v>8.1999999999999993</v>
      </c>
      <c r="O2345" s="4">
        <f ca="1">IFERROR(__xludf.DUMMYFUNCTION("IF(Cost_in_dollars!E2345=""USD"",Cost_in_dollars!B2345,Cost_in_dollars!B2345 * GOOGLEFINANCE(""CURRENCY:"" &amp; Cost_in_dollars!E2345 &amp; ""USD""))
"),14643990)</f>
        <v>14643990</v>
      </c>
      <c r="P2345" s="4">
        <f ca="1">IFERROR(__xludf.DUMMYFUNCTION("IF(Cost_in_dollars!E2345=""USD"",Cost_in_dollars!C2345,Cost_in_dollars!C2345 * GOOGLEFINANCE(""CURRENCY:"" &amp; Cost_in_dollars!E2345 &amp; ""USD""))
"),40811328.13782)</f>
        <v>40811328.137819998</v>
      </c>
      <c r="Q2345" s="6">
        <f t="shared" ca="1" si="54"/>
        <v>26167338.137819998</v>
      </c>
      <c r="R2345" s="7" t="str">
        <f t="shared" si="55"/>
        <v>Pan's Labyrinth</v>
      </c>
      <c r="S2345" s="43" t="str">
        <f t="shared" si="56"/>
        <v>Drama</v>
      </c>
    </row>
    <row r="2346" spans="1:19" ht="15.75" customHeight="1" x14ac:dyDescent="0.25">
      <c r="A2346" s="4" t="s">
        <v>7613</v>
      </c>
      <c r="B2346" s="4">
        <v>242</v>
      </c>
      <c r="C2346" s="4">
        <v>1316074</v>
      </c>
      <c r="D2346" s="4" t="s">
        <v>3980</v>
      </c>
      <c r="E2346" s="4" t="s">
        <v>7614</v>
      </c>
      <c r="F2346" s="4" t="s">
        <v>7615</v>
      </c>
      <c r="G2346" s="4">
        <v>71387</v>
      </c>
      <c r="H2346" s="4" t="s">
        <v>7616</v>
      </c>
      <c r="I2346" s="4">
        <v>228</v>
      </c>
      <c r="J2346" s="4" t="s">
        <v>23</v>
      </c>
      <c r="K2346" s="4" t="s">
        <v>24</v>
      </c>
      <c r="L2346" s="4">
        <v>100000</v>
      </c>
      <c r="M2346" s="4">
        <v>2011</v>
      </c>
      <c r="N2346" s="4">
        <v>7</v>
      </c>
      <c r="O2346" s="4">
        <f ca="1">IFERROR(__xludf.DUMMYFUNCTION("IF(Cost_in_dollars!E2346=""USD"",Cost_in_dollars!B2346,Cost_in_dollars!B2346 * GOOGLEFINANCE(""CURRENCY:"" &amp; Cost_in_dollars!E2346 &amp; ""USD""))
"),100000)</f>
        <v>100000</v>
      </c>
      <c r="P2346" s="4">
        <f ca="1">IFERROR(__xludf.DUMMYFUNCTION("IF(Cost_in_dollars!E2346=""USD"",Cost_in_dollars!C2346,Cost_in_dollars!C2346 * GOOGLEFINANCE(""CURRENCY:"" &amp; Cost_in_dollars!E2346 &amp; ""USD""))
"),1316074)</f>
        <v>1316074</v>
      </c>
      <c r="Q2346" s="4">
        <f t="shared" ca="1" si="54"/>
        <v>1216074</v>
      </c>
      <c r="R2346" s="5" t="str">
        <f t="shared" si="55"/>
        <v>Another Earth</v>
      </c>
      <c r="S2346" s="43" t="str">
        <f t="shared" si="56"/>
        <v>Drama</v>
      </c>
    </row>
    <row r="2347" spans="1:19" ht="15.75" customHeight="1" x14ac:dyDescent="0.25">
      <c r="A2347" s="6" t="s">
        <v>871</v>
      </c>
      <c r="B2347" s="6">
        <v>196</v>
      </c>
      <c r="C2347" s="6">
        <v>53789313</v>
      </c>
      <c r="D2347" s="6" t="s">
        <v>412</v>
      </c>
      <c r="E2347" s="6" t="s">
        <v>4004</v>
      </c>
      <c r="F2347" s="6" t="s">
        <v>7617</v>
      </c>
      <c r="G2347" s="6">
        <v>89816</v>
      </c>
      <c r="H2347" s="6" t="s">
        <v>7618</v>
      </c>
      <c r="I2347" s="6">
        <v>347</v>
      </c>
      <c r="J2347" s="6" t="s">
        <v>23</v>
      </c>
      <c r="K2347" s="6" t="s">
        <v>24</v>
      </c>
      <c r="L2347" s="6">
        <v>60000000</v>
      </c>
      <c r="M2347" s="6">
        <v>2003</v>
      </c>
      <c r="N2347" s="6">
        <v>6.3</v>
      </c>
      <c r="O2347" s="4">
        <f ca="1">IFERROR(__xludf.DUMMYFUNCTION("IF(Cost_in_dollars!E2347=""USD"",Cost_in_dollars!B2347,Cost_in_dollars!B2347 * GOOGLEFINANCE(""CURRENCY:"" &amp; Cost_in_dollars!E2347 &amp; ""USD""))
"),60000000)</f>
        <v>60000000</v>
      </c>
      <c r="P2347" s="4">
        <f ca="1">IFERROR(__xludf.DUMMYFUNCTION("IF(Cost_in_dollars!E2347=""USD"",Cost_in_dollars!C2347,Cost_in_dollars!C2347 * GOOGLEFINANCE(""CURRENCY:"" &amp; Cost_in_dollars!E2347 &amp; ""USD""))
"),53789313)</f>
        <v>53789313</v>
      </c>
      <c r="Q2347" s="6">
        <f t="shared" ca="1" si="54"/>
        <v>-6210687</v>
      </c>
      <c r="R2347" s="7" t="str">
        <f t="shared" si="55"/>
        <v>Paycheck</v>
      </c>
      <c r="S2347" s="43" t="str">
        <f t="shared" si="56"/>
        <v>Action</v>
      </c>
    </row>
    <row r="2348" spans="1:19" ht="15.75" customHeight="1" x14ac:dyDescent="0.25">
      <c r="A2348" s="4" t="s">
        <v>7619</v>
      </c>
      <c r="B2348" s="4">
        <v>97</v>
      </c>
      <c r="C2348" s="4">
        <v>10149779</v>
      </c>
      <c r="D2348" s="4" t="s">
        <v>1020</v>
      </c>
      <c r="E2348" s="4" t="s">
        <v>7620</v>
      </c>
      <c r="F2348" s="4" t="s">
        <v>7621</v>
      </c>
      <c r="G2348" s="4">
        <v>8294</v>
      </c>
      <c r="H2348" s="4" t="s">
        <v>7622</v>
      </c>
      <c r="I2348" s="4">
        <v>160</v>
      </c>
      <c r="J2348" s="4" t="s">
        <v>23</v>
      </c>
      <c r="K2348" s="4" t="s">
        <v>24</v>
      </c>
      <c r="L2348" s="4">
        <v>6500000</v>
      </c>
      <c r="M2348" s="4">
        <v>1999</v>
      </c>
      <c r="N2348" s="4">
        <v>3.6</v>
      </c>
      <c r="O2348" s="4">
        <f ca="1">IFERROR(__xludf.DUMMYFUNCTION("IF(Cost_in_dollars!E2348=""USD"",Cost_in_dollars!B2348,Cost_in_dollars!B2348 * GOOGLEFINANCE(""CURRENCY:"" &amp; Cost_in_dollars!E2348 &amp; ""USD""))
"),6500000)</f>
        <v>6500000</v>
      </c>
      <c r="P2348" s="4">
        <f ca="1">IFERROR(__xludf.DUMMYFUNCTION("IF(Cost_in_dollars!E2348=""USD"",Cost_in_dollars!C2348,Cost_in_dollars!C2348 * GOOGLEFINANCE(""CURRENCY:"" &amp; Cost_in_dollars!E2348 &amp; ""USD""))
"),10149779)</f>
        <v>10149779</v>
      </c>
      <c r="Q2348" s="4">
        <f t="shared" ca="1" si="54"/>
        <v>3649779</v>
      </c>
      <c r="R2348" s="5" t="str">
        <f t="shared" si="55"/>
        <v>Bats</v>
      </c>
      <c r="S2348" s="43" t="str">
        <f t="shared" si="56"/>
        <v>Horror</v>
      </c>
    </row>
    <row r="2349" spans="1:19" ht="15.75" customHeight="1" x14ac:dyDescent="0.25">
      <c r="A2349" s="6" t="s">
        <v>1258</v>
      </c>
      <c r="B2349" s="6">
        <v>94</v>
      </c>
      <c r="C2349" s="6">
        <v>1754319</v>
      </c>
      <c r="D2349" s="6" t="s">
        <v>235</v>
      </c>
      <c r="E2349" s="6" t="s">
        <v>2527</v>
      </c>
      <c r="F2349" s="6" t="s">
        <v>7623</v>
      </c>
      <c r="G2349" s="6">
        <v>13174</v>
      </c>
      <c r="H2349" s="6" t="s">
        <v>7624</v>
      </c>
      <c r="I2349" s="6">
        <v>81</v>
      </c>
      <c r="J2349" s="6" t="s">
        <v>23</v>
      </c>
      <c r="K2349" s="6" t="s">
        <v>24</v>
      </c>
      <c r="L2349" s="6">
        <v>10000000</v>
      </c>
      <c r="M2349" s="6">
        <v>2011</v>
      </c>
      <c r="N2349" s="6">
        <v>7.2</v>
      </c>
      <c r="O2349" s="4">
        <f ca="1">IFERROR(__xludf.DUMMYFUNCTION("IF(Cost_in_dollars!E2349=""USD"",Cost_in_dollars!B2349,Cost_in_dollars!B2349 * GOOGLEFINANCE(""CURRENCY:"" &amp; Cost_in_dollars!E2349 &amp; ""USD""))
"),10000000)</f>
        <v>10000000</v>
      </c>
      <c r="P2349" s="4">
        <f ca="1">IFERROR(__xludf.DUMMYFUNCTION("IF(Cost_in_dollars!E2349=""USD"",Cost_in_dollars!C2349,Cost_in_dollars!C2349 * GOOGLEFINANCE(""CURRENCY:"" &amp; Cost_in_dollars!E2349 &amp; ""USD""))
"),1754319)</f>
        <v>1754319</v>
      </c>
      <c r="Q2349" s="6">
        <f t="shared" ca="1" si="54"/>
        <v>-8245681</v>
      </c>
      <c r="R2349" s="7" t="str">
        <f t="shared" si="55"/>
        <v>A Better Life</v>
      </c>
      <c r="S2349" s="43" t="str">
        <f t="shared" si="56"/>
        <v>Drama</v>
      </c>
    </row>
    <row r="2350" spans="1:19" ht="15.75" customHeight="1" x14ac:dyDescent="0.25">
      <c r="A2350" s="4" t="s">
        <v>1607</v>
      </c>
      <c r="B2350" s="4">
        <v>113</v>
      </c>
      <c r="C2350" s="4">
        <v>54997476</v>
      </c>
      <c r="D2350" s="4" t="s">
        <v>438</v>
      </c>
      <c r="E2350" s="4" t="s">
        <v>112</v>
      </c>
      <c r="F2350" s="4" t="s">
        <v>7625</v>
      </c>
      <c r="G2350" s="4">
        <v>40362</v>
      </c>
      <c r="H2350" s="4" t="s">
        <v>7626</v>
      </c>
      <c r="I2350" s="4">
        <v>248</v>
      </c>
      <c r="J2350" s="4" t="s">
        <v>23</v>
      </c>
      <c r="K2350" s="4" t="s">
        <v>24</v>
      </c>
      <c r="L2350" s="4">
        <v>50000000</v>
      </c>
      <c r="M2350" s="4">
        <v>2001</v>
      </c>
      <c r="N2350" s="4">
        <v>6.3</v>
      </c>
      <c r="O2350" s="4">
        <f ca="1">IFERROR(__xludf.DUMMYFUNCTION("IF(Cost_in_dollars!E2350=""USD"",Cost_in_dollars!B2350,Cost_in_dollars!B2350 * GOOGLEFINANCE(""CURRENCY:"" &amp; Cost_in_dollars!E2350 &amp; ""USD""))
"),50000000)</f>
        <v>50000000</v>
      </c>
      <c r="P2350" s="4">
        <f ca="1">IFERROR(__xludf.DUMMYFUNCTION("IF(Cost_in_dollars!E2350=""USD"",Cost_in_dollars!C2350,Cost_in_dollars!C2350 * GOOGLEFINANCE(""CURRENCY:"" &amp; Cost_in_dollars!E2350 &amp; ""USD""))
"),54997476)</f>
        <v>54997476</v>
      </c>
      <c r="Q2350" s="4">
        <f t="shared" ca="1" si="54"/>
        <v>4997476</v>
      </c>
      <c r="R2350" s="5" t="str">
        <f t="shared" si="55"/>
        <v>Don't Say a Word</v>
      </c>
      <c r="S2350" s="43" t="str">
        <f t="shared" si="56"/>
        <v>Crime</v>
      </c>
    </row>
    <row r="2351" spans="1:19" ht="15.75" customHeight="1" x14ac:dyDescent="0.25">
      <c r="A2351" s="6" t="s">
        <v>2550</v>
      </c>
      <c r="B2351" s="6">
        <v>159</v>
      </c>
      <c r="C2351" s="6">
        <v>28831145</v>
      </c>
      <c r="D2351" s="6" t="s">
        <v>135</v>
      </c>
      <c r="E2351" s="6" t="s">
        <v>865</v>
      </c>
      <c r="F2351" s="6" t="s">
        <v>7627</v>
      </c>
      <c r="G2351" s="6">
        <v>39357</v>
      </c>
      <c r="H2351" s="6" t="s">
        <v>7628</v>
      </c>
      <c r="I2351" s="6">
        <v>113</v>
      </c>
      <c r="J2351" s="6" t="s">
        <v>23</v>
      </c>
      <c r="K2351" s="6" t="s">
        <v>24</v>
      </c>
      <c r="L2351" s="6">
        <v>25000000</v>
      </c>
      <c r="M2351" s="6">
        <v>2014</v>
      </c>
      <c r="N2351" s="6">
        <v>6.8</v>
      </c>
      <c r="O2351" s="4">
        <f ca="1">IFERROR(__xludf.DUMMYFUNCTION("IF(Cost_in_dollars!E2351=""USD"",Cost_in_dollars!B2351,Cost_in_dollars!B2351 * GOOGLEFINANCE(""CURRENCY:"" &amp; Cost_in_dollars!E2351 &amp; ""USD""))
"),25000000)</f>
        <v>25000000</v>
      </c>
      <c r="P2351" s="4">
        <f ca="1">IFERROR(__xludf.DUMMYFUNCTION("IF(Cost_in_dollars!E2351=""USD"",Cost_in_dollars!C2351,Cost_in_dollars!C2351 * GOOGLEFINANCE(""CURRENCY:"" &amp; Cost_in_dollars!E2351 &amp; ""USD""))
"),28831145)</f>
        <v>28831145</v>
      </c>
      <c r="Q2351" s="6">
        <f t="shared" ca="1" si="54"/>
        <v>3831145</v>
      </c>
      <c r="R2351" s="7" t="str">
        <f t="shared" si="55"/>
        <v>Draft Day</v>
      </c>
      <c r="S2351" s="43" t="str">
        <f t="shared" si="56"/>
        <v>Drama</v>
      </c>
    </row>
    <row r="2352" spans="1:19" ht="15.75" customHeight="1" x14ac:dyDescent="0.25">
      <c r="A2352" s="4" t="s">
        <v>77</v>
      </c>
      <c r="B2352" s="4">
        <v>46</v>
      </c>
      <c r="C2352" s="4">
        <v>1997807</v>
      </c>
      <c r="D2352" s="4" t="s">
        <v>3098</v>
      </c>
      <c r="E2352" s="4" t="s">
        <v>7629</v>
      </c>
      <c r="F2352" s="4" t="s">
        <v>7630</v>
      </c>
      <c r="G2352" s="4">
        <v>5158</v>
      </c>
      <c r="H2352" s="4" t="s">
        <v>7631</v>
      </c>
      <c r="I2352" s="4">
        <v>140</v>
      </c>
      <c r="J2352" s="4" t="s">
        <v>23</v>
      </c>
      <c r="K2352" s="4" t="s">
        <v>24</v>
      </c>
      <c r="L2352" s="4">
        <v>8000000</v>
      </c>
      <c r="M2352" s="4">
        <v>1999</v>
      </c>
      <c r="N2352" s="4">
        <v>7.1</v>
      </c>
      <c r="O2352" s="4">
        <f ca="1">IFERROR(__xludf.DUMMYFUNCTION("IF(Cost_in_dollars!E2352=""USD"",Cost_in_dollars!B2352,Cost_in_dollars!B2352 * GOOGLEFINANCE(""CURRENCY:"" &amp; Cost_in_dollars!E2352 &amp; ""USD""))
"),8000000)</f>
        <v>8000000</v>
      </c>
      <c r="P2352" s="4">
        <f ca="1">IFERROR(__xludf.DUMMYFUNCTION("IF(Cost_in_dollars!E2352=""USD"",Cost_in_dollars!C2352,Cost_in_dollars!C2352 * GOOGLEFINANCE(""CURRENCY:"" &amp; Cost_in_dollars!E2352 &amp; ""USD""))
"),1997807)</f>
        <v>1997807</v>
      </c>
      <c r="Q2352" s="4">
        <f t="shared" ca="1" si="54"/>
        <v>-6002193</v>
      </c>
      <c r="R2352" s="5" t="str">
        <f t="shared" si="55"/>
        <v>Limbo</v>
      </c>
      <c r="S2352" s="43" t="str">
        <f t="shared" si="56"/>
        <v>Adventure</v>
      </c>
    </row>
    <row r="2353" spans="1:19" ht="15.75" customHeight="1" x14ac:dyDescent="0.25">
      <c r="A2353" s="6" t="s">
        <v>7632</v>
      </c>
      <c r="B2353" s="6">
        <v>436</v>
      </c>
      <c r="C2353" s="6">
        <v>113165635</v>
      </c>
      <c r="D2353" s="6" t="s">
        <v>477</v>
      </c>
      <c r="E2353" s="6" t="s">
        <v>483</v>
      </c>
      <c r="F2353" s="6" t="s">
        <v>7633</v>
      </c>
      <c r="G2353" s="6">
        <v>229823</v>
      </c>
      <c r="H2353" s="6" t="s">
        <v>7634</v>
      </c>
      <c r="I2353" s="6">
        <v>504</v>
      </c>
      <c r="J2353" s="6" t="s">
        <v>23</v>
      </c>
      <c r="K2353" s="6" t="s">
        <v>24</v>
      </c>
      <c r="L2353" s="6">
        <v>125000000</v>
      </c>
      <c r="M2353" s="6">
        <v>2012</v>
      </c>
      <c r="N2353" s="6">
        <v>6.7</v>
      </c>
      <c r="O2353" s="4">
        <f ca="1">IFERROR(__xludf.DUMMYFUNCTION("IF(Cost_in_dollars!E2353=""USD"",Cost_in_dollars!B2353,Cost_in_dollars!B2353 * GOOGLEFINANCE(""CURRENCY:"" &amp; Cost_in_dollars!E2353 &amp; ""USD""))
"),125000000)</f>
        <v>125000000</v>
      </c>
      <c r="P2353" s="4">
        <f ca="1">IFERROR(__xludf.DUMMYFUNCTION("IF(Cost_in_dollars!E2353=""USD"",Cost_in_dollars!C2353,Cost_in_dollars!C2353 * GOOGLEFINANCE(""CURRENCY:"" &amp; Cost_in_dollars!E2353 &amp; ""USD""))
"),113165635)</f>
        <v>113165635</v>
      </c>
      <c r="Q2353" s="6">
        <f t="shared" ca="1" si="54"/>
        <v>-11834365</v>
      </c>
      <c r="R2353" s="7" t="str">
        <f t="shared" si="55"/>
        <v>The Bourne Legacy</v>
      </c>
      <c r="S2353" s="43" t="str">
        <f t="shared" si="56"/>
        <v>Action</v>
      </c>
    </row>
    <row r="2354" spans="1:19" ht="15.75" customHeight="1" x14ac:dyDescent="0.25">
      <c r="A2354" s="4" t="s">
        <v>4066</v>
      </c>
      <c r="B2354" s="4">
        <v>119</v>
      </c>
      <c r="C2354" s="4">
        <v>11008432</v>
      </c>
      <c r="D2354" s="4" t="s">
        <v>1127</v>
      </c>
      <c r="E2354" s="4" t="s">
        <v>1159</v>
      </c>
      <c r="F2354" s="4" t="s">
        <v>7635</v>
      </c>
      <c r="G2354" s="4">
        <v>43903</v>
      </c>
      <c r="H2354" s="4" t="s">
        <v>7636</v>
      </c>
      <c r="I2354" s="4">
        <v>194</v>
      </c>
      <c r="J2354" s="4" t="s">
        <v>23</v>
      </c>
      <c r="K2354" s="4" t="s">
        <v>24</v>
      </c>
      <c r="L2354" s="4">
        <v>25000000</v>
      </c>
      <c r="M2354" s="4">
        <v>2005</v>
      </c>
      <c r="N2354" s="4">
        <v>7.1</v>
      </c>
      <c r="O2354" s="4">
        <f ca="1">IFERROR(__xludf.DUMMYFUNCTION("IF(Cost_in_dollars!E2354=""USD"",Cost_in_dollars!B2354,Cost_in_dollars!B2354 * GOOGLEFINANCE(""CURRENCY:"" &amp; Cost_in_dollars!E2354 &amp; ""USD""))
"),25000000)</f>
        <v>25000000</v>
      </c>
      <c r="P2354" s="4">
        <f ca="1">IFERROR(__xludf.DUMMYFUNCTION("IF(Cost_in_dollars!E2354=""USD"",Cost_in_dollars!C2354,Cost_in_dollars!C2354 * GOOGLEFINANCE(""CURRENCY:"" &amp; Cost_in_dollars!E2354 &amp; ""USD""))
"),11008432)</f>
        <v>11008432</v>
      </c>
      <c r="Q2354" s="4">
        <f t="shared" ca="1" si="54"/>
        <v>-13991568</v>
      </c>
      <c r="R2354" s="5" t="str">
        <f t="shared" si="55"/>
        <v>Lords of Dogtown</v>
      </c>
      <c r="S2354" s="43" t="str">
        <f t="shared" si="56"/>
        <v>Biography</v>
      </c>
    </row>
    <row r="2355" spans="1:19" ht="15.75" customHeight="1" x14ac:dyDescent="0.25">
      <c r="A2355" s="6" t="s">
        <v>1126</v>
      </c>
      <c r="B2355" s="6">
        <v>205</v>
      </c>
      <c r="C2355" s="6">
        <v>170708996</v>
      </c>
      <c r="D2355" s="6" t="s">
        <v>362</v>
      </c>
      <c r="E2355" s="6" t="s">
        <v>789</v>
      </c>
      <c r="F2355" s="6" t="s">
        <v>7637</v>
      </c>
      <c r="G2355" s="6">
        <v>610568</v>
      </c>
      <c r="H2355" s="6" t="s">
        <v>7638</v>
      </c>
      <c r="I2355" s="6">
        <v>1171</v>
      </c>
      <c r="J2355" s="6" t="s">
        <v>23</v>
      </c>
      <c r="K2355" s="6" t="s">
        <v>24</v>
      </c>
      <c r="L2355" s="6">
        <v>58000000</v>
      </c>
      <c r="M2355" s="6">
        <v>2001</v>
      </c>
      <c r="N2355" s="6">
        <v>8.1999999999999993</v>
      </c>
      <c r="O2355" s="4">
        <f ca="1">IFERROR(__xludf.DUMMYFUNCTION("IF(Cost_in_dollars!E2355=""USD"",Cost_in_dollars!B2355,Cost_in_dollars!B2355 * GOOGLEFINANCE(""CURRENCY:"" &amp; Cost_in_dollars!E2355 &amp; ""USD""))
"),58000000)</f>
        <v>58000000</v>
      </c>
      <c r="P2355" s="4">
        <f ca="1">IFERROR(__xludf.DUMMYFUNCTION("IF(Cost_in_dollars!E2355=""USD"",Cost_in_dollars!C2355,Cost_in_dollars!C2355 * GOOGLEFINANCE(""CURRENCY:"" &amp; Cost_in_dollars!E2355 &amp; ""USD""))
"),170708996)</f>
        <v>170708996</v>
      </c>
      <c r="Q2355" s="6">
        <f t="shared" ca="1" si="54"/>
        <v>112708996</v>
      </c>
      <c r="R2355" s="7" t="str">
        <f t="shared" si="55"/>
        <v>A Beautiful Mind</v>
      </c>
      <c r="S2355" s="43" t="str">
        <f t="shared" si="56"/>
        <v>Biography</v>
      </c>
    </row>
    <row r="2356" spans="1:19" ht="15.75" customHeight="1" x14ac:dyDescent="0.25">
      <c r="A2356" s="4" t="s">
        <v>1755</v>
      </c>
      <c r="B2356" s="4">
        <v>218</v>
      </c>
      <c r="C2356" s="4">
        <v>5306447</v>
      </c>
      <c r="D2356" s="4" t="s">
        <v>88</v>
      </c>
      <c r="E2356" s="4" t="s">
        <v>7639</v>
      </c>
      <c r="F2356" s="4" t="s">
        <v>7640</v>
      </c>
      <c r="G2356" s="4">
        <v>58967</v>
      </c>
      <c r="H2356" s="4" t="s">
        <v>7641</v>
      </c>
      <c r="I2356" s="4">
        <v>169</v>
      </c>
      <c r="J2356" s="4" t="s">
        <v>23</v>
      </c>
      <c r="K2356" s="4" t="s">
        <v>24</v>
      </c>
      <c r="L2356" s="4">
        <v>15000000</v>
      </c>
      <c r="M2356" s="4">
        <v>2009</v>
      </c>
      <c r="N2356" s="4">
        <v>7.2</v>
      </c>
      <c r="O2356" s="4">
        <f ca="1">IFERROR(__xludf.DUMMYFUNCTION("IF(Cost_in_dollars!E2356=""USD"",Cost_in_dollars!B2356,Cost_in_dollars!B2356 * GOOGLEFINANCE(""CURRENCY:"" &amp; Cost_in_dollars!E2356 &amp; ""USD""))
"),15000000)</f>
        <v>15000000</v>
      </c>
      <c r="P2356" s="4">
        <f ca="1">IFERROR(__xludf.DUMMYFUNCTION("IF(Cost_in_dollars!E2356=""USD"",Cost_in_dollars!C2356,Cost_in_dollars!C2356 * GOOGLEFINANCE(""CURRENCY:"" &amp; Cost_in_dollars!E2356 &amp; ""USD""))
"),5306447)</f>
        <v>5306447</v>
      </c>
      <c r="Q2356" s="4">
        <f t="shared" ca="1" si="54"/>
        <v>-9693553</v>
      </c>
      <c r="R2356" s="5" t="str">
        <f t="shared" si="55"/>
        <v>Whatever Works</v>
      </c>
      <c r="S2356" s="43" t="str">
        <f t="shared" si="56"/>
        <v>Comedy</v>
      </c>
    </row>
    <row r="2357" spans="1:19" ht="15.75" customHeight="1" x14ac:dyDescent="0.25">
      <c r="A2357" s="6" t="s">
        <v>7642</v>
      </c>
      <c r="B2357" s="6">
        <v>256</v>
      </c>
      <c r="C2357" s="6">
        <v>131175</v>
      </c>
      <c r="D2357" s="6" t="s">
        <v>1476</v>
      </c>
      <c r="E2357" s="6" t="s">
        <v>5252</v>
      </c>
      <c r="F2357" s="6" t="s">
        <v>7643</v>
      </c>
      <c r="G2357" s="6">
        <v>30219</v>
      </c>
      <c r="H2357" s="6" t="s">
        <v>7644</v>
      </c>
      <c r="I2357" s="6">
        <v>200</v>
      </c>
      <c r="J2357" s="6" t="s">
        <v>23</v>
      </c>
      <c r="K2357" s="6" t="s">
        <v>24</v>
      </c>
      <c r="L2357" s="6">
        <v>8500000</v>
      </c>
      <c r="M2357" s="6">
        <v>2015</v>
      </c>
      <c r="N2357" s="6">
        <v>5.6</v>
      </c>
      <c r="O2357" s="4">
        <f ca="1">IFERROR(__xludf.DUMMYFUNCTION("IF(Cost_in_dollars!E2357=""USD"",Cost_in_dollars!B2357,Cost_in_dollars!B2357 * GOOGLEFINANCE(""CURRENCY:"" &amp; Cost_in_dollars!E2357 &amp; ""USD""))
"),8500000)</f>
        <v>8500000</v>
      </c>
      <c r="P2357" s="4">
        <f ca="1">IFERROR(__xludf.DUMMYFUNCTION("IF(Cost_in_dollars!E2357=""USD"",Cost_in_dollars!C2357,Cost_in_dollars!C2357 * GOOGLEFINANCE(""CURRENCY:"" &amp; Cost_in_dollars!E2357 &amp; ""USD""))
"),131175)</f>
        <v>131175</v>
      </c>
      <c r="Q2357" s="6">
        <f t="shared" ca="1" si="54"/>
        <v>-8368825</v>
      </c>
      <c r="R2357" s="7" t="str">
        <f t="shared" si="55"/>
        <v>Maggie</v>
      </c>
      <c r="S2357" s="43" t="str">
        <f t="shared" si="56"/>
        <v>Drama</v>
      </c>
    </row>
    <row r="2358" spans="1:19" ht="15.75" customHeight="1" x14ac:dyDescent="0.25">
      <c r="A2358" s="4" t="s">
        <v>3825</v>
      </c>
      <c r="B2358" s="4">
        <v>134</v>
      </c>
      <c r="C2358" s="4">
        <v>16501785</v>
      </c>
      <c r="D2358" s="4" t="s">
        <v>102</v>
      </c>
      <c r="E2358" s="4" t="s">
        <v>7645</v>
      </c>
      <c r="F2358" s="4" t="s">
        <v>7646</v>
      </c>
      <c r="G2358" s="4">
        <v>469561</v>
      </c>
      <c r="H2358" s="4" t="s">
        <v>7647</v>
      </c>
      <c r="I2358" s="4">
        <v>514</v>
      </c>
      <c r="J2358" s="4" t="s">
        <v>23</v>
      </c>
      <c r="K2358" s="4" t="s">
        <v>133</v>
      </c>
      <c r="L2358" s="4">
        <v>3500000</v>
      </c>
      <c r="M2358" s="4">
        <v>1996</v>
      </c>
      <c r="N2358" s="4">
        <v>8.1999999999999993</v>
      </c>
      <c r="O2358" s="4">
        <f ca="1">IFERROR(__xludf.DUMMYFUNCTION("IF(Cost_in_dollars!E2358=""USD"",Cost_in_dollars!B2358,Cost_in_dollars!B2358 * GOOGLEFINANCE(""CURRENCY:"" &amp; Cost_in_dollars!E2358 &amp; ""USD""))
"),4498900)</f>
        <v>4498900</v>
      </c>
      <c r="P2358" s="4">
        <f ca="1">IFERROR(__xludf.DUMMYFUNCTION("IF(Cost_in_dollars!E2358=""USD"",Cost_in_dollars!C2358,Cost_in_dollars!C2358 * GOOGLEFINANCE(""CURRENCY:"" &amp; Cost_in_dollars!E2358 &amp; ""USD""))
"),21211394.439)</f>
        <v>21211394.438999999</v>
      </c>
      <c r="Q2358" s="4">
        <f t="shared" ca="1" si="54"/>
        <v>16712494.438999999</v>
      </c>
      <c r="R2358" s="5" t="str">
        <f t="shared" si="55"/>
        <v>Trainspotting</v>
      </c>
      <c r="S2358" s="43" t="str">
        <f t="shared" si="56"/>
        <v>Drama</v>
      </c>
    </row>
    <row r="2359" spans="1:19" ht="15.75" customHeight="1" x14ac:dyDescent="0.25">
      <c r="A2359" s="6" t="s">
        <v>6019</v>
      </c>
      <c r="B2359" s="6">
        <v>54</v>
      </c>
      <c r="C2359" s="6">
        <v>2964</v>
      </c>
      <c r="D2359" s="6" t="s">
        <v>7648</v>
      </c>
      <c r="E2359" s="6" t="s">
        <v>1063</v>
      </c>
      <c r="F2359" s="6" t="s">
        <v>7649</v>
      </c>
      <c r="G2359" s="6">
        <v>7444</v>
      </c>
      <c r="H2359" s="6" t="s">
        <v>7650</v>
      </c>
      <c r="I2359" s="6">
        <v>42</v>
      </c>
      <c r="J2359" s="6" t="s">
        <v>23</v>
      </c>
      <c r="K2359" s="6" t="s">
        <v>24</v>
      </c>
      <c r="L2359" s="6">
        <v>16000000</v>
      </c>
      <c r="M2359" s="6">
        <v>2012</v>
      </c>
      <c r="N2359" s="6">
        <v>5.0999999999999996</v>
      </c>
      <c r="O2359" s="4">
        <f ca="1">IFERROR(__xludf.DUMMYFUNCTION("IF(Cost_in_dollars!E2359=""USD"",Cost_in_dollars!B2359,Cost_in_dollars!B2359 * GOOGLEFINANCE(""CURRENCY:"" &amp; Cost_in_dollars!E2359 &amp; ""USD""))
"),16000000)</f>
        <v>16000000</v>
      </c>
      <c r="P2359" s="4">
        <f ca="1">IFERROR(__xludf.DUMMYFUNCTION("IF(Cost_in_dollars!E2359=""USD"",Cost_in_dollars!C2359,Cost_in_dollars!C2359 * GOOGLEFINANCE(""CURRENCY:"" &amp; Cost_in_dollars!E2359 &amp; ""USD""))
"),2964)</f>
        <v>2964</v>
      </c>
      <c r="Q2359" s="6">
        <f t="shared" ca="1" si="54"/>
        <v>-15997036</v>
      </c>
      <c r="R2359" s="7" t="str">
        <f t="shared" si="55"/>
        <v>Vamps</v>
      </c>
      <c r="S2359" s="43" t="str">
        <f t="shared" si="56"/>
        <v>Comedy</v>
      </c>
    </row>
    <row r="2360" spans="1:19" ht="15.75" customHeight="1" x14ac:dyDescent="0.25">
      <c r="A2360" s="4" t="s">
        <v>7651</v>
      </c>
      <c r="B2360" s="4">
        <v>29</v>
      </c>
      <c r="C2360" s="4">
        <v>20773070</v>
      </c>
      <c r="D2360" s="4" t="s">
        <v>102</v>
      </c>
      <c r="E2360" s="4" t="s">
        <v>7652</v>
      </c>
      <c r="F2360" s="4" t="s">
        <v>7653</v>
      </c>
      <c r="G2360" s="4">
        <v>4501</v>
      </c>
      <c r="H2360" s="4" t="s">
        <v>7654</v>
      </c>
      <c r="I2360" s="4">
        <v>102</v>
      </c>
      <c r="J2360" s="4" t="s">
        <v>23</v>
      </c>
      <c r="K2360" s="4" t="s">
        <v>24</v>
      </c>
      <c r="L2360" s="4">
        <v>5000000</v>
      </c>
      <c r="M2360" s="4">
        <v>2016</v>
      </c>
      <c r="N2360" s="4">
        <v>3.4</v>
      </c>
      <c r="O2360" s="4">
        <f ca="1">IFERROR(__xludf.DUMMYFUNCTION("IF(Cost_in_dollars!E2360=""USD"",Cost_in_dollars!B2360,Cost_in_dollars!B2360 * GOOGLEFINANCE(""CURRENCY:"" &amp; Cost_in_dollars!E2360 &amp; ""USD""))
"),5000000)</f>
        <v>5000000</v>
      </c>
      <c r="P2360" s="4">
        <f ca="1">IFERROR(__xludf.DUMMYFUNCTION("IF(Cost_in_dollars!E2360=""USD"",Cost_in_dollars!C2360,Cost_in_dollars!C2360 * GOOGLEFINANCE(""CURRENCY:"" &amp; Cost_in_dollars!E2360 &amp; ""USD""))
"),20773070)</f>
        <v>20773070</v>
      </c>
      <c r="Q2360" s="4">
        <f t="shared" ca="1" si="54"/>
        <v>15773070</v>
      </c>
      <c r="R2360" s="5" t="str">
        <f t="shared" si="55"/>
        <v>God's Not Dead 2</v>
      </c>
      <c r="S2360" s="43" t="str">
        <f t="shared" si="56"/>
        <v>Drama</v>
      </c>
    </row>
    <row r="2361" spans="1:19" ht="15.75" customHeight="1" x14ac:dyDescent="0.25">
      <c r="A2361" s="6" t="s">
        <v>7655</v>
      </c>
      <c r="B2361" s="6">
        <v>64</v>
      </c>
      <c r="C2361" s="6">
        <v>1141829</v>
      </c>
      <c r="D2361" s="6" t="s">
        <v>53</v>
      </c>
      <c r="E2361" s="6" t="s">
        <v>7656</v>
      </c>
      <c r="F2361" s="6" t="s">
        <v>7657</v>
      </c>
      <c r="G2361" s="6">
        <v>8509</v>
      </c>
      <c r="H2361" s="6" t="s">
        <v>7658</v>
      </c>
      <c r="I2361" s="6">
        <v>109</v>
      </c>
      <c r="J2361" s="6" t="s">
        <v>23</v>
      </c>
      <c r="K2361" s="6" t="s">
        <v>24</v>
      </c>
      <c r="L2361" s="6">
        <v>700000</v>
      </c>
      <c r="M2361" s="6">
        <v>2001</v>
      </c>
      <c r="N2361" s="6">
        <v>7.2</v>
      </c>
      <c r="O2361" s="4">
        <f ca="1">IFERROR(__xludf.DUMMYFUNCTION("IF(Cost_in_dollars!E2361=""USD"",Cost_in_dollars!B2361,Cost_in_dollars!B2361 * GOOGLEFINANCE(""CURRENCY:"" &amp; Cost_in_dollars!E2361 &amp; ""USD""))
"),700000)</f>
        <v>700000</v>
      </c>
      <c r="P2361" s="4">
        <f ca="1">IFERROR(__xludf.DUMMYFUNCTION("IF(Cost_in_dollars!E2361=""USD"",Cost_in_dollars!C2361,Cost_in_dollars!C2361 * GOOGLEFINANCE(""CURRENCY:"" &amp; Cost_in_dollars!E2361 &amp; ""USD""))
"),1141829)</f>
        <v>1141829</v>
      </c>
      <c r="Q2361" s="6">
        <f t="shared" ca="1" si="54"/>
        <v>441829</v>
      </c>
      <c r="R2361" s="7" t="str">
        <f t="shared" si="55"/>
        <v>L.I.E.</v>
      </c>
      <c r="S2361" s="43" t="str">
        <f t="shared" si="56"/>
        <v>Crime</v>
      </c>
    </row>
    <row r="2362" spans="1:19" ht="15.75" customHeight="1" x14ac:dyDescent="0.25">
      <c r="A2362" s="4" t="s">
        <v>7659</v>
      </c>
      <c r="B2362" s="4">
        <v>172</v>
      </c>
      <c r="C2362" s="4">
        <v>43119879</v>
      </c>
      <c r="D2362" s="4" t="s">
        <v>797</v>
      </c>
      <c r="E2362" s="4" t="s">
        <v>1649</v>
      </c>
      <c r="F2362" s="4" t="s">
        <v>7660</v>
      </c>
      <c r="G2362" s="4">
        <v>58450</v>
      </c>
      <c r="H2362" s="4" t="s">
        <v>7661</v>
      </c>
      <c r="I2362" s="4">
        <v>842</v>
      </c>
      <c r="J2362" s="4" t="s">
        <v>23</v>
      </c>
      <c r="K2362" s="4" t="s">
        <v>24</v>
      </c>
      <c r="L2362" s="4">
        <v>60000000</v>
      </c>
      <c r="M2362" s="4">
        <v>2002</v>
      </c>
      <c r="N2362" s="4">
        <v>6.4</v>
      </c>
      <c r="O2362" s="4">
        <f ca="1">IFERROR(__xludf.DUMMYFUNCTION("IF(Cost_in_dollars!E2362=""USD"",Cost_in_dollars!B2362,Cost_in_dollars!B2362 * GOOGLEFINANCE(""CURRENCY:"" &amp; Cost_in_dollars!E2362 &amp; ""USD""))
"),60000000)</f>
        <v>60000000</v>
      </c>
      <c r="P2362" s="4">
        <f ca="1">IFERROR(__xludf.DUMMYFUNCTION("IF(Cost_in_dollars!E2362=""USD"",Cost_in_dollars!C2362,Cost_in_dollars!C2362 * GOOGLEFINANCE(""CURRENCY:"" &amp; Cost_in_dollars!E2362 &amp; ""USD""))
"),43119879)</f>
        <v>43119879</v>
      </c>
      <c r="Q2362" s="4">
        <f t="shared" ca="1" si="54"/>
        <v>-16880121</v>
      </c>
      <c r="R2362" s="5" t="str">
        <f t="shared" si="55"/>
        <v>Star Trek: Nemesis</v>
      </c>
      <c r="S2362" s="43" t="str">
        <f t="shared" si="56"/>
        <v>Action</v>
      </c>
    </row>
    <row r="2363" spans="1:19" ht="15.75" customHeight="1" x14ac:dyDescent="0.25">
      <c r="A2363" s="6" t="s">
        <v>7662</v>
      </c>
      <c r="B2363" s="6">
        <v>33</v>
      </c>
      <c r="C2363" s="6">
        <v>1310270</v>
      </c>
      <c r="D2363" s="6" t="s">
        <v>7663</v>
      </c>
      <c r="E2363" s="6" t="s">
        <v>7664</v>
      </c>
      <c r="F2363" s="6" t="s">
        <v>7665</v>
      </c>
      <c r="G2363" s="6">
        <v>17725</v>
      </c>
      <c r="H2363" s="6" t="s">
        <v>7666</v>
      </c>
      <c r="I2363" s="6">
        <v>157</v>
      </c>
      <c r="J2363" s="6" t="s">
        <v>23</v>
      </c>
      <c r="K2363" s="6" t="s">
        <v>24</v>
      </c>
      <c r="L2363" s="6">
        <v>780000</v>
      </c>
      <c r="M2363" s="6">
        <v>2003</v>
      </c>
      <c r="N2363" s="6">
        <v>6.8</v>
      </c>
      <c r="O2363" s="4">
        <f ca="1">IFERROR(__xludf.DUMMYFUNCTION("IF(Cost_in_dollars!E2363=""USD"",Cost_in_dollars!B2363,Cost_in_dollars!B2363 * GOOGLEFINANCE(""CURRENCY:"" &amp; Cost_in_dollars!E2363 &amp; ""USD""))
"),780000)</f>
        <v>780000</v>
      </c>
      <c r="P2363" s="4">
        <f ca="1">IFERROR(__xludf.DUMMYFUNCTION("IF(Cost_in_dollars!E2363=""USD"",Cost_in_dollars!C2363,Cost_in_dollars!C2363 * GOOGLEFINANCE(""CURRENCY:"" &amp; Cost_in_dollars!E2363 &amp; ""USD""))
"),1310270)</f>
        <v>1310270</v>
      </c>
      <c r="Q2363" s="6">
        <f t="shared" ca="1" si="54"/>
        <v>530270</v>
      </c>
      <c r="R2363" s="7" t="str">
        <f t="shared" si="55"/>
        <v>Saints and Soldiers</v>
      </c>
      <c r="S2363" s="43" t="str">
        <f t="shared" si="56"/>
        <v>Action</v>
      </c>
    </row>
    <row r="2364" spans="1:19" ht="15.75" customHeight="1" x14ac:dyDescent="0.25">
      <c r="A2364" s="4" t="s">
        <v>3167</v>
      </c>
      <c r="B2364" s="4">
        <v>101</v>
      </c>
      <c r="C2364" s="4">
        <v>38201895</v>
      </c>
      <c r="D2364" s="4" t="s">
        <v>235</v>
      </c>
      <c r="E2364" s="4" t="s">
        <v>3508</v>
      </c>
      <c r="F2364" s="4" t="s">
        <v>7667</v>
      </c>
      <c r="G2364" s="4">
        <v>149222</v>
      </c>
      <c r="H2364" s="4" t="s">
        <v>7668</v>
      </c>
      <c r="I2364" s="4">
        <v>749</v>
      </c>
      <c r="J2364" s="4" t="s">
        <v>23</v>
      </c>
      <c r="K2364" s="4" t="s">
        <v>24</v>
      </c>
      <c r="L2364" s="4">
        <v>10500000</v>
      </c>
      <c r="M2364" s="4">
        <v>1999</v>
      </c>
      <c r="N2364" s="4">
        <v>6.9</v>
      </c>
      <c r="O2364" s="4">
        <f ca="1">IFERROR(__xludf.DUMMYFUNCTION("IF(Cost_in_dollars!E2364=""USD"",Cost_in_dollars!B2364,Cost_in_dollars!B2364 * GOOGLEFINANCE(""CURRENCY:"" &amp; Cost_in_dollars!E2364 &amp; ""USD""))
"),10500000)</f>
        <v>10500000</v>
      </c>
      <c r="P2364" s="4">
        <f ca="1">IFERROR(__xludf.DUMMYFUNCTION("IF(Cost_in_dollars!E2364=""USD"",Cost_in_dollars!C2364,Cost_in_dollars!C2364 * GOOGLEFINANCE(""CURRENCY:"" &amp; Cost_in_dollars!E2364 &amp; ""USD""))
"),38201895)</f>
        <v>38201895</v>
      </c>
      <c r="Q2364" s="4">
        <f t="shared" ca="1" si="54"/>
        <v>27701895</v>
      </c>
      <c r="R2364" s="5" t="str">
        <f t="shared" si="55"/>
        <v>Cruel Intentions</v>
      </c>
      <c r="S2364" s="43" t="str">
        <f t="shared" si="56"/>
        <v>Drama</v>
      </c>
    </row>
    <row r="2365" spans="1:19" ht="15.75" customHeight="1" x14ac:dyDescent="0.25">
      <c r="A2365" s="6" t="s">
        <v>2623</v>
      </c>
      <c r="B2365" s="6">
        <v>16</v>
      </c>
      <c r="C2365" s="6">
        <v>30400000</v>
      </c>
      <c r="D2365" s="6" t="s">
        <v>669</v>
      </c>
      <c r="E2365" s="6" t="s">
        <v>3606</v>
      </c>
      <c r="F2365" s="6" t="s">
        <v>7669</v>
      </c>
      <c r="G2365" s="6">
        <v>9503</v>
      </c>
      <c r="H2365" s="6" t="s">
        <v>7670</v>
      </c>
      <c r="I2365" s="6">
        <v>68</v>
      </c>
      <c r="J2365" s="6" t="s">
        <v>23</v>
      </c>
      <c r="K2365" s="6" t="s">
        <v>133</v>
      </c>
      <c r="L2365" s="6">
        <v>12000000</v>
      </c>
      <c r="M2365" s="6">
        <v>1983</v>
      </c>
      <c r="N2365" s="6">
        <v>6.6</v>
      </c>
      <c r="O2365" s="4">
        <f ca="1">IFERROR(__xludf.DUMMYFUNCTION("IF(Cost_in_dollars!E2365=""USD"",Cost_in_dollars!B2365,Cost_in_dollars!B2365 * GOOGLEFINANCE(""CURRENCY:"" &amp; Cost_in_dollars!E2365 &amp; ""USD""))
"),15424799.9999999)</f>
        <v>15424799.999999899</v>
      </c>
      <c r="P2365" s="4">
        <f ca="1">IFERROR(__xludf.DUMMYFUNCTION("IF(Cost_in_dollars!E2365=""USD"",Cost_in_dollars!C2365,Cost_in_dollars!C2365 * GOOGLEFINANCE(""CURRENCY:"" &amp; Cost_in_dollars!E2365 &amp; ""USD""))
"),39076159.9999999)</f>
        <v>39076159.999999903</v>
      </c>
      <c r="Q2365" s="6">
        <f t="shared" ca="1" si="54"/>
        <v>23651360.000000004</v>
      </c>
      <c r="R2365" s="7" t="str">
        <f t="shared" si="55"/>
        <v>Yentl</v>
      </c>
      <c r="S2365" s="43" t="str">
        <f t="shared" si="56"/>
        <v>Drama</v>
      </c>
    </row>
    <row r="2366" spans="1:19" ht="15.75" customHeight="1" x14ac:dyDescent="0.25">
      <c r="A2366" s="4" t="s">
        <v>7671</v>
      </c>
      <c r="B2366" s="4">
        <v>97</v>
      </c>
      <c r="C2366" s="4">
        <v>14249005</v>
      </c>
      <c r="D2366" s="4" t="s">
        <v>140</v>
      </c>
      <c r="E2366" s="4" t="s">
        <v>4081</v>
      </c>
      <c r="F2366" s="4" t="s">
        <v>7672</v>
      </c>
      <c r="G2366" s="4">
        <v>39788</v>
      </c>
      <c r="H2366" s="4" t="s">
        <v>7673</v>
      </c>
      <c r="I2366" s="4">
        <v>619</v>
      </c>
      <c r="J2366" s="4" t="s">
        <v>23</v>
      </c>
      <c r="K2366" s="4" t="s">
        <v>24</v>
      </c>
      <c r="L2366" s="4">
        <v>15000000</v>
      </c>
      <c r="M2366" s="4">
        <v>2001</v>
      </c>
      <c r="N2366" s="4">
        <v>4.5</v>
      </c>
      <c r="O2366" s="4">
        <f ca="1">IFERROR(__xludf.DUMMYFUNCTION("IF(Cost_in_dollars!E2366=""USD"",Cost_in_dollars!B2366,Cost_in_dollars!B2366 * GOOGLEFINANCE(""CURRENCY:"" &amp; Cost_in_dollars!E2366 &amp; ""USD""))
"),15000000)</f>
        <v>15000000</v>
      </c>
      <c r="P2366" s="4">
        <f ca="1">IFERROR(__xludf.DUMMYFUNCTION("IF(Cost_in_dollars!E2366=""USD"",Cost_in_dollars!C2366,Cost_in_dollars!C2366 * GOOGLEFINANCE(""CURRENCY:"" &amp; Cost_in_dollars!E2366 &amp; ""USD""))
"),14249005)</f>
        <v>14249005</v>
      </c>
      <c r="Q2366" s="4">
        <f t="shared" ca="1" si="54"/>
        <v>-750995</v>
      </c>
      <c r="R2366" s="5" t="str">
        <f t="shared" si="55"/>
        <v>Freddy Got Fingered</v>
      </c>
      <c r="S2366" s="43" t="str">
        <f t="shared" si="56"/>
        <v>Comedy</v>
      </c>
    </row>
    <row r="2367" spans="1:19" ht="15.75" customHeight="1" x14ac:dyDescent="0.25">
      <c r="A2367" s="6" t="s">
        <v>3979</v>
      </c>
      <c r="B2367" s="6">
        <v>273</v>
      </c>
      <c r="C2367" s="6">
        <v>6594136</v>
      </c>
      <c r="D2367" s="6" t="s">
        <v>7674</v>
      </c>
      <c r="E2367" s="6" t="s">
        <v>7675</v>
      </c>
      <c r="F2367" s="6" t="s">
        <v>7676</v>
      </c>
      <c r="G2367" s="6">
        <v>24557</v>
      </c>
      <c r="H2367" s="6" t="s">
        <v>7677</v>
      </c>
      <c r="I2367" s="6">
        <v>111</v>
      </c>
      <c r="J2367" s="6" t="s">
        <v>3279</v>
      </c>
      <c r="K2367" s="6" t="s">
        <v>160</v>
      </c>
      <c r="L2367" s="6">
        <v>38600000</v>
      </c>
      <c r="M2367" s="6">
        <v>2013</v>
      </c>
      <c r="N2367" s="6">
        <v>6.5</v>
      </c>
      <c r="O2367" s="4">
        <f ca="1">IFERROR(__xludf.DUMMYFUNCTION("IF(Cost_in_dollars!E2367=""USD"",Cost_in_dollars!B2367,Cost_in_dollars!B2367 * GOOGLEFINANCE(""CURRENCY:"" &amp; Cost_in_dollars!E2367 &amp; ""USD""))
"),4944439.97999999)</f>
        <v>4944439.9799999902</v>
      </c>
      <c r="P2367" s="4">
        <f ca="1">IFERROR(__xludf.DUMMYFUNCTION("IF(Cost_in_dollars!E2367=""USD"",Cost_in_dollars!C2367,Cost_in_dollars!C2367 * GOOGLEFINANCE(""CURRENCY:"" &amp; Cost_in_dollars!E2367 &amp; ""USD""))
"),844671.2350248)</f>
        <v>844671.23502479994</v>
      </c>
      <c r="Q2367" s="6">
        <f t="shared" ca="1" si="54"/>
        <v>-4099768.7449751901</v>
      </c>
      <c r="R2367" s="7" t="str">
        <f t="shared" si="55"/>
        <v>The Grandmaster</v>
      </c>
      <c r="S2367" s="43" t="str">
        <f t="shared" si="56"/>
        <v>Action</v>
      </c>
    </row>
    <row r="2368" spans="1:19" ht="15.75" customHeight="1" x14ac:dyDescent="0.25">
      <c r="A2368" s="4" t="s">
        <v>975</v>
      </c>
      <c r="B2368" s="4">
        <v>156</v>
      </c>
      <c r="C2368" s="4">
        <v>34290142</v>
      </c>
      <c r="D2368" s="4" t="s">
        <v>457</v>
      </c>
      <c r="E2368" s="4" t="s">
        <v>3386</v>
      </c>
      <c r="F2368" s="4" t="s">
        <v>7678</v>
      </c>
      <c r="G2368" s="4">
        <v>54242</v>
      </c>
      <c r="H2368" s="4" t="s">
        <v>7679</v>
      </c>
      <c r="I2368" s="4">
        <v>145</v>
      </c>
      <c r="J2368" s="4" t="s">
        <v>23</v>
      </c>
      <c r="K2368" s="4" t="s">
        <v>24</v>
      </c>
      <c r="L2368" s="4">
        <v>19800000</v>
      </c>
      <c r="M2368" s="4">
        <v>2014</v>
      </c>
      <c r="N2368" s="4">
        <v>6.6</v>
      </c>
      <c r="O2368" s="4">
        <f ca="1">IFERROR(__xludf.DUMMYFUNCTION("IF(Cost_in_dollars!E2368=""USD"",Cost_in_dollars!B2368,Cost_in_dollars!B2368 * GOOGLEFINANCE(""CURRENCY:"" &amp; Cost_in_dollars!E2368 &amp; ""USD""))
"),19800000)</f>
        <v>19800000</v>
      </c>
      <c r="P2368" s="4">
        <f ca="1">IFERROR(__xludf.DUMMYFUNCTION("IF(Cost_in_dollars!E2368=""USD"",Cost_in_dollars!C2368,Cost_in_dollars!C2368 * GOOGLEFINANCE(""CURRENCY:"" &amp; Cost_in_dollars!E2368 &amp; ""USD""))
"),34290142)</f>
        <v>34290142</v>
      </c>
      <c r="Q2368" s="4">
        <f t="shared" ca="1" si="54"/>
        <v>14490142</v>
      </c>
      <c r="R2368" s="5" t="str">
        <f t="shared" si="55"/>
        <v>This Is Where I Leave You</v>
      </c>
      <c r="S2368" s="43" t="str">
        <f t="shared" si="56"/>
        <v>Comedy</v>
      </c>
    </row>
    <row r="2369" spans="1:19" ht="15.75" customHeight="1" x14ac:dyDescent="0.25">
      <c r="A2369" s="6" t="s">
        <v>4273</v>
      </c>
      <c r="B2369" s="6">
        <v>349</v>
      </c>
      <c r="C2369" s="6">
        <v>610968</v>
      </c>
      <c r="D2369" s="6" t="s">
        <v>102</v>
      </c>
      <c r="E2369" s="6" t="s">
        <v>7680</v>
      </c>
      <c r="F2369" s="6" t="s">
        <v>7681</v>
      </c>
      <c r="G2369" s="6">
        <v>170155</v>
      </c>
      <c r="H2369" s="6" t="s">
        <v>7682</v>
      </c>
      <c r="I2369" s="6">
        <v>249</v>
      </c>
      <c r="J2369" s="6" t="s">
        <v>4277</v>
      </c>
      <c r="K2369" s="6" t="s">
        <v>4041</v>
      </c>
      <c r="L2369" s="6">
        <v>3800000</v>
      </c>
      <c r="M2369" s="6">
        <v>2012</v>
      </c>
      <c r="N2369" s="6">
        <v>8.3000000000000007</v>
      </c>
      <c r="O2369" s="4">
        <f ca="1">IFERROR(__xludf.DUMMYFUNCTION("IF(Cost_in_dollars!E2369=""USD"",Cost_in_dollars!B2369,Cost_in_dollars!B2369 * GOOGLEFINANCE(""CURRENCY:"" &amp; Cost_in_dollars!E2369 &amp; ""USD""))
"),552301.5)</f>
        <v>552301.5</v>
      </c>
      <c r="P2369" s="4">
        <f ca="1">IFERROR(__xludf.DUMMYFUNCTION("IF(Cost_in_dollars!E2369=""USD"",Cost_in_dollars!C2369,Cost_in_dollars!C2369 * GOOGLEFINANCE(""CURRENCY:"" &amp; Cost_in_dollars!E2369 &amp; ""USD""))
"),88799.6165399999)</f>
        <v>88799.616539999901</v>
      </c>
      <c r="Q2369" s="6">
        <f t="shared" ca="1" si="54"/>
        <v>-463501.8834600001</v>
      </c>
      <c r="R2369" s="7" t="str">
        <f t="shared" si="55"/>
        <v>The Hunt</v>
      </c>
      <c r="S2369" s="43" t="str">
        <f t="shared" si="56"/>
        <v>Drama</v>
      </c>
    </row>
    <row r="2370" spans="1:19" ht="15.75" customHeight="1" x14ac:dyDescent="0.25">
      <c r="A2370" s="4" t="s">
        <v>7683</v>
      </c>
      <c r="B2370" s="4">
        <v>185</v>
      </c>
      <c r="C2370" s="4">
        <v>9030581</v>
      </c>
      <c r="D2370" s="4" t="s">
        <v>682</v>
      </c>
      <c r="E2370" s="4" t="s">
        <v>7684</v>
      </c>
      <c r="F2370" s="4" t="s">
        <v>7685</v>
      </c>
      <c r="G2370" s="4">
        <v>132386</v>
      </c>
      <c r="H2370" s="4" t="s">
        <v>7686</v>
      </c>
      <c r="I2370" s="4">
        <v>398</v>
      </c>
      <c r="J2370" s="4" t="s">
        <v>23</v>
      </c>
      <c r="K2370" s="4" t="s">
        <v>133</v>
      </c>
      <c r="L2370" s="4">
        <v>12500000</v>
      </c>
      <c r="M2370" s="4">
        <v>2008</v>
      </c>
      <c r="N2370" s="4">
        <v>7.8</v>
      </c>
      <c r="O2370" s="4">
        <f ca="1">IFERROR(__xludf.DUMMYFUNCTION("IF(Cost_in_dollars!E2370=""USD"",Cost_in_dollars!B2370,Cost_in_dollars!B2370 * GOOGLEFINANCE(""CURRENCY:"" &amp; Cost_in_dollars!E2370 &amp; ""USD""))
"),16067499.9999999)</f>
        <v>16067499.999999899</v>
      </c>
      <c r="P2370" s="4">
        <f ca="1">IFERROR(__xludf.DUMMYFUNCTION("IF(Cost_in_dollars!E2370=""USD"",Cost_in_dollars!C2370,Cost_in_dollars!C2370 * GOOGLEFINANCE(""CURRENCY:"" &amp; Cost_in_dollars!E2370 &amp; ""USD""))
"),11607908.8174)</f>
        <v>11607908.817399999</v>
      </c>
      <c r="Q2370" s="4">
        <f t="shared" ca="1" si="54"/>
        <v>-4459591.1825999003</v>
      </c>
      <c r="R2370" s="5" t="str">
        <f t="shared" si="55"/>
        <v>The Boy in the Striped Pajamas</v>
      </c>
      <c r="S2370" s="43" t="str">
        <f t="shared" ref="S2370:S2433" si="57">IF(ISNUMBER(FIND("|", D2370)), LEFT(D2370, FIND("|", D2370) - 1), D2370)</f>
        <v>Drama</v>
      </c>
    </row>
    <row r="2371" spans="1:19" ht="15.75" customHeight="1" x14ac:dyDescent="0.25">
      <c r="A2371" s="6" t="s">
        <v>3084</v>
      </c>
      <c r="B2371" s="6">
        <v>307</v>
      </c>
      <c r="C2371" s="6">
        <v>100448498</v>
      </c>
      <c r="D2371" s="6" t="s">
        <v>457</v>
      </c>
      <c r="E2371" s="6" t="s">
        <v>330</v>
      </c>
      <c r="F2371" s="6" t="s">
        <v>7687</v>
      </c>
      <c r="G2371" s="6">
        <v>272789</v>
      </c>
      <c r="H2371" s="6" t="s">
        <v>7688</v>
      </c>
      <c r="I2371" s="6">
        <v>285</v>
      </c>
      <c r="J2371" s="6" t="s">
        <v>23</v>
      </c>
      <c r="K2371" s="6" t="s">
        <v>24</v>
      </c>
      <c r="L2371" s="6">
        <v>65000000</v>
      </c>
      <c r="M2371" s="6">
        <v>2010</v>
      </c>
      <c r="N2371" s="6">
        <v>6.6</v>
      </c>
      <c r="O2371" s="4">
        <f ca="1">IFERROR(__xludf.DUMMYFUNCTION("IF(Cost_in_dollars!E2371=""USD"",Cost_in_dollars!B2371,Cost_in_dollars!B2371 * GOOGLEFINANCE(""CURRENCY:"" &amp; Cost_in_dollars!E2371 &amp; ""USD""))
"),65000000)</f>
        <v>65000000</v>
      </c>
      <c r="P2371" s="4">
        <f ca="1">IFERROR(__xludf.DUMMYFUNCTION("IF(Cost_in_dollars!E2371=""USD"",Cost_in_dollars!C2371,Cost_in_dollars!C2371 * GOOGLEFINANCE(""CURRENCY:"" &amp; Cost_in_dollars!E2371 &amp; ""USD""))
"),100448498)</f>
        <v>100448498</v>
      </c>
      <c r="Q2371" s="6">
        <f t="shared" ca="1" si="54"/>
        <v>35448498</v>
      </c>
      <c r="R2371" s="7" t="str">
        <f t="shared" si="55"/>
        <v>Due Date</v>
      </c>
      <c r="S2371" s="43" t="str">
        <f t="shared" si="57"/>
        <v>Comedy</v>
      </c>
    </row>
    <row r="2372" spans="1:19" ht="15.75" customHeight="1" x14ac:dyDescent="0.25">
      <c r="A2372" s="4" t="s">
        <v>7689</v>
      </c>
      <c r="B2372" s="4">
        <v>97</v>
      </c>
      <c r="C2372" s="4">
        <v>3447339</v>
      </c>
      <c r="D2372" s="4" t="s">
        <v>88</v>
      </c>
      <c r="E2372" s="4" t="s">
        <v>7690</v>
      </c>
      <c r="F2372" s="4" t="s">
        <v>7691</v>
      </c>
      <c r="G2372" s="4">
        <v>29517</v>
      </c>
      <c r="H2372" s="4" t="s">
        <v>7692</v>
      </c>
      <c r="I2372" s="4">
        <v>79</v>
      </c>
      <c r="J2372" s="4" t="s">
        <v>23</v>
      </c>
      <c r="K2372" s="4" t="s">
        <v>24</v>
      </c>
      <c r="L2372" s="4">
        <v>1500000</v>
      </c>
      <c r="M2372" s="4">
        <v>2013</v>
      </c>
      <c r="N2372" s="4">
        <v>5.8</v>
      </c>
      <c r="O2372" s="4">
        <f ca="1">IFERROR(__xludf.DUMMYFUNCTION("IF(Cost_in_dollars!E2372=""USD"",Cost_in_dollars!B2372,Cost_in_dollars!B2372 * GOOGLEFINANCE(""CURRENCY:"" &amp; Cost_in_dollars!E2372 &amp; ""USD""))
"),1500000)</f>
        <v>1500000</v>
      </c>
      <c r="P2372" s="4">
        <f ca="1">IFERROR(__xludf.DUMMYFUNCTION("IF(Cost_in_dollars!E2372=""USD"",Cost_in_dollars!C2372,Cost_in_dollars!C2372 * GOOGLEFINANCE(""CURRENCY:"" &amp; Cost_in_dollars!E2372 &amp; ""USD""))
"),3447339)</f>
        <v>3447339</v>
      </c>
      <c r="Q2372" s="4">
        <f t="shared" ca="1" si="54"/>
        <v>1947339</v>
      </c>
      <c r="R2372" s="5" t="str">
        <f t="shared" si="55"/>
        <v>The To Do List</v>
      </c>
      <c r="S2372" s="43" t="str">
        <f t="shared" si="57"/>
        <v>Comedy</v>
      </c>
    </row>
    <row r="2373" spans="1:19" ht="15.75" customHeight="1" x14ac:dyDescent="0.25">
      <c r="A2373" s="6" t="s">
        <v>2461</v>
      </c>
      <c r="B2373" s="6">
        <v>285</v>
      </c>
      <c r="C2373" s="6">
        <v>51872378</v>
      </c>
      <c r="D2373" s="6" t="s">
        <v>319</v>
      </c>
      <c r="E2373" s="6" t="s">
        <v>1177</v>
      </c>
      <c r="F2373" s="6" t="s">
        <v>7693</v>
      </c>
      <c r="G2373" s="6">
        <v>88241</v>
      </c>
      <c r="H2373" s="6" t="s">
        <v>7694</v>
      </c>
      <c r="I2373" s="6">
        <v>266</v>
      </c>
      <c r="J2373" s="6" t="s">
        <v>23</v>
      </c>
      <c r="K2373" s="6" t="s">
        <v>24</v>
      </c>
      <c r="L2373" s="6">
        <v>13000000</v>
      </c>
      <c r="M2373" s="6">
        <v>2013</v>
      </c>
      <c r="N2373" s="6">
        <v>6.7</v>
      </c>
      <c r="O2373" s="4">
        <f ca="1">IFERROR(__xludf.DUMMYFUNCTION("IF(Cost_in_dollars!E2373=""USD"",Cost_in_dollars!B2373,Cost_in_dollars!B2373 * GOOGLEFINANCE(""CURRENCY:"" &amp; Cost_in_dollars!E2373 &amp; ""USD""))
"),13000000)</f>
        <v>13000000</v>
      </c>
      <c r="P2373" s="4">
        <f ca="1">IFERROR(__xludf.DUMMYFUNCTION("IF(Cost_in_dollars!E2373=""USD"",Cost_in_dollars!C2373,Cost_in_dollars!C2373 * GOOGLEFINANCE(""CURRENCY:"" &amp; Cost_in_dollars!E2373 &amp; ""USD""))
"),51872378)</f>
        <v>51872378</v>
      </c>
      <c r="Q2373" s="6">
        <f t="shared" ca="1" si="54"/>
        <v>38872378</v>
      </c>
      <c r="R2373" s="7" t="str">
        <f t="shared" si="55"/>
        <v>The Call</v>
      </c>
      <c r="S2373" s="43" t="str">
        <f t="shared" si="57"/>
        <v>Crime</v>
      </c>
    </row>
    <row r="2374" spans="1:19" ht="15.75" customHeight="1" x14ac:dyDescent="0.25">
      <c r="A2374" s="4" t="s">
        <v>7695</v>
      </c>
      <c r="B2374" s="4">
        <v>253</v>
      </c>
      <c r="C2374" s="4">
        <v>25977365</v>
      </c>
      <c r="D2374" s="4" t="s">
        <v>438</v>
      </c>
      <c r="E2374" s="4" t="s">
        <v>608</v>
      </c>
      <c r="F2374" s="4" t="s">
        <v>7696</v>
      </c>
      <c r="G2374" s="4">
        <v>87950</v>
      </c>
      <c r="H2374" s="4" t="s">
        <v>7697</v>
      </c>
      <c r="I2374" s="4">
        <v>207</v>
      </c>
      <c r="J2374" s="4" t="s">
        <v>23</v>
      </c>
      <c r="K2374" s="4" t="s">
        <v>24</v>
      </c>
      <c r="L2374" s="4">
        <v>28000000</v>
      </c>
      <c r="M2374" s="4">
        <v>2014</v>
      </c>
      <c r="N2374" s="4">
        <v>6.5</v>
      </c>
      <c r="O2374" s="4">
        <f ca="1">IFERROR(__xludf.DUMMYFUNCTION("IF(Cost_in_dollars!E2374=""USD"",Cost_in_dollars!B2374,Cost_in_dollars!B2374 * GOOGLEFINANCE(""CURRENCY:"" &amp; Cost_in_dollars!E2374 &amp; ""USD""))
"),28000000)</f>
        <v>28000000</v>
      </c>
      <c r="P2374" s="4">
        <f ca="1">IFERROR(__xludf.DUMMYFUNCTION("IF(Cost_in_dollars!E2374=""USD"",Cost_in_dollars!C2374,Cost_in_dollars!C2374 * GOOGLEFINANCE(""CURRENCY:"" &amp; Cost_in_dollars!E2374 &amp; ""USD""))
"),25977365)</f>
        <v>25977365</v>
      </c>
      <c r="Q2374" s="4">
        <f t="shared" ca="1" si="54"/>
        <v>-2022635</v>
      </c>
      <c r="R2374" s="5" t="str">
        <f t="shared" si="55"/>
        <v>A Walk Among the Tombstones</v>
      </c>
      <c r="S2374" s="43" t="str">
        <f t="shared" si="57"/>
        <v>Crime</v>
      </c>
    </row>
    <row r="2375" spans="1:19" ht="15.75" customHeight="1" x14ac:dyDescent="0.25">
      <c r="A2375" s="6" t="s">
        <v>7698</v>
      </c>
      <c r="B2375" s="6">
        <v>36</v>
      </c>
      <c r="C2375" s="6">
        <v>17100000</v>
      </c>
      <c r="D2375" s="6" t="s">
        <v>7699</v>
      </c>
      <c r="E2375" s="6" t="s">
        <v>4874</v>
      </c>
      <c r="F2375" s="6" t="s">
        <v>7700</v>
      </c>
      <c r="G2375" s="6">
        <v>7073</v>
      </c>
      <c r="H2375" s="6" t="s">
        <v>7701</v>
      </c>
      <c r="I2375" s="6">
        <v>29</v>
      </c>
      <c r="J2375" s="6" t="s">
        <v>23</v>
      </c>
      <c r="K2375" s="6" t="s">
        <v>24</v>
      </c>
      <c r="L2375" s="6">
        <v>25000000</v>
      </c>
      <c r="M2375" s="6">
        <v>1996</v>
      </c>
      <c r="N2375" s="6">
        <v>5.3</v>
      </c>
      <c r="O2375" s="4">
        <f ca="1">IFERROR(__xludf.DUMMYFUNCTION("IF(Cost_in_dollars!E2375=""USD"",Cost_in_dollars!B2375,Cost_in_dollars!B2375 * GOOGLEFINANCE(""CURRENCY:"" &amp; Cost_in_dollars!E2375 &amp; ""USD""))
"),25000000)</f>
        <v>25000000</v>
      </c>
      <c r="P2375" s="4">
        <f ca="1">IFERROR(__xludf.DUMMYFUNCTION("IF(Cost_in_dollars!E2375=""USD"",Cost_in_dollars!C2375,Cost_in_dollars!C2375 * GOOGLEFINANCE(""CURRENCY:"" &amp; Cost_in_dollars!E2375 &amp; ""USD""))
"),17100000)</f>
        <v>17100000</v>
      </c>
      <c r="Q2375" s="6">
        <f t="shared" ca="1" si="54"/>
        <v>-7900000</v>
      </c>
      <c r="R2375" s="7" t="str">
        <f t="shared" si="55"/>
        <v>Fled</v>
      </c>
      <c r="S2375" s="43" t="str">
        <f t="shared" si="57"/>
        <v>Action</v>
      </c>
    </row>
    <row r="2376" spans="1:19" ht="15.75" customHeight="1" x14ac:dyDescent="0.25">
      <c r="A2376" s="4" t="s">
        <v>187</v>
      </c>
      <c r="B2376" s="4">
        <v>723</v>
      </c>
      <c r="C2376" s="4">
        <v>760505847</v>
      </c>
      <c r="D2376" s="4" t="s">
        <v>1290</v>
      </c>
      <c r="E2376" s="4" t="s">
        <v>6405</v>
      </c>
      <c r="F2376" s="4" t="s">
        <v>7702</v>
      </c>
      <c r="G2376" s="4">
        <v>886204</v>
      </c>
      <c r="H2376" s="4" t="s">
        <v>7703</v>
      </c>
      <c r="I2376" s="4">
        <v>3054</v>
      </c>
      <c r="J2376" s="4" t="s">
        <v>23</v>
      </c>
      <c r="K2376" s="4" t="s">
        <v>24</v>
      </c>
      <c r="L2376" s="4">
        <v>237000000</v>
      </c>
      <c r="M2376" s="4">
        <v>2009</v>
      </c>
      <c r="N2376" s="4">
        <v>7.9</v>
      </c>
      <c r="O2376" s="4">
        <f ca="1">IFERROR(__xludf.DUMMYFUNCTION("IF(Cost_in_dollars!E2376=""USD"",Cost_in_dollars!B2376,Cost_in_dollars!B2376 * GOOGLEFINANCE(""CURRENCY:"" &amp; Cost_in_dollars!E2376 &amp; ""USD""))
"),237000000)</f>
        <v>237000000</v>
      </c>
      <c r="P2376" s="4">
        <f ca="1">IFERROR(__xludf.DUMMYFUNCTION("IF(Cost_in_dollars!E2376=""USD"",Cost_in_dollars!C2376,Cost_in_dollars!C2376 * GOOGLEFINANCE(""CURRENCY:"" &amp; Cost_in_dollars!E2376 &amp; ""USD""))
"),760505847)</f>
        <v>760505847</v>
      </c>
      <c r="Q2376" s="4">
        <f t="shared" ca="1" si="54"/>
        <v>523505847</v>
      </c>
      <c r="R2376" s="5" t="str">
        <f t="shared" si="55"/>
        <v>Avat</v>
      </c>
      <c r="S2376" s="43" t="str">
        <f t="shared" si="57"/>
        <v>Action</v>
      </c>
    </row>
    <row r="2377" spans="1:19" ht="15.75" customHeight="1" x14ac:dyDescent="0.25">
      <c r="A2377" s="6" t="s">
        <v>3200</v>
      </c>
      <c r="B2377" s="6">
        <v>382</v>
      </c>
      <c r="C2377" s="6">
        <v>186830669</v>
      </c>
      <c r="D2377" s="6" t="s">
        <v>3201</v>
      </c>
      <c r="E2377" s="6" t="s">
        <v>330</v>
      </c>
      <c r="F2377" s="6" t="s">
        <v>7704</v>
      </c>
      <c r="G2377" s="6">
        <v>338635</v>
      </c>
      <c r="H2377" s="6" t="s">
        <v>7705</v>
      </c>
      <c r="I2377" s="6">
        <v>412</v>
      </c>
      <c r="J2377" s="6" t="s">
        <v>23</v>
      </c>
      <c r="K2377" s="6" t="s">
        <v>24</v>
      </c>
      <c r="L2377" s="6">
        <v>125000000</v>
      </c>
      <c r="M2377" s="6">
        <v>2011</v>
      </c>
      <c r="N2377" s="6">
        <v>7.5</v>
      </c>
      <c r="O2377" s="4">
        <f ca="1">IFERROR(__xludf.DUMMYFUNCTION("IF(Cost_in_dollars!E2377=""USD"",Cost_in_dollars!B2377,Cost_in_dollars!B2377 * GOOGLEFINANCE(""CURRENCY:"" &amp; Cost_in_dollars!E2377 &amp; ""USD""))
"),125000000)</f>
        <v>125000000</v>
      </c>
      <c r="P2377" s="4">
        <f ca="1">IFERROR(__xludf.DUMMYFUNCTION("IF(Cost_in_dollars!E2377=""USD"",Cost_in_dollars!C2377,Cost_in_dollars!C2377 * GOOGLEFINANCE(""CURRENCY:"" &amp; Cost_in_dollars!E2377 &amp; ""USD""))
"),186830669)</f>
        <v>186830669</v>
      </c>
      <c r="Q2377" s="6">
        <f t="shared" ca="1" si="54"/>
        <v>61830669</v>
      </c>
      <c r="R2377" s="7" t="str">
        <f t="shared" si="55"/>
        <v>Sherlock Holmes: A Game of Shadows</v>
      </c>
      <c r="S2377" s="43" t="str">
        <f t="shared" si="57"/>
        <v>Action</v>
      </c>
    </row>
    <row r="2378" spans="1:19" ht="15.75" customHeight="1" x14ac:dyDescent="0.25">
      <c r="A2378" s="4" t="s">
        <v>4648</v>
      </c>
      <c r="B2378" s="4">
        <v>135</v>
      </c>
      <c r="C2378" s="4">
        <v>20218921</v>
      </c>
      <c r="D2378" s="4" t="s">
        <v>421</v>
      </c>
      <c r="E2378" s="4" t="s">
        <v>7431</v>
      </c>
      <c r="F2378" s="4" t="s">
        <v>7706</v>
      </c>
      <c r="G2378" s="4">
        <v>14814</v>
      </c>
      <c r="H2378" s="4" t="s">
        <v>7707</v>
      </c>
      <c r="I2378" s="4">
        <v>114</v>
      </c>
      <c r="J2378" s="4" t="s">
        <v>23</v>
      </c>
      <c r="K2378" s="4" t="s">
        <v>24</v>
      </c>
      <c r="L2378" s="4">
        <v>15000000</v>
      </c>
      <c r="M2378" s="4">
        <v>2010</v>
      </c>
      <c r="N2378" s="4">
        <v>6.3</v>
      </c>
      <c r="O2378" s="4">
        <f ca="1">IFERROR(__xludf.DUMMYFUNCTION("IF(Cost_in_dollars!E2378=""USD"",Cost_in_dollars!B2378,Cost_in_dollars!B2378 * GOOGLEFINANCE(""CURRENCY:"" &amp; Cost_in_dollars!E2378 &amp; ""USD""))
"),15000000)</f>
        <v>15000000</v>
      </c>
      <c r="P2378" s="4">
        <f ca="1">IFERROR(__xludf.DUMMYFUNCTION("IF(Cost_in_dollars!E2378=""USD"",Cost_in_dollars!C2378,Cost_in_dollars!C2378 * GOOGLEFINANCE(""CURRENCY:"" &amp; Cost_in_dollars!E2378 &amp; ""USD""))
"),20218921)</f>
        <v>20218921</v>
      </c>
      <c r="Q2378" s="4">
        <f t="shared" ca="1" si="54"/>
        <v>5218921</v>
      </c>
      <c r="R2378" s="5" t="str">
        <f t="shared" si="55"/>
        <v>Country Strong</v>
      </c>
      <c r="S2378" s="43" t="str">
        <f t="shared" si="57"/>
        <v>Drama</v>
      </c>
    </row>
    <row r="2379" spans="1:19" ht="15.75" customHeight="1" x14ac:dyDescent="0.25">
      <c r="A2379" s="6" t="s">
        <v>3256</v>
      </c>
      <c r="B2379" s="6">
        <v>129</v>
      </c>
      <c r="C2379" s="6">
        <v>63600000</v>
      </c>
      <c r="D2379" s="6" t="s">
        <v>477</v>
      </c>
      <c r="E2379" s="6" t="s">
        <v>1286</v>
      </c>
      <c r="F2379" s="6" t="s">
        <v>7708</v>
      </c>
      <c r="G2379" s="6">
        <v>82073</v>
      </c>
      <c r="H2379" s="6" t="s">
        <v>7709</v>
      </c>
      <c r="I2379" s="6">
        <v>275</v>
      </c>
      <c r="J2379" s="6" t="s">
        <v>23</v>
      </c>
      <c r="K2379" s="6" t="s">
        <v>133</v>
      </c>
      <c r="L2379" s="6">
        <v>9000000</v>
      </c>
      <c r="M2379" s="6">
        <v>1965</v>
      </c>
      <c r="N2379" s="6">
        <v>7</v>
      </c>
      <c r="O2379" s="4">
        <f ca="1">IFERROR(__xludf.DUMMYFUNCTION("IF(Cost_in_dollars!E2379=""USD"",Cost_in_dollars!B2379,Cost_in_dollars!B2379 * GOOGLEFINANCE(""CURRENCY:"" &amp; Cost_in_dollars!E2379 &amp; ""USD""))
"),11568599.9999999)</f>
        <v>11568599.999999899</v>
      </c>
      <c r="P2379" s="4">
        <f ca="1">IFERROR(__xludf.DUMMYFUNCTION("IF(Cost_in_dollars!E2379=""USD"",Cost_in_dollars!C2379,Cost_in_dollars!C2379 * GOOGLEFINANCE(""CURRENCY:"" &amp; Cost_in_dollars!E2379 &amp; ""USD""))
"),81751439.9999999)</f>
        <v>81751439.999999896</v>
      </c>
      <c r="Q2379" s="6">
        <f t="shared" ca="1" si="54"/>
        <v>70182840</v>
      </c>
      <c r="R2379" s="7" t="str">
        <f t="shared" si="55"/>
        <v>Thunderball</v>
      </c>
      <c r="S2379" s="43" t="str">
        <f t="shared" si="57"/>
        <v>Action</v>
      </c>
    </row>
    <row r="2380" spans="1:19" ht="15.75" customHeight="1" x14ac:dyDescent="0.25">
      <c r="A2380" s="4" t="s">
        <v>7710</v>
      </c>
      <c r="B2380" s="4">
        <v>52</v>
      </c>
      <c r="C2380" s="4">
        <v>2483955</v>
      </c>
      <c r="D2380" s="4" t="s">
        <v>235</v>
      </c>
      <c r="E2380" s="4" t="s">
        <v>7711</v>
      </c>
      <c r="F2380" s="4" t="s">
        <v>7712</v>
      </c>
      <c r="G2380" s="4">
        <v>8369</v>
      </c>
      <c r="H2380" s="4" t="s">
        <v>7713</v>
      </c>
      <c r="I2380" s="4">
        <v>165</v>
      </c>
      <c r="J2380" s="4" t="s">
        <v>23</v>
      </c>
      <c r="K2380" s="4" t="s">
        <v>24</v>
      </c>
      <c r="L2380" s="4">
        <v>9600000</v>
      </c>
      <c r="M2380" s="4">
        <v>2005</v>
      </c>
      <c r="N2380" s="4">
        <v>6.7</v>
      </c>
      <c r="O2380" s="4">
        <f ca="1">IFERROR(__xludf.DUMMYFUNCTION("IF(Cost_in_dollars!E2380=""USD"",Cost_in_dollars!B2380,Cost_in_dollars!B2380 * GOOGLEFINANCE(""CURRENCY:"" &amp; Cost_in_dollars!E2380 &amp; ""USD""))
"),9600000)</f>
        <v>9600000</v>
      </c>
      <c r="P2380" s="4">
        <f ca="1">IFERROR(__xludf.DUMMYFUNCTION("IF(Cost_in_dollars!E2380=""USD"",Cost_in_dollars!C2380,Cost_in_dollars!C2380 * GOOGLEFINANCE(""CURRENCY:"" &amp; Cost_in_dollars!E2380 &amp; ""USD""))
"),2483955)</f>
        <v>2483955</v>
      </c>
      <c r="Q2380" s="4">
        <f t="shared" ca="1" si="54"/>
        <v>-7116045</v>
      </c>
      <c r="R2380" s="5" t="str">
        <f t="shared" si="55"/>
        <v>The Lost City</v>
      </c>
      <c r="S2380" s="43" t="str">
        <f t="shared" si="57"/>
        <v>Drama</v>
      </c>
    </row>
    <row r="2381" spans="1:19" ht="15.75" customHeight="1" x14ac:dyDescent="0.25">
      <c r="A2381" s="6" t="s">
        <v>7714</v>
      </c>
      <c r="B2381" s="6">
        <v>29</v>
      </c>
      <c r="C2381" s="6">
        <v>9628751</v>
      </c>
      <c r="D2381" s="6" t="s">
        <v>7715</v>
      </c>
      <c r="E2381" s="6" t="s">
        <v>7716</v>
      </c>
      <c r="F2381" s="6" t="s">
        <v>7717</v>
      </c>
      <c r="G2381" s="6">
        <v>5164</v>
      </c>
      <c r="H2381" s="6" t="s">
        <v>7718</v>
      </c>
      <c r="I2381" s="6">
        <v>65</v>
      </c>
      <c r="J2381" s="6" t="s">
        <v>23</v>
      </c>
      <c r="K2381" s="6" t="s">
        <v>24</v>
      </c>
      <c r="L2381" s="6">
        <v>5000000</v>
      </c>
      <c r="M2381" s="6">
        <v>2000</v>
      </c>
      <c r="N2381" s="6">
        <v>5.9</v>
      </c>
      <c r="O2381" s="4">
        <f ca="1">IFERROR(__xludf.DUMMYFUNCTION("IF(Cost_in_dollars!E2381=""USD"",Cost_in_dollars!B2381,Cost_in_dollars!B2381 * GOOGLEFINANCE(""CURRENCY:"" &amp; Cost_in_dollars!E2381 &amp; ""USD""))
"),5000000)</f>
        <v>5000000</v>
      </c>
      <c r="P2381" s="4">
        <f ca="1">IFERROR(__xludf.DUMMYFUNCTION("IF(Cost_in_dollars!E2381=""USD"",Cost_in_dollars!C2381,Cost_in_dollars!C2381 * GOOGLEFINANCE(""CURRENCY:"" &amp; Cost_in_dollars!E2381 &amp; ""USD""))
"),9628751)</f>
        <v>9628751</v>
      </c>
      <c r="Q2381" s="6">
        <f t="shared" ca="1" si="54"/>
        <v>4628751</v>
      </c>
      <c r="R2381" s="7" t="str">
        <f t="shared" si="55"/>
        <v>Digimon: The Movie</v>
      </c>
      <c r="S2381" s="43" t="str">
        <f t="shared" si="57"/>
        <v>Action</v>
      </c>
    </row>
    <row r="2382" spans="1:19" ht="15.75" customHeight="1" x14ac:dyDescent="0.25">
      <c r="A2382" s="4" t="s">
        <v>468</v>
      </c>
      <c r="B2382" s="4">
        <v>129</v>
      </c>
      <c r="C2382" s="4">
        <v>16831505</v>
      </c>
      <c r="D2382" s="4" t="s">
        <v>832</v>
      </c>
      <c r="E2382" s="4" t="s">
        <v>954</v>
      </c>
      <c r="F2382" s="4" t="s">
        <v>7719</v>
      </c>
      <c r="G2382" s="4">
        <v>51842</v>
      </c>
      <c r="H2382" s="4" t="s">
        <v>7720</v>
      </c>
      <c r="I2382" s="4">
        <v>173</v>
      </c>
      <c r="J2382" s="4" t="s">
        <v>23</v>
      </c>
      <c r="K2382" s="4" t="s">
        <v>133</v>
      </c>
      <c r="L2382" s="4">
        <v>31000000</v>
      </c>
      <c r="M2382" s="4">
        <v>2004</v>
      </c>
      <c r="N2382" s="4">
        <v>6.3</v>
      </c>
      <c r="O2382" s="4">
        <f ca="1">IFERROR(__xludf.DUMMYFUNCTION("IF(Cost_in_dollars!E2382=""USD"",Cost_in_dollars!B2382,Cost_in_dollars!B2382 * GOOGLEFINANCE(""CURRENCY:"" &amp; Cost_in_dollars!E2382 &amp; ""USD""))
"),39847399.9999999)</f>
        <v>39847399.999999903</v>
      </c>
      <c r="P2382" s="4">
        <f ca="1">IFERROR(__xludf.DUMMYFUNCTION("IF(Cost_in_dollars!E2382=""USD"",Cost_in_dollars!C2382,Cost_in_dollars!C2382 * GOOGLEFINANCE(""CURRENCY:"" &amp; Cost_in_dollars!E2382 &amp; ""USD""))
"),21635216.527)</f>
        <v>21635216.526999999</v>
      </c>
      <c r="Q2382" s="4">
        <f t="shared" ca="1" si="54"/>
        <v>-18212183.472999904</v>
      </c>
      <c r="R2382" s="5" t="str">
        <f t="shared" si="55"/>
        <v>Wimbledon</v>
      </c>
      <c r="S2382" s="43" t="str">
        <f t="shared" si="57"/>
        <v>Comedy</v>
      </c>
    </row>
    <row r="2383" spans="1:19" ht="15.75" customHeight="1" x14ac:dyDescent="0.25">
      <c r="A2383" s="6" t="s">
        <v>1435</v>
      </c>
      <c r="B2383" s="6">
        <v>216</v>
      </c>
      <c r="C2383" s="6">
        <v>100125340</v>
      </c>
      <c r="D2383" s="6" t="s">
        <v>438</v>
      </c>
      <c r="E2383" s="6" t="s">
        <v>173</v>
      </c>
      <c r="F2383" s="6" t="s">
        <v>7721</v>
      </c>
      <c r="G2383" s="6">
        <v>1023511</v>
      </c>
      <c r="H2383" s="6" t="s">
        <v>7722</v>
      </c>
      <c r="I2383" s="6">
        <v>1080</v>
      </c>
      <c r="J2383" s="6" t="s">
        <v>23</v>
      </c>
      <c r="K2383" s="6" t="s">
        <v>24</v>
      </c>
      <c r="L2383" s="6">
        <v>33000000</v>
      </c>
      <c r="M2383" s="6">
        <v>1995</v>
      </c>
      <c r="N2383" s="6">
        <v>8.6</v>
      </c>
      <c r="O2383" s="4">
        <f ca="1">IFERROR(__xludf.DUMMYFUNCTION("IF(Cost_in_dollars!E2383=""USD"",Cost_in_dollars!B2383,Cost_in_dollars!B2383 * GOOGLEFINANCE(""CURRENCY:"" &amp; Cost_in_dollars!E2383 &amp; ""USD""))
"),33000000)</f>
        <v>33000000</v>
      </c>
      <c r="P2383" s="4">
        <f ca="1">IFERROR(__xludf.DUMMYFUNCTION("IF(Cost_in_dollars!E2383=""USD"",Cost_in_dollars!C2383,Cost_in_dollars!C2383 * GOOGLEFINANCE(""CURRENCY:"" &amp; Cost_in_dollars!E2383 &amp; ""USD""))
"),100125340)</f>
        <v>100125340</v>
      </c>
      <c r="Q2383" s="6">
        <f t="shared" ca="1" si="54"/>
        <v>67125340</v>
      </c>
      <c r="R2383" s="7" t="str">
        <f t="shared" si="55"/>
        <v>Se7en</v>
      </c>
      <c r="S2383" s="43" t="str">
        <f t="shared" si="57"/>
        <v>Crime</v>
      </c>
    </row>
    <row r="2384" spans="1:19" ht="15.75" customHeight="1" x14ac:dyDescent="0.25">
      <c r="A2384" s="4" t="s">
        <v>736</v>
      </c>
      <c r="B2384" s="4">
        <v>65</v>
      </c>
      <c r="C2384" s="4">
        <v>29106737</v>
      </c>
      <c r="D2384" s="4" t="s">
        <v>162</v>
      </c>
      <c r="E2384" s="4" t="s">
        <v>398</v>
      </c>
      <c r="F2384" s="4" t="s">
        <v>7723</v>
      </c>
      <c r="G2384" s="4">
        <v>15582</v>
      </c>
      <c r="H2384" s="4" t="s">
        <v>7724</v>
      </c>
      <c r="I2384" s="4">
        <v>132</v>
      </c>
      <c r="J2384" s="4" t="s">
        <v>23</v>
      </c>
      <c r="K2384" s="4" t="s">
        <v>24</v>
      </c>
      <c r="L2384" s="4">
        <v>15000000</v>
      </c>
      <c r="M2384" s="4">
        <v>1998</v>
      </c>
      <c r="N2384" s="4">
        <v>6</v>
      </c>
      <c r="O2384" s="4">
        <f ca="1">IFERROR(__xludf.DUMMYFUNCTION("IF(Cost_in_dollars!E2384=""USD"",Cost_in_dollars!B2384,Cost_in_dollars!B2384 * GOOGLEFINANCE(""CURRENCY:"" &amp; Cost_in_dollars!E2384 &amp; ""USD""))
"),15000000)</f>
        <v>15000000</v>
      </c>
      <c r="P2384" s="4">
        <f ca="1">IFERROR(__xludf.DUMMYFUNCTION("IF(Cost_in_dollars!E2384=""USD"",Cost_in_dollars!C2384,Cost_in_dollars!C2384 * GOOGLEFINANCE(""CURRENCY:"" &amp; Cost_in_dollars!E2384 &amp; ""USD""))
"),29106737)</f>
        <v>29106737</v>
      </c>
      <c r="Q2384" s="4">
        <f t="shared" ca="1" si="54"/>
        <v>14106737</v>
      </c>
      <c r="R2384" s="5" t="str">
        <f t="shared" si="55"/>
        <v>The Object of My Affection</v>
      </c>
      <c r="S2384" s="43" t="str">
        <f t="shared" si="57"/>
        <v>Comedy</v>
      </c>
    </row>
    <row r="2385" spans="1:19" ht="15.75" customHeight="1" x14ac:dyDescent="0.25">
      <c r="A2385" s="6" t="s">
        <v>1781</v>
      </c>
      <c r="B2385" s="6">
        <v>137</v>
      </c>
      <c r="C2385" s="6">
        <v>1089365</v>
      </c>
      <c r="D2385" s="6" t="s">
        <v>457</v>
      </c>
      <c r="E2385" s="6" t="s">
        <v>886</v>
      </c>
      <c r="F2385" s="6" t="s">
        <v>7725</v>
      </c>
      <c r="G2385" s="6">
        <v>23767</v>
      </c>
      <c r="H2385" s="6" t="s">
        <v>7726</v>
      </c>
      <c r="I2385" s="6">
        <v>111</v>
      </c>
      <c r="J2385" s="6" t="s">
        <v>23</v>
      </c>
      <c r="K2385" s="6" t="s">
        <v>24</v>
      </c>
      <c r="L2385" s="6">
        <v>25000000</v>
      </c>
      <c r="M2385" s="6">
        <v>2008</v>
      </c>
      <c r="N2385" s="6">
        <v>5.7</v>
      </c>
      <c r="O2385" s="4">
        <f ca="1">IFERROR(__xludf.DUMMYFUNCTION("IF(Cost_in_dollars!E2385=""USD"",Cost_in_dollars!B2385,Cost_in_dollars!B2385 * GOOGLEFINANCE(""CURRENCY:"" &amp; Cost_in_dollars!E2385 &amp; ""USD""))
"),25000000)</f>
        <v>25000000</v>
      </c>
      <c r="P2385" s="4">
        <f ca="1">IFERROR(__xludf.DUMMYFUNCTION("IF(Cost_in_dollars!E2385=""USD"",Cost_in_dollars!C2385,Cost_in_dollars!C2385 * GOOGLEFINANCE(""CURRENCY:"" &amp; Cost_in_dollars!E2385 &amp; ""USD""))
"),1089365)</f>
        <v>1089365</v>
      </c>
      <c r="Q2385" s="6">
        <f t="shared" ca="1" si="54"/>
        <v>-23910635</v>
      </c>
      <c r="R2385" s="7" t="str">
        <f t="shared" si="55"/>
        <v>What Just Happened</v>
      </c>
      <c r="S2385" s="43" t="str">
        <f t="shared" si="57"/>
        <v>Comedy</v>
      </c>
    </row>
    <row r="2386" spans="1:19" ht="15.75" customHeight="1" x14ac:dyDescent="0.25">
      <c r="A2386" s="4" t="s">
        <v>280</v>
      </c>
      <c r="B2386" s="4">
        <v>187</v>
      </c>
      <c r="C2386" s="4">
        <v>144512310</v>
      </c>
      <c r="D2386" s="4" t="s">
        <v>155</v>
      </c>
      <c r="E2386" s="4" t="s">
        <v>805</v>
      </c>
      <c r="F2386" s="4" t="s">
        <v>2705</v>
      </c>
      <c r="G2386" s="4">
        <v>272227</v>
      </c>
      <c r="H2386" s="4" t="s">
        <v>2706</v>
      </c>
      <c r="I2386" s="4">
        <v>988</v>
      </c>
      <c r="J2386" s="4" t="s">
        <v>23</v>
      </c>
      <c r="K2386" s="4" t="s">
        <v>24</v>
      </c>
      <c r="L2386" s="4">
        <v>38000000</v>
      </c>
      <c r="M2386" s="4">
        <v>2001</v>
      </c>
      <c r="N2386" s="4">
        <v>6.7</v>
      </c>
      <c r="O2386" s="4">
        <f ca="1">IFERROR(__xludf.DUMMYFUNCTION("IF(Cost_in_dollars!E2386=""USD"",Cost_in_dollars!B2386,Cost_in_dollars!B2386 * GOOGLEFINANCE(""CURRENCY:"" &amp; Cost_in_dollars!E2386 &amp; ""USD""))
"),38000000)</f>
        <v>38000000</v>
      </c>
      <c r="P2386" s="4">
        <f ca="1">IFERROR(__xludf.DUMMYFUNCTION("IF(Cost_in_dollars!E2386=""USD"",Cost_in_dollars!C2386,Cost_in_dollars!C2386 * GOOGLEFINANCE(""CURRENCY:"" &amp; Cost_in_dollars!E2386 &amp; ""USD""))
"),144512310)</f>
        <v>144512310</v>
      </c>
      <c r="Q2386" s="4">
        <f t="shared" ca="1" si="54"/>
        <v>106512310</v>
      </c>
      <c r="R2386" s="5" t="str">
        <f t="shared" si="55"/>
        <v>The Fast and the Furious</v>
      </c>
      <c r="S2386" s="43" t="str">
        <f t="shared" si="57"/>
        <v>Action</v>
      </c>
    </row>
    <row r="2387" spans="1:19" ht="15.75" customHeight="1" x14ac:dyDescent="0.25">
      <c r="A2387" s="6" t="s">
        <v>1317</v>
      </c>
      <c r="B2387" s="6">
        <v>9</v>
      </c>
      <c r="C2387" s="6">
        <v>17382982</v>
      </c>
      <c r="D2387" s="6" t="s">
        <v>372</v>
      </c>
      <c r="E2387" s="6" t="s">
        <v>3442</v>
      </c>
      <c r="F2387" s="6" t="s">
        <v>7727</v>
      </c>
      <c r="G2387" s="6">
        <v>5975</v>
      </c>
      <c r="H2387" s="6" t="s">
        <v>7728</v>
      </c>
      <c r="I2387" s="6">
        <v>33</v>
      </c>
      <c r="J2387" s="6" t="s">
        <v>1569</v>
      </c>
      <c r="K2387" s="6" t="s">
        <v>24</v>
      </c>
      <c r="L2387" s="6">
        <v>5000000</v>
      </c>
      <c r="M2387" s="6">
        <v>2014</v>
      </c>
      <c r="N2387" s="6">
        <v>5.2</v>
      </c>
      <c r="O2387" s="4">
        <f ca="1">IFERROR(__xludf.DUMMYFUNCTION("IF(Cost_in_dollars!E2387=""USD"",Cost_in_dollars!B2387,Cost_in_dollars!B2387 * GOOGLEFINANCE(""CURRENCY:"" &amp; Cost_in_dollars!E2387 &amp; ""USD""))
"),5000000)</f>
        <v>5000000</v>
      </c>
      <c r="P2387" s="4">
        <f ca="1">IFERROR(__xludf.DUMMYFUNCTION("IF(Cost_in_dollars!E2387=""USD"",Cost_in_dollars!C2387,Cost_in_dollars!C2387 * GOOGLEFINANCE(""CURRENCY:"" &amp; Cost_in_dollars!E2387 &amp; ""USD""))
"),17382982)</f>
        <v>17382982</v>
      </c>
      <c r="Q2387" s="6">
        <f t="shared" ca="1" si="54"/>
        <v>12382982</v>
      </c>
      <c r="R2387" s="7" t="str">
        <f t="shared" si="55"/>
        <v>Addicted</v>
      </c>
      <c r="S2387" s="43" t="str">
        <f t="shared" si="57"/>
        <v>Drama</v>
      </c>
    </row>
    <row r="2388" spans="1:19" ht="15.75" customHeight="1" x14ac:dyDescent="0.25">
      <c r="A2388" s="4" t="s">
        <v>1357</v>
      </c>
      <c r="B2388" s="4">
        <v>185</v>
      </c>
      <c r="C2388" s="4">
        <v>67263182</v>
      </c>
      <c r="D2388" s="4" t="s">
        <v>314</v>
      </c>
      <c r="E2388" s="4" t="s">
        <v>320</v>
      </c>
      <c r="F2388" s="4" t="s">
        <v>7729</v>
      </c>
      <c r="G2388" s="4">
        <v>218771</v>
      </c>
      <c r="H2388" s="4" t="s">
        <v>7730</v>
      </c>
      <c r="I2388" s="4">
        <v>651</v>
      </c>
      <c r="J2388" s="4" t="s">
        <v>23</v>
      </c>
      <c r="K2388" s="4" t="s">
        <v>24</v>
      </c>
      <c r="L2388" s="4">
        <v>46000000</v>
      </c>
      <c r="M2388" s="4">
        <v>2002</v>
      </c>
      <c r="N2388" s="4">
        <v>7.2</v>
      </c>
      <c r="O2388" s="4">
        <f ca="1">IFERROR(__xludf.DUMMYFUNCTION("IF(Cost_in_dollars!E2388=""USD"",Cost_in_dollars!B2388,Cost_in_dollars!B2388 * GOOGLEFINANCE(""CURRENCY:"" &amp; Cost_in_dollars!E2388 &amp; ""USD""))
"),46000000)</f>
        <v>46000000</v>
      </c>
      <c r="P2388" s="4">
        <f ca="1">IFERROR(__xludf.DUMMYFUNCTION("IF(Cost_in_dollars!E2388=""USD"",Cost_in_dollars!C2388,Cost_in_dollars!C2388 * GOOGLEFINANCE(""CURRENCY:"" &amp; Cost_in_dollars!E2388 &amp; ""USD""))
"),67263182)</f>
        <v>67263182</v>
      </c>
      <c r="Q2388" s="4">
        <f t="shared" ca="1" si="54"/>
        <v>21263182</v>
      </c>
      <c r="R2388" s="5" t="str">
        <f t="shared" si="55"/>
        <v>Insomnia</v>
      </c>
      <c r="S2388" s="43" t="str">
        <f t="shared" si="57"/>
        <v>Drama</v>
      </c>
    </row>
    <row r="2389" spans="1:19" ht="15.75" customHeight="1" x14ac:dyDescent="0.25">
      <c r="A2389" s="6" t="s">
        <v>7731</v>
      </c>
      <c r="B2389" s="6">
        <v>53</v>
      </c>
      <c r="C2389" s="6">
        <v>13019253</v>
      </c>
      <c r="D2389" s="6" t="s">
        <v>443</v>
      </c>
      <c r="E2389" s="6" t="s">
        <v>896</v>
      </c>
      <c r="F2389" s="6" t="s">
        <v>7732</v>
      </c>
      <c r="G2389" s="6">
        <v>3914</v>
      </c>
      <c r="H2389" s="6" t="s">
        <v>7733</v>
      </c>
      <c r="I2389" s="6">
        <v>47</v>
      </c>
      <c r="J2389" s="6" t="s">
        <v>23</v>
      </c>
      <c r="K2389" s="6" t="s">
        <v>24</v>
      </c>
      <c r="L2389" s="6">
        <v>23000000</v>
      </c>
      <c r="M2389" s="6">
        <v>2000</v>
      </c>
      <c r="N2389" s="6">
        <v>5.6</v>
      </c>
      <c r="O2389" s="4">
        <f ca="1">IFERROR(__xludf.DUMMYFUNCTION("IF(Cost_in_dollars!E2389=""USD"",Cost_in_dollars!B2389,Cost_in_dollars!B2389 * GOOGLEFINANCE(""CURRENCY:"" &amp; Cost_in_dollars!E2389 &amp; ""USD""))
"),23000000)</f>
        <v>23000000</v>
      </c>
      <c r="P2389" s="4">
        <f ca="1">IFERROR(__xludf.DUMMYFUNCTION("IF(Cost_in_dollars!E2389=""USD"",Cost_in_dollars!C2389,Cost_in_dollars!C2389 * GOOGLEFINANCE(""CURRENCY:"" &amp; Cost_in_dollars!E2389 &amp; ""USD""))
"),13019253)</f>
        <v>13019253</v>
      </c>
      <c r="Q2389" s="6">
        <f t="shared" ca="1" si="54"/>
        <v>-9980747</v>
      </c>
      <c r="R2389" s="7" t="str">
        <f t="shared" si="55"/>
        <v>The Crew</v>
      </c>
      <c r="S2389" s="43" t="str">
        <f t="shared" si="57"/>
        <v>Comedy</v>
      </c>
    </row>
    <row r="2390" spans="1:19" ht="15.75" customHeight="1" x14ac:dyDescent="0.25">
      <c r="A2390" s="4" t="s">
        <v>494</v>
      </c>
      <c r="B2390" s="4">
        <v>167</v>
      </c>
      <c r="C2390" s="4">
        <v>90341670</v>
      </c>
      <c r="D2390" s="4" t="s">
        <v>3674</v>
      </c>
      <c r="E2390" s="4" t="s">
        <v>49</v>
      </c>
      <c r="F2390" s="4" t="s">
        <v>7734</v>
      </c>
      <c r="G2390" s="4">
        <v>102129</v>
      </c>
      <c r="H2390" s="4" t="s">
        <v>7735</v>
      </c>
      <c r="I2390" s="4">
        <v>432</v>
      </c>
      <c r="J2390" s="4" t="s">
        <v>23</v>
      </c>
      <c r="K2390" s="4" t="s">
        <v>24</v>
      </c>
      <c r="L2390" s="4">
        <v>60000000</v>
      </c>
      <c r="M2390" s="4">
        <v>2002</v>
      </c>
      <c r="N2390" s="4">
        <v>5.5</v>
      </c>
      <c r="O2390" s="4">
        <f ca="1">IFERROR(__xludf.DUMMYFUNCTION("IF(Cost_in_dollars!E2390=""USD"",Cost_in_dollars!B2390,Cost_in_dollars!B2390 * GOOGLEFINANCE(""CURRENCY:"" &amp; Cost_in_dollars!E2390 &amp; ""USD""))
"),60000000)</f>
        <v>60000000</v>
      </c>
      <c r="P2390" s="4">
        <f ca="1">IFERROR(__xludf.DUMMYFUNCTION("IF(Cost_in_dollars!E2390=""USD"",Cost_in_dollars!C2390,Cost_in_dollars!C2390 * GOOGLEFINANCE(""CURRENCY:"" &amp; Cost_in_dollars!E2390 &amp; ""USD""))
"),90341670)</f>
        <v>90341670</v>
      </c>
      <c r="Q2390" s="4">
        <f t="shared" ca="1" si="54"/>
        <v>30341670</v>
      </c>
      <c r="R2390" s="5" t="str">
        <f t="shared" si="55"/>
        <v>The Scorpion King</v>
      </c>
      <c r="S2390" s="43" t="str">
        <f t="shared" si="57"/>
        <v>Action</v>
      </c>
    </row>
    <row r="2391" spans="1:19" ht="15.75" customHeight="1" x14ac:dyDescent="0.25">
      <c r="A2391" s="6" t="s">
        <v>2842</v>
      </c>
      <c r="B2391" s="6">
        <v>29</v>
      </c>
      <c r="C2391" s="6">
        <v>79817937</v>
      </c>
      <c r="D2391" s="6" t="s">
        <v>7736</v>
      </c>
      <c r="E2391" s="6" t="s">
        <v>3393</v>
      </c>
      <c r="F2391" s="6" t="s">
        <v>7737</v>
      </c>
      <c r="G2391" s="6">
        <v>39798</v>
      </c>
      <c r="H2391" s="6" t="s">
        <v>7738</v>
      </c>
      <c r="I2391" s="6">
        <v>69</v>
      </c>
      <c r="J2391" s="6" t="s">
        <v>23</v>
      </c>
      <c r="K2391" s="6" t="s">
        <v>24</v>
      </c>
      <c r="L2391" s="6">
        <v>25000000</v>
      </c>
      <c r="M2391" s="6">
        <v>1986</v>
      </c>
      <c r="N2391" s="6">
        <v>5.9</v>
      </c>
      <c r="O2391" s="4">
        <f ca="1">IFERROR(__xludf.DUMMYFUNCTION("IF(Cost_in_dollars!E2391=""USD"",Cost_in_dollars!B2391,Cost_in_dollars!B2391 * GOOGLEFINANCE(""CURRENCY:"" &amp; Cost_in_dollars!E2391 &amp; ""USD""))
"),25000000)</f>
        <v>25000000</v>
      </c>
      <c r="P2391" s="4">
        <f ca="1">IFERROR(__xludf.DUMMYFUNCTION("IF(Cost_in_dollars!E2391=""USD"",Cost_in_dollars!C2391,Cost_in_dollars!C2391 * GOOGLEFINANCE(""CURRENCY:"" &amp; Cost_in_dollars!E2391 &amp; ""USD""))
"),79817937)</f>
        <v>79817937</v>
      </c>
      <c r="Q2391" s="6">
        <f t="shared" ca="1" si="54"/>
        <v>54817937</v>
      </c>
      <c r="R2391" s="7" t="str">
        <f t="shared" si="55"/>
        <v>The Golden Child</v>
      </c>
      <c r="S2391" s="43" t="str">
        <f t="shared" si="57"/>
        <v>Action</v>
      </c>
    </row>
    <row r="2392" spans="1:19" ht="15.75" customHeight="1" x14ac:dyDescent="0.25">
      <c r="A2392" s="4" t="s">
        <v>713</v>
      </c>
      <c r="B2392" s="4">
        <v>53</v>
      </c>
      <c r="C2392" s="4">
        <v>4835968</v>
      </c>
      <c r="D2392" s="4" t="s">
        <v>477</v>
      </c>
      <c r="E2392" s="4" t="s">
        <v>7739</v>
      </c>
      <c r="F2392" s="4" t="s">
        <v>7740</v>
      </c>
      <c r="G2392" s="4">
        <v>4821</v>
      </c>
      <c r="H2392" s="4" t="s">
        <v>7741</v>
      </c>
      <c r="I2392" s="4">
        <v>82</v>
      </c>
      <c r="J2392" s="4" t="s">
        <v>23</v>
      </c>
      <c r="K2392" s="4" t="s">
        <v>133</v>
      </c>
      <c r="L2392" s="4">
        <v>40000000</v>
      </c>
      <c r="M2392" s="4">
        <v>2002</v>
      </c>
      <c r="N2392" s="4">
        <v>4.5</v>
      </c>
      <c r="O2392" s="4">
        <f ca="1">IFERROR(__xludf.DUMMYFUNCTION("IF(Cost_in_dollars!E2392=""USD"",Cost_in_dollars!B2392,Cost_in_dollars!B2392 * GOOGLEFINANCE(""CURRENCY:"" &amp; Cost_in_dollars!E2392 &amp; ""USD""))
"),51415999.9999999)</f>
        <v>51415999.999999903</v>
      </c>
      <c r="P2392" s="4">
        <f ca="1">IFERROR(__xludf.DUMMYFUNCTION("IF(Cost_in_dollars!E2392=""USD"",Cost_in_dollars!C2392,Cost_in_dollars!C2392 * GOOGLEFINANCE(""CURRENCY:"" &amp; Cost_in_dollars!E2392 &amp; ""USD""))
"),6216153.2672)</f>
        <v>6216153.2671999997</v>
      </c>
      <c r="Q2392" s="4">
        <f t="shared" ca="1" si="54"/>
        <v>-45199846.732799903</v>
      </c>
      <c r="R2392" s="5" t="str">
        <f t="shared" si="55"/>
        <v>Extreme Ops</v>
      </c>
      <c r="S2392" s="43" t="str">
        <f t="shared" si="57"/>
        <v>Action</v>
      </c>
    </row>
    <row r="2393" spans="1:19" ht="15.75" customHeight="1" x14ac:dyDescent="0.25">
      <c r="A2393" s="6" t="s">
        <v>7742</v>
      </c>
      <c r="B2393" s="6">
        <v>143</v>
      </c>
      <c r="C2393" s="6">
        <v>160762022</v>
      </c>
      <c r="D2393" s="6" t="s">
        <v>1827</v>
      </c>
      <c r="E2393" s="6" t="s">
        <v>886</v>
      </c>
      <c r="F2393" s="6" t="s">
        <v>7743</v>
      </c>
      <c r="G2393" s="6">
        <v>132415</v>
      </c>
      <c r="H2393" s="6" t="s">
        <v>7744</v>
      </c>
      <c r="I2393" s="6">
        <v>288</v>
      </c>
      <c r="J2393" s="6" t="s">
        <v>23</v>
      </c>
      <c r="K2393" s="6" t="s">
        <v>24</v>
      </c>
      <c r="L2393" s="6">
        <v>75000000</v>
      </c>
      <c r="M2393" s="6">
        <v>2004</v>
      </c>
      <c r="N2393" s="6">
        <v>6</v>
      </c>
      <c r="O2393" s="4">
        <f ca="1">IFERROR(__xludf.DUMMYFUNCTION("IF(Cost_in_dollars!E2393=""USD"",Cost_in_dollars!B2393,Cost_in_dollars!B2393 * GOOGLEFINANCE(""CURRENCY:"" &amp; Cost_in_dollars!E2393 &amp; ""USD""))
"),75000000)</f>
        <v>75000000</v>
      </c>
      <c r="P2393" s="4">
        <f ca="1">IFERROR(__xludf.DUMMYFUNCTION("IF(Cost_in_dollars!E2393=""USD"",Cost_in_dollars!C2393,Cost_in_dollars!C2393 * GOOGLEFINANCE(""CURRENCY:"" &amp; Cost_in_dollars!E2393 &amp; ""USD""))
"),160762022)</f>
        <v>160762022</v>
      </c>
      <c r="Q2393" s="6">
        <f t="shared" ca="1" si="54"/>
        <v>85762022</v>
      </c>
      <c r="R2393" s="7" t="str">
        <f t="shared" si="55"/>
        <v>Shark Tale</v>
      </c>
      <c r="S2393" s="43" t="str">
        <f t="shared" si="57"/>
        <v>Adventure</v>
      </c>
    </row>
    <row r="2394" spans="1:19" ht="15.75" customHeight="1" x14ac:dyDescent="0.25">
      <c r="A2394" s="4" t="s">
        <v>643</v>
      </c>
      <c r="B2394" s="4">
        <v>538</v>
      </c>
      <c r="C2394" s="4">
        <v>150117807</v>
      </c>
      <c r="D2394" s="4" t="s">
        <v>53</v>
      </c>
      <c r="E2394" s="4" t="s">
        <v>1507</v>
      </c>
      <c r="F2394" s="4" t="s">
        <v>7745</v>
      </c>
      <c r="G2394" s="4">
        <v>358416</v>
      </c>
      <c r="H2394" s="4" t="s">
        <v>7746</v>
      </c>
      <c r="I2394" s="4">
        <v>751</v>
      </c>
      <c r="J2394" s="4" t="s">
        <v>23</v>
      </c>
      <c r="K2394" s="4" t="s">
        <v>24</v>
      </c>
      <c r="L2394" s="4">
        <v>40000000</v>
      </c>
      <c r="M2394" s="4">
        <v>2013</v>
      </c>
      <c r="N2394" s="4">
        <v>7.3</v>
      </c>
      <c r="O2394" s="4">
        <f ca="1">IFERROR(__xludf.DUMMYFUNCTION("IF(Cost_in_dollars!E2394=""USD"",Cost_in_dollars!B2394,Cost_in_dollars!B2394 * GOOGLEFINANCE(""CURRENCY:"" &amp; Cost_in_dollars!E2394 &amp; ""USD""))
"),40000000)</f>
        <v>40000000</v>
      </c>
      <c r="P2394" s="4">
        <f ca="1">IFERROR(__xludf.DUMMYFUNCTION("IF(Cost_in_dollars!E2394=""USD"",Cost_in_dollars!C2394,Cost_in_dollars!C2394 * GOOGLEFINANCE(""CURRENCY:"" &amp; Cost_in_dollars!E2394 &amp; ""USD""))
"),150117807)</f>
        <v>150117807</v>
      </c>
      <c r="Q2394" s="4">
        <f t="shared" ca="1" si="54"/>
        <v>110117807</v>
      </c>
      <c r="R2394" s="5" t="str">
        <f t="shared" si="55"/>
        <v>American Hustle</v>
      </c>
      <c r="S2394" s="43" t="str">
        <f t="shared" si="57"/>
        <v>Crime</v>
      </c>
    </row>
    <row r="2395" spans="1:19" ht="15.75" customHeight="1" x14ac:dyDescent="0.25">
      <c r="A2395" s="6" t="s">
        <v>850</v>
      </c>
      <c r="B2395" s="6">
        <v>120</v>
      </c>
      <c r="C2395" s="6">
        <v>3798532</v>
      </c>
      <c r="D2395" s="6" t="s">
        <v>813</v>
      </c>
      <c r="E2395" s="6" t="s">
        <v>7747</v>
      </c>
      <c r="F2395" s="6" t="s">
        <v>7748</v>
      </c>
      <c r="G2395" s="6">
        <v>41138</v>
      </c>
      <c r="H2395" s="6" t="s">
        <v>7749</v>
      </c>
      <c r="I2395" s="6">
        <v>208</v>
      </c>
      <c r="J2395" s="6" t="s">
        <v>23</v>
      </c>
      <c r="K2395" s="6" t="s">
        <v>24</v>
      </c>
      <c r="L2395" s="6">
        <v>4500000</v>
      </c>
      <c r="M2395" s="6">
        <v>1996</v>
      </c>
      <c r="N2395" s="6">
        <v>7.4</v>
      </c>
      <c r="O2395" s="4">
        <f ca="1">IFERROR(__xludf.DUMMYFUNCTION("IF(Cost_in_dollars!E2395=""USD"",Cost_in_dollars!B2395,Cost_in_dollars!B2395 * GOOGLEFINANCE(""CURRENCY:"" &amp; Cost_in_dollars!E2395 &amp; ""USD""))
"),4500000)</f>
        <v>4500000</v>
      </c>
      <c r="P2395" s="4">
        <f ca="1">IFERROR(__xludf.DUMMYFUNCTION("IF(Cost_in_dollars!E2395=""USD"",Cost_in_dollars!C2395,Cost_in_dollars!C2395 * GOOGLEFINANCE(""CURRENCY:"" &amp; Cost_in_dollars!E2395 &amp; ""USD""))
"),3798532)</f>
        <v>3798532</v>
      </c>
      <c r="Q2395" s="6">
        <f t="shared" ca="1" si="54"/>
        <v>-701468</v>
      </c>
      <c r="R2395" s="7" t="str">
        <f t="shared" si="55"/>
        <v>Bound</v>
      </c>
      <c r="S2395" s="43" t="str">
        <f t="shared" si="57"/>
        <v>Crime</v>
      </c>
    </row>
    <row r="2396" spans="1:19" ht="15.75" customHeight="1" x14ac:dyDescent="0.25">
      <c r="A2396" s="4" t="s">
        <v>7445</v>
      </c>
      <c r="B2396" s="4">
        <v>88</v>
      </c>
      <c r="C2396" s="4">
        <v>11883495</v>
      </c>
      <c r="D2396" s="4" t="s">
        <v>58</v>
      </c>
      <c r="E2396" s="4" t="s">
        <v>1402</v>
      </c>
      <c r="F2396" s="4" t="s">
        <v>7750</v>
      </c>
      <c r="G2396" s="4">
        <v>52805</v>
      </c>
      <c r="H2396" s="4" t="s">
        <v>7751</v>
      </c>
      <c r="I2396" s="4">
        <v>278</v>
      </c>
      <c r="J2396" s="4" t="s">
        <v>23</v>
      </c>
      <c r="K2396" s="4" t="s">
        <v>133</v>
      </c>
      <c r="L2396" s="4">
        <v>9000000</v>
      </c>
      <c r="M2396" s="4">
        <v>1998</v>
      </c>
      <c r="N2396" s="4">
        <v>6.8</v>
      </c>
      <c r="O2396" s="4">
        <f ca="1">IFERROR(__xludf.DUMMYFUNCTION("IF(Cost_in_dollars!E2396=""USD"",Cost_in_dollars!B2396,Cost_in_dollars!B2396 * GOOGLEFINANCE(""CURRENCY:"" &amp; Cost_in_dollars!E2396 &amp; ""USD""))
"),11568599.9999999)</f>
        <v>11568599.999999899</v>
      </c>
      <c r="P2396" s="4">
        <f ca="1">IFERROR(__xludf.DUMMYFUNCTION("IF(Cost_in_dollars!E2396=""USD"",Cost_in_dollars!C2396,Cost_in_dollars!C2396 * GOOGLEFINANCE(""CURRENCY:"" &amp; Cost_in_dollars!E2396 &amp; ""USD""))
"),15275044.473)</f>
        <v>15275044.472999999</v>
      </c>
      <c r="Q2396" s="4">
        <f t="shared" ca="1" si="54"/>
        <v>3706444.4730000999</v>
      </c>
      <c r="R2396" s="5" t="str">
        <f t="shared" si="55"/>
        <v>Sliding Doors</v>
      </c>
      <c r="S2396" s="43" t="str">
        <f t="shared" si="57"/>
        <v>Comedy</v>
      </c>
    </row>
    <row r="2397" spans="1:19" ht="15.75" customHeight="1" x14ac:dyDescent="0.25">
      <c r="A2397" s="6" t="s">
        <v>4999</v>
      </c>
      <c r="B2397" s="6">
        <v>322</v>
      </c>
      <c r="C2397" s="6">
        <v>130468626</v>
      </c>
      <c r="D2397" s="6" t="s">
        <v>797</v>
      </c>
      <c r="E2397" s="6" t="s">
        <v>7752</v>
      </c>
      <c r="F2397" s="6" t="s">
        <v>7753</v>
      </c>
      <c r="G2397" s="6">
        <v>53607</v>
      </c>
      <c r="H2397" s="6" t="s">
        <v>7754</v>
      </c>
      <c r="I2397" s="6">
        <v>432</v>
      </c>
      <c r="J2397" s="6" t="s">
        <v>23</v>
      </c>
      <c r="K2397" s="6" t="s">
        <v>24</v>
      </c>
      <c r="L2397" s="6">
        <v>185000000</v>
      </c>
      <c r="M2397" s="6">
        <v>2016</v>
      </c>
      <c r="N2397" s="6">
        <v>7.5</v>
      </c>
      <c r="O2397" s="4">
        <f ca="1">IFERROR(__xludf.DUMMYFUNCTION("IF(Cost_in_dollars!E2397=""USD"",Cost_in_dollars!B2397,Cost_in_dollars!B2397 * GOOGLEFINANCE(""CURRENCY:"" &amp; Cost_in_dollars!E2397 &amp; ""USD""))
"),185000000)</f>
        <v>185000000</v>
      </c>
      <c r="P2397" s="4">
        <f ca="1">IFERROR(__xludf.DUMMYFUNCTION("IF(Cost_in_dollars!E2397=""USD"",Cost_in_dollars!C2397,Cost_in_dollars!C2397 * GOOGLEFINANCE(""CURRENCY:"" &amp; Cost_in_dollars!E2397 &amp; ""USD""))
"),130468626)</f>
        <v>130468626</v>
      </c>
      <c r="Q2397" s="6">
        <f t="shared" ca="1" si="54"/>
        <v>-54531374</v>
      </c>
      <c r="R2397" s="7" t="str">
        <f t="shared" si="55"/>
        <v>Star Trek Beyond</v>
      </c>
      <c r="S2397" s="43" t="str">
        <f t="shared" si="57"/>
        <v>Action</v>
      </c>
    </row>
    <row r="2398" spans="1:19" ht="15.75" customHeight="1" x14ac:dyDescent="0.25">
      <c r="A2398" s="4" t="s">
        <v>7755</v>
      </c>
      <c r="B2398" s="4">
        <v>66</v>
      </c>
      <c r="C2398" s="4">
        <v>18595716</v>
      </c>
      <c r="D2398" s="4" t="s">
        <v>4756</v>
      </c>
      <c r="E2398" s="4" t="s">
        <v>7756</v>
      </c>
      <c r="F2398" s="4" t="s">
        <v>7757</v>
      </c>
      <c r="G2398" s="4">
        <v>30462</v>
      </c>
      <c r="H2398" s="4" t="s">
        <v>7758</v>
      </c>
      <c r="I2398" s="4">
        <v>150</v>
      </c>
      <c r="J2398" s="4" t="s">
        <v>23</v>
      </c>
      <c r="K2398" s="4" t="s">
        <v>24</v>
      </c>
      <c r="L2398" s="4">
        <v>12000000</v>
      </c>
      <c r="M2398" s="4">
        <v>2006</v>
      </c>
      <c r="N2398" s="4">
        <v>5.3</v>
      </c>
      <c r="O2398" s="4">
        <f ca="1">IFERROR(__xludf.DUMMYFUNCTION("IF(Cost_in_dollars!E2398=""USD"",Cost_in_dollars!B2398,Cost_in_dollars!B2398 * GOOGLEFINANCE(""CURRENCY:"" &amp; Cost_in_dollars!E2398 &amp; ""USD""))
"),12000000)</f>
        <v>12000000</v>
      </c>
      <c r="P2398" s="4">
        <f ca="1">IFERROR(__xludf.DUMMYFUNCTION("IF(Cost_in_dollars!E2398=""USD"",Cost_in_dollars!C2398,Cost_in_dollars!C2398 * GOOGLEFINANCE(""CURRENCY:"" &amp; Cost_in_dollars!E2398 &amp; ""USD""))
"),18595716)</f>
        <v>18595716</v>
      </c>
      <c r="Q2398" s="4">
        <f t="shared" ca="1" si="54"/>
        <v>6595716</v>
      </c>
      <c r="R2398" s="5" t="str">
        <f t="shared" si="55"/>
        <v>Aquamarine</v>
      </c>
      <c r="S2398" s="43" t="str">
        <f t="shared" si="57"/>
        <v>Comedy</v>
      </c>
    </row>
    <row r="2399" spans="1:19" ht="15.75" customHeight="1" x14ac:dyDescent="0.25">
      <c r="A2399" s="6" t="s">
        <v>1378</v>
      </c>
      <c r="B2399" s="6">
        <v>590</v>
      </c>
      <c r="C2399" s="6">
        <v>228756232</v>
      </c>
      <c r="D2399" s="6" t="s">
        <v>188</v>
      </c>
      <c r="E2399" s="6" t="s">
        <v>561</v>
      </c>
      <c r="F2399" s="6" t="s">
        <v>7759</v>
      </c>
      <c r="G2399" s="6">
        <v>395573</v>
      </c>
      <c r="H2399" s="6" t="s">
        <v>7760</v>
      </c>
      <c r="I2399" s="6">
        <v>1171</v>
      </c>
      <c r="J2399" s="6" t="s">
        <v>23</v>
      </c>
      <c r="K2399" s="6" t="s">
        <v>24</v>
      </c>
      <c r="L2399" s="6">
        <v>190000000</v>
      </c>
      <c r="M2399" s="6">
        <v>2013</v>
      </c>
      <c r="N2399" s="6">
        <v>7.8</v>
      </c>
      <c r="O2399" s="4">
        <f ca="1">IFERROR(__xludf.DUMMYFUNCTION("IF(Cost_in_dollars!E2399=""USD"",Cost_in_dollars!B2399,Cost_in_dollars!B2399 * GOOGLEFINANCE(""CURRENCY:"" &amp; Cost_in_dollars!E2399 &amp; ""USD""))
"),190000000)</f>
        <v>190000000</v>
      </c>
      <c r="P2399" s="4">
        <f ca="1">IFERROR(__xludf.DUMMYFUNCTION("IF(Cost_in_dollars!E2399=""USD"",Cost_in_dollars!C2399,Cost_in_dollars!C2399 * GOOGLEFINANCE(""CURRENCY:"" &amp; Cost_in_dollars!E2399 &amp; ""USD""))
"),228756232)</f>
        <v>228756232</v>
      </c>
      <c r="Q2399" s="6">
        <f t="shared" ca="1" si="54"/>
        <v>38756232</v>
      </c>
      <c r="R2399" s="7" t="str">
        <f t="shared" si="55"/>
        <v>Star Trek Into Darkness</v>
      </c>
      <c r="S2399" s="43" t="str">
        <f t="shared" si="57"/>
        <v>Action</v>
      </c>
    </row>
    <row r="2400" spans="1:19" ht="15.75" customHeight="1" x14ac:dyDescent="0.25">
      <c r="A2400" s="4" t="s">
        <v>476</v>
      </c>
      <c r="B2400" s="4">
        <v>25</v>
      </c>
      <c r="C2400" s="4">
        <v>45500797</v>
      </c>
      <c r="D2400" s="4" t="s">
        <v>2002</v>
      </c>
      <c r="E2400" s="4" t="s">
        <v>7761</v>
      </c>
      <c r="F2400" s="4" t="s">
        <v>7762</v>
      </c>
      <c r="G2400" s="4">
        <v>17443</v>
      </c>
      <c r="H2400" s="4" t="s">
        <v>7763</v>
      </c>
      <c r="I2400" s="4">
        <v>56</v>
      </c>
      <c r="J2400" s="4" t="s">
        <v>23</v>
      </c>
      <c r="K2400" s="4" t="s">
        <v>24</v>
      </c>
      <c r="L2400" s="4">
        <v>40000000</v>
      </c>
      <c r="M2400" s="4">
        <v>1992</v>
      </c>
      <c r="N2400" s="4">
        <v>6</v>
      </c>
      <c r="O2400" s="4">
        <f ca="1">IFERROR(__xludf.DUMMYFUNCTION("IF(Cost_in_dollars!E2400=""USD"",Cost_in_dollars!B2400,Cost_in_dollars!B2400 * GOOGLEFINANCE(""CURRENCY:"" &amp; Cost_in_dollars!E2400 &amp; ""USD""))
"),40000000)</f>
        <v>40000000</v>
      </c>
      <c r="P2400" s="4">
        <f ca="1">IFERROR(__xludf.DUMMYFUNCTION("IF(Cost_in_dollars!E2400=""USD"",Cost_in_dollars!C2400,Cost_in_dollars!C2400 * GOOGLEFINANCE(""CURRENCY:"" &amp; Cost_in_dollars!E2400 &amp; ""USD""))
"),45500797)</f>
        <v>45500797</v>
      </c>
      <c r="Q2400" s="4">
        <f t="shared" ca="1" si="54"/>
        <v>5500797</v>
      </c>
      <c r="R2400" s="5" t="str">
        <f t="shared" si="55"/>
        <v>Medicine Man</v>
      </c>
      <c r="S2400" s="43" t="str">
        <f t="shared" si="57"/>
        <v>Adventure</v>
      </c>
    </row>
    <row r="2401" spans="1:19" ht="15.75" customHeight="1" x14ac:dyDescent="0.25">
      <c r="A2401" s="6" t="s">
        <v>7764</v>
      </c>
      <c r="B2401" s="6">
        <v>198</v>
      </c>
      <c r="C2401" s="6">
        <v>42592530</v>
      </c>
      <c r="D2401" s="6" t="s">
        <v>1102</v>
      </c>
      <c r="E2401" s="6" t="s">
        <v>2682</v>
      </c>
      <c r="F2401" s="6" t="s">
        <v>7765</v>
      </c>
      <c r="G2401" s="6">
        <v>29867</v>
      </c>
      <c r="H2401" s="6" t="s">
        <v>7766</v>
      </c>
      <c r="I2401" s="6">
        <v>181</v>
      </c>
      <c r="J2401" s="6" t="s">
        <v>23</v>
      </c>
      <c r="K2401" s="6" t="s">
        <v>24</v>
      </c>
      <c r="L2401" s="6">
        <v>15000000</v>
      </c>
      <c r="M2401" s="6">
        <v>2015</v>
      </c>
      <c r="N2401" s="6">
        <v>6.2</v>
      </c>
      <c r="O2401" s="4">
        <f ca="1">IFERROR(__xludf.DUMMYFUNCTION("IF(Cost_in_dollars!E2401=""USD"",Cost_in_dollars!B2401,Cost_in_dollars!B2401 * GOOGLEFINANCE(""CURRENCY:"" &amp; Cost_in_dollars!E2401 &amp; ""USD""))
"),15000000)</f>
        <v>15000000</v>
      </c>
      <c r="P2401" s="4">
        <f ca="1">IFERROR(__xludf.DUMMYFUNCTION("IF(Cost_in_dollars!E2401=""USD"",Cost_in_dollars!C2401,Cost_in_dollars!C2401 * GOOGLEFINANCE(""CURRENCY:"" &amp; Cost_in_dollars!E2401 &amp; ""USD""))
"),42592530)</f>
        <v>42592530</v>
      </c>
      <c r="Q2401" s="6">
        <f t="shared" ca="1" si="54"/>
        <v>27592530</v>
      </c>
      <c r="R2401" s="7" t="str">
        <f t="shared" si="55"/>
        <v>Krampus</v>
      </c>
      <c r="S2401" s="43" t="str">
        <f t="shared" si="57"/>
        <v>Comedy</v>
      </c>
    </row>
    <row r="2402" spans="1:19" ht="15.75" customHeight="1" x14ac:dyDescent="0.25">
      <c r="A2402" s="4" t="s">
        <v>3990</v>
      </c>
      <c r="B2402" s="4">
        <v>49</v>
      </c>
      <c r="C2402" s="4">
        <v>233103</v>
      </c>
      <c r="D2402" s="4" t="s">
        <v>102</v>
      </c>
      <c r="E2402" s="4" t="s">
        <v>6867</v>
      </c>
      <c r="F2402" s="4" t="s">
        <v>7767</v>
      </c>
      <c r="G2402" s="4">
        <v>2670</v>
      </c>
      <c r="H2402" s="4" t="s">
        <v>7768</v>
      </c>
      <c r="I2402" s="4">
        <v>50</v>
      </c>
      <c r="J2402" s="4" t="s">
        <v>23</v>
      </c>
      <c r="K2402" s="4" t="s">
        <v>133</v>
      </c>
      <c r="L2402" s="4">
        <v>7000000</v>
      </c>
      <c r="M2402" s="4">
        <v>2005</v>
      </c>
      <c r="N2402" s="4">
        <v>6.9</v>
      </c>
      <c r="O2402" s="4">
        <f ca="1">IFERROR(__xludf.DUMMYFUNCTION("IF(Cost_in_dollars!E2402=""USD"",Cost_in_dollars!B2402,Cost_in_dollars!B2402 * GOOGLEFINANCE(""CURRENCY:"" &amp; Cost_in_dollars!E2402 &amp; ""USD""))
"),8997800)</f>
        <v>8997800</v>
      </c>
      <c r="P2402" s="4">
        <f ca="1">IFERROR(__xludf.DUMMYFUNCTION("IF(Cost_in_dollars!E2402=""USD"",Cost_in_dollars!C2402,Cost_in_dollars!C2402 * GOOGLEFINANCE(""CURRENCY:"" &amp; Cost_in_dollars!E2402 &amp; ""USD""))
"),299630.596199999)</f>
        <v>299630.59619999898</v>
      </c>
      <c r="Q2402" s="4">
        <f t="shared" ca="1" si="54"/>
        <v>-8698169.4038000014</v>
      </c>
      <c r="R2402" s="5" t="str">
        <f t="shared" si="55"/>
        <v>Wah-Wah</v>
      </c>
      <c r="S2402" s="43" t="str">
        <f t="shared" si="57"/>
        <v>Drama</v>
      </c>
    </row>
    <row r="2403" spans="1:19" ht="15.75" customHeight="1" x14ac:dyDescent="0.25">
      <c r="A2403" s="6" t="s">
        <v>4421</v>
      </c>
      <c r="B2403" s="6">
        <v>141</v>
      </c>
      <c r="C2403" s="6">
        <v>1197786</v>
      </c>
      <c r="D2403" s="6" t="s">
        <v>155</v>
      </c>
      <c r="E2403" s="6" t="s">
        <v>7769</v>
      </c>
      <c r="F2403" s="6" t="s">
        <v>7770</v>
      </c>
      <c r="G2403" s="6">
        <v>55928</v>
      </c>
      <c r="H2403" s="6" t="s">
        <v>7771</v>
      </c>
      <c r="I2403" s="6">
        <v>157</v>
      </c>
      <c r="J2403" s="6" t="s">
        <v>661</v>
      </c>
      <c r="K2403" s="6" t="s">
        <v>611</v>
      </c>
      <c r="L2403" s="6">
        <v>12000000</v>
      </c>
      <c r="M2403" s="6">
        <v>2004</v>
      </c>
      <c r="N2403" s="6">
        <v>7.2</v>
      </c>
      <c r="O2403" s="4">
        <f ca="1">IFERROR(__xludf.DUMMYFUNCTION("IF(Cost_in_dollars!E2403=""USD"",Cost_in_dollars!B2403,Cost_in_dollars!B2403 * GOOGLEFINANCE(""CURRENCY:"" &amp; Cost_in_dollars!E2403 &amp; ""USD""))
"),13016880)</f>
        <v>13016880</v>
      </c>
      <c r="P2403" s="4">
        <f ca="1">IFERROR(__xludf.DUMMYFUNCTION("IF(Cost_in_dollars!E2403=""USD"",Cost_in_dollars!C2403,Cost_in_dollars!C2403 * GOOGLEFINANCE(""CURRENCY:"" &amp; Cost_in_dollars!E2403 &amp; ""USD""))
"),1299286.38564)</f>
        <v>1299286.38564</v>
      </c>
      <c r="Q2403" s="6">
        <f t="shared" ca="1" si="54"/>
        <v>-11717593.614360001</v>
      </c>
      <c r="R2403" s="7" t="str">
        <f t="shared" si="55"/>
        <v>District B13</v>
      </c>
      <c r="S2403" s="43" t="str">
        <f t="shared" si="57"/>
        <v>Action</v>
      </c>
    </row>
    <row r="2404" spans="1:19" ht="15.75" customHeight="1" x14ac:dyDescent="0.25">
      <c r="A2404" s="4" t="s">
        <v>3302</v>
      </c>
      <c r="B2404" s="4">
        <v>238</v>
      </c>
      <c r="C2404" s="4">
        <v>31051126</v>
      </c>
      <c r="D2404" s="4" t="s">
        <v>1827</v>
      </c>
      <c r="E2404" s="4" t="s">
        <v>4874</v>
      </c>
      <c r="F2404" s="4" t="s">
        <v>7772</v>
      </c>
      <c r="G2404" s="4">
        <v>36877</v>
      </c>
      <c r="H2404" s="4" t="s">
        <v>7773</v>
      </c>
      <c r="I2404" s="4">
        <v>101</v>
      </c>
      <c r="J2404" s="4" t="s">
        <v>23</v>
      </c>
      <c r="K2404" s="4" t="s">
        <v>133</v>
      </c>
      <c r="L2404" s="4">
        <v>55000000</v>
      </c>
      <c r="M2404" s="4">
        <v>2012</v>
      </c>
      <c r="N2404" s="4">
        <v>6.7</v>
      </c>
      <c r="O2404" s="4">
        <f ca="1">IFERROR(__xludf.DUMMYFUNCTION("IF(Cost_in_dollars!E2404=""USD"",Cost_in_dollars!B2404,Cost_in_dollars!B2404 * GOOGLEFINANCE(""CURRENCY:"" &amp; Cost_in_dollars!E2404 &amp; ""USD""))
"),70697000)</f>
        <v>70697000</v>
      </c>
      <c r="P2404" s="4">
        <f ca="1">IFERROR(__xludf.DUMMYFUNCTION("IF(Cost_in_dollars!E2404=""USD"",Cost_in_dollars!C2404,Cost_in_dollars!C2404 * GOOGLEFINANCE(""CURRENCY:"" &amp; Cost_in_dollars!E2404 &amp; ""USD""))
"),39913117.3604)</f>
        <v>39913117.360399999</v>
      </c>
      <c r="Q2404" s="4">
        <f t="shared" ca="1" si="54"/>
        <v>-30783882.639600001</v>
      </c>
      <c r="R2404" s="5" t="str">
        <f t="shared" si="55"/>
        <v>The Pirates! Band of Misfits</v>
      </c>
      <c r="S2404" s="43" t="str">
        <f t="shared" si="57"/>
        <v>Adventure</v>
      </c>
    </row>
    <row r="2405" spans="1:19" ht="15.75" customHeight="1" x14ac:dyDescent="0.25">
      <c r="A2405" s="6" t="s">
        <v>7774</v>
      </c>
      <c r="B2405" s="6">
        <v>16</v>
      </c>
      <c r="C2405" s="6">
        <v>42880</v>
      </c>
      <c r="D2405" s="6" t="s">
        <v>235</v>
      </c>
      <c r="E2405" s="6" t="s">
        <v>886</v>
      </c>
      <c r="F2405" s="6" t="s">
        <v>7775</v>
      </c>
      <c r="G2405" s="6">
        <v>2919</v>
      </c>
      <c r="H2405" s="6" t="s">
        <v>7776</v>
      </c>
      <c r="I2405" s="6">
        <v>50</v>
      </c>
      <c r="J2405" s="6" t="s">
        <v>23</v>
      </c>
      <c r="K2405" s="6" t="s">
        <v>133</v>
      </c>
      <c r="L2405" s="6">
        <v>24000000</v>
      </c>
      <c r="M2405" s="6">
        <v>2004</v>
      </c>
      <c r="N2405" s="6">
        <v>5.0999999999999996</v>
      </c>
      <c r="O2405" s="4">
        <f ca="1">IFERROR(__xludf.DUMMYFUNCTION("IF(Cost_in_dollars!E2405=""USD"",Cost_in_dollars!B2405,Cost_in_dollars!B2405 * GOOGLEFINANCE(""CURRENCY:"" &amp; Cost_in_dollars!E2405 &amp; ""USD""))
"),30849599.9999999)</f>
        <v>30849599.999999899</v>
      </c>
      <c r="P2405" s="4">
        <f ca="1">IFERROR(__xludf.DUMMYFUNCTION("IF(Cost_in_dollars!E2405=""USD"",Cost_in_dollars!C2405,Cost_in_dollars!C2405 * GOOGLEFINANCE(""CURRENCY:"" &amp; Cost_in_dollars!E2405 &amp; ""USD""))
"),55117.952)</f>
        <v>55117.951999999997</v>
      </c>
      <c r="Q2405" s="6">
        <f t="shared" ca="1" si="54"/>
        <v>-30794482.0479999</v>
      </c>
      <c r="R2405" s="7" t="str">
        <f t="shared" si="55"/>
        <v>The Bridge of San Luis Rey</v>
      </c>
      <c r="S2405" s="43" t="str">
        <f t="shared" si="57"/>
        <v>Drama</v>
      </c>
    </row>
    <row r="2406" spans="1:19" ht="15.75" customHeight="1" x14ac:dyDescent="0.25">
      <c r="A2406" s="4" t="s">
        <v>3423</v>
      </c>
      <c r="B2406" s="4">
        <v>62</v>
      </c>
      <c r="C2406" s="4">
        <v>11900000</v>
      </c>
      <c r="D2406" s="4" t="s">
        <v>1176</v>
      </c>
      <c r="E2406" s="4" t="s">
        <v>330</v>
      </c>
      <c r="F2406" s="4" t="s">
        <v>7777</v>
      </c>
      <c r="G2406" s="4">
        <v>11003</v>
      </c>
      <c r="H2406" s="4" t="s">
        <v>7778</v>
      </c>
      <c r="I2406" s="4">
        <v>148</v>
      </c>
      <c r="J2406" s="4" t="s">
        <v>23</v>
      </c>
      <c r="K2406" s="4" t="s">
        <v>24</v>
      </c>
      <c r="L2406" s="4">
        <v>30000000</v>
      </c>
      <c r="M2406" s="4">
        <v>1999</v>
      </c>
      <c r="N2406" s="4">
        <v>5.5</v>
      </c>
      <c r="O2406" s="4">
        <f ca="1">IFERROR(__xludf.DUMMYFUNCTION("IF(Cost_in_dollars!E2406=""USD"",Cost_in_dollars!B2406,Cost_in_dollars!B2406 * GOOGLEFINANCE(""CURRENCY:"" &amp; Cost_in_dollars!E2406 &amp; ""USD""))
"),30000000)</f>
        <v>30000000</v>
      </c>
      <c r="P2406" s="4">
        <f ca="1">IFERROR(__xludf.DUMMYFUNCTION("IF(Cost_in_dollars!E2406=""USD"",Cost_in_dollars!C2406,Cost_in_dollars!C2406 * GOOGLEFINANCE(""CURRENCY:"" &amp; Cost_in_dollars!E2406 &amp; ""USD""))
"),11900000)</f>
        <v>11900000</v>
      </c>
      <c r="Q2406" s="4">
        <f t="shared" ca="1" si="54"/>
        <v>-18100000</v>
      </c>
      <c r="R2406" s="5" t="str">
        <f t="shared" si="55"/>
        <v>In Dreams</v>
      </c>
      <c r="S2406" s="43" t="str">
        <f t="shared" si="57"/>
        <v>Drama</v>
      </c>
    </row>
    <row r="2407" spans="1:19" ht="15.75" customHeight="1" x14ac:dyDescent="0.25">
      <c r="A2407" s="6" t="s">
        <v>7779</v>
      </c>
      <c r="B2407" s="6">
        <v>32</v>
      </c>
      <c r="C2407" s="6">
        <v>13829734</v>
      </c>
      <c r="D2407" s="6" t="s">
        <v>7780</v>
      </c>
      <c r="E2407" s="6" t="s">
        <v>3492</v>
      </c>
      <c r="F2407" s="6" t="s">
        <v>7781</v>
      </c>
      <c r="G2407" s="6">
        <v>16194</v>
      </c>
      <c r="H2407" s="6" t="s">
        <v>7782</v>
      </c>
      <c r="I2407" s="6">
        <v>79</v>
      </c>
      <c r="J2407" s="6" t="s">
        <v>23</v>
      </c>
      <c r="K2407" s="6" t="s">
        <v>627</v>
      </c>
      <c r="L2407" s="6">
        <v>26000000</v>
      </c>
      <c r="M2407" s="6">
        <v>1994</v>
      </c>
      <c r="N2407" s="6">
        <v>4.3</v>
      </c>
      <c r="O2407" s="4">
        <f ca="1">IFERROR(__xludf.DUMMYFUNCTION("IF(Cost_in_dollars!E2407=""USD"",Cost_in_dollars!B2407,Cost_in_dollars!B2407 * GOOGLEFINANCE(""CURRENCY:"" &amp; Cost_in_dollars!E2407 &amp; ""USD""))
"),18808530)</f>
        <v>18808530</v>
      </c>
      <c r="P2407" s="4">
        <f ca="1">IFERROR(__xludf.DUMMYFUNCTION("IF(Cost_in_dollars!E2407=""USD"",Cost_in_dollars!C2407,Cost_in_dollars!C2407 * GOOGLEFINANCE(""CURRENCY:"" &amp; Cost_in_dollars!E2407 &amp; ""USD""))
"),10004498.72427)</f>
        <v>10004498.724269999</v>
      </c>
      <c r="Q2407" s="6">
        <f t="shared" ca="1" si="54"/>
        <v>-8804031.2757300008</v>
      </c>
      <c r="R2407" s="7" t="str">
        <f t="shared" si="55"/>
        <v>Highlander: The Final Dimension</v>
      </c>
      <c r="S2407" s="43" t="str">
        <f t="shared" si="57"/>
        <v>Action</v>
      </c>
    </row>
    <row r="2408" spans="1:19" ht="15.75" customHeight="1" x14ac:dyDescent="0.25">
      <c r="A2408" s="4" t="s">
        <v>508</v>
      </c>
      <c r="B2408" s="4">
        <v>453</v>
      </c>
      <c r="C2408" s="4">
        <v>312057433</v>
      </c>
      <c r="D2408" s="4" t="s">
        <v>188</v>
      </c>
      <c r="E2408" s="4" t="s">
        <v>330</v>
      </c>
      <c r="F2408" s="4" t="s">
        <v>7783</v>
      </c>
      <c r="G2408" s="4">
        <v>522371</v>
      </c>
      <c r="H2408" s="4" t="s">
        <v>7784</v>
      </c>
      <c r="I2408" s="4">
        <v>723</v>
      </c>
      <c r="J2408" s="4" t="s">
        <v>23</v>
      </c>
      <c r="K2408" s="4" t="s">
        <v>24</v>
      </c>
      <c r="L2408" s="4">
        <v>200000000</v>
      </c>
      <c r="M2408" s="4">
        <v>2010</v>
      </c>
      <c r="N2408" s="4">
        <v>7</v>
      </c>
      <c r="O2408" s="4">
        <f ca="1">IFERROR(__xludf.DUMMYFUNCTION("IF(Cost_in_dollars!E2408=""USD"",Cost_in_dollars!B2408,Cost_in_dollars!B2408 * GOOGLEFINANCE(""CURRENCY:"" &amp; Cost_in_dollars!E2408 &amp; ""USD""))
"),200000000)</f>
        <v>200000000</v>
      </c>
      <c r="P2408" s="4">
        <f ca="1">IFERROR(__xludf.DUMMYFUNCTION("IF(Cost_in_dollars!E2408=""USD"",Cost_in_dollars!C2408,Cost_in_dollars!C2408 * GOOGLEFINANCE(""CURRENCY:"" &amp; Cost_in_dollars!E2408 &amp; ""USD""))
"),312057433)</f>
        <v>312057433</v>
      </c>
      <c r="Q2408" s="4">
        <f t="shared" ca="1" si="54"/>
        <v>112057433</v>
      </c>
      <c r="R2408" s="5" t="str">
        <f t="shared" si="55"/>
        <v>Iron Man 2</v>
      </c>
      <c r="S2408" s="43" t="str">
        <f t="shared" si="57"/>
        <v>Action</v>
      </c>
    </row>
    <row r="2409" spans="1:19" ht="15.75" customHeight="1" x14ac:dyDescent="0.25">
      <c r="A2409" s="6" t="s">
        <v>7427</v>
      </c>
      <c r="B2409" s="6">
        <v>84</v>
      </c>
      <c r="C2409" s="6">
        <v>56505065</v>
      </c>
      <c r="D2409" s="6" t="s">
        <v>7785</v>
      </c>
      <c r="E2409" s="6" t="s">
        <v>189</v>
      </c>
      <c r="F2409" s="6" t="s">
        <v>7786</v>
      </c>
      <c r="G2409" s="6">
        <v>95241</v>
      </c>
      <c r="H2409" s="6" t="s">
        <v>7787</v>
      </c>
      <c r="I2409" s="6">
        <v>439</v>
      </c>
      <c r="J2409" s="6" t="s">
        <v>23</v>
      </c>
      <c r="K2409" s="6" t="s">
        <v>24</v>
      </c>
      <c r="L2409" s="6">
        <v>25000000</v>
      </c>
      <c r="M2409" s="6">
        <v>1993</v>
      </c>
      <c r="N2409" s="6">
        <v>7.8</v>
      </c>
      <c r="O2409" s="4">
        <f ca="1">IFERROR(__xludf.DUMMYFUNCTION("IF(Cost_in_dollars!E2409=""USD"",Cost_in_dollars!B2409,Cost_in_dollars!B2409 * GOOGLEFINANCE(""CURRENCY:"" &amp; Cost_in_dollars!E2409 &amp; ""USD""))
"),25000000)</f>
        <v>25000000</v>
      </c>
      <c r="P2409" s="4">
        <f ca="1">IFERROR(__xludf.DUMMYFUNCTION("IF(Cost_in_dollars!E2409=""USD"",Cost_in_dollars!C2409,Cost_in_dollars!C2409 * GOOGLEFINANCE(""CURRENCY:"" &amp; Cost_in_dollars!E2409 &amp; ""USD""))
"),56505065)</f>
        <v>56505065</v>
      </c>
      <c r="Q2409" s="6">
        <f t="shared" ca="1" si="54"/>
        <v>31505065</v>
      </c>
      <c r="R2409" s="7" t="str">
        <f t="shared" si="55"/>
        <v>Tombstone</v>
      </c>
      <c r="S2409" s="43" t="str">
        <f t="shared" si="57"/>
        <v>Action</v>
      </c>
    </row>
    <row r="2410" spans="1:19" ht="15.75" customHeight="1" x14ac:dyDescent="0.25">
      <c r="A2410" s="4" t="s">
        <v>4398</v>
      </c>
      <c r="B2410" s="4">
        <v>54</v>
      </c>
      <c r="C2410" s="4">
        <v>52929168</v>
      </c>
      <c r="D2410" s="4" t="s">
        <v>443</v>
      </c>
      <c r="E2410" s="4" t="s">
        <v>7788</v>
      </c>
      <c r="F2410" s="4" t="s">
        <v>7789</v>
      </c>
      <c r="G2410" s="4">
        <v>82743</v>
      </c>
      <c r="H2410" s="4" t="s">
        <v>7790</v>
      </c>
      <c r="I2410" s="4">
        <v>201</v>
      </c>
      <c r="J2410" s="4" t="s">
        <v>23</v>
      </c>
      <c r="K2410" s="4" t="s">
        <v>24</v>
      </c>
      <c r="L2410" s="4">
        <v>11000000</v>
      </c>
      <c r="M2410" s="4">
        <v>1992</v>
      </c>
      <c r="N2410" s="4">
        <v>7.5</v>
      </c>
      <c r="O2410" s="4">
        <f ca="1">IFERROR(__xludf.DUMMYFUNCTION("IF(Cost_in_dollars!E2410=""USD"",Cost_in_dollars!B2410,Cost_in_dollars!B2410 * GOOGLEFINANCE(""CURRENCY:"" &amp; Cost_in_dollars!E2410 &amp; ""USD""))
"),11000000)</f>
        <v>11000000</v>
      </c>
      <c r="P2410" s="4">
        <f ca="1">IFERROR(__xludf.DUMMYFUNCTION("IF(Cost_in_dollars!E2410=""USD"",Cost_in_dollars!C2410,Cost_in_dollars!C2410 * GOOGLEFINANCE(""CURRENCY:"" &amp; Cost_in_dollars!E2410 &amp; ""USD""))
"),52929168)</f>
        <v>52929168</v>
      </c>
      <c r="Q2410" s="4">
        <f t="shared" ca="1" si="54"/>
        <v>41929168</v>
      </c>
      <c r="R2410" s="5" t="str">
        <f t="shared" si="55"/>
        <v>My Cousin Vinny</v>
      </c>
      <c r="S2410" s="43" t="str">
        <f t="shared" si="57"/>
        <v>Comedy</v>
      </c>
    </row>
    <row r="2411" spans="1:19" ht="15.75" customHeight="1" x14ac:dyDescent="0.25">
      <c r="A2411" s="6" t="s">
        <v>7791</v>
      </c>
      <c r="B2411" s="6">
        <v>10</v>
      </c>
      <c r="C2411" s="6">
        <v>2119994</v>
      </c>
      <c r="D2411" s="6" t="s">
        <v>7792</v>
      </c>
      <c r="E2411" s="6" t="s">
        <v>7793</v>
      </c>
      <c r="F2411" s="6" t="s">
        <v>7794</v>
      </c>
      <c r="G2411" s="6">
        <v>1153</v>
      </c>
      <c r="H2411" s="6" t="s">
        <v>7795</v>
      </c>
      <c r="I2411" s="6">
        <v>15</v>
      </c>
      <c r="J2411" s="6" t="s">
        <v>23</v>
      </c>
      <c r="K2411" s="6" t="s">
        <v>24</v>
      </c>
      <c r="L2411" s="6">
        <v>19000000</v>
      </c>
      <c r="M2411" s="6">
        <v>1993</v>
      </c>
      <c r="N2411" s="6">
        <v>5.7</v>
      </c>
      <c r="O2411" s="4">
        <f ca="1">IFERROR(__xludf.DUMMYFUNCTION("IF(Cost_in_dollars!E2411=""USD"",Cost_in_dollars!B2411,Cost_in_dollars!B2411 * GOOGLEFINANCE(""CURRENCY:"" &amp; Cost_in_dollars!E2411 &amp; ""USD""))
"),19000000)</f>
        <v>19000000</v>
      </c>
      <c r="P2411" s="4">
        <f ca="1">IFERROR(__xludf.DUMMYFUNCTION("IF(Cost_in_dollars!E2411=""USD"",Cost_in_dollars!C2411,Cost_in_dollars!C2411 * GOOGLEFINANCE(""CURRENCY:"" &amp; Cost_in_dollars!E2411 &amp; ""USD""))
"),2119994)</f>
        <v>2119994</v>
      </c>
      <c r="Q2411" s="6">
        <f t="shared" ca="1" si="54"/>
        <v>-16880006</v>
      </c>
      <c r="R2411" s="7" t="str">
        <f t="shared" si="55"/>
        <v>The Nutcracker</v>
      </c>
      <c r="S2411" s="43" t="str">
        <f t="shared" si="57"/>
        <v>Family</v>
      </c>
    </row>
    <row r="2412" spans="1:19" ht="15.75" customHeight="1" x14ac:dyDescent="0.25">
      <c r="A2412" s="4" t="s">
        <v>7796</v>
      </c>
      <c r="B2412" s="4">
        <v>222</v>
      </c>
      <c r="C2412" s="4">
        <v>66009973</v>
      </c>
      <c r="D2412" s="4" t="s">
        <v>465</v>
      </c>
      <c r="E2412" s="4" t="s">
        <v>1601</v>
      </c>
      <c r="F2412" s="4" t="s">
        <v>7797</v>
      </c>
      <c r="G2412" s="4">
        <v>38202</v>
      </c>
      <c r="H2412" s="4" t="s">
        <v>7798</v>
      </c>
      <c r="I2412" s="4">
        <v>135</v>
      </c>
      <c r="J2412" s="4" t="s">
        <v>23</v>
      </c>
      <c r="K2412" s="4" t="s">
        <v>24</v>
      </c>
      <c r="L2412" s="4">
        <v>14800000</v>
      </c>
      <c r="M2412" s="4">
        <v>2015</v>
      </c>
      <c r="N2412" s="4">
        <v>5.7</v>
      </c>
      <c r="O2412" s="4">
        <f ca="1">IFERROR(__xludf.DUMMYFUNCTION("IF(Cost_in_dollars!E2412=""USD"",Cost_in_dollars!B2412,Cost_in_dollars!B2412 * GOOGLEFINANCE(""CURRENCY:"" &amp; Cost_in_dollars!E2412 &amp; ""USD""))
"),14800000)</f>
        <v>14800000</v>
      </c>
      <c r="P2412" s="4">
        <f ca="1">IFERROR(__xludf.DUMMYFUNCTION("IF(Cost_in_dollars!E2412=""USD"",Cost_in_dollars!C2412,Cost_in_dollars!C2412 * GOOGLEFINANCE(""CURRENCY:"" &amp; Cost_in_dollars!E2412 &amp; ""USD""))
"),66009973)</f>
        <v>66009973</v>
      </c>
      <c r="Q2412" s="4">
        <f t="shared" ca="1" si="54"/>
        <v>51209973</v>
      </c>
      <c r="R2412" s="5" t="str">
        <f t="shared" si="55"/>
        <v>Magic Mike XXL</v>
      </c>
      <c r="S2412" s="43" t="str">
        <f t="shared" si="57"/>
        <v>Comedy</v>
      </c>
    </row>
    <row r="2413" spans="1:19" ht="15.75" customHeight="1" x14ac:dyDescent="0.25">
      <c r="A2413" s="6" t="s">
        <v>7799</v>
      </c>
      <c r="B2413" s="6">
        <v>48</v>
      </c>
      <c r="C2413" s="6">
        <v>27445</v>
      </c>
      <c r="D2413" s="6" t="s">
        <v>7800</v>
      </c>
      <c r="E2413" s="6" t="s">
        <v>998</v>
      </c>
      <c r="F2413" s="6" t="s">
        <v>7801</v>
      </c>
      <c r="G2413" s="6">
        <v>3788</v>
      </c>
      <c r="H2413" s="6" t="s">
        <v>7802</v>
      </c>
      <c r="I2413" s="6">
        <v>31</v>
      </c>
      <c r="J2413" s="6" t="s">
        <v>23</v>
      </c>
      <c r="K2413" s="6" t="s">
        <v>24</v>
      </c>
      <c r="L2413" s="6">
        <v>9000000</v>
      </c>
      <c r="M2413" s="6">
        <v>2011</v>
      </c>
      <c r="N2413" s="6">
        <v>5.3</v>
      </c>
      <c r="O2413" s="4">
        <f ca="1">IFERROR(__xludf.DUMMYFUNCTION("IF(Cost_in_dollars!E2413=""USD"",Cost_in_dollars!B2413,Cost_in_dollars!B2413 * GOOGLEFINANCE(""CURRENCY:"" &amp; Cost_in_dollars!E2413 &amp; ""USD""))
"),9000000)</f>
        <v>9000000</v>
      </c>
      <c r="P2413" s="4">
        <f ca="1">IFERROR(__xludf.DUMMYFUNCTION("IF(Cost_in_dollars!E2413=""USD"",Cost_in_dollars!C2413,Cost_in_dollars!C2413 * GOOGLEFINANCE(""CURRENCY:"" &amp; Cost_in_dollars!E2413 &amp; ""USD""))
"),27445)</f>
        <v>27445</v>
      </c>
      <c r="Q2413" s="6">
        <f t="shared" ca="1" si="54"/>
        <v>-8972555</v>
      </c>
      <c r="R2413" s="7" t="str">
        <f t="shared" si="55"/>
        <v>Salvation Boulevard</v>
      </c>
      <c r="S2413" s="43" t="str">
        <f t="shared" si="57"/>
        <v>Action</v>
      </c>
    </row>
    <row r="2414" spans="1:19" ht="15.75" customHeight="1" x14ac:dyDescent="0.25">
      <c r="A2414" s="4" t="s">
        <v>7803</v>
      </c>
      <c r="B2414" s="4">
        <v>44</v>
      </c>
      <c r="C2414" s="4">
        <v>22200000</v>
      </c>
      <c r="D2414" s="4" t="s">
        <v>162</v>
      </c>
      <c r="E2414" s="4" t="s">
        <v>84</v>
      </c>
      <c r="F2414" s="4" t="s">
        <v>7804</v>
      </c>
      <c r="G2414" s="4">
        <v>41310</v>
      </c>
      <c r="H2414" s="4" t="s">
        <v>7805</v>
      </c>
      <c r="I2414" s="4">
        <v>117</v>
      </c>
      <c r="J2414" s="4" t="s">
        <v>23</v>
      </c>
      <c r="K2414" s="4" t="s">
        <v>24</v>
      </c>
      <c r="L2414" s="4">
        <v>25000000</v>
      </c>
      <c r="M2414" s="4">
        <v>1994</v>
      </c>
      <c r="N2414" s="4">
        <v>6.8</v>
      </c>
      <c r="O2414" s="4">
        <f ca="1">IFERROR(__xludf.DUMMYFUNCTION("IF(Cost_in_dollars!E2414=""USD"",Cost_in_dollars!B2414,Cost_in_dollars!B2414 * GOOGLEFINANCE(""CURRENCY:"" &amp; Cost_in_dollars!E2414 &amp; ""USD""))
"),25000000)</f>
        <v>25000000</v>
      </c>
      <c r="P2414" s="4">
        <f ca="1">IFERROR(__xludf.DUMMYFUNCTION("IF(Cost_in_dollars!E2414=""USD"",Cost_in_dollars!C2414,Cost_in_dollars!C2414 * GOOGLEFINANCE(""CURRENCY:"" &amp; Cost_in_dollars!E2414 &amp; ""USD""))
"),22200000)</f>
        <v>22200000</v>
      </c>
      <c r="Q2414" s="4">
        <f t="shared" ca="1" si="54"/>
        <v>-2800000</v>
      </c>
      <c r="R2414" s="5" t="str">
        <f t="shared" si="55"/>
        <v>Don Juan DeMarco</v>
      </c>
      <c r="S2414" s="43" t="str">
        <f t="shared" si="57"/>
        <v>Comedy</v>
      </c>
    </row>
    <row r="2415" spans="1:19" ht="15.75" customHeight="1" x14ac:dyDescent="0.25">
      <c r="A2415" s="6" t="s">
        <v>1697</v>
      </c>
      <c r="B2415" s="6">
        <v>253</v>
      </c>
      <c r="C2415" s="6">
        <v>60128566</v>
      </c>
      <c r="D2415" s="6" t="s">
        <v>4556</v>
      </c>
      <c r="E2415" s="6" t="s">
        <v>64</v>
      </c>
      <c r="F2415" s="6" t="s">
        <v>7806</v>
      </c>
      <c r="G2415" s="6">
        <v>131447</v>
      </c>
      <c r="H2415" s="6" t="s">
        <v>7807</v>
      </c>
      <c r="I2415" s="6">
        <v>410</v>
      </c>
      <c r="J2415" s="6" t="s">
        <v>23</v>
      </c>
      <c r="K2415" s="6" t="s">
        <v>176</v>
      </c>
      <c r="L2415" s="6">
        <v>60000000</v>
      </c>
      <c r="M2415" s="6">
        <v>2010</v>
      </c>
      <c r="N2415" s="6">
        <v>5.9</v>
      </c>
      <c r="O2415" s="4">
        <f ca="1">IFERROR(__xludf.DUMMYFUNCTION("IF(Cost_in_dollars!E2415=""USD"",Cost_in_dollars!B2415,Cost_in_dollars!B2415 * GOOGLEFINANCE(""CURRENCY:"" &amp; Cost_in_dollars!E2415 &amp; ""USD""))
"),65084400)</f>
        <v>65084400</v>
      </c>
      <c r="P2415" s="4">
        <f ca="1">IFERROR(__xludf.DUMMYFUNCTION("IF(Cost_in_dollars!E2415=""USD"",Cost_in_dollars!C2415,Cost_in_dollars!C2415 * GOOGLEFINANCE(""CURRENCY:"" &amp; Cost_in_dollars!E2415 &amp; ""USD""))
"),65223860.68284)</f>
        <v>65223860.682839997</v>
      </c>
      <c r="Q2415" s="6">
        <f t="shared" ca="1" si="54"/>
        <v>139460.68283999711</v>
      </c>
      <c r="R2415" s="7" t="str">
        <f t="shared" si="55"/>
        <v>Resident Evil: Afterlife</v>
      </c>
      <c r="S2415" s="43" t="str">
        <f t="shared" si="57"/>
        <v>Action</v>
      </c>
    </row>
    <row r="2416" spans="1:19" ht="15.75" customHeight="1" x14ac:dyDescent="0.25">
      <c r="A2416" s="4" t="s">
        <v>5883</v>
      </c>
      <c r="B2416" s="4">
        <v>222</v>
      </c>
      <c r="C2416" s="4">
        <v>12712093</v>
      </c>
      <c r="D2416" s="4" t="s">
        <v>68</v>
      </c>
      <c r="E2416" s="4" t="s">
        <v>1595</v>
      </c>
      <c r="F2416" s="4" t="s">
        <v>7808</v>
      </c>
      <c r="G2416" s="4">
        <v>70771</v>
      </c>
      <c r="H2416" s="4" t="s">
        <v>7809</v>
      </c>
      <c r="I2416" s="4">
        <v>671</v>
      </c>
      <c r="J2416" s="4" t="s">
        <v>23</v>
      </c>
      <c r="K2416" s="4" t="s">
        <v>24</v>
      </c>
      <c r="L2416" s="4">
        <v>30000000</v>
      </c>
      <c r="M2416" s="4">
        <v>2005</v>
      </c>
      <c r="N2416" s="4">
        <v>6.7</v>
      </c>
      <c r="O2416" s="4">
        <f ca="1">IFERROR(__xludf.DUMMYFUNCTION("IF(Cost_in_dollars!E2416=""USD"",Cost_in_dollars!B2416,Cost_in_dollars!B2416 * GOOGLEFINANCE(""CURRENCY:"" &amp; Cost_in_dollars!E2416 &amp; ""USD""))
"),30000000)</f>
        <v>30000000</v>
      </c>
      <c r="P2416" s="4">
        <f ca="1">IFERROR(__xludf.DUMMYFUNCTION("IF(Cost_in_dollars!E2416=""USD"",Cost_in_dollars!C2416,Cost_in_dollars!C2416 * GOOGLEFINANCE(""CURRENCY:"" &amp; Cost_in_dollars!E2416 &amp; ""USD""))
"),12712093)</f>
        <v>12712093</v>
      </c>
      <c r="Q2416" s="4">
        <f t="shared" ca="1" si="54"/>
        <v>-17287907</v>
      </c>
      <c r="R2416" s="5" t="str">
        <f t="shared" si="55"/>
        <v>The New World</v>
      </c>
      <c r="S2416" s="43" t="str">
        <f t="shared" si="57"/>
        <v>Biography</v>
      </c>
    </row>
    <row r="2417" spans="1:19" ht="15.75" customHeight="1" x14ac:dyDescent="0.25">
      <c r="A2417" s="6" t="s">
        <v>2033</v>
      </c>
      <c r="B2417" s="6">
        <v>434</v>
      </c>
      <c r="C2417" s="6">
        <v>101160529</v>
      </c>
      <c r="D2417" s="6" t="s">
        <v>3882</v>
      </c>
      <c r="E2417" s="6" t="s">
        <v>240</v>
      </c>
      <c r="F2417" s="6" t="s">
        <v>7810</v>
      </c>
      <c r="G2417" s="6">
        <v>200022</v>
      </c>
      <c r="H2417" s="6" t="s">
        <v>7811</v>
      </c>
      <c r="I2417" s="6">
        <v>1240</v>
      </c>
      <c r="J2417" s="6" t="s">
        <v>23</v>
      </c>
      <c r="K2417" s="6" t="s">
        <v>24</v>
      </c>
      <c r="L2417" s="6">
        <v>125000000</v>
      </c>
      <c r="M2417" s="6">
        <v>2014</v>
      </c>
      <c r="N2417" s="6">
        <v>5.8</v>
      </c>
      <c r="O2417" s="4">
        <f ca="1">IFERROR(__xludf.DUMMYFUNCTION("IF(Cost_in_dollars!E2417=""USD"",Cost_in_dollars!B2417,Cost_in_dollars!B2417 * GOOGLEFINANCE(""CURRENCY:"" &amp; Cost_in_dollars!E2417 &amp; ""USD""))
"),125000000)</f>
        <v>125000000</v>
      </c>
      <c r="P2417" s="4">
        <f ca="1">IFERROR(__xludf.DUMMYFUNCTION("IF(Cost_in_dollars!E2417=""USD"",Cost_in_dollars!C2417,Cost_in_dollars!C2417 * GOOGLEFINANCE(""CURRENCY:"" &amp; Cost_in_dollars!E2417 &amp; ""USD""))
"),101160529)</f>
        <v>101160529</v>
      </c>
      <c r="Q2417" s="6">
        <f t="shared" ca="1" si="54"/>
        <v>-23839471</v>
      </c>
      <c r="R2417" s="7" t="str">
        <f t="shared" si="55"/>
        <v>Noah</v>
      </c>
      <c r="S2417" s="43" t="str">
        <f t="shared" si="57"/>
        <v>Action</v>
      </c>
    </row>
    <row r="2418" spans="1:19" ht="15.75" customHeight="1" x14ac:dyDescent="0.25">
      <c r="A2418" s="4" t="s">
        <v>7812</v>
      </c>
      <c r="B2418" s="4">
        <v>33</v>
      </c>
      <c r="C2418" s="4">
        <v>110029</v>
      </c>
      <c r="D2418" s="4" t="s">
        <v>6098</v>
      </c>
      <c r="E2418" s="4" t="s">
        <v>7813</v>
      </c>
      <c r="F2418" s="4" t="s">
        <v>7814</v>
      </c>
      <c r="G2418" s="4">
        <v>1388</v>
      </c>
      <c r="H2418" s="4" t="s">
        <v>7815</v>
      </c>
      <c r="I2418" s="4">
        <v>31</v>
      </c>
      <c r="J2418" s="4" t="s">
        <v>23</v>
      </c>
      <c r="K2418" s="4" t="s">
        <v>149</v>
      </c>
      <c r="L2418" s="4">
        <v>6500000</v>
      </c>
      <c r="M2418" s="4">
        <v>2009</v>
      </c>
      <c r="N2418" s="4">
        <v>6.3</v>
      </c>
      <c r="O2418" s="4">
        <f ca="1">IFERROR(__xludf.DUMMYFUNCTION("IF(Cost_in_dollars!E2418=""USD"",Cost_in_dollars!B2418,Cost_in_dollars!B2418 * GOOGLEFINANCE(""CURRENCY:"" &amp; Cost_in_dollars!E2418 &amp; ""USD""))
"),4250220)</f>
        <v>4250220</v>
      </c>
      <c r="P2418" s="4">
        <f ca="1">IFERROR(__xludf.DUMMYFUNCTION("IF(Cost_in_dollars!E2418=""USD"",Cost_in_dollars!C2418,Cost_in_dollars!C2418 * GOOGLEFINANCE(""CURRENCY:"" &amp; Cost_in_dollars!E2418 &amp; ""USD""))
"),71945.76252)</f>
        <v>71945.762520000004</v>
      </c>
      <c r="Q2418" s="4">
        <f t="shared" ca="1" si="54"/>
        <v>-4178274.2374800001</v>
      </c>
      <c r="R2418" s="5" t="str">
        <f t="shared" si="55"/>
        <v>Bran Nue Dae</v>
      </c>
      <c r="S2418" s="43" t="str">
        <f t="shared" si="57"/>
        <v>Comedy</v>
      </c>
    </row>
    <row r="2419" spans="1:19" ht="15.75" customHeight="1" x14ac:dyDescent="0.25">
      <c r="A2419" s="6" t="s">
        <v>962</v>
      </c>
      <c r="B2419" s="6">
        <v>171</v>
      </c>
      <c r="C2419" s="6">
        <v>75530832</v>
      </c>
      <c r="D2419" s="6" t="s">
        <v>135</v>
      </c>
      <c r="E2419" s="6" t="s">
        <v>320</v>
      </c>
      <c r="F2419" s="6" t="s">
        <v>7816</v>
      </c>
      <c r="G2419" s="6">
        <v>97047</v>
      </c>
      <c r="H2419" s="6" t="s">
        <v>7817</v>
      </c>
      <c r="I2419" s="6">
        <v>452</v>
      </c>
      <c r="J2419" s="6" t="s">
        <v>23</v>
      </c>
      <c r="K2419" s="6" t="s">
        <v>24</v>
      </c>
      <c r="L2419" s="6">
        <v>55000000</v>
      </c>
      <c r="M2419" s="6">
        <v>1999</v>
      </c>
      <c r="N2419" s="6">
        <v>6.8</v>
      </c>
      <c r="O2419" s="4">
        <f ca="1">IFERROR(__xludf.DUMMYFUNCTION("IF(Cost_in_dollars!E2419=""USD"",Cost_in_dollars!B2419,Cost_in_dollars!B2419 * GOOGLEFINANCE(""CURRENCY:"" &amp; Cost_in_dollars!E2419 &amp; ""USD""))
"),55000000)</f>
        <v>55000000</v>
      </c>
      <c r="P2419" s="4">
        <f ca="1">IFERROR(__xludf.DUMMYFUNCTION("IF(Cost_in_dollars!E2419=""USD"",Cost_in_dollars!C2419,Cost_in_dollars!C2419 * GOOGLEFINANCE(""CURRENCY:"" &amp; Cost_in_dollars!E2419 &amp; ""USD""))
"),75530832)</f>
        <v>75530832</v>
      </c>
      <c r="Q2419" s="6">
        <f t="shared" ca="1" si="54"/>
        <v>20530832</v>
      </c>
      <c r="R2419" s="7" t="str">
        <f t="shared" si="55"/>
        <v>Any Given Sunday</v>
      </c>
      <c r="S2419" s="43" t="str">
        <f t="shared" si="57"/>
        <v>Drama</v>
      </c>
    </row>
    <row r="2420" spans="1:19" ht="15.75" customHeight="1" x14ac:dyDescent="0.25">
      <c r="A2420" s="4" t="s">
        <v>1098</v>
      </c>
      <c r="B2420" s="4">
        <v>68</v>
      </c>
      <c r="C2420" s="4">
        <v>354704</v>
      </c>
      <c r="D2420" s="4" t="s">
        <v>876</v>
      </c>
      <c r="E2420" s="4" t="s">
        <v>487</v>
      </c>
      <c r="F2420" s="4" t="s">
        <v>7818</v>
      </c>
      <c r="G2420" s="4">
        <v>2705</v>
      </c>
      <c r="H2420" s="4" t="s">
        <v>7819</v>
      </c>
      <c r="I2420" s="4">
        <v>38</v>
      </c>
      <c r="J2420" s="4" t="s">
        <v>23</v>
      </c>
      <c r="K2420" s="4" t="s">
        <v>24</v>
      </c>
      <c r="L2420" s="4">
        <v>1300000</v>
      </c>
      <c r="M2420" s="4">
        <v>1987</v>
      </c>
      <c r="N2420" s="4">
        <v>5.9</v>
      </c>
      <c r="O2420" s="4">
        <f ca="1">IFERROR(__xludf.DUMMYFUNCTION("IF(Cost_in_dollars!E2420=""USD"",Cost_in_dollars!B2420,Cost_in_dollars!B2420 * GOOGLEFINANCE(""CURRENCY:"" &amp; Cost_in_dollars!E2420 &amp; ""USD""))
"),1300000)</f>
        <v>1300000</v>
      </c>
      <c r="P2420" s="4">
        <f ca="1">IFERROR(__xludf.DUMMYFUNCTION("IF(Cost_in_dollars!E2420=""USD"",Cost_in_dollars!C2420,Cost_in_dollars!C2420 * GOOGLEFINANCE(""CURRENCY:"" &amp; Cost_in_dollars!E2420 &amp; ""USD""))
"),354704)</f>
        <v>354704</v>
      </c>
      <c r="Q2420" s="4">
        <f t="shared" ca="1" si="54"/>
        <v>-945296</v>
      </c>
      <c r="R2420" s="5" t="str">
        <f t="shared" si="55"/>
        <v>Prison</v>
      </c>
      <c r="S2420" s="43" t="str">
        <f t="shared" si="57"/>
        <v>Crime</v>
      </c>
    </row>
    <row r="2421" spans="1:19" ht="15.75" customHeight="1" x14ac:dyDescent="0.25">
      <c r="A2421" s="6" t="s">
        <v>7463</v>
      </c>
      <c r="B2421" s="6">
        <v>270</v>
      </c>
      <c r="C2421" s="6">
        <v>7574066</v>
      </c>
      <c r="D2421" s="6" t="s">
        <v>457</v>
      </c>
      <c r="E2421" s="6" t="s">
        <v>877</v>
      </c>
      <c r="F2421" s="6" t="s">
        <v>7820</v>
      </c>
      <c r="G2421" s="6">
        <v>30325</v>
      </c>
      <c r="H2421" s="6" t="s">
        <v>7821</v>
      </c>
      <c r="I2421" s="6">
        <v>96</v>
      </c>
      <c r="J2421" s="6" t="s">
        <v>23</v>
      </c>
      <c r="K2421" s="6" t="s">
        <v>24</v>
      </c>
      <c r="L2421" s="6">
        <v>10000000</v>
      </c>
      <c r="M2421" s="6">
        <v>2014</v>
      </c>
      <c r="N2421" s="6">
        <v>6.3</v>
      </c>
      <c r="O2421" s="4">
        <f ca="1">IFERROR(__xludf.DUMMYFUNCTION("IF(Cost_in_dollars!E2421=""USD"",Cost_in_dollars!B2421,Cost_in_dollars!B2421 * GOOGLEFINANCE(""CURRENCY:"" &amp; Cost_in_dollars!E2421 &amp; ""USD""))
"),10000000)</f>
        <v>10000000</v>
      </c>
      <c r="P2421" s="4">
        <f ca="1">IFERROR(__xludf.DUMMYFUNCTION("IF(Cost_in_dollars!E2421=""USD"",Cost_in_dollars!C2421,Cost_in_dollars!C2421 * GOOGLEFINANCE(""CURRENCY:"" &amp; Cost_in_dollars!E2421 &amp; ""USD""))
"),7574066)</f>
        <v>7574066</v>
      </c>
      <c r="Q2421" s="6">
        <f t="shared" ca="1" si="54"/>
        <v>-2425934</v>
      </c>
      <c r="R2421" s="7" t="str">
        <f t="shared" si="55"/>
        <v>While We're Young</v>
      </c>
      <c r="S2421" s="43" t="str">
        <f t="shared" si="57"/>
        <v>Comedy</v>
      </c>
    </row>
    <row r="2422" spans="1:19" ht="15.75" customHeight="1" x14ac:dyDescent="0.25">
      <c r="A2422" s="4" t="s">
        <v>2960</v>
      </c>
      <c r="B2422" s="4">
        <v>79</v>
      </c>
      <c r="C2422" s="4">
        <v>20389967</v>
      </c>
      <c r="D2422" s="4" t="s">
        <v>7822</v>
      </c>
      <c r="E2422" s="4" t="s">
        <v>79</v>
      </c>
      <c r="F2422" s="4" t="s">
        <v>7823</v>
      </c>
      <c r="G2422" s="4">
        <v>3077</v>
      </c>
      <c r="H2422" s="4" t="s">
        <v>7824</v>
      </c>
      <c r="I2422" s="4">
        <v>47</v>
      </c>
      <c r="J2422" s="4" t="s">
        <v>23</v>
      </c>
      <c r="K2422" s="4" t="s">
        <v>24</v>
      </c>
      <c r="L2422" s="4">
        <v>50000000</v>
      </c>
      <c r="M2422" s="4">
        <v>2016</v>
      </c>
      <c r="N2422" s="4">
        <v>6.7</v>
      </c>
      <c r="O2422" s="4">
        <f ca="1">IFERROR(__xludf.DUMMYFUNCTION("IF(Cost_in_dollars!E2422=""USD"",Cost_in_dollars!B2422,Cost_in_dollars!B2422 * GOOGLEFINANCE(""CURRENCY:"" &amp; Cost_in_dollars!E2422 &amp; ""USD""))
"),50000000)</f>
        <v>50000000</v>
      </c>
      <c r="P2422" s="4">
        <f ca="1">IFERROR(__xludf.DUMMYFUNCTION("IF(Cost_in_dollars!E2422=""USD"",Cost_in_dollars!C2422,Cost_in_dollars!C2422 * GOOGLEFINANCE(""CURRENCY:"" &amp; Cost_in_dollars!E2422 &amp; ""USD""))
"),20389967)</f>
        <v>20389967</v>
      </c>
      <c r="Q2422" s="4">
        <f t="shared" ca="1" si="54"/>
        <v>-29610033</v>
      </c>
      <c r="R2422" s="5" t="str">
        <f t="shared" si="55"/>
        <v>Free State of Jones</v>
      </c>
      <c r="S2422" s="43" t="str">
        <f t="shared" si="57"/>
        <v>Action</v>
      </c>
    </row>
    <row r="2423" spans="1:19" ht="15.75" customHeight="1" x14ac:dyDescent="0.25">
      <c r="A2423" s="6" t="s">
        <v>7825</v>
      </c>
      <c r="B2423" s="6">
        <v>181</v>
      </c>
      <c r="C2423" s="6">
        <v>2508841</v>
      </c>
      <c r="D2423" s="6" t="s">
        <v>53</v>
      </c>
      <c r="E2423" s="6" t="s">
        <v>6401</v>
      </c>
      <c r="F2423" s="6" t="s">
        <v>7826</v>
      </c>
      <c r="G2423" s="6">
        <v>21746</v>
      </c>
      <c r="H2423" s="6" t="s">
        <v>7827</v>
      </c>
      <c r="I2423" s="6">
        <v>93</v>
      </c>
      <c r="J2423" s="6" t="s">
        <v>23</v>
      </c>
      <c r="K2423" s="6" t="s">
        <v>24</v>
      </c>
      <c r="L2423" s="6">
        <v>1000000</v>
      </c>
      <c r="M2423" s="6">
        <v>2008</v>
      </c>
      <c r="N2423" s="6">
        <v>7.2</v>
      </c>
      <c r="O2423" s="4">
        <f ca="1">IFERROR(__xludf.DUMMYFUNCTION("IF(Cost_in_dollars!E2423=""USD"",Cost_in_dollars!B2423,Cost_in_dollars!B2423 * GOOGLEFINANCE(""CURRENCY:"" &amp; Cost_in_dollars!E2423 &amp; ""USD""))
"),1000000)</f>
        <v>1000000</v>
      </c>
      <c r="P2423" s="4">
        <f ca="1">IFERROR(__xludf.DUMMYFUNCTION("IF(Cost_in_dollars!E2423=""USD"",Cost_in_dollars!C2423,Cost_in_dollars!C2423 * GOOGLEFINANCE(""CURRENCY:"" &amp; Cost_in_dollars!E2423 &amp; ""USD""))
"),2508841)</f>
        <v>2508841</v>
      </c>
      <c r="Q2423" s="6">
        <f t="shared" ca="1" si="54"/>
        <v>1508841</v>
      </c>
      <c r="R2423" s="7" t="str">
        <f t="shared" si="55"/>
        <v>Frozen River</v>
      </c>
      <c r="S2423" s="43" t="str">
        <f t="shared" si="57"/>
        <v>Crime</v>
      </c>
    </row>
    <row r="2424" spans="1:19" ht="15.75" customHeight="1" x14ac:dyDescent="0.25">
      <c r="A2424" s="4" t="s">
        <v>230</v>
      </c>
      <c r="B2424" s="4">
        <v>222</v>
      </c>
      <c r="C2424" s="4">
        <v>27024</v>
      </c>
      <c r="D2424" s="4" t="s">
        <v>151</v>
      </c>
      <c r="E2424" s="4" t="s">
        <v>7828</v>
      </c>
      <c r="F2424" s="4" t="s">
        <v>7829</v>
      </c>
      <c r="G2424" s="4">
        <v>55597</v>
      </c>
      <c r="H2424" s="4" t="s">
        <v>7830</v>
      </c>
      <c r="I2424" s="4">
        <v>148</v>
      </c>
      <c r="J2424" s="4" t="s">
        <v>1569</v>
      </c>
      <c r="K2424" s="4" t="s">
        <v>1111</v>
      </c>
      <c r="L2424" s="4">
        <v>5600000</v>
      </c>
      <c r="M2424" s="4">
        <v>2009</v>
      </c>
      <c r="N2424" s="4">
        <v>6.6</v>
      </c>
      <c r="O2424" s="4">
        <f ca="1">IFERROR(__xludf.DUMMYFUNCTION("IF(Cost_in_dollars!E2424=""USD"",Cost_in_dollars!B2424,Cost_in_dollars!B2424 * GOOGLEFINANCE(""CURRENCY:"" &amp; Cost_in_dollars!E2424 &amp; ""USD""))
"),6074544)</f>
        <v>6074544</v>
      </c>
      <c r="P2424" s="4">
        <f ca="1">IFERROR(__xludf.DUMMYFUNCTION("IF(Cost_in_dollars!E2424=""USD"",Cost_in_dollars!C2424,Cost_in_dollars!C2424 * GOOGLEFINANCE(""CURRENCY:"" &amp; Cost_in_dollars!E2424 &amp; ""USD""))
"),29314.01376)</f>
        <v>29314.013760000002</v>
      </c>
      <c r="Q2424" s="4">
        <f t="shared" ca="1" si="54"/>
        <v>-6045229.9862399995</v>
      </c>
      <c r="R2424" s="5" t="str">
        <f t="shared" si="55"/>
        <v>[Rec] 2</v>
      </c>
      <c r="S2424" s="43" t="str">
        <f t="shared" si="57"/>
        <v>Horror</v>
      </c>
    </row>
    <row r="2425" spans="1:19" ht="15.75" customHeight="1" x14ac:dyDescent="0.25">
      <c r="A2425" s="6" t="s">
        <v>7831</v>
      </c>
      <c r="B2425" s="6">
        <v>191</v>
      </c>
      <c r="C2425" s="6">
        <v>114324072</v>
      </c>
      <c r="D2425" s="6" t="s">
        <v>3417</v>
      </c>
      <c r="E2425" s="6" t="s">
        <v>3710</v>
      </c>
      <c r="F2425" s="6" t="s">
        <v>7832</v>
      </c>
      <c r="G2425" s="6">
        <v>185345</v>
      </c>
      <c r="H2425" s="6" t="s">
        <v>7833</v>
      </c>
      <c r="I2425" s="6">
        <v>392</v>
      </c>
      <c r="J2425" s="6" t="s">
        <v>23</v>
      </c>
      <c r="K2425" s="6" t="s">
        <v>24</v>
      </c>
      <c r="L2425" s="6">
        <v>20000000</v>
      </c>
      <c r="M2425" s="6">
        <v>2004</v>
      </c>
      <c r="N2425" s="6">
        <v>6.7</v>
      </c>
      <c r="O2425" s="4">
        <f ca="1">IFERROR(__xludf.DUMMYFUNCTION("IF(Cost_in_dollars!E2425=""USD"",Cost_in_dollars!B2425,Cost_in_dollars!B2425 * GOOGLEFINANCE(""CURRENCY:"" &amp; Cost_in_dollars!E2425 &amp; ""USD""))
"),20000000)</f>
        <v>20000000</v>
      </c>
      <c r="P2425" s="4">
        <f ca="1">IFERROR(__xludf.DUMMYFUNCTION("IF(Cost_in_dollars!E2425=""USD"",Cost_in_dollars!C2425,Cost_in_dollars!C2425 * GOOGLEFINANCE(""CURRENCY:"" &amp; Cost_in_dollars!E2425 &amp; ""USD""))
"),114324072)</f>
        <v>114324072</v>
      </c>
      <c r="Q2425" s="6">
        <f t="shared" ca="1" si="54"/>
        <v>94324072</v>
      </c>
      <c r="R2425" s="7" t="str">
        <f t="shared" si="55"/>
        <v>Dodgeball: A True Underdog Story</v>
      </c>
      <c r="S2425" s="43" t="str">
        <f t="shared" si="57"/>
        <v>Comedy</v>
      </c>
    </row>
    <row r="2426" spans="1:19" ht="15.75" customHeight="1" x14ac:dyDescent="0.25">
      <c r="A2426" s="4" t="s">
        <v>993</v>
      </c>
      <c r="B2426" s="4">
        <v>32</v>
      </c>
      <c r="C2426" s="4">
        <v>34074895</v>
      </c>
      <c r="D2426" s="4" t="s">
        <v>457</v>
      </c>
      <c r="E2426" s="4" t="s">
        <v>3261</v>
      </c>
      <c r="F2426" s="4" t="s">
        <v>7834</v>
      </c>
      <c r="G2426" s="4">
        <v>6525</v>
      </c>
      <c r="H2426" s="4" t="s">
        <v>7835</v>
      </c>
      <c r="I2426" s="4">
        <v>79</v>
      </c>
      <c r="J2426" s="4" t="s">
        <v>23</v>
      </c>
      <c r="K2426" s="4" t="s">
        <v>24</v>
      </c>
      <c r="L2426" s="4">
        <v>9000000</v>
      </c>
      <c r="M2426" s="4">
        <v>1999</v>
      </c>
      <c r="N2426" s="4">
        <v>6.7</v>
      </c>
      <c r="O2426" s="4">
        <f ca="1">IFERROR(__xludf.DUMMYFUNCTION("IF(Cost_in_dollars!E2426=""USD"",Cost_in_dollars!B2426,Cost_in_dollars!B2426 * GOOGLEFINANCE(""CURRENCY:"" &amp; Cost_in_dollars!E2426 &amp; ""USD""))
"),9000000)</f>
        <v>9000000</v>
      </c>
      <c r="P2426" s="4">
        <f ca="1">IFERROR(__xludf.DUMMYFUNCTION("IF(Cost_in_dollars!E2426=""USD"",Cost_in_dollars!C2426,Cost_in_dollars!C2426 * GOOGLEFINANCE(""CURRENCY:"" &amp; Cost_in_dollars!E2426 &amp; ""USD""))
"),34074895)</f>
        <v>34074895</v>
      </c>
      <c r="Q2426" s="4">
        <f t="shared" ca="1" si="54"/>
        <v>25074895</v>
      </c>
      <c r="R2426" s="5" t="str">
        <f t="shared" si="55"/>
        <v>The Best Man</v>
      </c>
      <c r="S2426" s="43" t="str">
        <f t="shared" si="57"/>
        <v>Comedy</v>
      </c>
    </row>
    <row r="2427" spans="1:19" ht="15.75" customHeight="1" x14ac:dyDescent="0.25">
      <c r="A2427" s="6" t="s">
        <v>358</v>
      </c>
      <c r="B2427" s="6">
        <v>198</v>
      </c>
      <c r="C2427" s="6">
        <v>46975183</v>
      </c>
      <c r="D2427" s="6" t="s">
        <v>613</v>
      </c>
      <c r="E2427" s="6" t="s">
        <v>7836</v>
      </c>
      <c r="F2427" s="6" t="s">
        <v>7837</v>
      </c>
      <c r="G2427" s="6">
        <v>256213</v>
      </c>
      <c r="H2427" s="6" t="s">
        <v>7838</v>
      </c>
      <c r="I2427" s="6">
        <v>338</v>
      </c>
      <c r="J2427" s="6" t="s">
        <v>23</v>
      </c>
      <c r="K2427" s="6" t="s">
        <v>24</v>
      </c>
      <c r="L2427" s="6">
        <v>61000000</v>
      </c>
      <c r="M2427" s="6">
        <v>2007</v>
      </c>
      <c r="N2427" s="6">
        <v>7.2</v>
      </c>
      <c r="O2427" s="4">
        <f ca="1">IFERROR(__xludf.DUMMYFUNCTION("IF(Cost_in_dollars!E2427=""USD"",Cost_in_dollars!B2427,Cost_in_dollars!B2427 * GOOGLEFINANCE(""CURRENCY:"" &amp; Cost_in_dollars!E2427 &amp; ""USD""))
"),61000000)</f>
        <v>61000000</v>
      </c>
      <c r="P2427" s="4">
        <f ca="1">IFERROR(__xludf.DUMMYFUNCTION("IF(Cost_in_dollars!E2427=""USD"",Cost_in_dollars!C2427,Cost_in_dollars!C2427 * GOOGLEFINANCE(""CURRENCY:"" &amp; Cost_in_dollars!E2427 &amp; ""USD""))
"),46975183)</f>
        <v>46975183</v>
      </c>
      <c r="Q2427" s="6">
        <f t="shared" ca="1" si="54"/>
        <v>-14024817</v>
      </c>
      <c r="R2427" s="7" t="str">
        <f t="shared" si="55"/>
        <v>Shooter</v>
      </c>
      <c r="S2427" s="43" t="str">
        <f t="shared" si="57"/>
        <v>Action</v>
      </c>
    </row>
    <row r="2428" spans="1:19" ht="15.75" customHeight="1" x14ac:dyDescent="0.25">
      <c r="A2428" s="4" t="s">
        <v>7839</v>
      </c>
      <c r="B2428" s="4">
        <v>10</v>
      </c>
      <c r="C2428" s="4">
        <v>21199</v>
      </c>
      <c r="D2428" s="4" t="s">
        <v>7840</v>
      </c>
      <c r="E2428" s="4" t="s">
        <v>7841</v>
      </c>
      <c r="F2428" s="4" t="s">
        <v>7842</v>
      </c>
      <c r="G2428" s="4">
        <v>40</v>
      </c>
      <c r="H2428" s="4" t="s">
        <v>7843</v>
      </c>
      <c r="I2428" s="4">
        <v>10</v>
      </c>
      <c r="J2428" s="4" t="s">
        <v>23</v>
      </c>
      <c r="K2428" s="4" t="s">
        <v>24</v>
      </c>
      <c r="L2428" s="4">
        <v>500000</v>
      </c>
      <c r="M2428" s="4">
        <v>2014</v>
      </c>
      <c r="N2428" s="4">
        <v>6.8</v>
      </c>
      <c r="O2428" s="4">
        <f ca="1">IFERROR(__xludf.DUMMYFUNCTION("IF(Cost_in_dollars!E2428=""USD"",Cost_in_dollars!B2428,Cost_in_dollars!B2428 * GOOGLEFINANCE(""CURRENCY:"" &amp; Cost_in_dollars!E2428 &amp; ""USD""))
"),500000)</f>
        <v>500000</v>
      </c>
      <c r="P2428" s="4">
        <f ca="1">IFERROR(__xludf.DUMMYFUNCTION("IF(Cost_in_dollars!E2428=""USD"",Cost_in_dollars!C2428,Cost_in_dollars!C2428 * GOOGLEFINANCE(""CURRENCY:"" &amp; Cost_in_dollars!E2428 &amp; ""USD""))
"),21199)</f>
        <v>21199</v>
      </c>
      <c r="Q2428" s="4">
        <f t="shared" ca="1" si="54"/>
        <v>-478801</v>
      </c>
      <c r="R2428" s="5" t="str">
        <f t="shared" si="55"/>
        <v>Born to Fly: Elizabeth Streb vs. Gravity</v>
      </c>
      <c r="S2428" s="43" t="str">
        <f t="shared" si="57"/>
        <v>Action</v>
      </c>
    </row>
    <row r="2429" spans="1:19" ht="15.75" customHeight="1" x14ac:dyDescent="0.25">
      <c r="A2429" s="6" t="s">
        <v>7844</v>
      </c>
      <c r="B2429" s="6">
        <v>106</v>
      </c>
      <c r="C2429" s="6">
        <v>32662299</v>
      </c>
      <c r="D2429" s="6" t="s">
        <v>162</v>
      </c>
      <c r="E2429" s="6" t="s">
        <v>1407</v>
      </c>
      <c r="F2429" s="6" t="s">
        <v>7845</v>
      </c>
      <c r="G2429" s="6">
        <v>16469</v>
      </c>
      <c r="H2429" s="6" t="s">
        <v>7846</v>
      </c>
      <c r="I2429" s="6">
        <v>275</v>
      </c>
      <c r="J2429" s="6" t="s">
        <v>23</v>
      </c>
      <c r="K2429" s="6" t="s">
        <v>24</v>
      </c>
      <c r="L2429" s="6">
        <v>24000000</v>
      </c>
      <c r="M2429" s="6">
        <v>2000</v>
      </c>
      <c r="N2429" s="6">
        <v>6.9</v>
      </c>
      <c r="O2429" s="4">
        <f ca="1">IFERROR(__xludf.DUMMYFUNCTION("IF(Cost_in_dollars!E2429=""USD"",Cost_in_dollars!B2429,Cost_in_dollars!B2429 * GOOGLEFINANCE(""CURRENCY:"" &amp; Cost_in_dollars!E2429 &amp; ""USD""))
"),24000000)</f>
        <v>24000000</v>
      </c>
      <c r="P2429" s="4">
        <f ca="1">IFERROR(__xludf.DUMMYFUNCTION("IF(Cost_in_dollars!E2429=""USD"",Cost_in_dollars!C2429,Cost_in_dollars!C2429 * GOOGLEFINANCE(""CURRENCY:"" &amp; Cost_in_dollars!E2429 &amp; ""USD""))
"),32662299)</f>
        <v>32662299</v>
      </c>
      <c r="Q2429" s="6">
        <f t="shared" ca="1" si="54"/>
        <v>8662299</v>
      </c>
      <c r="R2429" s="7" t="str">
        <f t="shared" si="55"/>
        <v>Return to Me</v>
      </c>
      <c r="S2429" s="43" t="str">
        <f t="shared" si="57"/>
        <v>Comedy</v>
      </c>
    </row>
    <row r="2430" spans="1:19" ht="15.75" customHeight="1" x14ac:dyDescent="0.25">
      <c r="A2430" s="4" t="s">
        <v>7847</v>
      </c>
      <c r="B2430" s="4">
        <v>29</v>
      </c>
      <c r="C2430" s="4">
        <v>15447</v>
      </c>
      <c r="D2430" s="4" t="s">
        <v>140</v>
      </c>
      <c r="E2430" s="4" t="s">
        <v>2254</v>
      </c>
      <c r="F2430" s="4" t="s">
        <v>7848</v>
      </c>
      <c r="G2430" s="4">
        <v>2971</v>
      </c>
      <c r="H2430" s="4" t="s">
        <v>7849</v>
      </c>
      <c r="I2430" s="4">
        <v>85</v>
      </c>
      <c r="J2430" s="4" t="s">
        <v>23</v>
      </c>
      <c r="K2430" s="4" t="s">
        <v>24</v>
      </c>
      <c r="L2430" s="4">
        <v>10000000</v>
      </c>
      <c r="M2430" s="4">
        <v>1997</v>
      </c>
      <c r="N2430" s="4">
        <v>3.5</v>
      </c>
      <c r="O2430" s="4">
        <f ca="1">IFERROR(__xludf.DUMMYFUNCTION("IF(Cost_in_dollars!E2430=""USD"",Cost_in_dollars!B2430,Cost_in_dollars!B2430 * GOOGLEFINANCE(""CURRENCY:"" &amp; Cost_in_dollars!E2430 &amp; ""USD""))
"),10000000)</f>
        <v>10000000</v>
      </c>
      <c r="P2430" s="4">
        <f ca="1">IFERROR(__xludf.DUMMYFUNCTION("IF(Cost_in_dollars!E2430=""USD"",Cost_in_dollars!C2430,Cost_in_dollars!C2430 * GOOGLEFINANCE(""CURRENCY:"" &amp; Cost_in_dollars!E2430 &amp; ""USD""))
"),15447)</f>
        <v>15447</v>
      </c>
      <c r="Q2430" s="4">
        <f t="shared" ca="1" si="54"/>
        <v>-9984553</v>
      </c>
      <c r="R2430" s="5" t="str">
        <f t="shared" si="55"/>
        <v>An Alan Smithee Film: Burn Hollywood Burn</v>
      </c>
      <c r="S2430" s="43" t="str">
        <f t="shared" si="57"/>
        <v>Comedy</v>
      </c>
    </row>
    <row r="2431" spans="1:19" ht="15.75" customHeight="1" x14ac:dyDescent="0.25">
      <c r="A2431" s="6" t="s">
        <v>476</v>
      </c>
      <c r="B2431" s="6">
        <v>151</v>
      </c>
      <c r="C2431" s="6">
        <v>18990542</v>
      </c>
      <c r="D2431" s="6" t="s">
        <v>7850</v>
      </c>
      <c r="E2431" s="6" t="s">
        <v>1336</v>
      </c>
      <c r="F2431" s="6" t="s">
        <v>7851</v>
      </c>
      <c r="G2431" s="6">
        <v>22264</v>
      </c>
      <c r="H2431" s="6" t="s">
        <v>7852</v>
      </c>
      <c r="I2431" s="6">
        <v>289</v>
      </c>
      <c r="J2431" s="6" t="s">
        <v>23</v>
      </c>
      <c r="K2431" s="6" t="s">
        <v>24</v>
      </c>
      <c r="L2431" s="6">
        <v>70000000</v>
      </c>
      <c r="M2431" s="6">
        <v>2002</v>
      </c>
      <c r="N2431" s="6">
        <v>3</v>
      </c>
      <c r="O2431" s="4">
        <f ca="1">IFERROR(__xludf.DUMMYFUNCTION("IF(Cost_in_dollars!E2431=""USD"",Cost_in_dollars!B2431,Cost_in_dollars!B2431 * GOOGLEFINANCE(""CURRENCY:"" &amp; Cost_in_dollars!E2431 &amp; ""USD""))
"),70000000)</f>
        <v>70000000</v>
      </c>
      <c r="P2431" s="4">
        <f ca="1">IFERROR(__xludf.DUMMYFUNCTION("IF(Cost_in_dollars!E2431=""USD"",Cost_in_dollars!C2431,Cost_in_dollars!C2431 * GOOGLEFINANCE(""CURRENCY:"" &amp; Cost_in_dollars!E2431 &amp; ""USD""))
"),18990542)</f>
        <v>18990542</v>
      </c>
      <c r="Q2431" s="6">
        <f t="shared" ca="1" si="54"/>
        <v>-51009458</v>
      </c>
      <c r="R2431" s="7" t="str">
        <f t="shared" si="55"/>
        <v>Rollerball</v>
      </c>
      <c r="S2431" s="43" t="str">
        <f t="shared" si="57"/>
        <v>Action</v>
      </c>
    </row>
    <row r="2432" spans="1:19" ht="15.75" customHeight="1" x14ac:dyDescent="0.25">
      <c r="A2432" s="4" t="s">
        <v>1285</v>
      </c>
      <c r="B2432" s="4">
        <v>164</v>
      </c>
      <c r="C2432" s="4">
        <v>51100000</v>
      </c>
      <c r="D2432" s="4" t="s">
        <v>477</v>
      </c>
      <c r="E2432" s="4" t="s">
        <v>7853</v>
      </c>
      <c r="F2432" s="4" t="s">
        <v>7854</v>
      </c>
      <c r="G2432" s="4">
        <v>139432</v>
      </c>
      <c r="H2432" s="4" t="s">
        <v>7855</v>
      </c>
      <c r="I2432" s="4">
        <v>418</v>
      </c>
      <c r="J2432" s="4" t="s">
        <v>23</v>
      </c>
      <c r="K2432" s="4" t="s">
        <v>133</v>
      </c>
      <c r="L2432" s="4">
        <v>3000000</v>
      </c>
      <c r="M2432" s="4">
        <v>1964</v>
      </c>
      <c r="N2432" s="4">
        <v>7.8</v>
      </c>
      <c r="O2432" s="4">
        <f ca="1">IFERROR(__xludf.DUMMYFUNCTION("IF(Cost_in_dollars!E2432=""USD"",Cost_in_dollars!B2432,Cost_in_dollars!B2432 * GOOGLEFINANCE(""CURRENCY:"" &amp; Cost_in_dollars!E2432 &amp; ""USD""))
"),3856199.99999999)</f>
        <v>3856199.9999999902</v>
      </c>
      <c r="P2432" s="4">
        <f ca="1">IFERROR(__xludf.DUMMYFUNCTION("IF(Cost_in_dollars!E2432=""USD"",Cost_in_dollars!C2432,Cost_in_dollars!C2432 * GOOGLEFINANCE(""CURRENCY:"" &amp; Cost_in_dollars!E2432 &amp; ""USD""))
"),65683939.9999999)</f>
        <v>65683939.999999903</v>
      </c>
      <c r="Q2432" s="4">
        <f t="shared" ca="1" si="54"/>
        <v>61827739.999999911</v>
      </c>
      <c r="R2432" s="5" t="str">
        <f t="shared" si="55"/>
        <v>Goldfinger</v>
      </c>
      <c r="S2432" s="43" t="str">
        <f t="shared" si="57"/>
        <v>Action</v>
      </c>
    </row>
    <row r="2433" spans="1:19" ht="15.75" customHeight="1" x14ac:dyDescent="0.25">
      <c r="A2433" s="6" t="s">
        <v>7856</v>
      </c>
      <c r="B2433" s="6">
        <v>64</v>
      </c>
      <c r="C2433" s="6">
        <v>20035310</v>
      </c>
      <c r="D2433" s="6" t="s">
        <v>162</v>
      </c>
      <c r="E2433" s="6" t="s">
        <v>3590</v>
      </c>
      <c r="F2433" s="6" t="s">
        <v>7857</v>
      </c>
      <c r="G2433" s="6">
        <v>12324</v>
      </c>
      <c r="H2433" s="6" t="s">
        <v>7858</v>
      </c>
      <c r="I2433" s="6">
        <v>173</v>
      </c>
      <c r="J2433" s="6" t="s">
        <v>23</v>
      </c>
      <c r="K2433" s="6" t="s">
        <v>24</v>
      </c>
      <c r="L2433" s="6">
        <v>9000000</v>
      </c>
      <c r="M2433" s="6">
        <v>2000</v>
      </c>
      <c r="N2433" s="6">
        <v>4.9000000000000004</v>
      </c>
      <c r="O2433" s="4">
        <f ca="1">IFERROR(__xludf.DUMMYFUNCTION("IF(Cost_in_dollars!E2433=""USD"",Cost_in_dollars!B2433,Cost_in_dollars!B2433 * GOOGLEFINANCE(""CURRENCY:"" &amp; Cost_in_dollars!E2433 &amp; ""USD""))
"),9000000)</f>
        <v>9000000</v>
      </c>
      <c r="P2433" s="4">
        <f ca="1">IFERROR(__xludf.DUMMYFUNCTION("IF(Cost_in_dollars!E2433=""USD"",Cost_in_dollars!C2433,Cost_in_dollars!C2433 * GOOGLEFINANCE(""CURRENCY:"" &amp; Cost_in_dollars!E2433 &amp; ""USD""))
"),20035310)</f>
        <v>20035310</v>
      </c>
      <c r="Q2433" s="6">
        <f t="shared" ca="1" si="54"/>
        <v>11035310</v>
      </c>
      <c r="R2433" s="7" t="str">
        <f t="shared" si="55"/>
        <v>Down to You</v>
      </c>
      <c r="S2433" s="43" t="str">
        <f t="shared" si="57"/>
        <v>Comedy</v>
      </c>
    </row>
    <row r="2434" spans="1:19" ht="15.75" customHeight="1" x14ac:dyDescent="0.25">
      <c r="A2434" s="4" t="s">
        <v>7859</v>
      </c>
      <c r="B2434" s="4">
        <v>150</v>
      </c>
      <c r="C2434" s="4">
        <v>18663911</v>
      </c>
      <c r="D2434" s="4" t="s">
        <v>890</v>
      </c>
      <c r="E2434" s="4" t="s">
        <v>422</v>
      </c>
      <c r="F2434" s="4" t="s">
        <v>7860</v>
      </c>
      <c r="G2434" s="4">
        <v>46204</v>
      </c>
      <c r="H2434" s="4" t="s">
        <v>7861</v>
      </c>
      <c r="I2434" s="4">
        <v>151</v>
      </c>
      <c r="J2434" s="4" t="s">
        <v>23</v>
      </c>
      <c r="K2434" s="4" t="s">
        <v>133</v>
      </c>
      <c r="L2434" s="4">
        <v>16500000</v>
      </c>
      <c r="M2434" s="4">
        <v>2007</v>
      </c>
      <c r="N2434" s="4">
        <v>7.1</v>
      </c>
      <c r="O2434" s="4">
        <f ca="1">IFERROR(__xludf.DUMMYFUNCTION("IF(Cost_in_dollars!E2434=""USD"",Cost_in_dollars!B2434,Cost_in_dollars!B2434 * GOOGLEFINANCE(""CURRENCY:"" &amp; Cost_in_dollars!E2434 &amp; ""USD""))
"),21209099.9999999)</f>
        <v>21209099.999999899</v>
      </c>
      <c r="P2434" s="4">
        <f ca="1">IFERROR(__xludf.DUMMYFUNCTION("IF(Cost_in_dollars!E2434=""USD"",Cost_in_dollars!C2434,Cost_in_dollars!C2434 * GOOGLEFINANCE(""CURRENCY:"" &amp; Cost_in_dollars!E2434 &amp; ""USD""))
"),23990591.1993999)</f>
        <v>23990591.1993999</v>
      </c>
      <c r="Q2434" s="4">
        <f t="shared" ca="1" si="54"/>
        <v>2781491.1994000003</v>
      </c>
      <c r="R2434" s="5" t="str">
        <f t="shared" si="55"/>
        <v>Becoming Jane</v>
      </c>
      <c r="S2434" s="43" t="str">
        <f t="shared" ref="S2434:S2497" si="58">IF(ISNUMBER(FIND("|", D2434)), LEFT(D2434, FIND("|", D2434) - 1), D2434)</f>
        <v>Biography</v>
      </c>
    </row>
    <row r="2435" spans="1:19" ht="15.75" customHeight="1" x14ac:dyDescent="0.25">
      <c r="A2435" s="6" t="s">
        <v>7862</v>
      </c>
      <c r="B2435" s="6">
        <v>18</v>
      </c>
      <c r="C2435" s="6">
        <v>110720</v>
      </c>
      <c r="D2435" s="6" t="s">
        <v>140</v>
      </c>
      <c r="E2435" s="6" t="s">
        <v>7863</v>
      </c>
      <c r="F2435" s="6" t="s">
        <v>7864</v>
      </c>
      <c r="G2435" s="6">
        <v>524</v>
      </c>
      <c r="H2435" s="6" t="s">
        <v>7865</v>
      </c>
      <c r="I2435" s="6">
        <v>22</v>
      </c>
      <c r="J2435" s="6" t="s">
        <v>23</v>
      </c>
      <c r="K2435" s="6" t="s">
        <v>24</v>
      </c>
      <c r="L2435" s="6">
        <v>1200000</v>
      </c>
      <c r="M2435" s="6">
        <v>1999</v>
      </c>
      <c r="N2435" s="6">
        <v>7.3</v>
      </c>
      <c r="O2435" s="4">
        <f ca="1">IFERROR(__xludf.DUMMYFUNCTION("IF(Cost_in_dollars!E2435=""USD"",Cost_in_dollars!B2435,Cost_in_dollars!B2435 * GOOGLEFINANCE(""CURRENCY:"" &amp; Cost_in_dollars!E2435 &amp; ""USD""))
"),1200000)</f>
        <v>1200000</v>
      </c>
      <c r="P2435" s="4">
        <f ca="1">IFERROR(__xludf.DUMMYFUNCTION("IF(Cost_in_dollars!E2435=""USD"",Cost_in_dollars!C2435,Cost_in_dollars!C2435 * GOOGLEFINANCE(""CURRENCY:"" &amp; Cost_in_dollars!E2435 &amp; ""USD""))
"),110720)</f>
        <v>110720</v>
      </c>
      <c r="Q2435" s="6">
        <f t="shared" ca="1" si="54"/>
        <v>-1089280</v>
      </c>
      <c r="R2435" s="7" t="str">
        <f t="shared" si="55"/>
        <v>The Woman Chaser</v>
      </c>
      <c r="S2435" s="43" t="str">
        <f t="shared" si="58"/>
        <v>Comedy</v>
      </c>
    </row>
    <row r="2436" spans="1:19" ht="15.75" customHeight="1" x14ac:dyDescent="0.25">
      <c r="A2436" s="4" t="s">
        <v>5918</v>
      </c>
      <c r="B2436" s="4">
        <v>111</v>
      </c>
      <c r="C2436" s="4">
        <v>13367101</v>
      </c>
      <c r="D2436" s="4" t="s">
        <v>162</v>
      </c>
      <c r="E2436" s="4" t="s">
        <v>7866</v>
      </c>
      <c r="F2436" s="4" t="s">
        <v>7867</v>
      </c>
      <c r="G2436" s="4">
        <v>19715</v>
      </c>
      <c r="H2436" s="4" t="s">
        <v>7868</v>
      </c>
      <c r="I2436" s="4">
        <v>166</v>
      </c>
      <c r="J2436" s="4" t="s">
        <v>23</v>
      </c>
      <c r="K2436" s="4" t="s">
        <v>24</v>
      </c>
      <c r="L2436" s="4">
        <v>6500000</v>
      </c>
      <c r="M2436" s="4">
        <v>2006</v>
      </c>
      <c r="N2436" s="4">
        <v>5.9</v>
      </c>
      <c r="O2436" s="4">
        <f ca="1">IFERROR(__xludf.DUMMYFUNCTION("IF(Cost_in_dollars!E2436=""USD"",Cost_in_dollars!B2436,Cost_in_dollars!B2436 * GOOGLEFINANCE(""CURRENCY:"" &amp; Cost_in_dollars!E2436 &amp; ""USD""))
"),6500000)</f>
        <v>6500000</v>
      </c>
      <c r="P2436" s="4">
        <f ca="1">IFERROR(__xludf.DUMMYFUNCTION("IF(Cost_in_dollars!E2436=""USD"",Cost_in_dollars!C2436,Cost_in_dollars!C2436 * GOOGLEFINANCE(""CURRENCY:"" &amp; Cost_in_dollars!E2436 &amp; ""USD""))
"),13367101)</f>
        <v>13367101</v>
      </c>
      <c r="Q2436" s="4">
        <f t="shared" ca="1" si="54"/>
        <v>6867101</v>
      </c>
      <c r="R2436" s="5" t="str">
        <f t="shared" si="55"/>
        <v>Friends with Money</v>
      </c>
      <c r="S2436" s="43" t="str">
        <f t="shared" si="58"/>
        <v>Comedy</v>
      </c>
    </row>
    <row r="2437" spans="1:19" ht="15.75" customHeight="1" x14ac:dyDescent="0.25">
      <c r="A2437" s="6" t="s">
        <v>4479</v>
      </c>
      <c r="B2437" s="6">
        <v>241</v>
      </c>
      <c r="C2437" s="6">
        <v>75274748</v>
      </c>
      <c r="D2437" s="6" t="s">
        <v>457</v>
      </c>
      <c r="E2437" s="6" t="s">
        <v>886</v>
      </c>
      <c r="F2437" s="6" t="s">
        <v>7869</v>
      </c>
      <c r="G2437" s="6">
        <v>130661</v>
      </c>
      <c r="H2437" s="6" t="s">
        <v>7870</v>
      </c>
      <c r="I2437" s="6">
        <v>304</v>
      </c>
      <c r="J2437" s="6" t="s">
        <v>23</v>
      </c>
      <c r="K2437" s="6" t="s">
        <v>24</v>
      </c>
      <c r="L2437" s="6">
        <v>35000000</v>
      </c>
      <c r="M2437" s="6">
        <v>2015</v>
      </c>
      <c r="N2437" s="6">
        <v>7.2</v>
      </c>
      <c r="O2437" s="4">
        <f ca="1">IFERROR(__xludf.DUMMYFUNCTION("IF(Cost_in_dollars!E2437=""USD"",Cost_in_dollars!B2437,Cost_in_dollars!B2437 * GOOGLEFINANCE(""CURRENCY:"" &amp; Cost_in_dollars!E2437 &amp; ""USD""))
"),35000000)</f>
        <v>35000000</v>
      </c>
      <c r="P2437" s="4">
        <f ca="1">IFERROR(__xludf.DUMMYFUNCTION("IF(Cost_in_dollars!E2437=""USD"",Cost_in_dollars!C2437,Cost_in_dollars!C2437 * GOOGLEFINANCE(""CURRENCY:"" &amp; Cost_in_dollars!E2437 &amp; ""USD""))
"),75274748)</f>
        <v>75274748</v>
      </c>
      <c r="Q2437" s="6">
        <f t="shared" ca="1" si="54"/>
        <v>40274748</v>
      </c>
      <c r="R2437" s="7" t="str">
        <f t="shared" si="55"/>
        <v>The Intern</v>
      </c>
      <c r="S2437" s="43" t="str">
        <f t="shared" si="58"/>
        <v>Comedy</v>
      </c>
    </row>
    <row r="2438" spans="1:19" ht="15.75" customHeight="1" x14ac:dyDescent="0.25">
      <c r="A2438" s="4" t="s">
        <v>2067</v>
      </c>
      <c r="B2438" s="4">
        <v>153</v>
      </c>
      <c r="C2438" s="4">
        <v>58328680</v>
      </c>
      <c r="D2438" s="4" t="s">
        <v>448</v>
      </c>
      <c r="E2438" s="4" t="s">
        <v>413</v>
      </c>
      <c r="F2438" s="4" t="s">
        <v>7871</v>
      </c>
      <c r="G2438" s="4">
        <v>54096</v>
      </c>
      <c r="H2438" s="4" t="s">
        <v>7872</v>
      </c>
      <c r="I2438" s="4">
        <v>494</v>
      </c>
      <c r="J2438" s="4" t="s">
        <v>23</v>
      </c>
      <c r="K2438" s="4" t="s">
        <v>24</v>
      </c>
      <c r="L2438" s="4">
        <v>22000000</v>
      </c>
      <c r="M2438" s="4">
        <v>2003</v>
      </c>
      <c r="N2438" s="4">
        <v>7.5</v>
      </c>
      <c r="O2438" s="4">
        <f ca="1">IFERROR(__xludf.DUMMYFUNCTION("IF(Cost_in_dollars!E2438=""USD"",Cost_in_dollars!B2438,Cost_in_dollars!B2438 * GOOGLEFINANCE(""CURRENCY:"" &amp; Cost_in_dollars!E2438 &amp; ""USD""))
"),22000000)</f>
        <v>22000000</v>
      </c>
      <c r="P2438" s="4">
        <f ca="1">IFERROR(__xludf.DUMMYFUNCTION("IF(Cost_in_dollars!E2438=""USD"",Cost_in_dollars!C2438,Cost_in_dollars!C2438 * GOOGLEFINANCE(""CURRENCY:"" &amp; Cost_in_dollars!E2438 &amp; ""USD""))
"),58328680)</f>
        <v>58328680</v>
      </c>
      <c r="Q2438" s="4">
        <f t="shared" ca="1" si="54"/>
        <v>36328680</v>
      </c>
      <c r="R2438" s="5" t="str">
        <f t="shared" si="55"/>
        <v>Open Range</v>
      </c>
      <c r="S2438" s="43" t="str">
        <f t="shared" si="58"/>
        <v>Drama</v>
      </c>
    </row>
    <row r="2439" spans="1:19" ht="15.75" customHeight="1" x14ac:dyDescent="0.25">
      <c r="A2439" s="6" t="s">
        <v>7873</v>
      </c>
      <c r="B2439" s="6">
        <v>123</v>
      </c>
      <c r="C2439" s="6">
        <v>13082288</v>
      </c>
      <c r="D2439" s="6" t="s">
        <v>7874</v>
      </c>
      <c r="E2439" s="6" t="s">
        <v>407</v>
      </c>
      <c r="F2439" s="6" t="s">
        <v>7875</v>
      </c>
      <c r="G2439" s="6">
        <v>35565</v>
      </c>
      <c r="H2439" s="6" t="s">
        <v>7876</v>
      </c>
      <c r="I2439" s="6">
        <v>247</v>
      </c>
      <c r="J2439" s="6" t="s">
        <v>23</v>
      </c>
      <c r="K2439" s="6" t="s">
        <v>133</v>
      </c>
      <c r="L2439" s="6">
        <v>60000000</v>
      </c>
      <c r="M2439" s="6">
        <v>2006</v>
      </c>
      <c r="N2439" s="6">
        <v>6.6</v>
      </c>
      <c r="O2439" s="4">
        <f ca="1">IFERROR(__xludf.DUMMYFUNCTION("IF(Cost_in_dollars!E2439=""USD"",Cost_in_dollars!B2439,Cost_in_dollars!B2439 * GOOGLEFINANCE(""CURRENCY:"" &amp; Cost_in_dollars!E2439 &amp; ""USD""))
"),77124000)</f>
        <v>77124000</v>
      </c>
      <c r="P2439" s="4">
        <f ca="1">IFERROR(__xludf.DUMMYFUNCTION("IF(Cost_in_dollars!E2439=""USD"",Cost_in_dollars!C2439,Cost_in_dollars!C2439 * GOOGLEFINANCE(""CURRENCY:"" &amp; Cost_in_dollars!E2439 &amp; ""USD""))
"),16815972.9951999)</f>
        <v>16815972.9951999</v>
      </c>
      <c r="Q2439" s="6">
        <f t="shared" ca="1" si="54"/>
        <v>-60308027.004800096</v>
      </c>
      <c r="R2439" s="7" t="str">
        <f t="shared" si="55"/>
        <v>Flyboys</v>
      </c>
      <c r="S2439" s="43" t="str">
        <f t="shared" si="58"/>
        <v>Action</v>
      </c>
    </row>
    <row r="2440" spans="1:19" ht="15.75" customHeight="1" x14ac:dyDescent="0.25">
      <c r="A2440" s="4" t="s">
        <v>413</v>
      </c>
      <c r="B2440" s="4">
        <v>95</v>
      </c>
      <c r="C2440" s="4">
        <v>20733485</v>
      </c>
      <c r="D2440" s="4" t="s">
        <v>102</v>
      </c>
      <c r="E2440" s="4" t="s">
        <v>7877</v>
      </c>
      <c r="F2440" s="4" t="s">
        <v>7878</v>
      </c>
      <c r="G2440" s="4">
        <v>11622</v>
      </c>
      <c r="H2440" s="4" t="s">
        <v>7879</v>
      </c>
      <c r="I2440" s="4">
        <v>157</v>
      </c>
      <c r="J2440" s="4" t="s">
        <v>23</v>
      </c>
      <c r="K2440" s="4" t="s">
        <v>24</v>
      </c>
      <c r="L2440" s="4">
        <v>5000000</v>
      </c>
      <c r="M2440" s="4">
        <v>1997</v>
      </c>
      <c r="N2440" s="4">
        <v>7.2</v>
      </c>
      <c r="O2440" s="4">
        <f ca="1">IFERROR(__xludf.DUMMYFUNCTION("IF(Cost_in_dollars!E2440=""USD"",Cost_in_dollars!B2440,Cost_in_dollars!B2440 * GOOGLEFINANCE(""CURRENCY:"" &amp; Cost_in_dollars!E2440 &amp; ""USD""))
"),5000000)</f>
        <v>5000000</v>
      </c>
      <c r="P2440" s="4">
        <f ca="1">IFERROR(__xludf.DUMMYFUNCTION("IF(Cost_in_dollars!E2440=""USD"",Cost_in_dollars!C2440,Cost_in_dollars!C2440 * GOOGLEFINANCE(""CURRENCY:"" &amp; Cost_in_dollars!E2440 &amp; ""USD""))
"),20733485)</f>
        <v>20733485</v>
      </c>
      <c r="Q2440" s="4">
        <f t="shared" ca="1" si="54"/>
        <v>15733485</v>
      </c>
      <c r="R2440" s="5" t="str">
        <f t="shared" si="55"/>
        <v>The Apostle</v>
      </c>
      <c r="S2440" s="43" t="str">
        <f t="shared" si="58"/>
        <v>Drama</v>
      </c>
    </row>
    <row r="2441" spans="1:19" ht="15.75" customHeight="1" x14ac:dyDescent="0.25">
      <c r="A2441" s="6" t="s">
        <v>7880</v>
      </c>
      <c r="B2441" s="6">
        <v>41</v>
      </c>
      <c r="C2441" s="6">
        <v>44456509</v>
      </c>
      <c r="D2441" s="6" t="s">
        <v>457</v>
      </c>
      <c r="E2441" s="6" t="s">
        <v>7880</v>
      </c>
      <c r="F2441" s="6" t="s">
        <v>7881</v>
      </c>
      <c r="G2441" s="6">
        <v>22105</v>
      </c>
      <c r="H2441" s="6" t="s">
        <v>7882</v>
      </c>
      <c r="I2441" s="6">
        <v>81</v>
      </c>
      <c r="J2441" s="6" t="s">
        <v>1569</v>
      </c>
      <c r="K2441" s="6" t="s">
        <v>1220</v>
      </c>
      <c r="L2441" s="6">
        <v>5000000</v>
      </c>
      <c r="M2441" s="6">
        <v>2013</v>
      </c>
      <c r="N2441" s="6">
        <v>7.6</v>
      </c>
      <c r="O2441" s="4">
        <f ca="1">IFERROR(__xludf.DUMMYFUNCTION("IF(Cost_in_dollars!E2441=""USD"",Cost_in_dollars!B2441,Cost_in_dollars!B2441 * GOOGLEFINANCE(""CURRENCY:"" &amp; Cost_in_dollars!E2441 &amp; ""USD""))
"),271023.45)</f>
        <v>271023.45</v>
      </c>
      <c r="P2441" s="4">
        <f ca="1">IFERROR(__xludf.DUMMYFUNCTION("IF(Cost_in_dollars!E2441=""USD"",Cost_in_dollars!C2441,Cost_in_dollars!C2441 * GOOGLEFINANCE(""CURRENCY:"" &amp; Cost_in_dollars!E2441 &amp; ""USD""))
"),2409751.28882721)</f>
        <v>2409751.2888272102</v>
      </c>
      <c r="Q2441" s="6">
        <f t="shared" ca="1" si="54"/>
        <v>2138727.83882721</v>
      </c>
      <c r="R2441" s="7" t="str">
        <f t="shared" si="55"/>
        <v>Instructions Not Included</v>
      </c>
      <c r="S2441" s="43" t="str">
        <f t="shared" si="58"/>
        <v>Comedy</v>
      </c>
    </row>
    <row r="2442" spans="1:19" ht="15.75" customHeight="1" x14ac:dyDescent="0.25">
      <c r="A2442" s="4" t="s">
        <v>6154</v>
      </c>
      <c r="B2442" s="4">
        <v>64</v>
      </c>
      <c r="C2442" s="4">
        <v>16930185</v>
      </c>
      <c r="D2442" s="4" t="s">
        <v>88</v>
      </c>
      <c r="E2442" s="4" t="s">
        <v>5748</v>
      </c>
      <c r="F2442" s="4" t="s">
        <v>7883</v>
      </c>
      <c r="G2442" s="4">
        <v>14315</v>
      </c>
      <c r="H2442" s="4" t="s">
        <v>7884</v>
      </c>
      <c r="I2442" s="4">
        <v>101</v>
      </c>
      <c r="J2442" s="4" t="s">
        <v>23</v>
      </c>
      <c r="K2442" s="4" t="s">
        <v>176</v>
      </c>
      <c r="L2442" s="4">
        <v>29000000</v>
      </c>
      <c r="M2442" s="4">
        <v>2002</v>
      </c>
      <c r="N2442" s="4">
        <v>5.3</v>
      </c>
      <c r="O2442" s="4">
        <f ca="1">IFERROR(__xludf.DUMMYFUNCTION("IF(Cost_in_dollars!E2442=""USD"",Cost_in_dollars!B2442,Cost_in_dollars!B2442 * GOOGLEFINANCE(""CURRENCY:"" &amp; Cost_in_dollars!E2442 &amp; ""USD""))
"),31457460)</f>
        <v>31457460</v>
      </c>
      <c r="P2442" s="4">
        <f ca="1">IFERROR(__xludf.DUMMYFUNCTION("IF(Cost_in_dollars!E2442=""USD"",Cost_in_dollars!C2442,Cost_in_dollars!C2442 * GOOGLEFINANCE(""CURRENCY:"" &amp; Cost_in_dollars!E2442 &amp; ""USD""))
"),18364848.8769)</f>
        <v>18364848.876899999</v>
      </c>
      <c r="Q2442" s="4">
        <f t="shared" ca="1" si="54"/>
        <v>-13092611.123100001</v>
      </c>
      <c r="R2442" s="5" t="str">
        <f t="shared" si="55"/>
        <v>Serving Sara</v>
      </c>
      <c r="S2442" s="43" t="str">
        <f t="shared" si="58"/>
        <v>Comedy</v>
      </c>
    </row>
    <row r="2443" spans="1:19" ht="15.75" customHeight="1" x14ac:dyDescent="0.25">
      <c r="A2443" s="6" t="s">
        <v>7885</v>
      </c>
      <c r="B2443" s="6">
        <v>85</v>
      </c>
      <c r="C2443" s="6">
        <v>28435406</v>
      </c>
      <c r="D2443" s="6" t="s">
        <v>88</v>
      </c>
      <c r="E2443" s="6" t="s">
        <v>2979</v>
      </c>
      <c r="F2443" s="6" t="s">
        <v>7886</v>
      </c>
      <c r="G2443" s="6">
        <v>37681</v>
      </c>
      <c r="H2443" s="6" t="s">
        <v>7887</v>
      </c>
      <c r="I2443" s="6">
        <v>151</v>
      </c>
      <c r="J2443" s="6" t="s">
        <v>23</v>
      </c>
      <c r="K2443" s="6" t="s">
        <v>24</v>
      </c>
      <c r="L2443" s="6">
        <v>12000000</v>
      </c>
      <c r="M2443" s="6">
        <v>2006</v>
      </c>
      <c r="N2443" s="6">
        <v>5.5</v>
      </c>
      <c r="O2443" s="4">
        <f ca="1">IFERROR(__xludf.DUMMYFUNCTION("IF(Cost_in_dollars!E2443=""USD"",Cost_in_dollars!B2443,Cost_in_dollars!B2443 * GOOGLEFINANCE(""CURRENCY:"" &amp; Cost_in_dollars!E2443 &amp; ""USD""))
"),12000000)</f>
        <v>12000000</v>
      </c>
      <c r="P2443" s="4">
        <f ca="1">IFERROR(__xludf.DUMMYFUNCTION("IF(Cost_in_dollars!E2443=""USD"",Cost_in_dollars!C2443,Cost_in_dollars!C2443 * GOOGLEFINANCE(""CURRENCY:"" &amp; Cost_in_dollars!E2443 &amp; ""USD""))
"),28435406)</f>
        <v>28435406</v>
      </c>
      <c r="Q2443" s="6">
        <f t="shared" ca="1" si="54"/>
        <v>16435406</v>
      </c>
      <c r="R2443" s="7" t="str">
        <f t="shared" si="55"/>
        <v>Employee of the Month</v>
      </c>
      <c r="S2443" s="43" t="str">
        <f t="shared" si="58"/>
        <v>Comedy</v>
      </c>
    </row>
    <row r="2444" spans="1:19" ht="15.75" customHeight="1" x14ac:dyDescent="0.25">
      <c r="A2444" s="4" t="s">
        <v>7888</v>
      </c>
      <c r="B2444" s="4">
        <v>86</v>
      </c>
      <c r="C2444" s="4">
        <v>1110186</v>
      </c>
      <c r="D2444" s="4" t="s">
        <v>406</v>
      </c>
      <c r="E2444" s="4" t="s">
        <v>7889</v>
      </c>
      <c r="F2444" s="4" t="s">
        <v>7890</v>
      </c>
      <c r="G2444" s="4">
        <v>31943</v>
      </c>
      <c r="H2444" s="4" t="s">
        <v>7891</v>
      </c>
      <c r="I2444" s="4">
        <v>224</v>
      </c>
      <c r="J2444" s="4" t="s">
        <v>1780</v>
      </c>
      <c r="K2444" s="4" t="s">
        <v>1491</v>
      </c>
      <c r="L2444" s="4">
        <v>12800000</v>
      </c>
      <c r="M2444" s="4">
        <v>2004</v>
      </c>
      <c r="N2444" s="4">
        <v>8.1</v>
      </c>
      <c r="O2444" s="4">
        <f ca="1">IFERROR(__xludf.DUMMYFUNCTION("IF(Cost_in_dollars!E2444=""USD"",Cost_in_dollars!B2444,Cost_in_dollars!B2444 * GOOGLEFINANCE(""CURRENCY:"" &amp; Cost_in_dollars!E2444 &amp; ""USD""))
"),9265.4976)</f>
        <v>9265.4976000000006</v>
      </c>
      <c r="P2444" s="4">
        <f ca="1">IFERROR(__xludf.DUMMYFUNCTION("IF(Cost_in_dollars!E2444=""USD"",Cost_in_dollars!C2444,Cost_in_dollars!C2444 * GOOGLEFINANCE(""CURRENCY:"" &amp; Cost_in_dollars!E2444 &amp; ""USD""))
"),803.627009262)</f>
        <v>803.627009262</v>
      </c>
      <c r="Q2444" s="4">
        <f t="shared" ca="1" si="54"/>
        <v>-8461.8705907380008</v>
      </c>
      <c r="R2444" s="5" t="str">
        <f t="shared" si="55"/>
        <v>Tae Guk Gi: The Brotherhood of War</v>
      </c>
      <c r="S2444" s="43" t="str">
        <f t="shared" si="58"/>
        <v>Action</v>
      </c>
    </row>
    <row r="2445" spans="1:19" ht="15.75" customHeight="1" x14ac:dyDescent="0.25">
      <c r="A2445" s="6" t="s">
        <v>67</v>
      </c>
      <c r="B2445" s="6">
        <v>230</v>
      </c>
      <c r="C2445" s="6">
        <v>88504640</v>
      </c>
      <c r="D2445" s="6" t="s">
        <v>438</v>
      </c>
      <c r="E2445" s="6" t="s">
        <v>69</v>
      </c>
      <c r="F2445" s="6" t="s">
        <v>7892</v>
      </c>
      <c r="G2445" s="6">
        <v>273108</v>
      </c>
      <c r="H2445" s="6" t="s">
        <v>7893</v>
      </c>
      <c r="I2445" s="6">
        <v>646</v>
      </c>
      <c r="J2445" s="6" t="s">
        <v>23</v>
      </c>
      <c r="K2445" s="6" t="s">
        <v>24</v>
      </c>
      <c r="L2445" s="6">
        <v>45000000</v>
      </c>
      <c r="M2445" s="6">
        <v>2006</v>
      </c>
      <c r="N2445" s="6">
        <v>7.6</v>
      </c>
      <c r="O2445" s="4">
        <f ca="1">IFERROR(__xludf.DUMMYFUNCTION("IF(Cost_in_dollars!E2445=""USD"",Cost_in_dollars!B2445,Cost_in_dollars!B2445 * GOOGLEFINANCE(""CURRENCY:"" &amp; Cost_in_dollars!E2445 &amp; ""USD""))
"),45000000)</f>
        <v>45000000</v>
      </c>
      <c r="P2445" s="4">
        <f ca="1">IFERROR(__xludf.DUMMYFUNCTION("IF(Cost_in_dollars!E2445=""USD"",Cost_in_dollars!C2445,Cost_in_dollars!C2445 * GOOGLEFINANCE(""CURRENCY:"" &amp; Cost_in_dollars!E2445 &amp; ""USD""))
"),88504640)</f>
        <v>88504640</v>
      </c>
      <c r="Q2445" s="6">
        <f t="shared" ca="1" si="54"/>
        <v>43504640</v>
      </c>
      <c r="R2445" s="7" t="str">
        <f t="shared" si="55"/>
        <v>Inside Man</v>
      </c>
      <c r="S2445" s="43" t="str">
        <f t="shared" si="58"/>
        <v>Crime</v>
      </c>
    </row>
    <row r="2446" spans="1:19" ht="15.75" customHeight="1" x14ac:dyDescent="0.25">
      <c r="A2446" s="4" t="s">
        <v>7894</v>
      </c>
      <c r="B2446" s="4">
        <v>132</v>
      </c>
      <c r="C2446" s="4">
        <v>16938179</v>
      </c>
      <c r="D2446" s="4" t="s">
        <v>116</v>
      </c>
      <c r="E2446" s="4" t="s">
        <v>920</v>
      </c>
      <c r="F2446" s="4" t="s">
        <v>7895</v>
      </c>
      <c r="G2446" s="4">
        <v>41313</v>
      </c>
      <c r="H2446" s="4" t="s">
        <v>7896</v>
      </c>
      <c r="I2446" s="4">
        <v>246</v>
      </c>
      <c r="J2446" s="4" t="s">
        <v>23</v>
      </c>
      <c r="K2446" s="4" t="s">
        <v>24</v>
      </c>
      <c r="L2446" s="4">
        <v>8000000</v>
      </c>
      <c r="M2446" s="4">
        <v>2000</v>
      </c>
      <c r="N2446" s="4">
        <v>7</v>
      </c>
      <c r="O2446" s="4">
        <f ca="1">IFERROR(__xludf.DUMMYFUNCTION("IF(Cost_in_dollars!E2446=""USD"",Cost_in_dollars!B2446,Cost_in_dollars!B2446 * GOOGLEFINANCE(""CURRENCY:"" &amp; Cost_in_dollars!E2446 &amp; ""USD""))
"),8000000)</f>
        <v>8000000</v>
      </c>
      <c r="P2446" s="4">
        <f ca="1">IFERROR(__xludf.DUMMYFUNCTION("IF(Cost_in_dollars!E2446=""USD"",Cost_in_dollars!C2446,Cost_in_dollars!C2446 * GOOGLEFINANCE(""CURRENCY:"" &amp; Cost_in_dollars!E2446 &amp; ""USD""))
"),16938179)</f>
        <v>16938179</v>
      </c>
      <c r="Q2446" s="4">
        <f t="shared" ca="1" si="54"/>
        <v>8938179</v>
      </c>
      <c r="R2446" s="5" t="str">
        <f t="shared" si="55"/>
        <v>Boiler Room</v>
      </c>
      <c r="S2446" s="43" t="str">
        <f t="shared" si="58"/>
        <v>Crime</v>
      </c>
    </row>
    <row r="2447" spans="1:19" ht="15.75" customHeight="1" x14ac:dyDescent="0.25">
      <c r="A2447" s="6" t="s">
        <v>7897</v>
      </c>
      <c r="B2447" s="6">
        <v>83</v>
      </c>
      <c r="C2447" s="6">
        <v>54910560</v>
      </c>
      <c r="D2447" s="6" t="s">
        <v>714</v>
      </c>
      <c r="E2447" s="6" t="s">
        <v>881</v>
      </c>
      <c r="F2447" s="6" t="s">
        <v>7898</v>
      </c>
      <c r="G2447" s="6">
        <v>88225</v>
      </c>
      <c r="H2447" s="6" t="s">
        <v>7899</v>
      </c>
      <c r="I2447" s="6">
        <v>227</v>
      </c>
      <c r="J2447" s="6" t="s">
        <v>23</v>
      </c>
      <c r="K2447" s="6" t="s">
        <v>24</v>
      </c>
      <c r="L2447" s="6">
        <v>60000000</v>
      </c>
      <c r="M2447" s="6">
        <v>1997</v>
      </c>
      <c r="N2447" s="6">
        <v>6.3</v>
      </c>
      <c r="O2447" s="4">
        <f ca="1">IFERROR(__xludf.DUMMYFUNCTION("IF(Cost_in_dollars!E2447=""USD"",Cost_in_dollars!B2447,Cost_in_dollars!B2447 * GOOGLEFINANCE(""CURRENCY:"" &amp; Cost_in_dollars!E2447 &amp; ""USD""))
"),60000000)</f>
        <v>60000000</v>
      </c>
      <c r="P2447" s="4">
        <f ca="1">IFERROR(__xludf.DUMMYFUNCTION("IF(Cost_in_dollars!E2447=""USD"",Cost_in_dollars!C2447,Cost_in_dollars!C2447 * GOOGLEFINANCE(""CURRENCY:"" &amp; Cost_in_dollars!E2447 &amp; ""USD""))
"),54910560)</f>
        <v>54910560</v>
      </c>
      <c r="Q2447" s="6">
        <f t="shared" ca="1" si="54"/>
        <v>-5089440</v>
      </c>
      <c r="R2447" s="7" t="str">
        <f t="shared" si="55"/>
        <v>The Jackal</v>
      </c>
      <c r="S2447" s="43" t="str">
        <f t="shared" si="58"/>
        <v>Action</v>
      </c>
    </row>
    <row r="2448" spans="1:19" ht="15.75" customHeight="1" x14ac:dyDescent="0.25">
      <c r="A2448" s="4" t="s">
        <v>7900</v>
      </c>
      <c r="B2448" s="4">
        <v>163</v>
      </c>
      <c r="C2448" s="4">
        <v>4046737</v>
      </c>
      <c r="D2448" s="4" t="s">
        <v>162</v>
      </c>
      <c r="E2448" s="4" t="s">
        <v>7188</v>
      </c>
      <c r="F2448" s="4" t="s">
        <v>7901</v>
      </c>
      <c r="G2448" s="4">
        <v>67949</v>
      </c>
      <c r="H2448" s="4" t="s">
        <v>7902</v>
      </c>
      <c r="I2448" s="4">
        <v>390</v>
      </c>
      <c r="J2448" s="4" t="s">
        <v>23</v>
      </c>
      <c r="K2448" s="4" t="s">
        <v>24</v>
      </c>
      <c r="L2448" s="4">
        <v>4000000</v>
      </c>
      <c r="M2448" s="4">
        <v>2002</v>
      </c>
      <c r="N2448" s="4">
        <v>7.1</v>
      </c>
      <c r="O2448" s="4">
        <f ca="1">IFERROR(__xludf.DUMMYFUNCTION("IF(Cost_in_dollars!E2448=""USD"",Cost_in_dollars!B2448,Cost_in_dollars!B2448 * GOOGLEFINANCE(""CURRENCY:"" &amp; Cost_in_dollars!E2448 &amp; ""USD""))
"),4000000)</f>
        <v>4000000</v>
      </c>
      <c r="P2448" s="4">
        <f ca="1">IFERROR(__xludf.DUMMYFUNCTION("IF(Cost_in_dollars!E2448=""USD"",Cost_in_dollars!C2448,Cost_in_dollars!C2448 * GOOGLEFINANCE(""CURRENCY:"" &amp; Cost_in_dollars!E2448 &amp; ""USD""))
"),4046737)</f>
        <v>4046737</v>
      </c>
      <c r="Q2448" s="4">
        <f t="shared" ca="1" si="54"/>
        <v>46737</v>
      </c>
      <c r="R2448" s="5" t="str">
        <f t="shared" si="55"/>
        <v>Secretary</v>
      </c>
      <c r="S2448" s="43" t="str">
        <f t="shared" si="58"/>
        <v>Comedy</v>
      </c>
    </row>
    <row r="2449" spans="1:19" ht="15.75" customHeight="1" x14ac:dyDescent="0.25">
      <c r="A2449" s="6" t="s">
        <v>7903</v>
      </c>
      <c r="B2449" s="6">
        <v>134</v>
      </c>
      <c r="C2449" s="6">
        <v>382946</v>
      </c>
      <c r="D2449" s="6" t="s">
        <v>102</v>
      </c>
      <c r="E2449" s="6" t="s">
        <v>767</v>
      </c>
      <c r="F2449" s="6" t="s">
        <v>7904</v>
      </c>
      <c r="G2449" s="6">
        <v>43965</v>
      </c>
      <c r="H2449" s="6" t="s">
        <v>7905</v>
      </c>
      <c r="I2449" s="6">
        <v>99</v>
      </c>
      <c r="J2449" s="6" t="s">
        <v>23</v>
      </c>
      <c r="K2449" s="6" t="s">
        <v>24</v>
      </c>
      <c r="L2449" s="6">
        <v>7000000</v>
      </c>
      <c r="M2449" s="6">
        <v>2010</v>
      </c>
      <c r="N2449" s="6">
        <v>7.1</v>
      </c>
      <c r="O2449" s="4">
        <f ca="1">IFERROR(__xludf.DUMMYFUNCTION("IF(Cost_in_dollars!E2449=""USD"",Cost_in_dollars!B2449,Cost_in_dollars!B2449 * GOOGLEFINANCE(""CURRENCY:"" &amp; Cost_in_dollars!E2449 &amp; ""USD""))
"),7000000)</f>
        <v>7000000</v>
      </c>
      <c r="P2449" s="4">
        <f ca="1">IFERROR(__xludf.DUMMYFUNCTION("IF(Cost_in_dollars!E2449=""USD"",Cost_in_dollars!C2449,Cost_in_dollars!C2449 * GOOGLEFINANCE(""CURRENCY:"" &amp; Cost_in_dollars!E2449 &amp; ""USD""))
"),382946)</f>
        <v>382946</v>
      </c>
      <c r="Q2449" s="6">
        <f t="shared" ca="1" si="54"/>
        <v>-6617054</v>
      </c>
      <c r="R2449" s="7" t="str">
        <f t="shared" si="55"/>
        <v>Hesher</v>
      </c>
      <c r="S2449" s="43" t="str">
        <f t="shared" si="58"/>
        <v>Drama</v>
      </c>
    </row>
    <row r="2450" spans="1:19" ht="15.75" customHeight="1" x14ac:dyDescent="0.25">
      <c r="A2450" s="4" t="s">
        <v>7906</v>
      </c>
      <c r="B2450" s="4">
        <v>190</v>
      </c>
      <c r="C2450" s="4">
        <v>46440491</v>
      </c>
      <c r="D2450" s="4" t="s">
        <v>304</v>
      </c>
      <c r="E2450" s="4" t="s">
        <v>1860</v>
      </c>
      <c r="F2450" s="4" t="s">
        <v>7907</v>
      </c>
      <c r="G2450" s="4">
        <v>35446</v>
      </c>
      <c r="H2450" s="4" t="s">
        <v>7908</v>
      </c>
      <c r="I2450" s="4">
        <v>78</v>
      </c>
      <c r="J2450" s="4" t="s">
        <v>23</v>
      </c>
      <c r="K2450" s="4" t="s">
        <v>133</v>
      </c>
      <c r="L2450" s="4">
        <v>100000000</v>
      </c>
      <c r="M2450" s="4">
        <v>2011</v>
      </c>
      <c r="N2450" s="4">
        <v>7.1</v>
      </c>
      <c r="O2450" s="4">
        <f ca="1">IFERROR(__xludf.DUMMYFUNCTION("IF(Cost_in_dollars!E2450=""USD"",Cost_in_dollars!B2450,Cost_in_dollars!B2450 * GOOGLEFINANCE(""CURRENCY:"" &amp; Cost_in_dollars!E2450 &amp; ""USD""))
"),128539999.999999)</f>
        <v>128539999.999999</v>
      </c>
      <c r="P2450" s="4">
        <f ca="1">IFERROR(__xludf.DUMMYFUNCTION("IF(Cost_in_dollars!E2450=""USD"",Cost_in_dollars!C2450,Cost_in_dollars!C2450 * GOOGLEFINANCE(""CURRENCY:"" &amp; Cost_in_dollars!E2450 &amp; ""USD""))
"),59694607.1314)</f>
        <v>59694607.131399997</v>
      </c>
      <c r="Q2450" s="4">
        <f t="shared" ca="1" si="54"/>
        <v>-68845392.868598998</v>
      </c>
      <c r="R2450" s="5" t="str">
        <f t="shared" si="55"/>
        <v>Arthur Christmas</v>
      </c>
      <c r="S2450" s="43" t="str">
        <f t="shared" si="58"/>
        <v>Adventure</v>
      </c>
    </row>
    <row r="2451" spans="1:19" ht="15.75" customHeight="1" x14ac:dyDescent="0.25">
      <c r="A2451" s="6" t="s">
        <v>763</v>
      </c>
      <c r="B2451" s="6">
        <v>133</v>
      </c>
      <c r="C2451" s="6">
        <v>42438300</v>
      </c>
      <c r="D2451" s="6" t="s">
        <v>1788</v>
      </c>
      <c r="E2451" s="6" t="s">
        <v>886</v>
      </c>
      <c r="F2451" s="6" t="s">
        <v>7909</v>
      </c>
      <c r="G2451" s="6">
        <v>333542</v>
      </c>
      <c r="H2451" s="6" t="s">
        <v>7910</v>
      </c>
      <c r="I2451" s="6">
        <v>533</v>
      </c>
      <c r="J2451" s="6" t="s">
        <v>23</v>
      </c>
      <c r="K2451" s="6" t="s">
        <v>24</v>
      </c>
      <c r="L2451" s="6">
        <v>52000000</v>
      </c>
      <c r="M2451" s="6">
        <v>1995</v>
      </c>
      <c r="N2451" s="6">
        <v>8.1999999999999993</v>
      </c>
      <c r="O2451" s="4">
        <f ca="1">IFERROR(__xludf.DUMMYFUNCTION("IF(Cost_in_dollars!E2451=""USD"",Cost_in_dollars!B2451,Cost_in_dollars!B2451 * GOOGLEFINANCE(""CURRENCY:"" &amp; Cost_in_dollars!E2451 &amp; ""USD""))
"),52000000)</f>
        <v>52000000</v>
      </c>
      <c r="P2451" s="4">
        <f ca="1">IFERROR(__xludf.DUMMYFUNCTION("IF(Cost_in_dollars!E2451=""USD"",Cost_in_dollars!C2451,Cost_in_dollars!C2451 * GOOGLEFINANCE(""CURRENCY:"" &amp; Cost_in_dollars!E2451 &amp; ""USD""))
"),42438300)</f>
        <v>42438300</v>
      </c>
      <c r="Q2451" s="6">
        <f t="shared" ca="1" si="54"/>
        <v>-9561700</v>
      </c>
      <c r="R2451" s="7" t="str">
        <f t="shared" si="55"/>
        <v>Casino</v>
      </c>
      <c r="S2451" s="43" t="str">
        <f t="shared" si="58"/>
        <v>Biography</v>
      </c>
    </row>
    <row r="2452" spans="1:19" ht="15.75" customHeight="1" x14ac:dyDescent="0.25">
      <c r="A2452" s="4" t="s">
        <v>7911</v>
      </c>
      <c r="B2452" s="4">
        <v>232</v>
      </c>
      <c r="C2452" s="4">
        <v>1487477</v>
      </c>
      <c r="D2452" s="4" t="s">
        <v>7912</v>
      </c>
      <c r="E2452" s="4" t="s">
        <v>7913</v>
      </c>
      <c r="F2452" s="4" t="s">
        <v>7914</v>
      </c>
      <c r="G2452" s="4">
        <v>47097</v>
      </c>
      <c r="H2452" s="4" t="s">
        <v>7915</v>
      </c>
      <c r="I2452" s="4">
        <v>310</v>
      </c>
      <c r="J2452" s="4" t="s">
        <v>7916</v>
      </c>
      <c r="K2452" s="4" t="s">
        <v>7917</v>
      </c>
      <c r="L2452" s="4">
        <v>4200000</v>
      </c>
      <c r="M2452" s="4">
        <v>2004</v>
      </c>
      <c r="N2452" s="4">
        <v>6.5</v>
      </c>
      <c r="O2452" s="4">
        <f ca="1">IFERROR(__xludf.DUMMYFUNCTION("IF(Cost_in_dollars!E2452=""USD"",Cost_in_dollars!B2452,Cost_in_dollars!B2452 * GOOGLEFINANCE(""CURRENCY:"" &amp; Cost_in_dollars!E2452 &amp; ""USD""))
"),49411.5342)</f>
        <v>49411.534200000002</v>
      </c>
      <c r="P2452" s="4">
        <f ca="1">IFERROR(__xludf.DUMMYFUNCTION("IF(Cost_in_dollars!E2452=""USD"",Cost_in_dollars!C2452,Cost_in_dollars!C2452 * GOOGLEFINANCE(""CURRENCY:"" &amp; Cost_in_dollars!E2452 &amp; ""USD""))
"),17499.647775527)</f>
        <v>17499.647775526999</v>
      </c>
      <c r="Q2452" s="4">
        <f t="shared" ca="1" si="54"/>
        <v>-31911.886424473003</v>
      </c>
      <c r="R2452" s="5" t="str">
        <f t="shared" si="55"/>
        <v>Night Watch</v>
      </c>
      <c r="S2452" s="43" t="str">
        <f t="shared" si="58"/>
        <v>Fantasy</v>
      </c>
    </row>
    <row r="2453" spans="1:19" ht="15.75" customHeight="1" x14ac:dyDescent="0.25">
      <c r="A2453" s="6" t="s">
        <v>2383</v>
      </c>
      <c r="B2453" s="6">
        <v>66</v>
      </c>
      <c r="C2453" s="6">
        <v>87100000</v>
      </c>
      <c r="D2453" s="6" t="s">
        <v>890</v>
      </c>
      <c r="E2453" s="6" t="s">
        <v>1954</v>
      </c>
      <c r="F2453" s="6" t="s">
        <v>7918</v>
      </c>
      <c r="G2453" s="6">
        <v>52339</v>
      </c>
      <c r="H2453" s="6" t="s">
        <v>7919</v>
      </c>
      <c r="I2453" s="6">
        <v>200</v>
      </c>
      <c r="J2453" s="6" t="s">
        <v>23</v>
      </c>
      <c r="K2453" s="6" t="s">
        <v>24</v>
      </c>
      <c r="L2453" s="6">
        <v>31000000</v>
      </c>
      <c r="M2453" s="6">
        <v>1985</v>
      </c>
      <c r="N2453" s="6">
        <v>7.2</v>
      </c>
      <c r="O2453" s="4">
        <f ca="1">IFERROR(__xludf.DUMMYFUNCTION("IF(Cost_in_dollars!E2453=""USD"",Cost_in_dollars!B2453,Cost_in_dollars!B2453 * GOOGLEFINANCE(""CURRENCY:"" &amp; Cost_in_dollars!E2453 &amp; ""USD""))
"),31000000)</f>
        <v>31000000</v>
      </c>
      <c r="P2453" s="4">
        <f ca="1">IFERROR(__xludf.DUMMYFUNCTION("IF(Cost_in_dollars!E2453=""USD"",Cost_in_dollars!C2453,Cost_in_dollars!C2453 * GOOGLEFINANCE(""CURRENCY:"" &amp; Cost_in_dollars!E2453 &amp; ""USD""))
"),87100000)</f>
        <v>87100000</v>
      </c>
      <c r="Q2453" s="6">
        <f t="shared" ca="1" si="54"/>
        <v>56100000</v>
      </c>
      <c r="R2453" s="7" t="str">
        <f t="shared" si="55"/>
        <v>Out of Africa</v>
      </c>
      <c r="S2453" s="43" t="str">
        <f t="shared" si="58"/>
        <v>Biography</v>
      </c>
    </row>
    <row r="2454" spans="1:19" ht="15.75" customHeight="1" x14ac:dyDescent="0.25">
      <c r="A2454" s="4" t="s">
        <v>7920</v>
      </c>
      <c r="B2454" s="4">
        <v>21</v>
      </c>
      <c r="C2454" s="4">
        <v>882290</v>
      </c>
      <c r="D2454" s="4" t="s">
        <v>7850</v>
      </c>
      <c r="E2454" s="4" t="s">
        <v>872</v>
      </c>
      <c r="F2454" s="4" t="s">
        <v>7921</v>
      </c>
      <c r="G2454" s="4">
        <v>4792</v>
      </c>
      <c r="H2454" s="4" t="s">
        <v>7922</v>
      </c>
      <c r="I2454" s="4">
        <v>43</v>
      </c>
      <c r="J2454" s="4" t="s">
        <v>23</v>
      </c>
      <c r="K2454" s="4" t="s">
        <v>149</v>
      </c>
      <c r="L2454" s="4">
        <v>10000000</v>
      </c>
      <c r="M2454" s="4">
        <v>1989</v>
      </c>
      <c r="N2454" s="4">
        <v>6.5</v>
      </c>
      <c r="O2454" s="4">
        <f ca="1">IFERROR(__xludf.DUMMYFUNCTION("IF(Cost_in_dollars!E2454=""USD"",Cost_in_dollars!B2454,Cost_in_dollars!B2454 * GOOGLEFINANCE(""CURRENCY:"" &amp; Cost_in_dollars!E2454 &amp; ""USD""))
"),6538800)</f>
        <v>6538800</v>
      </c>
      <c r="P2454" s="4">
        <f ca="1">IFERROR(__xludf.DUMMYFUNCTION("IF(Cost_in_dollars!E2454=""USD"",Cost_in_dollars!C2454,Cost_in_dollars!C2454 * GOOGLEFINANCE(""CURRENCY:"" &amp; Cost_in_dollars!E2454 &amp; ""USD""))
"),576911.7852)</f>
        <v>576911.78520000004</v>
      </c>
      <c r="Q2454" s="4">
        <f t="shared" ca="1" si="54"/>
        <v>-5961888.2148000002</v>
      </c>
      <c r="R2454" s="5" t="str">
        <f t="shared" si="55"/>
        <v>The Blood of Heroes</v>
      </c>
      <c r="S2454" s="43" t="str">
        <f t="shared" si="58"/>
        <v>Action</v>
      </c>
    </row>
    <row r="2455" spans="1:19" ht="15.75" customHeight="1" x14ac:dyDescent="0.25">
      <c r="A2455" s="6" t="s">
        <v>7923</v>
      </c>
      <c r="B2455" s="6">
        <v>99</v>
      </c>
      <c r="C2455" s="6">
        <v>13038660</v>
      </c>
      <c r="D2455" s="6" t="s">
        <v>102</v>
      </c>
      <c r="E2455" s="6" t="s">
        <v>6867</v>
      </c>
      <c r="F2455" s="6" t="s">
        <v>7924</v>
      </c>
      <c r="G2455" s="6">
        <v>16995</v>
      </c>
      <c r="H2455" s="6" t="s">
        <v>7925</v>
      </c>
      <c r="I2455" s="6">
        <v>163</v>
      </c>
      <c r="J2455" s="6" t="s">
        <v>23</v>
      </c>
      <c r="K2455" s="6" t="s">
        <v>24</v>
      </c>
      <c r="L2455" s="6">
        <v>25000000</v>
      </c>
      <c r="M2455" s="6">
        <v>1999</v>
      </c>
      <c r="N2455" s="6">
        <v>7.3</v>
      </c>
      <c r="O2455" s="4">
        <f ca="1">IFERROR(__xludf.DUMMYFUNCTION("IF(Cost_in_dollars!E2455=""USD"",Cost_in_dollars!B2455,Cost_in_dollars!B2455 * GOOGLEFINANCE(""CURRENCY:"" &amp; Cost_in_dollars!E2455 &amp; ""USD""))
"),25000000)</f>
        <v>25000000</v>
      </c>
      <c r="P2455" s="4">
        <f ca="1">IFERROR(__xludf.DUMMYFUNCTION("IF(Cost_in_dollars!E2455=""USD"",Cost_in_dollars!C2455,Cost_in_dollars!C2455 * GOOGLEFINANCE(""CURRENCY:"" &amp; Cost_in_dollars!E2455 &amp; ""USD""))
"),13038660)</f>
        <v>13038660</v>
      </c>
      <c r="Q2455" s="6">
        <f t="shared" ca="1" si="54"/>
        <v>-11961340</v>
      </c>
      <c r="R2455" s="7" t="str">
        <f t="shared" si="55"/>
        <v>Angela's Ashes</v>
      </c>
      <c r="S2455" s="43" t="str">
        <f t="shared" si="58"/>
        <v>Drama</v>
      </c>
    </row>
    <row r="2456" spans="1:19" ht="15.75" customHeight="1" x14ac:dyDescent="0.25">
      <c r="A2456" s="4" t="s">
        <v>7926</v>
      </c>
      <c r="B2456" s="4">
        <v>74</v>
      </c>
      <c r="C2456" s="4">
        <v>52277485</v>
      </c>
      <c r="D2456" s="4" t="s">
        <v>1127</v>
      </c>
      <c r="E2456" s="4" t="s">
        <v>3382</v>
      </c>
      <c r="F2456" s="4" t="s">
        <v>7927</v>
      </c>
      <c r="G2456" s="4">
        <v>32370</v>
      </c>
      <c r="H2456" s="4" t="s">
        <v>7928</v>
      </c>
      <c r="I2456" s="4">
        <v>196</v>
      </c>
      <c r="J2456" s="4" t="s">
        <v>23</v>
      </c>
      <c r="K2456" s="4" t="s">
        <v>24</v>
      </c>
      <c r="L2456" s="4">
        <v>35000000</v>
      </c>
      <c r="M2456" s="4">
        <v>2003</v>
      </c>
      <c r="N2456" s="4">
        <v>6.9</v>
      </c>
      <c r="O2456" s="4">
        <f ca="1">IFERROR(__xludf.DUMMYFUNCTION("IF(Cost_in_dollars!E2456=""USD"",Cost_in_dollars!B2456,Cost_in_dollars!B2456 * GOOGLEFINANCE(""CURRENCY:"" &amp; Cost_in_dollars!E2456 &amp; ""USD""))
"),35000000)</f>
        <v>35000000</v>
      </c>
      <c r="P2456" s="4">
        <f ca="1">IFERROR(__xludf.DUMMYFUNCTION("IF(Cost_in_dollars!E2456=""USD"",Cost_in_dollars!C2456,Cost_in_dollars!C2456 * GOOGLEFINANCE(""CURRENCY:"" &amp; Cost_in_dollars!E2456 &amp; ""USD""))
"),52277485)</f>
        <v>52277485</v>
      </c>
      <c r="Q2456" s="4">
        <f t="shared" ca="1" si="54"/>
        <v>17277485</v>
      </c>
      <c r="R2456" s="5" t="str">
        <f t="shared" si="55"/>
        <v>Radio</v>
      </c>
      <c r="S2456" s="43" t="str">
        <f t="shared" si="58"/>
        <v>Biography</v>
      </c>
    </row>
    <row r="2457" spans="1:19" ht="15.75" customHeight="1" x14ac:dyDescent="0.25">
      <c r="A2457" s="6" t="s">
        <v>128</v>
      </c>
      <c r="B2457" s="6">
        <v>246</v>
      </c>
      <c r="C2457" s="6">
        <v>13464388</v>
      </c>
      <c r="D2457" s="6" t="s">
        <v>367</v>
      </c>
      <c r="E2457" s="6" t="s">
        <v>7929</v>
      </c>
      <c r="F2457" s="6" t="s">
        <v>7930</v>
      </c>
      <c r="G2457" s="6">
        <v>395921</v>
      </c>
      <c r="H2457" s="6" t="s">
        <v>7931</v>
      </c>
      <c r="I2457" s="6">
        <v>859</v>
      </c>
      <c r="J2457" s="6" t="s">
        <v>23</v>
      </c>
      <c r="K2457" s="6" t="s">
        <v>133</v>
      </c>
      <c r="L2457" s="6">
        <v>4000000</v>
      </c>
      <c r="M2457" s="6">
        <v>2004</v>
      </c>
      <c r="N2457" s="6">
        <v>8</v>
      </c>
      <c r="O2457" s="4">
        <f ca="1">IFERROR(__xludf.DUMMYFUNCTION("IF(Cost_in_dollars!E2457=""USD"",Cost_in_dollars!B2457,Cost_in_dollars!B2457 * GOOGLEFINANCE(""CURRENCY:"" &amp; Cost_in_dollars!E2457 &amp; ""USD""))
"),5141599.99999999)</f>
        <v>5141599.9999999898</v>
      </c>
      <c r="P2457" s="4">
        <f ca="1">IFERROR(__xludf.DUMMYFUNCTION("IF(Cost_in_dollars!E2457=""USD"",Cost_in_dollars!C2457,Cost_in_dollars!C2457 * GOOGLEFINANCE(""CURRENCY:"" &amp; Cost_in_dollars!E2457 &amp; ""USD""))
"),17307124.3351999)</f>
        <v>17307124.3351999</v>
      </c>
      <c r="Q2457" s="6">
        <f t="shared" ca="1" si="54"/>
        <v>12165524.335199911</v>
      </c>
      <c r="R2457" s="7" t="str">
        <f t="shared" si="55"/>
        <v>Shaun of the Dead</v>
      </c>
      <c r="S2457" s="43" t="str">
        <f t="shared" si="58"/>
        <v>Comedy</v>
      </c>
    </row>
    <row r="2458" spans="1:19" ht="15.75" customHeight="1" x14ac:dyDescent="0.25">
      <c r="A2458" s="4" t="s">
        <v>7932</v>
      </c>
      <c r="B2458" s="4">
        <v>23</v>
      </c>
      <c r="C2458" s="4">
        <v>4006906</v>
      </c>
      <c r="D2458" s="4" t="s">
        <v>443</v>
      </c>
      <c r="E2458" s="4" t="s">
        <v>7933</v>
      </c>
      <c r="F2458" s="4" t="s">
        <v>7934</v>
      </c>
      <c r="G2458" s="4">
        <v>3229</v>
      </c>
      <c r="H2458" s="4" t="s">
        <v>7935</v>
      </c>
      <c r="I2458" s="4">
        <v>20</v>
      </c>
      <c r="J2458" s="4" t="s">
        <v>23</v>
      </c>
      <c r="K2458" s="4" t="s">
        <v>24</v>
      </c>
      <c r="L2458" s="4">
        <v>15000000</v>
      </c>
      <c r="M2458" s="4">
        <v>2005</v>
      </c>
      <c r="N2458" s="4">
        <v>4.0999999999999996</v>
      </c>
      <c r="O2458" s="4">
        <f ca="1">IFERROR(__xludf.DUMMYFUNCTION("IF(Cost_in_dollars!E2458=""USD"",Cost_in_dollars!B2458,Cost_in_dollars!B2458 * GOOGLEFINANCE(""CURRENCY:"" &amp; Cost_in_dollars!E2458 &amp; ""USD""))
"),15000000)</f>
        <v>15000000</v>
      </c>
      <c r="P2458" s="4">
        <f ca="1">IFERROR(__xludf.DUMMYFUNCTION("IF(Cost_in_dollars!E2458=""USD"",Cost_in_dollars!C2458,Cost_in_dollars!C2458 * GOOGLEFINANCE(""CURRENCY:"" &amp; Cost_in_dollars!E2458 &amp; ""USD""))
"),4006906)</f>
        <v>4006906</v>
      </c>
      <c r="Q2458" s="4">
        <f t="shared" ca="1" si="54"/>
        <v>-10993094</v>
      </c>
      <c r="R2458" s="5" t="str">
        <f t="shared" si="55"/>
        <v>King's Ransom</v>
      </c>
      <c r="S2458" s="43" t="str">
        <f t="shared" si="58"/>
        <v>Comedy</v>
      </c>
    </row>
    <row r="2459" spans="1:19" ht="15.75" customHeight="1" x14ac:dyDescent="0.25">
      <c r="A2459" s="6" t="s">
        <v>7936</v>
      </c>
      <c r="B2459" s="6">
        <v>47</v>
      </c>
      <c r="C2459" s="6">
        <v>795126</v>
      </c>
      <c r="D2459" s="6" t="s">
        <v>6972</v>
      </c>
      <c r="E2459" s="6" t="s">
        <v>2321</v>
      </c>
      <c r="F2459" s="6" t="s">
        <v>7937</v>
      </c>
      <c r="G2459" s="6">
        <v>4976</v>
      </c>
      <c r="H2459" s="6" t="s">
        <v>7938</v>
      </c>
      <c r="I2459" s="6">
        <v>52</v>
      </c>
      <c r="J2459" s="6" t="s">
        <v>23</v>
      </c>
      <c r="K2459" s="6" t="s">
        <v>627</v>
      </c>
      <c r="L2459" s="6">
        <v>6000000</v>
      </c>
      <c r="M2459" s="6">
        <v>2004</v>
      </c>
      <c r="N2459" s="6">
        <v>7.6</v>
      </c>
      <c r="O2459" s="4">
        <f ca="1">IFERROR(__xludf.DUMMYFUNCTION("IF(Cost_in_dollars!E2459=""USD"",Cost_in_dollars!B2459,Cost_in_dollars!B2459 * GOOGLEFINANCE(""CURRENCY:"" &amp; Cost_in_dollars!E2459 &amp; ""USD""))
"),4340430)</f>
        <v>4340430</v>
      </c>
      <c r="P2459" s="4">
        <f ca="1">IFERROR(__xludf.DUMMYFUNCTION("IF(Cost_in_dollars!E2459=""USD"",Cost_in_dollars!C2459,Cost_in_dollars!C2459 * GOOGLEFINANCE(""CURRENCY:"" &amp; Cost_in_dollars!E2459 &amp; ""USD""))
"),575198.12403)</f>
        <v>575198.12402999995</v>
      </c>
      <c r="Q2459" s="6">
        <f t="shared" ca="1" si="54"/>
        <v>-3765231.8759699999</v>
      </c>
      <c r="R2459" s="7" t="str">
        <f t="shared" si="55"/>
        <v>Saint Ralph</v>
      </c>
      <c r="S2459" s="43" t="str">
        <f t="shared" si="58"/>
        <v>Comedy</v>
      </c>
    </row>
    <row r="2460" spans="1:19" ht="15.75" customHeight="1" x14ac:dyDescent="0.25">
      <c r="A2460" s="4" t="s">
        <v>7939</v>
      </c>
      <c r="B2460" s="4">
        <v>103</v>
      </c>
      <c r="C2460" s="4">
        <v>16346122</v>
      </c>
      <c r="D2460" s="4" t="s">
        <v>102</v>
      </c>
      <c r="E2460" s="4" t="s">
        <v>7940</v>
      </c>
      <c r="F2460" s="4" t="s">
        <v>7941</v>
      </c>
      <c r="G2460" s="4">
        <v>25549</v>
      </c>
      <c r="H2460" s="4" t="s">
        <v>7942</v>
      </c>
      <c r="I2460" s="4">
        <v>171</v>
      </c>
      <c r="J2460" s="4" t="s">
        <v>23</v>
      </c>
      <c r="K2460" s="4" t="s">
        <v>24</v>
      </c>
      <c r="L2460" s="4">
        <v>16000000</v>
      </c>
      <c r="M2460" s="4">
        <v>2002</v>
      </c>
      <c r="N2460" s="4">
        <v>7.2</v>
      </c>
      <c r="O2460" s="4">
        <f ca="1">IFERROR(__xludf.DUMMYFUNCTION("IF(Cost_in_dollars!E2460=""USD"",Cost_in_dollars!B2460,Cost_in_dollars!B2460 * GOOGLEFINANCE(""CURRENCY:"" &amp; Cost_in_dollars!E2460 &amp; ""USD""))
"),16000000)</f>
        <v>16000000</v>
      </c>
      <c r="P2460" s="4">
        <f ca="1">IFERROR(__xludf.DUMMYFUNCTION("IF(Cost_in_dollars!E2460=""USD"",Cost_in_dollars!C2460,Cost_in_dollars!C2460 * GOOGLEFINANCE(""CURRENCY:"" &amp; Cost_in_dollars!E2460 &amp; ""USD""))
"),16346122)</f>
        <v>16346122</v>
      </c>
      <c r="Q2460" s="4">
        <f t="shared" ca="1" si="54"/>
        <v>346122</v>
      </c>
      <c r="R2460" s="5" t="str">
        <f t="shared" si="55"/>
        <v>White Oleander</v>
      </c>
      <c r="S2460" s="43" t="str">
        <f t="shared" si="58"/>
        <v>Drama</v>
      </c>
    </row>
    <row r="2461" spans="1:19" ht="15.75" customHeight="1" x14ac:dyDescent="0.25">
      <c r="A2461" s="6" t="s">
        <v>3689</v>
      </c>
      <c r="B2461" s="6">
        <v>226</v>
      </c>
      <c r="C2461" s="6">
        <v>33565375</v>
      </c>
      <c r="D2461" s="6" t="s">
        <v>1028</v>
      </c>
      <c r="E2461" s="6" t="s">
        <v>1612</v>
      </c>
      <c r="F2461" s="6" t="s">
        <v>7943</v>
      </c>
      <c r="G2461" s="6">
        <v>111351</v>
      </c>
      <c r="H2461" s="6" t="s">
        <v>7944</v>
      </c>
      <c r="I2461" s="6">
        <v>568</v>
      </c>
      <c r="J2461" s="6" t="s">
        <v>23</v>
      </c>
      <c r="K2461" s="6" t="s">
        <v>133</v>
      </c>
      <c r="L2461" s="6">
        <v>15000000</v>
      </c>
      <c r="M2461" s="6">
        <v>2005</v>
      </c>
      <c r="N2461" s="6">
        <v>7.5</v>
      </c>
      <c r="O2461" s="4">
        <f ca="1">IFERROR(__xludf.DUMMYFUNCTION("IF(Cost_in_dollars!E2461=""USD"",Cost_in_dollars!B2461,Cost_in_dollars!B2461 * GOOGLEFINANCE(""CURRENCY:"" &amp; Cost_in_dollars!E2461 &amp; ""USD""))
"),19281000)</f>
        <v>19281000</v>
      </c>
      <c r="P2461" s="4">
        <f ca="1">IFERROR(__xludf.DUMMYFUNCTION("IF(Cost_in_dollars!E2461=""USD"",Cost_in_dollars!C2461,Cost_in_dollars!C2461 * GOOGLEFINANCE(""CURRENCY:"" &amp; Cost_in_dollars!E2461 &amp; ""USD""))
"),43144933.025)</f>
        <v>43144933.024999999</v>
      </c>
      <c r="Q2461" s="6">
        <f t="shared" ca="1" si="54"/>
        <v>23863933.024999999</v>
      </c>
      <c r="R2461" s="7" t="str">
        <f t="shared" si="55"/>
        <v>The Constant Gardener</v>
      </c>
      <c r="S2461" s="43" t="str">
        <f t="shared" si="58"/>
        <v>Drama</v>
      </c>
    </row>
    <row r="2462" spans="1:19" ht="15.75" customHeight="1" x14ac:dyDescent="0.25">
      <c r="A2462" s="4" t="s">
        <v>7945</v>
      </c>
      <c r="B2462" s="4">
        <v>27</v>
      </c>
      <c r="C2462" s="4">
        <v>26906039</v>
      </c>
      <c r="D2462" s="4" t="s">
        <v>971</v>
      </c>
      <c r="E2462" s="4" t="s">
        <v>7946</v>
      </c>
      <c r="F2462" s="4" t="s">
        <v>7947</v>
      </c>
      <c r="G2462" s="4">
        <v>29621</v>
      </c>
      <c r="H2462" s="4" t="s">
        <v>7948</v>
      </c>
      <c r="I2462" s="4">
        <v>76</v>
      </c>
      <c r="J2462" s="4" t="s">
        <v>23</v>
      </c>
      <c r="K2462" s="4" t="s">
        <v>24</v>
      </c>
      <c r="L2462" s="4">
        <v>18000000</v>
      </c>
      <c r="M2462" s="4">
        <v>1996</v>
      </c>
      <c r="N2462" s="4">
        <v>5.3</v>
      </c>
      <c r="O2462" s="4">
        <f ca="1">IFERROR(__xludf.DUMMYFUNCTION("IF(Cost_in_dollars!E2462=""USD"",Cost_in_dollars!B2462,Cost_in_dollars!B2462 * GOOGLEFINANCE(""CURRENCY:"" &amp; Cost_in_dollars!E2462 &amp; ""USD""))
"),18000000)</f>
        <v>18000000</v>
      </c>
      <c r="P2462" s="4">
        <f ca="1">IFERROR(__xludf.DUMMYFUNCTION("IF(Cost_in_dollars!E2462=""USD"",Cost_in_dollars!C2462,Cost_in_dollars!C2462 * GOOGLEFINANCE(""CURRENCY:"" &amp; Cost_in_dollars!E2462 &amp; ""USD""))
"),26906039)</f>
        <v>26906039</v>
      </c>
      <c r="Q2462" s="4">
        <f t="shared" ca="1" si="54"/>
        <v>8906039</v>
      </c>
      <c r="R2462" s="5" t="str">
        <f t="shared" si="55"/>
        <v>Spy Hard</v>
      </c>
      <c r="S2462" s="43" t="str">
        <f t="shared" si="58"/>
        <v>Action</v>
      </c>
    </row>
    <row r="2463" spans="1:19" ht="15.75" customHeight="1" x14ac:dyDescent="0.25">
      <c r="A2463" s="6" t="s">
        <v>7949</v>
      </c>
      <c r="B2463" s="6">
        <v>469</v>
      </c>
      <c r="C2463" s="6">
        <v>1702277</v>
      </c>
      <c r="D2463" s="6" t="s">
        <v>372</v>
      </c>
      <c r="E2463" s="6" t="s">
        <v>7950</v>
      </c>
      <c r="F2463" s="6" t="s">
        <v>7951</v>
      </c>
      <c r="G2463" s="6">
        <v>84620</v>
      </c>
      <c r="H2463" s="6" t="s">
        <v>7952</v>
      </c>
      <c r="I2463" s="6">
        <v>235</v>
      </c>
      <c r="J2463" s="6" t="s">
        <v>23</v>
      </c>
      <c r="K2463" s="6" t="s">
        <v>133</v>
      </c>
      <c r="L2463" s="6">
        <v>12000000</v>
      </c>
      <c r="M2463" s="6">
        <v>2013</v>
      </c>
      <c r="N2463" s="6">
        <v>6.8</v>
      </c>
      <c r="O2463" s="4">
        <f ca="1">IFERROR(__xludf.DUMMYFUNCTION("IF(Cost_in_dollars!E2463=""USD"",Cost_in_dollars!B2463,Cost_in_dollars!B2463 * GOOGLEFINANCE(""CURRENCY:"" &amp; Cost_in_dollars!E2463 &amp; ""USD""))
"),15424799.9999999)</f>
        <v>15424799.999999899</v>
      </c>
      <c r="P2463" s="4">
        <f ca="1">IFERROR(__xludf.DUMMYFUNCTION("IF(Cost_in_dollars!E2463=""USD"",Cost_in_dollars!C2463,Cost_in_dollars!C2463 * GOOGLEFINANCE(""CURRENCY:"" &amp; Cost_in_dollars!E2463 &amp; ""USD""))
"),2188106.8558)</f>
        <v>2188106.8558</v>
      </c>
      <c r="Q2463" s="6">
        <f t="shared" ca="1" si="54"/>
        <v>-13236693.1441999</v>
      </c>
      <c r="R2463" s="7" t="str">
        <f t="shared" si="55"/>
        <v>Stoker</v>
      </c>
      <c r="S2463" s="43" t="str">
        <f t="shared" si="58"/>
        <v>Drama</v>
      </c>
    </row>
    <row r="2464" spans="1:19" ht="15.75" customHeight="1" x14ac:dyDescent="0.25">
      <c r="A2464" s="4" t="s">
        <v>7953</v>
      </c>
      <c r="B2464" s="4">
        <v>38</v>
      </c>
      <c r="C2464" s="4">
        <v>57362581</v>
      </c>
      <c r="D2464" s="4" t="s">
        <v>167</v>
      </c>
      <c r="E2464" s="4" t="s">
        <v>2547</v>
      </c>
      <c r="F2464" s="4" t="s">
        <v>7954</v>
      </c>
      <c r="G2464" s="4">
        <v>50148</v>
      </c>
      <c r="H2464" s="4" t="s">
        <v>7955</v>
      </c>
      <c r="I2464" s="4">
        <v>116</v>
      </c>
      <c r="J2464" s="4" t="s">
        <v>23</v>
      </c>
      <c r="K2464" s="4" t="s">
        <v>7956</v>
      </c>
      <c r="L2464" s="4">
        <v>45000000</v>
      </c>
      <c r="M2464" s="4">
        <v>1994</v>
      </c>
      <c r="N2464" s="4">
        <v>5.4</v>
      </c>
      <c r="O2464" s="4">
        <f ca="1">IFERROR(__xludf.DUMMYFUNCTION("IF(Cost_in_dollars!E2464=""USD"",Cost_in_dollars!B2464,Cost_in_dollars!B2464 * GOOGLEFINANCE(""CURRENCY:"" &amp; Cost_in_dollars!E2464 &amp; ""USD""))
"),12029229)</f>
        <v>12029229</v>
      </c>
      <c r="P2464" s="4">
        <f ca="1">IFERROR(__xludf.DUMMYFUNCTION("IF(Cost_in_dollars!E2464=""USD"",Cost_in_dollars!C2464,Cost_in_dollars!C2464 * GOOGLEFINANCE(""CURRENCY:"" &amp; Cost_in_dollars!E2464 &amp; ""USD""))
"),15333947.1751122)</f>
        <v>15333947.175112201</v>
      </c>
      <c r="Q2464" s="4">
        <f t="shared" ca="1" si="54"/>
        <v>3304718.1751122009</v>
      </c>
      <c r="R2464" s="5" t="str">
        <f t="shared" si="55"/>
        <v>The Specialist</v>
      </c>
      <c r="S2464" s="43" t="str">
        <f t="shared" si="58"/>
        <v>Action</v>
      </c>
    </row>
    <row r="2465" spans="1:19" ht="15.75" customHeight="1" x14ac:dyDescent="0.25">
      <c r="A2465" s="6" t="s">
        <v>318</v>
      </c>
      <c r="B2465" s="6">
        <v>183</v>
      </c>
      <c r="C2465" s="6">
        <v>1304837</v>
      </c>
      <c r="D2465" s="6" t="s">
        <v>314</v>
      </c>
      <c r="E2465" s="6" t="s">
        <v>3291</v>
      </c>
      <c r="F2465" s="6" t="s">
        <v>7957</v>
      </c>
      <c r="G2465" s="6">
        <v>21481</v>
      </c>
      <c r="H2465" s="6" t="s">
        <v>7958</v>
      </c>
      <c r="I2465" s="6">
        <v>175</v>
      </c>
      <c r="J2465" s="6" t="s">
        <v>23</v>
      </c>
      <c r="K2465" s="6" t="s">
        <v>24</v>
      </c>
      <c r="L2465" s="6">
        <v>32000000</v>
      </c>
      <c r="M2465" s="6">
        <v>2006</v>
      </c>
      <c r="N2465" s="6">
        <v>6.1</v>
      </c>
      <c r="O2465" s="4">
        <f ca="1">IFERROR(__xludf.DUMMYFUNCTION("IF(Cost_in_dollars!E2465=""USD"",Cost_in_dollars!B2465,Cost_in_dollars!B2465 * GOOGLEFINANCE(""CURRENCY:"" &amp; Cost_in_dollars!E2465 &amp; ""USD""))
"),32000000)</f>
        <v>32000000</v>
      </c>
      <c r="P2465" s="4">
        <f ca="1">IFERROR(__xludf.DUMMYFUNCTION("IF(Cost_in_dollars!E2465=""USD"",Cost_in_dollars!C2465,Cost_in_dollars!C2465 * GOOGLEFINANCE(""CURRENCY:"" &amp; Cost_in_dollars!E2465 &amp; ""USD""))
"),1304837)</f>
        <v>1304837</v>
      </c>
      <c r="Q2465" s="6">
        <f t="shared" ca="1" si="54"/>
        <v>-30695163</v>
      </c>
      <c r="R2465" s="7" t="str">
        <f t="shared" si="55"/>
        <v>The Good German</v>
      </c>
      <c r="S2465" s="43" t="str">
        <f t="shared" si="58"/>
        <v>Drama</v>
      </c>
    </row>
    <row r="2466" spans="1:19" ht="15.75" customHeight="1" x14ac:dyDescent="0.25">
      <c r="A2466" s="4" t="s">
        <v>1495</v>
      </c>
      <c r="B2466" s="4">
        <v>162</v>
      </c>
      <c r="C2466" s="4">
        <v>34566746</v>
      </c>
      <c r="D2466" s="4" t="s">
        <v>963</v>
      </c>
      <c r="E2466" s="4" t="s">
        <v>3574</v>
      </c>
      <c r="F2466" s="4" t="s">
        <v>7959</v>
      </c>
      <c r="G2466" s="4">
        <v>45231</v>
      </c>
      <c r="H2466" s="4" t="s">
        <v>7960</v>
      </c>
      <c r="I2466" s="4">
        <v>315</v>
      </c>
      <c r="J2466" s="4" t="s">
        <v>23</v>
      </c>
      <c r="K2466" s="4" t="s">
        <v>24</v>
      </c>
      <c r="L2466" s="4">
        <v>80000000</v>
      </c>
      <c r="M2466" s="4">
        <v>2000</v>
      </c>
      <c r="N2466" s="4">
        <v>7.3</v>
      </c>
      <c r="O2466" s="4">
        <f ca="1">IFERROR(__xludf.DUMMYFUNCTION("IF(Cost_in_dollars!E2466=""USD"",Cost_in_dollars!B2466,Cost_in_dollars!B2466 * GOOGLEFINANCE(""CURRENCY:"" &amp; Cost_in_dollars!E2466 &amp; ""USD""))
"),80000000)</f>
        <v>80000000</v>
      </c>
      <c r="P2466" s="4">
        <f ca="1">IFERROR(__xludf.DUMMYFUNCTION("IF(Cost_in_dollars!E2466=""USD"",Cost_in_dollars!C2466,Cost_in_dollars!C2466 * GOOGLEFINANCE(""CURRENCY:"" &amp; Cost_in_dollars!E2466 &amp; ""USD""))
"),34566746)</f>
        <v>34566746</v>
      </c>
      <c r="Q2466" s="4">
        <f t="shared" ca="1" si="54"/>
        <v>-45433254</v>
      </c>
      <c r="R2466" s="5" t="str">
        <f t="shared" si="55"/>
        <v>Thirteen Days</v>
      </c>
      <c r="S2466" s="43" t="str">
        <f t="shared" si="58"/>
        <v>Drama</v>
      </c>
    </row>
    <row r="2467" spans="1:19" ht="15.75" customHeight="1" x14ac:dyDescent="0.25">
      <c r="A2467" s="6" t="s">
        <v>1670</v>
      </c>
      <c r="B2467" s="6">
        <v>149</v>
      </c>
      <c r="C2467" s="6">
        <v>57300000</v>
      </c>
      <c r="D2467" s="6" t="s">
        <v>53</v>
      </c>
      <c r="E2467" s="6" t="s">
        <v>886</v>
      </c>
      <c r="F2467" s="6" t="s">
        <v>7961</v>
      </c>
      <c r="G2467" s="6">
        <v>790926</v>
      </c>
      <c r="H2467" s="6" t="s">
        <v>7962</v>
      </c>
      <c r="I2467" s="6">
        <v>650</v>
      </c>
      <c r="J2467" s="6" t="s">
        <v>23</v>
      </c>
      <c r="K2467" s="6" t="s">
        <v>24</v>
      </c>
      <c r="L2467" s="6">
        <v>13000000</v>
      </c>
      <c r="M2467" s="6">
        <v>1974</v>
      </c>
      <c r="N2467" s="6">
        <v>9</v>
      </c>
      <c r="O2467" s="4">
        <f ca="1">IFERROR(__xludf.DUMMYFUNCTION("IF(Cost_in_dollars!E2467=""USD"",Cost_in_dollars!B2467,Cost_in_dollars!B2467 * GOOGLEFINANCE(""CURRENCY:"" &amp; Cost_in_dollars!E2467 &amp; ""USD""))
"),13000000)</f>
        <v>13000000</v>
      </c>
      <c r="P2467" s="4">
        <f ca="1">IFERROR(__xludf.DUMMYFUNCTION("IF(Cost_in_dollars!E2467=""USD"",Cost_in_dollars!C2467,Cost_in_dollars!C2467 * GOOGLEFINANCE(""CURRENCY:"" &amp; Cost_in_dollars!E2467 &amp; ""USD""))
"),57300000)</f>
        <v>57300000</v>
      </c>
      <c r="Q2467" s="6">
        <f t="shared" ca="1" si="54"/>
        <v>44300000</v>
      </c>
      <c r="R2467" s="7" t="str">
        <f t="shared" si="55"/>
        <v>The Godfather: Part II</v>
      </c>
      <c r="S2467" s="43" t="str">
        <f t="shared" si="58"/>
        <v>Crime</v>
      </c>
    </row>
    <row r="2468" spans="1:19" ht="15.75" customHeight="1" x14ac:dyDescent="0.25">
      <c r="A2468" s="4" t="s">
        <v>7963</v>
      </c>
      <c r="B2468" s="4">
        <v>34</v>
      </c>
      <c r="C2468" s="4">
        <v>9910</v>
      </c>
      <c r="D2468" s="4" t="s">
        <v>1012</v>
      </c>
      <c r="E2468" s="4" t="s">
        <v>7964</v>
      </c>
      <c r="F2468" s="4" t="s">
        <v>7965</v>
      </c>
      <c r="G2468" s="4">
        <v>13543</v>
      </c>
      <c r="H2468" s="4" t="s">
        <v>7966</v>
      </c>
      <c r="I2468" s="4">
        <v>94</v>
      </c>
      <c r="J2468" s="4" t="s">
        <v>7967</v>
      </c>
      <c r="K2468" s="4" t="s">
        <v>7968</v>
      </c>
      <c r="L2468" s="4">
        <v>25000000</v>
      </c>
      <c r="M2468" s="4">
        <v>2004</v>
      </c>
      <c r="N2468" s="4">
        <v>7.6</v>
      </c>
      <c r="O2468" s="4">
        <f ca="1">IFERROR(__xludf.DUMMYFUNCTION("IF(Cost_in_dollars!E2468=""USD"",Cost_in_dollars!B2468,Cost_in_dollars!B2468 * GOOGLEFINANCE(""CURRENCY:"" &amp; Cost_in_dollars!E2468 &amp; ""USD""))
"),2308225)</f>
        <v>2308225</v>
      </c>
      <c r="P2468" s="4">
        <f ca="1">IFERROR(__xludf.DUMMYFUNCTION("IF(Cost_in_dollars!E2468=""USD"",Cost_in_dollars!C2468,Cost_in_dollars!C2468 * GOOGLEFINANCE(""CURRENCY:"" &amp; Cost_in_dollars!E2468 &amp; ""USD""))
"),914.98039)</f>
        <v>914.98039000000006</v>
      </c>
      <c r="Q2468" s="4">
        <f t="shared" ca="1" si="54"/>
        <v>-2307310.0196099998</v>
      </c>
      <c r="R2468" s="5" t="str">
        <f t="shared" si="55"/>
        <v>As It Is in Heaven</v>
      </c>
      <c r="S2468" s="43" t="str">
        <f t="shared" si="58"/>
        <v>Comedy</v>
      </c>
    </row>
    <row r="2469" spans="1:19" ht="15.75" customHeight="1" x14ac:dyDescent="0.25">
      <c r="A2469" s="6" t="s">
        <v>67</v>
      </c>
      <c r="B2469" s="6">
        <v>85</v>
      </c>
      <c r="C2469" s="6">
        <v>19283782</v>
      </c>
      <c r="D2469" s="6" t="s">
        <v>813</v>
      </c>
      <c r="E2469" s="6" t="s">
        <v>1079</v>
      </c>
      <c r="F2469" s="6" t="s">
        <v>7969</v>
      </c>
      <c r="G2469" s="6">
        <v>31227</v>
      </c>
      <c r="H2469" s="6" t="s">
        <v>7970</v>
      </c>
      <c r="I2469" s="6">
        <v>354</v>
      </c>
      <c r="J2469" s="6" t="s">
        <v>23</v>
      </c>
      <c r="K2469" s="6" t="s">
        <v>24</v>
      </c>
      <c r="L2469" s="6">
        <v>22000000</v>
      </c>
      <c r="M2469" s="6">
        <v>1999</v>
      </c>
      <c r="N2469" s="6">
        <v>6.6</v>
      </c>
      <c r="O2469" s="4">
        <f ca="1">IFERROR(__xludf.DUMMYFUNCTION("IF(Cost_in_dollars!E2469=""USD"",Cost_in_dollars!B2469,Cost_in_dollars!B2469 * GOOGLEFINANCE(""CURRENCY:"" &amp; Cost_in_dollars!E2469 &amp; ""USD""))
"),22000000)</f>
        <v>22000000</v>
      </c>
      <c r="P2469" s="4">
        <f ca="1">IFERROR(__xludf.DUMMYFUNCTION("IF(Cost_in_dollars!E2469=""USD"",Cost_in_dollars!C2469,Cost_in_dollars!C2469 * GOOGLEFINANCE(""CURRENCY:"" &amp; Cost_in_dollars!E2469 &amp; ""USD""))
"),19283782)</f>
        <v>19283782</v>
      </c>
      <c r="Q2469" s="6">
        <f t="shared" ca="1" si="54"/>
        <v>-2716218</v>
      </c>
      <c r="R2469" s="7" t="str">
        <f t="shared" si="55"/>
        <v>Summer of Sam</v>
      </c>
      <c r="S2469" s="43" t="str">
        <f t="shared" si="58"/>
        <v>Crime</v>
      </c>
    </row>
    <row r="2470" spans="1:19" ht="15.75" customHeight="1" x14ac:dyDescent="0.25">
      <c r="A2470" s="4" t="s">
        <v>7971</v>
      </c>
      <c r="B2470" s="4">
        <v>178</v>
      </c>
      <c r="C2470" s="4">
        <v>3478</v>
      </c>
      <c r="D2470" s="4" t="s">
        <v>1242</v>
      </c>
      <c r="E2470" s="4" t="s">
        <v>7972</v>
      </c>
      <c r="F2470" s="4" t="s">
        <v>7973</v>
      </c>
      <c r="G2470" s="4">
        <v>22212</v>
      </c>
      <c r="H2470" s="4" t="s">
        <v>7974</v>
      </c>
      <c r="I2470" s="4">
        <v>142</v>
      </c>
      <c r="J2470" s="4" t="s">
        <v>23</v>
      </c>
      <c r="K2470" s="4" t="s">
        <v>627</v>
      </c>
      <c r="L2470" s="4">
        <v>1500000</v>
      </c>
      <c r="M2470" s="4">
        <v>2008</v>
      </c>
      <c r="N2470" s="4">
        <v>6.7</v>
      </c>
      <c r="O2470" s="4">
        <f ca="1">IFERROR(__xludf.DUMMYFUNCTION("IF(Cost_in_dollars!E2470=""USD"",Cost_in_dollars!B2470,Cost_in_dollars!B2470 * GOOGLEFINANCE(""CURRENCY:"" &amp; Cost_in_dollars!E2470 &amp; ""USD""))
"),1085107.5)</f>
        <v>1085107.5</v>
      </c>
      <c r="P2470" s="4">
        <f ca="1">IFERROR(__xludf.DUMMYFUNCTION("IF(Cost_in_dollars!E2470=""USD"",Cost_in_dollars!C2470,Cost_in_dollars!C2470 * GOOGLEFINANCE(""CURRENCY:"" &amp; Cost_in_dollars!E2470 &amp; ""USD""))
"),2516.00259)</f>
        <v>2516.0025900000001</v>
      </c>
      <c r="Q2470" s="4">
        <f t="shared" ca="1" si="54"/>
        <v>-1082591.4974100001</v>
      </c>
      <c r="R2470" s="5" t="str">
        <f t="shared" si="55"/>
        <v>Pontypool</v>
      </c>
      <c r="S2470" s="43" t="str">
        <f t="shared" si="58"/>
        <v>Fantasy</v>
      </c>
    </row>
    <row r="2471" spans="1:19" ht="15.75" customHeight="1" x14ac:dyDescent="0.25">
      <c r="A2471" s="6" t="s">
        <v>726</v>
      </c>
      <c r="B2471" s="6">
        <v>260</v>
      </c>
      <c r="C2471" s="6">
        <v>7268659</v>
      </c>
      <c r="D2471" s="6" t="s">
        <v>793</v>
      </c>
      <c r="E2471" s="6" t="s">
        <v>2392</v>
      </c>
      <c r="F2471" s="6" t="s">
        <v>7975</v>
      </c>
      <c r="G2471" s="6">
        <v>59248</v>
      </c>
      <c r="H2471" s="6" t="s">
        <v>7976</v>
      </c>
      <c r="I2471" s="6">
        <v>164</v>
      </c>
      <c r="J2471" s="6" t="s">
        <v>23</v>
      </c>
      <c r="K2471" s="6" t="s">
        <v>7917</v>
      </c>
      <c r="L2471" s="6">
        <v>20000000</v>
      </c>
      <c r="M2471" s="6">
        <v>2013</v>
      </c>
      <c r="N2471" s="6">
        <v>5.6</v>
      </c>
      <c r="O2471" s="4">
        <f ca="1">IFERROR(__xludf.DUMMYFUNCTION("IF(Cost_in_dollars!E2471=""USD"",Cost_in_dollars!B2471,Cost_in_dollars!B2471 * GOOGLEFINANCE(""CURRENCY:"" &amp; Cost_in_dollars!E2471 &amp; ""USD""))
"),235293.02)</f>
        <v>235293.02</v>
      </c>
      <c r="P2471" s="4">
        <f ca="1">IFERROR(__xludf.DUMMYFUNCTION("IF(Cost_in_dollars!E2471=""USD"",Cost_in_dollars!C2471,Cost_in_dollars!C2471 * GOOGLEFINANCE(""CURRENCY:"" &amp; Cost_in_dollars!E2471 &amp; ""USD""))
"),85513.236373009)</f>
        <v>85513.236373009</v>
      </c>
      <c r="Q2471" s="6">
        <f t="shared" ca="1" si="54"/>
        <v>-149779.78362699097</v>
      </c>
      <c r="R2471" s="7" t="str">
        <f t="shared" si="55"/>
        <v>Machete Kills</v>
      </c>
      <c r="S2471" s="43" t="str">
        <f t="shared" si="58"/>
        <v>Action</v>
      </c>
    </row>
    <row r="2472" spans="1:19" ht="15.75" customHeight="1" x14ac:dyDescent="0.25">
      <c r="A2472" s="4" t="s">
        <v>7977</v>
      </c>
      <c r="B2472" s="4">
        <v>78</v>
      </c>
      <c r="C2472" s="4">
        <v>18843314</v>
      </c>
      <c r="D2472" s="4" t="s">
        <v>178</v>
      </c>
      <c r="E2472" s="4" t="s">
        <v>7978</v>
      </c>
      <c r="F2472" s="4" t="s">
        <v>7979</v>
      </c>
      <c r="G2472" s="4">
        <v>27486</v>
      </c>
      <c r="H2472" s="4" t="s">
        <v>7980</v>
      </c>
      <c r="I2472" s="4">
        <v>284</v>
      </c>
      <c r="J2472" s="4" t="s">
        <v>23</v>
      </c>
      <c r="K2472" s="4" t="s">
        <v>24</v>
      </c>
      <c r="L2472" s="4">
        <v>20000000</v>
      </c>
      <c r="M2472" s="4">
        <v>2006</v>
      </c>
      <c r="N2472" s="4">
        <v>4.7</v>
      </c>
      <c r="O2472" s="4">
        <f ca="1">IFERROR(__xludf.DUMMYFUNCTION("IF(Cost_in_dollars!E2472=""USD"",Cost_in_dollars!B2472,Cost_in_dollars!B2472 * GOOGLEFINANCE(""CURRENCY:"" &amp; Cost_in_dollars!E2472 &amp; ""USD""))
"),20000000)</f>
        <v>20000000</v>
      </c>
      <c r="P2472" s="4">
        <f ca="1">IFERROR(__xludf.DUMMYFUNCTION("IF(Cost_in_dollars!E2472=""USD"",Cost_in_dollars!C2472,Cost_in_dollars!C2472 * GOOGLEFINANCE(""CURRENCY:"" &amp; Cost_in_dollars!E2472 &amp; ""USD""))
"),18843314)</f>
        <v>18843314</v>
      </c>
      <c r="Q2472" s="4">
        <f t="shared" ca="1" si="54"/>
        <v>-1156686</v>
      </c>
      <c r="R2472" s="5" t="str">
        <f t="shared" si="55"/>
        <v>The Marine</v>
      </c>
      <c r="S2472" s="43" t="str">
        <f t="shared" si="58"/>
        <v>Action</v>
      </c>
    </row>
    <row r="2473" spans="1:19" ht="15.75" customHeight="1" x14ac:dyDescent="0.25">
      <c r="A2473" s="6" t="s">
        <v>841</v>
      </c>
      <c r="B2473" s="6">
        <v>106</v>
      </c>
      <c r="C2473" s="6">
        <v>67900000</v>
      </c>
      <c r="D2473" s="6" t="s">
        <v>477</v>
      </c>
      <c r="E2473" s="6" t="s">
        <v>7981</v>
      </c>
      <c r="F2473" s="6" t="s">
        <v>7982</v>
      </c>
      <c r="G2473" s="6">
        <v>74374</v>
      </c>
      <c r="H2473" s="6" t="s">
        <v>7983</v>
      </c>
      <c r="I2473" s="6">
        <v>225</v>
      </c>
      <c r="J2473" s="6" t="s">
        <v>23</v>
      </c>
      <c r="K2473" s="6" t="s">
        <v>133</v>
      </c>
      <c r="L2473" s="6">
        <v>27500000</v>
      </c>
      <c r="M2473" s="6">
        <v>1983</v>
      </c>
      <c r="N2473" s="6">
        <v>6.6</v>
      </c>
      <c r="O2473" s="4">
        <f ca="1">IFERROR(__xludf.DUMMYFUNCTION("IF(Cost_in_dollars!E2473=""USD"",Cost_in_dollars!B2473,Cost_in_dollars!B2473 * GOOGLEFINANCE(""CURRENCY:"" &amp; Cost_in_dollars!E2473 &amp; ""USD""))
"),35348500)</f>
        <v>35348500</v>
      </c>
      <c r="P2473" s="4">
        <f ca="1">IFERROR(__xludf.DUMMYFUNCTION("IF(Cost_in_dollars!E2473=""USD"",Cost_in_dollars!C2473,Cost_in_dollars!C2473 * GOOGLEFINANCE(""CURRENCY:"" &amp; Cost_in_dollars!E2473 &amp; ""USD""))
"),87278659.9999999)</f>
        <v>87278659.999999896</v>
      </c>
      <c r="Q2473" s="6">
        <f t="shared" ca="1" si="54"/>
        <v>51930159.999999896</v>
      </c>
      <c r="R2473" s="7" t="str">
        <f t="shared" si="55"/>
        <v>Octopussy</v>
      </c>
      <c r="S2473" s="43" t="str">
        <f t="shared" si="58"/>
        <v>Action</v>
      </c>
    </row>
    <row r="2474" spans="1:19" ht="15.75" customHeight="1" x14ac:dyDescent="0.25">
      <c r="A2474" s="4" t="s">
        <v>7984</v>
      </c>
      <c r="B2474" s="4">
        <v>576</v>
      </c>
      <c r="C2474" s="4">
        <v>259746958</v>
      </c>
      <c r="D2474" s="4" t="s">
        <v>188</v>
      </c>
      <c r="E2474" s="4" t="s">
        <v>439</v>
      </c>
      <c r="F2474" s="4" t="s">
        <v>7985</v>
      </c>
      <c r="G2474" s="4">
        <v>496749</v>
      </c>
      <c r="H2474" s="4" t="s">
        <v>7986</v>
      </c>
      <c r="I2474" s="4">
        <v>742</v>
      </c>
      <c r="J2474" s="4" t="s">
        <v>23</v>
      </c>
      <c r="K2474" s="4" t="s">
        <v>24</v>
      </c>
      <c r="L2474" s="4">
        <v>170000000</v>
      </c>
      <c r="M2474" s="4">
        <v>2014</v>
      </c>
      <c r="N2474" s="4">
        <v>7.8</v>
      </c>
      <c r="O2474" s="4">
        <f ca="1">IFERROR(__xludf.DUMMYFUNCTION("IF(Cost_in_dollars!E2474=""USD"",Cost_in_dollars!B2474,Cost_in_dollars!B2474 * GOOGLEFINANCE(""CURRENCY:"" &amp; Cost_in_dollars!E2474 &amp; ""USD""))
"),170000000)</f>
        <v>170000000</v>
      </c>
      <c r="P2474" s="4">
        <f ca="1">IFERROR(__xludf.DUMMYFUNCTION("IF(Cost_in_dollars!E2474=""USD"",Cost_in_dollars!C2474,Cost_in_dollars!C2474 * GOOGLEFINANCE(""CURRENCY:"" &amp; Cost_in_dollars!E2474 &amp; ""USD""))
"),259746958)</f>
        <v>259746958</v>
      </c>
      <c r="Q2474" s="4">
        <f t="shared" ca="1" si="54"/>
        <v>89746958</v>
      </c>
      <c r="R2474" s="5" t="str">
        <f t="shared" si="55"/>
        <v>Captain America: The Winter Soldier</v>
      </c>
      <c r="S2474" s="43" t="str">
        <f t="shared" si="58"/>
        <v>Action</v>
      </c>
    </row>
    <row r="2475" spans="1:19" ht="15.75" customHeight="1" x14ac:dyDescent="0.25">
      <c r="A2475" s="6" t="s">
        <v>7987</v>
      </c>
      <c r="B2475" s="6">
        <v>66</v>
      </c>
      <c r="C2475" s="6">
        <v>17580</v>
      </c>
      <c r="D2475" s="6" t="s">
        <v>102</v>
      </c>
      <c r="E2475" s="6" t="s">
        <v>7988</v>
      </c>
      <c r="F2475" s="6" t="s">
        <v>7989</v>
      </c>
      <c r="G2475" s="6">
        <v>1268</v>
      </c>
      <c r="H2475" s="6" t="s">
        <v>7990</v>
      </c>
      <c r="I2475" s="6">
        <v>23</v>
      </c>
      <c r="J2475" s="6" t="s">
        <v>23</v>
      </c>
      <c r="K2475" s="6" t="s">
        <v>24</v>
      </c>
      <c r="L2475" s="6">
        <v>1500000</v>
      </c>
      <c r="M2475" s="6">
        <v>2009</v>
      </c>
      <c r="N2475" s="6">
        <v>6.2</v>
      </c>
      <c r="O2475" s="4">
        <f ca="1">IFERROR(__xludf.DUMMYFUNCTION("IF(Cost_in_dollars!E2475=""USD"",Cost_in_dollars!B2475,Cost_in_dollars!B2475 * GOOGLEFINANCE(""CURRENCY:"" &amp; Cost_in_dollars!E2475 &amp; ""USD""))
"),1500000)</f>
        <v>1500000</v>
      </c>
      <c r="P2475" s="4">
        <f ca="1">IFERROR(__xludf.DUMMYFUNCTION("IF(Cost_in_dollars!E2475=""USD"",Cost_in_dollars!C2475,Cost_in_dollars!C2475 * GOOGLEFINANCE(""CURRENCY:"" &amp; Cost_in_dollars!E2475 &amp; ""USD""))
"),17580)</f>
        <v>17580</v>
      </c>
      <c r="Q2475" s="6">
        <f t="shared" ca="1" si="54"/>
        <v>-1482420</v>
      </c>
      <c r="R2475" s="7" t="str">
        <f t="shared" si="55"/>
        <v>The Missing Person</v>
      </c>
      <c r="S2475" s="43" t="str">
        <f t="shared" si="58"/>
        <v>Drama</v>
      </c>
    </row>
    <row r="2476" spans="1:19" ht="15.75" customHeight="1" x14ac:dyDescent="0.25">
      <c r="A2476" s="4" t="s">
        <v>1740</v>
      </c>
      <c r="B2476" s="4">
        <v>81</v>
      </c>
      <c r="C2476" s="4">
        <v>90800000</v>
      </c>
      <c r="D2476" s="4" t="s">
        <v>1741</v>
      </c>
      <c r="E2476" s="4" t="s">
        <v>1742</v>
      </c>
      <c r="F2476" s="4" t="s">
        <v>1743</v>
      </c>
      <c r="G2476" s="4">
        <v>126916</v>
      </c>
      <c r="H2476" s="4" t="s">
        <v>1744</v>
      </c>
      <c r="I2476" s="4">
        <v>235</v>
      </c>
      <c r="J2476" s="4" t="s">
        <v>23</v>
      </c>
      <c r="K2476" s="4" t="s">
        <v>24</v>
      </c>
      <c r="L2476" s="4">
        <v>8000000</v>
      </c>
      <c r="M2476" s="4">
        <v>1984</v>
      </c>
      <c r="N2476" s="4">
        <v>7.2</v>
      </c>
      <c r="O2476" s="4">
        <f ca="1">IFERROR(__xludf.DUMMYFUNCTION("IF(Cost_in_dollars!E2476=""USD"",Cost_in_dollars!B2476,Cost_in_dollars!B2476 * GOOGLEFINANCE(""CURRENCY:"" &amp; Cost_in_dollars!E2476 &amp; ""USD""))
"),8000000)</f>
        <v>8000000</v>
      </c>
      <c r="P2476" s="4">
        <f ca="1">IFERROR(__xludf.DUMMYFUNCTION("IF(Cost_in_dollars!E2476=""USD"",Cost_in_dollars!C2476,Cost_in_dollars!C2476 * GOOGLEFINANCE(""CURRENCY:"" &amp; Cost_in_dollars!E2476 &amp; ""USD""))
"),90800000)</f>
        <v>90800000</v>
      </c>
      <c r="Q2476" s="4">
        <f t="shared" ca="1" si="54"/>
        <v>82800000</v>
      </c>
      <c r="R2476" s="5" t="str">
        <f t="shared" si="55"/>
        <v>The Karate Kid</v>
      </c>
      <c r="S2476" s="43" t="str">
        <f t="shared" si="58"/>
        <v>Action</v>
      </c>
    </row>
    <row r="2477" spans="1:19" ht="15.75" customHeight="1" x14ac:dyDescent="0.25">
      <c r="A2477" s="6" t="s">
        <v>7991</v>
      </c>
      <c r="B2477" s="6">
        <v>88</v>
      </c>
      <c r="C2477" s="6">
        <v>110536</v>
      </c>
      <c r="D2477" s="6" t="s">
        <v>1440</v>
      </c>
      <c r="E2477" s="6" t="s">
        <v>7992</v>
      </c>
      <c r="F2477" s="6" t="s">
        <v>7993</v>
      </c>
      <c r="G2477" s="6">
        <v>4117</v>
      </c>
      <c r="H2477" s="6" t="s">
        <v>7994</v>
      </c>
      <c r="I2477" s="6">
        <v>118</v>
      </c>
      <c r="J2477" s="6" t="s">
        <v>23</v>
      </c>
      <c r="K2477" s="6" t="s">
        <v>24</v>
      </c>
      <c r="L2477" s="6">
        <v>40000</v>
      </c>
      <c r="M2477" s="6">
        <v>2001</v>
      </c>
      <c r="N2477" s="6">
        <v>7</v>
      </c>
      <c r="O2477" s="4">
        <f ca="1">IFERROR(__xludf.DUMMYFUNCTION("IF(Cost_in_dollars!E2477=""USD"",Cost_in_dollars!B2477,Cost_in_dollars!B2477 * GOOGLEFINANCE(""CURRENCY:"" &amp; Cost_in_dollars!E2477 &amp; ""USD""))
"),40000)</f>
        <v>40000</v>
      </c>
      <c r="P2477" s="4">
        <f ca="1">IFERROR(__xludf.DUMMYFUNCTION("IF(Cost_in_dollars!E2477=""USD"",Cost_in_dollars!C2477,Cost_in_dollars!C2477 * GOOGLEFINANCE(""CURRENCY:"" &amp; Cost_in_dollars!E2477 &amp; ""USD""))
"),110536)</f>
        <v>110536</v>
      </c>
      <c r="Q2477" s="6">
        <f t="shared" ca="1" si="54"/>
        <v>70536</v>
      </c>
      <c r="R2477" s="7" t="str">
        <f t="shared" si="55"/>
        <v>The Lost Skeleton of Cadavra</v>
      </c>
      <c r="S2477" s="43" t="str">
        <f t="shared" si="58"/>
        <v>Comedy</v>
      </c>
    </row>
    <row r="2478" spans="1:19" ht="15.75" customHeight="1" x14ac:dyDescent="0.25">
      <c r="A2478" s="4" t="s">
        <v>7995</v>
      </c>
      <c r="B2478" s="4">
        <v>73</v>
      </c>
      <c r="C2478" s="4">
        <v>66734992</v>
      </c>
      <c r="D2478" s="4" t="s">
        <v>1343</v>
      </c>
      <c r="E2478" s="4" t="s">
        <v>7996</v>
      </c>
      <c r="F2478" s="4" t="s">
        <v>7997</v>
      </c>
      <c r="G2478" s="4">
        <v>23476</v>
      </c>
      <c r="H2478" s="4" t="s">
        <v>7998</v>
      </c>
      <c r="I2478" s="4">
        <v>181</v>
      </c>
      <c r="J2478" s="4" t="s">
        <v>23</v>
      </c>
      <c r="K2478" s="4" t="s">
        <v>24</v>
      </c>
      <c r="L2478" s="4">
        <v>60000000</v>
      </c>
      <c r="M2478" s="4">
        <v>2003</v>
      </c>
      <c r="N2478" s="4">
        <v>4.4000000000000004</v>
      </c>
      <c r="O2478" s="4">
        <f ca="1">IFERROR(__xludf.DUMMYFUNCTION("IF(Cost_in_dollars!E2478=""USD"",Cost_in_dollars!B2478,Cost_in_dollars!B2478 * GOOGLEFINANCE(""CURRENCY:"" &amp; Cost_in_dollars!E2478 &amp; ""USD""))
"),60000000)</f>
        <v>60000000</v>
      </c>
      <c r="P2478" s="4">
        <f ca="1">IFERROR(__xludf.DUMMYFUNCTION("IF(Cost_in_dollars!E2478=""USD"",Cost_in_dollars!C2478,Cost_in_dollars!C2478 * GOOGLEFINANCE(""CURRENCY:"" &amp; Cost_in_dollars!E2478 &amp; ""USD""))
"),66734992)</f>
        <v>66734992</v>
      </c>
      <c r="Q2478" s="4">
        <f t="shared" ca="1" si="54"/>
        <v>6734992</v>
      </c>
      <c r="R2478" s="5" t="str">
        <f t="shared" si="55"/>
        <v>Kangaroo Jack</v>
      </c>
      <c r="S2478" s="43" t="str">
        <f t="shared" si="58"/>
        <v>Action</v>
      </c>
    </row>
    <row r="2479" spans="1:19" ht="15.75" customHeight="1" x14ac:dyDescent="0.25">
      <c r="A2479" s="6" t="s">
        <v>2033</v>
      </c>
      <c r="B2479" s="6">
        <v>391</v>
      </c>
      <c r="C2479" s="6">
        <v>26236603</v>
      </c>
      <c r="D2479" s="6" t="s">
        <v>135</v>
      </c>
      <c r="E2479" s="6" t="s">
        <v>5201</v>
      </c>
      <c r="F2479" s="6" t="s">
        <v>7999</v>
      </c>
      <c r="G2479" s="6">
        <v>251349</v>
      </c>
      <c r="H2479" s="6" t="s">
        <v>8000</v>
      </c>
      <c r="I2479" s="6">
        <v>547</v>
      </c>
      <c r="J2479" s="6" t="s">
        <v>23</v>
      </c>
      <c r="K2479" s="6" t="s">
        <v>24</v>
      </c>
      <c r="L2479" s="6">
        <v>6000000</v>
      </c>
      <c r="M2479" s="6">
        <v>2008</v>
      </c>
      <c r="N2479" s="6">
        <v>7.9</v>
      </c>
      <c r="O2479" s="4">
        <f ca="1">IFERROR(__xludf.DUMMYFUNCTION("IF(Cost_in_dollars!E2479=""USD"",Cost_in_dollars!B2479,Cost_in_dollars!B2479 * GOOGLEFINANCE(""CURRENCY:"" &amp; Cost_in_dollars!E2479 &amp; ""USD""))
"),6000000)</f>
        <v>6000000</v>
      </c>
      <c r="P2479" s="4">
        <f ca="1">IFERROR(__xludf.DUMMYFUNCTION("IF(Cost_in_dollars!E2479=""USD"",Cost_in_dollars!C2479,Cost_in_dollars!C2479 * GOOGLEFINANCE(""CURRENCY:"" &amp; Cost_in_dollars!E2479 &amp; ""USD""))
"),26236603)</f>
        <v>26236603</v>
      </c>
      <c r="Q2479" s="6">
        <f t="shared" ca="1" si="54"/>
        <v>20236603</v>
      </c>
      <c r="R2479" s="7" t="str">
        <f t="shared" si="55"/>
        <v>The Wrestler</v>
      </c>
      <c r="S2479" s="43" t="str">
        <f t="shared" si="58"/>
        <v>Drama</v>
      </c>
    </row>
    <row r="2480" spans="1:19" ht="15.75" customHeight="1" x14ac:dyDescent="0.25">
      <c r="A2480" s="4" t="s">
        <v>4010</v>
      </c>
      <c r="B2480" s="4">
        <v>207</v>
      </c>
      <c r="C2480" s="4">
        <v>93452056</v>
      </c>
      <c r="D2480" s="4" t="s">
        <v>5215</v>
      </c>
      <c r="E2480" s="4" t="s">
        <v>173</v>
      </c>
      <c r="F2480" s="4" t="s">
        <v>8001</v>
      </c>
      <c r="G2480" s="4">
        <v>184795</v>
      </c>
      <c r="H2480" s="4" t="s">
        <v>8002</v>
      </c>
      <c r="I2480" s="4">
        <v>310</v>
      </c>
      <c r="J2480" s="4" t="s">
        <v>23</v>
      </c>
      <c r="K2480" s="4" t="s">
        <v>24</v>
      </c>
      <c r="L2480" s="4">
        <v>45000000</v>
      </c>
      <c r="M2480" s="4">
        <v>2007</v>
      </c>
      <c r="N2480" s="4">
        <v>7.4</v>
      </c>
      <c r="O2480" s="4">
        <f ca="1">IFERROR(__xludf.DUMMYFUNCTION("IF(Cost_in_dollars!E2480=""USD"",Cost_in_dollars!B2480,Cost_in_dollars!B2480 * GOOGLEFINANCE(""CURRENCY:"" &amp; Cost_in_dollars!E2480 &amp; ""USD""))
"),45000000)</f>
        <v>45000000</v>
      </c>
      <c r="P2480" s="4">
        <f ca="1">IFERROR(__xludf.DUMMYFUNCTION("IF(Cost_in_dollars!E2480=""USD"",Cost_in_dollars!C2480,Cost_in_dollars!C2480 * GOOGLEFINANCE(""CURRENCY:"" &amp; Cost_in_dollars!E2480 &amp; ""USD""))
"),93452056)</f>
        <v>93452056</v>
      </c>
      <c r="Q2480" s="4">
        <f t="shared" ca="1" si="54"/>
        <v>48452056</v>
      </c>
      <c r="R2480" s="5" t="str">
        <f t="shared" si="55"/>
        <v>The Bucket List</v>
      </c>
      <c r="S2480" s="43" t="str">
        <f t="shared" si="58"/>
        <v>Adventure</v>
      </c>
    </row>
    <row r="2481" spans="1:19" ht="15.75" customHeight="1" x14ac:dyDescent="0.25">
      <c r="A2481" s="6" t="s">
        <v>899</v>
      </c>
      <c r="B2481" s="6">
        <v>147</v>
      </c>
      <c r="C2481" s="6">
        <v>12006514</v>
      </c>
      <c r="D2481" s="6" t="s">
        <v>162</v>
      </c>
      <c r="E2481" s="6" t="s">
        <v>588</v>
      </c>
      <c r="F2481" s="6" t="s">
        <v>8003</v>
      </c>
      <c r="G2481" s="6">
        <v>114070</v>
      </c>
      <c r="H2481" s="6" t="s">
        <v>8004</v>
      </c>
      <c r="I2481" s="6">
        <v>500</v>
      </c>
      <c r="J2481" s="6" t="s">
        <v>23</v>
      </c>
      <c r="K2481" s="6" t="s">
        <v>24</v>
      </c>
      <c r="L2481" s="6">
        <v>250000</v>
      </c>
      <c r="M2481" s="6">
        <v>1997</v>
      </c>
      <c r="N2481" s="6">
        <v>7.3</v>
      </c>
      <c r="O2481" s="4">
        <f ca="1">IFERROR(__xludf.DUMMYFUNCTION("IF(Cost_in_dollars!E2481=""USD"",Cost_in_dollars!B2481,Cost_in_dollars!B2481 * GOOGLEFINANCE(""CURRENCY:"" &amp; Cost_in_dollars!E2481 &amp; ""USD""))
"),250000)</f>
        <v>250000</v>
      </c>
      <c r="P2481" s="4">
        <f ca="1">IFERROR(__xludf.DUMMYFUNCTION("IF(Cost_in_dollars!E2481=""USD"",Cost_in_dollars!C2481,Cost_in_dollars!C2481 * GOOGLEFINANCE(""CURRENCY:"" &amp; Cost_in_dollars!E2481 &amp; ""USD""))
"),12006514)</f>
        <v>12006514</v>
      </c>
      <c r="Q2481" s="6">
        <f t="shared" ca="1" si="54"/>
        <v>11756514</v>
      </c>
      <c r="R2481" s="7" t="str">
        <f t="shared" si="55"/>
        <v>Chasing Amy</v>
      </c>
      <c r="S2481" s="43" t="str">
        <f t="shared" si="58"/>
        <v>Comedy</v>
      </c>
    </row>
    <row r="2482" spans="1:19" ht="15.75" customHeight="1" x14ac:dyDescent="0.25">
      <c r="A2482" s="4" t="s">
        <v>8005</v>
      </c>
      <c r="B2482" s="4">
        <v>158</v>
      </c>
      <c r="C2482" s="4">
        <v>13005485</v>
      </c>
      <c r="D2482" s="4" t="s">
        <v>102</v>
      </c>
      <c r="E2482" s="4" t="s">
        <v>8006</v>
      </c>
      <c r="F2482" s="4" t="s">
        <v>8007</v>
      </c>
      <c r="G2482" s="4">
        <v>56665</v>
      </c>
      <c r="H2482" s="4" t="s">
        <v>8008</v>
      </c>
      <c r="I2482" s="4">
        <v>469</v>
      </c>
      <c r="J2482" s="4" t="s">
        <v>23</v>
      </c>
      <c r="K2482" s="4" t="s">
        <v>24</v>
      </c>
      <c r="L2482" s="4">
        <v>15000000</v>
      </c>
      <c r="M2482" s="4">
        <v>2003</v>
      </c>
      <c r="N2482" s="4">
        <v>7.6</v>
      </c>
      <c r="O2482" s="4">
        <f ca="1">IFERROR(__xludf.DUMMYFUNCTION("IF(Cost_in_dollars!E2482=""USD"",Cost_in_dollars!B2482,Cost_in_dollars!B2482 * GOOGLEFINANCE(""CURRENCY:"" &amp; Cost_in_dollars!E2482 &amp; ""USD""))
"),15000000)</f>
        <v>15000000</v>
      </c>
      <c r="P2482" s="4">
        <f ca="1">IFERROR(__xludf.DUMMYFUNCTION("IF(Cost_in_dollars!E2482=""USD"",Cost_in_dollars!C2482,Cost_in_dollars!C2482 * GOOGLEFINANCE(""CURRENCY:"" &amp; Cost_in_dollars!E2482 &amp; ""USD""))
"),13005485)</f>
        <v>13005485</v>
      </c>
      <c r="Q2482" s="4">
        <f t="shared" ca="1" si="54"/>
        <v>-1994515</v>
      </c>
      <c r="R2482" s="5" t="str">
        <f t="shared" si="55"/>
        <v>House of Sand and Fog</v>
      </c>
      <c r="S2482" s="43" t="str">
        <f t="shared" si="58"/>
        <v>Drama</v>
      </c>
    </row>
    <row r="2483" spans="1:19" ht="15.75" customHeight="1" x14ac:dyDescent="0.25">
      <c r="A2483" s="6" t="s">
        <v>4731</v>
      </c>
      <c r="B2483" s="6">
        <v>521</v>
      </c>
      <c r="C2483" s="6">
        <v>208543795</v>
      </c>
      <c r="D2483" s="6" t="s">
        <v>8009</v>
      </c>
      <c r="E2483" s="6" t="s">
        <v>775</v>
      </c>
      <c r="F2483" s="6" t="s">
        <v>8010</v>
      </c>
      <c r="G2483" s="6">
        <v>317542</v>
      </c>
      <c r="H2483" s="6" t="s">
        <v>8011</v>
      </c>
      <c r="I2483" s="6">
        <v>620</v>
      </c>
      <c r="J2483" s="6" t="s">
        <v>23</v>
      </c>
      <c r="K2483" s="6" t="s">
        <v>24</v>
      </c>
      <c r="L2483" s="6">
        <v>170000000</v>
      </c>
      <c r="M2483" s="6">
        <v>2014</v>
      </c>
      <c r="N2483" s="6">
        <v>7.6</v>
      </c>
      <c r="O2483" s="4">
        <f ca="1">IFERROR(__xludf.DUMMYFUNCTION("IF(Cost_in_dollars!E2483=""USD"",Cost_in_dollars!B2483,Cost_in_dollars!B2483 * GOOGLEFINANCE(""CURRENCY:"" &amp; Cost_in_dollars!E2483 &amp; ""USD""))
"),170000000)</f>
        <v>170000000</v>
      </c>
      <c r="P2483" s="4">
        <f ca="1">IFERROR(__xludf.DUMMYFUNCTION("IF(Cost_in_dollars!E2483=""USD"",Cost_in_dollars!C2483,Cost_in_dollars!C2483 * GOOGLEFINANCE(""CURRENCY:"" &amp; Cost_in_dollars!E2483 &amp; ""USD""))
"),208543795)</f>
        <v>208543795</v>
      </c>
      <c r="Q2483" s="6">
        <f t="shared" ca="1" si="54"/>
        <v>38543795</v>
      </c>
      <c r="R2483" s="7" t="str">
        <f t="shared" si="55"/>
        <v>Dawn of the Planet of the Apes</v>
      </c>
      <c r="S2483" s="43" t="str">
        <f t="shared" si="58"/>
        <v>Action</v>
      </c>
    </row>
    <row r="2484" spans="1:19" ht="15.75" customHeight="1" x14ac:dyDescent="0.25">
      <c r="A2484" s="4" t="s">
        <v>8012</v>
      </c>
      <c r="B2484" s="4">
        <v>90</v>
      </c>
      <c r="C2484" s="4">
        <v>668171</v>
      </c>
      <c r="D2484" s="4" t="s">
        <v>7154</v>
      </c>
      <c r="E2484" s="4" t="s">
        <v>8013</v>
      </c>
      <c r="F2484" s="4" t="s">
        <v>8014</v>
      </c>
      <c r="G2484" s="4">
        <v>8215</v>
      </c>
      <c r="H2484" s="4" t="s">
        <v>8015</v>
      </c>
      <c r="I2484" s="4">
        <v>132</v>
      </c>
      <c r="J2484" s="4" t="s">
        <v>3279</v>
      </c>
      <c r="K2484" s="4" t="s">
        <v>220</v>
      </c>
      <c r="L2484" s="4">
        <v>60000000</v>
      </c>
      <c r="M2484" s="4">
        <v>2005</v>
      </c>
      <c r="N2484" s="4">
        <v>5.6</v>
      </c>
      <c r="O2484" s="4">
        <f ca="1">IFERROR(__xludf.DUMMYFUNCTION("IF(Cost_in_dollars!E2484=""USD"",Cost_in_dollars!B2484,Cost_in_dollars!B2484 * GOOGLEFINANCE(""CURRENCY:"" &amp; Cost_in_dollars!E2484 &amp; ""USD""))
"),8297033.99999999)</f>
        <v>8297033.9999999898</v>
      </c>
      <c r="P2484" s="4">
        <f ca="1">IFERROR(__xludf.DUMMYFUNCTION("IF(Cost_in_dollars!E2484=""USD"",Cost_in_dollars!C2484,Cost_in_dollars!C2484 * GOOGLEFINANCE(""CURRENCY:"" &amp; Cost_in_dollars!E2484 &amp; ""USD""))
"),92397.2917469)</f>
        <v>92397.291746899995</v>
      </c>
      <c r="Q2484" s="4">
        <f t="shared" ca="1" si="54"/>
        <v>-8204636.7082530893</v>
      </c>
      <c r="R2484" s="5" t="str">
        <f t="shared" si="55"/>
        <v>The Promise</v>
      </c>
      <c r="S2484" s="43" t="str">
        <f t="shared" si="58"/>
        <v>Action</v>
      </c>
    </row>
    <row r="2485" spans="1:19" ht="15.75" customHeight="1" x14ac:dyDescent="0.25">
      <c r="A2485" s="6" t="s">
        <v>3762</v>
      </c>
      <c r="B2485" s="6">
        <v>750</v>
      </c>
      <c r="C2485" s="6">
        <v>304360277</v>
      </c>
      <c r="D2485" s="6" t="s">
        <v>477</v>
      </c>
      <c r="E2485" s="6" t="s">
        <v>3763</v>
      </c>
      <c r="F2485" s="6" t="s">
        <v>3764</v>
      </c>
      <c r="G2485" s="6">
        <v>522048</v>
      </c>
      <c r="H2485" s="6" t="s">
        <v>3765</v>
      </c>
      <c r="I2485" s="6">
        <v>1498</v>
      </c>
      <c r="J2485" s="6" t="s">
        <v>23</v>
      </c>
      <c r="K2485" s="6" t="s">
        <v>133</v>
      </c>
      <c r="L2485" s="6">
        <v>200000000</v>
      </c>
      <c r="M2485" s="6">
        <v>2012</v>
      </c>
      <c r="N2485" s="6">
        <v>7.8</v>
      </c>
      <c r="O2485" s="4">
        <f ca="1">IFERROR(__xludf.DUMMYFUNCTION("IF(Cost_in_dollars!E2485=""USD"",Cost_in_dollars!B2485,Cost_in_dollars!B2485 * GOOGLEFINANCE(""CURRENCY:"" &amp; Cost_in_dollars!E2485 &amp; ""USD""))
"),257079999.999999)</f>
        <v>257079999.99999899</v>
      </c>
      <c r="P2485" s="4">
        <f ca="1">IFERROR(__xludf.DUMMYFUNCTION("IF(Cost_in_dollars!E2485=""USD"",Cost_in_dollars!C2485,Cost_in_dollars!C2485 * GOOGLEFINANCE(""CURRENCY:"" &amp; Cost_in_dollars!E2485 &amp; ""USD""))
"),391224700.055799)</f>
        <v>391224700.05579901</v>
      </c>
      <c r="Q2485" s="6">
        <f t="shared" ca="1" si="54"/>
        <v>134144700.05580002</v>
      </c>
      <c r="R2485" s="7" t="str">
        <f t="shared" si="55"/>
        <v>Skyfall</v>
      </c>
      <c r="S2485" s="43" t="str">
        <f t="shared" si="58"/>
        <v>Action</v>
      </c>
    </row>
    <row r="2486" spans="1:19" ht="15.75" customHeight="1" x14ac:dyDescent="0.25">
      <c r="A2486" s="4" t="s">
        <v>2261</v>
      </c>
      <c r="B2486" s="4">
        <v>91</v>
      </c>
      <c r="C2486" s="4">
        <v>39251128</v>
      </c>
      <c r="D2486" s="4" t="s">
        <v>8016</v>
      </c>
      <c r="E2486" s="4" t="s">
        <v>8017</v>
      </c>
      <c r="F2486" s="4" t="s">
        <v>8018</v>
      </c>
      <c r="G2486" s="4">
        <v>31080</v>
      </c>
      <c r="H2486" s="4" t="s">
        <v>8019</v>
      </c>
      <c r="I2486" s="4">
        <v>217</v>
      </c>
      <c r="J2486" s="4" t="s">
        <v>23</v>
      </c>
      <c r="K2486" s="4" t="s">
        <v>24</v>
      </c>
      <c r="L2486" s="4">
        <v>75000000</v>
      </c>
      <c r="M2486" s="4">
        <v>1999</v>
      </c>
      <c r="N2486" s="4">
        <v>6.7</v>
      </c>
      <c r="O2486" s="4">
        <f ca="1">IFERROR(__xludf.DUMMYFUNCTION("IF(Cost_in_dollars!E2486=""USD"",Cost_in_dollars!B2486,Cost_in_dollars!B2486 * GOOGLEFINANCE(""CURRENCY:"" &amp; Cost_in_dollars!E2486 &amp; ""USD""))
"),75000000)</f>
        <v>75000000</v>
      </c>
      <c r="P2486" s="4">
        <f ca="1">IFERROR(__xludf.DUMMYFUNCTION("IF(Cost_in_dollars!E2486=""USD"",Cost_in_dollars!C2486,Cost_in_dollars!C2486 * GOOGLEFINANCE(""CURRENCY:"" &amp; Cost_in_dollars!E2486 &amp; ""USD""))
"),39251128)</f>
        <v>39251128</v>
      </c>
      <c r="Q2486" s="4">
        <f t="shared" ca="1" si="54"/>
        <v>-35748872</v>
      </c>
      <c r="R2486" s="5" t="str">
        <f t="shared" si="55"/>
        <v>Anna and the King</v>
      </c>
      <c r="S2486" s="43" t="str">
        <f t="shared" si="58"/>
        <v>Drama</v>
      </c>
    </row>
    <row r="2487" spans="1:19" ht="15.75" customHeight="1" x14ac:dyDescent="0.25">
      <c r="A2487" s="6" t="s">
        <v>763</v>
      </c>
      <c r="B2487" s="6">
        <v>682</v>
      </c>
      <c r="C2487" s="6">
        <v>73820094</v>
      </c>
      <c r="D2487" s="6" t="s">
        <v>8020</v>
      </c>
      <c r="E2487" s="6" t="s">
        <v>2272</v>
      </c>
      <c r="F2487" s="6" t="s">
        <v>8021</v>
      </c>
      <c r="G2487" s="6">
        <v>245333</v>
      </c>
      <c r="H2487" s="6" t="s">
        <v>8022</v>
      </c>
      <c r="I2487" s="6">
        <v>678</v>
      </c>
      <c r="J2487" s="6" t="s">
        <v>23</v>
      </c>
      <c r="K2487" s="6" t="s">
        <v>24</v>
      </c>
      <c r="L2487" s="6">
        <v>170000000</v>
      </c>
      <c r="M2487" s="6">
        <v>2011</v>
      </c>
      <c r="N2487" s="6">
        <v>7.5</v>
      </c>
      <c r="O2487" s="4">
        <f ca="1">IFERROR(__xludf.DUMMYFUNCTION("IF(Cost_in_dollars!E2487=""USD"",Cost_in_dollars!B2487,Cost_in_dollars!B2487 * GOOGLEFINANCE(""CURRENCY:"" &amp; Cost_in_dollars!E2487 &amp; ""USD""))
"),170000000)</f>
        <v>170000000</v>
      </c>
      <c r="P2487" s="4">
        <f ca="1">IFERROR(__xludf.DUMMYFUNCTION("IF(Cost_in_dollars!E2487=""USD"",Cost_in_dollars!C2487,Cost_in_dollars!C2487 * GOOGLEFINANCE(""CURRENCY:"" &amp; Cost_in_dollars!E2487 &amp; ""USD""))
"),73820094)</f>
        <v>73820094</v>
      </c>
      <c r="Q2487" s="6">
        <f t="shared" ca="1" si="54"/>
        <v>-96179906</v>
      </c>
      <c r="R2487" s="7" t="str">
        <f t="shared" si="55"/>
        <v>Hugo</v>
      </c>
      <c r="S2487" s="43" t="str">
        <f t="shared" si="58"/>
        <v>Adventure</v>
      </c>
    </row>
    <row r="2488" spans="1:19" ht="15.75" customHeight="1" x14ac:dyDescent="0.25">
      <c r="A2488" s="4" t="s">
        <v>607</v>
      </c>
      <c r="B2488" s="4">
        <v>222</v>
      </c>
      <c r="C2488" s="4">
        <v>89253340</v>
      </c>
      <c r="D2488" s="4" t="s">
        <v>1099</v>
      </c>
      <c r="E2488" s="4" t="s">
        <v>608</v>
      </c>
      <c r="F2488" s="4" t="s">
        <v>8023</v>
      </c>
      <c r="G2488" s="4">
        <v>133436</v>
      </c>
      <c r="H2488" s="4" t="s">
        <v>8024</v>
      </c>
      <c r="I2488" s="4">
        <v>323</v>
      </c>
      <c r="J2488" s="4" t="s">
        <v>23</v>
      </c>
      <c r="K2488" s="4" t="s">
        <v>611</v>
      </c>
      <c r="L2488" s="4">
        <v>48000000</v>
      </c>
      <c r="M2488" s="4">
        <v>2014</v>
      </c>
      <c r="N2488" s="4">
        <v>6</v>
      </c>
      <c r="O2488" s="4">
        <f ca="1">IFERROR(__xludf.DUMMYFUNCTION("IF(Cost_in_dollars!E2488=""USD"",Cost_in_dollars!B2488,Cost_in_dollars!B2488 * GOOGLEFINANCE(""CURRENCY:"" &amp; Cost_in_dollars!E2488 &amp; ""USD""))
"),52067520)</f>
        <v>52067520</v>
      </c>
      <c r="P2488" s="4">
        <f ca="1">IFERROR(__xludf.DUMMYFUNCTION("IF(Cost_in_dollars!E2488=""USD"",Cost_in_dollars!C2488,Cost_in_dollars!C2488 * GOOGLEFINANCE(""CURRENCY:"" &amp; Cost_in_dollars!E2488 &amp; ""USD""))
"),96816668.0316)</f>
        <v>96816668.031599998</v>
      </c>
      <c r="Q2488" s="4">
        <f t="shared" ca="1" si="54"/>
        <v>44749148.031599998</v>
      </c>
      <c r="R2488" s="5" t="str">
        <f t="shared" si="55"/>
        <v>Taken 3</v>
      </c>
      <c r="S2488" s="43" t="str">
        <f t="shared" si="58"/>
        <v>Action</v>
      </c>
    </row>
    <row r="2489" spans="1:19" ht="15.75" customHeight="1" x14ac:dyDescent="0.25">
      <c r="A2489" s="6" t="s">
        <v>3586</v>
      </c>
      <c r="B2489" s="6">
        <v>261</v>
      </c>
      <c r="C2489" s="6">
        <v>5776314</v>
      </c>
      <c r="D2489" s="6" t="s">
        <v>162</v>
      </c>
      <c r="E2489" s="6" t="s">
        <v>59</v>
      </c>
      <c r="F2489" s="6" t="s">
        <v>8025</v>
      </c>
      <c r="G2489" s="6">
        <v>73349</v>
      </c>
      <c r="H2489" s="6" t="s">
        <v>8026</v>
      </c>
      <c r="I2489" s="6">
        <v>142</v>
      </c>
      <c r="J2489" s="6" t="s">
        <v>23</v>
      </c>
      <c r="K2489" s="6" t="s">
        <v>24</v>
      </c>
      <c r="L2489" s="6">
        <v>3200000</v>
      </c>
      <c r="M2489" s="6">
        <v>2010</v>
      </c>
      <c r="N2489" s="6">
        <v>7.2</v>
      </c>
      <c r="O2489" s="4">
        <f ca="1">IFERROR(__xludf.DUMMYFUNCTION("IF(Cost_in_dollars!E2489=""USD"",Cost_in_dollars!B2489,Cost_in_dollars!B2489 * GOOGLEFINANCE(""CURRENCY:"" &amp; Cost_in_dollars!E2489 &amp; ""USD""))
"),3200000)</f>
        <v>3200000</v>
      </c>
      <c r="P2489" s="4">
        <f ca="1">IFERROR(__xludf.DUMMYFUNCTION("IF(Cost_in_dollars!E2489=""USD"",Cost_in_dollars!C2489,Cost_in_dollars!C2489 * GOOGLEFINANCE(""CURRENCY:"" &amp; Cost_in_dollars!E2489 &amp; ""USD""))
"),5776314)</f>
        <v>5776314</v>
      </c>
      <c r="Q2489" s="6">
        <f t="shared" ca="1" si="54"/>
        <v>2576314</v>
      </c>
      <c r="R2489" s="7" t="str">
        <f t="shared" si="55"/>
        <v>Beginners</v>
      </c>
      <c r="S2489" s="43" t="str">
        <f t="shared" si="58"/>
        <v>Comedy</v>
      </c>
    </row>
    <row r="2490" spans="1:19" ht="15.75" customHeight="1" x14ac:dyDescent="0.25">
      <c r="A2490" s="4" t="s">
        <v>3931</v>
      </c>
      <c r="B2490" s="4">
        <v>231</v>
      </c>
      <c r="C2490" s="4">
        <v>19445217</v>
      </c>
      <c r="D2490" s="4" t="s">
        <v>3272</v>
      </c>
      <c r="E2490" s="4" t="s">
        <v>8027</v>
      </c>
      <c r="F2490" s="4" t="s">
        <v>8028</v>
      </c>
      <c r="G2490" s="4">
        <v>67796</v>
      </c>
      <c r="H2490" s="4" t="s">
        <v>8029</v>
      </c>
      <c r="I2490" s="4">
        <v>258</v>
      </c>
      <c r="J2490" s="4" t="s">
        <v>23</v>
      </c>
      <c r="K2490" s="4" t="s">
        <v>24</v>
      </c>
      <c r="L2490" s="4">
        <v>60000000</v>
      </c>
      <c r="M2490" s="4">
        <v>2013</v>
      </c>
      <c r="N2490" s="4">
        <v>6.2</v>
      </c>
      <c r="O2490" s="4">
        <f ca="1">IFERROR(__xludf.DUMMYFUNCTION("IF(Cost_in_dollars!E2490=""USD"",Cost_in_dollars!B2490,Cost_in_dollars!B2490 * GOOGLEFINANCE(""CURRENCY:"" &amp; Cost_in_dollars!E2490 &amp; ""USD""))
"),60000000)</f>
        <v>60000000</v>
      </c>
      <c r="P2490" s="4">
        <f ca="1">IFERROR(__xludf.DUMMYFUNCTION("IF(Cost_in_dollars!E2490=""USD"",Cost_in_dollars!C2490,Cost_in_dollars!C2490 * GOOGLEFINANCE(""CURRENCY:"" &amp; Cost_in_dollars!E2490 &amp; ""USD""))
"),19445217)</f>
        <v>19445217</v>
      </c>
      <c r="Q2490" s="4">
        <f t="shared" ca="1" si="54"/>
        <v>-40554783</v>
      </c>
      <c r="R2490" s="5" t="str">
        <f t="shared" si="55"/>
        <v>Beautiful Creatures</v>
      </c>
      <c r="S2490" s="43" t="str">
        <f t="shared" si="58"/>
        <v>Drama</v>
      </c>
    </row>
    <row r="2491" spans="1:19" ht="15.75" customHeight="1" x14ac:dyDescent="0.25">
      <c r="A2491" s="6" t="s">
        <v>8030</v>
      </c>
      <c r="B2491" s="6">
        <v>78</v>
      </c>
      <c r="C2491" s="6">
        <v>33771174</v>
      </c>
      <c r="D2491" s="6" t="s">
        <v>162</v>
      </c>
      <c r="E2491" s="6" t="s">
        <v>1091</v>
      </c>
      <c r="F2491" s="6" t="s">
        <v>8031</v>
      </c>
      <c r="G2491" s="6">
        <v>27044</v>
      </c>
      <c r="H2491" s="6" t="s">
        <v>8032</v>
      </c>
      <c r="I2491" s="6">
        <v>240</v>
      </c>
      <c r="J2491" s="6" t="s">
        <v>23</v>
      </c>
      <c r="K2491" s="6" t="s">
        <v>24</v>
      </c>
      <c r="L2491" s="6">
        <v>15000000</v>
      </c>
      <c r="M2491" s="6">
        <v>2000</v>
      </c>
      <c r="N2491" s="6">
        <v>6.8</v>
      </c>
      <c r="O2491" s="4">
        <f ca="1">IFERROR(__xludf.DUMMYFUNCTION("IF(Cost_in_dollars!E2491=""USD"",Cost_in_dollars!B2491,Cost_in_dollars!B2491 * GOOGLEFINANCE(""CURRENCY:"" &amp; Cost_in_dollars!E2491 &amp; ""USD""))
"),15000000)</f>
        <v>15000000</v>
      </c>
      <c r="P2491" s="4">
        <f ca="1">IFERROR(__xludf.DUMMYFUNCTION("IF(Cost_in_dollars!E2491=""USD"",Cost_in_dollars!C2491,Cost_in_dollars!C2491 * GOOGLEFINANCE(""CURRENCY:"" &amp; Cost_in_dollars!E2491 &amp; ""USD""))
"),33771174)</f>
        <v>33771174</v>
      </c>
      <c r="Q2491" s="6">
        <f t="shared" ca="1" si="54"/>
        <v>18771174</v>
      </c>
      <c r="R2491" s="7" t="str">
        <f t="shared" si="55"/>
        <v>Where the Heart Is</v>
      </c>
      <c r="S2491" s="43" t="str">
        <f t="shared" si="58"/>
        <v>Comedy</v>
      </c>
    </row>
    <row r="2492" spans="1:19" ht="15.75" customHeight="1" x14ac:dyDescent="0.25">
      <c r="A2492" s="4" t="s">
        <v>8033</v>
      </c>
      <c r="B2492" s="4">
        <v>133</v>
      </c>
      <c r="C2492" s="4">
        <v>14373825</v>
      </c>
      <c r="D2492" s="4" t="s">
        <v>578</v>
      </c>
      <c r="E2492" s="4" t="s">
        <v>2538</v>
      </c>
      <c r="F2492" s="4" t="s">
        <v>8034</v>
      </c>
      <c r="G2492" s="4">
        <v>63216</v>
      </c>
      <c r="H2492" s="4" t="s">
        <v>8035</v>
      </c>
      <c r="I2492" s="4">
        <v>196</v>
      </c>
      <c r="J2492" s="4" t="s">
        <v>23</v>
      </c>
      <c r="K2492" s="4" t="s">
        <v>24</v>
      </c>
      <c r="L2492" s="4">
        <v>8600000</v>
      </c>
      <c r="M2492" s="4">
        <v>2007</v>
      </c>
      <c r="N2492" s="4">
        <v>6.5</v>
      </c>
      <c r="O2492" s="4">
        <f ca="1">IFERROR(__xludf.DUMMYFUNCTION("IF(Cost_in_dollars!E2492=""USD"",Cost_in_dollars!B2492,Cost_in_dollars!B2492 * GOOGLEFINANCE(""CURRENCY:"" &amp; Cost_in_dollars!E2492 &amp; ""USD""))
"),8600000)</f>
        <v>8600000</v>
      </c>
      <c r="P2492" s="4">
        <f ca="1">IFERROR(__xludf.DUMMYFUNCTION("IF(Cost_in_dollars!E2492=""USD"",Cost_in_dollars!C2492,Cost_in_dollars!C2492 * GOOGLEFINANCE(""CURRENCY:"" &amp; Cost_in_dollars!E2492 &amp; ""USD""))
"),14373825)</f>
        <v>14373825</v>
      </c>
      <c r="Q2492" s="4">
        <f t="shared" ca="1" si="54"/>
        <v>5773825</v>
      </c>
      <c r="R2492" s="5" t="str">
        <f t="shared" si="55"/>
        <v>Awake</v>
      </c>
      <c r="S2492" s="43" t="str">
        <f t="shared" si="58"/>
        <v>Crime</v>
      </c>
    </row>
    <row r="2493" spans="1:19" ht="15.75" customHeight="1" x14ac:dyDescent="0.25">
      <c r="A2493" s="6" t="s">
        <v>128</v>
      </c>
      <c r="B2493" s="6">
        <v>393</v>
      </c>
      <c r="C2493" s="6">
        <v>31494270</v>
      </c>
      <c r="D2493" s="6" t="s">
        <v>8036</v>
      </c>
      <c r="E2493" s="6" t="s">
        <v>2905</v>
      </c>
      <c r="F2493" s="6" t="s">
        <v>8037</v>
      </c>
      <c r="G2493" s="6">
        <v>273921</v>
      </c>
      <c r="H2493" s="6" t="s">
        <v>8038</v>
      </c>
      <c r="I2493" s="6">
        <v>522</v>
      </c>
      <c r="J2493" s="6" t="s">
        <v>23</v>
      </c>
      <c r="K2493" s="6" t="s">
        <v>24</v>
      </c>
      <c r="L2493" s="6">
        <v>60000000</v>
      </c>
      <c r="M2493" s="6">
        <v>2010</v>
      </c>
      <c r="N2493" s="6">
        <v>7.5</v>
      </c>
      <c r="O2493" s="4">
        <f ca="1">IFERROR(__xludf.DUMMYFUNCTION("IF(Cost_in_dollars!E2493=""USD"",Cost_in_dollars!B2493,Cost_in_dollars!B2493 * GOOGLEFINANCE(""CURRENCY:"" &amp; Cost_in_dollars!E2493 &amp; ""USD""))
"),60000000)</f>
        <v>60000000</v>
      </c>
      <c r="P2493" s="4">
        <f ca="1">IFERROR(__xludf.DUMMYFUNCTION("IF(Cost_in_dollars!E2493=""USD"",Cost_in_dollars!C2493,Cost_in_dollars!C2493 * GOOGLEFINANCE(""CURRENCY:"" &amp; Cost_in_dollars!E2493 &amp; ""USD""))
"),31494270)</f>
        <v>31494270</v>
      </c>
      <c r="Q2493" s="6">
        <f t="shared" ca="1" si="54"/>
        <v>-28505730</v>
      </c>
      <c r="R2493" s="7" t="str">
        <f t="shared" si="55"/>
        <v>Scott Pilgrim vs. the World</v>
      </c>
      <c r="S2493" s="43" t="str">
        <f t="shared" si="58"/>
        <v>Action</v>
      </c>
    </row>
    <row r="2494" spans="1:19" ht="15.75" customHeight="1" x14ac:dyDescent="0.25">
      <c r="A2494" s="4" t="s">
        <v>115</v>
      </c>
      <c r="B2494" s="4">
        <v>148</v>
      </c>
      <c r="C2494" s="4">
        <v>49185998</v>
      </c>
      <c r="D2494" s="4" t="s">
        <v>102</v>
      </c>
      <c r="E2494" s="4" t="s">
        <v>1115</v>
      </c>
      <c r="F2494" s="4" t="s">
        <v>8039</v>
      </c>
      <c r="G2494" s="4">
        <v>74476</v>
      </c>
      <c r="H2494" s="4" t="s">
        <v>8040</v>
      </c>
      <c r="I2494" s="4">
        <v>184</v>
      </c>
      <c r="J2494" s="4" t="s">
        <v>23</v>
      </c>
      <c r="K2494" s="4" t="s">
        <v>24</v>
      </c>
      <c r="L2494" s="4">
        <v>30000000</v>
      </c>
      <c r="M2494" s="4">
        <v>2009</v>
      </c>
      <c r="N2494" s="4">
        <v>7.4</v>
      </c>
      <c r="O2494" s="4">
        <f ca="1">IFERROR(__xludf.DUMMYFUNCTION("IF(Cost_in_dollars!E2494=""USD"",Cost_in_dollars!B2494,Cost_in_dollars!B2494 * GOOGLEFINANCE(""CURRENCY:"" &amp; Cost_in_dollars!E2494 &amp; ""USD""))
"),30000000)</f>
        <v>30000000</v>
      </c>
      <c r="P2494" s="4">
        <f ca="1">IFERROR(__xludf.DUMMYFUNCTION("IF(Cost_in_dollars!E2494=""USD"",Cost_in_dollars!C2494,Cost_in_dollars!C2494 * GOOGLEFINANCE(""CURRENCY:"" &amp; Cost_in_dollars!E2494 &amp; ""USD""))
"),49185998)</f>
        <v>49185998</v>
      </c>
      <c r="Q2494" s="4">
        <f t="shared" ca="1" si="54"/>
        <v>19185998</v>
      </c>
      <c r="R2494" s="5" t="str">
        <f t="shared" si="55"/>
        <v>My Sister's Keeper</v>
      </c>
      <c r="S2494" s="43" t="str">
        <f t="shared" si="58"/>
        <v>Drama</v>
      </c>
    </row>
    <row r="2495" spans="1:19" ht="15.75" customHeight="1" x14ac:dyDescent="0.25">
      <c r="A2495" s="6" t="s">
        <v>759</v>
      </c>
      <c r="B2495" s="6">
        <v>219</v>
      </c>
      <c r="C2495" s="6">
        <v>118823091</v>
      </c>
      <c r="D2495" s="6" t="s">
        <v>8041</v>
      </c>
      <c r="E2495" s="6" t="s">
        <v>8042</v>
      </c>
      <c r="F2495" s="6" t="s">
        <v>8043</v>
      </c>
      <c r="G2495" s="6">
        <v>98693</v>
      </c>
      <c r="H2495" s="6" t="s">
        <v>8044</v>
      </c>
      <c r="I2495" s="6">
        <v>401</v>
      </c>
      <c r="J2495" s="6" t="s">
        <v>23</v>
      </c>
      <c r="K2495" s="6" t="s">
        <v>24</v>
      </c>
      <c r="L2495" s="6">
        <v>75000000</v>
      </c>
      <c r="M2495" s="6">
        <v>2007</v>
      </c>
      <c r="N2495" s="6">
        <v>6.7</v>
      </c>
      <c r="O2495" s="4">
        <f ca="1">IFERROR(__xludf.DUMMYFUNCTION("IF(Cost_in_dollars!E2495=""USD"",Cost_in_dollars!B2495,Cost_in_dollars!B2495 * GOOGLEFINANCE(""CURRENCY:"" &amp; Cost_in_dollars!E2495 &amp; ""USD""))
"),75000000)</f>
        <v>75000000</v>
      </c>
      <c r="P2495" s="4">
        <f ca="1">IFERROR(__xludf.DUMMYFUNCTION("IF(Cost_in_dollars!E2495=""USD"",Cost_in_dollars!C2495,Cost_in_dollars!C2495 * GOOGLEFINANCE(""CURRENCY:"" &amp; Cost_in_dollars!E2495 &amp; ""USD""))
"),118823091)</f>
        <v>118823091</v>
      </c>
      <c r="Q2495" s="6">
        <f t="shared" ca="1" si="54"/>
        <v>43823091</v>
      </c>
      <c r="R2495" s="7" t="str">
        <f t="shared" si="55"/>
        <v>Hairspray</v>
      </c>
      <c r="S2495" s="43" t="str">
        <f t="shared" si="58"/>
        <v>Comedy</v>
      </c>
    </row>
    <row r="2496" spans="1:19" ht="15.75" customHeight="1" x14ac:dyDescent="0.25">
      <c r="A2496" s="4" t="s">
        <v>1098</v>
      </c>
      <c r="B2496" s="4">
        <v>74</v>
      </c>
      <c r="C2496" s="4">
        <v>17149</v>
      </c>
      <c r="D2496" s="4" t="s">
        <v>406</v>
      </c>
      <c r="E2496" s="4" t="s">
        <v>8045</v>
      </c>
      <c r="F2496" s="4" t="s">
        <v>8046</v>
      </c>
      <c r="G2496" s="4">
        <v>12128</v>
      </c>
      <c r="H2496" s="4" t="s">
        <v>8047</v>
      </c>
      <c r="I2496" s="4">
        <v>61</v>
      </c>
      <c r="J2496" s="4" t="s">
        <v>23</v>
      </c>
      <c r="K2496" s="4" t="s">
        <v>8048</v>
      </c>
      <c r="L2496" s="4">
        <v>20000000</v>
      </c>
      <c r="M2496" s="4">
        <v>2011</v>
      </c>
      <c r="N2496" s="4">
        <v>5.6</v>
      </c>
      <c r="O2496" s="4">
        <f ca="1">IFERROR(__xludf.DUMMYFUNCTION("IF(Cost_in_dollars!E2496=""USD"",Cost_in_dollars!B2496,Cost_in_dollars!B2496 * GOOGLEFINANCE(""CURRENCY:"" &amp; Cost_in_dollars!E2496 &amp; ""USD""))
"),7380977.99999999)</f>
        <v>7380977.9999999898</v>
      </c>
      <c r="P2496" s="4">
        <f ca="1">IFERROR(__xludf.DUMMYFUNCTION("IF(Cost_in_dollars!E2496=""USD"",Cost_in_dollars!C2496,Cost_in_dollars!C2496 * GOOGLEFINANCE(""CURRENCY:"" &amp; Cost_in_dollars!E2496 &amp; ""USD""))
"),6328.81958609999)</f>
        <v>6328.8195860999904</v>
      </c>
      <c r="Q2496" s="4">
        <f t="shared" ca="1" si="54"/>
        <v>-7374649.1804138897</v>
      </c>
      <c r="R2496" s="5" t="str">
        <f t="shared" si="55"/>
        <v>5 Days of War</v>
      </c>
      <c r="S2496" s="43" t="str">
        <f t="shared" si="58"/>
        <v>Action</v>
      </c>
    </row>
    <row r="2497" spans="1:19" ht="15.75" customHeight="1" x14ac:dyDescent="0.25">
      <c r="A2497" s="6" t="s">
        <v>3486</v>
      </c>
      <c r="B2497" s="6">
        <v>119</v>
      </c>
      <c r="C2497" s="6">
        <v>11405825</v>
      </c>
      <c r="D2497" s="6" t="s">
        <v>102</v>
      </c>
      <c r="E2497" s="6" t="s">
        <v>486</v>
      </c>
      <c r="F2497" s="6" t="s">
        <v>8049</v>
      </c>
      <c r="G2497" s="6">
        <v>28542</v>
      </c>
      <c r="H2497" s="6" t="s">
        <v>8050</v>
      </c>
      <c r="I2497" s="6">
        <v>208</v>
      </c>
      <c r="J2497" s="6" t="s">
        <v>23</v>
      </c>
      <c r="K2497" s="6" t="s">
        <v>24</v>
      </c>
      <c r="L2497" s="6">
        <v>35000000</v>
      </c>
      <c r="M2497" s="6">
        <v>2001</v>
      </c>
      <c r="N2497" s="6">
        <v>6.8</v>
      </c>
      <c r="O2497" s="4">
        <f ca="1">IFERROR(__xludf.DUMMYFUNCTION("IF(Cost_in_dollars!E2497=""USD"",Cost_in_dollars!B2497,Cost_in_dollars!B2497 * GOOGLEFINANCE(""CURRENCY:"" &amp; Cost_in_dollars!E2497 &amp; ""USD""))
"),35000000)</f>
        <v>35000000</v>
      </c>
      <c r="P2497" s="4">
        <f ca="1">IFERROR(__xludf.DUMMYFUNCTION("IF(Cost_in_dollars!E2497=""USD"",Cost_in_dollars!C2497,Cost_in_dollars!C2497 * GOOGLEFINANCE(""CURRENCY:"" &amp; Cost_in_dollars!E2497 &amp; ""USD""))
"),11405825)</f>
        <v>11405825</v>
      </c>
      <c r="Q2497" s="6">
        <f t="shared" ca="1" si="54"/>
        <v>-23594175</v>
      </c>
      <c r="R2497" s="7" t="str">
        <f t="shared" si="55"/>
        <v>The Shipping News</v>
      </c>
      <c r="S2497" s="43" t="str">
        <f t="shared" si="58"/>
        <v>Drama</v>
      </c>
    </row>
    <row r="2498" spans="1:19" ht="15.75" customHeight="1" x14ac:dyDescent="0.25">
      <c r="A2498" s="4" t="s">
        <v>1690</v>
      </c>
      <c r="B2498" s="4">
        <v>43</v>
      </c>
      <c r="C2498" s="4">
        <v>36733909</v>
      </c>
      <c r="D2498" s="4" t="s">
        <v>3253</v>
      </c>
      <c r="E2498" s="4" t="s">
        <v>8051</v>
      </c>
      <c r="F2498" s="4" t="s">
        <v>8052</v>
      </c>
      <c r="G2498" s="4">
        <v>38949</v>
      </c>
      <c r="H2498" s="4" t="s">
        <v>8053</v>
      </c>
      <c r="I2498" s="4">
        <v>112</v>
      </c>
      <c r="J2498" s="4" t="s">
        <v>23</v>
      </c>
      <c r="K2498" s="4" t="s">
        <v>24</v>
      </c>
      <c r="L2498" s="4">
        <v>32000000</v>
      </c>
      <c r="M2498" s="4">
        <v>1993</v>
      </c>
      <c r="N2498" s="4">
        <v>7.1</v>
      </c>
      <c r="O2498" s="4">
        <f ca="1">IFERROR(__xludf.DUMMYFUNCTION("IF(Cost_in_dollars!E2498=""USD"",Cost_in_dollars!B2498,Cost_in_dollars!B2498 * GOOGLEFINANCE(""CURRENCY:"" &amp; Cost_in_dollars!E2498 &amp; ""USD""))
"),32000000)</f>
        <v>32000000</v>
      </c>
      <c r="P2498" s="4">
        <f ca="1">IFERROR(__xludf.DUMMYFUNCTION("IF(Cost_in_dollars!E2498=""USD"",Cost_in_dollars!C2498,Cost_in_dollars!C2498 * GOOGLEFINANCE(""CURRENCY:"" &amp; Cost_in_dollars!E2498 &amp; ""USD""))
"),36733909)</f>
        <v>36733909</v>
      </c>
      <c r="Q2498" s="4">
        <f t="shared" ca="1" si="54"/>
        <v>4733909</v>
      </c>
      <c r="R2498" s="5" t="str">
        <f t="shared" si="55"/>
        <v>Alive</v>
      </c>
      <c r="S2498" s="43" t="str">
        <f t="shared" ref="S2498:S2561" si="59">IF(ISNUMBER(FIND("|", D2498)), LEFT(D2498, FIND("|", D2498) - 1), D2498)</f>
        <v>Adventure</v>
      </c>
    </row>
    <row r="2499" spans="1:19" ht="15.75" customHeight="1" x14ac:dyDescent="0.25">
      <c r="A2499" s="6" t="s">
        <v>2520</v>
      </c>
      <c r="B2499" s="6">
        <v>316</v>
      </c>
      <c r="C2499" s="6">
        <v>81557479</v>
      </c>
      <c r="D2499" s="6" t="s">
        <v>1099</v>
      </c>
      <c r="E2499" s="6" t="s">
        <v>69</v>
      </c>
      <c r="F2499" s="6" t="s">
        <v>8054</v>
      </c>
      <c r="G2499" s="6">
        <v>149947</v>
      </c>
      <c r="H2499" s="6" t="s">
        <v>8055</v>
      </c>
      <c r="I2499" s="6">
        <v>326</v>
      </c>
      <c r="J2499" s="6" t="s">
        <v>23</v>
      </c>
      <c r="K2499" s="6" t="s">
        <v>24</v>
      </c>
      <c r="L2499" s="6">
        <v>100000000</v>
      </c>
      <c r="M2499" s="6">
        <v>2010</v>
      </c>
      <c r="N2499" s="6">
        <v>6.8</v>
      </c>
      <c r="O2499" s="4">
        <f ca="1">IFERROR(__xludf.DUMMYFUNCTION("IF(Cost_in_dollars!E2499=""USD"",Cost_in_dollars!B2499,Cost_in_dollars!B2499 * GOOGLEFINANCE(""CURRENCY:"" &amp; Cost_in_dollars!E2499 &amp; ""USD""))
"),100000000)</f>
        <v>100000000</v>
      </c>
      <c r="P2499" s="4">
        <f ca="1">IFERROR(__xludf.DUMMYFUNCTION("IF(Cost_in_dollars!E2499=""USD"",Cost_in_dollars!C2499,Cost_in_dollars!C2499 * GOOGLEFINANCE(""CURRENCY:"" &amp; Cost_in_dollars!E2499 &amp; ""USD""))
"),81557479)</f>
        <v>81557479</v>
      </c>
      <c r="Q2499" s="6">
        <f t="shared" ca="1" si="54"/>
        <v>-18442521</v>
      </c>
      <c r="R2499" s="7" t="str">
        <f t="shared" si="55"/>
        <v>Unstoppable</v>
      </c>
      <c r="S2499" s="43" t="str">
        <f t="shared" si="59"/>
        <v>Action</v>
      </c>
    </row>
    <row r="2500" spans="1:19" ht="15.75" customHeight="1" x14ac:dyDescent="0.25">
      <c r="A2500" s="4" t="s">
        <v>8056</v>
      </c>
      <c r="B2500" s="4">
        <v>45</v>
      </c>
      <c r="C2500" s="4">
        <v>4600000</v>
      </c>
      <c r="D2500" s="4" t="s">
        <v>53</v>
      </c>
      <c r="E2500" s="4" t="s">
        <v>1173</v>
      </c>
      <c r="F2500" s="4" t="s">
        <v>8057</v>
      </c>
      <c r="G2500" s="4">
        <v>11763</v>
      </c>
      <c r="H2500" s="4" t="s">
        <v>8058</v>
      </c>
      <c r="I2500" s="4">
        <v>111</v>
      </c>
      <c r="J2500" s="4" t="s">
        <v>23</v>
      </c>
      <c r="K2500" s="4" t="s">
        <v>24</v>
      </c>
      <c r="L2500" s="4">
        <v>1900000</v>
      </c>
      <c r="M2500" s="4">
        <v>1986</v>
      </c>
      <c r="N2500" s="4">
        <v>7.1</v>
      </c>
      <c r="O2500" s="4">
        <f ca="1">IFERROR(__xludf.DUMMYFUNCTION("IF(Cost_in_dollars!E2500=""USD"",Cost_in_dollars!B2500,Cost_in_dollars!B2500 * GOOGLEFINANCE(""CURRENCY:"" &amp; Cost_in_dollars!E2500 &amp; ""USD""))
"),1900000)</f>
        <v>1900000</v>
      </c>
      <c r="P2500" s="4">
        <f ca="1">IFERROR(__xludf.DUMMYFUNCTION("IF(Cost_in_dollars!E2500=""USD"",Cost_in_dollars!C2500,Cost_in_dollars!C2500 * GOOGLEFINANCE(""CURRENCY:"" &amp; Cost_in_dollars!E2500 &amp; ""USD""))
"),4600000)</f>
        <v>4600000</v>
      </c>
      <c r="Q2500" s="4">
        <f t="shared" ca="1" si="54"/>
        <v>2700000</v>
      </c>
      <c r="R2500" s="5" t="str">
        <f t="shared" si="55"/>
        <v>River's Edge</v>
      </c>
      <c r="S2500" s="43" t="str">
        <f t="shared" si="59"/>
        <v>Crime</v>
      </c>
    </row>
    <row r="2501" spans="1:19" ht="15.75" customHeight="1" x14ac:dyDescent="0.25">
      <c r="A2501" s="6" t="s">
        <v>2261</v>
      </c>
      <c r="B2501" s="6">
        <v>171</v>
      </c>
      <c r="C2501" s="6">
        <v>177575142</v>
      </c>
      <c r="D2501" s="6" t="s">
        <v>88</v>
      </c>
      <c r="E2501" s="6" t="s">
        <v>2732</v>
      </c>
      <c r="F2501" s="6" t="s">
        <v>8059</v>
      </c>
      <c r="G2501" s="6">
        <v>244840</v>
      </c>
      <c r="H2501" s="6" t="s">
        <v>8060</v>
      </c>
      <c r="I2501" s="6">
        <v>372</v>
      </c>
      <c r="J2501" s="6" t="s">
        <v>23</v>
      </c>
      <c r="K2501" s="6" t="s">
        <v>24</v>
      </c>
      <c r="L2501" s="6">
        <v>70000000</v>
      </c>
      <c r="M2501" s="6">
        <v>2005</v>
      </c>
      <c r="N2501" s="6">
        <v>6.6</v>
      </c>
      <c r="O2501" s="4">
        <f ca="1">IFERROR(__xludf.DUMMYFUNCTION("IF(Cost_in_dollars!E2501=""USD"",Cost_in_dollars!B2501,Cost_in_dollars!B2501 * GOOGLEFINANCE(""CURRENCY:"" &amp; Cost_in_dollars!E2501 &amp; ""USD""))
"),70000000)</f>
        <v>70000000</v>
      </c>
      <c r="P2501" s="4">
        <f ca="1">IFERROR(__xludf.DUMMYFUNCTION("IF(Cost_in_dollars!E2501=""USD"",Cost_in_dollars!C2501,Cost_in_dollars!C2501 * GOOGLEFINANCE(""CURRENCY:"" &amp; Cost_in_dollars!E2501 &amp; ""USD""))
"),177575142)</f>
        <v>177575142</v>
      </c>
      <c r="Q2501" s="6">
        <f t="shared" ca="1" si="54"/>
        <v>107575142</v>
      </c>
      <c r="R2501" s="7" t="str">
        <f t="shared" si="55"/>
        <v>Hitch</v>
      </c>
      <c r="S2501" s="43" t="str">
        <f t="shared" si="59"/>
        <v>Comedy</v>
      </c>
    </row>
    <row r="2502" spans="1:19" ht="15.75" customHeight="1" x14ac:dyDescent="0.25">
      <c r="A2502" s="4" t="s">
        <v>4354</v>
      </c>
      <c r="B2502" s="4">
        <v>92</v>
      </c>
      <c r="C2502" s="4">
        <v>75597042</v>
      </c>
      <c r="D2502" s="4" t="s">
        <v>276</v>
      </c>
      <c r="E2502" s="4" t="s">
        <v>44</v>
      </c>
      <c r="F2502" s="4" t="s">
        <v>8061</v>
      </c>
      <c r="G2502" s="4">
        <v>26434</v>
      </c>
      <c r="H2502" s="4" t="s">
        <v>8062</v>
      </c>
      <c r="I2502" s="4">
        <v>174</v>
      </c>
      <c r="J2502" s="4" t="s">
        <v>23</v>
      </c>
      <c r="K2502" s="4" t="s">
        <v>24</v>
      </c>
      <c r="L2502" s="4">
        <v>20000000</v>
      </c>
      <c r="M2502" s="4">
        <v>2002</v>
      </c>
      <c r="N2502" s="4">
        <v>7</v>
      </c>
      <c r="O2502" s="4">
        <f ca="1">IFERROR(__xludf.DUMMYFUNCTION("IF(Cost_in_dollars!E2502=""USD"",Cost_in_dollars!B2502,Cost_in_dollars!B2502 * GOOGLEFINANCE(""CURRENCY:"" &amp; Cost_in_dollars!E2502 &amp; ""USD""))
"),20000000)</f>
        <v>20000000</v>
      </c>
      <c r="P2502" s="4">
        <f ca="1">IFERROR(__xludf.DUMMYFUNCTION("IF(Cost_in_dollars!E2502=""USD"",Cost_in_dollars!C2502,Cost_in_dollars!C2502 * GOOGLEFINANCE(""CURRENCY:"" &amp; Cost_in_dollars!E2502 &amp; ""USD""))
"),75597042)</f>
        <v>75597042</v>
      </c>
      <c r="Q2502" s="4">
        <f t="shared" ca="1" si="54"/>
        <v>55597042</v>
      </c>
      <c r="R2502" s="5" t="str">
        <f t="shared" si="55"/>
        <v>The Rookie</v>
      </c>
      <c r="S2502" s="43" t="str">
        <f t="shared" si="59"/>
        <v>Drama</v>
      </c>
    </row>
    <row r="2503" spans="1:19" ht="15.75" customHeight="1" x14ac:dyDescent="0.25">
      <c r="A2503" s="6" t="s">
        <v>8063</v>
      </c>
      <c r="B2503" s="6">
        <v>46</v>
      </c>
      <c r="C2503" s="6">
        <v>1114943</v>
      </c>
      <c r="D2503" s="6" t="s">
        <v>421</v>
      </c>
      <c r="E2503" s="6" t="s">
        <v>8064</v>
      </c>
      <c r="F2503" s="6" t="s">
        <v>8065</v>
      </c>
      <c r="G2503" s="6">
        <v>3562</v>
      </c>
      <c r="H2503" s="6" t="s">
        <v>8066</v>
      </c>
      <c r="I2503" s="6">
        <v>74</v>
      </c>
      <c r="J2503" s="6" t="s">
        <v>23</v>
      </c>
      <c r="K2503" s="6" t="s">
        <v>24</v>
      </c>
      <c r="L2503" s="6">
        <v>500000</v>
      </c>
      <c r="M2503" s="6">
        <v>2000</v>
      </c>
      <c r="N2503" s="6">
        <v>6.5</v>
      </c>
      <c r="O2503" s="4">
        <f ca="1">IFERROR(__xludf.DUMMYFUNCTION("IF(Cost_in_dollars!E2503=""USD"",Cost_in_dollars!B2503,Cost_in_dollars!B2503 * GOOGLEFINANCE(""CURRENCY:"" &amp; Cost_in_dollars!E2503 &amp; ""USD""))
"),500000)</f>
        <v>500000</v>
      </c>
      <c r="P2503" s="4">
        <f ca="1">IFERROR(__xludf.DUMMYFUNCTION("IF(Cost_in_dollars!E2503=""USD"",Cost_in_dollars!C2503,Cost_in_dollars!C2503 * GOOGLEFINANCE(""CURRENCY:"" &amp; Cost_in_dollars!E2503 &amp; ""USD""))
"),1114943)</f>
        <v>1114943</v>
      </c>
      <c r="Q2503" s="6">
        <f t="shared" ca="1" si="54"/>
        <v>614943</v>
      </c>
      <c r="R2503" s="7" t="str">
        <f t="shared" si="55"/>
        <v>Groove</v>
      </c>
      <c r="S2503" s="43" t="str">
        <f t="shared" si="59"/>
        <v>Drama</v>
      </c>
    </row>
    <row r="2504" spans="1:19" ht="15.75" customHeight="1" x14ac:dyDescent="0.25">
      <c r="A2504" s="4" t="s">
        <v>8063</v>
      </c>
      <c r="B2504" s="4">
        <v>43</v>
      </c>
      <c r="C2504" s="4">
        <v>191309</v>
      </c>
      <c r="D2504" s="4" t="s">
        <v>314</v>
      </c>
      <c r="E2504" s="4" t="s">
        <v>8067</v>
      </c>
      <c r="F2504" s="4" t="s">
        <v>8068</v>
      </c>
      <c r="G2504" s="4">
        <v>2787</v>
      </c>
      <c r="H2504" s="4" t="s">
        <v>8069</v>
      </c>
      <c r="I2504" s="4">
        <v>64</v>
      </c>
      <c r="J2504" s="4" t="s">
        <v>23</v>
      </c>
      <c r="K2504" s="4" t="s">
        <v>24</v>
      </c>
      <c r="L2504" s="4">
        <v>150000</v>
      </c>
      <c r="M2504" s="4">
        <v>2004</v>
      </c>
      <c r="N2504" s="4">
        <v>5.5</v>
      </c>
      <c r="O2504" s="4">
        <f ca="1">IFERROR(__xludf.DUMMYFUNCTION("IF(Cost_in_dollars!E2504=""USD"",Cost_in_dollars!B2504,Cost_in_dollars!B2504 * GOOGLEFINANCE(""CURRENCY:"" &amp; Cost_in_dollars!E2504 &amp; ""USD""))
"),150000)</f>
        <v>150000</v>
      </c>
      <c r="P2504" s="4">
        <f ca="1">IFERROR(__xludf.DUMMYFUNCTION("IF(Cost_in_dollars!E2504=""USD"",Cost_in_dollars!C2504,Cost_in_dollars!C2504 * GOOGLEFINANCE(""CURRENCY:"" &amp; Cost_in_dollars!E2504 &amp; ""USD""))
"),191309)</f>
        <v>191309</v>
      </c>
      <c r="Q2504" s="4">
        <f t="shared" ca="1" si="54"/>
        <v>41309</v>
      </c>
      <c r="R2504" s="5" t="str">
        <f t="shared" si="55"/>
        <v>November</v>
      </c>
      <c r="S2504" s="43" t="str">
        <f t="shared" si="59"/>
        <v>Drama</v>
      </c>
    </row>
    <row r="2505" spans="1:19" ht="15.75" customHeight="1" x14ac:dyDescent="0.25">
      <c r="A2505" s="6" t="s">
        <v>8070</v>
      </c>
      <c r="B2505" s="6">
        <v>46</v>
      </c>
      <c r="C2505" s="6">
        <v>925402</v>
      </c>
      <c r="D2505" s="6" t="s">
        <v>2179</v>
      </c>
      <c r="E2505" s="6" t="s">
        <v>8071</v>
      </c>
      <c r="F2505" s="6" t="s">
        <v>8072</v>
      </c>
      <c r="G2505" s="6">
        <v>27882</v>
      </c>
      <c r="H2505" s="6" t="s">
        <v>8073</v>
      </c>
      <c r="I2505" s="6">
        <v>130</v>
      </c>
      <c r="J2505" s="6" t="s">
        <v>2545</v>
      </c>
      <c r="K2505" s="6" t="s">
        <v>2546</v>
      </c>
      <c r="L2505" s="6">
        <v>180000</v>
      </c>
      <c r="M2505" s="6">
        <v>1997</v>
      </c>
      <c r="N2505" s="6">
        <v>8.5</v>
      </c>
      <c r="O2505" s="4">
        <f ca="1">IFERROR(__xludf.DUMMYFUNCTION("IF(Cost_in_dollars!E2505=""USD"",Cost_in_dollars!B2505,Cost_in_dollars!B2505 * GOOGLEFINANCE(""CURRENCY:"" &amp; Cost_in_dollars!E2505 &amp; ""USD""))
"),4.27502664)</f>
        <v>4.2750266400000001</v>
      </c>
      <c r="P2505" s="4">
        <f ca="1">IFERROR(__xludf.DUMMYFUNCTION("IF(Cost_in_dollars!E2505=""USD"",Cost_in_dollars!C2505,Cost_in_dollars!C2505 * GOOGLEFINANCE(""CURRENCY:"" &amp; Cost_in_dollars!E2505 &amp; ""USD""))
"),21.978434459496)</f>
        <v>21.978434459496</v>
      </c>
      <c r="Q2505" s="6">
        <f t="shared" ca="1" si="54"/>
        <v>17.703407819496</v>
      </c>
      <c r="R2505" s="7" t="str">
        <f t="shared" si="55"/>
        <v>Children of Heaven</v>
      </c>
      <c r="S2505" s="43" t="str">
        <f t="shared" si="59"/>
        <v>Drama</v>
      </c>
    </row>
    <row r="2506" spans="1:19" ht="15.75" customHeight="1" x14ac:dyDescent="0.25">
      <c r="A2506" s="4" t="s">
        <v>8074</v>
      </c>
      <c r="B2506" s="4">
        <v>44</v>
      </c>
      <c r="C2506" s="4">
        <v>10494147</v>
      </c>
      <c r="D2506" s="4" t="s">
        <v>235</v>
      </c>
      <c r="E2506" s="4" t="s">
        <v>3574</v>
      </c>
      <c r="F2506" s="4" t="s">
        <v>8075</v>
      </c>
      <c r="G2506" s="4">
        <v>7403</v>
      </c>
      <c r="H2506" s="4" t="s">
        <v>8076</v>
      </c>
      <c r="I2506" s="4">
        <v>162</v>
      </c>
      <c r="J2506" s="4" t="s">
        <v>23</v>
      </c>
      <c r="K2506" s="4" t="s">
        <v>24</v>
      </c>
      <c r="L2506" s="4">
        <v>15000000</v>
      </c>
      <c r="M2506" s="4">
        <v>2000</v>
      </c>
      <c r="N2506" s="4">
        <v>5.0999999999999996</v>
      </c>
      <c r="O2506" s="4">
        <f ca="1">IFERROR(__xludf.DUMMYFUNCTION("IF(Cost_in_dollars!E2506=""USD"",Cost_in_dollars!B2506,Cost_in_dollars!B2506 * GOOGLEFINANCE(""CURRENCY:"" &amp; Cost_in_dollars!E2506 &amp; ""USD""))
"),15000000)</f>
        <v>15000000</v>
      </c>
      <c r="P2506" s="4">
        <f ca="1">IFERROR(__xludf.DUMMYFUNCTION("IF(Cost_in_dollars!E2506=""USD"",Cost_in_dollars!C2506,Cost_in_dollars!C2506 * GOOGLEFINANCE(""CURRENCY:"" &amp; Cost_in_dollars!E2506 &amp; ""USD""))
"),10494147)</f>
        <v>10494147</v>
      </c>
      <c r="Q2506" s="4">
        <f t="shared" ca="1" si="54"/>
        <v>-4505853</v>
      </c>
      <c r="R2506" s="5" t="str">
        <f t="shared" si="55"/>
        <v>Here on Earth</v>
      </c>
      <c r="S2506" s="43" t="str">
        <f t="shared" si="59"/>
        <v>Drama</v>
      </c>
    </row>
    <row r="2507" spans="1:19" ht="15.75" customHeight="1" x14ac:dyDescent="0.25">
      <c r="A2507" s="6" t="s">
        <v>2520</v>
      </c>
      <c r="B2507" s="6">
        <v>50</v>
      </c>
      <c r="C2507" s="6">
        <v>18573791</v>
      </c>
      <c r="D2507" s="6" t="s">
        <v>8077</v>
      </c>
      <c r="E2507" s="6" t="s">
        <v>886</v>
      </c>
      <c r="F2507" s="6" t="s">
        <v>8078</v>
      </c>
      <c r="G2507" s="6">
        <v>38533</v>
      </c>
      <c r="H2507" s="6" t="s">
        <v>8079</v>
      </c>
      <c r="I2507" s="6">
        <v>89</v>
      </c>
      <c r="J2507" s="6" t="s">
        <v>23</v>
      </c>
      <c r="K2507" s="6" t="s">
        <v>24</v>
      </c>
      <c r="L2507" s="6">
        <v>55000000</v>
      </c>
      <c r="M2507" s="6">
        <v>1996</v>
      </c>
      <c r="N2507" s="6">
        <v>5.8</v>
      </c>
      <c r="O2507" s="4">
        <f ca="1">IFERROR(__xludf.DUMMYFUNCTION("IF(Cost_in_dollars!E2507=""USD"",Cost_in_dollars!B2507,Cost_in_dollars!B2507 * GOOGLEFINANCE(""CURRENCY:"" &amp; Cost_in_dollars!E2507 &amp; ""USD""))
"),55000000)</f>
        <v>55000000</v>
      </c>
      <c r="P2507" s="4">
        <f ca="1">IFERROR(__xludf.DUMMYFUNCTION("IF(Cost_in_dollars!E2507=""USD"",Cost_in_dollars!C2507,Cost_in_dollars!C2507 * GOOGLEFINANCE(""CURRENCY:"" &amp; Cost_in_dollars!E2507 &amp; ""USD""))
"),18573791)</f>
        <v>18573791</v>
      </c>
      <c r="Q2507" s="6">
        <f t="shared" ca="1" si="54"/>
        <v>-36426209</v>
      </c>
      <c r="R2507" s="7" t="str">
        <f t="shared" si="55"/>
        <v>The Fan</v>
      </c>
      <c r="S2507" s="43" t="str">
        <f t="shared" si="59"/>
        <v>Action</v>
      </c>
    </row>
    <row r="2508" spans="1:19" ht="15.75" customHeight="1" x14ac:dyDescent="0.25">
      <c r="A2508" s="4" t="s">
        <v>8080</v>
      </c>
      <c r="B2508" s="4">
        <v>82</v>
      </c>
      <c r="C2508" s="4">
        <v>200803</v>
      </c>
      <c r="D2508" s="4" t="s">
        <v>140</v>
      </c>
      <c r="E2508" s="4" t="s">
        <v>8081</v>
      </c>
      <c r="F2508" s="4" t="s">
        <v>8082</v>
      </c>
      <c r="G2508" s="4">
        <v>7988</v>
      </c>
      <c r="H2508" s="4" t="s">
        <v>8083</v>
      </c>
      <c r="I2508" s="4">
        <v>71</v>
      </c>
      <c r="J2508" s="4" t="s">
        <v>23</v>
      </c>
      <c r="K2508" s="4" t="s">
        <v>24</v>
      </c>
      <c r="L2508" s="4">
        <v>3000000</v>
      </c>
      <c r="M2508" s="4">
        <v>2012</v>
      </c>
      <c r="N2508" s="4">
        <v>5.3</v>
      </c>
      <c r="O2508" s="4">
        <f ca="1">IFERROR(__xludf.DUMMYFUNCTION("IF(Cost_in_dollars!E2508=""USD"",Cost_in_dollars!B2508,Cost_in_dollars!B2508 * GOOGLEFINANCE(""CURRENCY:"" &amp; Cost_in_dollars!E2508 &amp; ""USD""))
"),3000000)</f>
        <v>3000000</v>
      </c>
      <c r="P2508" s="4">
        <f ca="1">IFERROR(__xludf.DUMMYFUNCTION("IF(Cost_in_dollars!E2508=""USD"",Cost_in_dollars!C2508,Cost_in_dollars!C2508 * GOOGLEFINANCE(""CURRENCY:"" &amp; Cost_in_dollars!E2508 &amp; ""USD""))
"),200803)</f>
        <v>200803</v>
      </c>
      <c r="Q2508" s="4">
        <f t="shared" ca="1" si="54"/>
        <v>-2799197</v>
      </c>
      <c r="R2508" s="5" t="str">
        <f t="shared" si="55"/>
        <v>Tim and Eric's Billion Dollar Movie</v>
      </c>
      <c r="S2508" s="43" t="str">
        <f t="shared" si="59"/>
        <v>Comedy</v>
      </c>
    </row>
    <row r="2509" spans="1:19" ht="15.75" customHeight="1" x14ac:dyDescent="0.25">
      <c r="A2509" s="6" t="s">
        <v>8084</v>
      </c>
      <c r="B2509" s="6">
        <v>183</v>
      </c>
      <c r="C2509" s="6">
        <v>4190530</v>
      </c>
      <c r="D2509" s="6" t="s">
        <v>682</v>
      </c>
      <c r="E2509" s="6" t="s">
        <v>8085</v>
      </c>
      <c r="F2509" s="6" t="s">
        <v>8086</v>
      </c>
      <c r="G2509" s="6">
        <v>53341</v>
      </c>
      <c r="H2509" s="6" t="s">
        <v>8087</v>
      </c>
      <c r="I2509" s="6">
        <v>185</v>
      </c>
      <c r="J2509" s="6" t="s">
        <v>23</v>
      </c>
      <c r="K2509" s="6" t="s">
        <v>149</v>
      </c>
      <c r="L2509" s="6">
        <v>22500000</v>
      </c>
      <c r="M2509" s="6">
        <v>2014</v>
      </c>
      <c r="N2509" s="6">
        <v>7.1</v>
      </c>
      <c r="O2509" s="4">
        <f ca="1">IFERROR(__xludf.DUMMYFUNCTION("IF(Cost_in_dollars!E2509=""USD"",Cost_in_dollars!B2509,Cost_in_dollars!B2509 * GOOGLEFINANCE(""CURRENCY:"" &amp; Cost_in_dollars!E2509 &amp; ""USD""))
"),14712300)</f>
        <v>14712300</v>
      </c>
      <c r="P2509" s="4">
        <f ca="1">IFERROR(__xludf.DUMMYFUNCTION("IF(Cost_in_dollars!E2509=""USD"",Cost_in_dollars!C2509,Cost_in_dollars!C2509 * GOOGLEFINANCE(""CURRENCY:"" &amp; Cost_in_dollars!E2509 &amp; ""USD""))
"),2740103.7564)</f>
        <v>2740103.7563999998</v>
      </c>
      <c r="Q2509" s="6">
        <f t="shared" ca="1" si="54"/>
        <v>-11972196.2436</v>
      </c>
      <c r="R2509" s="7" t="str">
        <f t="shared" si="55"/>
        <v>The Water Diviner</v>
      </c>
      <c r="S2509" s="43" t="str">
        <f t="shared" si="59"/>
        <v>Drama</v>
      </c>
    </row>
    <row r="2510" spans="1:19" ht="15.75" customHeight="1" x14ac:dyDescent="0.25">
      <c r="A2510" s="4" t="s">
        <v>8088</v>
      </c>
      <c r="B2510" s="4">
        <v>21</v>
      </c>
      <c r="C2510" s="4">
        <v>375474</v>
      </c>
      <c r="D2510" s="4" t="s">
        <v>8089</v>
      </c>
      <c r="E2510" s="4" t="s">
        <v>833</v>
      </c>
      <c r="F2510" s="4" t="s">
        <v>8090</v>
      </c>
      <c r="G2510" s="4">
        <v>2613</v>
      </c>
      <c r="H2510" s="4" t="s">
        <v>8091</v>
      </c>
      <c r="I2510" s="4">
        <v>46</v>
      </c>
      <c r="J2510" s="4" t="s">
        <v>23</v>
      </c>
      <c r="K2510" s="4" t="s">
        <v>24</v>
      </c>
      <c r="L2510" s="4">
        <v>20000000</v>
      </c>
      <c r="M2510" s="4">
        <v>2005</v>
      </c>
      <c r="N2510" s="4">
        <v>6.2</v>
      </c>
      <c r="O2510" s="4">
        <f ca="1">IFERROR(__xludf.DUMMYFUNCTION("IF(Cost_in_dollars!E2510=""USD"",Cost_in_dollars!B2510,Cost_in_dollars!B2510 * GOOGLEFINANCE(""CURRENCY:"" &amp; Cost_in_dollars!E2510 &amp; ""USD""))
"),20000000)</f>
        <v>20000000</v>
      </c>
      <c r="P2510" s="4">
        <f ca="1">IFERROR(__xludf.DUMMYFUNCTION("IF(Cost_in_dollars!E2510=""USD"",Cost_in_dollars!C2510,Cost_in_dollars!C2510 * GOOGLEFINANCE(""CURRENCY:"" &amp; Cost_in_dollars!E2510 &amp; ""USD""))
"),375474)</f>
        <v>375474</v>
      </c>
      <c r="Q2510" s="4">
        <f t="shared" ca="1" si="54"/>
        <v>-19624526</v>
      </c>
      <c r="R2510" s="5" t="str">
        <f t="shared" si="55"/>
        <v>The Game of Their Lives</v>
      </c>
      <c r="S2510" s="43" t="str">
        <f t="shared" si="59"/>
        <v>Drama</v>
      </c>
    </row>
    <row r="2511" spans="1:19" ht="15.75" customHeight="1" x14ac:dyDescent="0.25">
      <c r="A2511" s="6" t="s">
        <v>5736</v>
      </c>
      <c r="B2511" s="6">
        <v>53</v>
      </c>
      <c r="C2511" s="6">
        <v>37600435</v>
      </c>
      <c r="D2511" s="6" t="s">
        <v>8092</v>
      </c>
      <c r="E2511" s="6" t="s">
        <v>5113</v>
      </c>
      <c r="F2511" s="6" t="s">
        <v>8093</v>
      </c>
      <c r="G2511" s="6">
        <v>55350</v>
      </c>
      <c r="H2511" s="6" t="s">
        <v>8094</v>
      </c>
      <c r="I2511" s="6">
        <v>180</v>
      </c>
      <c r="J2511" s="6" t="s">
        <v>23</v>
      </c>
      <c r="K2511" s="6" t="s">
        <v>24</v>
      </c>
      <c r="L2511" s="6">
        <v>55000000</v>
      </c>
      <c r="M2511" s="6">
        <v>1995</v>
      </c>
      <c r="N2511" s="6">
        <v>5.9</v>
      </c>
      <c r="O2511" s="4">
        <f ca="1">IFERROR(__xludf.DUMMYFUNCTION("IF(Cost_in_dollars!E2511=""USD"",Cost_in_dollars!B2511,Cost_in_dollars!B2511 * GOOGLEFINANCE(""CURRENCY:"" &amp; Cost_in_dollars!E2511 &amp; ""USD""))
"),55000000)</f>
        <v>55000000</v>
      </c>
      <c r="P2511" s="4">
        <f ca="1">IFERROR(__xludf.DUMMYFUNCTION("IF(Cost_in_dollars!E2511=""USD"",Cost_in_dollars!C2511,Cost_in_dollars!C2511 * GOOGLEFINANCE(""CURRENCY:"" &amp; Cost_in_dollars!E2511 &amp; ""USD""))
"),37600435)</f>
        <v>37600435</v>
      </c>
      <c r="Q2511" s="6">
        <f t="shared" ca="1" si="54"/>
        <v>-17399565</v>
      </c>
      <c r="R2511" s="7" t="str">
        <f t="shared" si="55"/>
        <v>First Knight</v>
      </c>
      <c r="S2511" s="43" t="str">
        <f t="shared" si="59"/>
        <v>Action</v>
      </c>
    </row>
    <row r="2512" spans="1:19" ht="15.75" customHeight="1" x14ac:dyDescent="0.25">
      <c r="A2512" s="4" t="s">
        <v>8095</v>
      </c>
      <c r="B2512" s="4">
        <v>15</v>
      </c>
      <c r="C2512" s="4">
        <v>381225</v>
      </c>
      <c r="D2512" s="4" t="s">
        <v>254</v>
      </c>
      <c r="E2512" s="4" t="s">
        <v>8096</v>
      </c>
      <c r="F2512" s="4" t="s">
        <v>8097</v>
      </c>
      <c r="G2512" s="4">
        <v>131</v>
      </c>
      <c r="H2512" s="4" t="s">
        <v>109</v>
      </c>
      <c r="I2512" s="4">
        <v>13</v>
      </c>
      <c r="J2512" s="4" t="s">
        <v>23</v>
      </c>
      <c r="K2512" s="4" t="s">
        <v>24</v>
      </c>
      <c r="L2512" s="4">
        <v>200000</v>
      </c>
      <c r="M2512" s="4">
        <v>2004</v>
      </c>
      <c r="N2512" s="4">
        <v>7.2</v>
      </c>
      <c r="O2512" s="4">
        <f ca="1">IFERROR(__xludf.DUMMYFUNCTION("IF(Cost_in_dollars!E2512=""USD"",Cost_in_dollars!B2512,Cost_in_dollars!B2512 * GOOGLEFINANCE(""CURRENCY:"" &amp; Cost_in_dollars!E2512 &amp; ""USD""))
"),200000)</f>
        <v>200000</v>
      </c>
      <c r="P2512" s="4">
        <f ca="1">IFERROR(__xludf.DUMMYFUNCTION("IF(Cost_in_dollars!E2512=""USD"",Cost_in_dollars!C2512,Cost_in_dollars!C2512 * GOOGLEFINANCE(""CURRENCY:"" &amp; Cost_in_dollars!E2512 &amp; ""USD""))
"),381225)</f>
        <v>381225</v>
      </c>
      <c r="Q2512" s="4">
        <f t="shared" ca="1" si="54"/>
        <v>181225</v>
      </c>
      <c r="R2512" s="5" t="str">
        <f t="shared" si="55"/>
        <v>Short Cut to Nirvana: Kumbh Mela</v>
      </c>
      <c r="S2512" s="43" t="str">
        <f t="shared" si="59"/>
        <v>Documentary</v>
      </c>
    </row>
    <row r="2513" spans="1:19" ht="15.75" customHeight="1" x14ac:dyDescent="0.25">
      <c r="A2513" s="6" t="s">
        <v>2421</v>
      </c>
      <c r="B2513" s="6">
        <v>155</v>
      </c>
      <c r="C2513" s="6">
        <v>2708188</v>
      </c>
      <c r="D2513" s="6" t="s">
        <v>162</v>
      </c>
      <c r="E2513" s="6" t="s">
        <v>8098</v>
      </c>
      <c r="F2513" s="6" t="s">
        <v>8099</v>
      </c>
      <c r="G2513" s="6">
        <v>8924</v>
      </c>
      <c r="H2513" s="6" t="s">
        <v>8100</v>
      </c>
      <c r="I2513" s="6">
        <v>43</v>
      </c>
      <c r="J2513" s="6" t="s">
        <v>23</v>
      </c>
      <c r="K2513" s="6" t="s">
        <v>133</v>
      </c>
      <c r="L2513" s="6">
        <v>23000000</v>
      </c>
      <c r="M2513" s="6">
        <v>2009</v>
      </c>
      <c r="N2513" s="6">
        <v>6.2</v>
      </c>
      <c r="O2513" s="4">
        <f ca="1">IFERROR(__xludf.DUMMYFUNCTION("IF(Cost_in_dollars!E2513=""USD"",Cost_in_dollars!B2513,Cost_in_dollars!B2513 * GOOGLEFINANCE(""CURRENCY:"" &amp; Cost_in_dollars!E2513 &amp; ""USD""))
"),29564199.9999999)</f>
        <v>29564199.999999899</v>
      </c>
      <c r="P2513" s="4">
        <f ca="1">IFERROR(__xludf.DUMMYFUNCTION("IF(Cost_in_dollars!E2513=""USD"",Cost_in_dollars!C2513,Cost_in_dollars!C2513 * GOOGLEFINANCE(""CURRENCY:"" &amp; Cost_in_dollars!E2513 &amp; ""USD""))
"),3481104.85519999)</f>
        <v>3481104.8551999899</v>
      </c>
      <c r="Q2513" s="6">
        <f t="shared" ca="1" si="54"/>
        <v>-26083095.14479991</v>
      </c>
      <c r="R2513" s="7" t="str">
        <f t="shared" si="55"/>
        <v>ChÃ©ri</v>
      </c>
      <c r="S2513" s="43" t="str">
        <f t="shared" si="59"/>
        <v>Comedy</v>
      </c>
    </row>
    <row r="2514" spans="1:19" ht="15.75" customHeight="1" x14ac:dyDescent="0.25">
      <c r="A2514" s="4" t="s">
        <v>4221</v>
      </c>
      <c r="B2514" s="4">
        <v>106</v>
      </c>
      <c r="C2514" s="4">
        <v>67325559</v>
      </c>
      <c r="D2514" s="4" t="s">
        <v>8101</v>
      </c>
      <c r="E2514" s="4" t="s">
        <v>1553</v>
      </c>
      <c r="F2514" s="4" t="s">
        <v>8102</v>
      </c>
      <c r="G2514" s="4">
        <v>58222</v>
      </c>
      <c r="H2514" s="4" t="s">
        <v>8103</v>
      </c>
      <c r="I2514" s="4">
        <v>331</v>
      </c>
      <c r="J2514" s="4" t="s">
        <v>23</v>
      </c>
      <c r="K2514" s="4" t="s">
        <v>24</v>
      </c>
      <c r="L2514" s="4">
        <v>20000000</v>
      </c>
      <c r="M2514" s="4">
        <v>2003</v>
      </c>
      <c r="N2514" s="4">
        <v>7.1</v>
      </c>
      <c r="O2514" s="4">
        <f ca="1">IFERROR(__xludf.DUMMYFUNCTION("IF(Cost_in_dollars!E2514=""USD"",Cost_in_dollars!B2514,Cost_in_dollars!B2514 * GOOGLEFINANCE(""CURRENCY:"" &amp; Cost_in_dollars!E2514 &amp; ""USD""))
"),20000000)</f>
        <v>20000000</v>
      </c>
      <c r="P2514" s="4">
        <f ca="1">IFERROR(__xludf.DUMMYFUNCTION("IF(Cost_in_dollars!E2514=""USD"",Cost_in_dollars!C2514,Cost_in_dollars!C2514 * GOOGLEFINANCE(""CURRENCY:"" &amp; Cost_in_dollars!E2514 &amp; ""USD""))
"),67325559)</f>
        <v>67325559</v>
      </c>
      <c r="Q2514" s="4">
        <f t="shared" ca="1" si="54"/>
        <v>47325559</v>
      </c>
      <c r="R2514" s="5" t="str">
        <f t="shared" si="55"/>
        <v>Holes</v>
      </c>
      <c r="S2514" s="43" t="str">
        <f t="shared" si="59"/>
        <v>Adventure</v>
      </c>
    </row>
    <row r="2515" spans="1:19" ht="15.75" customHeight="1" x14ac:dyDescent="0.25">
      <c r="A2515" s="6" t="s">
        <v>3014</v>
      </c>
      <c r="B2515" s="6">
        <v>146</v>
      </c>
      <c r="C2515" s="6">
        <v>29077547</v>
      </c>
      <c r="D2515" s="6" t="s">
        <v>669</v>
      </c>
      <c r="E2515" s="6" t="s">
        <v>3590</v>
      </c>
      <c r="F2515" s="6" t="s">
        <v>8104</v>
      </c>
      <c r="G2515" s="6">
        <v>41685</v>
      </c>
      <c r="H2515" s="6" t="s">
        <v>8105</v>
      </c>
      <c r="I2515" s="6">
        <v>754</v>
      </c>
      <c r="J2515" s="6" t="s">
        <v>23</v>
      </c>
      <c r="K2515" s="6" t="s">
        <v>24</v>
      </c>
      <c r="L2515" s="6">
        <v>40000000</v>
      </c>
      <c r="M2515" s="6">
        <v>2005</v>
      </c>
      <c r="N2515" s="6">
        <v>7</v>
      </c>
      <c r="O2515" s="4">
        <f ca="1">IFERROR(__xludf.DUMMYFUNCTION("IF(Cost_in_dollars!E2515=""USD"",Cost_in_dollars!B2515,Cost_in_dollars!B2515 * GOOGLEFINANCE(""CURRENCY:"" &amp; Cost_in_dollars!E2515 &amp; ""USD""))
"),40000000)</f>
        <v>40000000</v>
      </c>
      <c r="P2515" s="4">
        <f ca="1">IFERROR(__xludf.DUMMYFUNCTION("IF(Cost_in_dollars!E2515=""USD"",Cost_in_dollars!C2515,Cost_in_dollars!C2515 * GOOGLEFINANCE(""CURRENCY:"" &amp; Cost_in_dollars!E2515 &amp; ""USD""))
"),29077547)</f>
        <v>29077547</v>
      </c>
      <c r="Q2515" s="6">
        <f t="shared" ca="1" si="54"/>
        <v>-10922453</v>
      </c>
      <c r="R2515" s="7" t="str">
        <f t="shared" si="55"/>
        <v>Rent</v>
      </c>
      <c r="S2515" s="43" t="str">
        <f t="shared" si="59"/>
        <v>Drama</v>
      </c>
    </row>
    <row r="2516" spans="1:19" ht="15.75" customHeight="1" x14ac:dyDescent="0.25">
      <c r="A2516" s="4" t="s">
        <v>1098</v>
      </c>
      <c r="B2516" s="4">
        <v>74</v>
      </c>
      <c r="C2516" s="4">
        <v>84049211</v>
      </c>
      <c r="D2516" s="4" t="s">
        <v>477</v>
      </c>
      <c r="E2516" s="4" t="s">
        <v>2547</v>
      </c>
      <c r="F2516" s="4" t="s">
        <v>8106</v>
      </c>
      <c r="G2516" s="4">
        <v>96096</v>
      </c>
      <c r="H2516" s="4" t="s">
        <v>8107</v>
      </c>
      <c r="I2516" s="4">
        <v>172</v>
      </c>
      <c r="J2516" s="4" t="s">
        <v>23</v>
      </c>
      <c r="K2516" s="4" t="s">
        <v>24</v>
      </c>
      <c r="L2516" s="4">
        <v>70000000</v>
      </c>
      <c r="M2516" s="4">
        <v>1993</v>
      </c>
      <c r="N2516" s="4">
        <v>6.4</v>
      </c>
      <c r="O2516" s="4">
        <f ca="1">IFERROR(__xludf.DUMMYFUNCTION("IF(Cost_in_dollars!E2516=""USD"",Cost_in_dollars!B2516,Cost_in_dollars!B2516 * GOOGLEFINANCE(""CURRENCY:"" &amp; Cost_in_dollars!E2516 &amp; ""USD""))
"),70000000)</f>
        <v>70000000</v>
      </c>
      <c r="P2516" s="4">
        <f ca="1">IFERROR(__xludf.DUMMYFUNCTION("IF(Cost_in_dollars!E2516=""USD"",Cost_in_dollars!C2516,Cost_in_dollars!C2516 * GOOGLEFINANCE(""CURRENCY:"" &amp; Cost_in_dollars!E2516 &amp; ""USD""))
"),84049211)</f>
        <v>84049211</v>
      </c>
      <c r="Q2516" s="4">
        <f t="shared" ca="1" si="54"/>
        <v>14049211</v>
      </c>
      <c r="R2516" s="5" t="str">
        <f t="shared" si="55"/>
        <v>Cliffhanger</v>
      </c>
      <c r="S2516" s="43" t="str">
        <f t="shared" si="59"/>
        <v>Action</v>
      </c>
    </row>
    <row r="2517" spans="1:19" ht="15.75" customHeight="1" x14ac:dyDescent="0.25">
      <c r="A2517" s="6" t="s">
        <v>8108</v>
      </c>
      <c r="B2517" s="6">
        <v>328</v>
      </c>
      <c r="C2517" s="6">
        <v>55994557</v>
      </c>
      <c r="D2517" s="6" t="s">
        <v>304</v>
      </c>
      <c r="E2517" s="6" t="s">
        <v>2905</v>
      </c>
      <c r="F2517" s="6" t="s">
        <v>8109</v>
      </c>
      <c r="G2517" s="6">
        <v>72287</v>
      </c>
      <c r="H2517" s="6" t="s">
        <v>8110</v>
      </c>
      <c r="I2517" s="6">
        <v>176</v>
      </c>
      <c r="J2517" s="6" t="s">
        <v>23</v>
      </c>
      <c r="K2517" s="6" t="s">
        <v>24</v>
      </c>
      <c r="L2517" s="6">
        <v>60000000</v>
      </c>
      <c r="M2517" s="6">
        <v>2012</v>
      </c>
      <c r="N2517" s="6">
        <v>7</v>
      </c>
      <c r="O2517" s="4">
        <f ca="1">IFERROR(__xludf.DUMMYFUNCTION("IF(Cost_in_dollars!E2517=""USD"",Cost_in_dollars!B2517,Cost_in_dollars!B2517 * GOOGLEFINANCE(""CURRENCY:"" &amp; Cost_in_dollars!E2517 &amp; ""USD""))
"),60000000)</f>
        <v>60000000</v>
      </c>
      <c r="P2517" s="4">
        <f ca="1">IFERROR(__xludf.DUMMYFUNCTION("IF(Cost_in_dollars!E2517=""USD"",Cost_in_dollars!C2517,Cost_in_dollars!C2517 * GOOGLEFINANCE(""CURRENCY:"" &amp; Cost_in_dollars!E2517 &amp; ""USD""))
"),55994557)</f>
        <v>55994557</v>
      </c>
      <c r="Q2517" s="6">
        <f t="shared" ca="1" si="54"/>
        <v>-4005443</v>
      </c>
      <c r="R2517" s="7" t="str">
        <f t="shared" si="55"/>
        <v>ParaNorman</v>
      </c>
      <c r="S2517" s="43" t="str">
        <f t="shared" si="59"/>
        <v>Adventure</v>
      </c>
    </row>
    <row r="2518" spans="1:19" ht="15.75" customHeight="1" x14ac:dyDescent="0.25">
      <c r="A2518" s="4" t="s">
        <v>3194</v>
      </c>
      <c r="B2518" s="4">
        <v>173</v>
      </c>
      <c r="C2518" s="4">
        <v>19389454</v>
      </c>
      <c r="D2518" s="4" t="s">
        <v>457</v>
      </c>
      <c r="E2518" s="4" t="s">
        <v>330</v>
      </c>
      <c r="F2518" s="4" t="s">
        <v>8111</v>
      </c>
      <c r="G2518" s="4">
        <v>54643</v>
      </c>
      <c r="H2518" s="4" t="s">
        <v>8112</v>
      </c>
      <c r="I2518" s="4">
        <v>335</v>
      </c>
      <c r="J2518" s="4" t="s">
        <v>23</v>
      </c>
      <c r="K2518" s="4" t="s">
        <v>24</v>
      </c>
      <c r="L2518" s="4">
        <v>55000000</v>
      </c>
      <c r="M2518" s="4">
        <v>2000</v>
      </c>
      <c r="N2518" s="4">
        <v>7.4</v>
      </c>
      <c r="O2518" s="4">
        <f ca="1">IFERROR(__xludf.DUMMYFUNCTION("IF(Cost_in_dollars!E2518=""USD"",Cost_in_dollars!B2518,Cost_in_dollars!B2518 * GOOGLEFINANCE(""CURRENCY:"" &amp; Cost_in_dollars!E2518 &amp; ""USD""))
"),55000000)</f>
        <v>55000000</v>
      </c>
      <c r="P2518" s="4">
        <f ca="1">IFERROR(__xludf.DUMMYFUNCTION("IF(Cost_in_dollars!E2518=""USD"",Cost_in_dollars!C2518,Cost_in_dollars!C2518 * GOOGLEFINANCE(""CURRENCY:"" &amp; Cost_in_dollars!E2518 &amp; ""USD""))
"),19389454)</f>
        <v>19389454</v>
      </c>
      <c r="Q2518" s="4">
        <f t="shared" ca="1" si="54"/>
        <v>-35610546</v>
      </c>
      <c r="R2518" s="5" t="str">
        <f t="shared" si="55"/>
        <v>Wonder Boys</v>
      </c>
      <c r="S2518" s="43" t="str">
        <f t="shared" si="59"/>
        <v>Comedy</v>
      </c>
    </row>
    <row r="2519" spans="1:19" ht="15.75" customHeight="1" x14ac:dyDescent="0.25">
      <c r="A2519" s="6" t="s">
        <v>37</v>
      </c>
      <c r="B2519" s="6">
        <v>131</v>
      </c>
      <c r="C2519" s="6">
        <v>101157447</v>
      </c>
      <c r="D2519" s="6" t="s">
        <v>3787</v>
      </c>
      <c r="E2519" s="6" t="s">
        <v>37</v>
      </c>
      <c r="F2519" s="6" t="s">
        <v>8113</v>
      </c>
      <c r="G2519" s="6">
        <v>277505</v>
      </c>
      <c r="H2519" s="6" t="s">
        <v>8114</v>
      </c>
      <c r="I2519" s="6">
        <v>495</v>
      </c>
      <c r="J2519" s="6" t="s">
        <v>23</v>
      </c>
      <c r="K2519" s="6" t="s">
        <v>24</v>
      </c>
      <c r="L2519" s="6">
        <v>14400000</v>
      </c>
      <c r="M2519" s="6">
        <v>1992</v>
      </c>
      <c r="N2519" s="6">
        <v>8.3000000000000007</v>
      </c>
      <c r="O2519" s="4">
        <f ca="1">IFERROR(__xludf.DUMMYFUNCTION("IF(Cost_in_dollars!E2519=""USD"",Cost_in_dollars!B2519,Cost_in_dollars!B2519 * GOOGLEFINANCE(""CURRENCY:"" &amp; Cost_in_dollars!E2519 &amp; ""USD""))
"),14400000)</f>
        <v>14400000</v>
      </c>
      <c r="P2519" s="4">
        <f ca="1">IFERROR(__xludf.DUMMYFUNCTION("IF(Cost_in_dollars!E2519=""USD"",Cost_in_dollars!C2519,Cost_in_dollars!C2519 * GOOGLEFINANCE(""CURRENCY:"" &amp; Cost_in_dollars!E2519 &amp; ""USD""))
"),101157447)</f>
        <v>101157447</v>
      </c>
      <c r="Q2519" s="6">
        <f t="shared" ca="1" si="54"/>
        <v>86757447</v>
      </c>
      <c r="R2519" s="7" t="str">
        <f t="shared" si="55"/>
        <v>Unforgiven</v>
      </c>
      <c r="S2519" s="43" t="str">
        <f t="shared" si="59"/>
        <v>Drama</v>
      </c>
    </row>
    <row r="2520" spans="1:19" ht="15.75" customHeight="1" x14ac:dyDescent="0.25">
      <c r="A2520" s="4" t="s">
        <v>8115</v>
      </c>
      <c r="B2520" s="4">
        <v>32</v>
      </c>
      <c r="C2520" s="4">
        <v>109306210</v>
      </c>
      <c r="D2520" s="4" t="s">
        <v>1893</v>
      </c>
      <c r="E2520" s="4" t="s">
        <v>5714</v>
      </c>
      <c r="F2520" s="4" t="s">
        <v>8116</v>
      </c>
      <c r="G2520" s="4">
        <v>44096</v>
      </c>
      <c r="H2520" s="4" t="s">
        <v>8117</v>
      </c>
      <c r="I2520" s="4">
        <v>62</v>
      </c>
      <c r="J2520" s="4" t="s">
        <v>23</v>
      </c>
      <c r="K2520" s="4" t="s">
        <v>149</v>
      </c>
      <c r="L2520" s="4">
        <v>15800000</v>
      </c>
      <c r="M2520" s="4">
        <v>1988</v>
      </c>
      <c r="N2520" s="4">
        <v>5.5</v>
      </c>
      <c r="O2520" s="4">
        <f ca="1">IFERROR(__xludf.DUMMYFUNCTION("IF(Cost_in_dollars!E2520=""USD"",Cost_in_dollars!B2520,Cost_in_dollars!B2520 * GOOGLEFINANCE(""CURRENCY:"" &amp; Cost_in_dollars!E2520 &amp; ""USD""))
"),10331304)</f>
        <v>10331304</v>
      </c>
      <c r="P2520" s="4">
        <f ca="1">IFERROR(__xludf.DUMMYFUNCTION("IF(Cost_in_dollars!E2520=""USD"",Cost_in_dollars!C2520,Cost_in_dollars!C2520 * GOOGLEFINANCE(""CURRENCY:"" &amp; Cost_in_dollars!E2520 &amp; ""USD""))
"),71473144.5948)</f>
        <v>71473144.594799995</v>
      </c>
      <c r="Q2520" s="4">
        <f t="shared" ca="1" si="54"/>
        <v>61141840.594799995</v>
      </c>
      <c r="R2520" s="5" t="str">
        <f t="shared" si="55"/>
        <v>Crocodile Dundee II</v>
      </c>
      <c r="S2520" s="43" t="str">
        <f t="shared" si="59"/>
        <v>Action</v>
      </c>
    </row>
    <row r="2521" spans="1:19" ht="15.75" customHeight="1" x14ac:dyDescent="0.25">
      <c r="A2521" s="6" t="s">
        <v>1502</v>
      </c>
      <c r="B2521" s="6">
        <v>258</v>
      </c>
      <c r="C2521" s="6">
        <v>31146570</v>
      </c>
      <c r="D2521" s="6" t="s">
        <v>372</v>
      </c>
      <c r="E2521" s="6" t="s">
        <v>1503</v>
      </c>
      <c r="F2521" s="6" t="s">
        <v>8118</v>
      </c>
      <c r="G2521" s="6">
        <v>55441</v>
      </c>
      <c r="H2521" s="6" t="s">
        <v>8119</v>
      </c>
      <c r="I2521" s="6">
        <v>165</v>
      </c>
      <c r="J2521" s="6" t="s">
        <v>23</v>
      </c>
      <c r="K2521" s="6" t="s">
        <v>24</v>
      </c>
      <c r="L2521" s="6">
        <v>20000000</v>
      </c>
      <c r="M2521" s="6">
        <v>2010</v>
      </c>
      <c r="N2521" s="6">
        <v>6.9</v>
      </c>
      <c r="O2521" s="4">
        <f ca="1">IFERROR(__xludf.DUMMYFUNCTION("IF(Cost_in_dollars!E2521=""USD"",Cost_in_dollars!B2521,Cost_in_dollars!B2521 * GOOGLEFINANCE(""CURRENCY:"" &amp; Cost_in_dollars!E2521 &amp; ""USD""))
"),20000000)</f>
        <v>20000000</v>
      </c>
      <c r="P2521" s="4">
        <f ca="1">IFERROR(__xludf.DUMMYFUNCTION("IF(Cost_in_dollars!E2521=""USD"",Cost_in_dollars!C2521,Cost_in_dollars!C2521 * GOOGLEFINANCE(""CURRENCY:"" &amp; Cost_in_dollars!E2521 &amp; ""USD""))
"),31146570)</f>
        <v>31146570</v>
      </c>
      <c r="Q2521" s="6">
        <f t="shared" ca="1" si="54"/>
        <v>11146570</v>
      </c>
      <c r="R2521" s="7" t="str">
        <f t="shared" si="55"/>
        <v>The Debt</v>
      </c>
      <c r="S2521" s="43" t="str">
        <f t="shared" si="59"/>
        <v>Drama</v>
      </c>
    </row>
    <row r="2522" spans="1:19" ht="15.75" customHeight="1" x14ac:dyDescent="0.25">
      <c r="A2522" s="4" t="s">
        <v>8120</v>
      </c>
      <c r="B2522" s="4">
        <v>61</v>
      </c>
      <c r="C2522" s="4">
        <v>2326407</v>
      </c>
      <c r="D2522" s="4" t="s">
        <v>102</v>
      </c>
      <c r="E2522" s="4" t="s">
        <v>600</v>
      </c>
      <c r="F2522" s="4" t="s">
        <v>8121</v>
      </c>
      <c r="G2522" s="4">
        <v>5016</v>
      </c>
      <c r="H2522" s="4" t="s">
        <v>8122</v>
      </c>
      <c r="I2522" s="4">
        <v>99</v>
      </c>
      <c r="J2522" s="4" t="s">
        <v>23</v>
      </c>
      <c r="K2522" s="4" t="s">
        <v>133</v>
      </c>
      <c r="L2522" s="4">
        <v>12000000</v>
      </c>
      <c r="M2522" s="4">
        <v>2001</v>
      </c>
      <c r="N2522" s="4">
        <v>7</v>
      </c>
      <c r="O2522" s="4">
        <f ca="1">IFERROR(__xludf.DUMMYFUNCTION("IF(Cost_in_dollars!E2522=""USD"",Cost_in_dollars!B2522,Cost_in_dollars!B2522 * GOOGLEFINANCE(""CURRENCY:"" &amp; Cost_in_dollars!E2522 &amp; ""USD""))
"),15424799.9999999)</f>
        <v>15424799.999999899</v>
      </c>
      <c r="P2522" s="4">
        <f ca="1">IFERROR(__xludf.DUMMYFUNCTION("IF(Cost_in_dollars!E2522=""USD"",Cost_in_dollars!C2522,Cost_in_dollars!C2522 * GOOGLEFINANCE(""CURRENCY:"" &amp; Cost_in_dollars!E2522 &amp; ""USD""))
"),2990363.55779999)</f>
        <v>2990363.5577999898</v>
      </c>
      <c r="Q2522" s="4">
        <f t="shared" ca="1" si="54"/>
        <v>-12434436.44219991</v>
      </c>
      <c r="R2522" s="5" t="str">
        <f t="shared" si="55"/>
        <v>Last Orders</v>
      </c>
      <c r="S2522" s="43" t="str">
        <f t="shared" si="59"/>
        <v>Drama</v>
      </c>
    </row>
    <row r="2523" spans="1:19" ht="15.75" customHeight="1" x14ac:dyDescent="0.25">
      <c r="A2523" s="6" t="s">
        <v>1822</v>
      </c>
      <c r="B2523" s="6">
        <v>169</v>
      </c>
      <c r="C2523" s="6">
        <v>26814957</v>
      </c>
      <c r="D2523" s="6" t="s">
        <v>68</v>
      </c>
      <c r="E2523" s="6" t="s">
        <v>1091</v>
      </c>
      <c r="F2523" s="6" t="s">
        <v>8123</v>
      </c>
      <c r="G2523" s="6">
        <v>84357</v>
      </c>
      <c r="H2523" s="6" t="s">
        <v>8124</v>
      </c>
      <c r="I2523" s="6">
        <v>252</v>
      </c>
      <c r="J2523" s="6" t="s">
        <v>23</v>
      </c>
      <c r="K2523" s="6" t="s">
        <v>133</v>
      </c>
      <c r="L2523" s="6">
        <v>35000000</v>
      </c>
      <c r="M2523" s="6">
        <v>2008</v>
      </c>
      <c r="N2523" s="6">
        <v>6.7</v>
      </c>
      <c r="O2523" s="4">
        <f ca="1">IFERROR(__xludf.DUMMYFUNCTION("IF(Cost_in_dollars!E2523=""USD"",Cost_in_dollars!B2523,Cost_in_dollars!B2523 * GOOGLEFINANCE(""CURRENCY:"" &amp; Cost_in_dollars!E2523 &amp; ""USD""))
"),44988999.9999999)</f>
        <v>44988999.999999903</v>
      </c>
      <c r="P2523" s="4">
        <f ca="1">IFERROR(__xludf.DUMMYFUNCTION("IF(Cost_in_dollars!E2523=""USD"",Cost_in_dollars!C2523,Cost_in_dollars!C2523 * GOOGLEFINANCE(""CURRENCY:"" &amp; Cost_in_dollars!E2523 &amp; ""USD""))
"),34467945.7278)</f>
        <v>34467945.727799997</v>
      </c>
      <c r="Q2523" s="6">
        <f t="shared" ca="1" si="54"/>
        <v>-10521054.272199906</v>
      </c>
      <c r="R2523" s="7" t="str">
        <f t="shared" si="55"/>
        <v>The Other Boleyn Girl</v>
      </c>
      <c r="S2523" s="43" t="str">
        <f t="shared" si="59"/>
        <v>Biography</v>
      </c>
    </row>
    <row r="2524" spans="1:19" ht="15.75" customHeight="1" x14ac:dyDescent="0.25">
      <c r="A2524" s="4" t="s">
        <v>5658</v>
      </c>
      <c r="B2524" s="4">
        <v>76</v>
      </c>
      <c r="C2524" s="4">
        <v>71038190</v>
      </c>
      <c r="D2524" s="4" t="s">
        <v>268</v>
      </c>
      <c r="E2524" s="4" t="s">
        <v>8125</v>
      </c>
      <c r="F2524" s="4" t="s">
        <v>8126</v>
      </c>
      <c r="G2524" s="4">
        <v>23473</v>
      </c>
      <c r="H2524" s="4" t="s">
        <v>8127</v>
      </c>
      <c r="I2524" s="4">
        <v>123</v>
      </c>
      <c r="J2524" s="4" t="s">
        <v>23</v>
      </c>
      <c r="K2524" s="4" t="s">
        <v>24</v>
      </c>
      <c r="L2524" s="4">
        <v>30000000</v>
      </c>
      <c r="M2524" s="4">
        <v>2015</v>
      </c>
      <c r="N2524" s="4">
        <v>4.4000000000000004</v>
      </c>
      <c r="O2524" s="4">
        <f ca="1">IFERROR(__xludf.DUMMYFUNCTION("IF(Cost_in_dollars!E2524=""USD"",Cost_in_dollars!B2524,Cost_in_dollars!B2524 * GOOGLEFINANCE(""CURRENCY:"" &amp; Cost_in_dollars!E2524 &amp; ""USD""))
"),30000000)</f>
        <v>30000000</v>
      </c>
      <c r="P2524" s="4">
        <f ca="1">IFERROR(__xludf.DUMMYFUNCTION("IF(Cost_in_dollars!E2524=""USD"",Cost_in_dollars!C2524,Cost_in_dollars!C2524 * GOOGLEFINANCE(""CURRENCY:"" &amp; Cost_in_dollars!E2524 &amp; ""USD""))
"),71038190)</f>
        <v>71038190</v>
      </c>
      <c r="Q2524" s="4">
        <f t="shared" ca="1" si="54"/>
        <v>41038190</v>
      </c>
      <c r="R2524" s="5" t="str">
        <f t="shared" si="55"/>
        <v>Paul Blart: Mall Cop 2</v>
      </c>
      <c r="S2524" s="43" t="str">
        <f t="shared" si="59"/>
        <v>Action</v>
      </c>
    </row>
    <row r="2525" spans="1:19" ht="15.75" customHeight="1" x14ac:dyDescent="0.25">
      <c r="A2525" s="6" t="s">
        <v>2072</v>
      </c>
      <c r="B2525" s="6">
        <v>55</v>
      </c>
      <c r="C2525" s="6">
        <v>22770864</v>
      </c>
      <c r="D2525" s="6" t="s">
        <v>457</v>
      </c>
      <c r="E2525" s="6" t="s">
        <v>6362</v>
      </c>
      <c r="F2525" s="6" t="s">
        <v>8128</v>
      </c>
      <c r="G2525" s="6">
        <v>8433</v>
      </c>
      <c r="H2525" s="6" t="s">
        <v>8129</v>
      </c>
      <c r="I2525" s="6">
        <v>85</v>
      </c>
      <c r="J2525" s="6" t="s">
        <v>23</v>
      </c>
      <c r="K2525" s="6" t="s">
        <v>24</v>
      </c>
      <c r="L2525" s="6">
        <v>38000000</v>
      </c>
      <c r="M2525" s="6">
        <v>2001</v>
      </c>
      <c r="N2525" s="6">
        <v>5.5</v>
      </c>
      <c r="O2525" s="4">
        <f ca="1">IFERROR(__xludf.DUMMYFUNCTION("IF(Cost_in_dollars!E2525=""USD"",Cost_in_dollars!B2525,Cost_in_dollars!B2525 * GOOGLEFINANCE(""CURRENCY:"" &amp; Cost_in_dollars!E2525 &amp; ""USD""))
"),38000000)</f>
        <v>38000000</v>
      </c>
      <c r="P2525" s="4">
        <f ca="1">IFERROR(__xludf.DUMMYFUNCTION("IF(Cost_in_dollars!E2525=""USD"",Cost_in_dollars!C2525,Cost_in_dollars!C2525 * GOOGLEFINANCE(""CURRENCY:"" &amp; Cost_in_dollars!E2525 &amp; ""USD""))
"),22770864)</f>
        <v>22770864</v>
      </c>
      <c r="Q2525" s="6">
        <f t="shared" ca="1" si="54"/>
        <v>-15229136</v>
      </c>
      <c r="R2525" s="7" t="str">
        <f t="shared" si="55"/>
        <v>Joe Somebody</v>
      </c>
      <c r="S2525" s="43" t="str">
        <f t="shared" si="59"/>
        <v>Comedy</v>
      </c>
    </row>
    <row r="2526" spans="1:19" ht="15.75" customHeight="1" x14ac:dyDescent="0.25">
      <c r="A2526" s="4" t="s">
        <v>1882</v>
      </c>
      <c r="B2526" s="4">
        <v>210</v>
      </c>
      <c r="C2526" s="4">
        <v>92930005</v>
      </c>
      <c r="D2526" s="4" t="s">
        <v>116</v>
      </c>
      <c r="E2526" s="4" t="s">
        <v>1347</v>
      </c>
      <c r="F2526" s="4" t="s">
        <v>8130</v>
      </c>
      <c r="G2526" s="4">
        <v>204063</v>
      </c>
      <c r="H2526" s="4" t="s">
        <v>8131</v>
      </c>
      <c r="I2526" s="4">
        <v>764</v>
      </c>
      <c r="J2526" s="4" t="s">
        <v>23</v>
      </c>
      <c r="K2526" s="4" t="s">
        <v>176</v>
      </c>
      <c r="L2526" s="4">
        <v>78000000</v>
      </c>
      <c r="M2526" s="4">
        <v>2002</v>
      </c>
      <c r="N2526" s="4">
        <v>7.2</v>
      </c>
      <c r="O2526" s="4">
        <f ca="1">IFERROR(__xludf.DUMMYFUNCTION("IF(Cost_in_dollars!E2526=""USD"",Cost_in_dollars!B2526,Cost_in_dollars!B2526 * GOOGLEFINANCE(""CURRENCY:"" &amp; Cost_in_dollars!E2526 &amp; ""USD""))
"),84609720)</f>
        <v>84609720</v>
      </c>
      <c r="P2526" s="4">
        <f ca="1">IFERROR(__xludf.DUMMYFUNCTION("IF(Cost_in_dollars!E2526=""USD"",Cost_in_dollars!C2526,Cost_in_dollars!C2526 * GOOGLEFINANCE(""CURRENCY:"" &amp; Cost_in_dollars!E2526 &amp; ""USD""))
"),100804893.6237)</f>
        <v>100804893.62369999</v>
      </c>
      <c r="Q2526" s="4">
        <f t="shared" ca="1" si="54"/>
        <v>16195173.623699993</v>
      </c>
      <c r="R2526" s="5" t="str">
        <f t="shared" si="55"/>
        <v>Red Dragon</v>
      </c>
      <c r="S2526" s="43" t="str">
        <f t="shared" si="59"/>
        <v>Crime</v>
      </c>
    </row>
    <row r="2527" spans="1:19" ht="15.75" customHeight="1" x14ac:dyDescent="0.25">
      <c r="A2527" s="6" t="s">
        <v>3784</v>
      </c>
      <c r="B2527" s="6">
        <v>69</v>
      </c>
      <c r="C2527" s="6">
        <v>40118420</v>
      </c>
      <c r="D2527" s="6" t="s">
        <v>6115</v>
      </c>
      <c r="E2527" s="6" t="s">
        <v>4329</v>
      </c>
      <c r="F2527" s="6" t="s">
        <v>8132</v>
      </c>
      <c r="G2527" s="6">
        <v>26066</v>
      </c>
      <c r="H2527" s="6" t="s">
        <v>8133</v>
      </c>
      <c r="I2527" s="6">
        <v>216</v>
      </c>
      <c r="J2527" s="6" t="s">
        <v>23</v>
      </c>
      <c r="K2527" s="6" t="s">
        <v>24</v>
      </c>
      <c r="L2527" s="6">
        <v>30000000</v>
      </c>
      <c r="M2527" s="6">
        <v>2002</v>
      </c>
      <c r="N2527" s="6">
        <v>5.6</v>
      </c>
      <c r="O2527" s="4">
        <f ca="1">IFERROR(__xludf.DUMMYFUNCTION("IF(Cost_in_dollars!E2527=""USD"",Cost_in_dollars!B2527,Cost_in_dollars!B2527 * GOOGLEFINANCE(""CURRENCY:"" &amp; Cost_in_dollars!E2527 &amp; ""USD""))
"),30000000)</f>
        <v>30000000</v>
      </c>
      <c r="P2527" s="4">
        <f ca="1">IFERROR(__xludf.DUMMYFUNCTION("IF(Cost_in_dollars!E2527=""USD"",Cost_in_dollars!C2527,Cost_in_dollars!C2527 * GOOGLEFINANCE(""CURRENCY:"" &amp; Cost_in_dollars!E2527 &amp; ""USD""))
"),40118420)</f>
        <v>40118420</v>
      </c>
      <c r="Q2527" s="6">
        <f t="shared" ca="1" si="54"/>
        <v>10118420</v>
      </c>
      <c r="R2527" s="7" t="str">
        <f t="shared" si="55"/>
        <v>Blue Crush</v>
      </c>
      <c r="S2527" s="43" t="str">
        <f t="shared" si="59"/>
        <v>Drama</v>
      </c>
    </row>
    <row r="2528" spans="1:19" ht="15.75" customHeight="1" x14ac:dyDescent="0.25">
      <c r="A2528" s="4" t="s">
        <v>2614</v>
      </c>
      <c r="B2528" s="4">
        <v>231</v>
      </c>
      <c r="C2528" s="4">
        <v>9203192</v>
      </c>
      <c r="D2528" s="4" t="s">
        <v>172</v>
      </c>
      <c r="E2528" s="4" t="s">
        <v>79</v>
      </c>
      <c r="F2528" s="4" t="s">
        <v>8134</v>
      </c>
      <c r="G2528" s="4">
        <v>45396</v>
      </c>
      <c r="H2528" s="4" t="s">
        <v>8135</v>
      </c>
      <c r="I2528" s="4">
        <v>136</v>
      </c>
      <c r="J2528" s="4" t="s">
        <v>23</v>
      </c>
      <c r="K2528" s="4" t="s">
        <v>24</v>
      </c>
      <c r="L2528" s="4">
        <v>5000000</v>
      </c>
      <c r="M2528" s="4">
        <v>2011</v>
      </c>
      <c r="N2528" s="4">
        <v>6.8</v>
      </c>
      <c r="O2528" s="4">
        <f ca="1">IFERROR(__xludf.DUMMYFUNCTION("IF(Cost_in_dollars!E2528=""USD"",Cost_in_dollars!B2528,Cost_in_dollars!B2528 * GOOGLEFINANCE(""CURRENCY:"" &amp; Cost_in_dollars!E2528 &amp; ""USD""))
"),5000000)</f>
        <v>5000000</v>
      </c>
      <c r="P2528" s="4">
        <f ca="1">IFERROR(__xludf.DUMMYFUNCTION("IF(Cost_in_dollars!E2528=""USD"",Cost_in_dollars!C2528,Cost_in_dollars!C2528 * GOOGLEFINANCE(""CURRENCY:"" &amp; Cost_in_dollars!E2528 &amp; ""USD""))
"),9203192)</f>
        <v>9203192</v>
      </c>
      <c r="Q2528" s="4">
        <f t="shared" ca="1" si="54"/>
        <v>4203192</v>
      </c>
      <c r="R2528" s="5" t="str">
        <f t="shared" si="55"/>
        <v>Bernie</v>
      </c>
      <c r="S2528" s="43" t="str">
        <f t="shared" si="59"/>
        <v>Comedy</v>
      </c>
    </row>
    <row r="2529" spans="1:19" ht="15.75" customHeight="1" x14ac:dyDescent="0.25">
      <c r="A2529" s="6" t="s">
        <v>1075</v>
      </c>
      <c r="B2529" s="6">
        <v>24</v>
      </c>
      <c r="C2529" s="6">
        <v>19184015</v>
      </c>
      <c r="D2529" s="6" t="s">
        <v>8136</v>
      </c>
      <c r="E2529" s="6" t="s">
        <v>8137</v>
      </c>
      <c r="F2529" s="6" t="s">
        <v>8138</v>
      </c>
      <c r="G2529" s="6">
        <v>1466</v>
      </c>
      <c r="H2529" s="6" t="s">
        <v>8139</v>
      </c>
      <c r="I2529" s="6">
        <v>35</v>
      </c>
      <c r="J2529" s="6" t="s">
        <v>23</v>
      </c>
      <c r="K2529" s="6" t="s">
        <v>24</v>
      </c>
      <c r="L2529" s="6">
        <v>3000000</v>
      </c>
      <c r="M2529" s="6">
        <v>2002</v>
      </c>
      <c r="N2529" s="6">
        <v>5.4</v>
      </c>
      <c r="O2529" s="4">
        <f ca="1">IFERROR(__xludf.DUMMYFUNCTION("IF(Cost_in_dollars!E2529=""USD"",Cost_in_dollars!B2529,Cost_in_dollars!B2529 * GOOGLEFINANCE(""CURRENCY:"" &amp; Cost_in_dollars!E2529 &amp; ""USD""))
"),3000000)</f>
        <v>3000000</v>
      </c>
      <c r="P2529" s="4">
        <f ca="1">IFERROR(__xludf.DUMMYFUNCTION("IF(Cost_in_dollars!E2529=""USD"",Cost_in_dollars!C2529,Cost_in_dollars!C2529 * GOOGLEFINANCE(""CURRENCY:"" &amp; Cost_in_dollars!E2529 &amp; ""USD""))
"),19184015)</f>
        <v>19184015</v>
      </c>
      <c r="Q2529" s="6">
        <f t="shared" ca="1" si="54"/>
        <v>16184015</v>
      </c>
      <c r="R2529" s="7" t="str">
        <f t="shared" si="55"/>
        <v>Martin Lawrence Live: Runteldat</v>
      </c>
      <c r="S2529" s="43" t="str">
        <f t="shared" si="59"/>
        <v>Biography</v>
      </c>
    </row>
    <row r="2530" spans="1:19" ht="15.75" customHeight="1" x14ac:dyDescent="0.25">
      <c r="A2530" s="4" t="s">
        <v>72</v>
      </c>
      <c r="B2530" s="4">
        <v>568</v>
      </c>
      <c r="C2530" s="4">
        <v>228430993</v>
      </c>
      <c r="D2530" s="4" t="s">
        <v>7548</v>
      </c>
      <c r="E2530" s="4" t="s">
        <v>588</v>
      </c>
      <c r="F2530" s="4" t="s">
        <v>8140</v>
      </c>
      <c r="G2530" s="4">
        <v>472488</v>
      </c>
      <c r="H2530" s="4" t="s">
        <v>8141</v>
      </c>
      <c r="I2530" s="4">
        <v>1023</v>
      </c>
      <c r="J2530" s="4" t="s">
        <v>23</v>
      </c>
      <c r="K2530" s="4" t="s">
        <v>24</v>
      </c>
      <c r="L2530" s="4">
        <v>108000000</v>
      </c>
      <c r="M2530" s="4">
        <v>2015</v>
      </c>
      <c r="N2530" s="4">
        <v>8.1</v>
      </c>
      <c r="O2530" s="4">
        <f ca="1">IFERROR(__xludf.DUMMYFUNCTION("IF(Cost_in_dollars!E2530=""USD"",Cost_in_dollars!B2530,Cost_in_dollars!B2530 * GOOGLEFINANCE(""CURRENCY:"" &amp; Cost_in_dollars!E2530 &amp; ""USD""))
"),108000000)</f>
        <v>108000000</v>
      </c>
      <c r="P2530" s="4">
        <f ca="1">IFERROR(__xludf.DUMMYFUNCTION("IF(Cost_in_dollars!E2530=""USD"",Cost_in_dollars!C2530,Cost_in_dollars!C2530 * GOOGLEFINANCE(""CURRENCY:"" &amp; Cost_in_dollars!E2530 &amp; ""USD""))
"),228430993)</f>
        <v>228430993</v>
      </c>
      <c r="Q2530" s="4">
        <f t="shared" ca="1" si="54"/>
        <v>120430993</v>
      </c>
      <c r="R2530" s="5" t="str">
        <f t="shared" si="55"/>
        <v>The Martian</v>
      </c>
      <c r="S2530" s="43" t="str">
        <f t="shared" si="59"/>
        <v>Adventure</v>
      </c>
    </row>
    <row r="2531" spans="1:19" ht="15.75" customHeight="1" x14ac:dyDescent="0.25">
      <c r="A2531" s="6" t="s">
        <v>8142</v>
      </c>
      <c r="B2531" s="6">
        <v>46</v>
      </c>
      <c r="C2531" s="6">
        <v>4356743</v>
      </c>
      <c r="D2531" s="6" t="s">
        <v>292</v>
      </c>
      <c r="E2531" s="6" t="s">
        <v>8042</v>
      </c>
      <c r="F2531" s="6" t="s">
        <v>8143</v>
      </c>
      <c r="G2531" s="6">
        <v>3662</v>
      </c>
      <c r="H2531" s="6" t="s">
        <v>8144</v>
      </c>
      <c r="I2531" s="6">
        <v>79</v>
      </c>
      <c r="J2531" s="6" t="s">
        <v>23</v>
      </c>
      <c r="K2531" s="6" t="s">
        <v>24</v>
      </c>
      <c r="L2531" s="6">
        <v>16000000</v>
      </c>
      <c r="M2531" s="6">
        <v>2001</v>
      </c>
      <c r="N2531" s="6">
        <v>4.0999999999999996</v>
      </c>
      <c r="O2531" s="4">
        <f ca="1">IFERROR(__xludf.DUMMYFUNCTION("IF(Cost_in_dollars!E2531=""USD"",Cost_in_dollars!B2531,Cost_in_dollars!B2531 * GOOGLEFINANCE(""CURRENCY:"" &amp; Cost_in_dollars!E2531 &amp; ""USD""))
"),16000000)</f>
        <v>16000000</v>
      </c>
      <c r="P2531" s="4">
        <f ca="1">IFERROR(__xludf.DUMMYFUNCTION("IF(Cost_in_dollars!E2531=""USD"",Cost_in_dollars!C2531,Cost_in_dollars!C2531 * GOOGLEFINANCE(""CURRENCY:"" &amp; Cost_in_dollars!E2531 &amp; ""USD""))
"),4356743)</f>
        <v>4356743</v>
      </c>
      <c r="Q2531" s="6">
        <f t="shared" ca="1" si="54"/>
        <v>-11643257</v>
      </c>
      <c r="R2531" s="7" t="str">
        <f t="shared" si="55"/>
        <v>On the Line</v>
      </c>
      <c r="S2531" s="43" t="str">
        <f t="shared" si="59"/>
        <v>Comedy</v>
      </c>
    </row>
    <row r="2532" spans="1:19" ht="15.75" customHeight="1" x14ac:dyDescent="0.25">
      <c r="A2532" s="4" t="s">
        <v>8145</v>
      </c>
      <c r="B2532" s="4">
        <v>58</v>
      </c>
      <c r="C2532" s="4">
        <v>39659</v>
      </c>
      <c r="D2532" s="4" t="s">
        <v>8146</v>
      </c>
      <c r="E2532" s="4" t="s">
        <v>8147</v>
      </c>
      <c r="F2532" s="4" t="s">
        <v>8148</v>
      </c>
      <c r="G2532" s="4">
        <v>1555</v>
      </c>
      <c r="H2532" s="4" t="s">
        <v>8149</v>
      </c>
      <c r="I2532" s="4">
        <v>32</v>
      </c>
      <c r="J2532" s="4" t="s">
        <v>23</v>
      </c>
      <c r="K2532" s="4" t="s">
        <v>627</v>
      </c>
      <c r="L2532" s="4">
        <v>1600000</v>
      </c>
      <c r="M2532" s="4">
        <v>2002</v>
      </c>
      <c r="N2532" s="4">
        <v>7</v>
      </c>
      <c r="O2532" s="4">
        <f ca="1">IFERROR(__xludf.DUMMYFUNCTION("IF(Cost_in_dollars!E2532=""USD"",Cost_in_dollars!B2532,Cost_in_dollars!B2532 * GOOGLEFINANCE(""CURRENCY:"" &amp; Cost_in_dollars!E2532 &amp; ""USD""))
"),1157448)</f>
        <v>1157448</v>
      </c>
      <c r="P2532" s="4">
        <f ca="1">IFERROR(__xludf.DUMMYFUNCTION("IF(Cost_in_dollars!E2532=""USD"",Cost_in_dollars!C2532,Cost_in_dollars!C2532 * GOOGLEFINANCE(""CURRENCY:"" &amp; Cost_in_dollars!E2532 &amp; ""USD""))
"),28689.5188949999)</f>
        <v>28689.518894999899</v>
      </c>
      <c r="Q2532" s="4">
        <f t="shared" ca="1" si="54"/>
        <v>-1128758.481105</v>
      </c>
      <c r="R2532" s="5" t="str">
        <f t="shared" si="55"/>
        <v>Dracula: Pages from a Virgin's Diary</v>
      </c>
      <c r="S2532" s="43" t="str">
        <f t="shared" si="59"/>
        <v>Comedy</v>
      </c>
    </row>
    <row r="2533" spans="1:19" ht="15.75" customHeight="1" x14ac:dyDescent="0.25">
      <c r="A2533" s="6" t="s">
        <v>8150</v>
      </c>
      <c r="B2533" s="6">
        <v>161</v>
      </c>
      <c r="C2533" s="6">
        <v>13103828</v>
      </c>
      <c r="D2533" s="6" t="s">
        <v>116</v>
      </c>
      <c r="E2533" s="6" t="s">
        <v>79</v>
      </c>
      <c r="F2533" s="6" t="s">
        <v>8151</v>
      </c>
      <c r="G2533" s="6">
        <v>59982</v>
      </c>
      <c r="H2533" s="6" t="s">
        <v>8152</v>
      </c>
      <c r="I2533" s="6">
        <v>463</v>
      </c>
      <c r="J2533" s="6" t="s">
        <v>23</v>
      </c>
      <c r="K2533" s="6" t="s">
        <v>24</v>
      </c>
      <c r="L2533" s="6">
        <v>11000000</v>
      </c>
      <c r="M2533" s="6">
        <v>2001</v>
      </c>
      <c r="N2533" s="6">
        <v>7.3</v>
      </c>
      <c r="O2533" s="4">
        <f ca="1">IFERROR(__xludf.DUMMYFUNCTION("IF(Cost_in_dollars!E2533=""USD"",Cost_in_dollars!B2533,Cost_in_dollars!B2533 * GOOGLEFINANCE(""CURRENCY:"" &amp; Cost_in_dollars!E2533 &amp; ""USD""))
"),11000000)</f>
        <v>11000000</v>
      </c>
      <c r="P2533" s="4">
        <f ca="1">IFERROR(__xludf.DUMMYFUNCTION("IF(Cost_in_dollars!E2533=""USD"",Cost_in_dollars!C2533,Cost_in_dollars!C2533 * GOOGLEFINANCE(""CURRENCY:"" &amp; Cost_in_dollars!E2533 &amp; ""USD""))
"),13103828)</f>
        <v>13103828</v>
      </c>
      <c r="Q2533" s="6">
        <f t="shared" ca="1" si="54"/>
        <v>2103828</v>
      </c>
      <c r="R2533" s="7" t="str">
        <f t="shared" si="55"/>
        <v>Frailty</v>
      </c>
      <c r="S2533" s="43" t="str">
        <f t="shared" si="59"/>
        <v>Crime</v>
      </c>
    </row>
    <row r="2534" spans="1:19" ht="15.75" customHeight="1" x14ac:dyDescent="0.25">
      <c r="A2534" s="4" t="s">
        <v>931</v>
      </c>
      <c r="B2534" s="4">
        <v>448</v>
      </c>
      <c r="C2534" s="4">
        <v>241063875</v>
      </c>
      <c r="D2534" s="4" t="s">
        <v>281</v>
      </c>
      <c r="E2534" s="4" t="s">
        <v>84</v>
      </c>
      <c r="F2534" s="4" t="s">
        <v>8153</v>
      </c>
      <c r="G2534" s="4">
        <v>370704</v>
      </c>
      <c r="H2534" s="4" t="s">
        <v>8154</v>
      </c>
      <c r="I2534" s="4">
        <v>484</v>
      </c>
      <c r="J2534" s="4" t="s">
        <v>23</v>
      </c>
      <c r="K2534" s="4" t="s">
        <v>24</v>
      </c>
      <c r="L2534" s="4">
        <v>250000000</v>
      </c>
      <c r="M2534" s="4">
        <v>2011</v>
      </c>
      <c r="N2534" s="4">
        <v>6.7</v>
      </c>
      <c r="O2534" s="4">
        <f ca="1">IFERROR(__xludf.DUMMYFUNCTION("IF(Cost_in_dollars!E2534=""USD"",Cost_in_dollars!B2534,Cost_in_dollars!B2534 * GOOGLEFINANCE(""CURRENCY:"" &amp; Cost_in_dollars!E2534 &amp; ""USD""))
"),250000000)</f>
        <v>250000000</v>
      </c>
      <c r="P2534" s="4">
        <f ca="1">IFERROR(__xludf.DUMMYFUNCTION("IF(Cost_in_dollars!E2534=""USD"",Cost_in_dollars!C2534,Cost_in_dollars!C2534 * GOOGLEFINANCE(""CURRENCY:"" &amp; Cost_in_dollars!E2534 &amp; ""USD""))
"),241063875)</f>
        <v>241063875</v>
      </c>
      <c r="Q2534" s="4">
        <f t="shared" ca="1" si="54"/>
        <v>-8936125</v>
      </c>
      <c r="R2534" s="5" t="str">
        <f t="shared" si="55"/>
        <v>Pirates of the Caribbean: On Stranger Tides</v>
      </c>
      <c r="S2534" s="43" t="str">
        <f t="shared" si="59"/>
        <v>Action</v>
      </c>
    </row>
    <row r="2535" spans="1:19" ht="15.75" customHeight="1" x14ac:dyDescent="0.25">
      <c r="A2535" s="6" t="s">
        <v>5108</v>
      </c>
      <c r="B2535" s="6">
        <v>318</v>
      </c>
      <c r="C2535" s="6">
        <v>83574831</v>
      </c>
      <c r="D2535" s="6" t="s">
        <v>958</v>
      </c>
      <c r="E2535" s="6" t="s">
        <v>1728</v>
      </c>
      <c r="F2535" s="6" t="s">
        <v>8155</v>
      </c>
      <c r="G2535" s="6">
        <v>109214</v>
      </c>
      <c r="H2535" s="6" t="s">
        <v>8156</v>
      </c>
      <c r="I2535" s="6">
        <v>269</v>
      </c>
      <c r="J2535" s="6" t="s">
        <v>23</v>
      </c>
      <c r="K2535" s="6" t="s">
        <v>24</v>
      </c>
      <c r="L2535" s="6">
        <v>5000000</v>
      </c>
      <c r="M2535" s="6">
        <v>2013</v>
      </c>
      <c r="N2535" s="6">
        <v>6.6</v>
      </c>
      <c r="O2535" s="4">
        <f ca="1">IFERROR(__xludf.DUMMYFUNCTION("IF(Cost_in_dollars!E2535=""USD"",Cost_in_dollars!B2535,Cost_in_dollars!B2535 * GOOGLEFINANCE(""CURRENCY:"" &amp; Cost_in_dollars!E2535 &amp; ""USD""))
"),5000000)</f>
        <v>5000000</v>
      </c>
      <c r="P2535" s="4">
        <f ca="1">IFERROR(__xludf.DUMMYFUNCTION("IF(Cost_in_dollars!E2535=""USD"",Cost_in_dollars!C2535,Cost_in_dollars!C2535 * GOOGLEFINANCE(""CURRENCY:"" &amp; Cost_in_dollars!E2535 &amp; ""USD""))
"),83574831)</f>
        <v>83574831</v>
      </c>
      <c r="Q2535" s="6">
        <f t="shared" ca="1" si="54"/>
        <v>78574831</v>
      </c>
      <c r="R2535" s="7" t="str">
        <f t="shared" si="55"/>
        <v>Insidious: Chapter 2</v>
      </c>
      <c r="S2535" s="43" t="str">
        <f t="shared" si="59"/>
        <v>Fantasy</v>
      </c>
    </row>
    <row r="2536" spans="1:19" ht="15.75" customHeight="1" x14ac:dyDescent="0.25">
      <c r="A2536" s="4" t="s">
        <v>1755</v>
      </c>
      <c r="B2536" s="4">
        <v>69</v>
      </c>
      <c r="C2536" s="4">
        <v>9714482</v>
      </c>
      <c r="D2536" s="4" t="s">
        <v>1949</v>
      </c>
      <c r="E2536" s="4" t="s">
        <v>8157</v>
      </c>
      <c r="F2536" s="4" t="s">
        <v>8158</v>
      </c>
      <c r="G2536" s="4">
        <v>30083</v>
      </c>
      <c r="H2536" s="4" t="s">
        <v>8159</v>
      </c>
      <c r="I2536" s="4">
        <v>140</v>
      </c>
      <c r="J2536" s="4" t="s">
        <v>23</v>
      </c>
      <c r="K2536" s="4" t="s">
        <v>24</v>
      </c>
      <c r="L2536" s="4">
        <v>20000000</v>
      </c>
      <c r="M2536" s="4">
        <v>1996</v>
      </c>
      <c r="N2536" s="4">
        <v>6.8</v>
      </c>
      <c r="O2536" s="4">
        <f ca="1">IFERROR(__xludf.DUMMYFUNCTION("IF(Cost_in_dollars!E2536=""USD"",Cost_in_dollars!B2536,Cost_in_dollars!B2536 * GOOGLEFINANCE(""CURRENCY:"" &amp; Cost_in_dollars!E2536 &amp; ""USD""))
"),20000000)</f>
        <v>20000000</v>
      </c>
      <c r="P2536" s="4">
        <f ca="1">IFERROR(__xludf.DUMMYFUNCTION("IF(Cost_in_dollars!E2536=""USD"",Cost_in_dollars!C2536,Cost_in_dollars!C2536 * GOOGLEFINANCE(""CURRENCY:"" &amp; Cost_in_dollars!E2536 &amp; ""USD""))
"),9714482)</f>
        <v>9714482</v>
      </c>
      <c r="Q2536" s="4">
        <f t="shared" ca="1" si="54"/>
        <v>-10285518</v>
      </c>
      <c r="R2536" s="5" t="str">
        <f t="shared" si="55"/>
        <v>Everyone Says I Love You</v>
      </c>
      <c r="S2536" s="43" t="str">
        <f t="shared" si="59"/>
        <v>Comedy</v>
      </c>
    </row>
    <row r="2537" spans="1:19" ht="15.75" customHeight="1" x14ac:dyDescent="0.25">
      <c r="A2537" s="6" t="s">
        <v>8160</v>
      </c>
      <c r="B2537" s="6">
        <v>71</v>
      </c>
      <c r="C2537" s="6">
        <v>35811509</v>
      </c>
      <c r="D2537" s="6" t="s">
        <v>6195</v>
      </c>
      <c r="E2537" s="6" t="s">
        <v>8161</v>
      </c>
      <c r="F2537" s="6" t="s">
        <v>8162</v>
      </c>
      <c r="G2537" s="6">
        <v>43013</v>
      </c>
      <c r="H2537" s="6" t="s">
        <v>8163</v>
      </c>
      <c r="I2537" s="6">
        <v>104</v>
      </c>
      <c r="J2537" s="6" t="s">
        <v>23</v>
      </c>
      <c r="K2537" s="6" t="s">
        <v>149</v>
      </c>
      <c r="L2537" s="6">
        <v>5500000</v>
      </c>
      <c r="M2537" s="6">
        <v>1996</v>
      </c>
      <c r="N2537" s="6">
        <v>7.7</v>
      </c>
      <c r="O2537" s="4">
        <f ca="1">IFERROR(__xludf.DUMMYFUNCTION("IF(Cost_in_dollars!E2537=""USD"",Cost_in_dollars!B2537,Cost_in_dollars!B2537 * GOOGLEFINANCE(""CURRENCY:"" &amp; Cost_in_dollars!E2537 &amp; ""USD""))
"),3596340)</f>
        <v>3596340</v>
      </c>
      <c r="P2537" s="4">
        <f ca="1">IFERROR(__xludf.DUMMYFUNCTION("IF(Cost_in_dollars!E2537=""USD"",Cost_in_dollars!C2537,Cost_in_dollars!C2537 * GOOGLEFINANCE(""CURRENCY:"" &amp; Cost_in_dollars!E2537 &amp; ""USD""))
"),23416429.50492)</f>
        <v>23416429.504919998</v>
      </c>
      <c r="Q2537" s="6">
        <f t="shared" ca="1" si="54"/>
        <v>19820089.504919998</v>
      </c>
      <c r="R2537" s="7" t="str">
        <f t="shared" si="55"/>
        <v>Shine</v>
      </c>
      <c r="S2537" s="43" t="str">
        <f t="shared" si="59"/>
        <v>Biography</v>
      </c>
    </row>
    <row r="2538" spans="1:19" ht="15.75" customHeight="1" x14ac:dyDescent="0.25">
      <c r="A2538" s="4" t="s">
        <v>3177</v>
      </c>
      <c r="B2538" s="4">
        <v>502</v>
      </c>
      <c r="C2538" s="4">
        <v>424645577</v>
      </c>
      <c r="D2538" s="4" t="s">
        <v>1324</v>
      </c>
      <c r="E2538" s="4" t="s">
        <v>1507</v>
      </c>
      <c r="F2538" s="4" t="s">
        <v>8164</v>
      </c>
      <c r="G2538" s="4">
        <v>498397</v>
      </c>
      <c r="H2538" s="4" t="s">
        <v>8165</v>
      </c>
      <c r="I2538" s="4">
        <v>706</v>
      </c>
      <c r="J2538" s="4" t="s">
        <v>23</v>
      </c>
      <c r="K2538" s="4" t="s">
        <v>24</v>
      </c>
      <c r="L2538" s="4">
        <v>130000000</v>
      </c>
      <c r="M2538" s="4">
        <v>2013</v>
      </c>
      <c r="N2538" s="4">
        <v>7.6</v>
      </c>
      <c r="O2538" s="4">
        <f ca="1">IFERROR(__xludf.DUMMYFUNCTION("IF(Cost_in_dollars!E2538=""USD"",Cost_in_dollars!B2538,Cost_in_dollars!B2538 * GOOGLEFINANCE(""CURRENCY:"" &amp; Cost_in_dollars!E2538 &amp; ""USD""))
"),130000000)</f>
        <v>130000000</v>
      </c>
      <c r="P2538" s="4">
        <f ca="1">IFERROR(__xludf.DUMMYFUNCTION("IF(Cost_in_dollars!E2538=""USD"",Cost_in_dollars!C2538,Cost_in_dollars!C2538 * GOOGLEFINANCE(""CURRENCY:"" &amp; Cost_in_dollars!E2538 &amp; ""USD""))
"),424645577)</f>
        <v>424645577</v>
      </c>
      <c r="Q2538" s="4">
        <f t="shared" ca="1" si="54"/>
        <v>294645577</v>
      </c>
      <c r="R2538" s="5" t="str">
        <f t="shared" si="55"/>
        <v>The Hunger Games: Catching Fire</v>
      </c>
      <c r="S2538" s="43" t="str">
        <f t="shared" si="59"/>
        <v>Adventure</v>
      </c>
    </row>
    <row r="2539" spans="1:19" ht="15.75" customHeight="1" x14ac:dyDescent="0.25">
      <c r="A2539" s="6" t="s">
        <v>8166</v>
      </c>
      <c r="B2539" s="6">
        <v>112</v>
      </c>
      <c r="C2539" s="6">
        <v>74888996</v>
      </c>
      <c r="D2539" s="6" t="s">
        <v>797</v>
      </c>
      <c r="E2539" s="6" t="s">
        <v>6474</v>
      </c>
      <c r="F2539" s="6" t="s">
        <v>8167</v>
      </c>
      <c r="G2539" s="6">
        <v>55513</v>
      </c>
      <c r="H2539" s="6" t="s">
        <v>8168</v>
      </c>
      <c r="I2539" s="6">
        <v>188</v>
      </c>
      <c r="J2539" s="6" t="s">
        <v>23</v>
      </c>
      <c r="K2539" s="6" t="s">
        <v>24</v>
      </c>
      <c r="L2539" s="6">
        <v>30000000</v>
      </c>
      <c r="M2539" s="6">
        <v>1991</v>
      </c>
      <c r="N2539" s="6">
        <v>7.2</v>
      </c>
      <c r="O2539" s="4">
        <f ca="1">IFERROR(__xludf.DUMMYFUNCTION("IF(Cost_in_dollars!E2539=""USD"",Cost_in_dollars!B2539,Cost_in_dollars!B2539 * GOOGLEFINANCE(""CURRENCY:"" &amp; Cost_in_dollars!E2539 &amp; ""USD""))
"),30000000)</f>
        <v>30000000</v>
      </c>
      <c r="P2539" s="4">
        <f ca="1">IFERROR(__xludf.DUMMYFUNCTION("IF(Cost_in_dollars!E2539=""USD"",Cost_in_dollars!C2539,Cost_in_dollars!C2539 * GOOGLEFINANCE(""CURRENCY:"" &amp; Cost_in_dollars!E2539 &amp; ""USD""))
"),74888996)</f>
        <v>74888996</v>
      </c>
      <c r="Q2539" s="6">
        <f t="shared" ca="1" si="54"/>
        <v>44888996</v>
      </c>
      <c r="R2539" s="7" t="str">
        <f t="shared" si="55"/>
        <v>Star Trek VI: The Undiscovered Country</v>
      </c>
      <c r="S2539" s="43" t="str">
        <f t="shared" si="59"/>
        <v>Action</v>
      </c>
    </row>
    <row r="2540" spans="1:19" ht="15.75" customHeight="1" x14ac:dyDescent="0.25">
      <c r="A2540" s="4" t="s">
        <v>8169</v>
      </c>
      <c r="B2540" s="4">
        <v>67</v>
      </c>
      <c r="C2540" s="4">
        <v>5000000</v>
      </c>
      <c r="D2540" s="4" t="s">
        <v>8170</v>
      </c>
      <c r="E2540" s="4" t="s">
        <v>8171</v>
      </c>
      <c r="F2540" s="4" t="s">
        <v>8172</v>
      </c>
      <c r="G2540" s="4">
        <v>4812</v>
      </c>
      <c r="H2540" s="4" t="s">
        <v>8173</v>
      </c>
      <c r="I2540" s="4">
        <v>88</v>
      </c>
      <c r="J2540" s="4" t="s">
        <v>23</v>
      </c>
      <c r="K2540" s="4" t="s">
        <v>24</v>
      </c>
      <c r="L2540" s="4">
        <v>210000</v>
      </c>
      <c r="M2540" s="4">
        <v>1953</v>
      </c>
      <c r="N2540" s="4">
        <v>6.7</v>
      </c>
      <c r="O2540" s="4">
        <f ca="1">IFERROR(__xludf.DUMMYFUNCTION("IF(Cost_in_dollars!E2540=""USD"",Cost_in_dollars!B2540,Cost_in_dollars!B2540 * GOOGLEFINANCE(""CURRENCY:"" &amp; Cost_in_dollars!E2540 &amp; ""USD""))
"),210000)</f>
        <v>210000</v>
      </c>
      <c r="P2540" s="4">
        <f ca="1">IFERROR(__xludf.DUMMYFUNCTION("IF(Cost_in_dollars!E2540=""USD"",Cost_in_dollars!C2540,Cost_in_dollars!C2540 * GOOGLEFINANCE(""CURRENCY:"" &amp; Cost_in_dollars!E2540 &amp; ""USD""))
"),5000000)</f>
        <v>5000000</v>
      </c>
      <c r="Q2540" s="4">
        <f t="shared" ca="1" si="54"/>
        <v>4790000</v>
      </c>
      <c r="R2540" s="5" t="str">
        <f t="shared" si="55"/>
        <v>The Beast from 20,000 Fathoms</v>
      </c>
      <c r="S2540" s="43" t="str">
        <f t="shared" si="59"/>
        <v>Adventure</v>
      </c>
    </row>
    <row r="2541" spans="1:19" ht="15.75" customHeight="1" x14ac:dyDescent="0.25">
      <c r="A2541" s="6" t="s">
        <v>7402</v>
      </c>
      <c r="B2541" s="6">
        <v>72</v>
      </c>
      <c r="C2541" s="6">
        <v>10719367</v>
      </c>
      <c r="D2541" s="6" t="s">
        <v>8174</v>
      </c>
      <c r="E2541" s="6" t="s">
        <v>1768</v>
      </c>
      <c r="F2541" s="6" t="s">
        <v>8175</v>
      </c>
      <c r="G2541" s="6">
        <v>7909</v>
      </c>
      <c r="H2541" s="6" t="s">
        <v>8176</v>
      </c>
      <c r="I2541" s="6">
        <v>157</v>
      </c>
      <c r="J2541" s="6" t="s">
        <v>23</v>
      </c>
      <c r="K2541" s="6" t="s">
        <v>24</v>
      </c>
      <c r="L2541" s="6">
        <v>25000000</v>
      </c>
      <c r="M2541" s="6">
        <v>2002</v>
      </c>
      <c r="N2541" s="6">
        <v>4.9000000000000004</v>
      </c>
      <c r="O2541" s="4">
        <f ca="1">IFERROR(__xludf.DUMMYFUNCTION("IF(Cost_in_dollars!E2541=""USD"",Cost_in_dollars!B2541,Cost_in_dollars!B2541 * GOOGLEFINANCE(""CURRENCY:"" &amp; Cost_in_dollars!E2541 &amp; ""USD""))
"),25000000)</f>
        <v>25000000</v>
      </c>
      <c r="P2541" s="4">
        <f ca="1">IFERROR(__xludf.DUMMYFUNCTION("IF(Cost_in_dollars!E2541=""USD"",Cost_in_dollars!C2541,Cost_in_dollars!C2541 * GOOGLEFINANCE(""CURRENCY:"" &amp; Cost_in_dollars!E2541 &amp; ""USD""))
"),10719367)</f>
        <v>10719367</v>
      </c>
      <c r="Q2541" s="6">
        <f t="shared" ca="1" si="54"/>
        <v>-14280633</v>
      </c>
      <c r="R2541" s="7" t="str">
        <f t="shared" si="55"/>
        <v>Abandon</v>
      </c>
      <c r="S2541" s="43" t="str">
        <f t="shared" si="59"/>
        <v>Drama</v>
      </c>
    </row>
    <row r="2542" spans="1:19" ht="15.75" customHeight="1" x14ac:dyDescent="0.25">
      <c r="A2542" s="4" t="s">
        <v>4696</v>
      </c>
      <c r="B2542" s="4">
        <v>401</v>
      </c>
      <c r="C2542" s="4">
        <v>8093318</v>
      </c>
      <c r="D2542" s="4" t="s">
        <v>4712</v>
      </c>
      <c r="E2542" s="4" t="s">
        <v>8177</v>
      </c>
      <c r="F2542" s="4" t="s">
        <v>8178</v>
      </c>
      <c r="G2542" s="4">
        <v>61935</v>
      </c>
      <c r="H2542" s="4" t="s">
        <v>8179</v>
      </c>
      <c r="I2542" s="4">
        <v>242</v>
      </c>
      <c r="J2542" s="4" t="s">
        <v>23</v>
      </c>
      <c r="K2542" s="4" t="s">
        <v>24</v>
      </c>
      <c r="L2542" s="4">
        <v>20000000</v>
      </c>
      <c r="M2542" s="4">
        <v>2014</v>
      </c>
      <c r="N2542" s="4">
        <v>6.7</v>
      </c>
      <c r="O2542" s="4">
        <f ca="1">IFERROR(__xludf.DUMMYFUNCTION("IF(Cost_in_dollars!E2542=""USD"",Cost_in_dollars!B2542,Cost_in_dollars!B2542 * GOOGLEFINANCE(""CURRENCY:"" &amp; Cost_in_dollars!E2542 &amp; ""USD""))
"),20000000)</f>
        <v>20000000</v>
      </c>
      <c r="P2542" s="4">
        <f ca="1">IFERROR(__xludf.DUMMYFUNCTION("IF(Cost_in_dollars!E2542=""USD"",Cost_in_dollars!C2542,Cost_in_dollars!C2542 * GOOGLEFINANCE(""CURRENCY:"" &amp; Cost_in_dollars!E2542 &amp; ""USD""))
"),8093318)</f>
        <v>8093318</v>
      </c>
      <c r="Q2542" s="4">
        <f t="shared" ca="1" si="54"/>
        <v>-11906682</v>
      </c>
      <c r="R2542" s="5" t="str">
        <f t="shared" si="55"/>
        <v>Inherent Vice</v>
      </c>
      <c r="S2542" s="43" t="str">
        <f t="shared" si="59"/>
        <v>Comedy</v>
      </c>
    </row>
    <row r="2543" spans="1:19" ht="15.75" customHeight="1" x14ac:dyDescent="0.25">
      <c r="A2543" s="6" t="s">
        <v>3014</v>
      </c>
      <c r="B2543" s="6">
        <v>232</v>
      </c>
      <c r="C2543" s="6">
        <v>261970615</v>
      </c>
      <c r="D2543" s="6" t="s">
        <v>1025</v>
      </c>
      <c r="E2543" s="6" t="s">
        <v>2107</v>
      </c>
      <c r="F2543" s="6" t="s">
        <v>8180</v>
      </c>
      <c r="G2543" s="6">
        <v>387616</v>
      </c>
      <c r="H2543" s="6" t="s">
        <v>8181</v>
      </c>
      <c r="I2543" s="6">
        <v>858</v>
      </c>
      <c r="J2543" s="6" t="s">
        <v>23</v>
      </c>
      <c r="K2543" s="6" t="s">
        <v>133</v>
      </c>
      <c r="L2543" s="6">
        <v>100000000</v>
      </c>
      <c r="M2543" s="6">
        <v>2002</v>
      </c>
      <c r="N2543" s="6">
        <v>7.4</v>
      </c>
      <c r="O2543" s="4">
        <f ca="1">IFERROR(__xludf.DUMMYFUNCTION("IF(Cost_in_dollars!E2543=""USD"",Cost_in_dollars!B2543,Cost_in_dollars!B2543 * GOOGLEFINANCE(""CURRENCY:"" &amp; Cost_in_dollars!E2543 &amp; ""USD""))
"),128539999.999999)</f>
        <v>128539999.999999</v>
      </c>
      <c r="P2543" s="4">
        <f ca="1">IFERROR(__xludf.DUMMYFUNCTION("IF(Cost_in_dollars!E2543=""USD"",Cost_in_dollars!C2543,Cost_in_dollars!C2543 * GOOGLEFINANCE(""CURRENCY:"" &amp; Cost_in_dollars!E2543 &amp; ""USD""))
"),336737028.520999)</f>
        <v>336737028.52099901</v>
      </c>
      <c r="Q2543" s="6">
        <f t="shared" ca="1" si="54"/>
        <v>208197028.52100003</v>
      </c>
      <c r="R2543" s="7" t="str">
        <f t="shared" si="55"/>
        <v>Harry Potter and the Chamber of Secrets</v>
      </c>
      <c r="S2543" s="43" t="str">
        <f t="shared" si="59"/>
        <v>Adventure</v>
      </c>
    </row>
    <row r="2544" spans="1:19" ht="15.75" customHeight="1" x14ac:dyDescent="0.25">
      <c r="A2544" s="4" t="s">
        <v>8182</v>
      </c>
      <c r="B2544" s="4">
        <v>202</v>
      </c>
      <c r="C2544" s="4">
        <v>66462600</v>
      </c>
      <c r="D2544" s="4" t="s">
        <v>1290</v>
      </c>
      <c r="E2544" s="4" t="s">
        <v>6484</v>
      </c>
      <c r="F2544" s="4" t="s">
        <v>8183</v>
      </c>
      <c r="G2544" s="4">
        <v>141533</v>
      </c>
      <c r="H2544" s="4" t="s">
        <v>8184</v>
      </c>
      <c r="I2544" s="4">
        <v>786</v>
      </c>
      <c r="J2544" s="4" t="s">
        <v>23</v>
      </c>
      <c r="K2544" s="4" t="s">
        <v>24</v>
      </c>
      <c r="L2544" s="4">
        <v>78000000</v>
      </c>
      <c r="M2544" s="4">
        <v>2003</v>
      </c>
      <c r="N2544" s="4">
        <v>5.8</v>
      </c>
      <c r="O2544" s="4">
        <f ca="1">IFERROR(__xludf.DUMMYFUNCTION("IF(Cost_in_dollars!E2544=""USD"",Cost_in_dollars!B2544,Cost_in_dollars!B2544 * GOOGLEFINANCE(""CURRENCY:"" &amp; Cost_in_dollars!E2544 &amp; ""USD""))
"),78000000)</f>
        <v>78000000</v>
      </c>
      <c r="P2544" s="4">
        <f ca="1">IFERROR(__xludf.DUMMYFUNCTION("IF(Cost_in_dollars!E2544=""USD"",Cost_in_dollars!C2544,Cost_in_dollars!C2544 * GOOGLEFINANCE(""CURRENCY:"" &amp; Cost_in_dollars!E2544 &amp; ""USD""))
"),66462600)</f>
        <v>66462600</v>
      </c>
      <c r="Q2544" s="4">
        <f t="shared" ca="1" si="54"/>
        <v>-11537400</v>
      </c>
      <c r="R2544" s="5" t="str">
        <f t="shared" si="55"/>
        <v>The League of Extraordinary Gentlemen</v>
      </c>
      <c r="S2544" s="43" t="str">
        <f t="shared" si="59"/>
        <v>Action</v>
      </c>
    </row>
    <row r="2545" spans="1:19" ht="15.75" customHeight="1" x14ac:dyDescent="0.25">
      <c r="A2545" s="6" t="s">
        <v>384</v>
      </c>
      <c r="B2545" s="6">
        <v>121</v>
      </c>
      <c r="C2545" s="6">
        <v>31899000</v>
      </c>
      <c r="D2545" s="6" t="s">
        <v>5046</v>
      </c>
      <c r="E2545" s="6" t="s">
        <v>8185</v>
      </c>
      <c r="F2545" s="6" t="s">
        <v>8186</v>
      </c>
      <c r="G2545" s="6">
        <v>23986</v>
      </c>
      <c r="H2545" s="6" t="s">
        <v>8187</v>
      </c>
      <c r="I2545" s="6">
        <v>201</v>
      </c>
      <c r="J2545" s="6" t="s">
        <v>23</v>
      </c>
      <c r="K2545" s="6" t="s">
        <v>24</v>
      </c>
      <c r="L2545" s="6">
        <v>6500000</v>
      </c>
      <c r="M2545" s="6">
        <v>1980</v>
      </c>
      <c r="N2545" s="6">
        <v>7.1</v>
      </c>
      <c r="O2545" s="4">
        <f ca="1">IFERROR(__xludf.DUMMYFUNCTION("IF(Cost_in_dollars!E2545=""USD"",Cost_in_dollars!B2545,Cost_in_dollars!B2545 * GOOGLEFINANCE(""CURRENCY:"" &amp; Cost_in_dollars!E2545 &amp; ""USD""))
"),6500000)</f>
        <v>6500000</v>
      </c>
      <c r="P2545" s="4">
        <f ca="1">IFERROR(__xludf.DUMMYFUNCTION("IF(Cost_in_dollars!E2545=""USD"",Cost_in_dollars!C2545,Cost_in_dollars!C2545 * GOOGLEFINANCE(""CURRENCY:"" &amp; Cost_in_dollars!E2545 &amp; ""USD""))
"),31899000)</f>
        <v>31899000</v>
      </c>
      <c r="Q2545" s="6">
        <f t="shared" ca="1" si="54"/>
        <v>25399000</v>
      </c>
      <c r="R2545" s="7" t="str">
        <f t="shared" si="55"/>
        <v>Dressed to Kill</v>
      </c>
      <c r="S2545" s="43" t="str">
        <f t="shared" si="59"/>
        <v>Mystery</v>
      </c>
    </row>
    <row r="2546" spans="1:19" ht="15.75" customHeight="1" x14ac:dyDescent="0.25">
      <c r="A2546" s="4" t="s">
        <v>25</v>
      </c>
      <c r="B2546" s="4">
        <v>163</v>
      </c>
      <c r="C2546" s="4">
        <v>28772222</v>
      </c>
      <c r="D2546" s="4" t="s">
        <v>26</v>
      </c>
      <c r="E2546" s="4" t="s">
        <v>27</v>
      </c>
      <c r="F2546" s="4" t="s">
        <v>28</v>
      </c>
      <c r="G2546" s="4">
        <v>33953</v>
      </c>
      <c r="H2546" s="4" t="s">
        <v>29</v>
      </c>
      <c r="I2546" s="4">
        <v>163</v>
      </c>
      <c r="J2546" s="4" t="s">
        <v>23</v>
      </c>
      <c r="K2546" s="4" t="s">
        <v>24</v>
      </c>
      <c r="L2546" s="4">
        <v>105000000</v>
      </c>
      <c r="M2546" s="4">
        <v>2015</v>
      </c>
      <c r="N2546" s="4">
        <v>5.3</v>
      </c>
      <c r="O2546" s="4">
        <f ca="1">IFERROR(__xludf.DUMMYFUNCTION("IF(Cost_in_dollars!E2546=""USD"",Cost_in_dollars!B2546,Cost_in_dollars!B2546 * GOOGLEFINANCE(""CURRENCY:"" &amp; Cost_in_dollars!E2546 &amp; ""USD""))
"),105000000)</f>
        <v>105000000</v>
      </c>
      <c r="P2546" s="4">
        <f ca="1">IFERROR(__xludf.DUMMYFUNCTION("IF(Cost_in_dollars!E2546=""USD"",Cost_in_dollars!C2546,Cost_in_dollars!C2546 * GOOGLEFINANCE(""CURRENCY:"" &amp; Cost_in_dollars!E2546 &amp; ""USD""))
"),28772222)</f>
        <v>28772222</v>
      </c>
      <c r="Q2546" s="4">
        <f t="shared" ca="1" si="54"/>
        <v>-76227778</v>
      </c>
      <c r="R2546" s="5" t="str">
        <f t="shared" si="55"/>
        <v>Point Break</v>
      </c>
      <c r="S2546" s="43" t="str">
        <f t="shared" si="59"/>
        <v>Action</v>
      </c>
    </row>
    <row r="2547" spans="1:19" ht="15.75" customHeight="1" x14ac:dyDescent="0.25">
      <c r="A2547" s="6" t="s">
        <v>8188</v>
      </c>
      <c r="B2547" s="6">
        <v>47</v>
      </c>
      <c r="C2547" s="6">
        <v>15911333</v>
      </c>
      <c r="D2547" s="6" t="s">
        <v>7143</v>
      </c>
      <c r="E2547" s="6" t="s">
        <v>2843</v>
      </c>
      <c r="F2547" s="6" t="s">
        <v>8189</v>
      </c>
      <c r="G2547" s="6">
        <v>2855</v>
      </c>
      <c r="H2547" s="6" t="s">
        <v>8190</v>
      </c>
      <c r="I2547" s="6">
        <v>119</v>
      </c>
      <c r="J2547" s="6" t="s">
        <v>23</v>
      </c>
      <c r="K2547" s="6" t="s">
        <v>133</v>
      </c>
      <c r="L2547" s="6">
        <v>19000000</v>
      </c>
      <c r="M2547" s="6">
        <v>2000</v>
      </c>
      <c r="N2547" s="6">
        <v>3.6</v>
      </c>
      <c r="O2547" s="4">
        <f ca="1">IFERROR(__xludf.DUMMYFUNCTION("IF(Cost_in_dollars!E2547=""USD"",Cost_in_dollars!B2547,Cost_in_dollars!B2547 * GOOGLEFINANCE(""CURRENCY:"" &amp; Cost_in_dollars!E2547 &amp; ""USD""))
"),24422599.9999999)</f>
        <v>24422599.999999899</v>
      </c>
      <c r="P2547" s="4">
        <f ca="1">IFERROR(__xludf.DUMMYFUNCTION("IF(Cost_in_dollars!E2547=""USD"",Cost_in_dollars!C2547,Cost_in_dollars!C2547 * GOOGLEFINANCE(""CURRENCY:"" &amp; Cost_in_dollars!E2547 &amp; ""USD""))
"),20452427.4381999)</f>
        <v>20452427.4381999</v>
      </c>
      <c r="Q2547" s="6">
        <f t="shared" ca="1" si="54"/>
        <v>-3970172.5617999993</v>
      </c>
      <c r="R2547" s="7" t="str">
        <f t="shared" si="55"/>
        <v>Thomas and the Magic Railroad</v>
      </c>
      <c r="S2547" s="43" t="str">
        <f t="shared" si="59"/>
        <v>Adventure</v>
      </c>
    </row>
    <row r="2548" spans="1:19" ht="15.75" customHeight="1" x14ac:dyDescent="0.25">
      <c r="A2548" s="4" t="s">
        <v>3379</v>
      </c>
      <c r="B2548" s="4">
        <v>303</v>
      </c>
      <c r="C2548" s="4">
        <v>42615685</v>
      </c>
      <c r="D2548" s="4" t="s">
        <v>8191</v>
      </c>
      <c r="E2548" s="4" t="s">
        <v>608</v>
      </c>
      <c r="F2548" s="4" t="s">
        <v>8192</v>
      </c>
      <c r="G2548" s="4">
        <v>136093</v>
      </c>
      <c r="H2548" s="4" t="s">
        <v>8193</v>
      </c>
      <c r="I2548" s="4">
        <v>416</v>
      </c>
      <c r="J2548" s="4" t="s">
        <v>23</v>
      </c>
      <c r="K2548" s="4" t="s">
        <v>24</v>
      </c>
      <c r="L2548" s="4">
        <v>40000000</v>
      </c>
      <c r="M2548" s="4">
        <v>2014</v>
      </c>
      <c r="N2548" s="4">
        <v>6.1</v>
      </c>
      <c r="O2548" s="4">
        <f ca="1">IFERROR(__xludf.DUMMYFUNCTION("IF(Cost_in_dollars!E2548=""USD"",Cost_in_dollars!B2548,Cost_in_dollars!B2548 * GOOGLEFINANCE(""CURRENCY:"" &amp; Cost_in_dollars!E2548 &amp; ""USD""))
"),40000000)</f>
        <v>40000000</v>
      </c>
      <c r="P2548" s="4">
        <f ca="1">IFERROR(__xludf.DUMMYFUNCTION("IF(Cost_in_dollars!E2548=""USD"",Cost_in_dollars!C2548,Cost_in_dollars!C2548 * GOOGLEFINANCE(""CURRENCY:"" &amp; Cost_in_dollars!E2548 &amp; ""USD""))
"),42615685)</f>
        <v>42615685</v>
      </c>
      <c r="Q2548" s="4">
        <f t="shared" ca="1" si="54"/>
        <v>2615685</v>
      </c>
      <c r="R2548" s="5" t="str">
        <f t="shared" si="55"/>
        <v>A Million Ways to Die in the West</v>
      </c>
      <c r="S2548" s="43" t="str">
        <f t="shared" si="59"/>
        <v>Comedy</v>
      </c>
    </row>
    <row r="2549" spans="1:19" ht="15.75" customHeight="1" x14ac:dyDescent="0.25">
      <c r="A2549" s="6" t="s">
        <v>1675</v>
      </c>
      <c r="B2549" s="6">
        <v>31</v>
      </c>
      <c r="C2549" s="6">
        <v>64359</v>
      </c>
      <c r="D2549" s="6" t="s">
        <v>88</v>
      </c>
      <c r="E2549" s="6" t="s">
        <v>8194</v>
      </c>
      <c r="F2549" s="6" t="s">
        <v>8195</v>
      </c>
      <c r="G2549" s="6">
        <v>811</v>
      </c>
      <c r="H2549" s="6" t="s">
        <v>8196</v>
      </c>
      <c r="I2549" s="6">
        <v>26</v>
      </c>
      <c r="J2549" s="6" t="s">
        <v>23</v>
      </c>
      <c r="K2549" s="6" t="s">
        <v>133</v>
      </c>
      <c r="L2549" s="6">
        <v>2500000</v>
      </c>
      <c r="M2549" s="6">
        <v>1998</v>
      </c>
      <c r="N2549" s="6">
        <v>5.9</v>
      </c>
      <c r="O2549" s="4">
        <f ca="1">IFERROR(__xludf.DUMMYFUNCTION("IF(Cost_in_dollars!E2549=""USD"",Cost_in_dollars!B2549,Cost_in_dollars!B2549 * GOOGLEFINANCE(""CURRENCY:"" &amp; Cost_in_dollars!E2549 &amp; ""USD""))
"),3213499.99999999)</f>
        <v>3213499.9999999902</v>
      </c>
      <c r="P2549" s="4">
        <f ca="1">IFERROR(__xludf.DUMMYFUNCTION("IF(Cost_in_dollars!E2549=""USD"",Cost_in_dollars!C2549,Cost_in_dollars!C2549 * GOOGLEFINANCE(""CURRENCY:"" &amp; Cost_in_dollars!E2549 &amp; ""USD""))
"),82727.0585999999)</f>
        <v>82727.058599999902</v>
      </c>
      <c r="Q2549" s="6">
        <f t="shared" ca="1" si="54"/>
        <v>-3130772.9413999901</v>
      </c>
      <c r="R2549" s="7" t="str">
        <f t="shared" si="55"/>
        <v>Among Giants</v>
      </c>
      <c r="S2549" s="43" t="str">
        <f t="shared" si="59"/>
        <v>Comedy</v>
      </c>
    </row>
    <row r="2550" spans="1:19" ht="15.75" customHeight="1" x14ac:dyDescent="0.25">
      <c r="A2550" s="4" t="s">
        <v>4722</v>
      </c>
      <c r="B2550" s="4">
        <v>17</v>
      </c>
      <c r="C2550" s="4">
        <v>5899797</v>
      </c>
      <c r="D2550" s="4" t="s">
        <v>623</v>
      </c>
      <c r="E2550" s="4" t="s">
        <v>69</v>
      </c>
      <c r="F2550" s="4" t="s">
        <v>8197</v>
      </c>
      <c r="G2550" s="4">
        <v>9913</v>
      </c>
      <c r="H2550" s="4" t="s">
        <v>8198</v>
      </c>
      <c r="I2550" s="4">
        <v>51</v>
      </c>
      <c r="J2550" s="4" t="s">
        <v>23</v>
      </c>
      <c r="K2550" s="4" t="s">
        <v>133</v>
      </c>
      <c r="L2550" s="4">
        <v>29000000</v>
      </c>
      <c r="M2550" s="4">
        <v>1987</v>
      </c>
      <c r="N2550" s="4">
        <v>7.5</v>
      </c>
      <c r="O2550" s="4">
        <f ca="1">IFERROR(__xludf.DUMMYFUNCTION("IF(Cost_in_dollars!E2550=""USD"",Cost_in_dollars!B2550,Cost_in_dollars!B2550 * GOOGLEFINANCE(""CURRENCY:"" &amp; Cost_in_dollars!E2550 &amp; ""USD""))
"),37276600)</f>
        <v>37276600</v>
      </c>
      <c r="P2550" s="4">
        <f ca="1">IFERROR(__xludf.DUMMYFUNCTION("IF(Cost_in_dollars!E2550=""USD"",Cost_in_dollars!C2550,Cost_in_dollars!C2550 * GOOGLEFINANCE(""CURRENCY:"" &amp; Cost_in_dollars!E2550 &amp; ""USD""))
"),7583599.0638)</f>
        <v>7583599.0637999997</v>
      </c>
      <c r="Q2550" s="4">
        <f t="shared" ca="1" si="54"/>
        <v>-29693000.9362</v>
      </c>
      <c r="R2550" s="5" t="str">
        <f t="shared" si="55"/>
        <v>Cry Freedom</v>
      </c>
      <c r="S2550" s="43" t="str">
        <f t="shared" si="59"/>
        <v>Biography</v>
      </c>
    </row>
    <row r="2551" spans="1:19" ht="15.75" customHeight="1" x14ac:dyDescent="0.25">
      <c r="A2551" s="6" t="s">
        <v>8199</v>
      </c>
      <c r="B2551" s="6">
        <v>25</v>
      </c>
      <c r="C2551" s="6">
        <v>2428241</v>
      </c>
      <c r="D2551" s="6" t="s">
        <v>102</v>
      </c>
      <c r="E2551" s="6" t="s">
        <v>8200</v>
      </c>
      <c r="F2551" s="6" t="s">
        <v>8201</v>
      </c>
      <c r="G2551" s="6">
        <v>2099</v>
      </c>
      <c r="H2551" s="6" t="s">
        <v>8202</v>
      </c>
      <c r="I2551" s="6">
        <v>26</v>
      </c>
      <c r="J2551" s="6" t="s">
        <v>23</v>
      </c>
      <c r="K2551" s="6" t="s">
        <v>24</v>
      </c>
      <c r="L2551" s="6">
        <v>200000</v>
      </c>
      <c r="M2551" s="6">
        <v>2010</v>
      </c>
      <c r="N2551" s="6">
        <v>6.4</v>
      </c>
      <c r="O2551" s="4">
        <f ca="1">IFERROR(__xludf.DUMMYFUNCTION("IF(Cost_in_dollars!E2551=""USD"",Cost_in_dollars!B2551,Cost_in_dollars!B2551 * GOOGLEFINANCE(""CURRENCY:"" &amp; Cost_in_dollars!E2551 &amp; ""USD""))
"),200000)</f>
        <v>200000</v>
      </c>
      <c r="P2551" s="4">
        <f ca="1">IFERROR(__xludf.DUMMYFUNCTION("IF(Cost_in_dollars!E2551=""USD"",Cost_in_dollars!C2551,Cost_in_dollars!C2551 * GOOGLEFINANCE(""CURRENCY:"" &amp; Cost_in_dollars!E2551 &amp; ""USD""))
"),2428241)</f>
        <v>2428241</v>
      </c>
      <c r="Q2551" s="6">
        <f t="shared" ca="1" si="54"/>
        <v>2228241</v>
      </c>
      <c r="R2551" s="7" t="str">
        <f t="shared" si="55"/>
        <v>The Grace Card</v>
      </c>
      <c r="S2551" s="43" t="str">
        <f t="shared" si="59"/>
        <v>Drama</v>
      </c>
    </row>
    <row r="2552" spans="1:19" ht="15.75" customHeight="1" x14ac:dyDescent="0.25">
      <c r="A2552" s="4" t="s">
        <v>8203</v>
      </c>
      <c r="B2552" s="4">
        <v>25</v>
      </c>
      <c r="C2552" s="4">
        <v>8000000</v>
      </c>
      <c r="D2552" s="4" t="s">
        <v>4180</v>
      </c>
      <c r="E2552" s="4" t="s">
        <v>8204</v>
      </c>
      <c r="F2552" s="4" t="s">
        <v>8205</v>
      </c>
      <c r="G2552" s="4">
        <v>1400</v>
      </c>
      <c r="H2552" s="4" t="s">
        <v>8206</v>
      </c>
      <c r="I2552" s="4">
        <v>41</v>
      </c>
      <c r="J2552" s="4" t="s">
        <v>23</v>
      </c>
      <c r="K2552" s="4" t="s">
        <v>24</v>
      </c>
      <c r="L2552" s="4">
        <v>18000000</v>
      </c>
      <c r="M2552" s="4">
        <v>1981</v>
      </c>
      <c r="N2552" s="4">
        <v>5</v>
      </c>
      <c r="O2552" s="4">
        <f ca="1">IFERROR(__xludf.DUMMYFUNCTION("IF(Cost_in_dollars!E2552=""USD"",Cost_in_dollars!B2552,Cost_in_dollars!B2552 * GOOGLEFINANCE(""CURRENCY:"" &amp; Cost_in_dollars!E2552 &amp; ""USD""))
"),18000000)</f>
        <v>18000000</v>
      </c>
      <c r="P2552" s="4">
        <f ca="1">IFERROR(__xludf.DUMMYFUNCTION("IF(Cost_in_dollars!E2552=""USD"",Cost_in_dollars!C2552,Cost_in_dollars!C2552 * GOOGLEFINANCE(""CURRENCY:"" &amp; Cost_in_dollars!E2552 &amp; ""USD""))
"),8000000)</f>
        <v>8000000</v>
      </c>
      <c r="Q2552" s="4">
        <f t="shared" ref="Q2552:Q2806" ca="1" si="60">P2552-O2552</f>
        <v>-10000000</v>
      </c>
      <c r="R2552" s="5" t="str">
        <f t="shared" ref="R2552:R2806" si="61">LEFT(F2552,LEN(F2552)-2)</f>
        <v>The Legend of the Lone Ranger</v>
      </c>
      <c r="S2552" s="43" t="str">
        <f t="shared" si="59"/>
        <v>Action</v>
      </c>
    </row>
    <row r="2553" spans="1:19" ht="15.75" customHeight="1" x14ac:dyDescent="0.25">
      <c r="A2553" s="6" t="s">
        <v>267</v>
      </c>
      <c r="B2553" s="6">
        <v>127</v>
      </c>
      <c r="C2553" s="6">
        <v>71277420</v>
      </c>
      <c r="D2553" s="6" t="s">
        <v>140</v>
      </c>
      <c r="E2553" s="6" t="s">
        <v>8157</v>
      </c>
      <c r="F2553" s="6" t="s">
        <v>8207</v>
      </c>
      <c r="G2553" s="6">
        <v>119590</v>
      </c>
      <c r="H2553" s="6" t="s">
        <v>8208</v>
      </c>
      <c r="I2553" s="6">
        <v>548</v>
      </c>
      <c r="J2553" s="6" t="s">
        <v>23</v>
      </c>
      <c r="K2553" s="6" t="s">
        <v>24</v>
      </c>
      <c r="L2553" s="6">
        <v>45000000</v>
      </c>
      <c r="M2553" s="6">
        <v>2001</v>
      </c>
      <c r="N2553" s="6">
        <v>5.2</v>
      </c>
      <c r="O2553" s="4">
        <f ca="1">IFERROR(__xludf.DUMMYFUNCTION("IF(Cost_in_dollars!E2553=""USD"",Cost_in_dollars!B2553,Cost_in_dollars!B2553 * GOOGLEFINANCE(""CURRENCY:"" &amp; Cost_in_dollars!E2553 &amp; ""USD""))
"),45000000)</f>
        <v>45000000</v>
      </c>
      <c r="P2553" s="4">
        <f ca="1">IFERROR(__xludf.DUMMYFUNCTION("IF(Cost_in_dollars!E2553=""USD"",Cost_in_dollars!C2553,Cost_in_dollars!C2553 * GOOGLEFINANCE(""CURRENCY:"" &amp; Cost_in_dollars!E2553 &amp; ""USD""))
"),71277420)</f>
        <v>71277420</v>
      </c>
      <c r="Q2553" s="6">
        <f t="shared" ca="1" si="60"/>
        <v>26277420</v>
      </c>
      <c r="R2553" s="7" t="str">
        <f t="shared" si="61"/>
        <v>Scary Movie 2</v>
      </c>
      <c r="S2553" s="43" t="str">
        <f t="shared" si="59"/>
        <v>Comedy</v>
      </c>
    </row>
    <row r="2554" spans="1:19" ht="15.75" customHeight="1" x14ac:dyDescent="0.25">
      <c r="A2554" s="4" t="s">
        <v>2638</v>
      </c>
      <c r="B2554" s="4">
        <v>225</v>
      </c>
      <c r="C2554" s="4">
        <v>144795350</v>
      </c>
      <c r="D2554" s="4" t="s">
        <v>412</v>
      </c>
      <c r="E2554" s="4" t="s">
        <v>2732</v>
      </c>
      <c r="F2554" s="4" t="s">
        <v>8209</v>
      </c>
      <c r="G2554" s="4">
        <v>387632</v>
      </c>
      <c r="H2554" s="4" t="s">
        <v>8210</v>
      </c>
      <c r="I2554" s="4">
        <v>789</v>
      </c>
      <c r="J2554" s="4" t="s">
        <v>23</v>
      </c>
      <c r="K2554" s="4" t="s">
        <v>24</v>
      </c>
      <c r="L2554" s="4">
        <v>120000000</v>
      </c>
      <c r="M2554" s="4">
        <v>2004</v>
      </c>
      <c r="N2554" s="4">
        <v>7.1</v>
      </c>
      <c r="O2554" s="4">
        <f ca="1">IFERROR(__xludf.DUMMYFUNCTION("IF(Cost_in_dollars!E2554=""USD"",Cost_in_dollars!B2554,Cost_in_dollars!B2554 * GOOGLEFINANCE(""CURRENCY:"" &amp; Cost_in_dollars!E2554 &amp; ""USD""))
"),120000000)</f>
        <v>120000000</v>
      </c>
      <c r="P2554" s="4">
        <f ca="1">IFERROR(__xludf.DUMMYFUNCTION("IF(Cost_in_dollars!E2554=""USD"",Cost_in_dollars!C2554,Cost_in_dollars!C2554 * GOOGLEFINANCE(""CURRENCY:"" &amp; Cost_in_dollars!E2554 &amp; ""USD""))
"),144795350)</f>
        <v>144795350</v>
      </c>
      <c r="Q2554" s="4">
        <f t="shared" ca="1" si="60"/>
        <v>24795350</v>
      </c>
      <c r="R2554" s="5" t="str">
        <f t="shared" si="61"/>
        <v>I, Robot</v>
      </c>
      <c r="S2554" s="43" t="str">
        <f t="shared" si="59"/>
        <v>Action</v>
      </c>
    </row>
    <row r="2555" spans="1:19" ht="15.75" customHeight="1" x14ac:dyDescent="0.25">
      <c r="A2555" s="6" t="s">
        <v>7445</v>
      </c>
      <c r="B2555" s="6">
        <v>90</v>
      </c>
      <c r="C2555" s="6">
        <v>17848322</v>
      </c>
      <c r="D2555" s="6" t="s">
        <v>88</v>
      </c>
      <c r="E2555" s="6" t="s">
        <v>8006</v>
      </c>
      <c r="F2555" s="6" t="s">
        <v>8211</v>
      </c>
      <c r="G2555" s="6">
        <v>18771</v>
      </c>
      <c r="H2555" s="6" t="s">
        <v>8212</v>
      </c>
      <c r="I2555" s="6">
        <v>102</v>
      </c>
      <c r="J2555" s="6" t="s">
        <v>23</v>
      </c>
      <c r="K2555" s="6" t="s">
        <v>596</v>
      </c>
      <c r="L2555" s="6">
        <v>28000000</v>
      </c>
      <c r="M2555" s="6">
        <v>2004</v>
      </c>
      <c r="N2555" s="6">
        <v>5.9</v>
      </c>
      <c r="O2555" s="4">
        <f ca="1">IFERROR(__xludf.DUMMYFUNCTION("IF(Cost_in_dollars!E2555=""USD"",Cost_in_dollars!B2555,Cost_in_dollars!B2555 * GOOGLEFINANCE(""CURRENCY:"" &amp; Cost_in_dollars!E2555 &amp; ""USD""))
"),30372720)</f>
        <v>30372720</v>
      </c>
      <c r="P2555" s="4">
        <f ca="1">IFERROR(__xludf.DUMMYFUNCTION("IF(Cost_in_dollars!E2555=""USD"",Cost_in_dollars!C2555,Cost_in_dollars!C2555 * GOOGLEFINANCE(""CURRENCY:"" &amp; Cost_in_dollars!E2555 &amp; ""USD""))
"),19360788.80628)</f>
        <v>19360788.806279998</v>
      </c>
      <c r="Q2555" s="6">
        <f t="shared" ca="1" si="60"/>
        <v>-11011931.193720002</v>
      </c>
      <c r="R2555" s="7" t="str">
        <f t="shared" si="61"/>
        <v>Laws of Attraction</v>
      </c>
      <c r="S2555" s="43" t="str">
        <f t="shared" si="59"/>
        <v>Comedy</v>
      </c>
    </row>
    <row r="2556" spans="1:19" ht="15.75" customHeight="1" x14ac:dyDescent="0.25">
      <c r="A2556" s="4" t="s">
        <v>3141</v>
      </c>
      <c r="B2556" s="4">
        <v>60</v>
      </c>
      <c r="C2556" s="4">
        <v>8108247</v>
      </c>
      <c r="D2556" s="4" t="s">
        <v>235</v>
      </c>
      <c r="E2556" s="4" t="s">
        <v>5730</v>
      </c>
      <c r="F2556" s="4" t="s">
        <v>8213</v>
      </c>
      <c r="G2556" s="4">
        <v>9607</v>
      </c>
      <c r="H2556" s="4" t="s">
        <v>8214</v>
      </c>
      <c r="I2556" s="4">
        <v>174</v>
      </c>
      <c r="J2556" s="4" t="s">
        <v>23</v>
      </c>
      <c r="K2556" s="4" t="s">
        <v>24</v>
      </c>
      <c r="L2556" s="4">
        <v>3300000</v>
      </c>
      <c r="M2556" s="4">
        <v>2006</v>
      </c>
      <c r="N2556" s="4">
        <v>7.4</v>
      </c>
      <c r="O2556" s="4">
        <f ca="1">IFERROR(__xludf.DUMMYFUNCTION("IF(Cost_in_dollars!E2556=""USD"",Cost_in_dollars!B2556,Cost_in_dollars!B2556 * GOOGLEFINANCE(""CURRENCY:"" &amp; Cost_in_dollars!E2556 &amp; ""USD""))
"),3300000)</f>
        <v>3300000</v>
      </c>
      <c r="P2556" s="4">
        <f ca="1">IFERROR(__xludf.DUMMYFUNCTION("IF(Cost_in_dollars!E2556=""USD"",Cost_in_dollars!C2556,Cost_in_dollars!C2556 * GOOGLEFINANCE(""CURRENCY:"" &amp; Cost_in_dollars!E2556 &amp; ""USD""))
"),8108247)</f>
        <v>8108247</v>
      </c>
      <c r="Q2556" s="4">
        <f t="shared" ca="1" si="60"/>
        <v>4808247</v>
      </c>
      <c r="R2556" s="5" t="str">
        <f t="shared" si="61"/>
        <v>Bella</v>
      </c>
      <c r="S2556" s="43" t="str">
        <f t="shared" si="59"/>
        <v>Drama</v>
      </c>
    </row>
    <row r="2557" spans="1:19" ht="15.75" customHeight="1" x14ac:dyDescent="0.25">
      <c r="A2557" s="6" t="s">
        <v>4213</v>
      </c>
      <c r="B2557" s="6">
        <v>88</v>
      </c>
      <c r="C2557" s="6">
        <v>22168359</v>
      </c>
      <c r="D2557" s="6" t="s">
        <v>8215</v>
      </c>
      <c r="E2557" s="6" t="s">
        <v>8216</v>
      </c>
      <c r="F2557" s="6" t="s">
        <v>8217</v>
      </c>
      <c r="G2557" s="6">
        <v>29659</v>
      </c>
      <c r="H2557" s="6" t="s">
        <v>8218</v>
      </c>
      <c r="I2557" s="6">
        <v>227</v>
      </c>
      <c r="J2557" s="6" t="s">
        <v>23</v>
      </c>
      <c r="K2557" s="6" t="s">
        <v>24</v>
      </c>
      <c r="L2557" s="6">
        <v>8000000</v>
      </c>
      <c r="M2557" s="6">
        <v>1989</v>
      </c>
      <c r="N2557" s="6">
        <v>5.0999999999999996</v>
      </c>
      <c r="O2557" s="4">
        <f ca="1">IFERROR(__xludf.DUMMYFUNCTION("IF(Cost_in_dollars!E2557=""USD"",Cost_in_dollars!B2557,Cost_in_dollars!B2557 * GOOGLEFINANCE(""CURRENCY:"" &amp; Cost_in_dollars!E2557 &amp; ""USD""))
"),8000000)</f>
        <v>8000000</v>
      </c>
      <c r="P2557" s="4">
        <f ca="1">IFERROR(__xludf.DUMMYFUNCTION("IF(Cost_in_dollars!E2557=""USD"",Cost_in_dollars!C2557,Cost_in_dollars!C2557 * GOOGLEFINANCE(""CURRENCY:"" &amp; Cost_in_dollars!E2557 &amp; ""USD""))
"),22168359)</f>
        <v>22168359</v>
      </c>
      <c r="Q2557" s="6">
        <f t="shared" ca="1" si="60"/>
        <v>14168359</v>
      </c>
      <c r="R2557" s="7" t="str">
        <f t="shared" si="61"/>
        <v>A Nightmare on Elm Street 5: The Dream Child</v>
      </c>
      <c r="S2557" s="43" t="str">
        <f t="shared" si="59"/>
        <v>Fantasy</v>
      </c>
    </row>
    <row r="2558" spans="1:19" ht="15.75" customHeight="1" x14ac:dyDescent="0.25">
      <c r="A2558" s="4" t="s">
        <v>4637</v>
      </c>
      <c r="B2558" s="4">
        <v>188</v>
      </c>
      <c r="C2558" s="4">
        <v>55673333</v>
      </c>
      <c r="D2558" s="4" t="s">
        <v>8219</v>
      </c>
      <c r="E2558" s="4" t="s">
        <v>2040</v>
      </c>
      <c r="F2558" s="4" t="s">
        <v>8220</v>
      </c>
      <c r="G2558" s="4">
        <v>65785</v>
      </c>
      <c r="H2558" s="4" t="s">
        <v>8221</v>
      </c>
      <c r="I2558" s="4">
        <v>160</v>
      </c>
      <c r="J2558" s="4" t="s">
        <v>23</v>
      </c>
      <c r="K2558" s="4" t="s">
        <v>24</v>
      </c>
      <c r="L2558" s="4">
        <v>80000000</v>
      </c>
      <c r="M2558" s="4">
        <v>2010</v>
      </c>
      <c r="N2558" s="4">
        <v>7</v>
      </c>
      <c r="O2558" s="4">
        <f ca="1">IFERROR(__xludf.DUMMYFUNCTION("IF(Cost_in_dollars!E2558=""USD"",Cost_in_dollars!B2558,Cost_in_dollars!B2558 * GOOGLEFINANCE(""CURRENCY:"" &amp; Cost_in_dollars!E2558 &amp; ""USD""))
"),80000000)</f>
        <v>80000000</v>
      </c>
      <c r="P2558" s="4">
        <f ca="1">IFERROR(__xludf.DUMMYFUNCTION("IF(Cost_in_dollars!E2558=""USD"",Cost_in_dollars!C2558,Cost_in_dollars!C2558 * GOOGLEFINANCE(""CURRENCY:"" &amp; Cost_in_dollars!E2558 &amp; ""USD""))
"),55673333)</f>
        <v>55673333</v>
      </c>
      <c r="Q2558" s="4">
        <f t="shared" ca="1" si="60"/>
        <v>-24326667</v>
      </c>
      <c r="R2558" s="5" t="str">
        <f t="shared" si="61"/>
        <v>Legend of the Guardians: The Owls of Ga'Hoole</v>
      </c>
      <c r="S2558" s="43" t="str">
        <f t="shared" si="59"/>
        <v>Action</v>
      </c>
    </row>
    <row r="2559" spans="1:19" ht="15.75" customHeight="1" x14ac:dyDescent="0.25">
      <c r="A2559" s="6" t="s">
        <v>8222</v>
      </c>
      <c r="B2559" s="6">
        <v>56</v>
      </c>
      <c r="C2559" s="6">
        <v>52961</v>
      </c>
      <c r="D2559" s="6" t="s">
        <v>102</v>
      </c>
      <c r="E2559" s="6" t="s">
        <v>8223</v>
      </c>
      <c r="F2559" s="6" t="s">
        <v>8224</v>
      </c>
      <c r="G2559" s="6">
        <v>2103</v>
      </c>
      <c r="H2559" s="6" t="s">
        <v>109</v>
      </c>
      <c r="I2559" s="6">
        <v>11</v>
      </c>
      <c r="J2559" s="6" t="s">
        <v>23</v>
      </c>
      <c r="K2559" s="6" t="s">
        <v>1111</v>
      </c>
      <c r="L2559" s="6">
        <v>8000000</v>
      </c>
      <c r="M2559" s="6">
        <v>2014</v>
      </c>
      <c r="N2559" s="6">
        <v>5.3</v>
      </c>
      <c r="O2559" s="4">
        <f ca="1">IFERROR(__xludf.DUMMYFUNCTION("IF(Cost_in_dollars!E2559=""USD"",Cost_in_dollars!B2559,Cost_in_dollars!B2559 * GOOGLEFINANCE(""CURRENCY:"" &amp; Cost_in_dollars!E2559 &amp; ""USD""))
"),8677920)</f>
        <v>8677920</v>
      </c>
      <c r="P2559" s="4">
        <f ca="1">IFERROR(__xludf.DUMMYFUNCTION("IF(Cost_in_dollars!E2559=""USD"",Cost_in_dollars!C2559,Cost_in_dollars!C2559 * GOOGLEFINANCE(""CURRENCY:"" &amp; Cost_in_dollars!E2559 &amp; ""USD""))
"),57448.91514)</f>
        <v>57448.915139999997</v>
      </c>
      <c r="Q2559" s="6">
        <f t="shared" ca="1" si="60"/>
        <v>-8620471.0848600008</v>
      </c>
      <c r="R2559" s="7" t="str">
        <f t="shared" si="61"/>
        <v>Aloft</v>
      </c>
      <c r="S2559" s="43" t="str">
        <f t="shared" si="59"/>
        <v>Drama</v>
      </c>
    </row>
    <row r="2560" spans="1:19" ht="15.75" customHeight="1" x14ac:dyDescent="0.25">
      <c r="A2560" s="4" t="s">
        <v>8225</v>
      </c>
      <c r="B2560" s="4">
        <v>93</v>
      </c>
      <c r="C2560" s="4">
        <v>14252830</v>
      </c>
      <c r="D2560" s="4" t="s">
        <v>324</v>
      </c>
      <c r="E2560" s="4" t="s">
        <v>3590</v>
      </c>
      <c r="F2560" s="4" t="s">
        <v>8226</v>
      </c>
      <c r="G2560" s="4">
        <v>18900</v>
      </c>
      <c r="H2560" s="4" t="s">
        <v>8227</v>
      </c>
      <c r="I2560" s="4">
        <v>242</v>
      </c>
      <c r="J2560" s="4" t="s">
        <v>23</v>
      </c>
      <c r="K2560" s="4" t="s">
        <v>627</v>
      </c>
      <c r="L2560" s="4">
        <v>22000000</v>
      </c>
      <c r="M2560" s="4">
        <v>2001</v>
      </c>
      <c r="N2560" s="4">
        <v>5.3</v>
      </c>
      <c r="O2560" s="4">
        <f ca="1">IFERROR(__xludf.DUMMYFUNCTION("IF(Cost_in_dollars!E2560=""USD"",Cost_in_dollars!B2560,Cost_in_dollars!B2560 * GOOGLEFINANCE(""CURRENCY:"" &amp; Cost_in_dollars!E2560 &amp; ""USD""))
"),15914910)</f>
        <v>15914910</v>
      </c>
      <c r="P2560" s="4">
        <f ca="1">IFERROR(__xludf.DUMMYFUNCTION("IF(Cost_in_dollars!E2560=""USD"",Cost_in_dollars!C2560,Cost_in_dollars!C2560 * GOOGLEFINANCE(""CURRENCY:"" &amp; Cost_in_dollars!E2560 &amp; ""USD""))
"),10310568.48615)</f>
        <v>10310568.48615</v>
      </c>
      <c r="Q2560" s="4">
        <f t="shared" ca="1" si="60"/>
        <v>-5604341.5138499998</v>
      </c>
      <c r="R2560" s="5" t="str">
        <f t="shared" si="61"/>
        <v>Josie and the Pussycats</v>
      </c>
      <c r="S2560" s="43" t="str">
        <f t="shared" si="59"/>
        <v>Comedy</v>
      </c>
    </row>
    <row r="2561" spans="1:19" ht="15.75" customHeight="1" x14ac:dyDescent="0.25">
      <c r="A2561" s="6" t="s">
        <v>2173</v>
      </c>
      <c r="B2561" s="6">
        <v>103</v>
      </c>
      <c r="C2561" s="6">
        <v>52691009</v>
      </c>
      <c r="D2561" s="6" t="s">
        <v>860</v>
      </c>
      <c r="E2561" s="6" t="s">
        <v>4784</v>
      </c>
      <c r="F2561" s="6" t="s">
        <v>8228</v>
      </c>
      <c r="G2561" s="6">
        <v>18727</v>
      </c>
      <c r="H2561" s="6" t="s">
        <v>8229</v>
      </c>
      <c r="I2561" s="6">
        <v>45</v>
      </c>
      <c r="J2561" s="6" t="s">
        <v>23</v>
      </c>
      <c r="K2561" s="6" t="s">
        <v>24</v>
      </c>
      <c r="L2561" s="6">
        <v>21000000</v>
      </c>
      <c r="M2561" s="6">
        <v>2011</v>
      </c>
      <c r="N2561" s="6">
        <v>6.6</v>
      </c>
      <c r="O2561" s="4">
        <f ca="1">IFERROR(__xludf.DUMMYFUNCTION("IF(Cost_in_dollars!E2561=""USD"",Cost_in_dollars!B2561,Cost_in_dollars!B2561 * GOOGLEFINANCE(""CURRENCY:"" &amp; Cost_in_dollars!E2561 &amp; ""USD""))
"),21000000)</f>
        <v>21000000</v>
      </c>
      <c r="P2561" s="4">
        <f ca="1">IFERROR(__xludf.DUMMYFUNCTION("IF(Cost_in_dollars!E2561=""USD"",Cost_in_dollars!C2561,Cost_in_dollars!C2561 * GOOGLEFINANCE(""CURRENCY:"" &amp; Cost_in_dollars!E2561 &amp; ""USD""))
"),52691009)</f>
        <v>52691009</v>
      </c>
      <c r="Q2561" s="6">
        <f t="shared" ca="1" si="60"/>
        <v>31691009</v>
      </c>
      <c r="R2561" s="7" t="str">
        <f t="shared" si="61"/>
        <v>Diary of a Wimpy Kid: Rodrick Rules</v>
      </c>
      <c r="S2561" s="43" t="str">
        <f t="shared" si="59"/>
        <v>Comedy</v>
      </c>
    </row>
    <row r="2562" spans="1:19" ht="15.75" customHeight="1" x14ac:dyDescent="0.25">
      <c r="A2562" s="4" t="s">
        <v>1589</v>
      </c>
      <c r="B2562" s="4">
        <v>193</v>
      </c>
      <c r="C2562" s="4">
        <v>39692139</v>
      </c>
      <c r="D2562" s="4" t="s">
        <v>592</v>
      </c>
      <c r="E2562" s="4" t="s">
        <v>881</v>
      </c>
      <c r="F2562" s="4" t="s">
        <v>8230</v>
      </c>
      <c r="G2562" s="4">
        <v>84131</v>
      </c>
      <c r="H2562" s="4" t="s">
        <v>8231</v>
      </c>
      <c r="I2562" s="4">
        <v>400</v>
      </c>
      <c r="J2562" s="4" t="s">
        <v>23</v>
      </c>
      <c r="K2562" s="4" t="s">
        <v>24</v>
      </c>
      <c r="L2562" s="4">
        <v>35000000</v>
      </c>
      <c r="M2562" s="4">
        <v>2004</v>
      </c>
      <c r="N2562" s="4">
        <v>6.2</v>
      </c>
      <c r="O2562" s="4">
        <f ca="1">IFERROR(__xludf.DUMMYFUNCTION("IF(Cost_in_dollars!E2562=""USD"",Cost_in_dollars!B2562,Cost_in_dollars!B2562 * GOOGLEFINANCE(""CURRENCY:"" &amp; Cost_in_dollars!E2562 &amp; ""USD""))
"),35000000)</f>
        <v>35000000</v>
      </c>
      <c r="P2562" s="4">
        <f ca="1">IFERROR(__xludf.DUMMYFUNCTION("IF(Cost_in_dollars!E2562=""USD"",Cost_in_dollars!C2562,Cost_in_dollars!C2562 * GOOGLEFINANCE(""CURRENCY:"" &amp; Cost_in_dollars!E2562 &amp; ""USD""))
"),39692139)</f>
        <v>39692139</v>
      </c>
      <c r="Q2562" s="4">
        <f t="shared" ca="1" si="60"/>
        <v>4692139</v>
      </c>
      <c r="R2562" s="5" t="str">
        <f t="shared" si="61"/>
        <v>The Ladykillers</v>
      </c>
      <c r="S2562" s="43" t="str">
        <f t="shared" ref="S2562:S2625" si="62">IF(ISNUMBER(FIND("|", D2562)), LEFT(D2562, FIND("|", D2562) - 1), D2562)</f>
        <v>Comedy</v>
      </c>
    </row>
    <row r="2563" spans="1:19" ht="15.75" customHeight="1" x14ac:dyDescent="0.25">
      <c r="A2563" s="6" t="s">
        <v>380</v>
      </c>
      <c r="B2563" s="6">
        <v>129</v>
      </c>
      <c r="C2563" s="6">
        <v>40270895</v>
      </c>
      <c r="D2563" s="6" t="s">
        <v>102</v>
      </c>
      <c r="E2563" s="6" t="s">
        <v>2251</v>
      </c>
      <c r="F2563" s="6" t="s">
        <v>8232</v>
      </c>
      <c r="G2563" s="6">
        <v>121937</v>
      </c>
      <c r="H2563" s="6" t="s">
        <v>8233</v>
      </c>
      <c r="I2563" s="6">
        <v>431</v>
      </c>
      <c r="J2563" s="6" t="s">
        <v>23</v>
      </c>
      <c r="K2563" s="6" t="s">
        <v>24</v>
      </c>
      <c r="L2563" s="6">
        <v>22000000</v>
      </c>
      <c r="M2563" s="6">
        <v>2001</v>
      </c>
      <c r="N2563" s="6">
        <v>7.6</v>
      </c>
      <c r="O2563" s="4">
        <f ca="1">IFERROR(__xludf.DUMMYFUNCTION("IF(Cost_in_dollars!E2563=""USD"",Cost_in_dollars!B2563,Cost_in_dollars!B2563 * GOOGLEFINANCE(""CURRENCY:"" &amp; Cost_in_dollars!E2563 &amp; ""USD""))
"),22000000)</f>
        <v>22000000</v>
      </c>
      <c r="P2563" s="4">
        <f ca="1">IFERROR(__xludf.DUMMYFUNCTION("IF(Cost_in_dollars!E2563=""USD"",Cost_in_dollars!C2563,Cost_in_dollars!C2563 * GOOGLEFINANCE(""CURRENCY:"" &amp; Cost_in_dollars!E2563 &amp; ""USD""))
"),40270895)</f>
        <v>40270895</v>
      </c>
      <c r="Q2563" s="6">
        <f t="shared" ca="1" si="60"/>
        <v>18270895</v>
      </c>
      <c r="R2563" s="7" t="str">
        <f t="shared" si="61"/>
        <v>I Am Sam</v>
      </c>
      <c r="S2563" s="43" t="str">
        <f t="shared" si="62"/>
        <v>Drama</v>
      </c>
    </row>
    <row r="2564" spans="1:19" ht="15.75" customHeight="1" x14ac:dyDescent="0.25">
      <c r="A2564" s="4" t="s">
        <v>8234</v>
      </c>
      <c r="B2564" s="4">
        <v>84</v>
      </c>
      <c r="C2564" s="4">
        <v>53715611</v>
      </c>
      <c r="D2564" s="4" t="s">
        <v>7428</v>
      </c>
      <c r="E2564" s="4" t="s">
        <v>2547</v>
      </c>
      <c r="F2564" s="4" t="s">
        <v>8235</v>
      </c>
      <c r="G2564" s="4">
        <v>92106</v>
      </c>
      <c r="H2564" s="4" t="s">
        <v>8236</v>
      </c>
      <c r="I2564" s="4">
        <v>171</v>
      </c>
      <c r="J2564" s="4" t="s">
        <v>23</v>
      </c>
      <c r="K2564" s="4" t="s">
        <v>24</v>
      </c>
      <c r="L2564" s="4">
        <v>63000000</v>
      </c>
      <c r="M2564" s="4">
        <v>1988</v>
      </c>
      <c r="N2564" s="4">
        <v>5.7</v>
      </c>
      <c r="O2564" s="4">
        <f ca="1">IFERROR(__xludf.DUMMYFUNCTION("IF(Cost_in_dollars!E2564=""USD"",Cost_in_dollars!B2564,Cost_in_dollars!B2564 * GOOGLEFINANCE(""CURRENCY:"" &amp; Cost_in_dollars!E2564 &amp; ""USD""))
"),63000000)</f>
        <v>63000000</v>
      </c>
      <c r="P2564" s="4">
        <f ca="1">IFERROR(__xludf.DUMMYFUNCTION("IF(Cost_in_dollars!E2564=""USD"",Cost_in_dollars!C2564,Cost_in_dollars!C2564 * GOOGLEFINANCE(""CURRENCY:"" &amp; Cost_in_dollars!E2564 &amp; ""USD""))
"),53715611)</f>
        <v>53715611</v>
      </c>
      <c r="Q2564" s="4">
        <f t="shared" ca="1" si="60"/>
        <v>-9284389</v>
      </c>
      <c r="R2564" s="5" t="str">
        <f t="shared" si="61"/>
        <v>Rambo III</v>
      </c>
      <c r="S2564" s="43" t="str">
        <f t="shared" si="62"/>
        <v>Action</v>
      </c>
    </row>
    <row r="2565" spans="1:19" ht="15.75" customHeight="1" x14ac:dyDescent="0.25">
      <c r="A2565" s="6" t="s">
        <v>657</v>
      </c>
      <c r="B2565" s="6">
        <v>213</v>
      </c>
      <c r="C2565" s="6">
        <v>1260917</v>
      </c>
      <c r="D2565" s="6" t="s">
        <v>268</v>
      </c>
      <c r="E2565" s="6" t="s">
        <v>8237</v>
      </c>
      <c r="F2565" s="6" t="s">
        <v>8238</v>
      </c>
      <c r="G2565" s="6">
        <v>24657</v>
      </c>
      <c r="H2565" s="6" t="s">
        <v>8239</v>
      </c>
      <c r="I2565" s="6">
        <v>71</v>
      </c>
      <c r="J2565" s="6" t="s">
        <v>661</v>
      </c>
      <c r="K2565" s="6" t="s">
        <v>611</v>
      </c>
      <c r="L2565" s="6">
        <v>27000000</v>
      </c>
      <c r="M2565" s="6">
        <v>2009</v>
      </c>
      <c r="N2565" s="6">
        <v>7.2</v>
      </c>
      <c r="O2565" s="4">
        <f ca="1">IFERROR(__xludf.DUMMYFUNCTION("IF(Cost_in_dollars!E2565=""USD"",Cost_in_dollars!B2565,Cost_in_dollars!B2565 * GOOGLEFINANCE(""CURRENCY:"" &amp; Cost_in_dollars!E2565 &amp; ""USD""))
"),29287980)</f>
        <v>29287980</v>
      </c>
      <c r="P2565" s="4">
        <f ca="1">IFERROR(__xludf.DUMMYFUNCTION("IF(Cost_in_dollars!E2565=""USD"",Cost_in_dollars!C2565,Cost_in_dollars!C2565 * GOOGLEFINANCE(""CURRENCY:"" &amp; Cost_in_dollars!E2565 &amp; ""USD""))
"),1367767.10658)</f>
        <v>1367767.1065799999</v>
      </c>
      <c r="Q2565" s="6">
        <f t="shared" ca="1" si="60"/>
        <v>-27920212.89342</v>
      </c>
      <c r="R2565" s="7" t="str">
        <f t="shared" si="61"/>
        <v>Micmacs</v>
      </c>
      <c r="S2565" s="43" t="str">
        <f t="shared" si="62"/>
        <v>Action</v>
      </c>
    </row>
    <row r="2566" spans="1:19" ht="15.75" customHeight="1" x14ac:dyDescent="0.25">
      <c r="A2566" s="4" t="s">
        <v>8240</v>
      </c>
      <c r="B2566" s="4">
        <v>138</v>
      </c>
      <c r="C2566" s="4">
        <v>1796024</v>
      </c>
      <c r="D2566" s="4" t="s">
        <v>372</v>
      </c>
      <c r="E2566" s="4" t="s">
        <v>886</v>
      </c>
      <c r="F2566" s="4" t="s">
        <v>8241</v>
      </c>
      <c r="G2566" s="4">
        <v>34985</v>
      </c>
      <c r="H2566" s="4" t="s">
        <v>8242</v>
      </c>
      <c r="I2566" s="4">
        <v>135</v>
      </c>
      <c r="J2566" s="4" t="s">
        <v>23</v>
      </c>
      <c r="K2566" s="4" t="s">
        <v>24</v>
      </c>
      <c r="L2566" s="4">
        <v>22000000</v>
      </c>
      <c r="M2566" s="4">
        <v>2010</v>
      </c>
      <c r="N2566" s="4">
        <v>5.4</v>
      </c>
      <c r="O2566" s="4">
        <f ca="1">IFERROR(__xludf.DUMMYFUNCTION("IF(Cost_in_dollars!E2566=""USD"",Cost_in_dollars!B2566,Cost_in_dollars!B2566 * GOOGLEFINANCE(""CURRENCY:"" &amp; Cost_in_dollars!E2566 &amp; ""USD""))
"),22000000)</f>
        <v>22000000</v>
      </c>
      <c r="P2566" s="4">
        <f ca="1">IFERROR(__xludf.DUMMYFUNCTION("IF(Cost_in_dollars!E2566=""USD"",Cost_in_dollars!C2566,Cost_in_dollars!C2566 * GOOGLEFINANCE(""CURRENCY:"" &amp; Cost_in_dollars!E2566 &amp; ""USD""))
"),1796024)</f>
        <v>1796024</v>
      </c>
      <c r="Q2566" s="4">
        <f t="shared" ca="1" si="60"/>
        <v>-20203976</v>
      </c>
      <c r="R2566" s="5" t="str">
        <f t="shared" si="61"/>
        <v>Stone</v>
      </c>
      <c r="S2566" s="43" t="str">
        <f t="shared" si="62"/>
        <v>Drama</v>
      </c>
    </row>
    <row r="2567" spans="1:19" ht="15.75" customHeight="1" x14ac:dyDescent="0.25">
      <c r="A2567" s="6" t="s">
        <v>8243</v>
      </c>
      <c r="B2567" s="6">
        <v>214</v>
      </c>
      <c r="C2567" s="6">
        <v>42478175</v>
      </c>
      <c r="D2567" s="6" t="s">
        <v>3272</v>
      </c>
      <c r="E2567" s="6" t="s">
        <v>640</v>
      </c>
      <c r="F2567" s="6" t="s">
        <v>8244</v>
      </c>
      <c r="G2567" s="6">
        <v>93767</v>
      </c>
      <c r="H2567" s="6" t="s">
        <v>8245</v>
      </c>
      <c r="I2567" s="6">
        <v>209</v>
      </c>
      <c r="J2567" s="6" t="s">
        <v>23</v>
      </c>
      <c r="K2567" s="6" t="s">
        <v>24</v>
      </c>
      <c r="L2567" s="6">
        <v>25000000</v>
      </c>
      <c r="M2567" s="6">
        <v>2015</v>
      </c>
      <c r="N2567" s="6">
        <v>7.2</v>
      </c>
      <c r="O2567" s="4">
        <f ca="1">IFERROR(__xludf.DUMMYFUNCTION("IF(Cost_in_dollars!E2567=""USD"",Cost_in_dollars!B2567,Cost_in_dollars!B2567 * GOOGLEFINANCE(""CURRENCY:"" &amp; Cost_in_dollars!E2567 &amp; ""USD""))
"),25000000)</f>
        <v>25000000</v>
      </c>
      <c r="P2567" s="4">
        <f ca="1">IFERROR(__xludf.DUMMYFUNCTION("IF(Cost_in_dollars!E2567=""USD"",Cost_in_dollars!C2567,Cost_in_dollars!C2567 * GOOGLEFINANCE(""CURRENCY:"" &amp; Cost_in_dollars!E2567 &amp; ""USD""))
"),42478175)</f>
        <v>42478175</v>
      </c>
      <c r="Q2567" s="6">
        <f t="shared" ca="1" si="60"/>
        <v>17478175</v>
      </c>
      <c r="R2567" s="7" t="str">
        <f t="shared" si="61"/>
        <v>The Age of Adaline</v>
      </c>
      <c r="S2567" s="43" t="str">
        <f t="shared" si="62"/>
        <v>Drama</v>
      </c>
    </row>
    <row r="2568" spans="1:19" ht="15.75" customHeight="1" x14ac:dyDescent="0.25">
      <c r="A2568" s="4" t="s">
        <v>4544</v>
      </c>
      <c r="B2568" s="4">
        <v>61</v>
      </c>
      <c r="C2568" s="4">
        <v>18318000</v>
      </c>
      <c r="D2568" s="4" t="s">
        <v>7143</v>
      </c>
      <c r="E2568" s="4" t="s">
        <v>789</v>
      </c>
      <c r="F2568" s="4" t="s">
        <v>8246</v>
      </c>
      <c r="G2568" s="4">
        <v>24868</v>
      </c>
      <c r="H2568" s="4" t="s">
        <v>8247</v>
      </c>
      <c r="I2568" s="4">
        <v>216</v>
      </c>
      <c r="J2568" s="4" t="s">
        <v>23</v>
      </c>
      <c r="K2568" s="4" t="s">
        <v>149</v>
      </c>
      <c r="L2568" s="4">
        <v>80000000</v>
      </c>
      <c r="M2568" s="4">
        <v>1998</v>
      </c>
      <c r="N2568" s="4">
        <v>5.8</v>
      </c>
      <c r="O2568" s="4">
        <f ca="1">IFERROR(__xludf.DUMMYFUNCTION("IF(Cost_in_dollars!E2568=""USD"",Cost_in_dollars!B2568,Cost_in_dollars!B2568 * GOOGLEFINANCE(""CURRENCY:"" &amp; Cost_in_dollars!E2568 &amp; ""USD""))
"),52310400)</f>
        <v>52310400</v>
      </c>
      <c r="P2568" s="4">
        <f ca="1">IFERROR(__xludf.DUMMYFUNCTION("IF(Cost_in_dollars!E2568=""USD"",Cost_in_dollars!C2568,Cost_in_dollars!C2568 * GOOGLEFINANCE(""CURRENCY:"" &amp; Cost_in_dollars!E2568 &amp; ""USD""))
"),11977773.84)</f>
        <v>11977773.84</v>
      </c>
      <c r="Q2568" s="4">
        <f t="shared" ca="1" si="60"/>
        <v>-40332626.159999996</v>
      </c>
      <c r="R2568" s="5" t="str">
        <f t="shared" si="61"/>
        <v>Babe: Pig in the City</v>
      </c>
      <c r="S2568" s="43" t="str">
        <f t="shared" si="62"/>
        <v>Adventure</v>
      </c>
    </row>
    <row r="2569" spans="1:19" ht="15.75" customHeight="1" x14ac:dyDescent="0.25">
      <c r="A2569" s="6" t="s">
        <v>4457</v>
      </c>
      <c r="B2569" s="6">
        <v>131</v>
      </c>
      <c r="C2569" s="6">
        <v>72279690</v>
      </c>
      <c r="D2569" s="6" t="s">
        <v>2179</v>
      </c>
      <c r="E2569" s="6" t="s">
        <v>173</v>
      </c>
      <c r="F2569" s="6" t="s">
        <v>8248</v>
      </c>
      <c r="G2569" s="6">
        <v>17948</v>
      </c>
      <c r="H2569" s="6" t="s">
        <v>8249</v>
      </c>
      <c r="I2569" s="6">
        <v>86</v>
      </c>
      <c r="J2569" s="6" t="s">
        <v>23</v>
      </c>
      <c r="K2569" s="6" t="s">
        <v>24</v>
      </c>
      <c r="L2569" s="6">
        <v>37000000</v>
      </c>
      <c r="M2569" s="6">
        <v>2011</v>
      </c>
      <c r="N2569" s="6">
        <v>6.9</v>
      </c>
      <c r="O2569" s="4">
        <f ca="1">IFERROR(__xludf.DUMMYFUNCTION("IF(Cost_in_dollars!E2569=""USD"",Cost_in_dollars!B2569,Cost_in_dollars!B2569 * GOOGLEFINANCE(""CURRENCY:"" &amp; Cost_in_dollars!E2569 &amp; ""USD""))
"),37000000)</f>
        <v>37000000</v>
      </c>
      <c r="P2569" s="4">
        <f ca="1">IFERROR(__xludf.DUMMYFUNCTION("IF(Cost_in_dollars!E2569=""USD"",Cost_in_dollars!C2569,Cost_in_dollars!C2569 * GOOGLEFINANCE(""CURRENCY:"" &amp; Cost_in_dollars!E2569 &amp; ""USD""))
"),72279690)</f>
        <v>72279690</v>
      </c>
      <c r="Q2569" s="6">
        <f t="shared" ca="1" si="60"/>
        <v>35279690</v>
      </c>
      <c r="R2569" s="7" t="str">
        <f t="shared" si="61"/>
        <v>Dolphin Tale</v>
      </c>
      <c r="S2569" s="43" t="str">
        <f t="shared" si="62"/>
        <v>Drama</v>
      </c>
    </row>
    <row r="2570" spans="1:19" ht="15.75" customHeight="1" x14ac:dyDescent="0.25">
      <c r="A2570" s="4" t="s">
        <v>505</v>
      </c>
      <c r="B2570" s="4">
        <v>45</v>
      </c>
      <c r="C2570" s="4">
        <v>10572742</v>
      </c>
      <c r="D2570" s="4" t="s">
        <v>235</v>
      </c>
      <c r="E2570" s="4" t="s">
        <v>125</v>
      </c>
      <c r="F2570" s="4" t="s">
        <v>8250</v>
      </c>
      <c r="G2570" s="4">
        <v>2326</v>
      </c>
      <c r="H2570" s="4" t="s">
        <v>8251</v>
      </c>
      <c r="I2570" s="4">
        <v>21</v>
      </c>
      <c r="J2570" s="4" t="s">
        <v>23</v>
      </c>
      <c r="K2570" s="4" t="s">
        <v>24</v>
      </c>
      <c r="L2570" s="4">
        <v>8000000</v>
      </c>
      <c r="M2570" s="4">
        <v>2009</v>
      </c>
      <c r="N2570" s="4">
        <v>6.1</v>
      </c>
      <c r="O2570" s="4">
        <f ca="1">IFERROR(__xludf.DUMMYFUNCTION("IF(Cost_in_dollars!E2570=""USD"",Cost_in_dollars!B2570,Cost_in_dollars!B2570 * GOOGLEFINANCE(""CURRENCY:"" &amp; Cost_in_dollars!E2570 &amp; ""USD""))
"),8000000)</f>
        <v>8000000</v>
      </c>
      <c r="P2570" s="4">
        <f ca="1">IFERROR(__xludf.DUMMYFUNCTION("IF(Cost_in_dollars!E2570=""USD"",Cost_in_dollars!C2570,Cost_in_dollars!C2570 * GOOGLEFINANCE(""CURRENCY:"" &amp; Cost_in_dollars!E2570 &amp; ""USD""))
"),10572742)</f>
        <v>10572742</v>
      </c>
      <c r="Q2570" s="4">
        <f t="shared" ca="1" si="60"/>
        <v>2572742</v>
      </c>
      <c r="R2570" s="5" t="str">
        <f t="shared" si="61"/>
        <v>Not Easily Broken</v>
      </c>
      <c r="S2570" s="43" t="str">
        <f t="shared" si="62"/>
        <v>Drama</v>
      </c>
    </row>
    <row r="2571" spans="1:19" ht="15.75" customHeight="1" x14ac:dyDescent="0.25">
      <c r="A2571" s="6" t="s">
        <v>8252</v>
      </c>
      <c r="B2571" s="6">
        <v>70</v>
      </c>
      <c r="C2571" s="6">
        <v>2047570</v>
      </c>
      <c r="D2571" s="6" t="s">
        <v>8253</v>
      </c>
      <c r="E2571" s="6" t="s">
        <v>8254</v>
      </c>
      <c r="F2571" s="6" t="s">
        <v>8255</v>
      </c>
      <c r="G2571" s="6">
        <v>6790</v>
      </c>
      <c r="H2571" s="6" t="s">
        <v>8256</v>
      </c>
      <c r="I2571" s="6">
        <v>80</v>
      </c>
      <c r="J2571" s="6" t="s">
        <v>23</v>
      </c>
      <c r="K2571" s="6" t="s">
        <v>24</v>
      </c>
      <c r="L2571" s="6">
        <v>500000</v>
      </c>
      <c r="M2571" s="6">
        <v>1999</v>
      </c>
      <c r="N2571" s="6">
        <v>7.6</v>
      </c>
      <c r="O2571" s="4">
        <f ca="1">IFERROR(__xludf.DUMMYFUNCTION("IF(Cost_in_dollars!E2571=""USD"",Cost_in_dollars!B2571,Cost_in_dollars!B2571 * GOOGLEFINANCE(""CURRENCY:"" &amp; Cost_in_dollars!E2571 &amp; ""USD""))
"),500000)</f>
        <v>500000</v>
      </c>
      <c r="P2571" s="4">
        <f ca="1">IFERROR(__xludf.DUMMYFUNCTION("IF(Cost_in_dollars!E2571=""USD"",Cost_in_dollars!C2571,Cost_in_dollars!C2571 * GOOGLEFINANCE(""CURRENCY:"" &amp; Cost_in_dollars!E2571 &amp; ""USD""))
"),2047570)</f>
        <v>2047570</v>
      </c>
      <c r="Q2571" s="6">
        <f t="shared" ca="1" si="60"/>
        <v>1547570</v>
      </c>
      <c r="R2571" s="7" t="str">
        <f t="shared" si="61"/>
        <v>Beyond the Mat</v>
      </c>
      <c r="S2571" s="43" t="str">
        <f t="shared" si="62"/>
        <v>Biography</v>
      </c>
    </row>
    <row r="2572" spans="1:19" ht="15.75" customHeight="1" x14ac:dyDescent="0.25">
      <c r="A2572" s="4" t="s">
        <v>628</v>
      </c>
      <c r="B2572" s="4">
        <v>120</v>
      </c>
      <c r="C2572" s="4">
        <v>40932372</v>
      </c>
      <c r="D2572" s="4" t="s">
        <v>1099</v>
      </c>
      <c r="E2572" s="4" t="s">
        <v>69</v>
      </c>
      <c r="F2572" s="4" t="s">
        <v>8257</v>
      </c>
      <c r="G2572" s="4">
        <v>58023</v>
      </c>
      <c r="H2572" s="4" t="s">
        <v>8258</v>
      </c>
      <c r="I2572" s="4">
        <v>281</v>
      </c>
      <c r="J2572" s="4" t="s">
        <v>23</v>
      </c>
      <c r="K2572" s="4" t="s">
        <v>24</v>
      </c>
      <c r="L2572" s="4">
        <v>70000000</v>
      </c>
      <c r="M2572" s="4">
        <v>1998</v>
      </c>
      <c r="N2572" s="4">
        <v>6.3</v>
      </c>
      <c r="O2572" s="4">
        <f ca="1">IFERROR(__xludf.DUMMYFUNCTION("IF(Cost_in_dollars!E2572=""USD"",Cost_in_dollars!B2572,Cost_in_dollars!B2572 * GOOGLEFINANCE(""CURRENCY:"" &amp; Cost_in_dollars!E2572 &amp; ""USD""))
"),70000000)</f>
        <v>70000000</v>
      </c>
      <c r="P2572" s="4">
        <f ca="1">IFERROR(__xludf.DUMMYFUNCTION("IF(Cost_in_dollars!E2572=""USD"",Cost_in_dollars!C2572,Cost_in_dollars!C2572 * GOOGLEFINANCE(""CURRENCY:"" &amp; Cost_in_dollars!E2572 &amp; ""USD""))
"),40932372)</f>
        <v>40932372</v>
      </c>
      <c r="Q2572" s="4">
        <f t="shared" ca="1" si="60"/>
        <v>-29067628</v>
      </c>
      <c r="R2572" s="5" t="str">
        <f t="shared" si="61"/>
        <v>The Siege</v>
      </c>
      <c r="S2572" s="43" t="str">
        <f t="shared" si="62"/>
        <v>Action</v>
      </c>
    </row>
    <row r="2573" spans="1:19" ht="15.75" customHeight="1" x14ac:dyDescent="0.25">
      <c r="A2573" s="6" t="s">
        <v>4603</v>
      </c>
      <c r="B2573" s="6">
        <v>88</v>
      </c>
      <c r="C2573" s="6">
        <v>548712</v>
      </c>
      <c r="D2573" s="6" t="s">
        <v>235</v>
      </c>
      <c r="E2573" s="6" t="s">
        <v>3050</v>
      </c>
      <c r="F2573" s="6" t="s">
        <v>8259</v>
      </c>
      <c r="G2573" s="6">
        <v>9233</v>
      </c>
      <c r="H2573" s="6" t="s">
        <v>8260</v>
      </c>
      <c r="I2573" s="6">
        <v>126</v>
      </c>
      <c r="J2573" s="6" t="s">
        <v>23</v>
      </c>
      <c r="K2573" s="6" t="s">
        <v>24</v>
      </c>
      <c r="L2573" s="6">
        <v>2500000</v>
      </c>
      <c r="M2573" s="6">
        <v>2003</v>
      </c>
      <c r="N2573" s="6">
        <v>6.9</v>
      </c>
      <c r="O2573" s="4">
        <f ca="1">IFERROR(__xludf.DUMMYFUNCTION("IF(Cost_in_dollars!E2573=""USD"",Cost_in_dollars!B2573,Cost_in_dollars!B2573 * GOOGLEFINANCE(""CURRENCY:"" &amp; Cost_in_dollars!E2573 &amp; ""USD""))
"),2500000)</f>
        <v>2500000</v>
      </c>
      <c r="P2573" s="4">
        <f ca="1">IFERROR(__xludf.DUMMYFUNCTION("IF(Cost_in_dollars!E2573=""USD"",Cost_in_dollars!C2573,Cost_in_dollars!C2573 * GOOGLEFINANCE(""CURRENCY:"" &amp; Cost_in_dollars!E2573 &amp; ""USD""))
"),548712)</f>
        <v>548712</v>
      </c>
      <c r="Q2573" s="6">
        <f t="shared" ca="1" si="60"/>
        <v>-1951288</v>
      </c>
      <c r="R2573" s="7" t="str">
        <f t="shared" si="61"/>
        <v>All the Real Girls</v>
      </c>
      <c r="S2573" s="43" t="str">
        <f t="shared" si="62"/>
        <v>Drama</v>
      </c>
    </row>
    <row r="2574" spans="1:19" ht="15.75" customHeight="1" x14ac:dyDescent="0.25">
      <c r="A2574" s="4" t="s">
        <v>37</v>
      </c>
      <c r="B2574" s="4">
        <v>306</v>
      </c>
      <c r="C2574" s="4">
        <v>37479778</v>
      </c>
      <c r="D2574" s="4" t="s">
        <v>31</v>
      </c>
      <c r="E2574" s="4" t="s">
        <v>588</v>
      </c>
      <c r="F2574" s="4" t="s">
        <v>8261</v>
      </c>
      <c r="G2574" s="4">
        <v>124222</v>
      </c>
      <c r="H2574" s="4" t="s">
        <v>8262</v>
      </c>
      <c r="I2574" s="4">
        <v>259</v>
      </c>
      <c r="J2574" s="4" t="s">
        <v>23</v>
      </c>
      <c r="K2574" s="4" t="s">
        <v>24</v>
      </c>
      <c r="L2574" s="4">
        <v>60000000</v>
      </c>
      <c r="M2574" s="4">
        <v>2009</v>
      </c>
      <c r="N2574" s="4">
        <v>7.4</v>
      </c>
      <c r="O2574" s="4">
        <f ca="1">IFERROR(__xludf.DUMMYFUNCTION("IF(Cost_in_dollars!E2574=""USD"",Cost_in_dollars!B2574,Cost_in_dollars!B2574 * GOOGLEFINANCE(""CURRENCY:"" &amp; Cost_in_dollars!E2574 &amp; ""USD""))
"),60000000)</f>
        <v>60000000</v>
      </c>
      <c r="P2574" s="4">
        <f ca="1">IFERROR(__xludf.DUMMYFUNCTION("IF(Cost_in_dollars!E2574=""USD"",Cost_in_dollars!C2574,Cost_in_dollars!C2574 * GOOGLEFINANCE(""CURRENCY:"" &amp; Cost_in_dollars!E2574 &amp; ""USD""))
"),37479778)</f>
        <v>37479778</v>
      </c>
      <c r="Q2574" s="4">
        <f t="shared" ca="1" si="60"/>
        <v>-22520222</v>
      </c>
      <c r="R2574" s="5" t="str">
        <f t="shared" si="61"/>
        <v>Invictus</v>
      </c>
      <c r="S2574" s="43" t="str">
        <f t="shared" si="62"/>
        <v>Biography</v>
      </c>
    </row>
    <row r="2575" spans="1:19" ht="15.75" customHeight="1" x14ac:dyDescent="0.25">
      <c r="A2575" s="6" t="s">
        <v>3729</v>
      </c>
      <c r="B2575" s="6">
        <v>285</v>
      </c>
      <c r="C2575" s="6">
        <v>7186670</v>
      </c>
      <c r="D2575" s="6" t="s">
        <v>8263</v>
      </c>
      <c r="E2575" s="6" t="s">
        <v>6935</v>
      </c>
      <c r="F2575" s="6" t="s">
        <v>8264</v>
      </c>
      <c r="G2575" s="6">
        <v>21468</v>
      </c>
      <c r="H2575" s="6" t="s">
        <v>8265</v>
      </c>
      <c r="I2575" s="6">
        <v>164</v>
      </c>
      <c r="J2575" s="6" t="s">
        <v>23</v>
      </c>
      <c r="K2575" s="6" t="s">
        <v>24</v>
      </c>
      <c r="L2575" s="6">
        <v>6000000</v>
      </c>
      <c r="M2575" s="6">
        <v>2013</v>
      </c>
      <c r="N2575" s="6">
        <v>5.4</v>
      </c>
      <c r="O2575" s="4">
        <f ca="1">IFERROR(__xludf.DUMMYFUNCTION("IF(Cost_in_dollars!E2575=""USD"",Cost_in_dollars!B2575,Cost_in_dollars!B2575 * GOOGLEFINANCE(""CURRENCY:"" &amp; Cost_in_dollars!E2575 &amp; ""USD""))
"),6000000)</f>
        <v>6000000</v>
      </c>
      <c r="P2575" s="4">
        <f ca="1">IFERROR(__xludf.DUMMYFUNCTION("IF(Cost_in_dollars!E2575=""USD"",Cost_in_dollars!C2575,Cost_in_dollars!C2575 * GOOGLEFINANCE(""CURRENCY:"" &amp; Cost_in_dollars!E2575 &amp; ""USD""))
"),7186670)</f>
        <v>7186670</v>
      </c>
      <c r="Q2575" s="6">
        <f t="shared" ca="1" si="60"/>
        <v>1186670</v>
      </c>
      <c r="R2575" s="7" t="str">
        <f t="shared" si="61"/>
        <v>The Green Inferno</v>
      </c>
      <c r="S2575" s="43" t="str">
        <f t="shared" si="62"/>
        <v>Adventure</v>
      </c>
    </row>
    <row r="2576" spans="1:19" ht="15.75" customHeight="1" x14ac:dyDescent="0.25">
      <c r="A2576" s="4" t="s">
        <v>8266</v>
      </c>
      <c r="B2576" s="4">
        <v>208</v>
      </c>
      <c r="C2576" s="4">
        <v>2428883</v>
      </c>
      <c r="D2576" s="4" t="s">
        <v>3787</v>
      </c>
      <c r="E2576" s="4" t="s">
        <v>4107</v>
      </c>
      <c r="F2576" s="4" t="s">
        <v>8267</v>
      </c>
      <c r="G2576" s="4">
        <v>21370</v>
      </c>
      <c r="H2576" s="4" t="s">
        <v>8268</v>
      </c>
      <c r="I2576" s="4">
        <v>132</v>
      </c>
      <c r="J2576" s="4" t="s">
        <v>23</v>
      </c>
      <c r="K2576" s="4" t="s">
        <v>24</v>
      </c>
      <c r="L2576" s="4">
        <v>16000000</v>
      </c>
      <c r="M2576" s="4">
        <v>2014</v>
      </c>
      <c r="N2576" s="4">
        <v>6.6</v>
      </c>
      <c r="O2576" s="4">
        <f ca="1">IFERROR(__xludf.DUMMYFUNCTION("IF(Cost_in_dollars!E2576=""USD"",Cost_in_dollars!B2576,Cost_in_dollars!B2576 * GOOGLEFINANCE(""CURRENCY:"" &amp; Cost_in_dollars!E2576 &amp; ""USD""))
"),16000000)</f>
        <v>16000000</v>
      </c>
      <c r="P2576" s="4">
        <f ca="1">IFERROR(__xludf.DUMMYFUNCTION("IF(Cost_in_dollars!E2576=""USD"",Cost_in_dollars!C2576,Cost_in_dollars!C2576 * GOOGLEFINANCE(""CURRENCY:"" &amp; Cost_in_dollars!E2576 &amp; ""USD""))
"),2428883)</f>
        <v>2428883</v>
      </c>
      <c r="Q2576" s="4">
        <f t="shared" ca="1" si="60"/>
        <v>-13571117</v>
      </c>
      <c r="R2576" s="5" t="str">
        <f t="shared" si="61"/>
        <v>The Homesman</v>
      </c>
      <c r="S2576" s="43" t="str">
        <f t="shared" si="62"/>
        <v>Drama</v>
      </c>
    </row>
    <row r="2577" spans="1:19" ht="15.75" customHeight="1" x14ac:dyDescent="0.25">
      <c r="A2577" s="6" t="s">
        <v>3647</v>
      </c>
      <c r="B2577" s="6">
        <v>186</v>
      </c>
      <c r="C2577" s="6">
        <v>136801374</v>
      </c>
      <c r="D2577" s="6" t="s">
        <v>8269</v>
      </c>
      <c r="E2577" s="6" t="s">
        <v>464</v>
      </c>
      <c r="F2577" s="6" t="s">
        <v>8270</v>
      </c>
      <c r="G2577" s="6">
        <v>782610</v>
      </c>
      <c r="H2577" s="6" t="s">
        <v>8271</v>
      </c>
      <c r="I2577" s="6">
        <v>1377</v>
      </c>
      <c r="J2577" s="6" t="s">
        <v>23</v>
      </c>
      <c r="K2577" s="6" t="s">
        <v>24</v>
      </c>
      <c r="L2577" s="6">
        <v>60000000</v>
      </c>
      <c r="M2577" s="6">
        <v>1999</v>
      </c>
      <c r="N2577" s="6">
        <v>8.5</v>
      </c>
      <c r="O2577" s="4">
        <f ca="1">IFERROR(__xludf.DUMMYFUNCTION("IF(Cost_in_dollars!E2577=""USD"",Cost_in_dollars!B2577,Cost_in_dollars!B2577 * GOOGLEFINANCE(""CURRENCY:"" &amp; Cost_in_dollars!E2577 &amp; ""USD""))
"),60000000)</f>
        <v>60000000</v>
      </c>
      <c r="P2577" s="4">
        <f ca="1">IFERROR(__xludf.DUMMYFUNCTION("IF(Cost_in_dollars!E2577=""USD"",Cost_in_dollars!C2577,Cost_in_dollars!C2577 * GOOGLEFINANCE(""CURRENCY:"" &amp; Cost_in_dollars!E2577 &amp; ""USD""))
"),136801374)</f>
        <v>136801374</v>
      </c>
      <c r="Q2577" s="6">
        <f t="shared" ca="1" si="60"/>
        <v>76801374</v>
      </c>
      <c r="R2577" s="7" t="str">
        <f t="shared" si="61"/>
        <v>The Green Mile</v>
      </c>
      <c r="S2577" s="43" t="str">
        <f t="shared" si="62"/>
        <v>Crime</v>
      </c>
    </row>
    <row r="2578" spans="1:19" ht="15.75" customHeight="1" x14ac:dyDescent="0.25">
      <c r="A2578" s="4" t="s">
        <v>8272</v>
      </c>
      <c r="B2578" s="4">
        <v>12</v>
      </c>
      <c r="C2578" s="4">
        <v>174682</v>
      </c>
      <c r="D2578" s="4" t="s">
        <v>421</v>
      </c>
      <c r="E2578" s="4" t="s">
        <v>8273</v>
      </c>
      <c r="F2578" s="4" t="s">
        <v>8274</v>
      </c>
      <c r="G2578" s="4">
        <v>460</v>
      </c>
      <c r="H2578" s="4" t="s">
        <v>8275</v>
      </c>
      <c r="I2578" s="4">
        <v>14</v>
      </c>
      <c r="J2578" s="4" t="s">
        <v>23</v>
      </c>
      <c r="K2578" s="4" t="s">
        <v>24</v>
      </c>
      <c r="L2578" s="4">
        <v>200000</v>
      </c>
      <c r="M2578" s="4">
        <v>2002</v>
      </c>
      <c r="N2578" s="4">
        <v>6.9</v>
      </c>
      <c r="O2578" s="4">
        <f ca="1">IFERROR(__xludf.DUMMYFUNCTION("IF(Cost_in_dollars!E2578=""USD"",Cost_in_dollars!B2578,Cost_in_dollars!B2578 * GOOGLEFINANCE(""CURRENCY:"" &amp; Cost_in_dollars!E2578 &amp; ""USD""))
"),200000)</f>
        <v>200000</v>
      </c>
      <c r="P2578" s="4">
        <f ca="1">IFERROR(__xludf.DUMMYFUNCTION("IF(Cost_in_dollars!E2578=""USD"",Cost_in_dollars!C2578,Cost_in_dollars!C2578 * GOOGLEFINANCE(""CURRENCY:"" &amp; Cost_in_dollars!E2578 &amp; ""USD""))
"),174682)</f>
        <v>174682</v>
      </c>
      <c r="Q2578" s="4">
        <f t="shared" ca="1" si="60"/>
        <v>-25318</v>
      </c>
      <c r="R2578" s="5" t="str">
        <f t="shared" si="61"/>
        <v>The Business of Fancydancing</v>
      </c>
      <c r="S2578" s="43" t="str">
        <f t="shared" si="62"/>
        <v>Drama</v>
      </c>
    </row>
    <row r="2579" spans="1:19" ht="15.75" customHeight="1" x14ac:dyDescent="0.25">
      <c r="A2579" s="6" t="s">
        <v>411</v>
      </c>
      <c r="B2579" s="6">
        <v>67</v>
      </c>
      <c r="C2579" s="6">
        <v>1027749</v>
      </c>
      <c r="D2579" s="6" t="s">
        <v>682</v>
      </c>
      <c r="E2579" s="6" t="s">
        <v>4122</v>
      </c>
      <c r="F2579" s="6" t="s">
        <v>8276</v>
      </c>
      <c r="G2579" s="6">
        <v>8087</v>
      </c>
      <c r="H2579" s="6" t="s">
        <v>8277</v>
      </c>
      <c r="I2579" s="6">
        <v>33</v>
      </c>
      <c r="J2579" s="6" t="s">
        <v>23</v>
      </c>
      <c r="K2579" s="6" t="s">
        <v>149</v>
      </c>
      <c r="L2579" s="6">
        <v>40000000</v>
      </c>
      <c r="M2579" s="6">
        <v>2008</v>
      </c>
      <c r="N2579" s="6">
        <v>7.1</v>
      </c>
      <c r="O2579" s="4">
        <f ca="1">IFERROR(__xludf.DUMMYFUNCTION("IF(Cost_in_dollars!E2579=""USD"",Cost_in_dollars!B2579,Cost_in_dollars!B2579 * GOOGLEFINANCE(""CURRENCY:"" &amp; Cost_in_dollars!E2579 &amp; ""USD""))
"),26155200)</f>
        <v>26155200</v>
      </c>
      <c r="P2579" s="4">
        <f ca="1">IFERROR(__xludf.DUMMYFUNCTION("IF(Cost_in_dollars!E2579=""USD"",Cost_in_dollars!C2579,Cost_in_dollars!C2579 * GOOGLEFINANCE(""CURRENCY:"" &amp; Cost_in_dollars!E2579 &amp; ""USD""))
"),672024.51612)</f>
        <v>672024.51612000004</v>
      </c>
      <c r="Q2579" s="6">
        <f t="shared" ca="1" si="60"/>
        <v>-25483175.483879998</v>
      </c>
      <c r="R2579" s="7" t="str">
        <f t="shared" si="61"/>
        <v>The Children of Huang Shi</v>
      </c>
      <c r="S2579" s="43" t="str">
        <f t="shared" si="62"/>
        <v>Drama</v>
      </c>
    </row>
    <row r="2580" spans="1:19" ht="15.75" customHeight="1" x14ac:dyDescent="0.25">
      <c r="A2580" s="4" t="s">
        <v>7632</v>
      </c>
      <c r="B2580" s="4">
        <v>211</v>
      </c>
      <c r="C2580" s="4">
        <v>40559930</v>
      </c>
      <c r="D2580" s="4" t="s">
        <v>6118</v>
      </c>
      <c r="E2580" s="4" t="s">
        <v>536</v>
      </c>
      <c r="F2580" s="4" t="s">
        <v>8278</v>
      </c>
      <c r="G2580" s="4">
        <v>41727</v>
      </c>
      <c r="H2580" s="4" t="s">
        <v>8279</v>
      </c>
      <c r="I2580" s="4">
        <v>184</v>
      </c>
      <c r="J2580" s="4" t="s">
        <v>23</v>
      </c>
      <c r="K2580" s="4" t="s">
        <v>24</v>
      </c>
      <c r="L2580" s="4">
        <v>60000000</v>
      </c>
      <c r="M2580" s="4">
        <v>2009</v>
      </c>
      <c r="N2580" s="4">
        <v>6.2</v>
      </c>
      <c r="O2580" s="4">
        <f ca="1">IFERROR(__xludf.DUMMYFUNCTION("IF(Cost_in_dollars!E2580=""USD"",Cost_in_dollars!B2580,Cost_in_dollars!B2580 * GOOGLEFINANCE(""CURRENCY:"" &amp; Cost_in_dollars!E2580 &amp; ""USD""))
"),60000000)</f>
        <v>60000000</v>
      </c>
      <c r="P2580" s="4">
        <f ca="1">IFERROR(__xludf.DUMMYFUNCTION("IF(Cost_in_dollars!E2580=""USD"",Cost_in_dollars!C2580,Cost_in_dollars!C2580 * GOOGLEFINANCE(""CURRENCY:"" &amp; Cost_in_dollars!E2580 &amp; ""USD""))
"),40559930)</f>
        <v>40559930</v>
      </c>
      <c r="Q2580" s="4">
        <f t="shared" ca="1" si="60"/>
        <v>-19440070</v>
      </c>
      <c r="R2580" s="5" t="str">
        <f t="shared" si="61"/>
        <v>Duplicity</v>
      </c>
      <c r="S2580" s="43" t="str">
        <f t="shared" si="62"/>
        <v>Comedy</v>
      </c>
    </row>
    <row r="2581" spans="1:19" ht="15.75" customHeight="1" x14ac:dyDescent="0.25">
      <c r="A2581" s="6" t="s">
        <v>2265</v>
      </c>
      <c r="B2581" s="6">
        <v>220</v>
      </c>
      <c r="C2581" s="6">
        <v>37053924</v>
      </c>
      <c r="D2581" s="6" t="s">
        <v>268</v>
      </c>
      <c r="E2581" s="6" t="s">
        <v>8280</v>
      </c>
      <c r="F2581" s="6" t="s">
        <v>8281</v>
      </c>
      <c r="G2581" s="6">
        <v>77935</v>
      </c>
      <c r="H2581" s="6" t="s">
        <v>8282</v>
      </c>
      <c r="I2581" s="6">
        <v>122</v>
      </c>
      <c r="J2581" s="6" t="s">
        <v>23</v>
      </c>
      <c r="K2581" s="6" t="s">
        <v>176</v>
      </c>
      <c r="L2581" s="6">
        <v>28000000</v>
      </c>
      <c r="M2581" s="6">
        <v>2011</v>
      </c>
      <c r="N2581" s="6">
        <v>6.1</v>
      </c>
      <c r="O2581" s="4">
        <f ca="1">IFERROR(__xludf.DUMMYFUNCTION("IF(Cost_in_dollars!E2581=""USD"",Cost_in_dollars!B2581,Cost_in_dollars!B2581 * GOOGLEFINANCE(""CURRENCY:"" &amp; Cost_in_dollars!E2581 &amp; ""USD""))
"),30372720)</f>
        <v>30372720</v>
      </c>
      <c r="P2581" s="4">
        <f ca="1">IFERROR(__xludf.DUMMYFUNCTION("IF(Cost_in_dollars!E2581=""USD"",Cost_in_dollars!C2581,Cost_in_dollars!C2581 * GOOGLEFINANCE(""CURRENCY:"" &amp; Cost_in_dollars!E2581 &amp; ""USD""))
"),40193873.51976)</f>
        <v>40193873.519759998</v>
      </c>
      <c r="Q2581" s="6">
        <f t="shared" ca="1" si="60"/>
        <v>9821153.5197599977</v>
      </c>
      <c r="R2581" s="7" t="str">
        <f t="shared" si="61"/>
        <v>30 Minutes or Less</v>
      </c>
      <c r="S2581" s="43" t="str">
        <f t="shared" si="62"/>
        <v>Action</v>
      </c>
    </row>
    <row r="2582" spans="1:19" ht="15.75" customHeight="1" x14ac:dyDescent="0.25">
      <c r="A2582" s="4" t="s">
        <v>8283</v>
      </c>
      <c r="B2582" s="4">
        <v>28</v>
      </c>
      <c r="C2582" s="4">
        <v>99851</v>
      </c>
      <c r="D2582" s="4" t="s">
        <v>254</v>
      </c>
      <c r="E2582" s="4" t="s">
        <v>8284</v>
      </c>
      <c r="F2582" s="4" t="s">
        <v>8285</v>
      </c>
      <c r="G2582" s="4">
        <v>1138</v>
      </c>
      <c r="H2582" s="4" t="s">
        <v>8286</v>
      </c>
      <c r="I2582" s="4">
        <v>30</v>
      </c>
      <c r="J2582" s="4" t="s">
        <v>23</v>
      </c>
      <c r="K2582" s="4" t="s">
        <v>24</v>
      </c>
      <c r="L2582" s="4">
        <v>2500000</v>
      </c>
      <c r="M2582" s="4">
        <v>2010</v>
      </c>
      <c r="N2582" s="4">
        <v>7.1</v>
      </c>
      <c r="O2582" s="4">
        <f ca="1">IFERROR(__xludf.DUMMYFUNCTION("IF(Cost_in_dollars!E2582=""USD"",Cost_in_dollars!B2582,Cost_in_dollars!B2582 * GOOGLEFINANCE(""CURRENCY:"" &amp; Cost_in_dollars!E2582 &amp; ""USD""))
"),2500000)</f>
        <v>2500000</v>
      </c>
      <c r="P2582" s="4">
        <f ca="1">IFERROR(__xludf.DUMMYFUNCTION("IF(Cost_in_dollars!E2582=""USD"",Cost_in_dollars!C2582,Cost_in_dollars!C2582 * GOOGLEFINANCE(""CURRENCY:"" &amp; Cost_in_dollars!E2582 &amp; ""USD""))
"),99851)</f>
        <v>99851</v>
      </c>
      <c r="Q2582" s="4">
        <f t="shared" ca="1" si="60"/>
        <v>-2400149</v>
      </c>
      <c r="R2582" s="5" t="str">
        <f t="shared" si="61"/>
        <v>8: The Mormon Proposition</v>
      </c>
      <c r="S2582" s="43" t="str">
        <f t="shared" si="62"/>
        <v>Documentary</v>
      </c>
    </row>
    <row r="2583" spans="1:19" ht="15.75" customHeight="1" x14ac:dyDescent="0.25">
      <c r="A2583" s="6" t="s">
        <v>318</v>
      </c>
      <c r="B2583" s="6">
        <v>248</v>
      </c>
      <c r="C2583" s="6">
        <v>33313582</v>
      </c>
      <c r="D2583" s="6" t="s">
        <v>3234</v>
      </c>
      <c r="E2583" s="6" t="s">
        <v>588</v>
      </c>
      <c r="F2583" s="6" t="s">
        <v>8287</v>
      </c>
      <c r="G2583" s="6">
        <v>52888</v>
      </c>
      <c r="H2583" s="6" t="s">
        <v>8288</v>
      </c>
      <c r="I2583" s="6">
        <v>175</v>
      </c>
      <c r="J2583" s="6" t="s">
        <v>23</v>
      </c>
      <c r="K2583" s="6" t="s">
        <v>24</v>
      </c>
      <c r="L2583" s="6">
        <v>21000000</v>
      </c>
      <c r="M2583" s="6">
        <v>2009</v>
      </c>
      <c r="N2583" s="6">
        <v>6.5</v>
      </c>
      <c r="O2583" s="4">
        <f ca="1">IFERROR(__xludf.DUMMYFUNCTION("IF(Cost_in_dollars!E2583=""USD"",Cost_in_dollars!B2583,Cost_in_dollars!B2583 * GOOGLEFINANCE(""CURRENCY:"" &amp; Cost_in_dollars!E2583 &amp; ""USD""))
"),21000000)</f>
        <v>21000000</v>
      </c>
      <c r="P2583" s="4">
        <f ca="1">IFERROR(__xludf.DUMMYFUNCTION("IF(Cost_in_dollars!E2583=""USD"",Cost_in_dollars!C2583,Cost_in_dollars!C2583 * GOOGLEFINANCE(""CURRENCY:"" &amp; Cost_in_dollars!E2583 &amp; ""USD""))
"),33313582)</f>
        <v>33313582</v>
      </c>
      <c r="Q2583" s="6">
        <f t="shared" ca="1" si="60"/>
        <v>12313582</v>
      </c>
      <c r="R2583" s="7" t="str">
        <f t="shared" si="61"/>
        <v>The Informant!</v>
      </c>
      <c r="S2583" s="43" t="str">
        <f t="shared" si="62"/>
        <v>Comedy</v>
      </c>
    </row>
    <row r="2584" spans="1:19" ht="15.75" customHeight="1" x14ac:dyDescent="0.25">
      <c r="A2584" s="4" t="s">
        <v>539</v>
      </c>
      <c r="B2584" s="4">
        <v>240</v>
      </c>
      <c r="C2584" s="4">
        <v>137850096</v>
      </c>
      <c r="D2584" s="4" t="s">
        <v>8289</v>
      </c>
      <c r="E2584" s="4" t="s">
        <v>236</v>
      </c>
      <c r="F2584" s="4" t="s">
        <v>8290</v>
      </c>
      <c r="G2584" s="4">
        <v>72809</v>
      </c>
      <c r="H2584" s="4" t="s">
        <v>8291</v>
      </c>
      <c r="I2584" s="4">
        <v>249</v>
      </c>
      <c r="J2584" s="4" t="s">
        <v>23</v>
      </c>
      <c r="K2584" s="4" t="s">
        <v>24</v>
      </c>
      <c r="L2584" s="4">
        <v>200000000</v>
      </c>
      <c r="M2584" s="4">
        <v>2009</v>
      </c>
      <c r="N2584" s="4">
        <v>6.8</v>
      </c>
      <c r="O2584" s="4">
        <f ca="1">IFERROR(__xludf.DUMMYFUNCTION("IF(Cost_in_dollars!E2584=""USD"",Cost_in_dollars!B2584,Cost_in_dollars!B2584 * GOOGLEFINANCE(""CURRENCY:"" &amp; Cost_in_dollars!E2584 &amp; ""USD""))
"),200000000)</f>
        <v>200000000</v>
      </c>
      <c r="P2584" s="4">
        <f ca="1">IFERROR(__xludf.DUMMYFUNCTION("IF(Cost_in_dollars!E2584=""USD"",Cost_in_dollars!C2584,Cost_in_dollars!C2584 * GOOGLEFINANCE(""CURRENCY:"" &amp; Cost_in_dollars!E2584 &amp; ""USD""))
"),137850096)</f>
        <v>137850096</v>
      </c>
      <c r="Q2584" s="4">
        <f t="shared" ca="1" si="60"/>
        <v>-62149904</v>
      </c>
      <c r="R2584" s="5" t="str">
        <f t="shared" si="61"/>
        <v>A Christmas Carol</v>
      </c>
      <c r="S2584" s="43" t="str">
        <f t="shared" si="62"/>
        <v>Animation</v>
      </c>
    </row>
    <row r="2585" spans="1:19" ht="15.75" customHeight="1" x14ac:dyDescent="0.25">
      <c r="A2585" s="6" t="s">
        <v>880</v>
      </c>
      <c r="B2585" s="6">
        <v>190</v>
      </c>
      <c r="C2585" s="6">
        <v>26415649</v>
      </c>
      <c r="D2585" s="6" t="s">
        <v>504</v>
      </c>
      <c r="E2585" s="6" t="s">
        <v>1173</v>
      </c>
      <c r="F2585" s="6" t="s">
        <v>8292</v>
      </c>
      <c r="G2585" s="6">
        <v>94892</v>
      </c>
      <c r="H2585" s="6" t="s">
        <v>8293</v>
      </c>
      <c r="I2585" s="6">
        <v>189</v>
      </c>
      <c r="J2585" s="6" t="s">
        <v>23</v>
      </c>
      <c r="K2585" s="6" t="s">
        <v>24</v>
      </c>
      <c r="L2585" s="6">
        <v>20000000</v>
      </c>
      <c r="M2585" s="6">
        <v>2008</v>
      </c>
      <c r="N2585" s="6">
        <v>6.8</v>
      </c>
      <c r="O2585" s="4">
        <f ca="1">IFERROR(__xludf.DUMMYFUNCTION("IF(Cost_in_dollars!E2585=""USD"",Cost_in_dollars!B2585,Cost_in_dollars!B2585 * GOOGLEFINANCE(""CURRENCY:"" &amp; Cost_in_dollars!E2585 &amp; ""USD""))
"),20000000)</f>
        <v>20000000</v>
      </c>
      <c r="P2585" s="4">
        <f ca="1">IFERROR(__xludf.DUMMYFUNCTION("IF(Cost_in_dollars!E2585=""USD"",Cost_in_dollars!C2585,Cost_in_dollars!C2585 * GOOGLEFINANCE(""CURRENCY:"" &amp; Cost_in_dollars!E2585 &amp; ""USD""))
"),26415649)</f>
        <v>26415649</v>
      </c>
      <c r="Q2585" s="6">
        <f t="shared" ca="1" si="60"/>
        <v>6415649</v>
      </c>
      <c r="R2585" s="7" t="str">
        <f t="shared" si="61"/>
        <v>Street Kings</v>
      </c>
      <c r="S2585" s="43" t="str">
        <f t="shared" si="62"/>
        <v>Action</v>
      </c>
    </row>
    <row r="2586" spans="1:19" ht="15.75" customHeight="1" x14ac:dyDescent="0.25">
      <c r="A2586" s="4" t="s">
        <v>8294</v>
      </c>
      <c r="B2586" s="4">
        <v>96</v>
      </c>
      <c r="C2586" s="4">
        <v>17411331</v>
      </c>
      <c r="D2586" s="4" t="s">
        <v>1920</v>
      </c>
      <c r="E2586" s="4" t="s">
        <v>3574</v>
      </c>
      <c r="F2586" s="4" t="s">
        <v>8295</v>
      </c>
      <c r="G2586" s="4">
        <v>17328</v>
      </c>
      <c r="H2586" s="4" t="s">
        <v>8296</v>
      </c>
      <c r="I2586" s="4">
        <v>237</v>
      </c>
      <c r="J2586" s="4" t="s">
        <v>23</v>
      </c>
      <c r="K2586" s="4" t="s">
        <v>149</v>
      </c>
      <c r="L2586" s="4">
        <v>15000000</v>
      </c>
      <c r="M2586" s="4">
        <v>1998</v>
      </c>
      <c r="N2586" s="4">
        <v>5.5</v>
      </c>
      <c r="O2586" s="4">
        <f ca="1">IFERROR(__xludf.DUMMYFUNCTION("IF(Cost_in_dollars!E2586=""USD"",Cost_in_dollars!B2586,Cost_in_dollars!B2586 * GOOGLEFINANCE(""CURRENCY:"" &amp; Cost_in_dollars!E2586 &amp; ""USD""))
"),9808200)</f>
        <v>9808200</v>
      </c>
      <c r="P2586" s="4">
        <f ca="1">IFERROR(__xludf.DUMMYFUNCTION("IF(Cost_in_dollars!E2586=""USD"",Cost_in_dollars!C2586,Cost_in_dollars!C2586 * GOOGLEFINANCE(""CURRENCY:"" &amp; Cost_in_dollars!E2586 &amp; ""USD""))
"),11384921.11428)</f>
        <v>11384921.11428</v>
      </c>
      <c r="Q2586" s="4">
        <f t="shared" ca="1" si="60"/>
        <v>1576721.1142800003</v>
      </c>
      <c r="R2586" s="5" t="str">
        <f t="shared" si="61"/>
        <v>Disturbing Behavior</v>
      </c>
      <c r="S2586" s="43" t="str">
        <f t="shared" si="62"/>
        <v>Horror</v>
      </c>
    </row>
    <row r="2587" spans="1:19" ht="15.75" customHeight="1" x14ac:dyDescent="0.25">
      <c r="A2587" s="6" t="s">
        <v>3554</v>
      </c>
      <c r="B2587" s="6">
        <v>160</v>
      </c>
      <c r="C2587" s="6">
        <v>5701643</v>
      </c>
      <c r="D2587" s="6" t="s">
        <v>1908</v>
      </c>
      <c r="E2587" s="6" t="s">
        <v>8297</v>
      </c>
      <c r="F2587" s="6" t="s">
        <v>8298</v>
      </c>
      <c r="G2587" s="6">
        <v>37635</v>
      </c>
      <c r="H2587" s="6" t="s">
        <v>8299</v>
      </c>
      <c r="I2587" s="6">
        <v>165</v>
      </c>
      <c r="J2587" s="6" t="s">
        <v>8300</v>
      </c>
      <c r="K2587" s="6" t="s">
        <v>7917</v>
      </c>
      <c r="L2587" s="6">
        <v>20000000</v>
      </c>
      <c r="M2587" s="6">
        <v>2007</v>
      </c>
      <c r="N2587" s="6">
        <v>7.3</v>
      </c>
      <c r="O2587" s="4">
        <f ca="1">IFERROR(__xludf.DUMMYFUNCTION("IF(Cost_in_dollars!E2587=""USD"",Cost_in_dollars!B2587,Cost_in_dollars!B2587 * GOOGLEFINANCE(""CURRENCY:"" &amp; Cost_in_dollars!E2587 &amp; ""USD""))
"),235293.02)</f>
        <v>235293.02</v>
      </c>
      <c r="P2587" s="4">
        <f ca="1">IFERROR(__xludf.DUMMYFUNCTION("IF(Cost_in_dollars!E2587=""USD"",Cost_in_dollars!C2587,Cost_in_dollars!C2587 * GOOGLEFINANCE(""CURRENCY:"" &amp; Cost_in_dollars!E2587 &amp; ""USD""))
"),67077.840021593)</f>
        <v>67077.840021593001</v>
      </c>
      <c r="Q2587" s="6">
        <f t="shared" ca="1" si="60"/>
        <v>-168215.17997840699</v>
      </c>
      <c r="R2587" s="7" t="str">
        <f t="shared" si="61"/>
        <v>Mongol: The Rise of Genghis Khan</v>
      </c>
      <c r="S2587" s="43" t="str">
        <f t="shared" si="62"/>
        <v>Adventure</v>
      </c>
    </row>
    <row r="2588" spans="1:19" ht="15.75" customHeight="1" x14ac:dyDescent="0.25">
      <c r="A2588" s="4" t="s">
        <v>638</v>
      </c>
      <c r="B2588" s="4">
        <v>440</v>
      </c>
      <c r="C2588" s="4">
        <v>77564037</v>
      </c>
      <c r="D2588" s="4" t="s">
        <v>8301</v>
      </c>
      <c r="E2588" s="4" t="s">
        <v>6916</v>
      </c>
      <c r="F2588" s="4" t="s">
        <v>8302</v>
      </c>
      <c r="G2588" s="4">
        <v>177383</v>
      </c>
      <c r="H2588" s="4" t="s">
        <v>8303</v>
      </c>
      <c r="I2588" s="4">
        <v>447</v>
      </c>
      <c r="J2588" s="4" t="s">
        <v>23</v>
      </c>
      <c r="K2588" s="4" t="s">
        <v>24</v>
      </c>
      <c r="L2588" s="4">
        <v>135000000</v>
      </c>
      <c r="M2588" s="4">
        <v>2011</v>
      </c>
      <c r="N2588" s="4">
        <v>7.4</v>
      </c>
      <c r="O2588" s="4">
        <f ca="1">IFERROR(__xludf.DUMMYFUNCTION("IF(Cost_in_dollars!E2588=""USD"",Cost_in_dollars!B2588,Cost_in_dollars!B2588 * GOOGLEFINANCE(""CURRENCY:"" &amp; Cost_in_dollars!E2588 &amp; ""USD""))
"),135000000)</f>
        <v>135000000</v>
      </c>
      <c r="P2588" s="4">
        <f ca="1">IFERROR(__xludf.DUMMYFUNCTION("IF(Cost_in_dollars!E2588=""USD"",Cost_in_dollars!C2588,Cost_in_dollars!C2588 * GOOGLEFINANCE(""CURRENCY:"" &amp; Cost_in_dollars!E2588 &amp; ""USD""))
"),77564037)</f>
        <v>77564037</v>
      </c>
      <c r="Q2588" s="4">
        <f t="shared" ca="1" si="60"/>
        <v>-57435963</v>
      </c>
      <c r="R2588" s="5" t="str">
        <f t="shared" si="61"/>
        <v>The Adventures of Tintin</v>
      </c>
      <c r="S2588" s="43" t="str">
        <f t="shared" si="62"/>
        <v>Action</v>
      </c>
    </row>
    <row r="2589" spans="1:19" ht="15.75" customHeight="1" x14ac:dyDescent="0.25">
      <c r="A2589" s="6" t="s">
        <v>4176</v>
      </c>
      <c r="B2589" s="6">
        <v>173</v>
      </c>
      <c r="C2589" s="6">
        <v>46280507</v>
      </c>
      <c r="D2589" s="6" t="s">
        <v>88</v>
      </c>
      <c r="E2589" s="6" t="s">
        <v>2563</v>
      </c>
      <c r="F2589" s="6" t="s">
        <v>8304</v>
      </c>
      <c r="G2589" s="6">
        <v>87165</v>
      </c>
      <c r="H2589" s="6" t="s">
        <v>8305</v>
      </c>
      <c r="I2589" s="6">
        <v>184</v>
      </c>
      <c r="J2589" s="6" t="s">
        <v>23</v>
      </c>
      <c r="K2589" s="6" t="s">
        <v>24</v>
      </c>
      <c r="L2589" s="6">
        <v>40000000</v>
      </c>
      <c r="M2589" s="6">
        <v>2014</v>
      </c>
      <c r="N2589" s="6">
        <v>6.5</v>
      </c>
      <c r="O2589" s="4">
        <f ca="1">IFERROR(__xludf.DUMMYFUNCTION("IF(Cost_in_dollars!E2589=""USD"",Cost_in_dollars!B2589,Cost_in_dollars!B2589 * GOOGLEFINANCE(""CURRENCY:"" &amp; Cost_in_dollars!E2589 &amp; ""USD""))
"),40000000)</f>
        <v>40000000</v>
      </c>
      <c r="P2589" s="4">
        <f ca="1">IFERROR(__xludf.DUMMYFUNCTION("IF(Cost_in_dollars!E2589=""USD"",Cost_in_dollars!C2589,Cost_in_dollars!C2589 * GOOGLEFINANCE(""CURRENCY:"" &amp; Cost_in_dollars!E2589 &amp; ""USD""))
"),46280507)</f>
        <v>46280507</v>
      </c>
      <c r="Q2589" s="6">
        <f t="shared" ca="1" si="60"/>
        <v>6280507</v>
      </c>
      <c r="R2589" s="7" t="str">
        <f t="shared" si="61"/>
        <v>Blended</v>
      </c>
      <c r="S2589" s="43" t="str">
        <f t="shared" si="62"/>
        <v>Comedy</v>
      </c>
    </row>
    <row r="2590" spans="1:19" ht="15.75" customHeight="1" x14ac:dyDescent="0.25">
      <c r="A2590" s="4" t="s">
        <v>6934</v>
      </c>
      <c r="B2590" s="4">
        <v>421</v>
      </c>
      <c r="C2590" s="4">
        <v>223806889</v>
      </c>
      <c r="D2590" s="4" t="s">
        <v>8306</v>
      </c>
      <c r="E2590" s="4" t="s">
        <v>2443</v>
      </c>
      <c r="F2590" s="4" t="s">
        <v>8307</v>
      </c>
      <c r="G2590" s="4">
        <v>718837</v>
      </c>
      <c r="H2590" s="4" t="s">
        <v>8308</v>
      </c>
      <c r="I2590" s="4">
        <v>1043</v>
      </c>
      <c r="J2590" s="4" t="s">
        <v>23</v>
      </c>
      <c r="K2590" s="4" t="s">
        <v>24</v>
      </c>
      <c r="L2590" s="4">
        <v>180000000</v>
      </c>
      <c r="M2590" s="4">
        <v>2008</v>
      </c>
      <c r="N2590" s="4">
        <v>8.4</v>
      </c>
      <c r="O2590" s="4">
        <f ca="1">IFERROR(__xludf.DUMMYFUNCTION("IF(Cost_in_dollars!E2590=""USD"",Cost_in_dollars!B2590,Cost_in_dollars!B2590 * GOOGLEFINANCE(""CURRENCY:"" &amp; Cost_in_dollars!E2590 &amp; ""USD""))
"),180000000)</f>
        <v>180000000</v>
      </c>
      <c r="P2590" s="4">
        <f ca="1">IFERROR(__xludf.DUMMYFUNCTION("IF(Cost_in_dollars!E2590=""USD"",Cost_in_dollars!C2590,Cost_in_dollars!C2590 * GOOGLEFINANCE(""CURRENCY:"" &amp; Cost_in_dollars!E2590 &amp; ""USD""))
"),223806889)</f>
        <v>223806889</v>
      </c>
      <c r="Q2590" s="4">
        <f t="shared" ca="1" si="60"/>
        <v>43806889</v>
      </c>
      <c r="R2590" s="5" t="str">
        <f t="shared" si="61"/>
        <v>WALLÂ·E</v>
      </c>
      <c r="S2590" s="43" t="str">
        <f t="shared" si="62"/>
        <v>Adventure</v>
      </c>
    </row>
    <row r="2591" spans="1:19" ht="15.75" customHeight="1" x14ac:dyDescent="0.25">
      <c r="A2591" s="6" t="s">
        <v>8309</v>
      </c>
      <c r="B2591" s="6">
        <v>8</v>
      </c>
      <c r="C2591" s="6">
        <v>178739</v>
      </c>
      <c r="D2591" s="6" t="s">
        <v>2779</v>
      </c>
      <c r="E2591" s="6" t="s">
        <v>8310</v>
      </c>
      <c r="F2591" s="6" t="s">
        <v>8311</v>
      </c>
      <c r="G2591" s="6">
        <v>1015</v>
      </c>
      <c r="H2591" s="6" t="s">
        <v>8312</v>
      </c>
      <c r="I2591" s="6">
        <v>10</v>
      </c>
      <c r="J2591" s="6" t="s">
        <v>23</v>
      </c>
      <c r="K2591" s="6" t="s">
        <v>24</v>
      </c>
      <c r="L2591" s="6">
        <v>2450000</v>
      </c>
      <c r="M2591" s="6">
        <v>2011</v>
      </c>
      <c r="N2591" s="6">
        <v>3.9</v>
      </c>
      <c r="O2591" s="4">
        <f ca="1">IFERROR(__xludf.DUMMYFUNCTION("IF(Cost_in_dollars!E2591=""USD"",Cost_in_dollars!B2591,Cost_in_dollars!B2591 * GOOGLEFINANCE(""CURRENCY:"" &amp; Cost_in_dollars!E2591 &amp; ""USD""))
"),2450000)</f>
        <v>2450000</v>
      </c>
      <c r="P2591" s="4">
        <f ca="1">IFERROR(__xludf.DUMMYFUNCTION("IF(Cost_in_dollars!E2591=""USD"",Cost_in_dollars!C2591,Cost_in_dollars!C2591 * GOOGLEFINANCE(""CURRENCY:"" &amp; Cost_in_dollars!E2591 &amp; ""USD""))
"),178739)</f>
        <v>178739</v>
      </c>
      <c r="Q2591" s="6">
        <f t="shared" ca="1" si="60"/>
        <v>-2271261</v>
      </c>
      <c r="R2591" s="7" t="str">
        <f t="shared" si="61"/>
        <v>Go for It!</v>
      </c>
      <c r="S2591" s="43" t="str">
        <f t="shared" si="62"/>
        <v>Drama</v>
      </c>
    </row>
    <row r="2592" spans="1:19" ht="15.75" customHeight="1" x14ac:dyDescent="0.25">
      <c r="A2592" s="4" t="s">
        <v>3151</v>
      </c>
      <c r="B2592" s="4">
        <v>202</v>
      </c>
      <c r="C2592" s="4">
        <v>12583510</v>
      </c>
      <c r="D2592" s="4" t="s">
        <v>151</v>
      </c>
      <c r="E2592" s="4" t="s">
        <v>3153</v>
      </c>
      <c r="F2592" s="4" t="s">
        <v>8313</v>
      </c>
      <c r="G2592" s="4">
        <v>60709</v>
      </c>
      <c r="H2592" s="4" t="s">
        <v>8314</v>
      </c>
      <c r="I2592" s="4">
        <v>922</v>
      </c>
      <c r="J2592" s="4" t="s">
        <v>23</v>
      </c>
      <c r="K2592" s="4" t="s">
        <v>24</v>
      </c>
      <c r="L2592" s="4">
        <v>7000000</v>
      </c>
      <c r="M2592" s="4">
        <v>2003</v>
      </c>
      <c r="N2592" s="4">
        <v>6</v>
      </c>
      <c r="O2592" s="4">
        <f ca="1">IFERROR(__xludf.DUMMYFUNCTION("IF(Cost_in_dollars!E2592=""USD"",Cost_in_dollars!B2592,Cost_in_dollars!B2592 * GOOGLEFINANCE(""CURRENCY:"" &amp; Cost_in_dollars!E2592 &amp; ""USD""))
"),7000000)</f>
        <v>7000000</v>
      </c>
      <c r="P2592" s="4">
        <f ca="1">IFERROR(__xludf.DUMMYFUNCTION("IF(Cost_in_dollars!E2592=""USD"",Cost_in_dollars!C2592,Cost_in_dollars!C2592 * GOOGLEFINANCE(""CURRENCY:"" &amp; Cost_in_dollars!E2592 &amp; ""USD""))
"),12583510)</f>
        <v>12583510</v>
      </c>
      <c r="Q2592" s="4">
        <f t="shared" ca="1" si="60"/>
        <v>5583510</v>
      </c>
      <c r="R2592" s="5" t="str">
        <f t="shared" si="61"/>
        <v>House of 1000 Corpses</v>
      </c>
      <c r="S2592" s="43" t="str">
        <f t="shared" si="62"/>
        <v>Horror</v>
      </c>
    </row>
    <row r="2593" spans="1:19" ht="15.75" customHeight="1" x14ac:dyDescent="0.25">
      <c r="A2593" s="6" t="s">
        <v>4354</v>
      </c>
      <c r="B2593" s="6">
        <v>106</v>
      </c>
      <c r="C2593" s="6">
        <v>22406362</v>
      </c>
      <c r="D2593" s="6" t="s">
        <v>8315</v>
      </c>
      <c r="E2593" s="6" t="s">
        <v>44</v>
      </c>
      <c r="F2593" s="6" t="s">
        <v>8316</v>
      </c>
      <c r="G2593" s="6">
        <v>16832</v>
      </c>
      <c r="H2593" s="6" t="s">
        <v>8317</v>
      </c>
      <c r="I2593" s="6">
        <v>267</v>
      </c>
      <c r="J2593" s="6" t="s">
        <v>23</v>
      </c>
      <c r="K2593" s="6" t="s">
        <v>24</v>
      </c>
      <c r="L2593" s="6">
        <v>107000000</v>
      </c>
      <c r="M2593" s="6">
        <v>2004</v>
      </c>
      <c r="N2593" s="6">
        <v>6</v>
      </c>
      <c r="O2593" s="4">
        <f ca="1">IFERROR(__xludf.DUMMYFUNCTION("IF(Cost_in_dollars!E2593=""USD"",Cost_in_dollars!B2593,Cost_in_dollars!B2593 * GOOGLEFINANCE(""CURRENCY:"" &amp; Cost_in_dollars!E2593 &amp; ""USD""))
"),107000000)</f>
        <v>107000000</v>
      </c>
      <c r="P2593" s="4">
        <f ca="1">IFERROR(__xludf.DUMMYFUNCTION("IF(Cost_in_dollars!E2593=""USD"",Cost_in_dollars!C2593,Cost_in_dollars!C2593 * GOOGLEFINANCE(""CURRENCY:"" &amp; Cost_in_dollars!E2593 &amp; ""USD""))
"),22406362)</f>
        <v>22406362</v>
      </c>
      <c r="Q2593" s="6">
        <f t="shared" ca="1" si="60"/>
        <v>-84593638</v>
      </c>
      <c r="R2593" s="7" t="str">
        <f t="shared" si="61"/>
        <v>The Alamo</v>
      </c>
      <c r="S2593" s="43" t="str">
        <f t="shared" si="62"/>
        <v>Drama</v>
      </c>
    </row>
    <row r="2594" spans="1:19" ht="15.75" customHeight="1" x14ac:dyDescent="0.25">
      <c r="A2594" s="4" t="s">
        <v>8318</v>
      </c>
      <c r="B2594" s="4">
        <v>93</v>
      </c>
      <c r="C2594" s="4">
        <v>19447478</v>
      </c>
      <c r="D2594" s="4" t="s">
        <v>8319</v>
      </c>
      <c r="E2594" s="4" t="s">
        <v>1860</v>
      </c>
      <c r="F2594" s="4" t="s">
        <v>8320</v>
      </c>
      <c r="G2594" s="4">
        <v>15788</v>
      </c>
      <c r="H2594" s="4" t="s">
        <v>8321</v>
      </c>
      <c r="I2594" s="4">
        <v>80</v>
      </c>
      <c r="J2594" s="4" t="s">
        <v>23</v>
      </c>
      <c r="K2594" s="4" t="s">
        <v>133</v>
      </c>
      <c r="L2594" s="4">
        <v>35000000</v>
      </c>
      <c r="M2594" s="4">
        <v>2005</v>
      </c>
      <c r="N2594" s="4">
        <v>5.6</v>
      </c>
      <c r="O2594" s="4">
        <f ca="1">IFERROR(__xludf.DUMMYFUNCTION("IF(Cost_in_dollars!E2594=""USD"",Cost_in_dollars!B2594,Cost_in_dollars!B2594 * GOOGLEFINANCE(""CURRENCY:"" &amp; Cost_in_dollars!E2594 &amp; ""USD""))
"),44988999.9999999)</f>
        <v>44988999.999999903</v>
      </c>
      <c r="P2594" s="4">
        <f ca="1">IFERROR(__xludf.DUMMYFUNCTION("IF(Cost_in_dollars!E2594=""USD"",Cost_in_dollars!C2594,Cost_in_dollars!C2594 * GOOGLEFINANCE(""CURRENCY:"" &amp; Cost_in_dollars!E2594 &amp; ""USD""))
"),24997788.2211999)</f>
        <v>24997788.2211999</v>
      </c>
      <c r="Q2594" s="4">
        <f t="shared" ca="1" si="60"/>
        <v>-19991211.778800003</v>
      </c>
      <c r="R2594" s="5" t="str">
        <f t="shared" si="61"/>
        <v>Valiant</v>
      </c>
      <c r="S2594" s="43" t="str">
        <f t="shared" si="62"/>
        <v>Adventure</v>
      </c>
    </row>
    <row r="2595" spans="1:19" ht="15.75" customHeight="1" x14ac:dyDescent="0.25">
      <c r="A2595" s="6" t="s">
        <v>1706</v>
      </c>
      <c r="B2595" s="6">
        <v>285</v>
      </c>
      <c r="C2595" s="6">
        <v>34300771</v>
      </c>
      <c r="D2595" s="6" t="s">
        <v>102</v>
      </c>
      <c r="E2595" s="6" t="s">
        <v>1436</v>
      </c>
      <c r="F2595" s="6" t="s">
        <v>8322</v>
      </c>
      <c r="G2595" s="6">
        <v>243799</v>
      </c>
      <c r="H2595" s="6" t="s">
        <v>8323</v>
      </c>
      <c r="I2595" s="6">
        <v>908</v>
      </c>
      <c r="J2595" s="6" t="s">
        <v>23</v>
      </c>
      <c r="K2595" s="6" t="s">
        <v>611</v>
      </c>
      <c r="L2595" s="6">
        <v>25000000</v>
      </c>
      <c r="M2595" s="6">
        <v>2006</v>
      </c>
      <c r="N2595" s="6">
        <v>7.5</v>
      </c>
      <c r="O2595" s="4">
        <f ca="1">IFERROR(__xludf.DUMMYFUNCTION("IF(Cost_in_dollars!E2595=""USD"",Cost_in_dollars!B2595,Cost_in_dollars!B2595 * GOOGLEFINANCE(""CURRENCY:"" &amp; Cost_in_dollars!E2595 &amp; ""USD""))
"),27118500)</f>
        <v>27118500</v>
      </c>
      <c r="P2595" s="4">
        <f ca="1">IFERROR(__xludf.DUMMYFUNCTION("IF(Cost_in_dollars!E2595=""USD"",Cost_in_dollars!C2595,Cost_in_dollars!C2595 * GOOGLEFINANCE(""CURRENCY:"" &amp; Cost_in_dollars!E2595 &amp; ""USD""))
"),37207418.33454)</f>
        <v>37207418.334540002</v>
      </c>
      <c r="Q2595" s="6">
        <f t="shared" ca="1" si="60"/>
        <v>10088918.334540002</v>
      </c>
      <c r="R2595" s="7" t="str">
        <f t="shared" si="61"/>
        <v>Babel</v>
      </c>
      <c r="S2595" s="43" t="str">
        <f t="shared" si="62"/>
        <v>Drama</v>
      </c>
    </row>
    <row r="2596" spans="1:19" ht="15.75" customHeight="1" x14ac:dyDescent="0.25">
      <c r="A2596" s="4" t="s">
        <v>8324</v>
      </c>
      <c r="B2596" s="4">
        <v>170</v>
      </c>
      <c r="C2596" s="4">
        <v>75030163</v>
      </c>
      <c r="D2596" s="4" t="s">
        <v>351</v>
      </c>
      <c r="E2596" s="4" t="s">
        <v>2800</v>
      </c>
      <c r="F2596" s="4" t="s">
        <v>8325</v>
      </c>
      <c r="G2596" s="4">
        <v>108076</v>
      </c>
      <c r="H2596" s="4" t="s">
        <v>8326</v>
      </c>
      <c r="I2596" s="4">
        <v>1690</v>
      </c>
      <c r="J2596" s="4" t="s">
        <v>23</v>
      </c>
      <c r="K2596" s="4" t="s">
        <v>24</v>
      </c>
      <c r="L2596" s="4">
        <v>100000000</v>
      </c>
      <c r="M2596" s="4">
        <v>2006</v>
      </c>
      <c r="N2596" s="4">
        <v>5.0999999999999996</v>
      </c>
      <c r="O2596" s="4">
        <f ca="1">IFERROR(__xludf.DUMMYFUNCTION("IF(Cost_in_dollars!E2596=""USD"",Cost_in_dollars!B2596,Cost_in_dollars!B2596 * GOOGLEFINANCE(""CURRENCY:"" &amp; Cost_in_dollars!E2596 &amp; ""USD""))
"),100000000)</f>
        <v>100000000</v>
      </c>
      <c r="P2596" s="4">
        <f ca="1">IFERROR(__xludf.DUMMYFUNCTION("IF(Cost_in_dollars!E2596=""USD"",Cost_in_dollars!C2596,Cost_in_dollars!C2596 * GOOGLEFINANCE(""CURRENCY:"" &amp; Cost_in_dollars!E2596 &amp; ""USD""))
"),75030163)</f>
        <v>75030163</v>
      </c>
      <c r="Q2596" s="4">
        <f t="shared" ca="1" si="60"/>
        <v>-24969837</v>
      </c>
      <c r="R2596" s="5" t="str">
        <f t="shared" si="61"/>
        <v>Eragon</v>
      </c>
      <c r="S2596" s="43" t="str">
        <f t="shared" si="62"/>
        <v>Action</v>
      </c>
    </row>
    <row r="2597" spans="1:19" ht="15.75" customHeight="1" x14ac:dyDescent="0.25">
      <c r="A2597" s="6" t="s">
        <v>8327</v>
      </c>
      <c r="B2597" s="6">
        <v>195</v>
      </c>
      <c r="C2597" s="6">
        <v>11204499</v>
      </c>
      <c r="D2597" s="6" t="s">
        <v>216</v>
      </c>
      <c r="E2597" s="6" t="s">
        <v>240</v>
      </c>
      <c r="F2597" s="6" t="s">
        <v>8328</v>
      </c>
      <c r="G2597" s="6">
        <v>38142</v>
      </c>
      <c r="H2597" s="6" t="s">
        <v>8329</v>
      </c>
      <c r="I2597" s="6">
        <v>270</v>
      </c>
      <c r="J2597" s="6" t="s">
        <v>23</v>
      </c>
      <c r="K2597" s="6" t="s">
        <v>24</v>
      </c>
      <c r="L2597" s="6">
        <v>14000000</v>
      </c>
      <c r="M2597" s="6">
        <v>2006</v>
      </c>
      <c r="N2597" s="6">
        <v>7</v>
      </c>
      <c r="O2597" s="4">
        <f ca="1">IFERROR(__xludf.DUMMYFUNCTION("IF(Cost_in_dollars!E2597=""USD"",Cost_in_dollars!B2597,Cost_in_dollars!B2597 * GOOGLEFINANCE(""CURRENCY:"" &amp; Cost_in_dollars!E2597 &amp; ""USD""))
"),14000000)</f>
        <v>14000000</v>
      </c>
      <c r="P2597" s="4">
        <f ca="1">IFERROR(__xludf.DUMMYFUNCTION("IF(Cost_in_dollars!E2597=""USD"",Cost_in_dollars!C2597,Cost_in_dollars!C2597 * GOOGLEFINANCE(""CURRENCY:"" &amp; Cost_in_dollars!E2597 &amp; ""USD""))
"),11204499)</f>
        <v>11204499</v>
      </c>
      <c r="Q2597" s="6">
        <f t="shared" ca="1" si="60"/>
        <v>-2795501</v>
      </c>
      <c r="R2597" s="7" t="str">
        <f t="shared" si="61"/>
        <v>Bobby</v>
      </c>
      <c r="S2597" s="43" t="str">
        <f t="shared" si="62"/>
        <v>Drama</v>
      </c>
    </row>
    <row r="2598" spans="1:19" ht="15.75" customHeight="1" x14ac:dyDescent="0.25">
      <c r="A2598" s="4" t="s">
        <v>8330</v>
      </c>
      <c r="B2598" s="4">
        <v>14</v>
      </c>
      <c r="C2598" s="4">
        <v>173783</v>
      </c>
      <c r="D2598" s="4" t="s">
        <v>254</v>
      </c>
      <c r="E2598" s="4" t="s">
        <v>7639</v>
      </c>
      <c r="F2598" s="4" t="s">
        <v>8331</v>
      </c>
      <c r="G2598" s="4">
        <v>578</v>
      </c>
      <c r="H2598" s="4" t="s">
        <v>8332</v>
      </c>
      <c r="I2598" s="4">
        <v>34</v>
      </c>
      <c r="J2598" s="4" t="s">
        <v>23</v>
      </c>
      <c r="K2598" s="4" t="s">
        <v>24</v>
      </c>
      <c r="L2598" s="4">
        <v>2500000</v>
      </c>
      <c r="M2598" s="4">
        <v>2008</v>
      </c>
      <c r="N2598" s="4">
        <v>7.6</v>
      </c>
      <c r="O2598" s="4">
        <f ca="1">IFERROR(__xludf.DUMMYFUNCTION("IF(Cost_in_dollars!E2598=""USD"",Cost_in_dollars!B2598,Cost_in_dollars!B2598 * GOOGLEFINANCE(""CURRENCY:"" &amp; Cost_in_dollars!E2598 &amp; ""USD""))
"),2500000)</f>
        <v>2500000</v>
      </c>
      <c r="P2598" s="4">
        <f ca="1">IFERROR(__xludf.DUMMYFUNCTION("IF(Cost_in_dollars!E2598=""USD"",Cost_in_dollars!C2598,Cost_in_dollars!C2598 * GOOGLEFINANCE(""CURRENCY:"" &amp; Cost_in_dollars!E2598 &amp; ""USD""))
"),173783)</f>
        <v>173783</v>
      </c>
      <c r="Q2598" s="4">
        <f t="shared" ca="1" si="60"/>
        <v>-2326217</v>
      </c>
      <c r="R2598" s="5" t="str">
        <f t="shared" si="61"/>
        <v>Fuel</v>
      </c>
      <c r="S2598" s="43" t="str">
        <f t="shared" si="62"/>
        <v>Documentary</v>
      </c>
    </row>
    <row r="2599" spans="1:19" ht="15.75" customHeight="1" x14ac:dyDescent="0.25">
      <c r="A2599" s="6" t="s">
        <v>2173</v>
      </c>
      <c r="B2599" s="6">
        <v>88</v>
      </c>
      <c r="C2599" s="6">
        <v>49002815</v>
      </c>
      <c r="D2599" s="6" t="s">
        <v>860</v>
      </c>
      <c r="E2599" s="6" t="s">
        <v>4784</v>
      </c>
      <c r="F2599" s="6" t="s">
        <v>8333</v>
      </c>
      <c r="G2599" s="6">
        <v>15665</v>
      </c>
      <c r="H2599" s="6" t="s">
        <v>8334</v>
      </c>
      <c r="I2599" s="6">
        <v>35</v>
      </c>
      <c r="J2599" s="6" t="s">
        <v>23</v>
      </c>
      <c r="K2599" s="6" t="s">
        <v>24</v>
      </c>
      <c r="L2599" s="6">
        <v>22000000</v>
      </c>
      <c r="M2599" s="6">
        <v>2012</v>
      </c>
      <c r="N2599" s="6">
        <v>6.4</v>
      </c>
      <c r="O2599" s="4">
        <f ca="1">IFERROR(__xludf.DUMMYFUNCTION("IF(Cost_in_dollars!E2599=""USD"",Cost_in_dollars!B2599,Cost_in_dollars!B2599 * GOOGLEFINANCE(""CURRENCY:"" &amp; Cost_in_dollars!E2599 &amp; ""USD""))
"),22000000)</f>
        <v>22000000</v>
      </c>
      <c r="P2599" s="4">
        <f ca="1">IFERROR(__xludf.DUMMYFUNCTION("IF(Cost_in_dollars!E2599=""USD"",Cost_in_dollars!C2599,Cost_in_dollars!C2599 * GOOGLEFINANCE(""CURRENCY:"" &amp; Cost_in_dollars!E2599 &amp; ""USD""))
"),49002815)</f>
        <v>49002815</v>
      </c>
      <c r="Q2599" s="6">
        <f t="shared" ca="1" si="60"/>
        <v>27002815</v>
      </c>
      <c r="R2599" s="7" t="str">
        <f t="shared" si="61"/>
        <v>Diary of a Wimpy Kid: Dog Days</v>
      </c>
      <c r="S2599" s="43" t="str">
        <f t="shared" si="62"/>
        <v>Comedy</v>
      </c>
    </row>
    <row r="2600" spans="1:19" ht="15.75" customHeight="1" x14ac:dyDescent="0.25">
      <c r="A2600" s="4" t="s">
        <v>8335</v>
      </c>
      <c r="B2600" s="4">
        <v>43</v>
      </c>
      <c r="C2600" s="4">
        <v>302204</v>
      </c>
      <c r="D2600" s="4" t="s">
        <v>244</v>
      </c>
      <c r="E2600" s="4" t="s">
        <v>8336</v>
      </c>
      <c r="F2600" s="4" t="s">
        <v>8337</v>
      </c>
      <c r="G2600" s="4">
        <v>6705</v>
      </c>
      <c r="H2600" s="4" t="s">
        <v>8338</v>
      </c>
      <c r="I2600" s="4">
        <v>53</v>
      </c>
      <c r="J2600" s="4" t="s">
        <v>23</v>
      </c>
      <c r="K2600" s="4" t="s">
        <v>133</v>
      </c>
      <c r="L2600" s="4">
        <v>3000000</v>
      </c>
      <c r="M2600" s="4">
        <v>1997</v>
      </c>
      <c r="N2600" s="4">
        <v>6.6</v>
      </c>
      <c r="O2600" s="4">
        <f ca="1">IFERROR(__xludf.DUMMYFUNCTION("IF(Cost_in_dollars!E2600=""USD"",Cost_in_dollars!B2600,Cost_in_dollars!B2600 * GOOGLEFINANCE(""CURRENCY:"" &amp; Cost_in_dollars!E2600 &amp; ""USD""))
"),3856199.99999999)</f>
        <v>3856199.9999999902</v>
      </c>
      <c r="P2600" s="4">
        <f ca="1">IFERROR(__xludf.DUMMYFUNCTION("IF(Cost_in_dollars!E2600=""USD"",Cost_in_dollars!C2600,Cost_in_dollars!C2600 * GOOGLEFINANCE(""CURRENCY:"" &amp; Cost_in_dollars!E2600 &amp; ""USD""))
"),388453.0216)</f>
        <v>388453.02159999998</v>
      </c>
      <c r="Q2600" s="4">
        <f t="shared" ca="1" si="60"/>
        <v>-3467746.9783999901</v>
      </c>
      <c r="R2600" s="5" t="str">
        <f t="shared" si="61"/>
        <v>Shooting Fish</v>
      </c>
      <c r="S2600" s="43" t="str">
        <f t="shared" si="62"/>
        <v>Comedy</v>
      </c>
    </row>
    <row r="2601" spans="1:19" ht="15.75" customHeight="1" x14ac:dyDescent="0.25">
      <c r="A2601" s="6" t="s">
        <v>8339</v>
      </c>
      <c r="B2601" s="6">
        <v>230</v>
      </c>
      <c r="C2601" s="6">
        <v>98017</v>
      </c>
      <c r="D2601" s="6" t="s">
        <v>1102</v>
      </c>
      <c r="E2601" s="6" t="s">
        <v>8340</v>
      </c>
      <c r="F2601" s="6" t="s">
        <v>8341</v>
      </c>
      <c r="G2601" s="6">
        <v>26185</v>
      </c>
      <c r="H2601" s="6" t="s">
        <v>8342</v>
      </c>
      <c r="I2601" s="6">
        <v>170</v>
      </c>
      <c r="J2601" s="6" t="s">
        <v>23</v>
      </c>
      <c r="K2601" s="6" t="s">
        <v>611</v>
      </c>
      <c r="L2601" s="6">
        <v>500000</v>
      </c>
      <c r="M2601" s="6">
        <v>2010</v>
      </c>
      <c r="N2601" s="6">
        <v>5.8</v>
      </c>
      <c r="O2601" s="4">
        <f ca="1">IFERROR(__xludf.DUMMYFUNCTION("IF(Cost_in_dollars!E2601=""USD"",Cost_in_dollars!B2601,Cost_in_dollars!B2601 * GOOGLEFINANCE(""CURRENCY:"" &amp; Cost_in_dollars!E2601 &amp; ""USD""))
"),542370)</f>
        <v>542370</v>
      </c>
      <c r="P2601" s="4">
        <f ca="1">IFERROR(__xludf.DUMMYFUNCTION("IF(Cost_in_dollars!E2601=""USD"",Cost_in_dollars!C2601,Cost_in_dollars!C2601 * GOOGLEFINANCE(""CURRENCY:"" &amp; Cost_in_dollars!E2601 &amp; ""USD""))
"),106322.96058)</f>
        <v>106322.96058</v>
      </c>
      <c r="Q2601" s="6">
        <f t="shared" ca="1" si="60"/>
        <v>-436047.03941999999</v>
      </c>
      <c r="R2601" s="7" t="str">
        <f t="shared" si="61"/>
        <v>Rubber</v>
      </c>
      <c r="S2601" s="43" t="str">
        <f t="shared" si="62"/>
        <v>Comedy</v>
      </c>
    </row>
    <row r="2602" spans="1:19" ht="15.75" customHeight="1" x14ac:dyDescent="0.25">
      <c r="A2602" s="4" t="s">
        <v>4106</v>
      </c>
      <c r="B2602" s="4">
        <v>13</v>
      </c>
      <c r="C2602" s="4">
        <v>8500000</v>
      </c>
      <c r="D2602" s="4" t="s">
        <v>140</v>
      </c>
      <c r="E2602" s="4" t="s">
        <v>8343</v>
      </c>
      <c r="F2602" s="4" t="s">
        <v>8344</v>
      </c>
      <c r="G2602" s="4">
        <v>2061</v>
      </c>
      <c r="H2602" s="4" t="s">
        <v>8345</v>
      </c>
      <c r="I2602" s="4">
        <v>34</v>
      </c>
      <c r="J2602" s="4" t="s">
        <v>23</v>
      </c>
      <c r="K2602" s="4" t="s">
        <v>24</v>
      </c>
      <c r="L2602" s="4">
        <v>20000000</v>
      </c>
      <c r="M2602" s="4">
        <v>1981</v>
      </c>
      <c r="N2602" s="4">
        <v>5.4</v>
      </c>
      <c r="O2602" s="4">
        <f ca="1">IFERROR(__xludf.DUMMYFUNCTION("IF(Cost_in_dollars!E2602=""USD"",Cost_in_dollars!B2602,Cost_in_dollars!B2602 * GOOGLEFINANCE(""CURRENCY:"" &amp; Cost_in_dollars!E2602 &amp; ""USD""))
"),20000000)</f>
        <v>20000000</v>
      </c>
      <c r="P2602" s="4">
        <f ca="1">IFERROR(__xludf.DUMMYFUNCTION("IF(Cost_in_dollars!E2602=""USD"",Cost_in_dollars!C2602,Cost_in_dollars!C2602 * GOOGLEFINANCE(""CURRENCY:"" &amp; Cost_in_dollars!E2602 &amp; ""USD""))
"),8500000)</f>
        <v>8500000</v>
      </c>
      <c r="Q2602" s="4">
        <f t="shared" ca="1" si="60"/>
        <v>-11500000</v>
      </c>
      <c r="R2602" s="5" t="str">
        <f t="shared" si="61"/>
        <v>Under the Rainbow</v>
      </c>
      <c r="S2602" s="43" t="str">
        <f t="shared" si="62"/>
        <v>Comedy</v>
      </c>
    </row>
    <row r="2603" spans="1:19" ht="15.75" customHeight="1" x14ac:dyDescent="0.25">
      <c r="A2603" s="6" t="s">
        <v>296</v>
      </c>
      <c r="B2603" s="6">
        <v>215</v>
      </c>
      <c r="C2603" s="6">
        <v>21244913</v>
      </c>
      <c r="D2603" s="6" t="s">
        <v>8346</v>
      </c>
      <c r="E2603" s="6" t="s">
        <v>296</v>
      </c>
      <c r="F2603" s="6" t="s">
        <v>8347</v>
      </c>
      <c r="G2603" s="6">
        <v>123090</v>
      </c>
      <c r="H2603" s="6" t="s">
        <v>8348</v>
      </c>
      <c r="I2603" s="6">
        <v>888</v>
      </c>
      <c r="J2603" s="6" t="s">
        <v>23</v>
      </c>
      <c r="K2603" s="6" t="s">
        <v>176</v>
      </c>
      <c r="L2603" s="6">
        <v>4000000</v>
      </c>
      <c r="M2603" s="6">
        <v>2002</v>
      </c>
      <c r="N2603" s="6">
        <v>8</v>
      </c>
      <c r="O2603" s="4">
        <f ca="1">IFERROR(__xludf.DUMMYFUNCTION("IF(Cost_in_dollars!E2603=""USD"",Cost_in_dollars!B2603,Cost_in_dollars!B2603 * GOOGLEFINANCE(""CURRENCY:"" &amp; Cost_in_dollars!E2603 &amp; ""USD""))
"),4338960)</f>
        <v>4338960</v>
      </c>
      <c r="P2603" s="4">
        <f ca="1">IFERROR(__xludf.DUMMYFUNCTION("IF(Cost_in_dollars!E2603=""USD"",Cost_in_dollars!C2603,Cost_in_dollars!C2603 * GOOGLEFINANCE(""CURRENCY:"" &amp; Cost_in_dollars!E2603 &amp; ""USD""))
"),23045206.92762)</f>
        <v>23045206.927620001</v>
      </c>
      <c r="Q2603" s="6">
        <f t="shared" ca="1" si="60"/>
        <v>18706246.927620001</v>
      </c>
      <c r="R2603" s="7" t="str">
        <f t="shared" si="61"/>
        <v>Bowling for Columbine</v>
      </c>
      <c r="S2603" s="43" t="str">
        <f t="shared" si="62"/>
        <v>Crime</v>
      </c>
    </row>
    <row r="2604" spans="1:19" ht="15.75" customHeight="1" x14ac:dyDescent="0.25">
      <c r="A2604" s="4" t="s">
        <v>4421</v>
      </c>
      <c r="B2604" s="4">
        <v>309</v>
      </c>
      <c r="C2604" s="4">
        <v>145000989</v>
      </c>
      <c r="D2604" s="4" t="s">
        <v>1099</v>
      </c>
      <c r="E2604" s="4" t="s">
        <v>608</v>
      </c>
      <c r="F2604" s="4" t="s">
        <v>8349</v>
      </c>
      <c r="G2604" s="4">
        <v>483756</v>
      </c>
      <c r="H2604" s="4" t="s">
        <v>8350</v>
      </c>
      <c r="I2604" s="4">
        <v>974</v>
      </c>
      <c r="J2604" s="4" t="s">
        <v>23</v>
      </c>
      <c r="K2604" s="4" t="s">
        <v>611</v>
      </c>
      <c r="L2604" s="4">
        <v>25000000</v>
      </c>
      <c r="M2604" s="4">
        <v>2008</v>
      </c>
      <c r="N2604" s="4">
        <v>7.9</v>
      </c>
      <c r="O2604" s="4">
        <f ca="1">IFERROR(__xludf.DUMMYFUNCTION("IF(Cost_in_dollars!E2604=""USD"",Cost_in_dollars!B2604,Cost_in_dollars!B2604 * GOOGLEFINANCE(""CURRENCY:"" &amp; Cost_in_dollars!E2604 &amp; ""USD""))
"),27118500)</f>
        <v>27118500</v>
      </c>
      <c r="P2604" s="4">
        <f ca="1">IFERROR(__xludf.DUMMYFUNCTION("IF(Cost_in_dollars!E2604=""USD"",Cost_in_dollars!C2604,Cost_in_dollars!C2604 * GOOGLEFINANCE(""CURRENCY:"" &amp; Cost_in_dollars!E2604 &amp; ""USD""))
"),157288372.80786)</f>
        <v>157288372.80785999</v>
      </c>
      <c r="Q2604" s="4">
        <f t="shared" ca="1" si="60"/>
        <v>130169872.80785999</v>
      </c>
      <c r="R2604" s="5" t="str">
        <f t="shared" si="61"/>
        <v>Taken</v>
      </c>
      <c r="S2604" s="43" t="str">
        <f t="shared" si="62"/>
        <v>Action</v>
      </c>
    </row>
    <row r="2605" spans="1:19" ht="15.75" customHeight="1" x14ac:dyDescent="0.25">
      <c r="A2605" s="6" t="s">
        <v>8351</v>
      </c>
      <c r="B2605" s="6">
        <v>96</v>
      </c>
      <c r="C2605" s="6">
        <v>12947763</v>
      </c>
      <c r="D2605" s="6" t="s">
        <v>568</v>
      </c>
      <c r="E2605" s="6" t="s">
        <v>2601</v>
      </c>
      <c r="F2605" s="6" t="s">
        <v>8352</v>
      </c>
      <c r="G2605" s="6">
        <v>10624</v>
      </c>
      <c r="H2605" s="6" t="s">
        <v>8353</v>
      </c>
      <c r="I2605" s="6">
        <v>125</v>
      </c>
      <c r="J2605" s="6" t="s">
        <v>23</v>
      </c>
      <c r="K2605" s="6" t="s">
        <v>24</v>
      </c>
      <c r="L2605" s="6">
        <v>5000000</v>
      </c>
      <c r="M2605" s="6">
        <v>1986</v>
      </c>
      <c r="N2605" s="6">
        <v>6.2</v>
      </c>
      <c r="O2605" s="4">
        <f ca="1">IFERROR(__xludf.DUMMYFUNCTION("IF(Cost_in_dollars!E2605=""USD"",Cost_in_dollars!B2605,Cost_in_dollars!B2605 * GOOGLEFINANCE(""CURRENCY:"" &amp; Cost_in_dollars!E2605 &amp; ""USD""))
"),5000000)</f>
        <v>5000000</v>
      </c>
      <c r="P2605" s="4">
        <f ca="1">IFERROR(__xludf.DUMMYFUNCTION("IF(Cost_in_dollars!E2605=""USD"",Cost_in_dollars!C2605,Cost_in_dollars!C2605 * GOOGLEFINANCE(""CURRENCY:"" &amp; Cost_in_dollars!E2605 &amp; ""USD""))
"),12947763)</f>
        <v>12947763</v>
      </c>
      <c r="Q2605" s="6">
        <f t="shared" ca="1" si="60"/>
        <v>7947763</v>
      </c>
      <c r="R2605" s="7" t="str">
        <f t="shared" si="61"/>
        <v>April Fool's Day</v>
      </c>
      <c r="S2605" s="43" t="str">
        <f t="shared" si="62"/>
        <v>Horror</v>
      </c>
    </row>
    <row r="2606" spans="1:19" ht="15.75" customHeight="1" x14ac:dyDescent="0.25">
      <c r="A2606" s="4" t="s">
        <v>5070</v>
      </c>
      <c r="B2606" s="4">
        <v>107</v>
      </c>
      <c r="C2606" s="4">
        <v>84303558</v>
      </c>
      <c r="D2606" s="4" t="s">
        <v>1827</v>
      </c>
      <c r="E2606" s="4" t="s">
        <v>508</v>
      </c>
      <c r="F2606" s="4" t="s">
        <v>8354</v>
      </c>
      <c r="G2606" s="4">
        <v>65270</v>
      </c>
      <c r="H2606" s="4" t="s">
        <v>8355</v>
      </c>
      <c r="I2606" s="4">
        <v>100</v>
      </c>
      <c r="J2606" s="4" t="s">
        <v>23</v>
      </c>
      <c r="K2606" s="4" t="s">
        <v>24</v>
      </c>
      <c r="L2606" s="4">
        <v>85000000</v>
      </c>
      <c r="M2606" s="4">
        <v>2006</v>
      </c>
      <c r="N2606" s="4">
        <v>6.2</v>
      </c>
      <c r="O2606" s="4">
        <f ca="1">IFERROR(__xludf.DUMMYFUNCTION("IF(Cost_in_dollars!E2606=""USD"",Cost_in_dollars!B2606,Cost_in_dollars!B2606 * GOOGLEFINANCE(""CURRENCY:"" &amp; Cost_in_dollars!E2606 &amp; ""USD""))
"),85000000)</f>
        <v>85000000</v>
      </c>
      <c r="P2606" s="4">
        <f ca="1">IFERROR(__xludf.DUMMYFUNCTION("IF(Cost_in_dollars!E2606=""USD"",Cost_in_dollars!C2606,Cost_in_dollars!C2606 * GOOGLEFINANCE(""CURRENCY:"" &amp; Cost_in_dollars!E2606 &amp; ""USD""))
"),84303558)</f>
        <v>84303558</v>
      </c>
      <c r="Q2606" s="4">
        <f t="shared" ca="1" si="60"/>
        <v>-696442</v>
      </c>
      <c r="R2606" s="5" t="str">
        <f t="shared" si="61"/>
        <v>Open Season</v>
      </c>
      <c r="S2606" s="43" t="str">
        <f t="shared" si="62"/>
        <v>Adventure</v>
      </c>
    </row>
    <row r="2607" spans="1:19" ht="15.75" customHeight="1" x14ac:dyDescent="0.25">
      <c r="A2607" s="6" t="s">
        <v>3237</v>
      </c>
      <c r="B2607" s="6">
        <v>126</v>
      </c>
      <c r="C2607" s="6">
        <v>23360779</v>
      </c>
      <c r="D2607" s="6" t="s">
        <v>8356</v>
      </c>
      <c r="E2607" s="6" t="s">
        <v>3205</v>
      </c>
      <c r="F2607" s="6" t="s">
        <v>8357</v>
      </c>
      <c r="G2607" s="6">
        <v>31113</v>
      </c>
      <c r="H2607" s="6" t="s">
        <v>8358</v>
      </c>
      <c r="I2607" s="6">
        <v>212</v>
      </c>
      <c r="J2607" s="6" t="s">
        <v>23</v>
      </c>
      <c r="K2607" s="6" t="s">
        <v>24</v>
      </c>
      <c r="L2607" s="6">
        <v>34000000</v>
      </c>
      <c r="M2607" s="6">
        <v>2000</v>
      </c>
      <c r="N2607" s="6">
        <v>5.7</v>
      </c>
      <c r="O2607" s="4">
        <f ca="1">IFERROR(__xludf.DUMMYFUNCTION("IF(Cost_in_dollars!E2607=""USD"",Cost_in_dollars!B2607,Cost_in_dollars!B2607 * GOOGLEFINANCE(""CURRENCY:"" &amp; Cost_in_dollars!E2607 &amp; ""USD""))
"),34000000)</f>
        <v>34000000</v>
      </c>
      <c r="P2607" s="4">
        <f ca="1">IFERROR(__xludf.DUMMYFUNCTION("IF(Cost_in_dollars!E2607=""USD"",Cost_in_dollars!C2607,Cost_in_dollars!C2607 * GOOGLEFINANCE(""CURRENCY:"" &amp; Cost_in_dollars!E2607 &amp; ""USD""))
"),23360779)</f>
        <v>23360779</v>
      </c>
      <c r="Q2607" s="6">
        <f t="shared" ca="1" si="60"/>
        <v>-10639221</v>
      </c>
      <c r="R2607" s="7" t="str">
        <f t="shared" si="61"/>
        <v>Reindeer Games</v>
      </c>
      <c r="S2607" s="43" t="str">
        <f t="shared" si="62"/>
        <v>Action</v>
      </c>
    </row>
    <row r="2608" spans="1:19" ht="15.75" customHeight="1" x14ac:dyDescent="0.25">
      <c r="A2608" s="4" t="s">
        <v>4544</v>
      </c>
      <c r="B2608" s="4">
        <v>206</v>
      </c>
      <c r="C2608" s="4">
        <v>197992827</v>
      </c>
      <c r="D2608" s="4" t="s">
        <v>8359</v>
      </c>
      <c r="E2608" s="4" t="s">
        <v>676</v>
      </c>
      <c r="F2608" s="4" t="s">
        <v>8360</v>
      </c>
      <c r="G2608" s="4">
        <v>132501</v>
      </c>
      <c r="H2608" s="4" t="s">
        <v>8361</v>
      </c>
      <c r="I2608" s="4">
        <v>548</v>
      </c>
      <c r="J2608" s="4" t="s">
        <v>23</v>
      </c>
      <c r="K2608" s="4" t="s">
        <v>24</v>
      </c>
      <c r="L2608" s="4">
        <v>100000000</v>
      </c>
      <c r="M2608" s="4">
        <v>2006</v>
      </c>
      <c r="N2608" s="4">
        <v>6.5</v>
      </c>
      <c r="O2608" s="4">
        <f ca="1">IFERROR(__xludf.DUMMYFUNCTION("IF(Cost_in_dollars!E2608=""USD"",Cost_in_dollars!B2608,Cost_in_dollars!B2608 * GOOGLEFINANCE(""CURRENCY:"" &amp; Cost_in_dollars!E2608 &amp; ""USD""))
"),100000000)</f>
        <v>100000000</v>
      </c>
      <c r="P2608" s="4">
        <f ca="1">IFERROR(__xludf.DUMMYFUNCTION("IF(Cost_in_dollars!E2608=""USD"",Cost_in_dollars!C2608,Cost_in_dollars!C2608 * GOOGLEFINANCE(""CURRENCY:"" &amp; Cost_in_dollars!E2608 &amp; ""USD""))
"),197992827)</f>
        <v>197992827</v>
      </c>
      <c r="Q2608" s="4">
        <f t="shared" ca="1" si="60"/>
        <v>97992827</v>
      </c>
      <c r="R2608" s="5" t="str">
        <f t="shared" si="61"/>
        <v>Happy Feet</v>
      </c>
      <c r="S2608" s="43" t="str">
        <f t="shared" si="62"/>
        <v>Animation</v>
      </c>
    </row>
    <row r="2609" spans="1:19" ht="15.75" customHeight="1" x14ac:dyDescent="0.25">
      <c r="A2609" s="6" t="s">
        <v>8362</v>
      </c>
      <c r="B2609" s="6">
        <v>169</v>
      </c>
      <c r="C2609" s="6">
        <v>77413017</v>
      </c>
      <c r="D2609" s="6" t="s">
        <v>254</v>
      </c>
      <c r="E2609" s="6" t="s">
        <v>173</v>
      </c>
      <c r="F2609" s="6" t="s">
        <v>8363</v>
      </c>
      <c r="G2609" s="6">
        <v>45984</v>
      </c>
      <c r="H2609" s="6" t="s">
        <v>8364</v>
      </c>
      <c r="I2609" s="6">
        <v>331</v>
      </c>
      <c r="J2609" s="6" t="s">
        <v>661</v>
      </c>
      <c r="K2609" s="6" t="s">
        <v>611</v>
      </c>
      <c r="L2609" s="6">
        <v>8000000</v>
      </c>
      <c r="M2609" s="6">
        <v>2005</v>
      </c>
      <c r="N2609" s="6">
        <v>7.6</v>
      </c>
      <c r="O2609" s="4">
        <f ca="1">IFERROR(__xludf.DUMMYFUNCTION("IF(Cost_in_dollars!E2609=""USD"",Cost_in_dollars!B2609,Cost_in_dollars!B2609 * GOOGLEFINANCE(""CURRENCY:"" &amp; Cost_in_dollars!E2609 &amp; ""USD""))
"),8677920)</f>
        <v>8677920</v>
      </c>
      <c r="P2609" s="4">
        <f ca="1">IFERROR(__xludf.DUMMYFUNCTION("IF(Cost_in_dollars!E2609=""USD"",Cost_in_dollars!C2609,Cost_in_dollars!C2609 * GOOGLEFINANCE(""CURRENCY:"" &amp; Cost_in_dollars!E2609 &amp; ""USD""))
"),83972996.06058)</f>
        <v>83972996.06058</v>
      </c>
      <c r="Q2609" s="6">
        <f t="shared" ca="1" si="60"/>
        <v>75295076.06058</v>
      </c>
      <c r="R2609" s="7" t="str">
        <f t="shared" si="61"/>
        <v>March of the Penguins</v>
      </c>
      <c r="S2609" s="43" t="str">
        <f t="shared" si="62"/>
        <v>Documentary</v>
      </c>
    </row>
    <row r="2610" spans="1:19" ht="15.75" customHeight="1" x14ac:dyDescent="0.25">
      <c r="A2610" s="4" t="s">
        <v>4251</v>
      </c>
      <c r="B2610" s="4">
        <v>161</v>
      </c>
      <c r="C2610" s="4">
        <v>32541719</v>
      </c>
      <c r="D2610" s="4" t="s">
        <v>1041</v>
      </c>
      <c r="E2610" s="4" t="s">
        <v>1612</v>
      </c>
      <c r="F2610" s="4" t="s">
        <v>8365</v>
      </c>
      <c r="G2610" s="4">
        <v>89806</v>
      </c>
      <c r="H2610" s="4" t="s">
        <v>8366</v>
      </c>
      <c r="I2610" s="4">
        <v>438</v>
      </c>
      <c r="J2610" s="4" t="s">
        <v>23</v>
      </c>
      <c r="K2610" s="4" t="s">
        <v>133</v>
      </c>
      <c r="L2610" s="4">
        <v>3500159</v>
      </c>
      <c r="M2610" s="4">
        <v>2002</v>
      </c>
      <c r="N2610" s="4">
        <v>6.7</v>
      </c>
      <c r="O2610" s="4">
        <f ca="1">IFERROR(__xludf.DUMMYFUNCTION("IF(Cost_in_dollars!E2610=""USD"",Cost_in_dollars!B2610,Cost_in_dollars!B2610 * GOOGLEFINANCE(""CURRENCY:"" &amp; Cost_in_dollars!E2610 &amp; ""USD""))
"),4499104.37859999)</f>
        <v>4499104.3785999902</v>
      </c>
      <c r="P2610" s="4">
        <f ca="1">IFERROR(__xludf.DUMMYFUNCTION("IF(Cost_in_dollars!E2610=""USD"",Cost_in_dollars!C2610,Cost_in_dollars!C2610 * GOOGLEFINANCE(""CURRENCY:"" &amp; Cost_in_dollars!E2610 &amp; ""USD""))
"),41829125.6025999)</f>
        <v>41829125.602599896</v>
      </c>
      <c r="Q2610" s="4">
        <f t="shared" ca="1" si="60"/>
        <v>37330021.223999903</v>
      </c>
      <c r="R2610" s="5" t="str">
        <f t="shared" si="61"/>
        <v>Bend It Like Beckham</v>
      </c>
      <c r="S2610" s="43" t="str">
        <f t="shared" si="62"/>
        <v>Comedy</v>
      </c>
    </row>
    <row r="2611" spans="1:19" ht="15.75" customHeight="1" x14ac:dyDescent="0.25">
      <c r="A2611" s="6" t="s">
        <v>1574</v>
      </c>
      <c r="B2611" s="6">
        <v>181</v>
      </c>
      <c r="C2611" s="6">
        <v>125305545</v>
      </c>
      <c r="D2611" s="6" t="s">
        <v>8367</v>
      </c>
      <c r="E2611" s="6" t="s">
        <v>473</v>
      </c>
      <c r="F2611" s="6" t="s">
        <v>8368</v>
      </c>
      <c r="G2611" s="6">
        <v>145350</v>
      </c>
      <c r="H2611" s="6" t="s">
        <v>8369</v>
      </c>
      <c r="I2611" s="6">
        <v>643</v>
      </c>
      <c r="J2611" s="6" t="s">
        <v>23</v>
      </c>
      <c r="K2611" s="6" t="s">
        <v>24</v>
      </c>
      <c r="L2611" s="6">
        <v>92000000</v>
      </c>
      <c r="M2611" s="6">
        <v>2000</v>
      </c>
      <c r="N2611" s="6">
        <v>5.5</v>
      </c>
      <c r="O2611" s="4">
        <f ca="1">IFERROR(__xludf.DUMMYFUNCTION("IF(Cost_in_dollars!E2611=""USD"",Cost_in_dollars!B2611,Cost_in_dollars!B2611 * GOOGLEFINANCE(""CURRENCY:"" &amp; Cost_in_dollars!E2611 &amp; ""USD""))
"),92000000)</f>
        <v>92000000</v>
      </c>
      <c r="P2611" s="4">
        <f ca="1">IFERROR(__xludf.DUMMYFUNCTION("IF(Cost_in_dollars!E2611=""USD"",Cost_in_dollars!C2611,Cost_in_dollars!C2611 * GOOGLEFINANCE(""CURRENCY:"" &amp; Cost_in_dollars!E2611 &amp; ""USD""))
"),125305545)</f>
        <v>125305545</v>
      </c>
      <c r="Q2611" s="6">
        <f t="shared" ca="1" si="60"/>
        <v>33305545</v>
      </c>
      <c r="R2611" s="7" t="str">
        <f t="shared" si="61"/>
        <v>Charlie's Angels</v>
      </c>
      <c r="S2611" s="43" t="str">
        <f t="shared" si="62"/>
        <v>Action</v>
      </c>
    </row>
    <row r="2612" spans="1:19" ht="15.75" customHeight="1" x14ac:dyDescent="0.25">
      <c r="A2612" s="4" t="s">
        <v>508</v>
      </c>
      <c r="B2612" s="4">
        <v>152</v>
      </c>
      <c r="C2612" s="4">
        <v>173381405</v>
      </c>
      <c r="D2612" s="4" t="s">
        <v>4756</v>
      </c>
      <c r="E2612" s="4" t="s">
        <v>352</v>
      </c>
      <c r="F2612" s="4" t="s">
        <v>8370</v>
      </c>
      <c r="G2612" s="4">
        <v>147597</v>
      </c>
      <c r="H2612" s="4" t="s">
        <v>8371</v>
      </c>
      <c r="I2612" s="4">
        <v>395</v>
      </c>
      <c r="J2612" s="4" t="s">
        <v>23</v>
      </c>
      <c r="K2612" s="4" t="s">
        <v>24</v>
      </c>
      <c r="L2612" s="4">
        <v>33000000</v>
      </c>
      <c r="M2612" s="4">
        <v>2003</v>
      </c>
      <c r="N2612" s="4">
        <v>6.9</v>
      </c>
      <c r="O2612" s="4">
        <f ca="1">IFERROR(__xludf.DUMMYFUNCTION("IF(Cost_in_dollars!E2612=""USD"",Cost_in_dollars!B2612,Cost_in_dollars!B2612 * GOOGLEFINANCE(""CURRENCY:"" &amp; Cost_in_dollars!E2612 &amp; ""USD""))
"),33000000)</f>
        <v>33000000</v>
      </c>
      <c r="P2612" s="4">
        <f ca="1">IFERROR(__xludf.DUMMYFUNCTION("IF(Cost_in_dollars!E2612=""USD"",Cost_in_dollars!C2612,Cost_in_dollars!C2612 * GOOGLEFINANCE(""CURRENCY:"" &amp; Cost_in_dollars!E2612 &amp; ""USD""))
"),173381405)</f>
        <v>173381405</v>
      </c>
      <c r="Q2612" s="4">
        <f t="shared" ca="1" si="60"/>
        <v>140381405</v>
      </c>
      <c r="R2612" s="5" t="str">
        <f t="shared" si="61"/>
        <v>Elf</v>
      </c>
      <c r="S2612" s="43" t="str">
        <f t="shared" si="62"/>
        <v>Comedy</v>
      </c>
    </row>
    <row r="2613" spans="1:19" ht="15.75" customHeight="1" x14ac:dyDescent="0.25">
      <c r="A2613" s="6" t="s">
        <v>2360</v>
      </c>
      <c r="B2613" s="6">
        <v>240</v>
      </c>
      <c r="C2613" s="6">
        <v>143618384</v>
      </c>
      <c r="D2613" s="6" t="s">
        <v>6041</v>
      </c>
      <c r="E2613" s="6" t="s">
        <v>422</v>
      </c>
      <c r="F2613" s="6" t="s">
        <v>8372</v>
      </c>
      <c r="G2613" s="6">
        <v>165333</v>
      </c>
      <c r="H2613" s="6" t="s">
        <v>8373</v>
      </c>
      <c r="I2613" s="6">
        <v>186</v>
      </c>
      <c r="J2613" s="6" t="s">
        <v>23</v>
      </c>
      <c r="K2613" s="6" t="s">
        <v>24</v>
      </c>
      <c r="L2613" s="6">
        <v>90000000</v>
      </c>
      <c r="M2613" s="6">
        <v>2011</v>
      </c>
      <c r="N2613" s="6">
        <v>7</v>
      </c>
      <c r="O2613" s="4">
        <f ca="1">IFERROR(__xludf.DUMMYFUNCTION("IF(Cost_in_dollars!E2613=""USD"",Cost_in_dollars!B2613,Cost_in_dollars!B2613 * GOOGLEFINANCE(""CURRENCY:"" &amp; Cost_in_dollars!E2613 &amp; ""USD""))
"),90000000)</f>
        <v>90000000</v>
      </c>
      <c r="P2613" s="4">
        <f ca="1">IFERROR(__xludf.DUMMYFUNCTION("IF(Cost_in_dollars!E2613=""USD"",Cost_in_dollars!C2613,Cost_in_dollars!C2613 * GOOGLEFINANCE(""CURRENCY:"" &amp; Cost_in_dollars!E2613 &amp; ""USD""))
"),143618384)</f>
        <v>143618384</v>
      </c>
      <c r="Q2613" s="6">
        <f t="shared" ca="1" si="60"/>
        <v>53618384</v>
      </c>
      <c r="R2613" s="7" t="str">
        <f t="shared" si="61"/>
        <v>Rio</v>
      </c>
      <c r="S2613" s="43" t="str">
        <f t="shared" si="62"/>
        <v>Adventure</v>
      </c>
    </row>
    <row r="2614" spans="1:19" ht="15.75" customHeight="1" x14ac:dyDescent="0.25">
      <c r="A2614" s="4" t="s">
        <v>5067</v>
      </c>
      <c r="B2614" s="4">
        <v>140</v>
      </c>
      <c r="C2614" s="4">
        <v>46363118</v>
      </c>
      <c r="D2614" s="4" t="s">
        <v>2396</v>
      </c>
      <c r="E2614" s="4" t="s">
        <v>8374</v>
      </c>
      <c r="F2614" s="4" t="s">
        <v>8375</v>
      </c>
      <c r="G2614" s="4">
        <v>25960</v>
      </c>
      <c r="H2614" s="4" t="s">
        <v>8376</v>
      </c>
      <c r="I2614" s="4">
        <v>389</v>
      </c>
      <c r="J2614" s="4" t="s">
        <v>23</v>
      </c>
      <c r="K2614" s="4" t="s">
        <v>24</v>
      </c>
      <c r="L2614" s="4">
        <v>20000000</v>
      </c>
      <c r="M2614" s="4">
        <v>2005</v>
      </c>
      <c r="N2614" s="4">
        <v>4.0999999999999996</v>
      </c>
      <c r="O2614" s="4">
        <f ca="1">IFERROR(__xludf.DUMMYFUNCTION("IF(Cost_in_dollars!E2614=""USD"",Cost_in_dollars!B2614,Cost_in_dollars!B2614 * GOOGLEFINANCE(""CURRENCY:"" &amp; Cost_in_dollars!E2614 &amp; ""USD""))
"),20000000)</f>
        <v>20000000</v>
      </c>
      <c r="P2614" s="4">
        <f ca="1">IFERROR(__xludf.DUMMYFUNCTION("IF(Cost_in_dollars!E2614=""USD"",Cost_in_dollars!C2614,Cost_in_dollars!C2614 * GOOGLEFINANCE(""CURRENCY:"" &amp; Cost_in_dollars!E2614 &amp; ""USD""))
"),46363118)</f>
        <v>46363118</v>
      </c>
      <c r="Q2614" s="4">
        <f t="shared" ca="1" si="60"/>
        <v>26363118</v>
      </c>
      <c r="R2614" s="5" t="str">
        <f t="shared" si="61"/>
        <v>Boogeyman</v>
      </c>
      <c r="S2614" s="43" t="str">
        <f t="shared" si="62"/>
        <v>Drama</v>
      </c>
    </row>
    <row r="2615" spans="1:19" ht="15.75" customHeight="1" x14ac:dyDescent="0.25">
      <c r="A2615" s="6" t="s">
        <v>3218</v>
      </c>
      <c r="B2615" s="6">
        <v>46</v>
      </c>
      <c r="C2615" s="6">
        <v>10161099</v>
      </c>
      <c r="D2615" s="6" t="s">
        <v>8377</v>
      </c>
      <c r="E2615" s="6" t="s">
        <v>8378</v>
      </c>
      <c r="F2615" s="6" t="s">
        <v>8379</v>
      </c>
      <c r="G2615" s="6">
        <v>23441</v>
      </c>
      <c r="H2615" s="6" t="s">
        <v>8380</v>
      </c>
      <c r="I2615" s="6">
        <v>108</v>
      </c>
      <c r="J2615" s="6" t="s">
        <v>23</v>
      </c>
      <c r="K2615" s="6" t="s">
        <v>133</v>
      </c>
      <c r="L2615" s="6">
        <v>9000000</v>
      </c>
      <c r="M2615" s="6">
        <v>1989</v>
      </c>
      <c r="N2615" s="6">
        <v>7.7</v>
      </c>
      <c r="O2615" s="4">
        <f ca="1">IFERROR(__xludf.DUMMYFUNCTION("IF(Cost_in_dollars!E2615=""USD"",Cost_in_dollars!B2615,Cost_in_dollars!B2615 * GOOGLEFINANCE(""CURRENCY:"" &amp; Cost_in_dollars!E2615 &amp; ""USD""))
"),11568599.9999999)</f>
        <v>11568599.999999899</v>
      </c>
      <c r="P2615" s="4">
        <f ca="1">IFERROR(__xludf.DUMMYFUNCTION("IF(Cost_in_dollars!E2615=""USD"",Cost_in_dollars!C2615,Cost_in_dollars!C2615 * GOOGLEFINANCE(""CURRENCY:"" &amp; Cost_in_dollars!E2615 &amp; ""USD""))
"),13061076.6545999)</f>
        <v>13061076.654599899</v>
      </c>
      <c r="Q2615" s="6">
        <f t="shared" ca="1" si="60"/>
        <v>1492476.6546</v>
      </c>
      <c r="R2615" s="7" t="str">
        <f t="shared" si="61"/>
        <v>Henry V</v>
      </c>
      <c r="S2615" s="43" t="str">
        <f t="shared" si="62"/>
        <v>Action</v>
      </c>
    </row>
    <row r="2616" spans="1:19" ht="15.75" customHeight="1" x14ac:dyDescent="0.25">
      <c r="A2616" s="4" t="s">
        <v>1589</v>
      </c>
      <c r="B2616" s="4">
        <v>488</v>
      </c>
      <c r="C2616" s="4">
        <v>74273505</v>
      </c>
      <c r="D2616" s="4" t="s">
        <v>116</v>
      </c>
      <c r="E2616" s="4" t="s">
        <v>7645</v>
      </c>
      <c r="F2616" s="4" t="s">
        <v>8381</v>
      </c>
      <c r="G2616" s="4">
        <v>612060</v>
      </c>
      <c r="H2616" s="4" t="s">
        <v>8382</v>
      </c>
      <c r="I2616" s="4">
        <v>1518</v>
      </c>
      <c r="J2616" s="4" t="s">
        <v>23</v>
      </c>
      <c r="K2616" s="4" t="s">
        <v>24</v>
      </c>
      <c r="L2616" s="4">
        <v>25000000</v>
      </c>
      <c r="M2616" s="4">
        <v>2007</v>
      </c>
      <c r="N2616" s="4">
        <v>8.1</v>
      </c>
      <c r="O2616" s="4">
        <f ca="1">IFERROR(__xludf.DUMMYFUNCTION("IF(Cost_in_dollars!E2616=""USD"",Cost_in_dollars!B2616,Cost_in_dollars!B2616 * GOOGLEFINANCE(""CURRENCY:"" &amp; Cost_in_dollars!E2616 &amp; ""USD""))
"),25000000)</f>
        <v>25000000</v>
      </c>
      <c r="P2616" s="4">
        <f ca="1">IFERROR(__xludf.DUMMYFUNCTION("IF(Cost_in_dollars!E2616=""USD"",Cost_in_dollars!C2616,Cost_in_dollars!C2616 * GOOGLEFINANCE(""CURRENCY:"" &amp; Cost_in_dollars!E2616 &amp; ""USD""))
"),74273505)</f>
        <v>74273505</v>
      </c>
      <c r="Q2616" s="4">
        <f t="shared" ca="1" si="60"/>
        <v>49273505</v>
      </c>
      <c r="R2616" s="5" t="str">
        <f t="shared" si="61"/>
        <v>No Country for Old Men</v>
      </c>
      <c r="S2616" s="43" t="str">
        <f t="shared" si="62"/>
        <v>Crime</v>
      </c>
    </row>
    <row r="2617" spans="1:19" ht="15.75" customHeight="1" x14ac:dyDescent="0.25">
      <c r="A2617" s="6" t="s">
        <v>72</v>
      </c>
      <c r="B2617" s="6">
        <v>392</v>
      </c>
      <c r="C2617" s="6">
        <v>78900000</v>
      </c>
      <c r="D2617" s="6" t="s">
        <v>1328</v>
      </c>
      <c r="E2617" s="6" t="s">
        <v>3222</v>
      </c>
      <c r="F2617" s="6" t="s">
        <v>8383</v>
      </c>
      <c r="G2617" s="6">
        <v>563827</v>
      </c>
      <c r="H2617" s="6" t="s">
        <v>8384</v>
      </c>
      <c r="I2617" s="6">
        <v>1110</v>
      </c>
      <c r="J2617" s="6" t="s">
        <v>23</v>
      </c>
      <c r="K2617" s="6" t="s">
        <v>133</v>
      </c>
      <c r="L2617" s="6">
        <v>11000000</v>
      </c>
      <c r="M2617" s="6">
        <v>1979</v>
      </c>
      <c r="N2617" s="6">
        <v>8.5</v>
      </c>
      <c r="O2617" s="4">
        <f ca="1">IFERROR(__xludf.DUMMYFUNCTION("IF(Cost_in_dollars!E2617=""USD"",Cost_in_dollars!B2617,Cost_in_dollars!B2617 * GOOGLEFINANCE(""CURRENCY:"" &amp; Cost_in_dollars!E2617 &amp; ""USD""))
"),14139399.9999999)</f>
        <v>14139399.999999899</v>
      </c>
      <c r="P2617" s="4">
        <f ca="1">IFERROR(__xludf.DUMMYFUNCTION("IF(Cost_in_dollars!E2617=""USD"",Cost_in_dollars!C2617,Cost_in_dollars!C2617 * GOOGLEFINANCE(""CURRENCY:"" &amp; Cost_in_dollars!E2617 &amp; ""USD""))
"),101418059.999999)</f>
        <v>101418059.999999</v>
      </c>
      <c r="Q2617" s="6">
        <f t="shared" ca="1" si="60"/>
        <v>87278659.999999106</v>
      </c>
      <c r="R2617" s="7" t="str">
        <f t="shared" si="61"/>
        <v>Alien</v>
      </c>
      <c r="S2617" s="43" t="str">
        <f t="shared" si="62"/>
        <v>Horror</v>
      </c>
    </row>
    <row r="2618" spans="1:19" ht="15.75" customHeight="1" x14ac:dyDescent="0.25">
      <c r="A2618" s="4" t="s">
        <v>8385</v>
      </c>
      <c r="B2618" s="4">
        <v>191</v>
      </c>
      <c r="C2618" s="4">
        <v>12570442</v>
      </c>
      <c r="D2618" s="4" t="s">
        <v>3234</v>
      </c>
      <c r="E2618" s="4" t="s">
        <v>2682</v>
      </c>
      <c r="F2618" s="4" t="s">
        <v>8386</v>
      </c>
      <c r="G2618" s="4">
        <v>40514</v>
      </c>
      <c r="H2618" s="4" t="s">
        <v>8387</v>
      </c>
      <c r="I2618" s="4">
        <v>234</v>
      </c>
      <c r="J2618" s="4" t="s">
        <v>23</v>
      </c>
      <c r="K2618" s="4" t="s">
        <v>24</v>
      </c>
      <c r="L2618" s="4">
        <v>10000000</v>
      </c>
      <c r="M2618" s="4">
        <v>2005</v>
      </c>
      <c r="N2618" s="4">
        <v>6.8</v>
      </c>
      <c r="O2618" s="4">
        <f ca="1">IFERROR(__xludf.DUMMYFUNCTION("IF(Cost_in_dollars!E2618=""USD"",Cost_in_dollars!B2618,Cost_in_dollars!B2618 * GOOGLEFINANCE(""CURRENCY:"" &amp; Cost_in_dollars!E2618 &amp; ""USD""))
"),10000000)</f>
        <v>10000000</v>
      </c>
      <c r="P2618" s="4">
        <f ca="1">IFERROR(__xludf.DUMMYFUNCTION("IF(Cost_in_dollars!E2618=""USD"",Cost_in_dollars!C2618,Cost_in_dollars!C2618 * GOOGLEFINANCE(""CURRENCY:"" &amp; Cost_in_dollars!E2618 &amp; ""USD""))
"),12570442)</f>
        <v>12570442</v>
      </c>
      <c r="Q2618" s="4">
        <f t="shared" ca="1" si="60"/>
        <v>2570442</v>
      </c>
      <c r="R2618" s="5" t="str">
        <f t="shared" si="61"/>
        <v>The Matador</v>
      </c>
      <c r="S2618" s="43" t="str">
        <f t="shared" si="62"/>
        <v>Comedy</v>
      </c>
    </row>
    <row r="2619" spans="1:19" ht="15.75" customHeight="1" x14ac:dyDescent="0.25">
      <c r="A2619" s="6" t="s">
        <v>2749</v>
      </c>
      <c r="B2619" s="6">
        <v>549</v>
      </c>
      <c r="C2619" s="6">
        <v>82624961</v>
      </c>
      <c r="D2619" s="6" t="s">
        <v>457</v>
      </c>
      <c r="E2619" s="6" t="s">
        <v>7316</v>
      </c>
      <c r="F2619" s="6" t="s">
        <v>8388</v>
      </c>
      <c r="G2619" s="6">
        <v>205284</v>
      </c>
      <c r="H2619" s="6" t="s">
        <v>8389</v>
      </c>
      <c r="I2619" s="6">
        <v>439</v>
      </c>
      <c r="J2619" s="6" t="s">
        <v>23</v>
      </c>
      <c r="K2619" s="6" t="s">
        <v>24</v>
      </c>
      <c r="L2619" s="6">
        <v>20000000</v>
      </c>
      <c r="M2619" s="6">
        <v>2011</v>
      </c>
      <c r="N2619" s="6">
        <v>7.3</v>
      </c>
      <c r="O2619" s="4">
        <f ca="1">IFERROR(__xludf.DUMMYFUNCTION("IF(Cost_in_dollars!E2619=""USD"",Cost_in_dollars!B2619,Cost_in_dollars!B2619 * GOOGLEFINANCE(""CURRENCY:"" &amp; Cost_in_dollars!E2619 &amp; ""USD""))
"),20000000)</f>
        <v>20000000</v>
      </c>
      <c r="P2619" s="4">
        <f ca="1">IFERROR(__xludf.DUMMYFUNCTION("IF(Cost_in_dollars!E2619=""USD"",Cost_in_dollars!C2619,Cost_in_dollars!C2619 * GOOGLEFINANCE(""CURRENCY:"" &amp; Cost_in_dollars!E2619 &amp; ""USD""))
"),82624961)</f>
        <v>82624961</v>
      </c>
      <c r="Q2619" s="6">
        <f t="shared" ca="1" si="60"/>
        <v>62624961</v>
      </c>
      <c r="R2619" s="7" t="str">
        <f t="shared" si="61"/>
        <v>The Descendants</v>
      </c>
      <c r="S2619" s="43" t="str">
        <f t="shared" si="62"/>
        <v>Comedy</v>
      </c>
    </row>
    <row r="2620" spans="1:19" ht="15.75" customHeight="1" x14ac:dyDescent="0.25">
      <c r="A2620" s="4" t="s">
        <v>2651</v>
      </c>
      <c r="B2620" s="4">
        <v>120</v>
      </c>
      <c r="C2620" s="4">
        <v>12188642</v>
      </c>
      <c r="D2620" s="4" t="s">
        <v>623</v>
      </c>
      <c r="E2620" s="4" t="s">
        <v>8390</v>
      </c>
      <c r="F2620" s="4" t="s">
        <v>8391</v>
      </c>
      <c r="G2620" s="4">
        <v>21098</v>
      </c>
      <c r="H2620" s="4" t="s">
        <v>8392</v>
      </c>
      <c r="I2620" s="4">
        <v>56</v>
      </c>
      <c r="J2620" s="4" t="s">
        <v>23</v>
      </c>
      <c r="K2620" s="4" t="s">
        <v>8393</v>
      </c>
      <c r="L2620" s="4">
        <v>26000000</v>
      </c>
      <c r="M2620" s="4">
        <v>2015</v>
      </c>
      <c r="N2620" s="4">
        <v>6.9</v>
      </c>
      <c r="O2620" s="4">
        <f ca="1">IFERROR(__xludf.DUMMYFUNCTION("IF(Cost_in_dollars!E2620=""USD"",Cost_in_dollars!B2620,Cost_in_dollars!B2620 * GOOGLEFINANCE(""CURRENCY:"" &amp; Cost_in_dollars!E2620 &amp; ""USD""))
"),27300)</f>
        <v>27300</v>
      </c>
      <c r="P2620" s="4">
        <f ca="1">IFERROR(__xludf.DUMMYFUNCTION("IF(Cost_in_dollars!E2620=""USD"",Cost_in_dollars!C2620,Cost_in_dollars!C2620 * GOOGLEFINANCE(""CURRENCY:"" &amp; Cost_in_dollars!E2620 &amp; ""USD""))
"),12798.0741)</f>
        <v>12798.0741</v>
      </c>
      <c r="Q2620" s="4">
        <f t="shared" ca="1" si="60"/>
        <v>-14501.9259</v>
      </c>
      <c r="R2620" s="5" t="str">
        <f t="shared" si="61"/>
        <v>The 33</v>
      </c>
      <c r="S2620" s="43" t="str">
        <f t="shared" si="62"/>
        <v>Biography</v>
      </c>
    </row>
    <row r="2621" spans="1:19" ht="15.75" customHeight="1" x14ac:dyDescent="0.25">
      <c r="A2621" s="6" t="s">
        <v>72</v>
      </c>
      <c r="B2621" s="6">
        <v>63</v>
      </c>
      <c r="C2621" s="6">
        <v>45645204</v>
      </c>
      <c r="D2621" s="6" t="s">
        <v>155</v>
      </c>
      <c r="E2621" s="6" t="s">
        <v>900</v>
      </c>
      <c r="F2621" s="6" t="s">
        <v>8394</v>
      </c>
      <c r="G2621" s="6">
        <v>39306</v>
      </c>
      <c r="H2621" s="6" t="s">
        <v>8395</v>
      </c>
      <c r="I2621" s="6">
        <v>119</v>
      </c>
      <c r="J2621" s="6" t="s">
        <v>23</v>
      </c>
      <c r="K2621" s="6" t="s">
        <v>24</v>
      </c>
      <c r="L2621" s="6">
        <v>30000000</v>
      </c>
      <c r="M2621" s="6">
        <v>1989</v>
      </c>
      <c r="N2621" s="6">
        <v>6.6</v>
      </c>
      <c r="O2621" s="4">
        <f ca="1">IFERROR(__xludf.DUMMYFUNCTION("IF(Cost_in_dollars!E2621=""USD"",Cost_in_dollars!B2621,Cost_in_dollars!B2621 * GOOGLEFINANCE(""CURRENCY:"" &amp; Cost_in_dollars!E2621 &amp; ""USD""))
"),30000000)</f>
        <v>30000000</v>
      </c>
      <c r="P2621" s="4">
        <f ca="1">IFERROR(__xludf.DUMMYFUNCTION("IF(Cost_in_dollars!E2621=""USD"",Cost_in_dollars!C2621,Cost_in_dollars!C2621 * GOOGLEFINANCE(""CURRENCY:"" &amp; Cost_in_dollars!E2621 &amp; ""USD""))
"),45645204)</f>
        <v>45645204</v>
      </c>
      <c r="Q2621" s="6">
        <f t="shared" ca="1" si="60"/>
        <v>15645204</v>
      </c>
      <c r="R2621" s="7" t="str">
        <f t="shared" si="61"/>
        <v>Black Rain</v>
      </c>
      <c r="S2621" s="43" t="str">
        <f t="shared" si="62"/>
        <v>Action</v>
      </c>
    </row>
    <row r="2622" spans="1:19" ht="15.75" customHeight="1" x14ac:dyDescent="0.25">
      <c r="A2622" s="4" t="s">
        <v>675</v>
      </c>
      <c r="B2622" s="4">
        <v>244</v>
      </c>
      <c r="C2622" s="4">
        <v>93926386</v>
      </c>
      <c r="D2622" s="4" t="s">
        <v>1492</v>
      </c>
      <c r="E2622" s="4" t="s">
        <v>7450</v>
      </c>
      <c r="F2622" s="4" t="s">
        <v>8396</v>
      </c>
      <c r="G2622" s="4">
        <v>168207</v>
      </c>
      <c r="H2622" s="4" t="s">
        <v>8397</v>
      </c>
      <c r="I2622" s="4">
        <v>684</v>
      </c>
      <c r="J2622" s="4" t="s">
        <v>23</v>
      </c>
      <c r="K2622" s="4" t="s">
        <v>24</v>
      </c>
      <c r="L2622" s="4">
        <v>150000000</v>
      </c>
      <c r="M2622" s="4">
        <v>2003</v>
      </c>
      <c r="N2622" s="4">
        <v>7.4</v>
      </c>
      <c r="O2622" s="4">
        <f ca="1">IFERROR(__xludf.DUMMYFUNCTION("IF(Cost_in_dollars!E2622=""USD"",Cost_in_dollars!B2622,Cost_in_dollars!B2622 * GOOGLEFINANCE(""CURRENCY:"" &amp; Cost_in_dollars!E2622 &amp; ""USD""))
"),150000000)</f>
        <v>150000000</v>
      </c>
      <c r="P2622" s="4">
        <f ca="1">IFERROR(__xludf.DUMMYFUNCTION("IF(Cost_in_dollars!E2622=""USD"",Cost_in_dollars!C2622,Cost_in_dollars!C2622 * GOOGLEFINANCE(""CURRENCY:"" &amp; Cost_in_dollars!E2622 &amp; ""USD""))
"),93926386)</f>
        <v>93926386</v>
      </c>
      <c r="Q2622" s="4">
        <f t="shared" ca="1" si="60"/>
        <v>-56073614</v>
      </c>
      <c r="R2622" s="5" t="str">
        <f t="shared" si="61"/>
        <v>Master and Commander: The Far Side of the World</v>
      </c>
      <c r="S2622" s="43" t="str">
        <f t="shared" si="62"/>
        <v>Action</v>
      </c>
    </row>
    <row r="2623" spans="1:19" ht="15.75" customHeight="1" x14ac:dyDescent="0.25">
      <c r="A2623" s="6" t="s">
        <v>215</v>
      </c>
      <c r="B2623" s="6">
        <v>99</v>
      </c>
      <c r="C2623" s="6">
        <v>38360195</v>
      </c>
      <c r="D2623" s="6" t="s">
        <v>5215</v>
      </c>
      <c r="E2623" s="6" t="s">
        <v>1336</v>
      </c>
      <c r="F2623" s="6" t="s">
        <v>8398</v>
      </c>
      <c r="G2623" s="6">
        <v>21215</v>
      </c>
      <c r="H2623" s="6" t="s">
        <v>8399</v>
      </c>
      <c r="I2623" s="6">
        <v>116</v>
      </c>
      <c r="J2623" s="6" t="s">
        <v>23</v>
      </c>
      <c r="K2623" s="6" t="s">
        <v>24</v>
      </c>
      <c r="L2623" s="6">
        <v>45000000</v>
      </c>
      <c r="M2623" s="6">
        <v>2006</v>
      </c>
      <c r="N2623" s="6">
        <v>6.4</v>
      </c>
      <c r="O2623" s="4">
        <f ca="1">IFERROR(__xludf.DUMMYFUNCTION("IF(Cost_in_dollars!E2623=""USD"",Cost_in_dollars!B2623,Cost_in_dollars!B2623 * GOOGLEFINANCE(""CURRENCY:"" &amp; Cost_in_dollars!E2623 &amp; ""USD""))
"),45000000)</f>
        <v>45000000</v>
      </c>
      <c r="P2623" s="4">
        <f ca="1">IFERROR(__xludf.DUMMYFUNCTION("IF(Cost_in_dollars!E2623=""USD"",Cost_in_dollars!C2623,Cost_in_dollars!C2623 * GOOGLEFINANCE(""CURRENCY:"" &amp; Cost_in_dollars!E2623 &amp; ""USD""))
"),38360195)</f>
        <v>38360195</v>
      </c>
      <c r="Q2623" s="6">
        <f t="shared" ca="1" si="60"/>
        <v>-6639805</v>
      </c>
      <c r="R2623" s="7" t="str">
        <f t="shared" si="61"/>
        <v>Last Holiday</v>
      </c>
      <c r="S2623" s="43" t="str">
        <f t="shared" si="62"/>
        <v>Adventure</v>
      </c>
    </row>
    <row r="2624" spans="1:19" ht="15.75" customHeight="1" x14ac:dyDescent="0.25">
      <c r="A2624" s="4" t="s">
        <v>8400</v>
      </c>
      <c r="B2624" s="4">
        <v>543</v>
      </c>
      <c r="C2624" s="4">
        <v>54239856</v>
      </c>
      <c r="D2624" s="4" t="s">
        <v>151</v>
      </c>
      <c r="E2624" s="4" t="s">
        <v>8401</v>
      </c>
      <c r="F2624" s="4" t="s">
        <v>8402</v>
      </c>
      <c r="G2624" s="4">
        <v>125016</v>
      </c>
      <c r="H2624" s="4" t="s">
        <v>8403</v>
      </c>
      <c r="I2624" s="4">
        <v>789</v>
      </c>
      <c r="J2624" s="4" t="s">
        <v>23</v>
      </c>
      <c r="K2624" s="4" t="s">
        <v>24</v>
      </c>
      <c r="L2624" s="4">
        <v>17000000</v>
      </c>
      <c r="M2624" s="4">
        <v>2013</v>
      </c>
      <c r="N2624" s="4">
        <v>6.5</v>
      </c>
      <c r="O2624" s="4">
        <f ca="1">IFERROR(__xludf.DUMMYFUNCTION("IF(Cost_in_dollars!E2624=""USD"",Cost_in_dollars!B2624,Cost_in_dollars!B2624 * GOOGLEFINANCE(""CURRENCY:"" &amp; Cost_in_dollars!E2624 &amp; ""USD""))
"),17000000)</f>
        <v>17000000</v>
      </c>
      <c r="P2624" s="4">
        <f ca="1">IFERROR(__xludf.DUMMYFUNCTION("IF(Cost_in_dollars!E2624=""USD"",Cost_in_dollars!C2624,Cost_in_dollars!C2624 * GOOGLEFINANCE(""CURRENCY:"" &amp; Cost_in_dollars!E2624 &amp; ""USD""))
"),54239856)</f>
        <v>54239856</v>
      </c>
      <c r="Q2624" s="4">
        <f t="shared" ca="1" si="60"/>
        <v>37239856</v>
      </c>
      <c r="R2624" s="5" t="str">
        <f t="shared" si="61"/>
        <v>Evil Dead</v>
      </c>
      <c r="S2624" s="43" t="str">
        <f t="shared" si="62"/>
        <v>Horror</v>
      </c>
    </row>
    <row r="2625" spans="1:19" ht="15.75" customHeight="1" x14ac:dyDescent="0.25">
      <c r="A2625" s="6" t="s">
        <v>8404</v>
      </c>
      <c r="B2625" s="6">
        <v>26</v>
      </c>
      <c r="C2625" s="6">
        <v>100412</v>
      </c>
      <c r="D2625" s="6" t="s">
        <v>102</v>
      </c>
      <c r="E2625" s="6" t="s">
        <v>8405</v>
      </c>
      <c r="F2625" s="6" t="s">
        <v>8406</v>
      </c>
      <c r="G2625" s="6">
        <v>2112</v>
      </c>
      <c r="H2625" s="6" t="s">
        <v>109</v>
      </c>
      <c r="I2625" s="6">
        <v>7</v>
      </c>
      <c r="J2625" s="6" t="s">
        <v>1045</v>
      </c>
      <c r="K2625" s="6" t="s">
        <v>1220</v>
      </c>
      <c r="L2625" s="6">
        <v>4000000</v>
      </c>
      <c r="M2625" s="6">
        <v>2013</v>
      </c>
      <c r="N2625" s="6">
        <v>7.7</v>
      </c>
      <c r="O2625" s="4">
        <f ca="1">IFERROR(__xludf.DUMMYFUNCTION("IF(Cost_in_dollars!E2625=""USD"",Cost_in_dollars!B2625,Cost_in_dollars!B2625 * GOOGLEFINANCE(""CURRENCY:"" &amp; Cost_in_dollars!E2625 &amp; ""USD""))
"),216818.76)</f>
        <v>216818.76</v>
      </c>
      <c r="P2625" s="4">
        <f ca="1">IFERROR(__xludf.DUMMYFUNCTION("IF(Cost_in_dollars!E2625=""USD"",Cost_in_dollars!C2625,Cost_in_dollars!C2625 * GOOGLEFINANCE(""CURRENCY:"" &amp; Cost_in_dollars!E2625 &amp; ""USD""))
"),5442.80133228)</f>
        <v>5442.8013322799998</v>
      </c>
      <c r="Q2625" s="6">
        <f t="shared" ca="1" si="60"/>
        <v>-211375.95866772</v>
      </c>
      <c r="R2625" s="7" t="str">
        <f t="shared" si="61"/>
        <v>Buen DÃ­a, RamÃ³n</v>
      </c>
      <c r="S2625" s="43" t="str">
        <f t="shared" si="62"/>
        <v>Drama</v>
      </c>
    </row>
    <row r="2626" spans="1:19" ht="15.75" customHeight="1" x14ac:dyDescent="0.25">
      <c r="A2626" s="4" t="s">
        <v>1781</v>
      </c>
      <c r="B2626" s="4">
        <v>64</v>
      </c>
      <c r="C2626" s="4">
        <v>4250320</v>
      </c>
      <c r="D2626" s="4" t="s">
        <v>8407</v>
      </c>
      <c r="E2626" s="4" t="s">
        <v>8408</v>
      </c>
      <c r="F2626" s="4" t="s">
        <v>8409</v>
      </c>
      <c r="G2626" s="4">
        <v>14870</v>
      </c>
      <c r="H2626" s="4" t="s">
        <v>8410</v>
      </c>
      <c r="I2626" s="4">
        <v>86</v>
      </c>
      <c r="J2626" s="4" t="s">
        <v>23</v>
      </c>
      <c r="K2626" s="4" t="s">
        <v>24</v>
      </c>
      <c r="L2626" s="4">
        <v>18000000</v>
      </c>
      <c r="M2626" s="4">
        <v>1985</v>
      </c>
      <c r="N2626" s="4">
        <v>6.8</v>
      </c>
      <c r="O2626" s="4">
        <f ca="1">IFERROR(__xludf.DUMMYFUNCTION("IF(Cost_in_dollars!E2626=""USD"",Cost_in_dollars!B2626,Cost_in_dollars!B2626 * GOOGLEFINANCE(""CURRENCY:"" &amp; Cost_in_dollars!E2626 &amp; ""USD""))
"),18000000)</f>
        <v>18000000</v>
      </c>
      <c r="P2626" s="4">
        <f ca="1">IFERROR(__xludf.DUMMYFUNCTION("IF(Cost_in_dollars!E2626=""USD"",Cost_in_dollars!C2626,Cost_in_dollars!C2626 * GOOGLEFINANCE(""CURRENCY:"" &amp; Cost_in_dollars!E2626 &amp; ""USD""))
"),4250320)</f>
        <v>4250320</v>
      </c>
      <c r="Q2626" s="4">
        <f t="shared" ca="1" si="60"/>
        <v>-13749680</v>
      </c>
      <c r="R2626" s="5" t="str">
        <f t="shared" si="61"/>
        <v>Young Sherlock Holmes</v>
      </c>
      <c r="S2626" s="43" t="str">
        <f t="shared" ref="S2626:S2689" si="63">IF(ISNUMBER(FIND("|", D2626)), LEFT(D2626, FIND("|", D2626) - 1), D2626)</f>
        <v>Adventure</v>
      </c>
    </row>
    <row r="2627" spans="1:19" ht="15.75" customHeight="1" x14ac:dyDescent="0.25">
      <c r="A2627" s="6" t="s">
        <v>42</v>
      </c>
      <c r="B2627" s="6">
        <v>195</v>
      </c>
      <c r="C2627" s="6">
        <v>28687835</v>
      </c>
      <c r="D2627" s="6" t="s">
        <v>116</v>
      </c>
      <c r="E2627" s="6" t="s">
        <v>1367</v>
      </c>
      <c r="F2627" s="6" t="s">
        <v>8411</v>
      </c>
      <c r="G2627" s="6">
        <v>40964</v>
      </c>
      <c r="H2627" s="6" t="s">
        <v>8412</v>
      </c>
      <c r="I2627" s="6">
        <v>245</v>
      </c>
      <c r="J2627" s="6" t="s">
        <v>23</v>
      </c>
      <c r="K2627" s="6" t="s">
        <v>24</v>
      </c>
      <c r="L2627" s="6">
        <v>35000000</v>
      </c>
      <c r="M2627" s="6">
        <v>2008</v>
      </c>
      <c r="N2627" s="6">
        <v>6.2</v>
      </c>
      <c r="O2627" s="4">
        <f ca="1">IFERROR(__xludf.DUMMYFUNCTION("IF(Cost_in_dollars!E2627=""USD"",Cost_in_dollars!B2627,Cost_in_dollars!B2627 * GOOGLEFINANCE(""CURRENCY:"" &amp; Cost_in_dollars!E2627 &amp; ""USD""))
"),35000000)</f>
        <v>35000000</v>
      </c>
      <c r="P2627" s="4">
        <f ca="1">IFERROR(__xludf.DUMMYFUNCTION("IF(Cost_in_dollars!E2627=""USD"",Cost_in_dollars!C2627,Cost_in_dollars!C2627 * GOOGLEFINANCE(""CURRENCY:"" &amp; Cost_in_dollars!E2627 &amp; ""USD""))
"),28687835)</f>
        <v>28687835</v>
      </c>
      <c r="Q2627" s="6">
        <f t="shared" ca="1" si="60"/>
        <v>-6312165</v>
      </c>
      <c r="R2627" s="7" t="str">
        <f t="shared" si="61"/>
        <v>Untraceable</v>
      </c>
      <c r="S2627" s="43" t="str">
        <f t="shared" si="63"/>
        <v>Crime</v>
      </c>
    </row>
    <row r="2628" spans="1:19" ht="15.75" customHeight="1" x14ac:dyDescent="0.25">
      <c r="A2628" s="4" t="s">
        <v>980</v>
      </c>
      <c r="B2628" s="4">
        <v>43</v>
      </c>
      <c r="C2628" s="4">
        <v>85222</v>
      </c>
      <c r="D2628" s="4" t="s">
        <v>254</v>
      </c>
      <c r="E2628" s="4" t="s">
        <v>8413</v>
      </c>
      <c r="F2628" s="4" t="s">
        <v>8414</v>
      </c>
      <c r="G2628" s="4">
        <v>4285</v>
      </c>
      <c r="H2628" s="4" t="s">
        <v>8415</v>
      </c>
      <c r="I2628" s="4">
        <v>84</v>
      </c>
      <c r="J2628" s="4" t="s">
        <v>23</v>
      </c>
      <c r="K2628" s="4" t="s">
        <v>24</v>
      </c>
      <c r="L2628" s="4">
        <v>1100</v>
      </c>
      <c r="M2628" s="4">
        <v>2004</v>
      </c>
      <c r="N2628" s="4">
        <v>6.6</v>
      </c>
      <c r="O2628" s="4">
        <f ca="1">IFERROR(__xludf.DUMMYFUNCTION("IF(Cost_in_dollars!E2628=""USD"",Cost_in_dollars!B2628,Cost_in_dollars!B2628 * GOOGLEFINANCE(""CURRENCY:"" &amp; Cost_in_dollars!E2628 &amp; ""USD""))
"),1100)</f>
        <v>1100</v>
      </c>
      <c r="P2628" s="4">
        <f ca="1">IFERROR(__xludf.DUMMYFUNCTION("IF(Cost_in_dollars!E2628=""USD"",Cost_in_dollars!C2628,Cost_in_dollars!C2628 * GOOGLEFINANCE(""CURRENCY:"" &amp; Cost_in_dollars!E2628 &amp; ""USD""))
"),85222)</f>
        <v>85222</v>
      </c>
      <c r="Q2628" s="4">
        <f t="shared" ca="1" si="60"/>
        <v>84122</v>
      </c>
      <c r="R2628" s="5" t="str">
        <f t="shared" si="61"/>
        <v>My Date with Drew</v>
      </c>
      <c r="S2628" s="43" t="str">
        <f t="shared" si="63"/>
        <v>Documentary</v>
      </c>
    </row>
    <row r="2629" spans="1:19" ht="15.75" customHeight="1" x14ac:dyDescent="0.25">
      <c r="A2629" s="6" t="s">
        <v>476</v>
      </c>
      <c r="B2629" s="6">
        <v>131</v>
      </c>
      <c r="C2629" s="6">
        <v>26536120</v>
      </c>
      <c r="D2629" s="6" t="s">
        <v>613</v>
      </c>
      <c r="E2629" s="6" t="s">
        <v>2433</v>
      </c>
      <c r="F2629" s="6" t="s">
        <v>8416</v>
      </c>
      <c r="G2629" s="6">
        <v>49926</v>
      </c>
      <c r="H2629" s="6" t="s">
        <v>8417</v>
      </c>
      <c r="I2629" s="6">
        <v>286</v>
      </c>
      <c r="J2629" s="6" t="s">
        <v>23</v>
      </c>
      <c r="K2629" s="6" t="s">
        <v>176</v>
      </c>
      <c r="L2629" s="6">
        <v>50000000</v>
      </c>
      <c r="M2629" s="6">
        <v>2003</v>
      </c>
      <c r="N2629" s="6">
        <v>6.5</v>
      </c>
      <c r="O2629" s="4">
        <f ca="1">IFERROR(__xludf.DUMMYFUNCTION("IF(Cost_in_dollars!E2629=""USD"",Cost_in_dollars!B2629,Cost_in_dollars!B2629 * GOOGLEFINANCE(""CURRENCY:"" &amp; Cost_in_dollars!E2629 &amp; ""USD""))
"),54237000)</f>
        <v>54237000</v>
      </c>
      <c r="P2629" s="4">
        <f ca="1">IFERROR(__xludf.DUMMYFUNCTION("IF(Cost_in_dollars!E2629=""USD"",Cost_in_dollars!C2629,Cost_in_dollars!C2629 * GOOGLEFINANCE(""CURRENCY:"" &amp; Cost_in_dollars!E2629 &amp; ""USD""))
"),28784790.8088)</f>
        <v>28784790.808800001</v>
      </c>
      <c r="Q2629" s="6">
        <f t="shared" ca="1" si="60"/>
        <v>-25452209.191199999</v>
      </c>
      <c r="R2629" s="7" t="str">
        <f t="shared" si="61"/>
        <v>Basic</v>
      </c>
      <c r="S2629" s="43" t="str">
        <f t="shared" si="63"/>
        <v>Action</v>
      </c>
    </row>
    <row r="2630" spans="1:19" ht="15.75" customHeight="1" x14ac:dyDescent="0.25">
      <c r="A2630" s="4" t="s">
        <v>3011</v>
      </c>
      <c r="B2630" s="4">
        <v>29</v>
      </c>
      <c r="C2630" s="4">
        <v>37672350</v>
      </c>
      <c r="D2630" s="4" t="s">
        <v>162</v>
      </c>
      <c r="E2630" s="4" t="s">
        <v>8418</v>
      </c>
      <c r="F2630" s="4" t="s">
        <v>8419</v>
      </c>
      <c r="G2630" s="4">
        <v>5427</v>
      </c>
      <c r="H2630" s="4" t="s">
        <v>8420</v>
      </c>
      <c r="I2630" s="4">
        <v>51</v>
      </c>
      <c r="J2630" s="4" t="s">
        <v>23</v>
      </c>
      <c r="K2630" s="4" t="s">
        <v>24</v>
      </c>
      <c r="L2630" s="4">
        <v>20000000</v>
      </c>
      <c r="M2630" s="4">
        <v>1998</v>
      </c>
      <c r="N2630" s="4">
        <v>5.5</v>
      </c>
      <c r="O2630" s="4">
        <f ca="1">IFERROR(__xludf.DUMMYFUNCTION("IF(Cost_in_dollars!E2630=""USD"",Cost_in_dollars!B2630,Cost_in_dollars!B2630 * GOOGLEFINANCE(""CURRENCY:"" &amp; Cost_in_dollars!E2630 &amp; ""USD""))
"),20000000)</f>
        <v>20000000</v>
      </c>
      <c r="P2630" s="4">
        <f ca="1">IFERROR(__xludf.DUMMYFUNCTION("IF(Cost_in_dollars!E2630=""USD"",Cost_in_dollars!C2630,Cost_in_dollars!C2630 * GOOGLEFINANCE(""CURRENCY:"" &amp; Cost_in_dollars!E2630 &amp; ""USD""))
"),37672350)</f>
        <v>37672350</v>
      </c>
      <c r="Q2630" s="4">
        <f t="shared" ca="1" si="60"/>
        <v>17672350</v>
      </c>
      <c r="R2630" s="5" t="str">
        <f t="shared" si="61"/>
        <v>How Stella Got Her Groove Back</v>
      </c>
      <c r="S2630" s="43" t="str">
        <f t="shared" si="63"/>
        <v>Comedy</v>
      </c>
    </row>
    <row r="2631" spans="1:19" ht="15.75" customHeight="1" x14ac:dyDescent="0.25">
      <c r="A2631" s="6" t="s">
        <v>1439</v>
      </c>
      <c r="B2631" s="6">
        <v>35</v>
      </c>
      <c r="C2631" s="6">
        <v>50628009</v>
      </c>
      <c r="D2631" s="6" t="s">
        <v>8421</v>
      </c>
      <c r="E2631" s="6" t="s">
        <v>3205</v>
      </c>
      <c r="F2631" s="6" t="s">
        <v>8422</v>
      </c>
      <c r="G2631" s="6">
        <v>22955</v>
      </c>
      <c r="H2631" s="6" t="s">
        <v>8423</v>
      </c>
      <c r="I2631" s="6">
        <v>88</v>
      </c>
      <c r="J2631" s="6" t="s">
        <v>23</v>
      </c>
      <c r="K2631" s="6" t="s">
        <v>24</v>
      </c>
      <c r="L2631" s="6">
        <v>90000000</v>
      </c>
      <c r="M2631" s="6">
        <v>1998</v>
      </c>
      <c r="N2631" s="6">
        <v>5.6</v>
      </c>
      <c r="O2631" s="4">
        <f ca="1">IFERROR(__xludf.DUMMYFUNCTION("IF(Cost_in_dollars!E2631=""USD"",Cost_in_dollars!B2631,Cost_in_dollars!B2631 * GOOGLEFINANCE(""CURRENCY:"" &amp; Cost_in_dollars!E2631 &amp; ""USD""))
"),90000000)</f>
        <v>90000000</v>
      </c>
      <c r="P2631" s="4">
        <f ca="1">IFERROR(__xludf.DUMMYFUNCTION("IF(Cost_in_dollars!E2631=""USD"",Cost_in_dollars!C2631,Cost_in_dollars!C2631 * GOOGLEFINANCE(""CURRENCY:"" &amp; Cost_in_dollars!E2631 &amp; ""USD""))
"),50628009)</f>
        <v>50628009</v>
      </c>
      <c r="Q2631" s="6">
        <f t="shared" ca="1" si="60"/>
        <v>-39371991</v>
      </c>
      <c r="R2631" s="7" t="str">
        <f t="shared" si="61"/>
        <v>Mighty Joe Young</v>
      </c>
      <c r="S2631" s="43" t="str">
        <f t="shared" si="63"/>
        <v>Action</v>
      </c>
    </row>
    <row r="2632" spans="1:19" ht="15.75" customHeight="1" x14ac:dyDescent="0.25">
      <c r="A2632" s="4" t="s">
        <v>1528</v>
      </c>
      <c r="B2632" s="4">
        <v>403</v>
      </c>
      <c r="C2632" s="4">
        <v>168368427</v>
      </c>
      <c r="D2632" s="4" t="s">
        <v>639</v>
      </c>
      <c r="E2632" s="4" t="s">
        <v>8424</v>
      </c>
      <c r="F2632" s="4" t="s">
        <v>8425</v>
      </c>
      <c r="G2632" s="4">
        <v>330784</v>
      </c>
      <c r="H2632" s="4" t="s">
        <v>8426</v>
      </c>
      <c r="I2632" s="4">
        <v>1243</v>
      </c>
      <c r="J2632" s="4" t="s">
        <v>23</v>
      </c>
      <c r="K2632" s="4" t="s">
        <v>133</v>
      </c>
      <c r="L2632" s="4">
        <v>200000000</v>
      </c>
      <c r="M2632" s="4">
        <v>2008</v>
      </c>
      <c r="N2632" s="4">
        <v>6.7</v>
      </c>
      <c r="O2632" s="4">
        <f ca="1">IFERROR(__xludf.DUMMYFUNCTION("IF(Cost_in_dollars!E2632=""USD"",Cost_in_dollars!B2632,Cost_in_dollars!B2632 * GOOGLEFINANCE(""CURRENCY:"" &amp; Cost_in_dollars!E2632 &amp; ""USD""))
"),257079999.999999)</f>
        <v>257079999.99999899</v>
      </c>
      <c r="P2632" s="4">
        <f ca="1">IFERROR(__xludf.DUMMYFUNCTION("IF(Cost_in_dollars!E2632=""USD"",Cost_in_dollars!C2632,Cost_in_dollars!C2632 * GOOGLEFINANCE(""CURRENCY:"" &amp; Cost_in_dollars!E2632 &amp; ""USD""))
"),216420776.065799)</f>
        <v>216420776.065799</v>
      </c>
      <c r="Q2632" s="4">
        <f t="shared" ca="1" si="60"/>
        <v>-40659223.934199989</v>
      </c>
      <c r="R2632" s="5" t="str">
        <f t="shared" si="61"/>
        <v>Quantum of Solace</v>
      </c>
      <c r="S2632" s="43" t="str">
        <f t="shared" si="63"/>
        <v>Action</v>
      </c>
    </row>
    <row r="2633" spans="1:19" ht="15.75" customHeight="1" x14ac:dyDescent="0.25">
      <c r="A2633" s="6" t="s">
        <v>3999</v>
      </c>
      <c r="B2633" s="6">
        <v>122</v>
      </c>
      <c r="C2633" s="6">
        <v>27200000</v>
      </c>
      <c r="D2633" s="6" t="s">
        <v>8427</v>
      </c>
      <c r="E2633" s="6" t="s">
        <v>8428</v>
      </c>
      <c r="F2633" s="6" t="s">
        <v>8429</v>
      </c>
      <c r="G2633" s="6">
        <v>149444</v>
      </c>
      <c r="H2633" s="6" t="s">
        <v>8430</v>
      </c>
      <c r="I2633" s="6">
        <v>273</v>
      </c>
      <c r="J2633" s="6" t="s">
        <v>23</v>
      </c>
      <c r="K2633" s="6" t="s">
        <v>133</v>
      </c>
      <c r="L2633" s="6">
        <v>3000000</v>
      </c>
      <c r="M2633" s="6">
        <v>1957</v>
      </c>
      <c r="N2633" s="6">
        <v>8.1999999999999993</v>
      </c>
      <c r="O2633" s="4">
        <f ca="1">IFERROR(__xludf.DUMMYFUNCTION("IF(Cost_in_dollars!E2633=""USD"",Cost_in_dollars!B2633,Cost_in_dollars!B2633 * GOOGLEFINANCE(""CURRENCY:"" &amp; Cost_in_dollars!E2633 &amp; ""USD""))
"),3856199.99999999)</f>
        <v>3856199.9999999902</v>
      </c>
      <c r="P2633" s="4">
        <f ca="1">IFERROR(__xludf.DUMMYFUNCTION("IF(Cost_in_dollars!E2633=""USD"",Cost_in_dollars!C2633,Cost_in_dollars!C2633 * GOOGLEFINANCE(""CURRENCY:"" &amp; Cost_in_dollars!E2633 &amp; ""USD""))
"),34962880)</f>
        <v>34962880</v>
      </c>
      <c r="Q2633" s="6">
        <f t="shared" ca="1" si="60"/>
        <v>31106680.000000011</v>
      </c>
      <c r="R2633" s="7" t="str">
        <f t="shared" si="61"/>
        <v>The Bridge on the River Kwai</v>
      </c>
      <c r="S2633" s="43" t="str">
        <f t="shared" si="63"/>
        <v>Adventure</v>
      </c>
    </row>
    <row r="2634" spans="1:19" ht="15.75" customHeight="1" x14ac:dyDescent="0.25">
      <c r="A2634" s="4" t="s">
        <v>350</v>
      </c>
      <c r="B2634" s="4">
        <v>284</v>
      </c>
      <c r="C2634" s="4">
        <v>291709845</v>
      </c>
      <c r="D2634" s="4" t="s">
        <v>1259</v>
      </c>
      <c r="E2634" s="4" t="s">
        <v>1860</v>
      </c>
      <c r="F2634" s="4" t="s">
        <v>8431</v>
      </c>
      <c r="G2634" s="4">
        <v>286506</v>
      </c>
      <c r="H2634" s="4" t="s">
        <v>8432</v>
      </c>
      <c r="I2634" s="4">
        <v>1463</v>
      </c>
      <c r="J2634" s="4" t="s">
        <v>23</v>
      </c>
      <c r="K2634" s="4" t="s">
        <v>24</v>
      </c>
      <c r="L2634" s="4">
        <v>180000000</v>
      </c>
      <c r="M2634" s="4">
        <v>2005</v>
      </c>
      <c r="N2634" s="4">
        <v>6.9</v>
      </c>
      <c r="O2634" s="4">
        <f ca="1">IFERROR(__xludf.DUMMYFUNCTION("IF(Cost_in_dollars!E2634=""USD"",Cost_in_dollars!B2634,Cost_in_dollars!B2634 * GOOGLEFINANCE(""CURRENCY:"" &amp; Cost_in_dollars!E2634 &amp; ""USD""))
"),180000000)</f>
        <v>180000000</v>
      </c>
      <c r="P2634" s="4">
        <f ca="1">IFERROR(__xludf.DUMMYFUNCTION("IF(Cost_in_dollars!E2634=""USD"",Cost_in_dollars!C2634,Cost_in_dollars!C2634 * GOOGLEFINANCE(""CURRENCY:"" &amp; Cost_in_dollars!E2634 &amp; ""USD""))
"),291709845)</f>
        <v>291709845</v>
      </c>
      <c r="Q2634" s="4">
        <f t="shared" ca="1" si="60"/>
        <v>111709845</v>
      </c>
      <c r="R2634" s="5" t="str">
        <f t="shared" si="61"/>
        <v>The Chronicles of Narnia: The Lion, the Witch and the Wardrobe</v>
      </c>
      <c r="S2634" s="43" t="str">
        <f t="shared" si="63"/>
        <v>Adventure</v>
      </c>
    </row>
    <row r="2635" spans="1:19" ht="15.75" customHeight="1" x14ac:dyDescent="0.25">
      <c r="A2635" s="6" t="s">
        <v>187</v>
      </c>
      <c r="B2635" s="6">
        <v>94</v>
      </c>
      <c r="C2635" s="6">
        <v>146282411</v>
      </c>
      <c r="D2635" s="6" t="s">
        <v>4288</v>
      </c>
      <c r="E2635" s="6" t="s">
        <v>393</v>
      </c>
      <c r="F2635" s="6" t="s">
        <v>8433</v>
      </c>
      <c r="G2635" s="6">
        <v>190439</v>
      </c>
      <c r="H2635" s="6" t="s">
        <v>8434</v>
      </c>
      <c r="I2635" s="6">
        <v>351</v>
      </c>
      <c r="J2635" s="6" t="s">
        <v>23</v>
      </c>
      <c r="K2635" s="6" t="s">
        <v>24</v>
      </c>
      <c r="L2635" s="6">
        <v>115000000</v>
      </c>
      <c r="M2635" s="6">
        <v>1994</v>
      </c>
      <c r="N2635" s="6">
        <v>7.2</v>
      </c>
      <c r="O2635" s="4">
        <f ca="1">IFERROR(__xludf.DUMMYFUNCTION("IF(Cost_in_dollars!E2635=""USD"",Cost_in_dollars!B2635,Cost_in_dollars!B2635 * GOOGLEFINANCE(""CURRENCY:"" &amp; Cost_in_dollars!E2635 &amp; ""USD""))
"),115000000)</f>
        <v>115000000</v>
      </c>
      <c r="P2635" s="4">
        <f ca="1">IFERROR(__xludf.DUMMYFUNCTION("IF(Cost_in_dollars!E2635=""USD"",Cost_in_dollars!C2635,Cost_in_dollars!C2635 * GOOGLEFINANCE(""CURRENCY:"" &amp; Cost_in_dollars!E2635 &amp; ""USD""))
"),146282411)</f>
        <v>146282411</v>
      </c>
      <c r="Q2635" s="6">
        <f t="shared" ca="1" si="60"/>
        <v>31282411</v>
      </c>
      <c r="R2635" s="7" t="str">
        <f t="shared" si="61"/>
        <v>True Lies</v>
      </c>
      <c r="S2635" s="43" t="str">
        <f t="shared" si="63"/>
        <v>Action</v>
      </c>
    </row>
    <row r="2636" spans="1:19" ht="15.75" customHeight="1" x14ac:dyDescent="0.25">
      <c r="A2636" s="4" t="s">
        <v>8435</v>
      </c>
      <c r="B2636" s="4">
        <v>166</v>
      </c>
      <c r="C2636" s="4">
        <v>109176215</v>
      </c>
      <c r="D2636" s="4" t="s">
        <v>140</v>
      </c>
      <c r="E2636" s="4" t="s">
        <v>508</v>
      </c>
      <c r="F2636" s="4" t="s">
        <v>8436</v>
      </c>
      <c r="G2636" s="4">
        <v>83506</v>
      </c>
      <c r="H2636" s="4" t="s">
        <v>8437</v>
      </c>
      <c r="I2636" s="4">
        <v>144</v>
      </c>
      <c r="J2636" s="4" t="s">
        <v>23</v>
      </c>
      <c r="K2636" s="4" t="s">
        <v>24</v>
      </c>
      <c r="L2636" s="4">
        <v>60000000</v>
      </c>
      <c r="M2636" s="4">
        <v>2009</v>
      </c>
      <c r="N2636" s="4">
        <v>5.5</v>
      </c>
      <c r="O2636" s="4">
        <f ca="1">IFERROR(__xludf.DUMMYFUNCTION("IF(Cost_in_dollars!E2636=""USD"",Cost_in_dollars!B2636,Cost_in_dollars!B2636 * GOOGLEFINANCE(""CURRENCY:"" &amp; Cost_in_dollars!E2636 &amp; ""USD""))
"),60000000)</f>
        <v>60000000</v>
      </c>
      <c r="P2636" s="4">
        <f ca="1">IFERROR(__xludf.DUMMYFUNCTION("IF(Cost_in_dollars!E2636=""USD"",Cost_in_dollars!C2636,Cost_in_dollars!C2636 * GOOGLEFINANCE(""CURRENCY:"" &amp; Cost_in_dollars!E2636 &amp; ""USD""))
"),109176215)</f>
        <v>109176215</v>
      </c>
      <c r="Q2636" s="4">
        <f t="shared" ca="1" si="60"/>
        <v>49176215</v>
      </c>
      <c r="R2636" s="5" t="str">
        <f t="shared" si="61"/>
        <v>Couples Retreat</v>
      </c>
      <c r="S2636" s="43" t="str">
        <f t="shared" si="63"/>
        <v>Comedy</v>
      </c>
    </row>
    <row r="2637" spans="1:19" ht="15.75" customHeight="1" x14ac:dyDescent="0.25">
      <c r="A2637" s="6" t="s">
        <v>989</v>
      </c>
      <c r="B2637" s="6">
        <v>252</v>
      </c>
      <c r="C2637" s="6">
        <v>29113588</v>
      </c>
      <c r="D2637" s="6" t="s">
        <v>155</v>
      </c>
      <c r="E2637" s="6" t="s">
        <v>818</v>
      </c>
      <c r="F2637" s="6" t="s">
        <v>8438</v>
      </c>
      <c r="G2637" s="6">
        <v>117999</v>
      </c>
      <c r="H2637" s="6" t="s">
        <v>8439</v>
      </c>
      <c r="I2637" s="6">
        <v>181</v>
      </c>
      <c r="J2637" s="6" t="s">
        <v>23</v>
      </c>
      <c r="K2637" s="6" t="s">
        <v>24</v>
      </c>
      <c r="L2637" s="6">
        <v>40000000</v>
      </c>
      <c r="M2637" s="6">
        <v>2011</v>
      </c>
      <c r="N2637" s="6">
        <v>6.6</v>
      </c>
      <c r="O2637" s="4">
        <f ca="1">IFERROR(__xludf.DUMMYFUNCTION("IF(Cost_in_dollars!E2637=""USD"",Cost_in_dollars!B2637,Cost_in_dollars!B2637 * GOOGLEFINANCE(""CURRENCY:"" &amp; Cost_in_dollars!E2637 &amp; ""USD""))
"),40000000)</f>
        <v>40000000</v>
      </c>
      <c r="P2637" s="4">
        <f ca="1">IFERROR(__xludf.DUMMYFUNCTION("IF(Cost_in_dollars!E2637=""USD"",Cost_in_dollars!C2637,Cost_in_dollars!C2637 * GOOGLEFINANCE(""CURRENCY:"" &amp; Cost_in_dollars!E2637 &amp; ""USD""))
"),29113588)</f>
        <v>29113588</v>
      </c>
      <c r="Q2637" s="6">
        <f t="shared" ca="1" si="60"/>
        <v>-10886412</v>
      </c>
      <c r="R2637" s="7" t="str">
        <f t="shared" si="61"/>
        <v>The Mechanic</v>
      </c>
      <c r="S2637" s="43" t="str">
        <f t="shared" si="63"/>
        <v>Action</v>
      </c>
    </row>
    <row r="2638" spans="1:19" ht="15.75" customHeight="1" x14ac:dyDescent="0.25">
      <c r="A2638" s="4" t="s">
        <v>5604</v>
      </c>
      <c r="B2638" s="4">
        <v>283</v>
      </c>
      <c r="C2638" s="4">
        <v>84961</v>
      </c>
      <c r="D2638" s="4" t="s">
        <v>3290</v>
      </c>
      <c r="E2638" s="4" t="s">
        <v>1571</v>
      </c>
      <c r="F2638" s="4" t="s">
        <v>8440</v>
      </c>
      <c r="G2638" s="4">
        <v>149414</v>
      </c>
      <c r="H2638" s="4" t="s">
        <v>8441</v>
      </c>
      <c r="I2638" s="4">
        <v>841</v>
      </c>
      <c r="J2638" s="4" t="s">
        <v>3279</v>
      </c>
      <c r="K2638" s="4" t="s">
        <v>220</v>
      </c>
      <c r="L2638" s="4">
        <v>31000000</v>
      </c>
      <c r="M2638" s="4">
        <v>2002</v>
      </c>
      <c r="N2638" s="4">
        <v>7.9</v>
      </c>
      <c r="O2638" s="4">
        <f ca="1">IFERROR(__xludf.DUMMYFUNCTION("IF(Cost_in_dollars!E2638=""USD"",Cost_in_dollars!B2638,Cost_in_dollars!B2638 * GOOGLEFINANCE(""CURRENCY:"" &amp; Cost_in_dollars!E2638 &amp; ""USD""))
"),4286800.89999999)</f>
        <v>4286800.8999999901</v>
      </c>
      <c r="P2638" s="4">
        <f ca="1">IFERROR(__xludf.DUMMYFUNCTION("IF(Cost_in_dollars!E2638=""USD"",Cost_in_dollars!C2638,Cost_in_dollars!C2638 * GOOGLEFINANCE(""CURRENCY:"" &amp; Cost_in_dollars!E2638 &amp; ""USD""))
"),11748.7384279)</f>
        <v>11748.7384279</v>
      </c>
      <c r="Q2638" s="4">
        <f t="shared" ca="1" si="60"/>
        <v>-4275052.1615720904</v>
      </c>
      <c r="R2638" s="5" t="str">
        <f t="shared" si="61"/>
        <v>Hero</v>
      </c>
      <c r="S2638" s="43" t="str">
        <f t="shared" si="63"/>
        <v>Action</v>
      </c>
    </row>
    <row r="2639" spans="1:19" ht="15.75" customHeight="1" x14ac:dyDescent="0.25">
      <c r="A2639" s="6" t="s">
        <v>6584</v>
      </c>
      <c r="B2639" s="6">
        <v>216</v>
      </c>
      <c r="C2639" s="6">
        <v>15785632</v>
      </c>
      <c r="D2639" s="6" t="s">
        <v>6585</v>
      </c>
      <c r="E2639" s="6" t="s">
        <v>977</v>
      </c>
      <c r="F2639" s="6" t="s">
        <v>6586</v>
      </c>
      <c r="G2639" s="6">
        <v>32513</v>
      </c>
      <c r="H2639" s="6" t="s">
        <v>6587</v>
      </c>
      <c r="I2639" s="6">
        <v>119</v>
      </c>
      <c r="J2639" s="6" t="s">
        <v>23</v>
      </c>
      <c r="K2639" s="6" t="s">
        <v>133</v>
      </c>
      <c r="L2639" s="6">
        <v>23000000</v>
      </c>
      <c r="M2639" s="6">
        <v>2016</v>
      </c>
      <c r="N2639" s="6">
        <v>7.5</v>
      </c>
      <c r="O2639" s="4">
        <f ca="1">IFERROR(__xludf.DUMMYFUNCTION("IF(Cost_in_dollars!E2639=""USD"",Cost_in_dollars!B2639,Cost_in_dollars!B2639 * GOOGLEFINANCE(""CURRENCY:"" &amp; Cost_in_dollars!E2639 &amp; ""USD""))
"),29564199.9999999)</f>
        <v>29564199.999999899</v>
      </c>
      <c r="P2639" s="4">
        <f ca="1">IFERROR(__xludf.DUMMYFUNCTION("IF(Cost_in_dollars!E2639=""USD"",Cost_in_dollars!C2639,Cost_in_dollars!C2639 * GOOGLEFINANCE(""CURRENCY:"" &amp; Cost_in_dollars!E2639 &amp; ""USD""))
"),20290851.3727999)</f>
        <v>20290851.372799899</v>
      </c>
      <c r="Q2639" s="6">
        <f t="shared" ca="1" si="60"/>
        <v>-9273348.6272</v>
      </c>
      <c r="R2639" s="7" t="str">
        <f t="shared" si="61"/>
        <v>Eddie the Eagle</v>
      </c>
      <c r="S2639" s="43" t="str">
        <f t="shared" si="63"/>
        <v>Biography</v>
      </c>
    </row>
    <row r="2640" spans="1:19" ht="15.75" customHeight="1" x14ac:dyDescent="0.25">
      <c r="A2640" s="4" t="s">
        <v>532</v>
      </c>
      <c r="B2640" s="4">
        <v>71</v>
      </c>
      <c r="C2640" s="4">
        <v>108706165</v>
      </c>
      <c r="D2640" s="4" t="s">
        <v>116</v>
      </c>
      <c r="E2640" s="4" t="s">
        <v>486</v>
      </c>
      <c r="F2640" s="4" t="s">
        <v>8442</v>
      </c>
      <c r="G2640" s="4">
        <v>99558</v>
      </c>
      <c r="H2640" s="4" t="s">
        <v>8443</v>
      </c>
      <c r="I2640" s="4">
        <v>236</v>
      </c>
      <c r="J2640" s="4" t="s">
        <v>23</v>
      </c>
      <c r="K2640" s="4" t="s">
        <v>24</v>
      </c>
      <c r="L2640" s="4">
        <v>40000000</v>
      </c>
      <c r="M2640" s="4">
        <v>1996</v>
      </c>
      <c r="N2640" s="4">
        <v>7.4</v>
      </c>
      <c r="O2640" s="4">
        <f ca="1">IFERROR(__xludf.DUMMYFUNCTION("IF(Cost_in_dollars!E2640=""USD"",Cost_in_dollars!B2640,Cost_in_dollars!B2640 * GOOGLEFINANCE(""CURRENCY:"" &amp; Cost_in_dollars!E2640 &amp; ""USD""))
"),40000000)</f>
        <v>40000000</v>
      </c>
      <c r="P2640" s="4">
        <f ca="1">IFERROR(__xludf.DUMMYFUNCTION("IF(Cost_in_dollars!E2640=""USD"",Cost_in_dollars!C2640,Cost_in_dollars!C2640 * GOOGLEFINANCE(""CURRENCY:"" &amp; Cost_in_dollars!E2640 &amp; ""USD""))
"),108706165)</f>
        <v>108706165</v>
      </c>
      <c r="Q2640" s="4">
        <f t="shared" ca="1" si="60"/>
        <v>68706165</v>
      </c>
      <c r="R2640" s="5" t="str">
        <f t="shared" si="61"/>
        <v>A Time to Kill</v>
      </c>
      <c r="S2640" s="43" t="str">
        <f t="shared" si="63"/>
        <v>Crime</v>
      </c>
    </row>
    <row r="2641" spans="1:19" ht="15.75" customHeight="1" x14ac:dyDescent="0.25">
      <c r="A2641" s="6" t="s">
        <v>8444</v>
      </c>
      <c r="B2641" s="6">
        <v>276</v>
      </c>
      <c r="C2641" s="6">
        <v>21501098</v>
      </c>
      <c r="D2641" s="6" t="s">
        <v>457</v>
      </c>
      <c r="E2641" s="6" t="s">
        <v>1083</v>
      </c>
      <c r="F2641" s="6" t="s">
        <v>8445</v>
      </c>
      <c r="G2641" s="6">
        <v>115813</v>
      </c>
      <c r="H2641" s="6" t="s">
        <v>8446</v>
      </c>
      <c r="I2641" s="6">
        <v>216</v>
      </c>
      <c r="J2641" s="6" t="s">
        <v>23</v>
      </c>
      <c r="K2641" s="6" t="s">
        <v>24</v>
      </c>
      <c r="L2641" s="6">
        <v>5000000</v>
      </c>
      <c r="M2641" s="6">
        <v>2013</v>
      </c>
      <c r="N2641" s="6">
        <v>7.4</v>
      </c>
      <c r="O2641" s="4">
        <f ca="1">IFERROR(__xludf.DUMMYFUNCTION("IF(Cost_in_dollars!E2641=""USD"",Cost_in_dollars!B2641,Cost_in_dollars!B2641 * GOOGLEFINANCE(""CURRENCY:"" &amp; Cost_in_dollars!E2641 &amp; ""USD""))
"),5000000)</f>
        <v>5000000</v>
      </c>
      <c r="P2641" s="4">
        <f ca="1">IFERROR(__xludf.DUMMYFUNCTION("IF(Cost_in_dollars!E2641=""USD"",Cost_in_dollars!C2641,Cost_in_dollars!C2641 * GOOGLEFINANCE(""CURRENCY:"" &amp; Cost_in_dollars!E2641 &amp; ""USD""))
"),21501098)</f>
        <v>21501098</v>
      </c>
      <c r="Q2641" s="6">
        <f t="shared" ca="1" si="60"/>
        <v>16501098</v>
      </c>
      <c r="R2641" s="7" t="str">
        <f t="shared" si="61"/>
        <v>The Way Way Back</v>
      </c>
      <c r="S2641" s="43" t="str">
        <f t="shared" si="63"/>
        <v>Comedy</v>
      </c>
    </row>
    <row r="2642" spans="1:19" ht="15.75" customHeight="1" x14ac:dyDescent="0.25">
      <c r="A2642" s="4" t="s">
        <v>8447</v>
      </c>
      <c r="B2642" s="4">
        <v>62</v>
      </c>
      <c r="C2642" s="4">
        <v>32333860</v>
      </c>
      <c r="D2642" s="4" t="s">
        <v>971</v>
      </c>
      <c r="E2642" s="4" t="s">
        <v>8448</v>
      </c>
      <c r="F2642" s="4" t="s">
        <v>8449</v>
      </c>
      <c r="G2642" s="4">
        <v>29843</v>
      </c>
      <c r="H2642" s="4" t="s">
        <v>8450</v>
      </c>
      <c r="I2642" s="4">
        <v>81</v>
      </c>
      <c r="J2642" s="4" t="s">
        <v>159</v>
      </c>
      <c r="K2642" s="4" t="s">
        <v>160</v>
      </c>
      <c r="L2642" s="4">
        <v>7500000</v>
      </c>
      <c r="M2642" s="4">
        <v>1995</v>
      </c>
      <c r="N2642" s="4">
        <v>6.7</v>
      </c>
      <c r="O2642" s="4">
        <f ca="1">IFERROR(__xludf.DUMMYFUNCTION("IF(Cost_in_dollars!E2642=""USD"",Cost_in_dollars!B2642,Cost_in_dollars!B2642 * GOOGLEFINANCE(""CURRENCY:"" &amp; Cost_in_dollars!E2642 &amp; ""USD""))
"),960707.25)</f>
        <v>960707.25</v>
      </c>
      <c r="P2642" s="4">
        <f ca="1">IFERROR(__xludf.DUMMYFUNCTION("IF(Cost_in_dollars!E2642=""USD"",Cost_in_dollars!C2642,Cost_in_dollars!C2642 * GOOGLEFINANCE(""CURRENCY:"" &amp; Cost_in_dollars!E2642 &amp; ""USD""))
"),4141783.16299799)</f>
        <v>4141783.1629979899</v>
      </c>
      <c r="Q2642" s="4">
        <f t="shared" ca="1" si="60"/>
        <v>3181075.9129979899</v>
      </c>
      <c r="R2642" s="5" t="str">
        <f t="shared" si="61"/>
        <v>Rumble in the Bronx</v>
      </c>
      <c r="S2642" s="43" t="str">
        <f t="shared" si="63"/>
        <v>Action</v>
      </c>
    </row>
    <row r="2643" spans="1:19" ht="15.75" customHeight="1" x14ac:dyDescent="0.25">
      <c r="A2643" s="6" t="s">
        <v>8451</v>
      </c>
      <c r="B2643" s="6">
        <v>137</v>
      </c>
      <c r="C2643" s="6">
        <v>30307804</v>
      </c>
      <c r="D2643" s="6" t="s">
        <v>5130</v>
      </c>
      <c r="E2643" s="6" t="s">
        <v>8452</v>
      </c>
      <c r="F2643" s="6" t="s">
        <v>8453</v>
      </c>
      <c r="G2643" s="6">
        <v>43991</v>
      </c>
      <c r="H2643" s="6" t="s">
        <v>8454</v>
      </c>
      <c r="I2643" s="6">
        <v>695</v>
      </c>
      <c r="J2643" s="6" t="s">
        <v>23</v>
      </c>
      <c r="K2643" s="6" t="s">
        <v>24</v>
      </c>
      <c r="L2643" s="6">
        <v>35000000</v>
      </c>
      <c r="M2643" s="6">
        <v>2002</v>
      </c>
      <c r="N2643" s="6">
        <v>5.2</v>
      </c>
      <c r="O2643" s="4">
        <f ca="1">IFERROR(__xludf.DUMMYFUNCTION("IF(Cost_in_dollars!E2643=""USD"",Cost_in_dollars!B2643,Cost_in_dollars!B2643 * GOOGLEFINANCE(""CURRENCY:"" &amp; Cost_in_dollars!E2643 &amp; ""USD""))
"),35000000)</f>
        <v>35000000</v>
      </c>
      <c r="P2643" s="4">
        <f ca="1">IFERROR(__xludf.DUMMYFUNCTION("IF(Cost_in_dollars!E2643=""USD"",Cost_in_dollars!C2643,Cost_in_dollars!C2643 * GOOGLEFINANCE(""CURRENCY:"" &amp; Cost_in_dollars!E2643 &amp; ""USD""))
"),30307804)</f>
        <v>30307804</v>
      </c>
      <c r="Q2643" s="6">
        <f t="shared" ca="1" si="60"/>
        <v>-4692196</v>
      </c>
      <c r="R2643" s="7" t="str">
        <f t="shared" si="61"/>
        <v>Queen of the Damned</v>
      </c>
      <c r="S2643" s="43" t="str">
        <f t="shared" si="63"/>
        <v>Drama</v>
      </c>
    </row>
    <row r="2644" spans="1:19" ht="15.75" customHeight="1" x14ac:dyDescent="0.25">
      <c r="A2644" s="4" t="s">
        <v>1308</v>
      </c>
      <c r="B2644" s="4">
        <v>123</v>
      </c>
      <c r="C2644" s="4">
        <v>62933793</v>
      </c>
      <c r="D2644" s="4" t="s">
        <v>8455</v>
      </c>
      <c r="E2644" s="4" t="s">
        <v>6234</v>
      </c>
      <c r="F2644" s="4" t="s">
        <v>8456</v>
      </c>
      <c r="G2644" s="4">
        <v>62421</v>
      </c>
      <c r="H2644" s="4" t="s">
        <v>8457</v>
      </c>
      <c r="I2644" s="4">
        <v>185</v>
      </c>
      <c r="J2644" s="4" t="s">
        <v>23</v>
      </c>
      <c r="K2644" s="4" t="s">
        <v>24</v>
      </c>
      <c r="L2644" s="4">
        <v>20000000</v>
      </c>
      <c r="M2644" s="4">
        <v>2010</v>
      </c>
      <c r="N2644" s="4">
        <v>5.8</v>
      </c>
      <c r="O2644" s="4">
        <f ca="1">IFERROR(__xludf.DUMMYFUNCTION("IF(Cost_in_dollars!E2644=""USD"",Cost_in_dollars!B2644,Cost_in_dollars!B2644 * GOOGLEFINANCE(""CURRENCY:"" &amp; Cost_in_dollars!E2644 &amp; ""USD""))
"),20000000)</f>
        <v>20000000</v>
      </c>
      <c r="P2644" s="4">
        <f ca="1">IFERROR(__xludf.DUMMYFUNCTION("IF(Cost_in_dollars!E2644=""USD"",Cost_in_dollars!C2644,Cost_in_dollars!C2644 * GOOGLEFINANCE(""CURRENCY:"" &amp; Cost_in_dollars!E2644 &amp; ""USD""))
"),62933793)</f>
        <v>62933793</v>
      </c>
      <c r="Q2644" s="4">
        <f t="shared" ca="1" si="60"/>
        <v>42933793</v>
      </c>
      <c r="R2644" s="5" t="str">
        <f t="shared" si="61"/>
        <v>The Last Song</v>
      </c>
      <c r="S2644" s="43" t="str">
        <f t="shared" si="63"/>
        <v>Drama</v>
      </c>
    </row>
    <row r="2645" spans="1:19" ht="15.75" customHeight="1" x14ac:dyDescent="0.25">
      <c r="A2645" s="6" t="s">
        <v>6934</v>
      </c>
      <c r="B2645" s="6">
        <v>301</v>
      </c>
      <c r="C2645" s="6">
        <v>380838870</v>
      </c>
      <c r="D2645" s="6" t="s">
        <v>1827</v>
      </c>
      <c r="E2645" s="6" t="s">
        <v>4035</v>
      </c>
      <c r="F2645" s="6" t="s">
        <v>8458</v>
      </c>
      <c r="G2645" s="6">
        <v>692482</v>
      </c>
      <c r="H2645" s="6" t="s">
        <v>8459</v>
      </c>
      <c r="I2645" s="6">
        <v>866</v>
      </c>
      <c r="J2645" s="6" t="s">
        <v>23</v>
      </c>
      <c r="K2645" s="6" t="s">
        <v>24</v>
      </c>
      <c r="L2645" s="6">
        <v>94000000</v>
      </c>
      <c r="M2645" s="6">
        <v>2003</v>
      </c>
      <c r="N2645" s="6">
        <v>8.1999999999999993</v>
      </c>
      <c r="O2645" s="4">
        <f ca="1">IFERROR(__xludf.DUMMYFUNCTION("IF(Cost_in_dollars!E2645=""USD"",Cost_in_dollars!B2645,Cost_in_dollars!B2645 * GOOGLEFINANCE(""CURRENCY:"" &amp; Cost_in_dollars!E2645 &amp; ""USD""))
"),94000000)</f>
        <v>94000000</v>
      </c>
      <c r="P2645" s="4">
        <f ca="1">IFERROR(__xludf.DUMMYFUNCTION("IF(Cost_in_dollars!E2645=""USD"",Cost_in_dollars!C2645,Cost_in_dollars!C2645 * GOOGLEFINANCE(""CURRENCY:"" &amp; Cost_in_dollars!E2645 &amp; ""USD""))
"),380838870)</f>
        <v>380838870</v>
      </c>
      <c r="Q2645" s="6">
        <f t="shared" ca="1" si="60"/>
        <v>286838870</v>
      </c>
      <c r="R2645" s="7" t="str">
        <f t="shared" si="61"/>
        <v>Finding Nemo</v>
      </c>
      <c r="S2645" s="43" t="str">
        <f t="shared" si="63"/>
        <v>Adventure</v>
      </c>
    </row>
    <row r="2646" spans="1:19" ht="15.75" customHeight="1" x14ac:dyDescent="0.25">
      <c r="A2646" s="4" t="s">
        <v>5880</v>
      </c>
      <c r="B2646" s="4">
        <v>94</v>
      </c>
      <c r="C2646" s="4">
        <v>141600000</v>
      </c>
      <c r="D2646" s="4" t="s">
        <v>140</v>
      </c>
      <c r="E2646" s="4" t="s">
        <v>8460</v>
      </c>
      <c r="F2646" s="4" t="s">
        <v>8461</v>
      </c>
      <c r="G2646" s="4">
        <v>90177</v>
      </c>
      <c r="H2646" s="4" t="s">
        <v>8462</v>
      </c>
      <c r="I2646" s="4">
        <v>257</v>
      </c>
      <c r="J2646" s="4" t="s">
        <v>23</v>
      </c>
      <c r="K2646" s="4" t="s">
        <v>24</v>
      </c>
      <c r="L2646" s="4">
        <v>3000000</v>
      </c>
      <c r="M2646" s="4">
        <v>1978</v>
      </c>
      <c r="N2646" s="4">
        <v>7.6</v>
      </c>
      <c r="O2646" s="4">
        <f ca="1">IFERROR(__xludf.DUMMYFUNCTION("IF(Cost_in_dollars!E2646=""USD"",Cost_in_dollars!B2646,Cost_in_dollars!B2646 * GOOGLEFINANCE(""CURRENCY:"" &amp; Cost_in_dollars!E2646 &amp; ""USD""))
"),3000000)</f>
        <v>3000000</v>
      </c>
      <c r="P2646" s="4">
        <f ca="1">IFERROR(__xludf.DUMMYFUNCTION("IF(Cost_in_dollars!E2646=""USD"",Cost_in_dollars!C2646,Cost_in_dollars!C2646 * GOOGLEFINANCE(""CURRENCY:"" &amp; Cost_in_dollars!E2646 &amp; ""USD""))
"),141600000)</f>
        <v>141600000</v>
      </c>
      <c r="Q2646" s="4">
        <f t="shared" ca="1" si="60"/>
        <v>138600000</v>
      </c>
      <c r="R2646" s="5" t="str">
        <f t="shared" si="61"/>
        <v>Animal House</v>
      </c>
      <c r="S2646" s="43" t="str">
        <f t="shared" si="63"/>
        <v>Comedy</v>
      </c>
    </row>
    <row r="2647" spans="1:19" ht="15.75" customHeight="1" x14ac:dyDescent="0.25">
      <c r="A2647" s="6" t="s">
        <v>8463</v>
      </c>
      <c r="B2647" s="6">
        <v>42</v>
      </c>
      <c r="C2647" s="6">
        <v>4193025</v>
      </c>
      <c r="D2647" s="6" t="s">
        <v>324</v>
      </c>
      <c r="E2647" s="6" t="s">
        <v>8157</v>
      </c>
      <c r="F2647" s="6" t="s">
        <v>8464</v>
      </c>
      <c r="G2647" s="6">
        <v>30682</v>
      </c>
      <c r="H2647" s="6" t="s">
        <v>8465</v>
      </c>
      <c r="I2647" s="6">
        <v>194</v>
      </c>
      <c r="J2647" s="6" t="s">
        <v>23</v>
      </c>
      <c r="K2647" s="6" t="s">
        <v>24</v>
      </c>
      <c r="L2647" s="6">
        <v>15000000</v>
      </c>
      <c r="M2647" s="6">
        <v>1999</v>
      </c>
      <c r="N2647" s="6">
        <v>6.8</v>
      </c>
      <c r="O2647" s="4">
        <f ca="1">IFERROR(__xludf.DUMMYFUNCTION("IF(Cost_in_dollars!E2647=""USD"",Cost_in_dollars!B2647,Cost_in_dollars!B2647 * GOOGLEFINANCE(""CURRENCY:"" &amp; Cost_in_dollars!E2647 &amp; ""USD""))
"),15000000)</f>
        <v>15000000</v>
      </c>
      <c r="P2647" s="4">
        <f ca="1">IFERROR(__xludf.DUMMYFUNCTION("IF(Cost_in_dollars!E2647=""USD"",Cost_in_dollars!C2647,Cost_in_dollars!C2647 * GOOGLEFINANCE(""CURRENCY:"" &amp; Cost_in_dollars!E2647 &amp; ""USD""))
"),4193025)</f>
        <v>4193025</v>
      </c>
      <c r="Q2647" s="6">
        <f t="shared" ca="1" si="60"/>
        <v>-10806975</v>
      </c>
      <c r="R2647" s="7" t="str">
        <f t="shared" si="61"/>
        <v>Detroit Rock City</v>
      </c>
      <c r="S2647" s="43" t="str">
        <f t="shared" si="63"/>
        <v>Comedy</v>
      </c>
    </row>
    <row r="2648" spans="1:19" ht="15.75" customHeight="1" x14ac:dyDescent="0.25">
      <c r="A2648" s="4" t="s">
        <v>7445</v>
      </c>
      <c r="B2648" s="4">
        <v>123</v>
      </c>
      <c r="C2648" s="4">
        <v>10965209</v>
      </c>
      <c r="D2648" s="4" t="s">
        <v>504</v>
      </c>
      <c r="E2648" s="4" t="s">
        <v>8466</v>
      </c>
      <c r="F2648" s="4" t="s">
        <v>8467</v>
      </c>
      <c r="G2648" s="4">
        <v>25558</v>
      </c>
      <c r="H2648" s="4" t="s">
        <v>8468</v>
      </c>
      <c r="I2648" s="4">
        <v>221</v>
      </c>
      <c r="J2648" s="4" t="s">
        <v>23</v>
      </c>
      <c r="K2648" s="4" t="s">
        <v>24</v>
      </c>
      <c r="L2648" s="4">
        <v>30000000</v>
      </c>
      <c r="M2648" s="4">
        <v>2001</v>
      </c>
      <c r="N2648" s="4">
        <v>6.1</v>
      </c>
      <c r="O2648" s="4">
        <f ca="1">IFERROR(__xludf.DUMMYFUNCTION("IF(Cost_in_dollars!E2648=""USD"",Cost_in_dollars!B2648,Cost_in_dollars!B2648 * GOOGLEFINANCE(""CURRENCY:"" &amp; Cost_in_dollars!E2648 &amp; ""USD""))
"),30000000)</f>
        <v>30000000</v>
      </c>
      <c r="P2648" s="4">
        <f ca="1">IFERROR(__xludf.DUMMYFUNCTION("IF(Cost_in_dollars!E2648=""USD"",Cost_in_dollars!C2648,Cost_in_dollars!C2648 * GOOGLEFINANCE(""CURRENCY:"" &amp; Cost_in_dollars!E2648 &amp; ""USD""))
"),10965209)</f>
        <v>10965209</v>
      </c>
      <c r="Q2648" s="4">
        <f t="shared" ca="1" si="60"/>
        <v>-19034791</v>
      </c>
      <c r="R2648" s="5" t="str">
        <f t="shared" si="61"/>
        <v>Antitrust</v>
      </c>
      <c r="S2648" s="43" t="str">
        <f t="shared" si="63"/>
        <v>Action</v>
      </c>
    </row>
    <row r="2649" spans="1:19" ht="15.75" customHeight="1" x14ac:dyDescent="0.25">
      <c r="A2649" s="6" t="s">
        <v>800</v>
      </c>
      <c r="B2649" s="6">
        <v>104</v>
      </c>
      <c r="C2649" s="6">
        <v>50026353</v>
      </c>
      <c r="D2649" s="6" t="s">
        <v>8469</v>
      </c>
      <c r="E2649" s="6" t="s">
        <v>456</v>
      </c>
      <c r="F2649" s="6" t="s">
        <v>8470</v>
      </c>
      <c r="G2649" s="6">
        <v>13581</v>
      </c>
      <c r="H2649" s="6" t="s">
        <v>8471</v>
      </c>
      <c r="I2649" s="6">
        <v>88</v>
      </c>
      <c r="J2649" s="6" t="s">
        <v>23</v>
      </c>
      <c r="K2649" s="6" t="s">
        <v>24</v>
      </c>
      <c r="L2649" s="6">
        <v>110000000</v>
      </c>
      <c r="M2649" s="6">
        <v>2004</v>
      </c>
      <c r="N2649" s="6">
        <v>5.4</v>
      </c>
      <c r="O2649" s="4">
        <f ca="1">IFERROR(__xludf.DUMMYFUNCTION("IF(Cost_in_dollars!E2649=""USD"",Cost_in_dollars!B2649,Cost_in_dollars!B2649 * GOOGLEFINANCE(""CURRENCY:"" &amp; Cost_in_dollars!E2649 &amp; ""USD""))
"),110000000)</f>
        <v>110000000</v>
      </c>
      <c r="P2649" s="4">
        <f ca="1">IFERROR(__xludf.DUMMYFUNCTION("IF(Cost_in_dollars!E2649=""USD"",Cost_in_dollars!C2649,Cost_in_dollars!C2649 * GOOGLEFINANCE(""CURRENCY:"" &amp; Cost_in_dollars!E2649 &amp; ""USD""))
"),50026353)</f>
        <v>50026353</v>
      </c>
      <c r="Q2649" s="6">
        <f t="shared" ca="1" si="60"/>
        <v>-59973647</v>
      </c>
      <c r="R2649" s="7" t="str">
        <f t="shared" si="61"/>
        <v>Home on the Range</v>
      </c>
      <c r="S2649" s="43" t="str">
        <f t="shared" si="63"/>
        <v>Animation</v>
      </c>
    </row>
    <row r="2650" spans="1:19" ht="15.75" customHeight="1" x14ac:dyDescent="0.25">
      <c r="A2650" s="4" t="s">
        <v>3456</v>
      </c>
      <c r="B2650" s="4">
        <v>105</v>
      </c>
      <c r="C2650" s="4">
        <v>73701902</v>
      </c>
      <c r="D2650" s="4" t="s">
        <v>860</v>
      </c>
      <c r="E2650" s="4" t="s">
        <v>393</v>
      </c>
      <c r="F2650" s="4" t="s">
        <v>8472</v>
      </c>
      <c r="G2650" s="4">
        <v>27548</v>
      </c>
      <c r="H2650" s="4" t="s">
        <v>8473</v>
      </c>
      <c r="I2650" s="4">
        <v>209</v>
      </c>
      <c r="J2650" s="4" t="s">
        <v>23</v>
      </c>
      <c r="K2650" s="4" t="s">
        <v>24</v>
      </c>
      <c r="L2650" s="4">
        <v>60000000</v>
      </c>
      <c r="M2650" s="4">
        <v>2004</v>
      </c>
      <c r="N2650" s="4">
        <v>5.2</v>
      </c>
      <c r="O2650" s="4">
        <f ca="1">IFERROR(__xludf.DUMMYFUNCTION("IF(Cost_in_dollars!E2650=""USD"",Cost_in_dollars!B2650,Cost_in_dollars!B2650 * GOOGLEFINANCE(""CURRENCY:"" &amp; Cost_in_dollars!E2650 &amp; ""USD""))
"),60000000)</f>
        <v>60000000</v>
      </c>
      <c r="P2650" s="4">
        <f ca="1">IFERROR(__xludf.DUMMYFUNCTION("IF(Cost_in_dollars!E2650=""USD"",Cost_in_dollars!C2650,Cost_in_dollars!C2650 * GOOGLEFINANCE(""CURRENCY:"" &amp; Cost_in_dollars!E2650 &amp; ""USD""))
"),73701902)</f>
        <v>73701902</v>
      </c>
      <c r="Q2650" s="4">
        <f t="shared" ca="1" si="60"/>
        <v>13701902</v>
      </c>
      <c r="R2650" s="5" t="str">
        <f t="shared" si="61"/>
        <v>Christmas with the Kranks</v>
      </c>
      <c r="S2650" s="43" t="str">
        <f t="shared" si="63"/>
        <v>Comedy</v>
      </c>
    </row>
    <row r="2651" spans="1:19" ht="15.75" customHeight="1" x14ac:dyDescent="0.25">
      <c r="A2651" s="6" t="s">
        <v>1425</v>
      </c>
      <c r="B2651" s="6">
        <v>211</v>
      </c>
      <c r="C2651" s="6">
        <v>20338609</v>
      </c>
      <c r="D2651" s="6" t="s">
        <v>465</v>
      </c>
      <c r="E2651" s="6" t="s">
        <v>1954</v>
      </c>
      <c r="F2651" s="6" t="s">
        <v>8474</v>
      </c>
      <c r="G2651" s="6">
        <v>19655</v>
      </c>
      <c r="H2651" s="6" t="s">
        <v>8475</v>
      </c>
      <c r="I2651" s="6">
        <v>280</v>
      </c>
      <c r="J2651" s="6" t="s">
        <v>23</v>
      </c>
      <c r="K2651" s="6" t="s">
        <v>24</v>
      </c>
      <c r="L2651" s="6">
        <v>10000000</v>
      </c>
      <c r="M2651" s="6">
        <v>2006</v>
      </c>
      <c r="N2651" s="6">
        <v>6.8</v>
      </c>
      <c r="O2651" s="4">
        <f ca="1">IFERROR(__xludf.DUMMYFUNCTION("IF(Cost_in_dollars!E2651=""USD"",Cost_in_dollars!B2651,Cost_in_dollars!B2651 * GOOGLEFINANCE(""CURRENCY:"" &amp; Cost_in_dollars!E2651 &amp; ""USD""))
"),10000000)</f>
        <v>10000000</v>
      </c>
      <c r="P2651" s="4">
        <f ca="1">IFERROR(__xludf.DUMMYFUNCTION("IF(Cost_in_dollars!E2651=""USD"",Cost_in_dollars!C2651,Cost_in_dollars!C2651 * GOOGLEFINANCE(""CURRENCY:"" &amp; Cost_in_dollars!E2651 &amp; ""USD""))
"),20338609)</f>
        <v>20338609</v>
      </c>
      <c r="Q2651" s="6">
        <f t="shared" ca="1" si="60"/>
        <v>10338609</v>
      </c>
      <c r="R2651" s="7" t="str">
        <f t="shared" si="61"/>
        <v>A Prairie Home Companion</v>
      </c>
      <c r="S2651" s="43" t="str">
        <f t="shared" si="63"/>
        <v>Comedy</v>
      </c>
    </row>
    <row r="2652" spans="1:19" ht="15.75" customHeight="1" x14ac:dyDescent="0.25">
      <c r="A2652" s="4" t="s">
        <v>8476</v>
      </c>
      <c r="B2652" s="4">
        <v>166</v>
      </c>
      <c r="C2652" s="4">
        <v>32600000</v>
      </c>
      <c r="D2652" s="4" t="s">
        <v>309</v>
      </c>
      <c r="E2652" s="4" t="s">
        <v>8477</v>
      </c>
      <c r="F2652" s="4" t="s">
        <v>8478</v>
      </c>
      <c r="G2652" s="4">
        <v>29488</v>
      </c>
      <c r="H2652" s="4" t="s">
        <v>8479</v>
      </c>
      <c r="I2652" s="4">
        <v>326</v>
      </c>
      <c r="J2652" s="4" t="s">
        <v>23</v>
      </c>
      <c r="K2652" s="4" t="s">
        <v>24</v>
      </c>
      <c r="L2652" s="4">
        <v>1800000</v>
      </c>
      <c r="M2652" s="4">
        <v>1984</v>
      </c>
      <c r="N2652" s="4">
        <v>5.9</v>
      </c>
      <c r="O2652" s="4">
        <f ca="1">IFERROR(__xludf.DUMMYFUNCTION("IF(Cost_in_dollars!E2652=""USD"",Cost_in_dollars!B2652,Cost_in_dollars!B2652 * GOOGLEFINANCE(""CURRENCY:"" &amp; Cost_in_dollars!E2652 &amp; ""USD""))
"),1800000)</f>
        <v>1800000</v>
      </c>
      <c r="P2652" s="4">
        <f ca="1">IFERROR(__xludf.DUMMYFUNCTION("IF(Cost_in_dollars!E2652=""USD"",Cost_in_dollars!C2652,Cost_in_dollars!C2652 * GOOGLEFINANCE(""CURRENCY:"" &amp; Cost_in_dollars!E2652 &amp; ""USD""))
"),32600000)</f>
        <v>32600000</v>
      </c>
      <c r="Q2652" s="4">
        <f t="shared" ca="1" si="60"/>
        <v>30800000</v>
      </c>
      <c r="R2652" s="5" t="str">
        <f t="shared" si="61"/>
        <v>Friday the 13th: The Final Chapter</v>
      </c>
      <c r="S2652" s="43" t="str">
        <f t="shared" si="63"/>
        <v>Horror</v>
      </c>
    </row>
    <row r="2653" spans="1:19" ht="15.75" customHeight="1" x14ac:dyDescent="0.25">
      <c r="A2653" s="6" t="s">
        <v>1755</v>
      </c>
      <c r="B2653" s="6">
        <v>128</v>
      </c>
      <c r="C2653" s="6">
        <v>17071230</v>
      </c>
      <c r="D2653" s="6" t="s">
        <v>443</v>
      </c>
      <c r="E2653" s="6" t="s">
        <v>1755</v>
      </c>
      <c r="F2653" s="6" t="s">
        <v>8480</v>
      </c>
      <c r="G2653" s="6">
        <v>31169</v>
      </c>
      <c r="H2653" s="6" t="s">
        <v>8481</v>
      </c>
      <c r="I2653" s="6">
        <v>192</v>
      </c>
      <c r="J2653" s="6" t="s">
        <v>23</v>
      </c>
      <c r="K2653" s="6" t="s">
        <v>24</v>
      </c>
      <c r="L2653" s="6">
        <v>18000000</v>
      </c>
      <c r="M2653" s="6">
        <v>2000</v>
      </c>
      <c r="N2653" s="6">
        <v>6.7</v>
      </c>
      <c r="O2653" s="4">
        <f ca="1">IFERROR(__xludf.DUMMYFUNCTION("IF(Cost_in_dollars!E2653=""USD"",Cost_in_dollars!B2653,Cost_in_dollars!B2653 * GOOGLEFINANCE(""CURRENCY:"" &amp; Cost_in_dollars!E2653 &amp; ""USD""))
"),18000000)</f>
        <v>18000000</v>
      </c>
      <c r="P2653" s="4">
        <f ca="1">IFERROR(__xludf.DUMMYFUNCTION("IF(Cost_in_dollars!E2653=""USD"",Cost_in_dollars!C2653,Cost_in_dollars!C2653 * GOOGLEFINANCE(""CURRENCY:"" &amp; Cost_in_dollars!E2653 &amp; ""USD""))
"),17071230)</f>
        <v>17071230</v>
      </c>
      <c r="Q2653" s="6">
        <f t="shared" ca="1" si="60"/>
        <v>-928770</v>
      </c>
      <c r="R2653" s="7" t="str">
        <f t="shared" si="61"/>
        <v>Small Time Crooks</v>
      </c>
      <c r="S2653" s="43" t="str">
        <f t="shared" si="63"/>
        <v>Comedy</v>
      </c>
    </row>
    <row r="2654" spans="1:19" ht="15.75" customHeight="1" x14ac:dyDescent="0.25">
      <c r="A2654" s="4" t="s">
        <v>8482</v>
      </c>
      <c r="B2654" s="4">
        <v>173</v>
      </c>
      <c r="C2654" s="4">
        <v>17529157</v>
      </c>
      <c r="D2654" s="4" t="s">
        <v>8483</v>
      </c>
      <c r="E2654" s="4" t="s">
        <v>4122</v>
      </c>
      <c r="F2654" s="4" t="s">
        <v>8484</v>
      </c>
      <c r="G2654" s="4">
        <v>49888</v>
      </c>
      <c r="H2654" s="4" t="s">
        <v>8485</v>
      </c>
      <c r="I2654" s="4">
        <v>220</v>
      </c>
      <c r="J2654" s="4" t="s">
        <v>23</v>
      </c>
      <c r="K2654" s="4" t="s">
        <v>611</v>
      </c>
      <c r="L2654" s="4">
        <v>20000000</v>
      </c>
      <c r="M2654" s="4">
        <v>2012</v>
      </c>
      <c r="N2654" s="4">
        <v>5</v>
      </c>
      <c r="O2654" s="4">
        <f ca="1">IFERROR(__xludf.DUMMYFUNCTION("IF(Cost_in_dollars!E2654=""USD"",Cost_in_dollars!B2654,Cost_in_dollars!B2654 * GOOGLEFINANCE(""CURRENCY:"" &amp; Cost_in_dollars!E2654 &amp; ""USD""))
"),21694800)</f>
        <v>21694800</v>
      </c>
      <c r="P2654" s="4">
        <f ca="1">IFERROR(__xludf.DUMMYFUNCTION("IF(Cost_in_dollars!E2654=""USD"",Cost_in_dollars!C2654,Cost_in_dollars!C2654 * GOOGLEFINANCE(""CURRENCY:"" &amp; Cost_in_dollars!E2654 &amp; ""USD""))
"),19014577.76418)</f>
        <v>19014577.764180001</v>
      </c>
      <c r="Q2654" s="4">
        <f t="shared" ca="1" si="60"/>
        <v>-2680222.2358199991</v>
      </c>
      <c r="R2654" s="5" t="str">
        <f t="shared" si="61"/>
        <v>Silent Hill: Revelation 3D</v>
      </c>
      <c r="S2654" s="43" t="str">
        <f t="shared" si="63"/>
        <v>Adventure</v>
      </c>
    </row>
    <row r="2655" spans="1:19" ht="15.75" customHeight="1" x14ac:dyDescent="0.25">
      <c r="A2655" s="6" t="s">
        <v>8486</v>
      </c>
      <c r="B2655" s="6">
        <v>42</v>
      </c>
      <c r="C2655" s="6">
        <v>2961991</v>
      </c>
      <c r="D2655" s="6" t="s">
        <v>362</v>
      </c>
      <c r="E2655" s="6" t="s">
        <v>775</v>
      </c>
      <c r="F2655" s="6" t="s">
        <v>8487</v>
      </c>
      <c r="G2655" s="6">
        <v>15885</v>
      </c>
      <c r="H2655" s="6" t="s">
        <v>8488</v>
      </c>
      <c r="I2655" s="6">
        <v>78</v>
      </c>
      <c r="J2655" s="6" t="s">
        <v>23</v>
      </c>
      <c r="K2655" s="6" t="s">
        <v>24</v>
      </c>
      <c r="L2655" s="6">
        <v>3300000</v>
      </c>
      <c r="M2655" s="6">
        <v>1996</v>
      </c>
      <c r="N2655" s="6">
        <v>6.9</v>
      </c>
      <c r="O2655" s="4">
        <f ca="1">IFERROR(__xludf.DUMMYFUNCTION("IF(Cost_in_dollars!E2655=""USD"",Cost_in_dollars!B2655,Cost_in_dollars!B2655 * GOOGLEFINANCE(""CURRENCY:"" &amp; Cost_in_dollars!E2655 &amp; ""USD""))
"),3300000)</f>
        <v>3300000</v>
      </c>
      <c r="P2655" s="4">
        <f ca="1">IFERROR(__xludf.DUMMYFUNCTION("IF(Cost_in_dollars!E2655=""USD"",Cost_in_dollars!C2655,Cost_in_dollars!C2655 * GOOGLEFINANCE(""CURRENCY:"" &amp; Cost_in_dollars!E2655 &amp; ""USD""))
"),2961991)</f>
        <v>2961991</v>
      </c>
      <c r="Q2655" s="6">
        <f t="shared" ca="1" si="60"/>
        <v>-338009</v>
      </c>
      <c r="R2655" s="7" t="str">
        <f t="shared" si="61"/>
        <v>Basquiat</v>
      </c>
      <c r="S2655" s="43" t="str">
        <f t="shared" si="63"/>
        <v>Biography</v>
      </c>
    </row>
    <row r="2656" spans="1:19" ht="15.75" customHeight="1" x14ac:dyDescent="0.25">
      <c r="A2656" s="4" t="s">
        <v>3738</v>
      </c>
      <c r="B2656" s="4">
        <v>107</v>
      </c>
      <c r="C2656" s="4">
        <v>14015786</v>
      </c>
      <c r="D2656" s="4" t="s">
        <v>235</v>
      </c>
      <c r="E2656" s="4" t="s">
        <v>2524</v>
      </c>
      <c r="F2656" s="4" t="s">
        <v>8489</v>
      </c>
      <c r="G2656" s="4">
        <v>37952</v>
      </c>
      <c r="H2656" s="4" t="s">
        <v>8490</v>
      </c>
      <c r="I2656" s="4">
        <v>298</v>
      </c>
      <c r="J2656" s="4" t="s">
        <v>23</v>
      </c>
      <c r="K2656" s="4" t="s">
        <v>24</v>
      </c>
      <c r="L2656" s="4">
        <v>5000000</v>
      </c>
      <c r="M2656" s="4">
        <v>2002</v>
      </c>
      <c r="N2656" s="4">
        <v>6.5</v>
      </c>
      <c r="O2656" s="4">
        <f ca="1">IFERROR(__xludf.DUMMYFUNCTION("IF(Cost_in_dollars!E2656=""USD"",Cost_in_dollars!B2656,Cost_in_dollars!B2656 * GOOGLEFINANCE(""CURRENCY:"" &amp; Cost_in_dollars!E2656 &amp; ""USD""))
"),5000000)</f>
        <v>5000000</v>
      </c>
      <c r="P2656" s="4">
        <f ca="1">IFERROR(__xludf.DUMMYFUNCTION("IF(Cost_in_dollars!E2656=""USD"",Cost_in_dollars!C2656,Cost_in_dollars!C2656 * GOOGLEFINANCE(""CURRENCY:"" &amp; Cost_in_dollars!E2656 &amp; ""USD""))
"),14015786)</f>
        <v>14015786</v>
      </c>
      <c r="Q2656" s="4">
        <f t="shared" ca="1" si="60"/>
        <v>9015786</v>
      </c>
      <c r="R2656" s="5" t="str">
        <f t="shared" si="61"/>
        <v>The Good Girl</v>
      </c>
      <c r="S2656" s="43" t="str">
        <f t="shared" si="63"/>
        <v>Drama</v>
      </c>
    </row>
    <row r="2657" spans="1:19" ht="15.75" customHeight="1" x14ac:dyDescent="0.25">
      <c r="A2657" s="6" t="s">
        <v>931</v>
      </c>
      <c r="B2657" s="6">
        <v>321</v>
      </c>
      <c r="C2657" s="6">
        <v>127997349</v>
      </c>
      <c r="D2657" s="6" t="s">
        <v>8491</v>
      </c>
      <c r="E2657" s="6" t="s">
        <v>84</v>
      </c>
      <c r="F2657" s="6" t="s">
        <v>8492</v>
      </c>
      <c r="G2657" s="6">
        <v>101178</v>
      </c>
      <c r="H2657" s="6" t="s">
        <v>8493</v>
      </c>
      <c r="I2657" s="6">
        <v>779</v>
      </c>
      <c r="J2657" s="6" t="s">
        <v>23</v>
      </c>
      <c r="K2657" s="6" t="s">
        <v>24</v>
      </c>
      <c r="L2657" s="6">
        <v>50000000</v>
      </c>
      <c r="M2657" s="6">
        <v>2014</v>
      </c>
      <c r="N2657" s="6">
        <v>6</v>
      </c>
      <c r="O2657" s="4">
        <f ca="1">IFERROR(__xludf.DUMMYFUNCTION("IF(Cost_in_dollars!E2657=""USD"",Cost_in_dollars!B2657,Cost_in_dollars!B2657 * GOOGLEFINANCE(""CURRENCY:"" &amp; Cost_in_dollars!E2657 &amp; ""USD""))
"),50000000)</f>
        <v>50000000</v>
      </c>
      <c r="P2657" s="4">
        <f ca="1">IFERROR(__xludf.DUMMYFUNCTION("IF(Cost_in_dollars!E2657=""USD"",Cost_in_dollars!C2657,Cost_in_dollars!C2657 * GOOGLEFINANCE(""CURRENCY:"" &amp; Cost_in_dollars!E2657 &amp; ""USD""))
"),127997349)</f>
        <v>127997349</v>
      </c>
      <c r="Q2657" s="6">
        <f t="shared" ca="1" si="60"/>
        <v>77997349</v>
      </c>
      <c r="R2657" s="7" t="str">
        <f t="shared" si="61"/>
        <v>Into the Woods</v>
      </c>
      <c r="S2657" s="43" t="str">
        <f t="shared" si="63"/>
        <v>Adventure</v>
      </c>
    </row>
    <row r="2658" spans="1:19" ht="15.75" customHeight="1" x14ac:dyDescent="0.25">
      <c r="A2658" s="4" t="s">
        <v>3014</v>
      </c>
      <c r="B2658" s="4">
        <v>65</v>
      </c>
      <c r="C2658" s="4">
        <v>91030827</v>
      </c>
      <c r="D2658" s="4" t="s">
        <v>457</v>
      </c>
      <c r="E2658" s="4" t="s">
        <v>536</v>
      </c>
      <c r="F2658" s="4" t="s">
        <v>8494</v>
      </c>
      <c r="G2658" s="4">
        <v>46482</v>
      </c>
      <c r="H2658" s="4" t="s">
        <v>8495</v>
      </c>
      <c r="I2658" s="4">
        <v>252</v>
      </c>
      <c r="J2658" s="4" t="s">
        <v>23</v>
      </c>
      <c r="K2658" s="4" t="s">
        <v>24</v>
      </c>
      <c r="L2658" s="4">
        <v>50000000</v>
      </c>
      <c r="M2658" s="4">
        <v>1998</v>
      </c>
      <c r="N2658" s="4">
        <v>6.7</v>
      </c>
      <c r="O2658" s="4">
        <f ca="1">IFERROR(__xludf.DUMMYFUNCTION("IF(Cost_in_dollars!E2658=""USD"",Cost_in_dollars!B2658,Cost_in_dollars!B2658 * GOOGLEFINANCE(""CURRENCY:"" &amp; Cost_in_dollars!E2658 &amp; ""USD""))
"),50000000)</f>
        <v>50000000</v>
      </c>
      <c r="P2658" s="4">
        <f ca="1">IFERROR(__xludf.DUMMYFUNCTION("IF(Cost_in_dollars!E2658=""USD"",Cost_in_dollars!C2658,Cost_in_dollars!C2658 * GOOGLEFINANCE(""CURRENCY:"" &amp; Cost_in_dollars!E2658 &amp; ""USD""))
"),91030827)</f>
        <v>91030827</v>
      </c>
      <c r="Q2658" s="4">
        <f t="shared" ca="1" si="60"/>
        <v>41030827</v>
      </c>
      <c r="R2658" s="5" t="str">
        <f t="shared" si="61"/>
        <v>Stepmom</v>
      </c>
      <c r="S2658" s="43" t="str">
        <f t="shared" si="63"/>
        <v>Comedy</v>
      </c>
    </row>
    <row r="2659" spans="1:19" ht="15.75" customHeight="1" x14ac:dyDescent="0.25">
      <c r="A2659" s="6" t="s">
        <v>4951</v>
      </c>
      <c r="B2659" s="6">
        <v>75</v>
      </c>
      <c r="C2659" s="6">
        <v>55762229</v>
      </c>
      <c r="D2659" s="6" t="s">
        <v>3561</v>
      </c>
      <c r="E2659" s="6" t="s">
        <v>1228</v>
      </c>
      <c r="F2659" s="6" t="s">
        <v>8496</v>
      </c>
      <c r="G2659" s="6">
        <v>47383</v>
      </c>
      <c r="H2659" s="6" t="s">
        <v>8497</v>
      </c>
      <c r="I2659" s="6">
        <v>132</v>
      </c>
      <c r="J2659" s="6" t="s">
        <v>23</v>
      </c>
      <c r="K2659" s="6" t="s">
        <v>24</v>
      </c>
      <c r="L2659" s="6">
        <v>22000000</v>
      </c>
      <c r="M2659" s="6">
        <v>2001</v>
      </c>
      <c r="N2659" s="6">
        <v>4.8</v>
      </c>
      <c r="O2659" s="4">
        <f ca="1">IFERROR(__xludf.DUMMYFUNCTION("IF(Cost_in_dollars!E2659=""USD"",Cost_in_dollars!B2659,Cost_in_dollars!B2659 * GOOGLEFINANCE(""CURRENCY:"" &amp; Cost_in_dollars!E2659 &amp; ""USD""))
"),22000000)</f>
        <v>22000000</v>
      </c>
      <c r="P2659" s="4">
        <f ca="1">IFERROR(__xludf.DUMMYFUNCTION("IF(Cost_in_dollars!E2659=""USD"",Cost_in_dollars!C2659,Cost_in_dollars!C2659 * GOOGLEFINANCE(""CURRENCY:"" &amp; Cost_in_dollars!E2659 &amp; ""USD""))
"),55762229)</f>
        <v>55762229</v>
      </c>
      <c r="Q2659" s="6">
        <f t="shared" ca="1" si="60"/>
        <v>33762229</v>
      </c>
      <c r="R2659" s="7" t="str">
        <f t="shared" si="61"/>
        <v>The Animal</v>
      </c>
      <c r="S2659" s="43" t="str">
        <f t="shared" si="63"/>
        <v>Comedy</v>
      </c>
    </row>
    <row r="2660" spans="1:19" ht="15.75" customHeight="1" x14ac:dyDescent="0.25">
      <c r="A2660" s="4" t="s">
        <v>8498</v>
      </c>
      <c r="B2660" s="4">
        <v>11</v>
      </c>
      <c r="C2660" s="4">
        <v>69700000</v>
      </c>
      <c r="D2660" s="4" t="s">
        <v>2483</v>
      </c>
      <c r="E2660" s="4" t="s">
        <v>513</v>
      </c>
      <c r="F2660" s="4" t="s">
        <v>8499</v>
      </c>
      <c r="G2660" s="4">
        <v>7748</v>
      </c>
      <c r="H2660" s="4" t="s">
        <v>8500</v>
      </c>
      <c r="I2660" s="4">
        <v>48</v>
      </c>
      <c r="J2660" s="4" t="s">
        <v>23</v>
      </c>
      <c r="K2660" s="4" t="s">
        <v>24</v>
      </c>
      <c r="L2660" s="4">
        <v>35000000</v>
      </c>
      <c r="M2660" s="4">
        <v>1982</v>
      </c>
      <c r="N2660" s="4">
        <v>5.8</v>
      </c>
      <c r="O2660" s="4">
        <f ca="1">IFERROR(__xludf.DUMMYFUNCTION("IF(Cost_in_dollars!E2660=""USD"",Cost_in_dollars!B2660,Cost_in_dollars!B2660 * GOOGLEFINANCE(""CURRENCY:"" &amp; Cost_in_dollars!E2660 &amp; ""USD""))
"),35000000)</f>
        <v>35000000</v>
      </c>
      <c r="P2660" s="4">
        <f ca="1">IFERROR(__xludf.DUMMYFUNCTION("IF(Cost_in_dollars!E2660=""USD"",Cost_in_dollars!C2660,Cost_in_dollars!C2660 * GOOGLEFINANCE(""CURRENCY:"" &amp; Cost_in_dollars!E2660 &amp; ""USD""))
"),69700000)</f>
        <v>69700000</v>
      </c>
      <c r="Q2660" s="4">
        <f t="shared" ca="1" si="60"/>
        <v>34700000</v>
      </c>
      <c r="R2660" s="5" t="str">
        <f t="shared" si="61"/>
        <v>The Best Little Whorehouse in Texas</v>
      </c>
      <c r="S2660" s="43" t="str">
        <f t="shared" si="63"/>
        <v>Comedy</v>
      </c>
    </row>
    <row r="2661" spans="1:19" ht="15.75" customHeight="1" x14ac:dyDescent="0.25">
      <c r="A2661" s="6" t="s">
        <v>532</v>
      </c>
      <c r="B2661" s="6">
        <v>216</v>
      </c>
      <c r="C2661" s="6">
        <v>46563158</v>
      </c>
      <c r="D2661" s="6" t="s">
        <v>319</v>
      </c>
      <c r="E2661" s="6" t="s">
        <v>4122</v>
      </c>
      <c r="F2661" s="6" t="s">
        <v>8501</v>
      </c>
      <c r="G2661" s="6">
        <v>207934</v>
      </c>
      <c r="H2661" s="6" t="s">
        <v>8502</v>
      </c>
      <c r="I2661" s="6">
        <v>629</v>
      </c>
      <c r="J2661" s="6" t="s">
        <v>23</v>
      </c>
      <c r="K2661" s="6" t="s">
        <v>24</v>
      </c>
      <c r="L2661" s="6">
        <v>13000000</v>
      </c>
      <c r="M2661" s="6">
        <v>2002</v>
      </c>
      <c r="N2661" s="6">
        <v>7.1</v>
      </c>
      <c r="O2661" s="4">
        <f ca="1">IFERROR(__xludf.DUMMYFUNCTION("IF(Cost_in_dollars!E2661=""USD"",Cost_in_dollars!B2661,Cost_in_dollars!B2661 * GOOGLEFINANCE(""CURRENCY:"" &amp; Cost_in_dollars!E2661 &amp; ""USD""))
"),13000000)</f>
        <v>13000000</v>
      </c>
      <c r="P2661" s="4">
        <f ca="1">IFERROR(__xludf.DUMMYFUNCTION("IF(Cost_in_dollars!E2661=""USD"",Cost_in_dollars!C2661,Cost_in_dollars!C2661 * GOOGLEFINANCE(""CURRENCY:"" &amp; Cost_in_dollars!E2661 &amp; ""USD""))
"),46563158)</f>
        <v>46563158</v>
      </c>
      <c r="Q2661" s="6">
        <f t="shared" ca="1" si="60"/>
        <v>33563158</v>
      </c>
      <c r="R2661" s="7" t="str">
        <f t="shared" si="61"/>
        <v>Phone Booth</v>
      </c>
      <c r="S2661" s="43" t="str">
        <f t="shared" si="63"/>
        <v>Crime</v>
      </c>
    </row>
    <row r="2662" spans="1:19" ht="15.75" customHeight="1" x14ac:dyDescent="0.25">
      <c r="A2662" s="4" t="s">
        <v>2783</v>
      </c>
      <c r="B2662" s="4">
        <v>92</v>
      </c>
      <c r="C2662" s="4">
        <v>27338033</v>
      </c>
      <c r="D2662" s="4" t="s">
        <v>88</v>
      </c>
      <c r="E2662" s="4" t="s">
        <v>977</v>
      </c>
      <c r="F2662" s="4" t="s">
        <v>8503</v>
      </c>
      <c r="G2662" s="4">
        <v>19709</v>
      </c>
      <c r="H2662" s="4" t="s">
        <v>8504</v>
      </c>
      <c r="I2662" s="4">
        <v>167</v>
      </c>
      <c r="J2662" s="4" t="s">
        <v>23</v>
      </c>
      <c r="K2662" s="4" t="s">
        <v>24</v>
      </c>
      <c r="L2662" s="4">
        <v>23000000</v>
      </c>
      <c r="M2662" s="4">
        <v>2001</v>
      </c>
      <c r="N2662" s="4">
        <v>6.1</v>
      </c>
      <c r="O2662" s="4">
        <f ca="1">IFERROR(__xludf.DUMMYFUNCTION("IF(Cost_in_dollars!E2662=""USD"",Cost_in_dollars!B2662,Cost_in_dollars!B2662 * GOOGLEFINANCE(""CURRENCY:"" &amp; Cost_in_dollars!E2662 &amp; ""USD""))
"),23000000)</f>
        <v>23000000</v>
      </c>
      <c r="P2662" s="4">
        <f ca="1">IFERROR(__xludf.DUMMYFUNCTION("IF(Cost_in_dollars!E2662=""USD"",Cost_in_dollars!C2662,Cost_in_dollars!C2662 * GOOGLEFINANCE(""CURRENCY:"" &amp; Cost_in_dollars!E2662 &amp; ""USD""))
"),27338033)</f>
        <v>27338033</v>
      </c>
      <c r="Q2662" s="4">
        <f t="shared" ca="1" si="60"/>
        <v>4338033</v>
      </c>
      <c r="R2662" s="5" t="str">
        <f t="shared" si="61"/>
        <v>Someone Like You...</v>
      </c>
      <c r="S2662" s="43" t="str">
        <f t="shared" si="63"/>
        <v>Comedy</v>
      </c>
    </row>
    <row r="2663" spans="1:19" ht="15.75" customHeight="1" x14ac:dyDescent="0.25">
      <c r="A2663" s="6" t="s">
        <v>4310</v>
      </c>
      <c r="B2663" s="6">
        <v>182</v>
      </c>
      <c r="C2663" s="6">
        <v>4244155</v>
      </c>
      <c r="D2663" s="6" t="s">
        <v>457</v>
      </c>
      <c r="E2663" s="6" t="s">
        <v>645</v>
      </c>
      <c r="F2663" s="6" t="s">
        <v>8505</v>
      </c>
      <c r="G2663" s="6">
        <v>56005</v>
      </c>
      <c r="H2663" s="6" t="s">
        <v>8506</v>
      </c>
      <c r="I2663" s="6">
        <v>112</v>
      </c>
      <c r="J2663" s="6" t="s">
        <v>23</v>
      </c>
      <c r="K2663" s="6" t="s">
        <v>24</v>
      </c>
      <c r="L2663" s="6">
        <v>10000000</v>
      </c>
      <c r="M2663" s="6">
        <v>2011</v>
      </c>
      <c r="N2663" s="6">
        <v>6.5</v>
      </c>
      <c r="O2663" s="4">
        <f ca="1">IFERROR(__xludf.DUMMYFUNCTION("IF(Cost_in_dollars!E2663=""USD"",Cost_in_dollars!B2663,Cost_in_dollars!B2663 * GOOGLEFINANCE(""CURRENCY:"" &amp; Cost_in_dollars!E2663 &amp; ""USD""))
"),10000000)</f>
        <v>10000000</v>
      </c>
      <c r="P2663" s="4">
        <f ca="1">IFERROR(__xludf.DUMMYFUNCTION("IF(Cost_in_dollars!E2663=""USD"",Cost_in_dollars!C2663,Cost_in_dollars!C2663 * GOOGLEFINANCE(""CURRENCY:"" &amp; Cost_in_dollars!E2663 &amp; ""USD""))
"),4244155)</f>
        <v>4244155</v>
      </c>
      <c r="Q2663" s="6">
        <f t="shared" ca="1" si="60"/>
        <v>-5755845</v>
      </c>
      <c r="R2663" s="7" t="str">
        <f t="shared" si="61"/>
        <v>Jeff, Who Lives at Home</v>
      </c>
      <c r="S2663" s="43" t="str">
        <f t="shared" si="63"/>
        <v>Comedy</v>
      </c>
    </row>
    <row r="2664" spans="1:19" ht="15.75" customHeight="1" x14ac:dyDescent="0.25">
      <c r="A2664" s="4" t="s">
        <v>1830</v>
      </c>
      <c r="B2664" s="4">
        <v>125</v>
      </c>
      <c r="C2664" s="4">
        <v>30695227</v>
      </c>
      <c r="D2664" s="4" t="s">
        <v>8507</v>
      </c>
      <c r="E2664" s="4" t="s">
        <v>588</v>
      </c>
      <c r="F2664" s="4" t="s">
        <v>8508</v>
      </c>
      <c r="G2664" s="4">
        <v>45296</v>
      </c>
      <c r="H2664" s="4" t="s">
        <v>8509</v>
      </c>
      <c r="I2664" s="4">
        <v>267</v>
      </c>
      <c r="J2664" s="4" t="s">
        <v>23</v>
      </c>
      <c r="K2664" s="4" t="s">
        <v>24</v>
      </c>
      <c r="L2664" s="4">
        <v>60000000</v>
      </c>
      <c r="M2664" s="4">
        <v>2000</v>
      </c>
      <c r="N2664" s="4">
        <v>6.7</v>
      </c>
      <c r="O2664" s="4">
        <f ca="1">IFERROR(__xludf.DUMMYFUNCTION("IF(Cost_in_dollars!E2664=""USD"",Cost_in_dollars!B2664,Cost_in_dollars!B2664 * GOOGLEFINANCE(""CURRENCY:"" &amp; Cost_in_dollars!E2664 &amp; ""USD""))
"),60000000)</f>
        <v>60000000</v>
      </c>
      <c r="P2664" s="4">
        <f ca="1">IFERROR(__xludf.DUMMYFUNCTION("IF(Cost_in_dollars!E2664=""USD"",Cost_in_dollars!C2664,Cost_in_dollars!C2664 * GOOGLEFINANCE(""CURRENCY:"" &amp; Cost_in_dollars!E2664 &amp; ""USD""))
"),30695227)</f>
        <v>30695227</v>
      </c>
      <c r="Q2664" s="4">
        <f t="shared" ca="1" si="60"/>
        <v>-29304773</v>
      </c>
      <c r="R2664" s="5" t="str">
        <f t="shared" si="61"/>
        <v>The Legend of Bagger Vance</v>
      </c>
      <c r="S2664" s="43" t="str">
        <f t="shared" si="63"/>
        <v>Drama</v>
      </c>
    </row>
    <row r="2665" spans="1:19" ht="15.75" customHeight="1" x14ac:dyDescent="0.25">
      <c r="A2665" s="6" t="s">
        <v>3605</v>
      </c>
      <c r="B2665" s="6">
        <v>124</v>
      </c>
      <c r="C2665" s="6">
        <v>2975649</v>
      </c>
      <c r="D2665" s="6" t="s">
        <v>890</v>
      </c>
      <c r="E2665" s="6" t="s">
        <v>6867</v>
      </c>
      <c r="F2665" s="6" t="s">
        <v>8510</v>
      </c>
      <c r="G2665" s="6">
        <v>23864</v>
      </c>
      <c r="H2665" s="6" t="s">
        <v>8511</v>
      </c>
      <c r="I2665" s="6">
        <v>142</v>
      </c>
      <c r="J2665" s="6" t="s">
        <v>23</v>
      </c>
      <c r="K2665" s="6" t="s">
        <v>133</v>
      </c>
      <c r="L2665" s="6">
        <v>30000000</v>
      </c>
      <c r="M2665" s="6">
        <v>2006</v>
      </c>
      <c r="N2665" s="6">
        <v>7</v>
      </c>
      <c r="O2665" s="4">
        <f ca="1">IFERROR(__xludf.DUMMYFUNCTION("IF(Cost_in_dollars!E2665=""USD"",Cost_in_dollars!B2665,Cost_in_dollars!B2665 * GOOGLEFINANCE(""CURRENCY:"" &amp; Cost_in_dollars!E2665 &amp; ""USD""))
"),38562000)</f>
        <v>38562000</v>
      </c>
      <c r="P2665" s="4">
        <f ca="1">IFERROR(__xludf.DUMMYFUNCTION("IF(Cost_in_dollars!E2665=""USD"",Cost_in_dollars!C2665,Cost_in_dollars!C2665 * GOOGLEFINANCE(""CURRENCY:"" &amp; Cost_in_dollars!E2665 &amp; ""USD""))
"),3824899.2246)</f>
        <v>3824899.2245999998</v>
      </c>
      <c r="Q2665" s="6">
        <f t="shared" ca="1" si="60"/>
        <v>-34737100.775399998</v>
      </c>
      <c r="R2665" s="7" t="str">
        <f t="shared" si="61"/>
        <v>Miss Potter</v>
      </c>
      <c r="S2665" s="43" t="str">
        <f t="shared" si="63"/>
        <v>Biography</v>
      </c>
    </row>
    <row r="2666" spans="1:19" ht="15.75" customHeight="1" x14ac:dyDescent="0.25">
      <c r="A2666" s="4" t="s">
        <v>1604</v>
      </c>
      <c r="B2666" s="4">
        <v>63</v>
      </c>
      <c r="C2666" s="4">
        <v>38747385</v>
      </c>
      <c r="D2666" s="4" t="s">
        <v>8512</v>
      </c>
      <c r="E2666" s="4" t="s">
        <v>473</v>
      </c>
      <c r="F2666" s="4" t="s">
        <v>8513</v>
      </c>
      <c r="G2666" s="4">
        <v>49349</v>
      </c>
      <c r="H2666" s="4" t="s">
        <v>8514</v>
      </c>
      <c r="I2666" s="4">
        <v>165</v>
      </c>
      <c r="J2666" s="4" t="s">
        <v>23</v>
      </c>
      <c r="K2666" s="4" t="s">
        <v>24</v>
      </c>
      <c r="L2666" s="4">
        <v>25000000</v>
      </c>
      <c r="M2666" s="4">
        <v>1986</v>
      </c>
      <c r="N2666" s="4">
        <v>6.9</v>
      </c>
      <c r="O2666" s="4">
        <f ca="1">IFERROR(__xludf.DUMMYFUNCTION("IF(Cost_in_dollars!E2666=""USD"",Cost_in_dollars!B2666,Cost_in_dollars!B2666 * GOOGLEFINANCE(""CURRENCY:"" &amp; Cost_in_dollars!E2666 &amp; ""USD""))
"),25000000)</f>
        <v>25000000</v>
      </c>
      <c r="P2666" s="4">
        <f ca="1">IFERROR(__xludf.DUMMYFUNCTION("IF(Cost_in_dollars!E2666=""USD"",Cost_in_dollars!C2666,Cost_in_dollars!C2666 * GOOGLEFINANCE(""CURRENCY:"" &amp; Cost_in_dollars!E2666 &amp; ""USD""))
"),38747385)</f>
        <v>38747385</v>
      </c>
      <c r="Q2666" s="4">
        <f t="shared" ca="1" si="60"/>
        <v>13747385</v>
      </c>
      <c r="R2666" s="5" t="str">
        <f t="shared" si="61"/>
        <v>Little Shop of Horrors</v>
      </c>
      <c r="S2666" s="43" t="str">
        <f t="shared" si="63"/>
        <v>Comedy</v>
      </c>
    </row>
    <row r="2667" spans="1:19" ht="15.75" customHeight="1" x14ac:dyDescent="0.25">
      <c r="A2667" s="6" t="s">
        <v>494</v>
      </c>
      <c r="B2667" s="6">
        <v>81</v>
      </c>
      <c r="C2667" s="6">
        <v>101228120</v>
      </c>
      <c r="D2667" s="6" t="s">
        <v>8515</v>
      </c>
      <c r="E2667" s="6" t="s">
        <v>1184</v>
      </c>
      <c r="F2667" s="6" t="s">
        <v>8516</v>
      </c>
      <c r="G2667" s="6">
        <v>84424</v>
      </c>
      <c r="H2667" s="6" t="s">
        <v>8517</v>
      </c>
      <c r="I2667" s="6">
        <v>131</v>
      </c>
      <c r="J2667" s="6" t="s">
        <v>23</v>
      </c>
      <c r="K2667" s="6" t="s">
        <v>24</v>
      </c>
      <c r="L2667" s="6">
        <v>100000000</v>
      </c>
      <c r="M2667" s="6">
        <v>1996</v>
      </c>
      <c r="N2667" s="6">
        <v>6.1</v>
      </c>
      <c r="O2667" s="4">
        <f ca="1">IFERROR(__xludf.DUMMYFUNCTION("IF(Cost_in_dollars!E2667=""USD"",Cost_in_dollars!B2667,Cost_in_dollars!B2667 * GOOGLEFINANCE(""CURRENCY:"" &amp; Cost_in_dollars!E2667 &amp; ""USD""))
"),100000000)</f>
        <v>100000000</v>
      </c>
      <c r="P2667" s="4">
        <f ca="1">IFERROR(__xludf.DUMMYFUNCTION("IF(Cost_in_dollars!E2667=""USD"",Cost_in_dollars!C2667,Cost_in_dollars!C2667 * GOOGLEFINANCE(""CURRENCY:"" &amp; Cost_in_dollars!E2667 &amp; ""USD""))
"),101228120)</f>
        <v>101228120</v>
      </c>
      <c r="Q2667" s="6">
        <f t="shared" ca="1" si="60"/>
        <v>1228120</v>
      </c>
      <c r="R2667" s="7" t="str">
        <f t="shared" si="61"/>
        <v>Eraser</v>
      </c>
      <c r="S2667" s="43" t="str">
        <f t="shared" si="63"/>
        <v>Action</v>
      </c>
    </row>
    <row r="2668" spans="1:19" ht="15.75" customHeight="1" x14ac:dyDescent="0.25">
      <c r="A2668" s="4" t="s">
        <v>318</v>
      </c>
      <c r="B2668" s="4">
        <v>158</v>
      </c>
      <c r="C2668" s="4">
        <v>37339525</v>
      </c>
      <c r="D2668" s="4" t="s">
        <v>813</v>
      </c>
      <c r="E2668" s="4" t="s">
        <v>593</v>
      </c>
      <c r="F2668" s="4" t="s">
        <v>8518</v>
      </c>
      <c r="G2668" s="4">
        <v>71708</v>
      </c>
      <c r="H2668" s="4" t="s">
        <v>8519</v>
      </c>
      <c r="I2668" s="4">
        <v>307</v>
      </c>
      <c r="J2668" s="4" t="s">
        <v>23</v>
      </c>
      <c r="K2668" s="4" t="s">
        <v>24</v>
      </c>
      <c r="L2668" s="4">
        <v>48000000</v>
      </c>
      <c r="M2668" s="4">
        <v>1998</v>
      </c>
      <c r="N2668" s="4">
        <v>7</v>
      </c>
      <c r="O2668" s="4">
        <f ca="1">IFERROR(__xludf.DUMMYFUNCTION("IF(Cost_in_dollars!E2668=""USD"",Cost_in_dollars!B2668,Cost_in_dollars!B2668 * GOOGLEFINANCE(""CURRENCY:"" &amp; Cost_in_dollars!E2668 &amp; ""USD""))
"),48000000)</f>
        <v>48000000</v>
      </c>
      <c r="P2668" s="4">
        <f ca="1">IFERROR(__xludf.DUMMYFUNCTION("IF(Cost_in_dollars!E2668=""USD"",Cost_in_dollars!C2668,Cost_in_dollars!C2668 * GOOGLEFINANCE(""CURRENCY:"" &amp; Cost_in_dollars!E2668 &amp; ""USD""))
"),37339525)</f>
        <v>37339525</v>
      </c>
      <c r="Q2668" s="4">
        <f t="shared" ca="1" si="60"/>
        <v>-10660475</v>
      </c>
      <c r="R2668" s="5" t="str">
        <f t="shared" si="61"/>
        <v>Out of Sight</v>
      </c>
      <c r="S2668" s="43" t="str">
        <f t="shared" si="63"/>
        <v>Crime</v>
      </c>
    </row>
    <row r="2669" spans="1:19" ht="15.75" customHeight="1" x14ac:dyDescent="0.25">
      <c r="A2669" s="6" t="s">
        <v>8520</v>
      </c>
      <c r="B2669" s="6">
        <v>78</v>
      </c>
      <c r="C2669" s="6">
        <v>2126511</v>
      </c>
      <c r="D2669" s="6" t="s">
        <v>8521</v>
      </c>
      <c r="E2669" s="6" t="s">
        <v>8522</v>
      </c>
      <c r="F2669" s="6" t="s">
        <v>8523</v>
      </c>
      <c r="G2669" s="6">
        <v>21912</v>
      </c>
      <c r="H2669" s="6" t="s">
        <v>8524</v>
      </c>
      <c r="I2669" s="6">
        <v>45</v>
      </c>
      <c r="J2669" s="6" t="s">
        <v>159</v>
      </c>
      <c r="K2669" s="6" t="s">
        <v>160</v>
      </c>
      <c r="L2669" s="6">
        <v>36000000</v>
      </c>
      <c r="M2669" s="6">
        <v>2015</v>
      </c>
      <c r="N2669" s="6">
        <v>7.2</v>
      </c>
      <c r="O2669" s="4">
        <f ca="1">IFERROR(__xludf.DUMMYFUNCTION("IF(Cost_in_dollars!E2669=""USD"",Cost_in_dollars!B2669,Cost_in_dollars!B2669 * GOOGLEFINANCE(""CURRENCY:"" &amp; Cost_in_dollars!E2669 &amp; ""USD""))
"),4611394.8)</f>
        <v>4611394.8</v>
      </c>
      <c r="P2669" s="4">
        <f ca="1">IFERROR(__xludf.DUMMYFUNCTION("IF(Cost_in_dollars!E2669=""USD"",Cost_in_dollars!C2669,Cost_in_dollars!C2669 * GOOGLEFINANCE(""CURRENCY:"" &amp; Cost_in_dollars!E2669 &amp; ""USD""))
"),272393.9379873)</f>
        <v>272393.93798729999</v>
      </c>
      <c r="Q2669" s="6">
        <f t="shared" ca="1" si="60"/>
        <v>-4339000.8620127002</v>
      </c>
      <c r="R2669" s="7" t="str">
        <f t="shared" si="61"/>
        <v>Ip Man 3</v>
      </c>
      <c r="S2669" s="43" t="str">
        <f t="shared" si="63"/>
        <v>Action</v>
      </c>
    </row>
    <row r="2670" spans="1:19" ht="15.75" customHeight="1" x14ac:dyDescent="0.25">
      <c r="A2670" s="4" t="s">
        <v>863</v>
      </c>
      <c r="B2670" s="4">
        <v>63</v>
      </c>
      <c r="C2670" s="4">
        <v>65807024</v>
      </c>
      <c r="D2670" s="4" t="s">
        <v>2190</v>
      </c>
      <c r="E2670" s="4" t="s">
        <v>2732</v>
      </c>
      <c r="F2670" s="4" t="s">
        <v>8525</v>
      </c>
      <c r="G2670" s="4">
        <v>172405</v>
      </c>
      <c r="H2670" s="4" t="s">
        <v>8526</v>
      </c>
      <c r="I2670" s="4">
        <v>203</v>
      </c>
      <c r="J2670" s="4" t="s">
        <v>23</v>
      </c>
      <c r="K2670" s="4" t="s">
        <v>24</v>
      </c>
      <c r="L2670" s="4">
        <v>19000000</v>
      </c>
      <c r="M2670" s="4">
        <v>1995</v>
      </c>
      <c r="N2670" s="4">
        <v>6.8</v>
      </c>
      <c r="O2670" s="4">
        <f ca="1">IFERROR(__xludf.DUMMYFUNCTION("IF(Cost_in_dollars!E2670=""USD"",Cost_in_dollars!B2670,Cost_in_dollars!B2670 * GOOGLEFINANCE(""CURRENCY:"" &amp; Cost_in_dollars!E2670 &amp; ""USD""))
"),19000000)</f>
        <v>19000000</v>
      </c>
      <c r="P2670" s="4">
        <f ca="1">IFERROR(__xludf.DUMMYFUNCTION("IF(Cost_in_dollars!E2670=""USD"",Cost_in_dollars!C2670,Cost_in_dollars!C2670 * GOOGLEFINANCE(""CURRENCY:"" &amp; Cost_in_dollars!E2670 &amp; ""USD""))
"),65807024)</f>
        <v>65807024</v>
      </c>
      <c r="Q2670" s="4">
        <f t="shared" ca="1" si="60"/>
        <v>46807024</v>
      </c>
      <c r="R2670" s="5" t="str">
        <f t="shared" si="61"/>
        <v>Bad Boys</v>
      </c>
      <c r="S2670" s="43" t="str">
        <f t="shared" si="63"/>
        <v>Action</v>
      </c>
    </row>
    <row r="2671" spans="1:19" ht="15.75" customHeight="1" x14ac:dyDescent="0.25">
      <c r="A2671" s="6" t="s">
        <v>447</v>
      </c>
      <c r="B2671" s="6">
        <v>225</v>
      </c>
      <c r="C2671" s="6">
        <v>214966</v>
      </c>
      <c r="D2671" s="6" t="s">
        <v>116</v>
      </c>
      <c r="E2671" s="6" t="s">
        <v>398</v>
      </c>
      <c r="F2671" s="6" t="s">
        <v>8527</v>
      </c>
      <c r="G2671" s="6">
        <v>28483</v>
      </c>
      <c r="H2671" s="6" t="s">
        <v>8528</v>
      </c>
      <c r="I2671" s="6">
        <v>176</v>
      </c>
      <c r="J2671" s="6" t="s">
        <v>23</v>
      </c>
      <c r="K2671" s="6" t="s">
        <v>24</v>
      </c>
      <c r="L2671" s="6">
        <v>13000000</v>
      </c>
      <c r="M2671" s="6">
        <v>2010</v>
      </c>
      <c r="N2671" s="6">
        <v>6.1</v>
      </c>
      <c r="O2671" s="4">
        <f ca="1">IFERROR(__xludf.DUMMYFUNCTION("IF(Cost_in_dollars!E2671=""USD"",Cost_in_dollars!B2671,Cost_in_dollars!B2671 * GOOGLEFINANCE(""CURRENCY:"" &amp; Cost_in_dollars!E2671 &amp; ""USD""))
"),13000000)</f>
        <v>13000000</v>
      </c>
      <c r="P2671" s="4">
        <f ca="1">IFERROR(__xludf.DUMMYFUNCTION("IF(Cost_in_dollars!E2671=""USD"",Cost_in_dollars!C2671,Cost_in_dollars!C2671 * GOOGLEFINANCE(""CURRENCY:"" &amp; Cost_in_dollars!E2671 &amp; ""USD""))
"),214966)</f>
        <v>214966</v>
      </c>
      <c r="Q2671" s="6">
        <f t="shared" ca="1" si="60"/>
        <v>-12785034</v>
      </c>
      <c r="R2671" s="7" t="str">
        <f t="shared" si="61"/>
        <v>The Killer Inside Me</v>
      </c>
      <c r="S2671" s="43" t="str">
        <f t="shared" si="63"/>
        <v>Crime</v>
      </c>
    </row>
    <row r="2672" spans="1:19" ht="15.75" customHeight="1" x14ac:dyDescent="0.25">
      <c r="A2672" s="4" t="s">
        <v>2400</v>
      </c>
      <c r="B2672" s="4">
        <v>279</v>
      </c>
      <c r="C2672" s="4">
        <v>31471430</v>
      </c>
      <c r="D2672" s="4" t="s">
        <v>963</v>
      </c>
      <c r="E2672" s="4" t="s">
        <v>8529</v>
      </c>
      <c r="F2672" s="4" t="s">
        <v>8530</v>
      </c>
      <c r="G2672" s="4">
        <v>83374</v>
      </c>
      <c r="H2672" s="4" t="s">
        <v>8531</v>
      </c>
      <c r="I2672" s="4">
        <v>828</v>
      </c>
      <c r="J2672" s="4" t="s">
        <v>23</v>
      </c>
      <c r="K2672" s="4" t="s">
        <v>24</v>
      </c>
      <c r="L2672" s="4">
        <v>15000000</v>
      </c>
      <c r="M2672" s="4">
        <v>2006</v>
      </c>
      <c r="N2672" s="4">
        <v>7.6</v>
      </c>
      <c r="O2672" s="4">
        <f ca="1">IFERROR(__xludf.DUMMYFUNCTION("IF(Cost_in_dollars!E2672=""USD"",Cost_in_dollars!B2672,Cost_in_dollars!B2672 * GOOGLEFINANCE(""CURRENCY:"" &amp; Cost_in_dollars!E2672 &amp; ""USD""))
"),15000000)</f>
        <v>15000000</v>
      </c>
      <c r="P2672" s="4">
        <f ca="1">IFERROR(__xludf.DUMMYFUNCTION("IF(Cost_in_dollars!E2672=""USD"",Cost_in_dollars!C2672,Cost_in_dollars!C2672 * GOOGLEFINANCE(""CURRENCY:"" &amp; Cost_in_dollars!E2672 &amp; ""USD""))
"),31471430)</f>
        <v>31471430</v>
      </c>
      <c r="Q2672" s="4">
        <f t="shared" ca="1" si="60"/>
        <v>16471430</v>
      </c>
      <c r="R2672" s="5" t="str">
        <f t="shared" si="61"/>
        <v>United 93</v>
      </c>
      <c r="S2672" s="43" t="str">
        <f t="shared" si="63"/>
        <v>Drama</v>
      </c>
    </row>
    <row r="2673" spans="1:19" ht="15.75" customHeight="1" x14ac:dyDescent="0.25">
      <c r="A2673" s="6" t="s">
        <v>7632</v>
      </c>
      <c r="B2673" s="6">
        <v>299</v>
      </c>
      <c r="C2673" s="6">
        <v>49024969</v>
      </c>
      <c r="D2673" s="6" t="s">
        <v>438</v>
      </c>
      <c r="E2673" s="6" t="s">
        <v>1503</v>
      </c>
      <c r="F2673" s="6" t="s">
        <v>8532</v>
      </c>
      <c r="G2673" s="6">
        <v>133367</v>
      </c>
      <c r="H2673" s="6" t="s">
        <v>8533</v>
      </c>
      <c r="I2673" s="6">
        <v>363</v>
      </c>
      <c r="J2673" s="6" t="s">
        <v>23</v>
      </c>
      <c r="K2673" s="6" t="s">
        <v>24</v>
      </c>
      <c r="L2673" s="6">
        <v>25000000</v>
      </c>
      <c r="M2673" s="6">
        <v>2007</v>
      </c>
      <c r="N2673" s="6">
        <v>7.3</v>
      </c>
      <c r="O2673" s="4">
        <f ca="1">IFERROR(__xludf.DUMMYFUNCTION("IF(Cost_in_dollars!E2673=""USD"",Cost_in_dollars!B2673,Cost_in_dollars!B2673 * GOOGLEFINANCE(""CURRENCY:"" &amp; Cost_in_dollars!E2673 &amp; ""USD""))
"),25000000)</f>
        <v>25000000</v>
      </c>
      <c r="P2673" s="4">
        <f ca="1">IFERROR(__xludf.DUMMYFUNCTION("IF(Cost_in_dollars!E2673=""USD"",Cost_in_dollars!C2673,Cost_in_dollars!C2673 * GOOGLEFINANCE(""CURRENCY:"" &amp; Cost_in_dollars!E2673 &amp; ""USD""))
"),49024969)</f>
        <v>49024969</v>
      </c>
      <c r="Q2673" s="6">
        <f t="shared" ca="1" si="60"/>
        <v>24024969</v>
      </c>
      <c r="R2673" s="7" t="str">
        <f t="shared" si="61"/>
        <v>Michael Clayton</v>
      </c>
      <c r="S2673" s="43" t="str">
        <f t="shared" si="63"/>
        <v>Crime</v>
      </c>
    </row>
    <row r="2674" spans="1:19" ht="15.75" customHeight="1" x14ac:dyDescent="0.25">
      <c r="A2674" s="4" t="s">
        <v>8534</v>
      </c>
      <c r="B2674" s="4">
        <v>29</v>
      </c>
      <c r="C2674" s="4">
        <v>279282</v>
      </c>
      <c r="D2674" s="4" t="s">
        <v>162</v>
      </c>
      <c r="E2674" s="4" t="s">
        <v>8535</v>
      </c>
      <c r="F2674" s="4" t="s">
        <v>8536</v>
      </c>
      <c r="G2674" s="4">
        <v>3806</v>
      </c>
      <c r="H2674" s="4" t="s">
        <v>8537</v>
      </c>
      <c r="I2674" s="4">
        <v>49</v>
      </c>
      <c r="J2674" s="4" t="s">
        <v>23</v>
      </c>
      <c r="K2674" s="4" t="s">
        <v>24</v>
      </c>
      <c r="L2674" s="4">
        <v>1000000</v>
      </c>
      <c r="M2674" s="4">
        <v>2003</v>
      </c>
      <c r="N2674" s="4">
        <v>6.1</v>
      </c>
      <c r="O2674" s="4">
        <f ca="1">IFERROR(__xludf.DUMMYFUNCTION("IF(Cost_in_dollars!E2674=""USD"",Cost_in_dollars!B2674,Cost_in_dollars!B2674 * GOOGLEFINANCE(""CURRENCY:"" &amp; Cost_in_dollars!E2674 &amp; ""USD""))
"),1000000)</f>
        <v>1000000</v>
      </c>
      <c r="P2674" s="4">
        <f ca="1">IFERROR(__xludf.DUMMYFUNCTION("IF(Cost_in_dollars!E2674=""USD"",Cost_in_dollars!C2674,Cost_in_dollars!C2674 * GOOGLEFINANCE(""CURRENCY:"" &amp; Cost_in_dollars!E2674 &amp; ""USD""))
"),279282)</f>
        <v>279282</v>
      </c>
      <c r="Q2674" s="4">
        <f t="shared" ca="1" si="60"/>
        <v>-720718</v>
      </c>
      <c r="R2674" s="5" t="str">
        <f t="shared" si="61"/>
        <v>The Battle of Shaker Heights</v>
      </c>
      <c r="S2674" s="43" t="str">
        <f t="shared" si="63"/>
        <v>Comedy</v>
      </c>
    </row>
    <row r="2675" spans="1:19" ht="15.75" customHeight="1" x14ac:dyDescent="0.25">
      <c r="A2675" s="6" t="s">
        <v>1975</v>
      </c>
      <c r="B2675" s="6">
        <v>447</v>
      </c>
      <c r="C2675" s="6">
        <v>98780042</v>
      </c>
      <c r="D2675" s="6" t="s">
        <v>8538</v>
      </c>
      <c r="E2675" s="6" t="s">
        <v>3822</v>
      </c>
      <c r="F2675" s="6" t="s">
        <v>8539</v>
      </c>
      <c r="G2675" s="6">
        <v>136019</v>
      </c>
      <c r="H2675" s="6" t="s">
        <v>8540</v>
      </c>
      <c r="I2675" s="6">
        <v>443</v>
      </c>
      <c r="J2675" s="6" t="s">
        <v>23</v>
      </c>
      <c r="K2675" s="6" t="s">
        <v>24</v>
      </c>
      <c r="L2675" s="6">
        <v>120000000</v>
      </c>
      <c r="M2675" s="6">
        <v>2011</v>
      </c>
      <c r="N2675" s="6">
        <v>5.8</v>
      </c>
      <c r="O2675" s="4">
        <f ca="1">IFERROR(__xludf.DUMMYFUNCTION("IF(Cost_in_dollars!E2675=""USD"",Cost_in_dollars!B2675,Cost_in_dollars!B2675 * GOOGLEFINANCE(""CURRENCY:"" &amp; Cost_in_dollars!E2675 &amp; ""USD""))
"),120000000)</f>
        <v>120000000</v>
      </c>
      <c r="P2675" s="4">
        <f ca="1">IFERROR(__xludf.DUMMYFUNCTION("IF(Cost_in_dollars!E2675=""USD"",Cost_in_dollars!C2675,Cost_in_dollars!C2675 * GOOGLEFINANCE(""CURRENCY:"" &amp; Cost_in_dollars!E2675 &amp; ""USD""))
"),98780042)</f>
        <v>98780042</v>
      </c>
      <c r="Q2675" s="6">
        <f t="shared" ca="1" si="60"/>
        <v>-21219958</v>
      </c>
      <c r="R2675" s="7" t="str">
        <f t="shared" si="61"/>
        <v>The Green Hornet</v>
      </c>
      <c r="S2675" s="43" t="str">
        <f t="shared" si="63"/>
        <v>Action</v>
      </c>
    </row>
    <row r="2676" spans="1:19" ht="15.75" customHeight="1" x14ac:dyDescent="0.25">
      <c r="A2676" s="4" t="s">
        <v>1098</v>
      </c>
      <c r="B2676" s="4">
        <v>109</v>
      </c>
      <c r="C2676" s="4">
        <v>32616869</v>
      </c>
      <c r="D2676" s="4" t="s">
        <v>5432</v>
      </c>
      <c r="E2676" s="4" t="s">
        <v>2547</v>
      </c>
      <c r="F2676" s="4" t="s">
        <v>8541</v>
      </c>
      <c r="G2676" s="4">
        <v>34435</v>
      </c>
      <c r="H2676" s="4" t="s">
        <v>8542</v>
      </c>
      <c r="I2676" s="4">
        <v>346</v>
      </c>
      <c r="J2676" s="4" t="s">
        <v>23</v>
      </c>
      <c r="K2676" s="4" t="s">
        <v>24</v>
      </c>
      <c r="L2676" s="4">
        <v>72000000</v>
      </c>
      <c r="M2676" s="4">
        <v>2001</v>
      </c>
      <c r="N2676" s="4">
        <v>4.5</v>
      </c>
      <c r="O2676" s="4">
        <f ca="1">IFERROR(__xludf.DUMMYFUNCTION("IF(Cost_in_dollars!E2676=""USD"",Cost_in_dollars!B2676,Cost_in_dollars!B2676 * GOOGLEFINANCE(""CURRENCY:"" &amp; Cost_in_dollars!E2676 &amp; ""USD""))
"),72000000)</f>
        <v>72000000</v>
      </c>
      <c r="P2676" s="4">
        <f ca="1">IFERROR(__xludf.DUMMYFUNCTION("IF(Cost_in_dollars!E2676=""USD"",Cost_in_dollars!C2676,Cost_in_dollars!C2676 * GOOGLEFINANCE(""CURRENCY:"" &amp; Cost_in_dollars!E2676 &amp; ""USD""))
"),32616869)</f>
        <v>32616869</v>
      </c>
      <c r="Q2676" s="4">
        <f t="shared" ca="1" si="60"/>
        <v>-39383131</v>
      </c>
      <c r="R2676" s="5" t="str">
        <f t="shared" si="61"/>
        <v>Driven</v>
      </c>
      <c r="S2676" s="43" t="str">
        <f t="shared" si="63"/>
        <v>Action</v>
      </c>
    </row>
    <row r="2677" spans="1:19" ht="15.75" customHeight="1" x14ac:dyDescent="0.25">
      <c r="A2677" s="6" t="s">
        <v>2617</v>
      </c>
      <c r="B2677" s="6">
        <v>279</v>
      </c>
      <c r="C2677" s="6">
        <v>9483821</v>
      </c>
      <c r="D2677" s="6" t="s">
        <v>1099</v>
      </c>
      <c r="E2677" s="6" t="s">
        <v>2547</v>
      </c>
      <c r="F2677" s="6" t="s">
        <v>8543</v>
      </c>
      <c r="G2677" s="6">
        <v>39247</v>
      </c>
      <c r="H2677" s="6" t="s">
        <v>8544</v>
      </c>
      <c r="I2677" s="6">
        <v>131</v>
      </c>
      <c r="J2677" s="6" t="s">
        <v>23</v>
      </c>
      <c r="K2677" s="6" t="s">
        <v>24</v>
      </c>
      <c r="L2677" s="6">
        <v>55000000</v>
      </c>
      <c r="M2677" s="6">
        <v>2012</v>
      </c>
      <c r="N2677" s="6">
        <v>5.7</v>
      </c>
      <c r="O2677" s="4">
        <f ca="1">IFERROR(__xludf.DUMMYFUNCTION("IF(Cost_in_dollars!E2677=""USD"",Cost_in_dollars!B2677,Cost_in_dollars!B2677 * GOOGLEFINANCE(""CURRENCY:"" &amp; Cost_in_dollars!E2677 &amp; ""USD""))
"),55000000)</f>
        <v>55000000</v>
      </c>
      <c r="P2677" s="4">
        <f ca="1">IFERROR(__xludf.DUMMYFUNCTION("IF(Cost_in_dollars!E2677=""USD"",Cost_in_dollars!C2677,Cost_in_dollars!C2677 * GOOGLEFINANCE(""CURRENCY:"" &amp; Cost_in_dollars!E2677 &amp; ""USD""))
"),9483821)</f>
        <v>9483821</v>
      </c>
      <c r="Q2677" s="6">
        <f t="shared" ca="1" si="60"/>
        <v>-45516179</v>
      </c>
      <c r="R2677" s="7" t="str">
        <f t="shared" si="61"/>
        <v>Bullet to the Head</v>
      </c>
      <c r="S2677" s="43" t="str">
        <f t="shared" si="63"/>
        <v>Action</v>
      </c>
    </row>
    <row r="2678" spans="1:19" ht="15.75" customHeight="1" x14ac:dyDescent="0.25">
      <c r="A2678" s="4" t="s">
        <v>675</v>
      </c>
      <c r="B2678" s="4">
        <v>83</v>
      </c>
      <c r="C2678" s="4">
        <v>65500000</v>
      </c>
      <c r="D2678" s="4" t="s">
        <v>813</v>
      </c>
      <c r="E2678" s="4" t="s">
        <v>640</v>
      </c>
      <c r="F2678" s="4" t="s">
        <v>8545</v>
      </c>
      <c r="G2678" s="4">
        <v>66966</v>
      </c>
      <c r="H2678" s="4" t="s">
        <v>8546</v>
      </c>
      <c r="I2678" s="4">
        <v>175</v>
      </c>
      <c r="J2678" s="4" t="s">
        <v>23</v>
      </c>
      <c r="K2678" s="4" t="s">
        <v>24</v>
      </c>
      <c r="L2678" s="4">
        <v>12000000</v>
      </c>
      <c r="M2678" s="4">
        <v>1985</v>
      </c>
      <c r="N2678" s="4">
        <v>7.4</v>
      </c>
      <c r="O2678" s="4">
        <f ca="1">IFERROR(__xludf.DUMMYFUNCTION("IF(Cost_in_dollars!E2678=""USD"",Cost_in_dollars!B2678,Cost_in_dollars!B2678 * GOOGLEFINANCE(""CURRENCY:"" &amp; Cost_in_dollars!E2678 &amp; ""USD""))
"),12000000)</f>
        <v>12000000</v>
      </c>
      <c r="P2678" s="4">
        <f ca="1">IFERROR(__xludf.DUMMYFUNCTION("IF(Cost_in_dollars!E2678=""USD"",Cost_in_dollars!C2678,Cost_in_dollars!C2678 * GOOGLEFINANCE(""CURRENCY:"" &amp; Cost_in_dollars!E2678 &amp; ""USD""))
"),65500000)</f>
        <v>65500000</v>
      </c>
      <c r="Q2678" s="4">
        <f t="shared" ca="1" si="60"/>
        <v>53500000</v>
      </c>
      <c r="R2678" s="5" t="str">
        <f t="shared" si="61"/>
        <v>Witness</v>
      </c>
      <c r="S2678" s="43" t="str">
        <f t="shared" si="63"/>
        <v>Crime</v>
      </c>
    </row>
    <row r="2679" spans="1:19" ht="15.75" customHeight="1" x14ac:dyDescent="0.25">
      <c r="A2679" s="6" t="s">
        <v>3979</v>
      </c>
      <c r="B2679" s="6">
        <v>192</v>
      </c>
      <c r="C2679" s="6">
        <v>866778</v>
      </c>
      <c r="D2679" s="6" t="s">
        <v>235</v>
      </c>
      <c r="E2679" s="6" t="s">
        <v>1091</v>
      </c>
      <c r="F2679" s="6" t="s">
        <v>8547</v>
      </c>
      <c r="G2679" s="6">
        <v>44208</v>
      </c>
      <c r="H2679" s="6" t="s">
        <v>8548</v>
      </c>
      <c r="I2679" s="6">
        <v>117</v>
      </c>
      <c r="J2679" s="6" t="s">
        <v>23</v>
      </c>
      <c r="K2679" s="6" t="s">
        <v>160</v>
      </c>
      <c r="L2679" s="6">
        <v>10000000</v>
      </c>
      <c r="M2679" s="6">
        <v>2007</v>
      </c>
      <c r="N2679" s="6">
        <v>6.7</v>
      </c>
      <c r="O2679" s="4">
        <f ca="1">IFERROR(__xludf.DUMMYFUNCTION("IF(Cost_in_dollars!E2679=""USD"",Cost_in_dollars!B2679,Cost_in_dollars!B2679 * GOOGLEFINANCE(""CURRENCY:"" &amp; Cost_in_dollars!E2679 &amp; ""USD""))
"),1280943)</f>
        <v>1280943</v>
      </c>
      <c r="P2679" s="4">
        <f ca="1">IFERROR(__xludf.DUMMYFUNCTION("IF(Cost_in_dollars!E2679=""USD"",Cost_in_dollars!C2679,Cost_in_dollars!C2679 * GOOGLEFINANCE(""CURRENCY:"" &amp; Cost_in_dollars!E2679 &amp; ""USD""))
"),111029.321165399)</f>
        <v>111029.321165399</v>
      </c>
      <c r="Q2679" s="6">
        <f t="shared" ca="1" si="60"/>
        <v>-1169913.6788346011</v>
      </c>
      <c r="R2679" s="7" t="str">
        <f t="shared" si="61"/>
        <v>My Blueberry Nights</v>
      </c>
      <c r="S2679" s="43" t="str">
        <f t="shared" si="63"/>
        <v>Drama</v>
      </c>
    </row>
    <row r="2680" spans="1:19" ht="15.75" customHeight="1" x14ac:dyDescent="0.25">
      <c r="A2680" s="4" t="s">
        <v>2660</v>
      </c>
      <c r="B2680" s="4">
        <v>77</v>
      </c>
      <c r="C2680" s="4">
        <v>26400000</v>
      </c>
      <c r="D2680" s="4" t="s">
        <v>281</v>
      </c>
      <c r="E2680" s="4" t="s">
        <v>8343</v>
      </c>
      <c r="F2680" s="4" t="s">
        <v>8549</v>
      </c>
      <c r="G2680" s="4">
        <v>62009</v>
      </c>
      <c r="H2680" s="4" t="s">
        <v>8550</v>
      </c>
      <c r="I2680" s="4">
        <v>109</v>
      </c>
      <c r="J2680" s="4" t="s">
        <v>23</v>
      </c>
      <c r="K2680" s="4" t="s">
        <v>24</v>
      </c>
      <c r="L2680" s="4">
        <v>18000000</v>
      </c>
      <c r="M2680" s="4">
        <v>1984</v>
      </c>
      <c r="N2680" s="4">
        <v>5.8</v>
      </c>
      <c r="O2680" s="4">
        <f ca="1">IFERROR(__xludf.DUMMYFUNCTION("IF(Cost_in_dollars!E2680=""USD"",Cost_in_dollars!B2680,Cost_in_dollars!B2680 * GOOGLEFINANCE(""CURRENCY:"" &amp; Cost_in_dollars!E2680 &amp; ""USD""))
"),18000000)</f>
        <v>18000000</v>
      </c>
      <c r="P2680" s="4">
        <f ca="1">IFERROR(__xludf.DUMMYFUNCTION("IF(Cost_in_dollars!E2680=""USD"",Cost_in_dollars!C2680,Cost_in_dollars!C2680 * GOOGLEFINANCE(""CURRENCY:"" &amp; Cost_in_dollars!E2680 &amp; ""USD""))
"),26400000)</f>
        <v>26400000</v>
      </c>
      <c r="Q2680" s="4">
        <f t="shared" ca="1" si="60"/>
        <v>8400000</v>
      </c>
      <c r="R2680" s="5" t="str">
        <f t="shared" si="61"/>
        <v>Conan the Destroyer</v>
      </c>
      <c r="S2680" s="43" t="str">
        <f t="shared" si="63"/>
        <v>Action</v>
      </c>
    </row>
    <row r="2681" spans="1:19" ht="15.75" customHeight="1" x14ac:dyDescent="0.25">
      <c r="A2681" s="6" t="s">
        <v>4179</v>
      </c>
      <c r="B2681" s="6">
        <v>198</v>
      </c>
      <c r="C2681" s="6">
        <v>181166115</v>
      </c>
      <c r="D2681" s="6" t="s">
        <v>797</v>
      </c>
      <c r="E2681" s="6" t="s">
        <v>8551</v>
      </c>
      <c r="F2681" s="6" t="s">
        <v>8552</v>
      </c>
      <c r="G2681" s="6">
        <v>219501</v>
      </c>
      <c r="H2681" s="6" t="s">
        <v>8553</v>
      </c>
      <c r="I2681" s="6">
        <v>1236</v>
      </c>
      <c r="J2681" s="6" t="s">
        <v>23</v>
      </c>
      <c r="K2681" s="6" t="s">
        <v>24</v>
      </c>
      <c r="L2681" s="6">
        <v>93000000</v>
      </c>
      <c r="M2681" s="6">
        <v>2001</v>
      </c>
      <c r="N2681" s="6">
        <v>5.9</v>
      </c>
      <c r="O2681" s="4">
        <f ca="1">IFERROR(__xludf.DUMMYFUNCTION("IF(Cost_in_dollars!E2681=""USD"",Cost_in_dollars!B2681,Cost_in_dollars!B2681 * GOOGLEFINANCE(""CURRENCY:"" &amp; Cost_in_dollars!E2681 &amp; ""USD""))
"),93000000)</f>
        <v>93000000</v>
      </c>
      <c r="P2681" s="4">
        <f ca="1">IFERROR(__xludf.DUMMYFUNCTION("IF(Cost_in_dollars!E2681=""USD"",Cost_in_dollars!C2681,Cost_in_dollars!C2681 * GOOGLEFINANCE(""CURRENCY:"" &amp; Cost_in_dollars!E2681 &amp; ""USD""))
"),181166115)</f>
        <v>181166115</v>
      </c>
      <c r="Q2681" s="6">
        <f t="shared" ca="1" si="60"/>
        <v>88166115</v>
      </c>
      <c r="R2681" s="7" t="str">
        <f t="shared" si="61"/>
        <v>Jurassic Park III</v>
      </c>
      <c r="S2681" s="43" t="str">
        <f t="shared" si="63"/>
        <v>Action</v>
      </c>
    </row>
    <row r="2682" spans="1:19" ht="15.75" customHeight="1" x14ac:dyDescent="0.25">
      <c r="A2682" s="4" t="s">
        <v>2994</v>
      </c>
      <c r="B2682" s="4">
        <v>193</v>
      </c>
      <c r="C2682" s="4">
        <v>47806295</v>
      </c>
      <c r="D2682" s="4" t="s">
        <v>93</v>
      </c>
      <c r="E2682" s="4" t="s">
        <v>8554</v>
      </c>
      <c r="F2682" s="4" t="s">
        <v>8555</v>
      </c>
      <c r="G2682" s="4">
        <v>87447</v>
      </c>
      <c r="H2682" s="4" t="s">
        <v>8556</v>
      </c>
      <c r="I2682" s="4">
        <v>371</v>
      </c>
      <c r="J2682" s="4" t="s">
        <v>23</v>
      </c>
      <c r="K2682" s="4" t="s">
        <v>24</v>
      </c>
      <c r="L2682" s="4">
        <v>43000000</v>
      </c>
      <c r="M2682" s="4">
        <v>2005</v>
      </c>
      <c r="N2682" s="4">
        <v>6.5</v>
      </c>
      <c r="O2682" s="4">
        <f ca="1">IFERROR(__xludf.DUMMYFUNCTION("IF(Cost_in_dollars!E2682=""USD"",Cost_in_dollars!B2682,Cost_in_dollars!B2682 * GOOGLEFINANCE(""CURRENCY:"" &amp; Cost_in_dollars!E2682 &amp; ""USD""))
"),43000000)</f>
        <v>43000000</v>
      </c>
      <c r="P2682" s="4">
        <f ca="1">IFERROR(__xludf.DUMMYFUNCTION("IF(Cost_in_dollars!E2682=""USD"",Cost_in_dollars!C2682,Cost_in_dollars!C2682 * GOOGLEFINANCE(""CURRENCY:"" &amp; Cost_in_dollars!E2682 &amp; ""USD""))
"),47806295)</f>
        <v>47806295</v>
      </c>
      <c r="Q2682" s="4">
        <f t="shared" ca="1" si="60"/>
        <v>4806295</v>
      </c>
      <c r="R2682" s="5" t="str">
        <f t="shared" si="61"/>
        <v>The Skeleton Key</v>
      </c>
      <c r="S2682" s="43" t="str">
        <f t="shared" si="63"/>
        <v>Horror</v>
      </c>
    </row>
    <row r="2683" spans="1:19" ht="15.75" customHeight="1" x14ac:dyDescent="0.25">
      <c r="A2683" s="6" t="s">
        <v>4696</v>
      </c>
      <c r="B2683" s="6">
        <v>153</v>
      </c>
      <c r="C2683" s="6">
        <v>26384919</v>
      </c>
      <c r="D2683" s="6" t="s">
        <v>102</v>
      </c>
      <c r="E2683" s="6" t="s">
        <v>593</v>
      </c>
      <c r="F2683" s="6" t="s">
        <v>8557</v>
      </c>
      <c r="G2683" s="6">
        <v>189032</v>
      </c>
      <c r="H2683" s="6" t="s">
        <v>8558</v>
      </c>
      <c r="I2683" s="6">
        <v>560</v>
      </c>
      <c r="J2683" s="6" t="s">
        <v>23</v>
      </c>
      <c r="K2683" s="6" t="s">
        <v>24</v>
      </c>
      <c r="L2683" s="6">
        <v>15000000</v>
      </c>
      <c r="M2683" s="6">
        <v>1997</v>
      </c>
      <c r="N2683" s="6">
        <v>7.9</v>
      </c>
      <c r="O2683" s="4">
        <f ca="1">IFERROR(__xludf.DUMMYFUNCTION("IF(Cost_in_dollars!E2683=""USD"",Cost_in_dollars!B2683,Cost_in_dollars!B2683 * GOOGLEFINANCE(""CURRENCY:"" &amp; Cost_in_dollars!E2683 &amp; ""USD""))
"),15000000)</f>
        <v>15000000</v>
      </c>
      <c r="P2683" s="4">
        <f ca="1">IFERROR(__xludf.DUMMYFUNCTION("IF(Cost_in_dollars!E2683=""USD"",Cost_in_dollars!C2683,Cost_in_dollars!C2683 * GOOGLEFINANCE(""CURRENCY:"" &amp; Cost_in_dollars!E2683 &amp; ""USD""))
"),26384919)</f>
        <v>26384919</v>
      </c>
      <c r="Q2683" s="6">
        <f t="shared" ca="1" si="60"/>
        <v>11384919</v>
      </c>
      <c r="R2683" s="7" t="str">
        <f t="shared" si="61"/>
        <v>Boogie Nights</v>
      </c>
      <c r="S2683" s="43" t="str">
        <f t="shared" si="63"/>
        <v>Drama</v>
      </c>
    </row>
    <row r="2684" spans="1:19" ht="15.75" customHeight="1" x14ac:dyDescent="0.25">
      <c r="A2684" s="4" t="s">
        <v>859</v>
      </c>
      <c r="B2684" s="4">
        <v>102</v>
      </c>
      <c r="C2684" s="4">
        <v>8396942</v>
      </c>
      <c r="D2684" s="4" t="s">
        <v>8559</v>
      </c>
      <c r="E2684" s="4" t="s">
        <v>8560</v>
      </c>
      <c r="F2684" s="4" t="s">
        <v>8561</v>
      </c>
      <c r="G2684" s="4">
        <v>72715</v>
      </c>
      <c r="H2684" s="4" t="s">
        <v>8562</v>
      </c>
      <c r="I2684" s="4">
        <v>103</v>
      </c>
      <c r="J2684" s="4" t="s">
        <v>23</v>
      </c>
      <c r="K2684" s="4" t="s">
        <v>24</v>
      </c>
      <c r="L2684" s="4">
        <v>19000000</v>
      </c>
      <c r="M2684" s="4">
        <v>2008</v>
      </c>
      <c r="N2684" s="4">
        <v>6.5</v>
      </c>
      <c r="O2684" s="4">
        <f ca="1">IFERROR(__xludf.DUMMYFUNCTION("IF(Cost_in_dollars!E2684=""USD"",Cost_in_dollars!B2684,Cost_in_dollars!B2684 * GOOGLEFINANCE(""CURRENCY:"" &amp; Cost_in_dollars!E2684 &amp; ""USD""))
"),19000000)</f>
        <v>19000000</v>
      </c>
      <c r="P2684" s="4">
        <f ca="1">IFERROR(__xludf.DUMMYFUNCTION("IF(Cost_in_dollars!E2684=""USD"",Cost_in_dollars!C2684,Cost_in_dollars!C2684 * GOOGLEFINANCE(""CURRENCY:"" &amp; Cost_in_dollars!E2684 &amp; ""USD""))
"),8396942)</f>
        <v>8396942</v>
      </c>
      <c r="Q2684" s="4">
        <f t="shared" ca="1" si="60"/>
        <v>-10603058</v>
      </c>
      <c r="R2684" s="5" t="str">
        <f t="shared" si="61"/>
        <v>Sex Drive</v>
      </c>
      <c r="S2684" s="43" t="str">
        <f t="shared" si="63"/>
        <v>Adventure</v>
      </c>
    </row>
    <row r="2685" spans="1:19" ht="15.75" customHeight="1" x14ac:dyDescent="0.25">
      <c r="A2685" s="6" t="s">
        <v>8563</v>
      </c>
      <c r="B2685" s="6">
        <v>39</v>
      </c>
      <c r="C2685" s="6">
        <v>886410</v>
      </c>
      <c r="D2685" s="6" t="s">
        <v>216</v>
      </c>
      <c r="E2685" s="6" t="s">
        <v>8564</v>
      </c>
      <c r="F2685" s="6" t="s">
        <v>8565</v>
      </c>
      <c r="G2685" s="6">
        <v>1024</v>
      </c>
      <c r="H2685" s="6" t="s">
        <v>8566</v>
      </c>
      <c r="I2685" s="6">
        <v>494</v>
      </c>
      <c r="J2685" s="6" t="s">
        <v>1569</v>
      </c>
      <c r="K2685" s="6" t="s">
        <v>1220</v>
      </c>
      <c r="L2685" s="6">
        <v>3500000</v>
      </c>
      <c r="M2685" s="6">
        <v>1998</v>
      </c>
      <c r="N2685" s="6">
        <v>6.8</v>
      </c>
      <c r="O2685" s="4">
        <f ca="1">IFERROR(__xludf.DUMMYFUNCTION("IF(Cost_in_dollars!E2685=""USD"",Cost_in_dollars!B2685,Cost_in_dollars!B2685 * GOOGLEFINANCE(""CURRENCY:"" &amp; Cost_in_dollars!E2685 &amp; ""USD""))
"),189716.415)</f>
        <v>189716.41500000001</v>
      </c>
      <c r="P2685" s="4">
        <f ca="1">IFERROR(__xludf.DUMMYFUNCTION("IF(Cost_in_dollars!E2685=""USD"",Cost_in_dollars!C2685,Cost_in_dollars!C2685 * GOOGLEFINANCE(""CURRENCY:"" &amp; Cost_in_dollars!E2685 &amp; ""USD""))
"),48047.5792629)</f>
        <v>48047.579262899999</v>
      </c>
      <c r="Q2685" s="6">
        <f t="shared" ca="1" si="60"/>
        <v>-141668.83573710002</v>
      </c>
      <c r="R2685" s="7" t="str">
        <f t="shared" si="61"/>
        <v>La otra conquista</v>
      </c>
      <c r="S2685" s="43" t="str">
        <f t="shared" si="63"/>
        <v>Drama</v>
      </c>
    </row>
    <row r="2686" spans="1:19" ht="15.75" customHeight="1" x14ac:dyDescent="0.25">
      <c r="A2686" s="4" t="s">
        <v>8567</v>
      </c>
      <c r="B2686" s="4">
        <v>218</v>
      </c>
      <c r="C2686" s="4">
        <v>12555230</v>
      </c>
      <c r="D2686" s="4" t="s">
        <v>2396</v>
      </c>
      <c r="E2686" s="4" t="s">
        <v>8568</v>
      </c>
      <c r="F2686" s="4" t="s">
        <v>8569</v>
      </c>
      <c r="G2686" s="4">
        <v>18566</v>
      </c>
      <c r="H2686" s="4" t="s">
        <v>8570</v>
      </c>
      <c r="I2686" s="4">
        <v>154</v>
      </c>
      <c r="J2686" s="4" t="s">
        <v>23</v>
      </c>
      <c r="K2686" s="4" t="s">
        <v>611</v>
      </c>
      <c r="L2686" s="4">
        <v>2000000</v>
      </c>
      <c r="M2686" s="4">
        <v>2011</v>
      </c>
      <c r="N2686" s="4">
        <v>5.3</v>
      </c>
      <c r="O2686" s="4">
        <f ca="1">IFERROR(__xludf.DUMMYFUNCTION("IF(Cost_in_dollars!E2686=""USD"",Cost_in_dollars!B2686,Cost_in_dollars!B2686 * GOOGLEFINANCE(""CURRENCY:"" &amp; Cost_in_dollars!E2686 &amp; ""USD""))
"),2169480)</f>
        <v>2169480</v>
      </c>
      <c r="P2686" s="4">
        <f ca="1">IFERROR(__xludf.DUMMYFUNCTION("IF(Cost_in_dollars!E2686=""USD"",Cost_in_dollars!C2686,Cost_in_dollars!C2686 * GOOGLEFINANCE(""CURRENCY:"" &amp; Cost_in_dollars!E2686 &amp; ""USD""))
"),13619160.1902)</f>
        <v>13619160.190199999</v>
      </c>
      <c r="Q2686" s="4">
        <f t="shared" ca="1" si="60"/>
        <v>11449680.190199999</v>
      </c>
      <c r="R2686" s="5" t="str">
        <f t="shared" si="61"/>
        <v>Silent House</v>
      </c>
      <c r="S2686" s="43" t="str">
        <f t="shared" si="63"/>
        <v>Drama</v>
      </c>
    </row>
    <row r="2687" spans="1:19" ht="15.75" customHeight="1" x14ac:dyDescent="0.25">
      <c r="A2687" s="6" t="s">
        <v>8571</v>
      </c>
      <c r="B2687" s="6">
        <v>143</v>
      </c>
      <c r="C2687" s="6">
        <v>424760</v>
      </c>
      <c r="D2687" s="6" t="s">
        <v>1238</v>
      </c>
      <c r="E2687" s="6" t="s">
        <v>8571</v>
      </c>
      <c r="F2687" s="6" t="s">
        <v>8572</v>
      </c>
      <c r="G2687" s="6">
        <v>72639</v>
      </c>
      <c r="H2687" s="6" t="s">
        <v>8573</v>
      </c>
      <c r="I2687" s="6">
        <v>371</v>
      </c>
      <c r="J2687" s="6" t="s">
        <v>23</v>
      </c>
      <c r="K2687" s="6" t="s">
        <v>24</v>
      </c>
      <c r="L2687" s="6">
        <v>7000</v>
      </c>
      <c r="M2687" s="6">
        <v>2004</v>
      </c>
      <c r="N2687" s="6">
        <v>7</v>
      </c>
      <c r="O2687" s="4">
        <f ca="1">IFERROR(__xludf.DUMMYFUNCTION("IF(Cost_in_dollars!E2687=""USD"",Cost_in_dollars!B2687,Cost_in_dollars!B2687 * GOOGLEFINANCE(""CURRENCY:"" &amp; Cost_in_dollars!E2687 &amp; ""USD""))
"),7000)</f>
        <v>7000</v>
      </c>
      <c r="P2687" s="4">
        <f ca="1">IFERROR(__xludf.DUMMYFUNCTION("IF(Cost_in_dollars!E2687=""USD"",Cost_in_dollars!C2687,Cost_in_dollars!C2687 * GOOGLEFINANCE(""CURRENCY:"" &amp; Cost_in_dollars!E2687 &amp; ""USD""))
"),424760)</f>
        <v>424760</v>
      </c>
      <c r="Q2687" s="6">
        <f t="shared" ca="1" si="60"/>
        <v>417760</v>
      </c>
      <c r="R2687" s="7" t="str">
        <f t="shared" si="61"/>
        <v>Primer</v>
      </c>
      <c r="S2687" s="43" t="str">
        <f t="shared" si="63"/>
        <v>Drama</v>
      </c>
    </row>
    <row r="2688" spans="1:19" ht="15.75" customHeight="1" x14ac:dyDescent="0.25">
      <c r="A2688" s="4" t="s">
        <v>653</v>
      </c>
      <c r="B2688" s="4">
        <v>31</v>
      </c>
      <c r="C2688" s="4">
        <v>53146000</v>
      </c>
      <c r="D2688" s="4" t="s">
        <v>116</v>
      </c>
      <c r="E2688" s="4" t="s">
        <v>1994</v>
      </c>
      <c r="F2688" s="4" t="s">
        <v>8574</v>
      </c>
      <c r="G2688" s="4">
        <v>9845</v>
      </c>
      <c r="H2688" s="4" t="s">
        <v>8575</v>
      </c>
      <c r="I2688" s="4">
        <v>77</v>
      </c>
      <c r="J2688" s="4" t="s">
        <v>23</v>
      </c>
      <c r="K2688" s="4" t="s">
        <v>24</v>
      </c>
      <c r="L2688" s="4">
        <v>20000000</v>
      </c>
      <c r="M2688" s="4">
        <v>1996</v>
      </c>
      <c r="N2688" s="4">
        <v>6.1</v>
      </c>
      <c r="O2688" s="4">
        <f ca="1">IFERROR(__xludf.DUMMYFUNCTION("IF(Cost_in_dollars!E2688=""USD"",Cost_in_dollars!B2688,Cost_in_dollars!B2688 * GOOGLEFINANCE(""CURRENCY:"" &amp; Cost_in_dollars!E2688 &amp; ""USD""))
"),20000000)</f>
        <v>20000000</v>
      </c>
      <c r="P2688" s="4">
        <f ca="1">IFERROR(__xludf.DUMMYFUNCTION("IF(Cost_in_dollars!E2688=""USD"",Cost_in_dollars!C2688,Cost_in_dollars!C2688 * GOOGLEFINANCE(""CURRENCY:"" &amp; Cost_in_dollars!E2688 &amp; ""USD""))
"),53146000)</f>
        <v>53146000</v>
      </c>
      <c r="Q2688" s="4">
        <f t="shared" ca="1" si="60"/>
        <v>33146000</v>
      </c>
      <c r="R2688" s="5" t="str">
        <f t="shared" si="61"/>
        <v>Eye for an Eye</v>
      </c>
      <c r="S2688" s="43" t="str">
        <f t="shared" si="63"/>
        <v>Crime</v>
      </c>
    </row>
    <row r="2689" spans="1:19" ht="15.75" customHeight="1" x14ac:dyDescent="0.25">
      <c r="A2689" s="6" t="s">
        <v>6312</v>
      </c>
      <c r="B2689" s="6">
        <v>192</v>
      </c>
      <c r="C2689" s="6">
        <v>5501940</v>
      </c>
      <c r="D2689" s="6" t="s">
        <v>3625</v>
      </c>
      <c r="E2689" s="6" t="s">
        <v>2462</v>
      </c>
      <c r="F2689" s="6" t="s">
        <v>8576</v>
      </c>
      <c r="G2689" s="6">
        <v>248354</v>
      </c>
      <c r="H2689" s="6" t="s">
        <v>8577</v>
      </c>
      <c r="I2689" s="6">
        <v>564</v>
      </c>
      <c r="J2689" s="6" t="s">
        <v>1045</v>
      </c>
      <c r="K2689" s="6" t="s">
        <v>176</v>
      </c>
      <c r="L2689" s="6">
        <v>13500000</v>
      </c>
      <c r="M2689" s="6">
        <v>2004</v>
      </c>
      <c r="N2689" s="6">
        <v>8.3000000000000007</v>
      </c>
      <c r="O2689" s="4">
        <f ca="1">IFERROR(__xludf.DUMMYFUNCTION("IF(Cost_in_dollars!E2689=""USD"",Cost_in_dollars!B2689,Cost_in_dollars!B2689 * GOOGLEFINANCE(""CURRENCY:"" &amp; Cost_in_dollars!E2689 &amp; ""USD""))
"),14643990)</f>
        <v>14643990</v>
      </c>
      <c r="P2689" s="4">
        <f ca="1">IFERROR(__xludf.DUMMYFUNCTION("IF(Cost_in_dollars!E2689=""USD"",Cost_in_dollars!C2689,Cost_in_dollars!C2689 * GOOGLEFINANCE(""CURRENCY:"" &amp; Cost_in_dollars!E2689 &amp; ""USD""))
"),5968174.3956)</f>
        <v>5968174.3956000004</v>
      </c>
      <c r="Q2689" s="6">
        <f t="shared" ca="1" si="60"/>
        <v>-8675815.6043999996</v>
      </c>
      <c r="R2689" s="7" t="str">
        <f t="shared" si="61"/>
        <v>Downfall</v>
      </c>
      <c r="S2689" s="43" t="str">
        <f t="shared" si="63"/>
        <v>Biography</v>
      </c>
    </row>
    <row r="2690" spans="1:19" ht="15.75" customHeight="1" x14ac:dyDescent="0.25">
      <c r="A2690" s="4" t="s">
        <v>4026</v>
      </c>
      <c r="B2690" s="4">
        <v>88</v>
      </c>
      <c r="C2690" s="4">
        <v>18882880</v>
      </c>
      <c r="D2690" s="4" t="s">
        <v>457</v>
      </c>
      <c r="E2690" s="4" t="s">
        <v>1986</v>
      </c>
      <c r="F2690" s="4" t="s">
        <v>8578</v>
      </c>
      <c r="G2690" s="4">
        <v>20539</v>
      </c>
      <c r="H2690" s="4" t="s">
        <v>8579</v>
      </c>
      <c r="I2690" s="4">
        <v>125</v>
      </c>
      <c r="J2690" s="4" t="s">
        <v>23</v>
      </c>
      <c r="K2690" s="4" t="s">
        <v>24</v>
      </c>
      <c r="L2690" s="4">
        <v>20000000</v>
      </c>
      <c r="M2690" s="4">
        <v>2007</v>
      </c>
      <c r="N2690" s="4">
        <v>5.9</v>
      </c>
      <c r="O2690" s="4">
        <f ca="1">IFERROR(__xludf.DUMMYFUNCTION("IF(Cost_in_dollars!E2690=""USD"",Cost_in_dollars!B2690,Cost_in_dollars!B2690 * GOOGLEFINANCE(""CURRENCY:"" &amp; Cost_in_dollars!E2690 &amp; ""USD""))
"),20000000)</f>
        <v>20000000</v>
      </c>
      <c r="P2690" s="4">
        <f ca="1">IFERROR(__xludf.DUMMYFUNCTION("IF(Cost_in_dollars!E2690=""USD"",Cost_in_dollars!C2690,Cost_in_dollars!C2690 * GOOGLEFINANCE(""CURRENCY:"" &amp; Cost_in_dollars!E2690 &amp; ""USD""))
"),18882880)</f>
        <v>18882880</v>
      </c>
      <c r="Q2690" s="4">
        <f t="shared" ca="1" si="60"/>
        <v>-1117120</v>
      </c>
      <c r="R2690" s="5" t="str">
        <f t="shared" si="61"/>
        <v>Georgia Rule</v>
      </c>
      <c r="S2690" s="43" t="str">
        <f t="shared" ref="S2690:S2753" si="64">IF(ISNUMBER(FIND("|", D2690)), LEFT(D2690, FIND("|", D2690) - 1), D2690)</f>
        <v>Comedy</v>
      </c>
    </row>
    <row r="2691" spans="1:19" ht="15.75" customHeight="1" x14ac:dyDescent="0.25">
      <c r="A2691" s="6" t="s">
        <v>2271</v>
      </c>
      <c r="B2691" s="6">
        <v>183</v>
      </c>
      <c r="C2691" s="6">
        <v>68558662</v>
      </c>
      <c r="D2691" s="6" t="s">
        <v>1259</v>
      </c>
      <c r="E2691" s="6" t="s">
        <v>2026</v>
      </c>
      <c r="F2691" s="6" t="s">
        <v>8580</v>
      </c>
      <c r="G2691" s="6">
        <v>86627</v>
      </c>
      <c r="H2691" s="6" t="s">
        <v>8581</v>
      </c>
      <c r="I2691" s="6">
        <v>204</v>
      </c>
      <c r="J2691" s="6" t="s">
        <v>23</v>
      </c>
      <c r="K2691" s="6" t="s">
        <v>24</v>
      </c>
      <c r="L2691" s="6">
        <v>90000000</v>
      </c>
      <c r="M2691" s="6">
        <v>2013</v>
      </c>
      <c r="N2691" s="6">
        <v>5.9</v>
      </c>
      <c r="O2691" s="4">
        <f ca="1">IFERROR(__xludf.DUMMYFUNCTION("IF(Cost_in_dollars!E2691=""USD"",Cost_in_dollars!B2691,Cost_in_dollars!B2691 * GOOGLEFINANCE(""CURRENCY:"" &amp; Cost_in_dollars!E2691 &amp; ""USD""))
"),90000000)</f>
        <v>90000000</v>
      </c>
      <c r="P2691" s="4">
        <f ca="1">IFERROR(__xludf.DUMMYFUNCTION("IF(Cost_in_dollars!E2691=""USD"",Cost_in_dollars!C2691,Cost_in_dollars!C2691 * GOOGLEFINANCE(""CURRENCY:"" &amp; Cost_in_dollars!E2691 &amp; ""USD""))
"),68558662)</f>
        <v>68558662</v>
      </c>
      <c r="Q2691" s="6">
        <f t="shared" ca="1" si="60"/>
        <v>-21441338</v>
      </c>
      <c r="R2691" s="7" t="str">
        <f t="shared" si="61"/>
        <v>Percy Jackson: Sea of Monsters</v>
      </c>
      <c r="S2691" s="43" t="str">
        <f t="shared" si="64"/>
        <v>Adventure</v>
      </c>
    </row>
    <row r="2692" spans="1:19" ht="15.75" customHeight="1" x14ac:dyDescent="0.25">
      <c r="A2692" s="4" t="s">
        <v>8582</v>
      </c>
      <c r="B2692" s="4">
        <v>189</v>
      </c>
      <c r="C2692" s="4">
        <v>22451</v>
      </c>
      <c r="D2692" s="4" t="s">
        <v>8583</v>
      </c>
      <c r="E2692" s="4" t="s">
        <v>1601</v>
      </c>
      <c r="F2692" s="4" t="s">
        <v>8584</v>
      </c>
      <c r="G2692" s="4">
        <v>41288</v>
      </c>
      <c r="H2692" s="4" t="s">
        <v>8585</v>
      </c>
      <c r="I2692" s="4">
        <v>126</v>
      </c>
      <c r="J2692" s="4" t="s">
        <v>23</v>
      </c>
      <c r="K2692" s="4" t="s">
        <v>24</v>
      </c>
      <c r="L2692" s="4">
        <v>60000000</v>
      </c>
      <c r="M2692" s="4">
        <v>2014</v>
      </c>
      <c r="N2692" s="4">
        <v>6.2</v>
      </c>
      <c r="O2692" s="4">
        <f ca="1">IFERROR(__xludf.DUMMYFUNCTION("IF(Cost_in_dollars!E2692=""USD"",Cost_in_dollars!B2692,Cost_in_dollars!B2692 * GOOGLEFINANCE(""CURRENCY:"" &amp; Cost_in_dollars!E2692 &amp; ""USD""))
"),60000000)</f>
        <v>60000000</v>
      </c>
      <c r="P2692" s="4">
        <f ca="1">IFERROR(__xludf.DUMMYFUNCTION("IF(Cost_in_dollars!E2692=""USD"",Cost_in_dollars!C2692,Cost_in_dollars!C2692 * GOOGLEFINANCE(""CURRENCY:"" &amp; Cost_in_dollars!E2692 &amp; ""USD""))
"),22451)</f>
        <v>22451</v>
      </c>
      <c r="Q2692" s="4">
        <f t="shared" ca="1" si="60"/>
        <v>-59977549</v>
      </c>
      <c r="R2692" s="5" t="str">
        <f t="shared" si="61"/>
        <v>Winter's Tale</v>
      </c>
      <c r="S2692" s="43" t="str">
        <f t="shared" si="64"/>
        <v>Drama</v>
      </c>
    </row>
    <row r="2693" spans="1:19" ht="15.75" customHeight="1" x14ac:dyDescent="0.25">
      <c r="A2693" s="6" t="s">
        <v>4010</v>
      </c>
      <c r="B2693" s="6">
        <v>99</v>
      </c>
      <c r="C2693" s="6">
        <v>52287414</v>
      </c>
      <c r="D2693" s="6" t="s">
        <v>895</v>
      </c>
      <c r="E2693" s="6" t="s">
        <v>8586</v>
      </c>
      <c r="F2693" s="6" t="s">
        <v>8587</v>
      </c>
      <c r="G2693" s="6">
        <v>271794</v>
      </c>
      <c r="H2693" s="6" t="s">
        <v>8588</v>
      </c>
      <c r="I2693" s="6">
        <v>584</v>
      </c>
      <c r="J2693" s="6" t="s">
        <v>23</v>
      </c>
      <c r="K2693" s="6" t="s">
        <v>24</v>
      </c>
      <c r="L2693" s="6">
        <v>8000000</v>
      </c>
      <c r="M2693" s="6">
        <v>1986</v>
      </c>
      <c r="N2693" s="6">
        <v>8.1</v>
      </c>
      <c r="O2693" s="4">
        <f ca="1">IFERROR(__xludf.DUMMYFUNCTION("IF(Cost_in_dollars!E2693=""USD"",Cost_in_dollars!B2693,Cost_in_dollars!B2693 * GOOGLEFINANCE(""CURRENCY:"" &amp; Cost_in_dollars!E2693 &amp; ""USD""))
"),8000000)</f>
        <v>8000000</v>
      </c>
      <c r="P2693" s="4">
        <f ca="1">IFERROR(__xludf.DUMMYFUNCTION("IF(Cost_in_dollars!E2693=""USD"",Cost_in_dollars!C2693,Cost_in_dollars!C2693 * GOOGLEFINANCE(""CURRENCY:"" &amp; Cost_in_dollars!E2693 &amp; ""USD""))
"),52287414)</f>
        <v>52287414</v>
      </c>
      <c r="Q2693" s="6">
        <f t="shared" ca="1" si="60"/>
        <v>44287414</v>
      </c>
      <c r="R2693" s="7" t="str">
        <f t="shared" si="61"/>
        <v>Stand by Me</v>
      </c>
      <c r="S2693" s="43" t="str">
        <f t="shared" si="64"/>
        <v>Adventure</v>
      </c>
    </row>
    <row r="2694" spans="1:19" ht="15.75" customHeight="1" x14ac:dyDescent="0.25">
      <c r="A2694" s="4" t="s">
        <v>8589</v>
      </c>
      <c r="B2694" s="4">
        <v>181</v>
      </c>
      <c r="C2694" s="4">
        <v>5004648</v>
      </c>
      <c r="D2694" s="4" t="s">
        <v>235</v>
      </c>
      <c r="E2694" s="4" t="s">
        <v>8590</v>
      </c>
      <c r="F2694" s="4" t="s">
        <v>8591</v>
      </c>
      <c r="G2694" s="4">
        <v>14031</v>
      </c>
      <c r="H2694" s="4" t="s">
        <v>8592</v>
      </c>
      <c r="I2694" s="4">
        <v>114</v>
      </c>
      <c r="J2694" s="4" t="s">
        <v>40</v>
      </c>
      <c r="K2694" s="4" t="s">
        <v>41</v>
      </c>
      <c r="L2694" s="4">
        <v>10000000</v>
      </c>
      <c r="M2694" s="4">
        <v>2009</v>
      </c>
      <c r="N2694" s="4">
        <v>7</v>
      </c>
      <c r="O2694" s="4">
        <f ca="1">IFERROR(__xludf.DUMMYFUNCTION("IF(Cost_in_dollars!E2694=""USD"",Cost_in_dollars!B2694,Cost_in_dollars!B2694 * GOOGLEFINANCE(""CURRENCY:"" &amp; Cost_in_dollars!E2694 &amp; ""USD""))
"),10847400)</f>
        <v>10847400</v>
      </c>
      <c r="P2694" s="4">
        <f ca="1">IFERROR(__xludf.DUMMYFUNCTION("IF(Cost_in_dollars!E2694=""USD"",Cost_in_dollars!C2694,Cost_in_dollars!C2694 * GOOGLEFINANCE(""CURRENCY:"" &amp; Cost_in_dollars!E2694 &amp; ""USD""))
"),5428741.87152)</f>
        <v>5428741.8715199996</v>
      </c>
      <c r="Q2694" s="4">
        <f t="shared" ca="1" si="60"/>
        <v>-5418658.1284800004</v>
      </c>
      <c r="R2694" s="5" t="str">
        <f t="shared" si="61"/>
        <v>I Am Love</v>
      </c>
      <c r="S2694" s="43" t="str">
        <f t="shared" si="64"/>
        <v>Drama</v>
      </c>
    </row>
    <row r="2695" spans="1:19" ht="15.75" customHeight="1" x14ac:dyDescent="0.25">
      <c r="A2695" s="6" t="s">
        <v>8593</v>
      </c>
      <c r="B2695" s="6">
        <v>29</v>
      </c>
      <c r="C2695" s="6">
        <v>12200000</v>
      </c>
      <c r="D2695" s="6" t="s">
        <v>5513</v>
      </c>
      <c r="E2695" s="6" t="s">
        <v>4359</v>
      </c>
      <c r="F2695" s="6" t="s">
        <v>8594</v>
      </c>
      <c r="G2695" s="6">
        <v>7973</v>
      </c>
      <c r="H2695" s="6" t="s">
        <v>8595</v>
      </c>
      <c r="I2695" s="6">
        <v>65</v>
      </c>
      <c r="J2695" s="6" t="s">
        <v>23</v>
      </c>
      <c r="K2695" s="6" t="s">
        <v>24</v>
      </c>
      <c r="L2695" s="6">
        <v>5000000</v>
      </c>
      <c r="M2695" s="6">
        <v>1983</v>
      </c>
      <c r="N2695" s="6">
        <v>6.3</v>
      </c>
      <c r="O2695" s="4">
        <f ca="1">IFERROR(__xludf.DUMMYFUNCTION("IF(Cost_in_dollars!E2695=""USD"",Cost_in_dollars!B2695,Cost_in_dollars!B2695 * GOOGLEFINANCE(""CURRENCY:"" &amp; Cost_in_dollars!E2695 &amp; ""USD""))
"),5000000)</f>
        <v>5000000</v>
      </c>
      <c r="P2695" s="4">
        <f ca="1">IFERROR(__xludf.DUMMYFUNCTION("IF(Cost_in_dollars!E2695=""USD"",Cost_in_dollars!C2695,Cost_in_dollars!C2695 * GOOGLEFINANCE(""CURRENCY:"" &amp; Cost_in_dollars!E2695 &amp; ""USD""))
"),12200000)</f>
        <v>12200000</v>
      </c>
      <c r="Q2695" s="6">
        <f t="shared" ca="1" si="60"/>
        <v>7200000</v>
      </c>
      <c r="R2695" s="7" t="str">
        <f t="shared" si="61"/>
        <v>Lone Wolf McQuade</v>
      </c>
      <c r="S2695" s="43" t="str">
        <f t="shared" si="64"/>
        <v>Action</v>
      </c>
    </row>
    <row r="2696" spans="1:19" ht="15.75" customHeight="1" x14ac:dyDescent="0.25">
      <c r="A2696" s="4" t="s">
        <v>8596</v>
      </c>
      <c r="B2696" s="4">
        <v>57</v>
      </c>
      <c r="C2696" s="4">
        <v>49797148</v>
      </c>
      <c r="D2696" s="4" t="s">
        <v>3417</v>
      </c>
      <c r="E2696" s="4" t="s">
        <v>6091</v>
      </c>
      <c r="F2696" s="4" t="s">
        <v>8597</v>
      </c>
      <c r="G2696" s="4">
        <v>49007</v>
      </c>
      <c r="H2696" s="4" t="s">
        <v>8598</v>
      </c>
      <c r="I2696" s="4">
        <v>97</v>
      </c>
      <c r="J2696" s="4" t="s">
        <v>23</v>
      </c>
      <c r="K2696" s="4" t="s">
        <v>24</v>
      </c>
      <c r="L2696" s="4">
        <v>11000000</v>
      </c>
      <c r="M2696" s="4">
        <v>1989</v>
      </c>
      <c r="N2696" s="4">
        <v>7.2</v>
      </c>
      <c r="O2696" s="4">
        <f ca="1">IFERROR(__xludf.DUMMYFUNCTION("IF(Cost_in_dollars!E2696=""USD"",Cost_in_dollars!B2696,Cost_in_dollars!B2696 * GOOGLEFINANCE(""CURRENCY:"" &amp; Cost_in_dollars!E2696 &amp; ""USD""))
"),11000000)</f>
        <v>11000000</v>
      </c>
      <c r="P2696" s="4">
        <f ca="1">IFERROR(__xludf.DUMMYFUNCTION("IF(Cost_in_dollars!E2696=""USD"",Cost_in_dollars!C2696,Cost_in_dollars!C2696 * GOOGLEFINANCE(""CURRENCY:"" &amp; Cost_in_dollars!E2696 &amp; ""USD""))
"),49797148)</f>
        <v>49797148</v>
      </c>
      <c r="Q2696" s="4">
        <f t="shared" ca="1" si="60"/>
        <v>38797148</v>
      </c>
      <c r="R2696" s="5" t="str">
        <f t="shared" si="61"/>
        <v>Major League</v>
      </c>
      <c r="S2696" s="43" t="str">
        <f t="shared" si="64"/>
        <v>Comedy</v>
      </c>
    </row>
    <row r="2697" spans="1:19" ht="15.75" customHeight="1" x14ac:dyDescent="0.25">
      <c r="A2697" s="6" t="s">
        <v>8599</v>
      </c>
      <c r="B2697" s="6">
        <v>49</v>
      </c>
      <c r="C2697" s="6">
        <v>28972187</v>
      </c>
      <c r="D2697" s="6" t="s">
        <v>140</v>
      </c>
      <c r="E2697" s="6" t="s">
        <v>3050</v>
      </c>
      <c r="F2697" s="6" t="s">
        <v>8600</v>
      </c>
      <c r="G2697" s="6">
        <v>28805</v>
      </c>
      <c r="H2697" s="6" t="s">
        <v>8601</v>
      </c>
      <c r="I2697" s="6">
        <v>159</v>
      </c>
      <c r="J2697" s="6" t="s">
        <v>23</v>
      </c>
      <c r="K2697" s="6" t="s">
        <v>24</v>
      </c>
      <c r="L2697" s="6">
        <v>13000000</v>
      </c>
      <c r="M2697" s="6">
        <v>2002</v>
      </c>
      <c r="N2697" s="6">
        <v>5.9</v>
      </c>
      <c r="O2697" s="4">
        <f ca="1">IFERROR(__xludf.DUMMYFUNCTION("IF(Cost_in_dollars!E2697=""USD"",Cost_in_dollars!B2697,Cost_in_dollars!B2697 * GOOGLEFINANCE(""CURRENCY:"" &amp; Cost_in_dollars!E2697 &amp; ""USD""))
"),13000000)</f>
        <v>13000000</v>
      </c>
      <c r="P2697" s="4">
        <f ca="1">IFERROR(__xludf.DUMMYFUNCTION("IF(Cost_in_dollars!E2697=""USD"",Cost_in_dollars!C2697,Cost_in_dollars!C2697 * GOOGLEFINANCE(""CURRENCY:"" &amp; Cost_in_dollars!E2697 &amp; ""USD""))
"),28972187)</f>
        <v>28972187</v>
      </c>
      <c r="Q2697" s="6">
        <f t="shared" ca="1" si="60"/>
        <v>15972187</v>
      </c>
      <c r="R2697" s="7" t="str">
        <f t="shared" si="61"/>
        <v>The New Guy</v>
      </c>
      <c r="S2697" s="43" t="str">
        <f t="shared" si="64"/>
        <v>Comedy</v>
      </c>
    </row>
    <row r="2698" spans="1:19" ht="15.75" customHeight="1" x14ac:dyDescent="0.25">
      <c r="A2698" s="4" t="s">
        <v>8602</v>
      </c>
      <c r="B2698" s="4">
        <v>112</v>
      </c>
      <c r="C2698" s="4">
        <v>3629758</v>
      </c>
      <c r="D2698" s="4" t="s">
        <v>421</v>
      </c>
      <c r="E2698" s="4" t="s">
        <v>8603</v>
      </c>
      <c r="F2698" s="4" t="s">
        <v>8604</v>
      </c>
      <c r="G2698" s="4">
        <v>44151</v>
      </c>
      <c r="H2698" s="4" t="s">
        <v>8605</v>
      </c>
      <c r="I2698" s="4">
        <v>110</v>
      </c>
      <c r="J2698" s="4" t="s">
        <v>661</v>
      </c>
      <c r="K2698" s="4" t="s">
        <v>611</v>
      </c>
      <c r="L2698" s="4">
        <v>5500000</v>
      </c>
      <c r="M2698" s="4">
        <v>2004</v>
      </c>
      <c r="N2698" s="4">
        <v>7.9</v>
      </c>
      <c r="O2698" s="4">
        <f ca="1">IFERROR(__xludf.DUMMYFUNCTION("IF(Cost_in_dollars!E2698=""USD"",Cost_in_dollars!B2698,Cost_in_dollars!B2698 * GOOGLEFINANCE(""CURRENCY:"" &amp; Cost_in_dollars!E2698 &amp; ""USD""))
"),5966070)</f>
        <v>5966070</v>
      </c>
      <c r="P2698" s="4">
        <f ca="1">IFERROR(__xludf.DUMMYFUNCTION("IF(Cost_in_dollars!E2698=""USD"",Cost_in_dollars!C2698,Cost_in_dollars!C2698 * GOOGLEFINANCE(""CURRENCY:"" &amp; Cost_in_dollars!E2698 &amp; ""USD""))
"),3937343.69292)</f>
        <v>3937343.6929199998</v>
      </c>
      <c r="Q2698" s="4">
        <f t="shared" ca="1" si="60"/>
        <v>-2028726.3070800002</v>
      </c>
      <c r="R2698" s="5" t="str">
        <f t="shared" si="61"/>
        <v>The Chorus</v>
      </c>
      <c r="S2698" s="43" t="str">
        <f t="shared" si="64"/>
        <v>Drama</v>
      </c>
    </row>
    <row r="2699" spans="1:19" ht="15.75" customHeight="1" x14ac:dyDescent="0.25">
      <c r="A2699" s="6" t="s">
        <v>8606</v>
      </c>
      <c r="B2699" s="6">
        <v>52</v>
      </c>
      <c r="C2699" s="6">
        <v>13235267</v>
      </c>
      <c r="D2699" s="6" t="s">
        <v>860</v>
      </c>
      <c r="E2699" s="6" t="s">
        <v>4248</v>
      </c>
      <c r="F2699" s="6" t="s">
        <v>8607</v>
      </c>
      <c r="G2699" s="6">
        <v>12339</v>
      </c>
      <c r="H2699" s="6" t="s">
        <v>8608</v>
      </c>
      <c r="I2699" s="6">
        <v>32</v>
      </c>
      <c r="J2699" s="6" t="s">
        <v>23</v>
      </c>
      <c r="K2699" s="6" t="s">
        <v>24</v>
      </c>
      <c r="L2699" s="6">
        <v>6000000</v>
      </c>
      <c r="M2699" s="6">
        <v>2007</v>
      </c>
      <c r="N2699" s="6">
        <v>2.9</v>
      </c>
      <c r="O2699" s="4">
        <f ca="1">IFERROR(__xludf.DUMMYFUNCTION("IF(Cost_in_dollars!E2699=""USD"",Cost_in_dollars!B2699,Cost_in_dollars!B2699 * GOOGLEFINANCE(""CURRENCY:"" &amp; Cost_in_dollars!E2699 &amp; ""USD""))
"),6000000)</f>
        <v>6000000</v>
      </c>
      <c r="P2699" s="4">
        <f ca="1">IFERROR(__xludf.DUMMYFUNCTION("IF(Cost_in_dollars!E2699=""USD"",Cost_in_dollars!C2699,Cost_in_dollars!C2699 * GOOGLEFINANCE(""CURRENCY:"" &amp; Cost_in_dollars!E2699 &amp; ""USD""))
"),13235267)</f>
        <v>13235267</v>
      </c>
      <c r="Q2699" s="6">
        <f t="shared" ca="1" si="60"/>
        <v>7235267</v>
      </c>
      <c r="R2699" s="7" t="str">
        <f t="shared" si="61"/>
        <v>Daddy Day Camp</v>
      </c>
      <c r="S2699" s="43" t="str">
        <f t="shared" si="64"/>
        <v>Comedy</v>
      </c>
    </row>
    <row r="2700" spans="1:19" ht="15.75" customHeight="1" x14ac:dyDescent="0.25">
      <c r="A2700" s="4" t="s">
        <v>8609</v>
      </c>
      <c r="B2700" s="4">
        <v>31</v>
      </c>
      <c r="C2700" s="4">
        <v>399793</v>
      </c>
      <c r="D2700" s="4" t="s">
        <v>102</v>
      </c>
      <c r="E2700" s="4" t="s">
        <v>7645</v>
      </c>
      <c r="F2700" s="4" t="s">
        <v>8610</v>
      </c>
      <c r="G2700" s="4">
        <v>2877</v>
      </c>
      <c r="H2700" s="4" t="s">
        <v>8611</v>
      </c>
      <c r="I2700" s="4">
        <v>70</v>
      </c>
      <c r="J2700" s="4" t="s">
        <v>23</v>
      </c>
      <c r="K2700" s="4" t="s">
        <v>24</v>
      </c>
      <c r="L2700" s="4">
        <v>4000000</v>
      </c>
      <c r="M2700" s="4">
        <v>1999</v>
      </c>
      <c r="N2700" s="4">
        <v>5.4</v>
      </c>
      <c r="O2700" s="4">
        <f ca="1">IFERROR(__xludf.DUMMYFUNCTION("IF(Cost_in_dollars!E2700=""USD"",Cost_in_dollars!B2700,Cost_in_dollars!B2700 * GOOGLEFINANCE(""CURRENCY:"" &amp; Cost_in_dollars!E2700 &amp; ""USD""))
"),4000000)</f>
        <v>4000000</v>
      </c>
      <c r="P2700" s="4">
        <f ca="1">IFERROR(__xludf.DUMMYFUNCTION("IF(Cost_in_dollars!E2700=""USD"",Cost_in_dollars!C2700,Cost_in_dollars!C2700 * GOOGLEFINANCE(""CURRENCY:"" &amp; Cost_in_dollars!E2700 &amp; ""USD""))
"),399793)</f>
        <v>399793</v>
      </c>
      <c r="Q2700" s="4">
        <f t="shared" ca="1" si="60"/>
        <v>-3600207</v>
      </c>
      <c r="R2700" s="5" t="str">
        <f t="shared" si="61"/>
        <v>The Loss of Sexual Innocence</v>
      </c>
      <c r="S2700" s="43" t="str">
        <f t="shared" si="64"/>
        <v>Drama</v>
      </c>
    </row>
    <row r="2701" spans="1:19" ht="15.75" customHeight="1" x14ac:dyDescent="0.25">
      <c r="A2701" s="6" t="s">
        <v>52</v>
      </c>
      <c r="B2701" s="6">
        <v>140</v>
      </c>
      <c r="C2701" s="6">
        <v>39647595</v>
      </c>
      <c r="D2701" s="6" t="s">
        <v>319</v>
      </c>
      <c r="E2701" s="6" t="s">
        <v>886</v>
      </c>
      <c r="F2701" s="6" t="s">
        <v>8612</v>
      </c>
      <c r="G2701" s="6">
        <v>239540</v>
      </c>
      <c r="H2701" s="6" t="s">
        <v>8613</v>
      </c>
      <c r="I2701" s="6">
        <v>462</v>
      </c>
      <c r="J2701" s="6" t="s">
        <v>23</v>
      </c>
      <c r="K2701" s="6" t="s">
        <v>24</v>
      </c>
      <c r="L2701" s="6">
        <v>12000000</v>
      </c>
      <c r="M2701" s="6">
        <v>1997</v>
      </c>
      <c r="N2701" s="6">
        <v>7.5</v>
      </c>
      <c r="O2701" s="4">
        <f ca="1">IFERROR(__xludf.DUMMYFUNCTION("IF(Cost_in_dollars!E2701=""USD"",Cost_in_dollars!B2701,Cost_in_dollars!B2701 * GOOGLEFINANCE(""CURRENCY:"" &amp; Cost_in_dollars!E2701 &amp; ""USD""))
"),12000000)</f>
        <v>12000000</v>
      </c>
      <c r="P2701" s="4">
        <f ca="1">IFERROR(__xludf.DUMMYFUNCTION("IF(Cost_in_dollars!E2701=""USD"",Cost_in_dollars!C2701,Cost_in_dollars!C2701 * GOOGLEFINANCE(""CURRENCY:"" &amp; Cost_in_dollars!E2701 &amp; ""USD""))
"),39647595)</f>
        <v>39647595</v>
      </c>
      <c r="Q2701" s="6">
        <f t="shared" ca="1" si="60"/>
        <v>27647595</v>
      </c>
      <c r="R2701" s="7" t="str">
        <f t="shared" si="61"/>
        <v>Jackie Brown</v>
      </c>
      <c r="S2701" s="43" t="str">
        <f t="shared" si="64"/>
        <v>Crime</v>
      </c>
    </row>
    <row r="2702" spans="1:19" ht="15.75" customHeight="1" x14ac:dyDescent="0.25">
      <c r="A2702" s="4" t="s">
        <v>8182</v>
      </c>
      <c r="B2702" s="4">
        <v>184</v>
      </c>
      <c r="C2702" s="4">
        <v>70001065</v>
      </c>
      <c r="D2702" s="4" t="s">
        <v>5825</v>
      </c>
      <c r="E2702" s="4" t="s">
        <v>8614</v>
      </c>
      <c r="F2702" s="4" t="s">
        <v>8615</v>
      </c>
      <c r="G2702" s="4">
        <v>191437</v>
      </c>
      <c r="H2702" s="4" t="s">
        <v>8616</v>
      </c>
      <c r="I2702" s="4">
        <v>582</v>
      </c>
      <c r="J2702" s="4" t="s">
        <v>23</v>
      </c>
      <c r="K2702" s="4" t="s">
        <v>24</v>
      </c>
      <c r="L2702" s="4">
        <v>45000000</v>
      </c>
      <c r="M2702" s="4">
        <v>1998</v>
      </c>
      <c r="N2702" s="4">
        <v>7.1</v>
      </c>
      <c r="O2702" s="4">
        <f ca="1">IFERROR(__xludf.DUMMYFUNCTION("IF(Cost_in_dollars!E2702=""USD"",Cost_in_dollars!B2702,Cost_in_dollars!B2702 * GOOGLEFINANCE(""CURRENCY:"" &amp; Cost_in_dollars!E2702 &amp; ""USD""))
"),45000000)</f>
        <v>45000000</v>
      </c>
      <c r="P2702" s="4">
        <f ca="1">IFERROR(__xludf.DUMMYFUNCTION("IF(Cost_in_dollars!E2702=""USD"",Cost_in_dollars!C2702,Cost_in_dollars!C2702 * GOOGLEFINANCE(""CURRENCY:"" &amp; Cost_in_dollars!E2702 &amp; ""USD""))
"),70001065)</f>
        <v>70001065</v>
      </c>
      <c r="Q2702" s="4">
        <f t="shared" ca="1" si="60"/>
        <v>25001065</v>
      </c>
      <c r="R2702" s="5" t="str">
        <f t="shared" si="61"/>
        <v>Blade</v>
      </c>
      <c r="S2702" s="43" t="str">
        <f t="shared" si="64"/>
        <v>Action</v>
      </c>
    </row>
    <row r="2703" spans="1:19" ht="15.75" customHeight="1" x14ac:dyDescent="0.25">
      <c r="A2703" s="6" t="s">
        <v>4298</v>
      </c>
      <c r="B2703" s="6">
        <v>183</v>
      </c>
      <c r="C2703" s="6">
        <v>118683135</v>
      </c>
      <c r="D2703" s="6" t="s">
        <v>162</v>
      </c>
      <c r="E2703" s="6" t="s">
        <v>508</v>
      </c>
      <c r="F2703" s="6" t="s">
        <v>8617</v>
      </c>
      <c r="G2703" s="6">
        <v>102167</v>
      </c>
      <c r="H2703" s="6" t="s">
        <v>8618</v>
      </c>
      <c r="I2703" s="6">
        <v>483</v>
      </c>
      <c r="J2703" s="6" t="s">
        <v>23</v>
      </c>
      <c r="K2703" s="6" t="s">
        <v>24</v>
      </c>
      <c r="L2703" s="6">
        <v>52000000</v>
      </c>
      <c r="M2703" s="6">
        <v>2006</v>
      </c>
      <c r="N2703" s="6">
        <v>5.8</v>
      </c>
      <c r="O2703" s="4">
        <f ca="1">IFERROR(__xludf.DUMMYFUNCTION("IF(Cost_in_dollars!E2703=""USD"",Cost_in_dollars!B2703,Cost_in_dollars!B2703 * GOOGLEFINANCE(""CURRENCY:"" &amp; Cost_in_dollars!E2703 &amp; ""USD""))
"),52000000)</f>
        <v>52000000</v>
      </c>
      <c r="P2703" s="4">
        <f ca="1">IFERROR(__xludf.DUMMYFUNCTION("IF(Cost_in_dollars!E2703=""USD"",Cost_in_dollars!C2703,Cost_in_dollars!C2703 * GOOGLEFINANCE(""CURRENCY:"" &amp; Cost_in_dollars!E2703 &amp; ""USD""))
"),118683135)</f>
        <v>118683135</v>
      </c>
      <c r="Q2703" s="6">
        <f t="shared" ca="1" si="60"/>
        <v>66683135</v>
      </c>
      <c r="R2703" s="7" t="str">
        <f t="shared" si="61"/>
        <v>The Break-Up</v>
      </c>
      <c r="S2703" s="43" t="str">
        <f t="shared" si="64"/>
        <v>Comedy</v>
      </c>
    </row>
    <row r="2704" spans="1:19" ht="15.75" customHeight="1" x14ac:dyDescent="0.25">
      <c r="A2704" s="4" t="s">
        <v>4310</v>
      </c>
      <c r="B2704" s="4">
        <v>51</v>
      </c>
      <c r="C2704" s="4">
        <v>192467</v>
      </c>
      <c r="D2704" s="4" t="s">
        <v>162</v>
      </c>
      <c r="E2704" s="4" t="s">
        <v>8619</v>
      </c>
      <c r="F2704" s="4" t="s">
        <v>8620</v>
      </c>
      <c r="G2704" s="4">
        <v>4067</v>
      </c>
      <c r="H2704" s="4" t="s">
        <v>8621</v>
      </c>
      <c r="I2704" s="4">
        <v>71</v>
      </c>
      <c r="J2704" s="4" t="s">
        <v>23</v>
      </c>
      <c r="K2704" s="4" t="s">
        <v>24</v>
      </c>
      <c r="L2704" s="4">
        <v>15000</v>
      </c>
      <c r="M2704" s="4">
        <v>2005</v>
      </c>
      <c r="N2704" s="4">
        <v>6.6</v>
      </c>
      <c r="O2704" s="4">
        <f ca="1">IFERROR(__xludf.DUMMYFUNCTION("IF(Cost_in_dollars!E2704=""USD"",Cost_in_dollars!B2704,Cost_in_dollars!B2704 * GOOGLEFINANCE(""CURRENCY:"" &amp; Cost_in_dollars!E2704 &amp; ""USD""))
"),15000)</f>
        <v>15000</v>
      </c>
      <c r="P2704" s="4">
        <f ca="1">IFERROR(__xludf.DUMMYFUNCTION("IF(Cost_in_dollars!E2704=""USD"",Cost_in_dollars!C2704,Cost_in_dollars!C2704 * GOOGLEFINANCE(""CURRENCY:"" &amp; Cost_in_dollars!E2704 &amp; ""USD""))
"),192467)</f>
        <v>192467</v>
      </c>
      <c r="Q2704" s="4">
        <f t="shared" ca="1" si="60"/>
        <v>177467</v>
      </c>
      <c r="R2704" s="5" t="str">
        <f t="shared" si="61"/>
        <v>The Puffy Chair</v>
      </c>
      <c r="S2704" s="43" t="str">
        <f t="shared" si="64"/>
        <v>Comedy</v>
      </c>
    </row>
    <row r="2705" spans="1:19" ht="15.75" customHeight="1" x14ac:dyDescent="0.25">
      <c r="A2705" s="6" t="s">
        <v>8622</v>
      </c>
      <c r="B2705" s="6">
        <v>238</v>
      </c>
      <c r="C2705" s="6">
        <v>100659</v>
      </c>
      <c r="D2705" s="6" t="s">
        <v>151</v>
      </c>
      <c r="E2705" s="6" t="s">
        <v>4935</v>
      </c>
      <c r="F2705" s="6" t="s">
        <v>8623</v>
      </c>
      <c r="G2705" s="6">
        <v>30160</v>
      </c>
      <c r="H2705" s="6" t="s">
        <v>8624</v>
      </c>
      <c r="I2705" s="6">
        <v>193</v>
      </c>
      <c r="J2705" s="6" t="s">
        <v>23</v>
      </c>
      <c r="K2705" s="6" t="s">
        <v>24</v>
      </c>
      <c r="L2705" s="6">
        <v>900000</v>
      </c>
      <c r="M2705" s="6">
        <v>2009</v>
      </c>
      <c r="N2705" s="6">
        <v>6.4</v>
      </c>
      <c r="O2705" s="4">
        <f ca="1">IFERROR(__xludf.DUMMYFUNCTION("IF(Cost_in_dollars!E2705=""USD"",Cost_in_dollars!B2705,Cost_in_dollars!B2705 * GOOGLEFINANCE(""CURRENCY:"" &amp; Cost_in_dollars!E2705 &amp; ""USD""))
"),900000)</f>
        <v>900000</v>
      </c>
      <c r="P2705" s="4">
        <f ca="1">IFERROR(__xludf.DUMMYFUNCTION("IF(Cost_in_dollars!E2705=""USD"",Cost_in_dollars!C2705,Cost_in_dollars!C2705 * GOOGLEFINANCE(""CURRENCY:"" &amp; Cost_in_dollars!E2705 &amp; ""USD""))
"),100659)</f>
        <v>100659</v>
      </c>
      <c r="Q2705" s="6">
        <f t="shared" ca="1" si="60"/>
        <v>-799341</v>
      </c>
      <c r="R2705" s="7" t="str">
        <f t="shared" si="61"/>
        <v>The House of the Devil</v>
      </c>
      <c r="S2705" s="43" t="str">
        <f t="shared" si="64"/>
        <v>Horror</v>
      </c>
    </row>
    <row r="2706" spans="1:19" ht="15.75" customHeight="1" x14ac:dyDescent="0.25">
      <c r="A2706" s="4" t="s">
        <v>345</v>
      </c>
      <c r="B2706" s="4">
        <v>62</v>
      </c>
      <c r="C2706" s="4">
        <v>6712451</v>
      </c>
      <c r="D2706" s="4" t="s">
        <v>88</v>
      </c>
      <c r="E2706" s="4" t="s">
        <v>8625</v>
      </c>
      <c r="F2706" s="4" t="s">
        <v>8626</v>
      </c>
      <c r="G2706" s="4">
        <v>4102</v>
      </c>
      <c r="H2706" s="4" t="s">
        <v>8627</v>
      </c>
      <c r="I2706" s="4">
        <v>89</v>
      </c>
      <c r="J2706" s="4" t="s">
        <v>23</v>
      </c>
      <c r="K2706" s="4" t="s">
        <v>24</v>
      </c>
      <c r="L2706" s="4">
        <v>90000000</v>
      </c>
      <c r="M2706" s="4">
        <v>2001</v>
      </c>
      <c r="N2706" s="4">
        <v>4.4000000000000004</v>
      </c>
      <c r="O2706" s="4">
        <f ca="1">IFERROR(__xludf.DUMMYFUNCTION("IF(Cost_in_dollars!E2706=""USD"",Cost_in_dollars!B2706,Cost_in_dollars!B2706 * GOOGLEFINANCE(""CURRENCY:"" &amp; Cost_in_dollars!E2706 &amp; ""USD""))
"),90000000)</f>
        <v>90000000</v>
      </c>
      <c r="P2706" s="4">
        <f ca="1">IFERROR(__xludf.DUMMYFUNCTION("IF(Cost_in_dollars!E2706=""USD"",Cost_in_dollars!C2706,Cost_in_dollars!C2706 * GOOGLEFINANCE(""CURRENCY:"" &amp; Cost_in_dollars!E2706 &amp; ""USD""))
"),6712451)</f>
        <v>6712451</v>
      </c>
      <c r="Q2706" s="4">
        <f t="shared" ca="1" si="60"/>
        <v>-83287549</v>
      </c>
      <c r="R2706" s="5" t="str">
        <f t="shared" si="61"/>
        <v>Town &amp; Country</v>
      </c>
      <c r="S2706" s="43" t="str">
        <f t="shared" si="64"/>
        <v>Comedy</v>
      </c>
    </row>
    <row r="2707" spans="1:19" ht="15.75" customHeight="1" x14ac:dyDescent="0.25">
      <c r="A2707" s="6" t="s">
        <v>192</v>
      </c>
      <c r="B2707" s="6">
        <v>174</v>
      </c>
      <c r="C2707" s="6">
        <v>88915214</v>
      </c>
      <c r="D2707" s="6" t="s">
        <v>88</v>
      </c>
      <c r="E2707" s="6" t="s">
        <v>833</v>
      </c>
      <c r="F2707" s="6" t="s">
        <v>8628</v>
      </c>
      <c r="G2707" s="6">
        <v>163665</v>
      </c>
      <c r="H2707" s="6" t="s">
        <v>8629</v>
      </c>
      <c r="I2707" s="6">
        <v>169</v>
      </c>
      <c r="J2707" s="6" t="s">
        <v>23</v>
      </c>
      <c r="K2707" s="6" t="s">
        <v>24</v>
      </c>
      <c r="L2707" s="6">
        <v>38000000</v>
      </c>
      <c r="M2707" s="6">
        <v>2009</v>
      </c>
      <c r="N2707" s="6">
        <v>6.5</v>
      </c>
      <c r="O2707" s="4">
        <f ca="1">IFERROR(__xludf.DUMMYFUNCTION("IF(Cost_in_dollars!E2707=""USD"",Cost_in_dollars!B2707,Cost_in_dollars!B2707 * GOOGLEFINANCE(""CURRENCY:"" &amp; Cost_in_dollars!E2707 &amp; ""USD""))
"),38000000)</f>
        <v>38000000</v>
      </c>
      <c r="P2707" s="4">
        <f ca="1">IFERROR(__xludf.DUMMYFUNCTION("IF(Cost_in_dollars!E2707=""USD"",Cost_in_dollars!C2707,Cost_in_dollars!C2707 * GOOGLEFINANCE(""CURRENCY:"" &amp; Cost_in_dollars!E2707 &amp; ""USD""))
"),88915214)</f>
        <v>88915214</v>
      </c>
      <c r="Q2707" s="6">
        <f t="shared" ca="1" si="60"/>
        <v>50915214</v>
      </c>
      <c r="R2707" s="7" t="str">
        <f t="shared" si="61"/>
        <v>The Ugly Truth</v>
      </c>
      <c r="S2707" s="43" t="str">
        <f t="shared" si="64"/>
        <v>Comedy</v>
      </c>
    </row>
    <row r="2708" spans="1:19" ht="15.75" customHeight="1" x14ac:dyDescent="0.25">
      <c r="A2708" s="4" t="s">
        <v>4438</v>
      </c>
      <c r="B2708" s="4">
        <v>97</v>
      </c>
      <c r="C2708" s="4">
        <v>11614236</v>
      </c>
      <c r="D2708" s="4" t="s">
        <v>140</v>
      </c>
      <c r="E2708" s="4" t="s">
        <v>1410</v>
      </c>
      <c r="F2708" s="4" t="s">
        <v>8630</v>
      </c>
      <c r="G2708" s="4">
        <v>9294</v>
      </c>
      <c r="H2708" s="4" t="s">
        <v>8631</v>
      </c>
      <c r="I2708" s="4">
        <v>140</v>
      </c>
      <c r="J2708" s="4" t="s">
        <v>23</v>
      </c>
      <c r="K2708" s="4" t="s">
        <v>24</v>
      </c>
      <c r="L2708" s="4">
        <v>15000000</v>
      </c>
      <c r="M2708" s="4">
        <v>1999</v>
      </c>
      <c r="N2708" s="4">
        <v>5.6</v>
      </c>
      <c r="O2708" s="4">
        <f ca="1">IFERROR(__xludf.DUMMYFUNCTION("IF(Cost_in_dollars!E2708=""USD"",Cost_in_dollars!B2708,Cost_in_dollars!B2708 * GOOGLEFINANCE(""CURRENCY:"" &amp; Cost_in_dollars!E2708 &amp; ""USD""))
"),15000000)</f>
        <v>15000000</v>
      </c>
      <c r="P2708" s="4">
        <f ca="1">IFERROR(__xludf.DUMMYFUNCTION("IF(Cost_in_dollars!E2708=""USD"",Cost_in_dollars!C2708,Cost_in_dollars!C2708 * GOOGLEFINANCE(""CURRENCY:"" &amp; Cost_in_dollars!E2708 &amp; ""USD""))
"),11614236)</f>
        <v>11614236</v>
      </c>
      <c r="Q2708" s="4">
        <f t="shared" ca="1" si="60"/>
        <v>-3385764</v>
      </c>
      <c r="R2708" s="5" t="str">
        <f t="shared" si="61"/>
        <v>The Muse</v>
      </c>
      <c r="S2708" s="43" t="str">
        <f t="shared" si="64"/>
        <v>Comedy</v>
      </c>
    </row>
    <row r="2709" spans="1:19" ht="15.75" customHeight="1" x14ac:dyDescent="0.25">
      <c r="A2709" s="6" t="s">
        <v>8632</v>
      </c>
      <c r="B2709" s="6">
        <v>46</v>
      </c>
      <c r="C2709" s="6">
        <v>90443603</v>
      </c>
      <c r="D2709" s="6" t="s">
        <v>8633</v>
      </c>
      <c r="E2709" s="6" t="s">
        <v>473</v>
      </c>
      <c r="F2709" s="6" t="s">
        <v>8634</v>
      </c>
      <c r="G2709" s="6">
        <v>112167</v>
      </c>
      <c r="H2709" s="6" t="s">
        <v>8635</v>
      </c>
      <c r="I2709" s="6">
        <v>123</v>
      </c>
      <c r="J2709" s="6" t="s">
        <v>23</v>
      </c>
      <c r="K2709" s="6" t="s">
        <v>24</v>
      </c>
      <c r="L2709" s="6">
        <v>80000000</v>
      </c>
      <c r="M2709" s="6">
        <v>1996</v>
      </c>
      <c r="N2709" s="6">
        <v>6.3</v>
      </c>
      <c r="O2709" s="4">
        <f ca="1">IFERROR(__xludf.DUMMYFUNCTION("IF(Cost_in_dollars!E2709=""USD"",Cost_in_dollars!B2709,Cost_in_dollars!B2709 * GOOGLEFINANCE(""CURRENCY:"" &amp; Cost_in_dollars!E2709 &amp; ""USD""))
"),80000000)</f>
        <v>80000000</v>
      </c>
      <c r="P2709" s="4">
        <f ca="1">IFERROR(__xludf.DUMMYFUNCTION("IF(Cost_in_dollars!E2709=""USD"",Cost_in_dollars!C2709,Cost_in_dollars!C2709 * GOOGLEFINANCE(""CURRENCY:"" &amp; Cost_in_dollars!E2709 &amp; ""USD""))
"),90443603)</f>
        <v>90443603</v>
      </c>
      <c r="Q2709" s="6">
        <f t="shared" ca="1" si="60"/>
        <v>10443603</v>
      </c>
      <c r="R2709" s="7" t="str">
        <f t="shared" si="61"/>
        <v>Space Jam</v>
      </c>
      <c r="S2709" s="43" t="str">
        <f t="shared" si="64"/>
        <v>Adventure</v>
      </c>
    </row>
    <row r="2710" spans="1:19" ht="15.75" customHeight="1" x14ac:dyDescent="0.25">
      <c r="A2710" s="4" t="s">
        <v>1578</v>
      </c>
      <c r="B2710" s="4">
        <v>178</v>
      </c>
      <c r="C2710" s="4">
        <v>42638165</v>
      </c>
      <c r="D2710" s="4" t="s">
        <v>1579</v>
      </c>
      <c r="E2710" s="4" t="s">
        <v>775</v>
      </c>
      <c r="F2710" s="4" t="s">
        <v>1580</v>
      </c>
      <c r="G2710" s="4">
        <v>42183</v>
      </c>
      <c r="H2710" s="4" t="s">
        <v>1581</v>
      </c>
      <c r="I2710" s="4">
        <v>230</v>
      </c>
      <c r="J2710" s="4" t="s">
        <v>23</v>
      </c>
      <c r="K2710" s="4" t="s">
        <v>24</v>
      </c>
      <c r="L2710" s="4">
        <v>16000000</v>
      </c>
      <c r="M2710" s="4">
        <v>2009</v>
      </c>
      <c r="N2710" s="4">
        <v>4.8</v>
      </c>
      <c r="O2710" s="4">
        <f ca="1">IFERROR(__xludf.DUMMYFUNCTION("IF(Cost_in_dollars!E2710=""USD"",Cost_in_dollars!B2710,Cost_in_dollars!B2710 * GOOGLEFINANCE(""CURRENCY:"" &amp; Cost_in_dollars!E2710 &amp; ""USD""))
"),16000000)</f>
        <v>16000000</v>
      </c>
      <c r="P2710" s="4">
        <f ca="1">IFERROR(__xludf.DUMMYFUNCTION("IF(Cost_in_dollars!E2710=""USD"",Cost_in_dollars!C2710,Cost_in_dollars!C2710 * GOOGLEFINANCE(""CURRENCY:"" &amp; Cost_in_dollars!E2710 &amp; ""USD""))
"),42638165)</f>
        <v>42638165</v>
      </c>
      <c r="Q2710" s="4">
        <f t="shared" ca="1" si="60"/>
        <v>26638165</v>
      </c>
      <c r="R2710" s="5" t="str">
        <f t="shared" si="61"/>
        <v>The Unborn</v>
      </c>
      <c r="S2710" s="43" t="str">
        <f t="shared" si="64"/>
        <v>Drama</v>
      </c>
    </row>
    <row r="2711" spans="1:19" ht="15.75" customHeight="1" x14ac:dyDescent="0.25">
      <c r="A2711" s="6" t="s">
        <v>8636</v>
      </c>
      <c r="B2711" s="6">
        <v>166</v>
      </c>
      <c r="C2711" s="6">
        <v>83024900</v>
      </c>
      <c r="D2711" s="6" t="s">
        <v>2409</v>
      </c>
      <c r="E2711" s="6" t="s">
        <v>2466</v>
      </c>
      <c r="F2711" s="6" t="s">
        <v>8637</v>
      </c>
      <c r="G2711" s="6">
        <v>62424</v>
      </c>
      <c r="H2711" s="6" t="s">
        <v>8638</v>
      </c>
      <c r="I2711" s="6">
        <v>90</v>
      </c>
      <c r="J2711" s="6" t="s">
        <v>23</v>
      </c>
      <c r="K2711" s="6" t="s">
        <v>24</v>
      </c>
      <c r="L2711" s="6">
        <v>135000000</v>
      </c>
      <c r="M2711" s="6">
        <v>2013</v>
      </c>
      <c r="N2711" s="6">
        <v>6.5</v>
      </c>
      <c r="O2711" s="4">
        <f ca="1">IFERROR(__xludf.DUMMYFUNCTION("IF(Cost_in_dollars!E2711=""USD"",Cost_in_dollars!B2711,Cost_in_dollars!B2711 * GOOGLEFINANCE(""CURRENCY:"" &amp; Cost_in_dollars!E2711 &amp; ""USD""))
"),135000000)</f>
        <v>135000000</v>
      </c>
      <c r="P2711" s="4">
        <f ca="1">IFERROR(__xludf.DUMMYFUNCTION("IF(Cost_in_dollars!E2711=""USD"",Cost_in_dollars!C2711,Cost_in_dollars!C2711 * GOOGLEFINANCE(""CURRENCY:"" &amp; Cost_in_dollars!E2711 &amp; ""USD""))
"),83024900)</f>
        <v>83024900</v>
      </c>
      <c r="Q2711" s="6">
        <f t="shared" ca="1" si="60"/>
        <v>-51975100</v>
      </c>
      <c r="R2711" s="7" t="str">
        <f t="shared" si="61"/>
        <v>Turbo</v>
      </c>
      <c r="S2711" s="43" t="str">
        <f t="shared" si="64"/>
        <v>Adventure</v>
      </c>
    </row>
    <row r="2712" spans="1:19" ht="15.75" customHeight="1" x14ac:dyDescent="0.25">
      <c r="A2712" s="4" t="s">
        <v>1755</v>
      </c>
      <c r="B2712" s="4">
        <v>177</v>
      </c>
      <c r="C2712" s="4">
        <v>10515579</v>
      </c>
      <c r="D2712" s="4" t="s">
        <v>904</v>
      </c>
      <c r="E2712" s="4" t="s">
        <v>439</v>
      </c>
      <c r="F2712" s="4" t="s">
        <v>8639</v>
      </c>
      <c r="G2712" s="4">
        <v>66840</v>
      </c>
      <c r="H2712" s="4" t="s">
        <v>8640</v>
      </c>
      <c r="I2712" s="4">
        <v>248</v>
      </c>
      <c r="J2712" s="4" t="s">
        <v>23</v>
      </c>
      <c r="K2712" s="4" t="s">
        <v>133</v>
      </c>
      <c r="L2712" s="4">
        <v>4000000</v>
      </c>
      <c r="M2712" s="4">
        <v>2006</v>
      </c>
      <c r="N2712" s="4">
        <v>6.7</v>
      </c>
      <c r="O2712" s="4">
        <f ca="1">IFERROR(__xludf.DUMMYFUNCTION("IF(Cost_in_dollars!E2712=""USD"",Cost_in_dollars!B2712,Cost_in_dollars!B2712 * GOOGLEFINANCE(""CURRENCY:"" &amp; Cost_in_dollars!E2712 &amp; ""USD""))
"),5141599.99999999)</f>
        <v>5141599.9999999898</v>
      </c>
      <c r="P2712" s="4">
        <f ca="1">IFERROR(__xludf.DUMMYFUNCTION("IF(Cost_in_dollars!E2712=""USD"",Cost_in_dollars!C2712,Cost_in_dollars!C2712 * GOOGLEFINANCE(""CURRENCY:"" &amp; Cost_in_dollars!E2712 &amp; ""USD""))
"),13516725.2465999)</f>
        <v>13516725.2465999</v>
      </c>
      <c r="Q2712" s="4">
        <f t="shared" ca="1" si="60"/>
        <v>8375125.2465999098</v>
      </c>
      <c r="R2712" s="5" t="str">
        <f t="shared" si="61"/>
        <v>Scoop</v>
      </c>
      <c r="S2712" s="43" t="str">
        <f t="shared" si="64"/>
        <v>Comedy</v>
      </c>
    </row>
    <row r="2713" spans="1:19" ht="15.75" customHeight="1" x14ac:dyDescent="0.25">
      <c r="A2713" s="6" t="s">
        <v>1480</v>
      </c>
      <c r="B2713" s="6">
        <v>90</v>
      </c>
      <c r="C2713" s="6">
        <v>4280577</v>
      </c>
      <c r="D2713" s="6" t="s">
        <v>6115</v>
      </c>
      <c r="E2713" s="6" t="s">
        <v>3545</v>
      </c>
      <c r="F2713" s="6" t="s">
        <v>8641</v>
      </c>
      <c r="G2713" s="6">
        <v>50919</v>
      </c>
      <c r="H2713" s="6" t="s">
        <v>8642</v>
      </c>
      <c r="I2713" s="6">
        <v>114</v>
      </c>
      <c r="J2713" s="6" t="s">
        <v>23</v>
      </c>
      <c r="K2713" s="6" t="s">
        <v>24</v>
      </c>
      <c r="L2713" s="6">
        <v>10000000</v>
      </c>
      <c r="M2713" s="6">
        <v>2005</v>
      </c>
      <c r="N2713" s="6">
        <v>6.8</v>
      </c>
      <c r="O2713" s="4">
        <f ca="1">IFERROR(__xludf.DUMMYFUNCTION("IF(Cost_in_dollars!E2713=""USD"",Cost_in_dollars!B2713,Cost_in_dollars!B2713 * GOOGLEFINANCE(""CURRENCY:"" &amp; Cost_in_dollars!E2713 &amp; ""USD""))
"),10000000)</f>
        <v>10000000</v>
      </c>
      <c r="P2713" s="4">
        <f ca="1">IFERROR(__xludf.DUMMYFUNCTION("IF(Cost_in_dollars!E2713=""USD"",Cost_in_dollars!C2713,Cost_in_dollars!C2713 * GOOGLEFINANCE(""CURRENCY:"" &amp; Cost_in_dollars!E2713 &amp; ""USD""))
"),4280577)</f>
        <v>4280577</v>
      </c>
      <c r="Q2713" s="6">
        <f t="shared" ca="1" si="60"/>
        <v>-5719423</v>
      </c>
      <c r="R2713" s="7" t="str">
        <f t="shared" si="61"/>
        <v>Goal! The Dream Begins</v>
      </c>
      <c r="S2713" s="43" t="str">
        <f t="shared" si="64"/>
        <v>Drama</v>
      </c>
    </row>
    <row r="2714" spans="1:19" ht="15.75" customHeight="1" x14ac:dyDescent="0.25">
      <c r="A2714" s="4" t="s">
        <v>8643</v>
      </c>
      <c r="B2714" s="4">
        <v>39</v>
      </c>
      <c r="C2714" s="4">
        <v>5430822</v>
      </c>
      <c r="D2714" s="4" t="s">
        <v>8644</v>
      </c>
      <c r="E2714" s="4" t="s">
        <v>8645</v>
      </c>
      <c r="F2714" s="4" t="s">
        <v>8646</v>
      </c>
      <c r="G2714" s="4">
        <v>8391</v>
      </c>
      <c r="H2714" s="4" t="s">
        <v>8647</v>
      </c>
      <c r="I2714" s="4">
        <v>75</v>
      </c>
      <c r="J2714" s="4" t="s">
        <v>23</v>
      </c>
      <c r="K2714" s="4" t="s">
        <v>133</v>
      </c>
      <c r="L2714" s="4">
        <v>7000000</v>
      </c>
      <c r="M2714" s="4">
        <v>1992</v>
      </c>
      <c r="N2714" s="4">
        <v>6.2</v>
      </c>
      <c r="O2714" s="4">
        <f ca="1">IFERROR(__xludf.DUMMYFUNCTION("IF(Cost_in_dollars!E2714=""USD"",Cost_in_dollars!B2714,Cost_in_dollars!B2714 * GOOGLEFINANCE(""CURRENCY:"" &amp; Cost_in_dollars!E2714 &amp; ""USD""))
"),8997800)</f>
        <v>8997800</v>
      </c>
      <c r="P2714" s="4">
        <f ca="1">IFERROR(__xludf.DUMMYFUNCTION("IF(Cost_in_dollars!E2714=""USD"",Cost_in_dollars!C2714,Cost_in_dollars!C2714 * GOOGLEFINANCE(""CURRENCY:"" &amp; Cost_in_dollars!E2714 &amp; ""USD""))
"),6980778.59879999)</f>
        <v>6980778.5987999896</v>
      </c>
      <c r="Q2714" s="4">
        <f t="shared" ca="1" si="60"/>
        <v>-2017021.4012000104</v>
      </c>
      <c r="R2714" s="5" t="str">
        <f t="shared" si="61"/>
        <v>Split Second</v>
      </c>
      <c r="S2714" s="43" t="str">
        <f t="shared" si="64"/>
        <v>Action</v>
      </c>
    </row>
    <row r="2715" spans="1:19" ht="15.75" customHeight="1" x14ac:dyDescent="0.25">
      <c r="A2715" s="6" t="s">
        <v>4034</v>
      </c>
      <c r="B2715" s="6">
        <v>25</v>
      </c>
      <c r="C2715" s="6">
        <v>22189039</v>
      </c>
      <c r="D2715" s="6" t="s">
        <v>167</v>
      </c>
      <c r="E2715" s="6" t="s">
        <v>3919</v>
      </c>
      <c r="F2715" s="6" t="s">
        <v>8648</v>
      </c>
      <c r="G2715" s="6">
        <v>17074</v>
      </c>
      <c r="H2715" s="6" t="s">
        <v>8649</v>
      </c>
      <c r="I2715" s="6">
        <v>55</v>
      </c>
      <c r="J2715" s="6" t="s">
        <v>23</v>
      </c>
      <c r="K2715" s="6" t="s">
        <v>24</v>
      </c>
      <c r="L2715" s="6">
        <v>15000000</v>
      </c>
      <c r="M2715" s="6">
        <v>1993</v>
      </c>
      <c r="N2715" s="6">
        <v>5.5</v>
      </c>
      <c r="O2715" s="4">
        <f ca="1">IFERROR(__xludf.DUMMYFUNCTION("IF(Cost_in_dollars!E2715=""USD"",Cost_in_dollars!B2715,Cost_in_dollars!B2715 * GOOGLEFINANCE(""CURRENCY:"" &amp; Cost_in_dollars!E2715 &amp; ""USD""))
"),15000000)</f>
        <v>15000000</v>
      </c>
      <c r="P2715" s="4">
        <f ca="1">IFERROR(__xludf.DUMMYFUNCTION("IF(Cost_in_dollars!E2715=""USD"",Cost_in_dollars!C2715,Cost_in_dollars!C2715 * GOOGLEFINANCE(""CURRENCY:"" &amp; Cost_in_dollars!E2715 &amp; ""USD""))
"),22189039)</f>
        <v>22189039</v>
      </c>
      <c r="Q2715" s="6">
        <f t="shared" ca="1" si="60"/>
        <v>7189039</v>
      </c>
      <c r="R2715" s="7" t="str">
        <f t="shared" si="61"/>
        <v>Nowhere to Run</v>
      </c>
      <c r="S2715" s="43" t="str">
        <f t="shared" si="64"/>
        <v>Action</v>
      </c>
    </row>
    <row r="2716" spans="1:19" ht="15.75" customHeight="1" x14ac:dyDescent="0.25">
      <c r="A2716" s="4" t="s">
        <v>3486</v>
      </c>
      <c r="B2716" s="4">
        <v>142</v>
      </c>
      <c r="C2716" s="4">
        <v>7156933</v>
      </c>
      <c r="D2716" s="4" t="s">
        <v>457</v>
      </c>
      <c r="E2716" s="4" t="s">
        <v>2750</v>
      </c>
      <c r="F2716" s="4" t="s">
        <v>8650</v>
      </c>
      <c r="G2716" s="4">
        <v>14581</v>
      </c>
      <c r="H2716" s="4" t="s">
        <v>8651</v>
      </c>
      <c r="I2716" s="4">
        <v>74</v>
      </c>
      <c r="J2716" s="4" t="s">
        <v>23</v>
      </c>
      <c r="K2716" s="4" t="s">
        <v>24</v>
      </c>
      <c r="L2716" s="4">
        <v>25000000</v>
      </c>
      <c r="M2716" s="4">
        <v>2006</v>
      </c>
      <c r="N2716" s="4">
        <v>6.7</v>
      </c>
      <c r="O2716" s="4">
        <f ca="1">IFERROR(__xludf.DUMMYFUNCTION("IF(Cost_in_dollars!E2716=""USD"",Cost_in_dollars!B2716,Cost_in_dollars!B2716 * GOOGLEFINANCE(""CURRENCY:"" &amp; Cost_in_dollars!E2716 &amp; ""USD""))
"),25000000)</f>
        <v>25000000</v>
      </c>
      <c r="P2716" s="4">
        <f ca="1">IFERROR(__xludf.DUMMYFUNCTION("IF(Cost_in_dollars!E2716=""USD"",Cost_in_dollars!C2716,Cost_in_dollars!C2716 * GOOGLEFINANCE(""CURRENCY:"" &amp; Cost_in_dollars!E2716 &amp; ""USD""))
"),7156933)</f>
        <v>7156933</v>
      </c>
      <c r="Q2716" s="4">
        <f t="shared" ca="1" si="60"/>
        <v>-17843067</v>
      </c>
      <c r="R2716" s="5" t="str">
        <f t="shared" si="61"/>
        <v>The Hoax</v>
      </c>
      <c r="S2716" s="43" t="str">
        <f t="shared" si="64"/>
        <v>Comedy</v>
      </c>
    </row>
    <row r="2717" spans="1:19" ht="15.75" customHeight="1" x14ac:dyDescent="0.25">
      <c r="A2717" s="6" t="s">
        <v>8652</v>
      </c>
      <c r="B2717" s="6">
        <v>82</v>
      </c>
      <c r="C2717" s="6">
        <v>72000000</v>
      </c>
      <c r="D2717" s="6" t="s">
        <v>4704</v>
      </c>
      <c r="E2717" s="6" t="s">
        <v>8653</v>
      </c>
      <c r="F2717" s="6" t="s">
        <v>8654</v>
      </c>
      <c r="G2717" s="6">
        <v>66959</v>
      </c>
      <c r="H2717" s="6" t="s">
        <v>8655</v>
      </c>
      <c r="I2717" s="6">
        <v>258</v>
      </c>
      <c r="J2717" s="6" t="s">
        <v>23</v>
      </c>
      <c r="K2717" s="6" t="s">
        <v>24</v>
      </c>
      <c r="L2717" s="6">
        <v>17000000</v>
      </c>
      <c r="M2717" s="6">
        <v>1964</v>
      </c>
      <c r="N2717" s="6">
        <v>7.9</v>
      </c>
      <c r="O2717" s="4">
        <f ca="1">IFERROR(__xludf.DUMMYFUNCTION("IF(Cost_in_dollars!E2717=""USD"",Cost_in_dollars!B2717,Cost_in_dollars!B2717 * GOOGLEFINANCE(""CURRENCY:"" &amp; Cost_in_dollars!E2717 &amp; ""USD""))
"),17000000)</f>
        <v>17000000</v>
      </c>
      <c r="P2717" s="4">
        <f ca="1">IFERROR(__xludf.DUMMYFUNCTION("IF(Cost_in_dollars!E2717=""USD"",Cost_in_dollars!C2717,Cost_in_dollars!C2717 * GOOGLEFINANCE(""CURRENCY:"" &amp; Cost_in_dollars!E2717 &amp; ""USD""))
"),72000000)</f>
        <v>72000000</v>
      </c>
      <c r="Q2717" s="6">
        <f t="shared" ca="1" si="60"/>
        <v>55000000</v>
      </c>
      <c r="R2717" s="7" t="str">
        <f t="shared" si="61"/>
        <v>My Fair Lady</v>
      </c>
      <c r="S2717" s="43" t="str">
        <f t="shared" si="64"/>
        <v>Drama</v>
      </c>
    </row>
    <row r="2718" spans="1:19" ht="15.75" customHeight="1" x14ac:dyDescent="0.25">
      <c r="A2718" s="4" t="s">
        <v>8656</v>
      </c>
      <c r="B2718" s="4">
        <v>151</v>
      </c>
      <c r="C2718" s="4">
        <v>13987482</v>
      </c>
      <c r="D2718" s="4" t="s">
        <v>88</v>
      </c>
      <c r="E2718" s="4" t="s">
        <v>986</v>
      </c>
      <c r="F2718" s="4" t="s">
        <v>8657</v>
      </c>
      <c r="G2718" s="4">
        <v>58957</v>
      </c>
      <c r="H2718" s="4" t="s">
        <v>8658</v>
      </c>
      <c r="I2718" s="4">
        <v>91</v>
      </c>
      <c r="J2718" s="4" t="s">
        <v>23</v>
      </c>
      <c r="K2718" s="4" t="s">
        <v>24</v>
      </c>
      <c r="L2718" s="4">
        <v>20000000</v>
      </c>
      <c r="M2718" s="4">
        <v>2011</v>
      </c>
      <c r="N2718" s="4">
        <v>6</v>
      </c>
      <c r="O2718" s="4">
        <f ca="1">IFERROR(__xludf.DUMMYFUNCTION("IF(Cost_in_dollars!E2718=""USD"",Cost_in_dollars!B2718,Cost_in_dollars!B2718 * GOOGLEFINANCE(""CURRENCY:"" &amp; Cost_in_dollars!E2718 &amp; ""USD""))
"),20000000)</f>
        <v>20000000</v>
      </c>
      <c r="P2718" s="4">
        <f ca="1">IFERROR(__xludf.DUMMYFUNCTION("IF(Cost_in_dollars!E2718=""USD"",Cost_in_dollars!C2718,Cost_in_dollars!C2718 * GOOGLEFINANCE(""CURRENCY:"" &amp; Cost_in_dollars!E2718 &amp; ""USD""))
"),13987482)</f>
        <v>13987482</v>
      </c>
      <c r="Q2718" s="4">
        <f t="shared" ca="1" si="60"/>
        <v>-6012518</v>
      </c>
      <c r="R2718" s="5" t="str">
        <f t="shared" si="61"/>
        <v>What's Your Number?</v>
      </c>
      <c r="S2718" s="43" t="str">
        <f t="shared" si="64"/>
        <v>Comedy</v>
      </c>
    </row>
    <row r="2719" spans="1:19" ht="15.75" customHeight="1" x14ac:dyDescent="0.25">
      <c r="A2719" s="6" t="s">
        <v>8659</v>
      </c>
      <c r="B2719" s="6">
        <v>83</v>
      </c>
      <c r="C2719" s="6">
        <v>25615792</v>
      </c>
      <c r="D2719" s="6" t="s">
        <v>8660</v>
      </c>
      <c r="E2719" s="6" t="s">
        <v>8661</v>
      </c>
      <c r="F2719" s="6" t="s">
        <v>8662</v>
      </c>
      <c r="G2719" s="6">
        <v>10161</v>
      </c>
      <c r="H2719" s="6" t="s">
        <v>8663</v>
      </c>
      <c r="I2719" s="6">
        <v>50</v>
      </c>
      <c r="J2719" s="6" t="s">
        <v>23</v>
      </c>
      <c r="K2719" s="6" t="s">
        <v>24</v>
      </c>
      <c r="L2719" s="6">
        <v>25000000</v>
      </c>
      <c r="M2719" s="6">
        <v>2009</v>
      </c>
      <c r="N2719" s="6">
        <v>3.5</v>
      </c>
      <c r="O2719" s="4">
        <f ca="1">IFERROR(__xludf.DUMMYFUNCTION("IF(Cost_in_dollars!E2719=""USD"",Cost_in_dollars!B2719,Cost_in_dollars!B2719 * GOOGLEFINANCE(""CURRENCY:"" &amp; Cost_in_dollars!E2719 &amp; ""USD""))
"),25000000)</f>
        <v>25000000</v>
      </c>
      <c r="P2719" s="4">
        <f ca="1">IFERROR(__xludf.DUMMYFUNCTION("IF(Cost_in_dollars!E2719=""USD"",Cost_in_dollars!C2719,Cost_in_dollars!C2719 * GOOGLEFINANCE(""CURRENCY:"" &amp; Cost_in_dollars!E2719 &amp; ""USD""))
"),25615792)</f>
        <v>25615792</v>
      </c>
      <c r="Q2719" s="6">
        <f t="shared" ca="1" si="60"/>
        <v>615792</v>
      </c>
      <c r="R2719" s="7" t="str">
        <f t="shared" si="61"/>
        <v>Dance Flick</v>
      </c>
      <c r="S2719" s="43" t="str">
        <f t="shared" si="64"/>
        <v>Action</v>
      </c>
    </row>
    <row r="2720" spans="1:19" ht="15.75" customHeight="1" x14ac:dyDescent="0.25">
      <c r="A2720" s="4" t="s">
        <v>192</v>
      </c>
      <c r="B2720" s="4">
        <v>163</v>
      </c>
      <c r="C2720" s="4">
        <v>95001351</v>
      </c>
      <c r="D2720" s="4" t="s">
        <v>88</v>
      </c>
      <c r="E2720" s="4" t="s">
        <v>2116</v>
      </c>
      <c r="F2720" s="4" t="s">
        <v>8664</v>
      </c>
      <c r="G2720" s="4">
        <v>131801</v>
      </c>
      <c r="H2720" s="4" t="s">
        <v>8665</v>
      </c>
      <c r="I2720" s="4">
        <v>548</v>
      </c>
      <c r="J2720" s="4" t="s">
        <v>23</v>
      </c>
      <c r="K2720" s="4" t="s">
        <v>24</v>
      </c>
      <c r="L2720" s="4">
        <v>18000000</v>
      </c>
      <c r="M2720" s="4">
        <v>2001</v>
      </c>
      <c r="N2720" s="4">
        <v>6.2</v>
      </c>
      <c r="O2720" s="4">
        <f ca="1">IFERROR(__xludf.DUMMYFUNCTION("IF(Cost_in_dollars!E2720=""USD"",Cost_in_dollars!B2720,Cost_in_dollars!B2720 * GOOGLEFINANCE(""CURRENCY:"" &amp; Cost_in_dollars!E2720 &amp; ""USD""))
"),18000000)</f>
        <v>18000000</v>
      </c>
      <c r="P2720" s="4">
        <f ca="1">IFERROR(__xludf.DUMMYFUNCTION("IF(Cost_in_dollars!E2720=""USD"",Cost_in_dollars!C2720,Cost_in_dollars!C2720 * GOOGLEFINANCE(""CURRENCY:"" &amp; Cost_in_dollars!E2720 &amp; ""USD""))
"),95001351)</f>
        <v>95001351</v>
      </c>
      <c r="Q2720" s="4">
        <f t="shared" ca="1" si="60"/>
        <v>77001351</v>
      </c>
      <c r="R2720" s="5" t="str">
        <f t="shared" si="61"/>
        <v>Legally Blonde</v>
      </c>
      <c r="S2720" s="43" t="str">
        <f t="shared" si="64"/>
        <v>Comedy</v>
      </c>
    </row>
    <row r="2721" spans="1:19" ht="15.75" customHeight="1" x14ac:dyDescent="0.25">
      <c r="A2721" s="6" t="s">
        <v>8666</v>
      </c>
      <c r="B2721" s="6">
        <v>215</v>
      </c>
      <c r="C2721" s="6">
        <v>18469</v>
      </c>
      <c r="D2721" s="6" t="s">
        <v>4905</v>
      </c>
      <c r="E2721" s="6" t="s">
        <v>8667</v>
      </c>
      <c r="F2721" s="6" t="s">
        <v>8668</v>
      </c>
      <c r="G2721" s="6">
        <v>34263</v>
      </c>
      <c r="H2721" s="6" t="s">
        <v>8669</v>
      </c>
      <c r="I2721" s="6">
        <v>141</v>
      </c>
      <c r="J2721" s="6" t="s">
        <v>23</v>
      </c>
      <c r="K2721" s="6" t="s">
        <v>24</v>
      </c>
      <c r="L2721" s="6">
        <v>650000</v>
      </c>
      <c r="M2721" s="6">
        <v>2010</v>
      </c>
      <c r="N2721" s="6">
        <v>6.5</v>
      </c>
      <c r="O2721" s="4">
        <f ca="1">IFERROR(__xludf.DUMMYFUNCTION("IF(Cost_in_dollars!E2721=""USD"",Cost_in_dollars!B2721,Cost_in_dollars!B2721 * GOOGLEFINANCE(""CURRENCY:"" &amp; Cost_in_dollars!E2721 &amp; ""USD""))
"),650000)</f>
        <v>650000</v>
      </c>
      <c r="P2721" s="4">
        <f ca="1">IFERROR(__xludf.DUMMYFUNCTION("IF(Cost_in_dollars!E2721=""USD"",Cost_in_dollars!C2721,Cost_in_dollars!C2721 * GOOGLEFINANCE(""CURRENCY:"" &amp; Cost_in_dollars!E2721 &amp; ""USD""))
"),18469)</f>
        <v>18469</v>
      </c>
      <c r="Q2721" s="6">
        <f t="shared" ca="1" si="60"/>
        <v>-631531</v>
      </c>
      <c r="R2721" s="7" t="str">
        <f t="shared" si="61"/>
        <v>Stake Land</v>
      </c>
      <c r="S2721" s="43" t="str">
        <f t="shared" si="64"/>
        <v>Drama</v>
      </c>
    </row>
    <row r="2722" spans="1:19" ht="15.75" customHeight="1" x14ac:dyDescent="0.25">
      <c r="A2722" s="4" t="s">
        <v>4530</v>
      </c>
      <c r="B2722" s="4">
        <v>128</v>
      </c>
      <c r="C2722" s="4">
        <v>90556401</v>
      </c>
      <c r="D2722" s="4" t="s">
        <v>8041</v>
      </c>
      <c r="E2722" s="4" t="s">
        <v>8670</v>
      </c>
      <c r="F2722" s="4" t="s">
        <v>8671</v>
      </c>
      <c r="G2722" s="4">
        <v>43795</v>
      </c>
      <c r="H2722" s="4" t="s">
        <v>8672</v>
      </c>
      <c r="I2722" s="4">
        <v>171</v>
      </c>
      <c r="J2722" s="4" t="s">
        <v>23</v>
      </c>
      <c r="K2722" s="4" t="s">
        <v>24</v>
      </c>
      <c r="L2722" s="4">
        <v>11000000</v>
      </c>
      <c r="M2722" s="4">
        <v>2008</v>
      </c>
      <c r="N2722" s="4">
        <v>4.5</v>
      </c>
      <c r="O2722" s="4">
        <f ca="1">IFERROR(__xludf.DUMMYFUNCTION("IF(Cost_in_dollars!E2722=""USD"",Cost_in_dollars!B2722,Cost_in_dollars!B2722 * GOOGLEFINANCE(""CURRENCY:"" &amp; Cost_in_dollars!E2722 &amp; ""USD""))
"),11000000)</f>
        <v>11000000</v>
      </c>
      <c r="P2722" s="4">
        <f ca="1">IFERROR(__xludf.DUMMYFUNCTION("IF(Cost_in_dollars!E2722=""USD"",Cost_in_dollars!C2722,Cost_in_dollars!C2722 * GOOGLEFINANCE(""CURRENCY:"" &amp; Cost_in_dollars!E2722 &amp; ""USD""))
"),90556401)</f>
        <v>90556401</v>
      </c>
      <c r="Q2722" s="4">
        <f t="shared" ca="1" si="60"/>
        <v>79556401</v>
      </c>
      <c r="R2722" s="5" t="str">
        <f t="shared" si="61"/>
        <v>High School Musical 3: Senior Year</v>
      </c>
      <c r="S2722" s="43" t="str">
        <f t="shared" si="64"/>
        <v>Comedy</v>
      </c>
    </row>
    <row r="2723" spans="1:19" ht="15.75" customHeight="1" x14ac:dyDescent="0.25">
      <c r="A2723" s="6" t="s">
        <v>8673</v>
      </c>
      <c r="B2723" s="6">
        <v>218</v>
      </c>
      <c r="C2723" s="6">
        <v>38297305</v>
      </c>
      <c r="D2723" s="6" t="s">
        <v>1032</v>
      </c>
      <c r="E2723" s="6" t="s">
        <v>1173</v>
      </c>
      <c r="F2723" s="6" t="s">
        <v>8674</v>
      </c>
      <c r="G2723" s="6">
        <v>116994</v>
      </c>
      <c r="H2723" s="6" t="s">
        <v>8675</v>
      </c>
      <c r="I2723" s="6">
        <v>324</v>
      </c>
      <c r="J2723" s="6" t="s">
        <v>23</v>
      </c>
      <c r="K2723" s="6" t="s">
        <v>24</v>
      </c>
      <c r="L2723" s="6">
        <v>175000000</v>
      </c>
      <c r="M2723" s="6">
        <v>2013</v>
      </c>
      <c r="N2723" s="6">
        <v>6.3</v>
      </c>
      <c r="O2723" s="4">
        <f ca="1">IFERROR(__xludf.DUMMYFUNCTION("IF(Cost_in_dollars!E2723=""USD"",Cost_in_dollars!B2723,Cost_in_dollars!B2723 * GOOGLEFINANCE(""CURRENCY:"" &amp; Cost_in_dollars!E2723 &amp; ""USD""))
"),175000000)</f>
        <v>175000000</v>
      </c>
      <c r="P2723" s="4">
        <f ca="1">IFERROR(__xludf.DUMMYFUNCTION("IF(Cost_in_dollars!E2723=""USD"",Cost_in_dollars!C2723,Cost_in_dollars!C2723 * GOOGLEFINANCE(""CURRENCY:"" &amp; Cost_in_dollars!E2723 &amp; ""USD""))
"),38297305)</f>
        <v>38297305</v>
      </c>
      <c r="Q2723" s="6">
        <f t="shared" ca="1" si="60"/>
        <v>-136702695</v>
      </c>
      <c r="R2723" s="7" t="str">
        <f t="shared" si="61"/>
        <v>47 Ronin</v>
      </c>
      <c r="S2723" s="43" t="str">
        <f t="shared" si="64"/>
        <v>Action</v>
      </c>
    </row>
    <row r="2724" spans="1:19" ht="15.75" customHeight="1" x14ac:dyDescent="0.25">
      <c r="A2724" s="4" t="s">
        <v>1435</v>
      </c>
      <c r="B2724" s="4">
        <v>362</v>
      </c>
      <c r="C2724" s="4">
        <v>127490802</v>
      </c>
      <c r="D2724" s="4" t="s">
        <v>3272</v>
      </c>
      <c r="E2724" s="4" t="s">
        <v>1436</v>
      </c>
      <c r="F2724" s="4" t="s">
        <v>8676</v>
      </c>
      <c r="G2724" s="4">
        <v>459346</v>
      </c>
      <c r="H2724" s="4" t="s">
        <v>8677</v>
      </c>
      <c r="I2724" s="4">
        <v>822</v>
      </c>
      <c r="J2724" s="4" t="s">
        <v>23</v>
      </c>
      <c r="K2724" s="4" t="s">
        <v>24</v>
      </c>
      <c r="L2724" s="4">
        <v>150000000</v>
      </c>
      <c r="M2724" s="4">
        <v>2008</v>
      </c>
      <c r="N2724" s="4">
        <v>7.8</v>
      </c>
      <c r="O2724" s="4">
        <f ca="1">IFERROR(__xludf.DUMMYFUNCTION("IF(Cost_in_dollars!E2724=""USD"",Cost_in_dollars!B2724,Cost_in_dollars!B2724 * GOOGLEFINANCE(""CURRENCY:"" &amp; Cost_in_dollars!E2724 &amp; ""USD""))
"),150000000)</f>
        <v>150000000</v>
      </c>
      <c r="P2724" s="4">
        <f ca="1">IFERROR(__xludf.DUMMYFUNCTION("IF(Cost_in_dollars!E2724=""USD"",Cost_in_dollars!C2724,Cost_in_dollars!C2724 * GOOGLEFINANCE(""CURRENCY:"" &amp; Cost_in_dollars!E2724 &amp; ""USD""))
"),127490802)</f>
        <v>127490802</v>
      </c>
      <c r="Q2724" s="4">
        <f t="shared" ca="1" si="60"/>
        <v>-22509198</v>
      </c>
      <c r="R2724" s="5" t="str">
        <f t="shared" si="61"/>
        <v>The Curious Case of Benjamin Button</v>
      </c>
      <c r="S2724" s="43" t="str">
        <f t="shared" si="64"/>
        <v>Drama</v>
      </c>
    </row>
    <row r="2725" spans="1:19" ht="15.75" customHeight="1" x14ac:dyDescent="0.25">
      <c r="A2725" s="6" t="s">
        <v>577</v>
      </c>
      <c r="B2725" s="6">
        <v>136</v>
      </c>
      <c r="C2725" s="6">
        <v>31874869</v>
      </c>
      <c r="D2725" s="6" t="s">
        <v>578</v>
      </c>
      <c r="E2725" s="6" t="s">
        <v>227</v>
      </c>
      <c r="F2725" s="6" t="s">
        <v>579</v>
      </c>
      <c r="G2725" s="6">
        <v>43575</v>
      </c>
      <c r="H2725" s="6" t="s">
        <v>580</v>
      </c>
      <c r="I2725" s="6">
        <v>302</v>
      </c>
      <c r="J2725" s="6" t="s">
        <v>23</v>
      </c>
      <c r="K2725" s="6" t="s">
        <v>24</v>
      </c>
      <c r="L2725" s="6">
        <v>50000000</v>
      </c>
      <c r="M2725" s="6">
        <v>2002</v>
      </c>
      <c r="N2725" s="6">
        <v>6.1</v>
      </c>
      <c r="O2725" s="4">
        <f ca="1">IFERROR(__xludf.DUMMYFUNCTION("IF(Cost_in_dollars!E2725=""USD"",Cost_in_dollars!B2725,Cost_in_dollars!B2725 * GOOGLEFINANCE(""CURRENCY:"" &amp; Cost_in_dollars!E2725 &amp; ""USD""))
"),50000000)</f>
        <v>50000000</v>
      </c>
      <c r="P2725" s="4">
        <f ca="1">IFERROR(__xludf.DUMMYFUNCTION("IF(Cost_in_dollars!E2725=""USD"",Cost_in_dollars!C2725,Cost_in_dollars!C2725 * GOOGLEFINANCE(""CURRENCY:"" &amp; Cost_in_dollars!E2725 &amp; ""USD""))
"),31874869)</f>
        <v>31874869</v>
      </c>
      <c r="Q2725" s="6">
        <f t="shared" ca="1" si="60"/>
        <v>-18125131</v>
      </c>
      <c r="R2725" s="7" t="str">
        <f t="shared" si="61"/>
        <v>Murder by Numbers</v>
      </c>
      <c r="S2725" s="43" t="str">
        <f t="shared" si="64"/>
        <v>Crime</v>
      </c>
    </row>
    <row r="2726" spans="1:19" ht="15.75" customHeight="1" x14ac:dyDescent="0.25">
      <c r="A2726" s="4" t="s">
        <v>8678</v>
      </c>
      <c r="B2726" s="4">
        <v>8</v>
      </c>
      <c r="C2726" s="4">
        <v>11798</v>
      </c>
      <c r="D2726" s="4" t="s">
        <v>8679</v>
      </c>
      <c r="E2726" s="4" t="s">
        <v>8680</v>
      </c>
      <c r="F2726" s="4" t="s">
        <v>8681</v>
      </c>
      <c r="G2726" s="4">
        <v>179</v>
      </c>
      <c r="H2726" s="4" t="s">
        <v>8682</v>
      </c>
      <c r="I2726" s="4">
        <v>18</v>
      </c>
      <c r="J2726" s="4" t="s">
        <v>23</v>
      </c>
      <c r="K2726" s="4" t="s">
        <v>24</v>
      </c>
      <c r="L2726" s="4">
        <v>100000</v>
      </c>
      <c r="M2726" s="4">
        <v>2003</v>
      </c>
      <c r="N2726" s="4">
        <v>4.7</v>
      </c>
      <c r="O2726" s="4">
        <f ca="1">IFERROR(__xludf.DUMMYFUNCTION("IF(Cost_in_dollars!E2726=""USD"",Cost_in_dollars!B2726,Cost_in_dollars!B2726 * GOOGLEFINANCE(""CURRENCY:"" &amp; Cost_in_dollars!E2726 &amp; ""USD""))
"),100000)</f>
        <v>100000</v>
      </c>
      <c r="P2726" s="4">
        <f ca="1">IFERROR(__xludf.DUMMYFUNCTION("IF(Cost_in_dollars!E2726=""USD"",Cost_in_dollars!C2726,Cost_in_dollars!C2726 * GOOGLEFINANCE(""CURRENCY:"" &amp; Cost_in_dollars!E2726 &amp; ""USD""))
"),11798)</f>
        <v>11798</v>
      </c>
      <c r="Q2726" s="4">
        <f t="shared" ca="1" si="60"/>
        <v>-88202</v>
      </c>
      <c r="R2726" s="5" t="str">
        <f t="shared" si="61"/>
        <v>Gory Gory Hallelujah</v>
      </c>
      <c r="S2726" s="43" t="str">
        <f t="shared" si="64"/>
        <v>Comedy</v>
      </c>
    </row>
    <row r="2727" spans="1:19" ht="15.75" customHeight="1" x14ac:dyDescent="0.25">
      <c r="A2727" s="6" t="s">
        <v>8683</v>
      </c>
      <c r="B2727" s="6">
        <v>60</v>
      </c>
      <c r="C2727" s="6">
        <v>42660000</v>
      </c>
      <c r="D2727" s="6" t="s">
        <v>2731</v>
      </c>
      <c r="E2727" s="6" t="s">
        <v>8684</v>
      </c>
      <c r="F2727" s="6" t="s">
        <v>8685</v>
      </c>
      <c r="G2727" s="6">
        <v>25086</v>
      </c>
      <c r="H2727" s="6" t="s">
        <v>8686</v>
      </c>
      <c r="I2727" s="6">
        <v>87</v>
      </c>
      <c r="J2727" s="6" t="s">
        <v>23</v>
      </c>
      <c r="K2727" s="6" t="s">
        <v>24</v>
      </c>
      <c r="L2727" s="6">
        <v>17000000</v>
      </c>
      <c r="M2727" s="6">
        <v>1993</v>
      </c>
      <c r="N2727" s="6">
        <v>4.8</v>
      </c>
      <c r="O2727" s="4">
        <f ca="1">IFERROR(__xludf.DUMMYFUNCTION("IF(Cost_in_dollars!E2727=""USD"",Cost_in_dollars!B2727,Cost_in_dollars!B2727 * GOOGLEFINANCE(""CURRENCY:"" &amp; Cost_in_dollars!E2727 &amp; ""USD""))
"),17000000)</f>
        <v>17000000</v>
      </c>
      <c r="P2727" s="4">
        <f ca="1">IFERROR(__xludf.DUMMYFUNCTION("IF(Cost_in_dollars!E2727=""USD"",Cost_in_dollars!C2727,Cost_in_dollars!C2727 * GOOGLEFINANCE(""CURRENCY:"" &amp; Cost_in_dollars!E2727 &amp; ""USD""))
"),42660000)</f>
        <v>42660000</v>
      </c>
      <c r="Q2727" s="6">
        <f t="shared" ca="1" si="60"/>
        <v>25660000</v>
      </c>
      <c r="R2727" s="7" t="str">
        <f t="shared" si="61"/>
        <v>Teenage Mutant Ninja Turtles III</v>
      </c>
      <c r="S2727" s="43" t="str">
        <f t="shared" si="64"/>
        <v>Action</v>
      </c>
    </row>
    <row r="2728" spans="1:19" ht="15.75" customHeight="1" x14ac:dyDescent="0.25">
      <c r="A2728" s="4" t="s">
        <v>3151</v>
      </c>
      <c r="B2728" s="4">
        <v>234</v>
      </c>
      <c r="C2728" s="4">
        <v>1163508</v>
      </c>
      <c r="D2728" s="4" t="s">
        <v>2403</v>
      </c>
      <c r="E2728" s="4" t="s">
        <v>3153</v>
      </c>
      <c r="F2728" s="4" t="s">
        <v>8687</v>
      </c>
      <c r="G2728" s="4">
        <v>20376</v>
      </c>
      <c r="H2728" s="4" t="s">
        <v>8688</v>
      </c>
      <c r="I2728" s="4">
        <v>166</v>
      </c>
      <c r="J2728" s="4" t="s">
        <v>23</v>
      </c>
      <c r="K2728" s="4" t="s">
        <v>24</v>
      </c>
      <c r="L2728" s="4">
        <v>2500000</v>
      </c>
      <c r="M2728" s="4">
        <v>2012</v>
      </c>
      <c r="N2728" s="4">
        <v>5.0999999999999996</v>
      </c>
      <c r="O2728" s="4">
        <f ca="1">IFERROR(__xludf.DUMMYFUNCTION("IF(Cost_in_dollars!E2728=""USD"",Cost_in_dollars!B2728,Cost_in_dollars!B2728 * GOOGLEFINANCE(""CURRENCY:"" &amp; Cost_in_dollars!E2728 &amp; ""USD""))
"),2500000)</f>
        <v>2500000</v>
      </c>
      <c r="P2728" s="4">
        <f ca="1">IFERROR(__xludf.DUMMYFUNCTION("IF(Cost_in_dollars!E2728=""USD"",Cost_in_dollars!C2728,Cost_in_dollars!C2728 * GOOGLEFINANCE(""CURRENCY:"" &amp; Cost_in_dollars!E2728 &amp; ""USD""))
"),1163508)</f>
        <v>1163508</v>
      </c>
      <c r="Q2728" s="4">
        <f t="shared" ca="1" si="60"/>
        <v>-1336492</v>
      </c>
      <c r="R2728" s="5" t="str">
        <f t="shared" si="61"/>
        <v>The Lords of Salem</v>
      </c>
      <c r="S2728" s="43" t="str">
        <f t="shared" si="64"/>
        <v>Drama</v>
      </c>
    </row>
    <row r="2729" spans="1:19" ht="15.75" customHeight="1" x14ac:dyDescent="0.25">
      <c r="A2729" s="6" t="s">
        <v>962</v>
      </c>
      <c r="B2729" s="6">
        <v>83</v>
      </c>
      <c r="C2729" s="6">
        <v>13560960</v>
      </c>
      <c r="D2729" s="6" t="s">
        <v>623</v>
      </c>
      <c r="E2729" s="6" t="s">
        <v>240</v>
      </c>
      <c r="F2729" s="6" t="s">
        <v>8689</v>
      </c>
      <c r="G2729" s="6">
        <v>23996</v>
      </c>
      <c r="H2729" s="6" t="s">
        <v>8690</v>
      </c>
      <c r="I2729" s="6">
        <v>161</v>
      </c>
      <c r="J2729" s="6" t="s">
        <v>23</v>
      </c>
      <c r="K2729" s="6" t="s">
        <v>24</v>
      </c>
      <c r="L2729" s="6">
        <v>50000000</v>
      </c>
      <c r="M2729" s="6">
        <v>1995</v>
      </c>
      <c r="N2729" s="6">
        <v>7.1</v>
      </c>
      <c r="O2729" s="4">
        <f ca="1">IFERROR(__xludf.DUMMYFUNCTION("IF(Cost_in_dollars!E2729=""USD"",Cost_in_dollars!B2729,Cost_in_dollars!B2729 * GOOGLEFINANCE(""CURRENCY:"" &amp; Cost_in_dollars!E2729 &amp; ""USD""))
"),50000000)</f>
        <v>50000000</v>
      </c>
      <c r="P2729" s="4">
        <f ca="1">IFERROR(__xludf.DUMMYFUNCTION("IF(Cost_in_dollars!E2729=""USD"",Cost_in_dollars!C2729,Cost_in_dollars!C2729 * GOOGLEFINANCE(""CURRENCY:"" &amp; Cost_in_dollars!E2729 &amp; ""USD""))
"),13560960)</f>
        <v>13560960</v>
      </c>
      <c r="Q2729" s="6">
        <f t="shared" ca="1" si="60"/>
        <v>-36439040</v>
      </c>
      <c r="R2729" s="7" t="str">
        <f t="shared" si="61"/>
        <v>Nixon</v>
      </c>
      <c r="S2729" s="43" t="str">
        <f t="shared" si="64"/>
        <v>Biography</v>
      </c>
    </row>
    <row r="2730" spans="1:19" ht="15.75" customHeight="1" x14ac:dyDescent="0.25">
      <c r="A2730" s="4" t="s">
        <v>171</v>
      </c>
      <c r="B2730" s="4">
        <v>80</v>
      </c>
      <c r="C2730" s="4">
        <v>2856622</v>
      </c>
      <c r="D2730" s="4" t="s">
        <v>457</v>
      </c>
      <c r="E2730" s="4" t="s">
        <v>8691</v>
      </c>
      <c r="F2730" s="4" t="s">
        <v>8692</v>
      </c>
      <c r="G2730" s="4">
        <v>11550</v>
      </c>
      <c r="H2730" s="4" t="s">
        <v>8693</v>
      </c>
      <c r="I2730" s="4">
        <v>197</v>
      </c>
      <c r="J2730" s="4" t="s">
        <v>23</v>
      </c>
      <c r="K2730" s="4" t="s">
        <v>627</v>
      </c>
      <c r="L2730" s="4">
        <v>25000</v>
      </c>
      <c r="M2730" s="4">
        <v>1997</v>
      </c>
      <c r="N2730" s="4">
        <v>7.3</v>
      </c>
      <c r="O2730" s="4">
        <f ca="1">IFERROR(__xludf.DUMMYFUNCTION("IF(Cost_in_dollars!E2730=""USD"",Cost_in_dollars!B2730,Cost_in_dollars!B2730 * GOOGLEFINANCE(""CURRENCY:"" &amp; Cost_in_dollars!E2730 &amp; ""USD""))
"),18085.125)</f>
        <v>18085.125</v>
      </c>
      <c r="P2730" s="4">
        <f ca="1">IFERROR(__xludf.DUMMYFUNCTION("IF(Cost_in_dollars!E2730=""USD"",Cost_in_dollars!C2730,Cost_in_dollars!C2730 * GOOGLEFINANCE(""CURRENCY:"" &amp; Cost_in_dollars!E2730 &amp; ""USD""))
"),2066494.63790999)</f>
        <v>2066494.63790999</v>
      </c>
      <c r="Q2730" s="4">
        <f t="shared" ca="1" si="60"/>
        <v>2048409.51290999</v>
      </c>
      <c r="R2730" s="5" t="str">
        <f t="shared" si="61"/>
        <v>In the Company of Men</v>
      </c>
      <c r="S2730" s="43" t="str">
        <f t="shared" si="64"/>
        <v>Comedy</v>
      </c>
    </row>
    <row r="2731" spans="1:19" ht="15.75" customHeight="1" x14ac:dyDescent="0.25">
      <c r="A2731" s="6" t="s">
        <v>4179</v>
      </c>
      <c r="B2731" s="6">
        <v>510</v>
      </c>
      <c r="C2731" s="6">
        <v>176636816</v>
      </c>
      <c r="D2731" s="6" t="s">
        <v>188</v>
      </c>
      <c r="E2731" s="6" t="s">
        <v>986</v>
      </c>
      <c r="F2731" s="6" t="s">
        <v>8694</v>
      </c>
      <c r="G2731" s="6">
        <v>508818</v>
      </c>
      <c r="H2731" s="6" t="s">
        <v>8695</v>
      </c>
      <c r="I2731" s="6">
        <v>679</v>
      </c>
      <c r="J2731" s="6" t="s">
        <v>23</v>
      </c>
      <c r="K2731" s="6" t="s">
        <v>24</v>
      </c>
      <c r="L2731" s="6">
        <v>140000000</v>
      </c>
      <c r="M2731" s="6">
        <v>2011</v>
      </c>
      <c r="N2731" s="6">
        <v>6.9</v>
      </c>
      <c r="O2731" s="4">
        <f ca="1">IFERROR(__xludf.DUMMYFUNCTION("IF(Cost_in_dollars!E2731=""USD"",Cost_in_dollars!B2731,Cost_in_dollars!B2731 * GOOGLEFINANCE(""CURRENCY:"" &amp; Cost_in_dollars!E2731 &amp; ""USD""))
"),140000000)</f>
        <v>140000000</v>
      </c>
      <c r="P2731" s="4">
        <f ca="1">IFERROR(__xludf.DUMMYFUNCTION("IF(Cost_in_dollars!E2731=""USD"",Cost_in_dollars!C2731,Cost_in_dollars!C2731 * GOOGLEFINANCE(""CURRENCY:"" &amp; Cost_in_dollars!E2731 &amp; ""USD""))
"),176636816)</f>
        <v>176636816</v>
      </c>
      <c r="Q2731" s="6">
        <f t="shared" ca="1" si="60"/>
        <v>36636816</v>
      </c>
      <c r="R2731" s="7" t="str">
        <f t="shared" si="61"/>
        <v>Captain America: The First Avenger</v>
      </c>
      <c r="S2731" s="43" t="str">
        <f t="shared" si="64"/>
        <v>Action</v>
      </c>
    </row>
    <row r="2732" spans="1:19" ht="15.75" customHeight="1" x14ac:dyDescent="0.25">
      <c r="A2732" s="4" t="s">
        <v>8696</v>
      </c>
      <c r="B2732" s="4">
        <v>167</v>
      </c>
      <c r="C2732" s="4">
        <v>7002255</v>
      </c>
      <c r="D2732" s="4" t="s">
        <v>8697</v>
      </c>
      <c r="E2732" s="4" t="s">
        <v>8698</v>
      </c>
      <c r="F2732" s="4" t="s">
        <v>8699</v>
      </c>
      <c r="G2732" s="4">
        <v>42462</v>
      </c>
      <c r="H2732" s="4" t="s">
        <v>8700</v>
      </c>
      <c r="I2732" s="4">
        <v>312</v>
      </c>
      <c r="J2732" s="4" t="s">
        <v>661</v>
      </c>
      <c r="K2732" s="4" t="s">
        <v>611</v>
      </c>
      <c r="L2732" s="4">
        <v>9500000</v>
      </c>
      <c r="M2732" s="4">
        <v>2003</v>
      </c>
      <c r="N2732" s="4">
        <v>7.8</v>
      </c>
      <c r="O2732" s="4">
        <f ca="1">IFERROR(__xludf.DUMMYFUNCTION("IF(Cost_in_dollars!E2732=""USD"",Cost_in_dollars!B2732,Cost_in_dollars!B2732 * GOOGLEFINANCE(""CURRENCY:"" &amp; Cost_in_dollars!E2732 &amp; ""USD""))
"),10305030)</f>
        <v>10305030</v>
      </c>
      <c r="P2732" s="4">
        <f ca="1">IFERROR(__xludf.DUMMYFUNCTION("IF(Cost_in_dollars!E2732=""USD"",Cost_in_dollars!C2732,Cost_in_dollars!C2732 * GOOGLEFINANCE(""CURRENCY:"" &amp; Cost_in_dollars!E2732 &amp; ""USD""))
"),7595626.0887)</f>
        <v>7595626.0887000002</v>
      </c>
      <c r="Q2732" s="4">
        <f t="shared" ca="1" si="60"/>
        <v>-2709403.9112999998</v>
      </c>
      <c r="R2732" s="5" t="str">
        <f t="shared" si="61"/>
        <v>The Triplets of Belleville</v>
      </c>
      <c r="S2732" s="43" t="str">
        <f t="shared" si="64"/>
        <v>Animation</v>
      </c>
    </row>
    <row r="2733" spans="1:19" ht="15.75" customHeight="1" x14ac:dyDescent="0.25">
      <c r="A2733" s="6" t="s">
        <v>8701</v>
      </c>
      <c r="B2733" s="6">
        <v>324</v>
      </c>
      <c r="C2733" s="6">
        <v>200807262</v>
      </c>
      <c r="D2733" s="6" t="s">
        <v>8702</v>
      </c>
      <c r="E2733" s="6" t="s">
        <v>8703</v>
      </c>
      <c r="F2733" s="6" t="s">
        <v>8704</v>
      </c>
      <c r="G2733" s="6">
        <v>294810</v>
      </c>
      <c r="H2733" s="6" t="s">
        <v>8705</v>
      </c>
      <c r="I2733" s="6">
        <v>387</v>
      </c>
      <c r="J2733" s="6" t="s">
        <v>23</v>
      </c>
      <c r="K2733" s="6" t="s">
        <v>24</v>
      </c>
      <c r="L2733" s="6">
        <v>260000000</v>
      </c>
      <c r="M2733" s="6">
        <v>2010</v>
      </c>
      <c r="N2733" s="6">
        <v>7.8</v>
      </c>
      <c r="O2733" s="4">
        <f ca="1">IFERROR(__xludf.DUMMYFUNCTION("IF(Cost_in_dollars!E2733=""USD"",Cost_in_dollars!B2733,Cost_in_dollars!B2733 * GOOGLEFINANCE(""CURRENCY:"" &amp; Cost_in_dollars!E2733 &amp; ""USD""))
"),260000000)</f>
        <v>260000000</v>
      </c>
      <c r="P2733" s="4">
        <f ca="1">IFERROR(__xludf.DUMMYFUNCTION("IF(Cost_in_dollars!E2733=""USD"",Cost_in_dollars!C2733,Cost_in_dollars!C2733 * GOOGLEFINANCE(""CURRENCY:"" &amp; Cost_in_dollars!E2733 &amp; ""USD""))
"),200807262)</f>
        <v>200807262</v>
      </c>
      <c r="Q2733" s="6">
        <f t="shared" ca="1" si="60"/>
        <v>-59192738</v>
      </c>
      <c r="R2733" s="7" t="str">
        <f t="shared" si="61"/>
        <v>Tangled</v>
      </c>
      <c r="S2733" s="43" t="str">
        <f t="shared" si="64"/>
        <v>Adventure</v>
      </c>
    </row>
    <row r="2734" spans="1:19" ht="15.75" customHeight="1" x14ac:dyDescent="0.25">
      <c r="A2734" s="4" t="s">
        <v>1706</v>
      </c>
      <c r="B2734" s="4">
        <v>588</v>
      </c>
      <c r="C2734" s="4">
        <v>42335698</v>
      </c>
      <c r="D2734" s="4" t="s">
        <v>162</v>
      </c>
      <c r="E2734" s="4" t="s">
        <v>500</v>
      </c>
      <c r="F2734" s="4" t="s">
        <v>8706</v>
      </c>
      <c r="G2734" s="4">
        <v>395087</v>
      </c>
      <c r="H2734" s="4" t="s">
        <v>8707</v>
      </c>
      <c r="I2734" s="4">
        <v>1101</v>
      </c>
      <c r="J2734" s="4" t="s">
        <v>23</v>
      </c>
      <c r="K2734" s="4" t="s">
        <v>24</v>
      </c>
      <c r="L2734" s="4">
        <v>18000000</v>
      </c>
      <c r="M2734" s="4">
        <v>2014</v>
      </c>
      <c r="N2734" s="4">
        <v>7.8</v>
      </c>
      <c r="O2734" s="4">
        <f ca="1">IFERROR(__xludf.DUMMYFUNCTION("IF(Cost_in_dollars!E2734=""USD"",Cost_in_dollars!B2734,Cost_in_dollars!B2734 * GOOGLEFINANCE(""CURRENCY:"" &amp; Cost_in_dollars!E2734 &amp; ""USD""))
"),18000000)</f>
        <v>18000000</v>
      </c>
      <c r="P2734" s="4">
        <f ca="1">IFERROR(__xludf.DUMMYFUNCTION("IF(Cost_in_dollars!E2734=""USD"",Cost_in_dollars!C2734,Cost_in_dollars!C2734 * GOOGLEFINANCE(""CURRENCY:"" &amp; Cost_in_dollars!E2734 &amp; ""USD""))
"),42335698)</f>
        <v>42335698</v>
      </c>
      <c r="Q2734" s="4">
        <f t="shared" ca="1" si="60"/>
        <v>24335698</v>
      </c>
      <c r="R2734" s="5" t="str">
        <f t="shared" si="61"/>
        <v>Birdman or (The Unexpected Virtue of Ignorance)</v>
      </c>
      <c r="S2734" s="43" t="str">
        <f t="shared" si="64"/>
        <v>Comedy</v>
      </c>
    </row>
    <row r="2735" spans="1:19" ht="15.75" customHeight="1" x14ac:dyDescent="0.25">
      <c r="A2735" s="6" t="s">
        <v>1098</v>
      </c>
      <c r="B2735" s="6">
        <v>102</v>
      </c>
      <c r="C2735" s="6">
        <v>49369900</v>
      </c>
      <c r="D2735" s="6" t="s">
        <v>958</v>
      </c>
      <c r="E2735" s="6" t="s">
        <v>8708</v>
      </c>
      <c r="F2735" s="6" t="s">
        <v>8709</v>
      </c>
      <c r="G2735" s="6">
        <v>36108</v>
      </c>
      <c r="H2735" s="6" t="s">
        <v>8710</v>
      </c>
      <c r="I2735" s="6">
        <v>260</v>
      </c>
      <c r="J2735" s="6" t="s">
        <v>23</v>
      </c>
      <c r="K2735" s="6" t="s">
        <v>24</v>
      </c>
      <c r="L2735" s="6">
        <v>7000000</v>
      </c>
      <c r="M2735" s="6">
        <v>1988</v>
      </c>
      <c r="N2735" s="6">
        <v>5.7</v>
      </c>
      <c r="O2735" s="4">
        <f ca="1">IFERROR(__xludf.DUMMYFUNCTION("IF(Cost_in_dollars!E2735=""USD"",Cost_in_dollars!B2735,Cost_in_dollars!B2735 * GOOGLEFINANCE(""CURRENCY:"" &amp; Cost_in_dollars!E2735 &amp; ""USD""))
"),7000000)</f>
        <v>7000000</v>
      </c>
      <c r="P2735" s="4">
        <f ca="1">IFERROR(__xludf.DUMMYFUNCTION("IF(Cost_in_dollars!E2735=""USD"",Cost_in_dollars!C2735,Cost_in_dollars!C2735 * GOOGLEFINANCE(""CURRENCY:"" &amp; Cost_in_dollars!E2735 &amp; ""USD""))
"),49369900)</f>
        <v>49369900</v>
      </c>
      <c r="Q2735" s="6">
        <f t="shared" ca="1" si="60"/>
        <v>42369900</v>
      </c>
      <c r="R2735" s="7" t="str">
        <f t="shared" si="61"/>
        <v>A Nightmare on Elm Street 4: The Dream Master</v>
      </c>
      <c r="S2735" s="43" t="str">
        <f t="shared" si="64"/>
        <v>Fantasy</v>
      </c>
    </row>
    <row r="2736" spans="1:19" ht="15.75" customHeight="1" x14ac:dyDescent="0.25">
      <c r="A2736" s="4" t="s">
        <v>6114</v>
      </c>
      <c r="B2736" s="4">
        <v>109</v>
      </c>
      <c r="C2736" s="4">
        <v>37766350</v>
      </c>
      <c r="D2736" s="4" t="s">
        <v>102</v>
      </c>
      <c r="E2736" s="4" t="s">
        <v>6261</v>
      </c>
      <c r="F2736" s="4" t="s">
        <v>8711</v>
      </c>
      <c r="G2736" s="4">
        <v>19440</v>
      </c>
      <c r="H2736" s="4" t="s">
        <v>8712</v>
      </c>
      <c r="I2736" s="4">
        <v>56</v>
      </c>
      <c r="J2736" s="4" t="s">
        <v>23</v>
      </c>
      <c r="K2736" s="4" t="s">
        <v>24</v>
      </c>
      <c r="L2736" s="4">
        <v>11000000</v>
      </c>
      <c r="M2736" s="4">
        <v>2008</v>
      </c>
      <c r="N2736" s="4">
        <v>7.3</v>
      </c>
      <c r="O2736" s="4">
        <f ca="1">IFERROR(__xludf.DUMMYFUNCTION("IF(Cost_in_dollars!E2736=""USD"",Cost_in_dollars!B2736,Cost_in_dollars!B2736 * GOOGLEFINANCE(""CURRENCY:"" &amp; Cost_in_dollars!E2736 &amp; ""USD""))
"),11000000)</f>
        <v>11000000</v>
      </c>
      <c r="P2736" s="4">
        <f ca="1">IFERROR(__xludf.DUMMYFUNCTION("IF(Cost_in_dollars!E2736=""USD"",Cost_in_dollars!C2736,Cost_in_dollars!C2736 * GOOGLEFINANCE(""CURRENCY:"" &amp; Cost_in_dollars!E2736 &amp; ""USD""))
"),37766350)</f>
        <v>37766350</v>
      </c>
      <c r="Q2736" s="4">
        <f t="shared" ca="1" si="60"/>
        <v>26766350</v>
      </c>
      <c r="R2736" s="5" t="str">
        <f t="shared" si="61"/>
        <v>The Secret Life of Bees</v>
      </c>
      <c r="S2736" s="43" t="str">
        <f t="shared" si="64"/>
        <v>Drama</v>
      </c>
    </row>
    <row r="2737" spans="1:19" ht="15.75" customHeight="1" x14ac:dyDescent="0.25">
      <c r="A2737" s="6" t="s">
        <v>3398</v>
      </c>
      <c r="B2737" s="6">
        <v>84</v>
      </c>
      <c r="C2737" s="6">
        <v>1029017</v>
      </c>
      <c r="D2737" s="6" t="s">
        <v>235</v>
      </c>
      <c r="E2737" s="6" t="s">
        <v>236</v>
      </c>
      <c r="F2737" s="6" t="s">
        <v>8713</v>
      </c>
      <c r="G2737" s="6">
        <v>12049</v>
      </c>
      <c r="H2737" s="6" t="s">
        <v>8714</v>
      </c>
      <c r="I2737" s="6">
        <v>135</v>
      </c>
      <c r="J2737" s="6" t="s">
        <v>23</v>
      </c>
      <c r="K2737" s="6" t="s">
        <v>24</v>
      </c>
      <c r="L2737" s="6">
        <v>6500000</v>
      </c>
      <c r="M2737" s="6">
        <v>2004</v>
      </c>
      <c r="N2737" s="6">
        <v>6.8</v>
      </c>
      <c r="O2737" s="4">
        <f ca="1">IFERROR(__xludf.DUMMYFUNCTION("IF(Cost_in_dollars!E2737=""USD"",Cost_in_dollars!B2737,Cost_in_dollars!B2737 * GOOGLEFINANCE(""CURRENCY:"" &amp; Cost_in_dollars!E2737 &amp; ""USD""))
"),6500000)</f>
        <v>6500000</v>
      </c>
      <c r="P2737" s="4">
        <f ca="1">IFERROR(__xludf.DUMMYFUNCTION("IF(Cost_in_dollars!E2737=""USD"",Cost_in_dollars!C2737,Cost_in_dollars!C2737 * GOOGLEFINANCE(""CURRENCY:"" &amp; Cost_in_dollars!E2737 &amp; ""USD""))
"),1029017)</f>
        <v>1029017</v>
      </c>
      <c r="Q2737" s="6">
        <f t="shared" ca="1" si="60"/>
        <v>-5470983</v>
      </c>
      <c r="R2737" s="7" t="str">
        <f t="shared" si="61"/>
        <v>A Home at the End of the World</v>
      </c>
      <c r="S2737" s="43" t="str">
        <f t="shared" si="64"/>
        <v>Drama</v>
      </c>
    </row>
    <row r="2738" spans="1:19" ht="15.75" customHeight="1" x14ac:dyDescent="0.25">
      <c r="A2738" s="4" t="s">
        <v>4273</v>
      </c>
      <c r="B2738" s="4">
        <v>100</v>
      </c>
      <c r="C2738" s="4">
        <v>23106</v>
      </c>
      <c r="D2738" s="4" t="s">
        <v>1616</v>
      </c>
      <c r="E2738" s="4" t="s">
        <v>4768</v>
      </c>
      <c r="F2738" s="4" t="s">
        <v>8715</v>
      </c>
      <c r="G2738" s="4">
        <v>9003</v>
      </c>
      <c r="H2738" s="4" t="s">
        <v>8716</v>
      </c>
      <c r="I2738" s="4">
        <v>58</v>
      </c>
      <c r="J2738" s="4" t="s">
        <v>23</v>
      </c>
      <c r="K2738" s="4" t="s">
        <v>41</v>
      </c>
      <c r="L2738" s="4">
        <v>50000000</v>
      </c>
      <c r="M2738" s="4">
        <v>2004</v>
      </c>
      <c r="N2738" s="4">
        <v>6.6</v>
      </c>
      <c r="O2738" s="4">
        <f ca="1">IFERROR(__xludf.DUMMYFUNCTION("IF(Cost_in_dollars!E2738=""USD"",Cost_in_dollars!B2738,Cost_in_dollars!B2738 * GOOGLEFINANCE(""CURRENCY:"" &amp; Cost_in_dollars!E2738 &amp; ""USD""))
"),54237000)</f>
        <v>54237000</v>
      </c>
      <c r="P2738" s="4">
        <f ca="1">IFERROR(__xludf.DUMMYFUNCTION("IF(Cost_in_dollars!E2738=""USD"",Cost_in_dollars!C2738,Cost_in_dollars!C2738 * GOOGLEFINANCE(""CURRENCY:"" &amp; Cost_in_dollars!E2738 &amp; ""USD""))
"),25064.00244)</f>
        <v>25064.00244</v>
      </c>
      <c r="Q2738" s="4">
        <f t="shared" ca="1" si="60"/>
        <v>-54211935.997560002</v>
      </c>
      <c r="R2738" s="5" t="str">
        <f t="shared" si="61"/>
        <v>Dear Wendy</v>
      </c>
      <c r="S2738" s="43" t="str">
        <f t="shared" si="64"/>
        <v>Comedy</v>
      </c>
    </row>
    <row r="2739" spans="1:19" ht="15.75" customHeight="1" x14ac:dyDescent="0.25">
      <c r="A2739" s="6" t="s">
        <v>5918</v>
      </c>
      <c r="B2739" s="6">
        <v>231</v>
      </c>
      <c r="C2739" s="6">
        <v>17536788</v>
      </c>
      <c r="D2739" s="6" t="s">
        <v>162</v>
      </c>
      <c r="E2739" s="6" t="s">
        <v>8717</v>
      </c>
      <c r="F2739" s="6" t="s">
        <v>8718</v>
      </c>
      <c r="G2739" s="6">
        <v>49240</v>
      </c>
      <c r="H2739" s="6" t="s">
        <v>8719</v>
      </c>
      <c r="I2739" s="6">
        <v>142</v>
      </c>
      <c r="J2739" s="6" t="s">
        <v>23</v>
      </c>
      <c r="K2739" s="6" t="s">
        <v>24</v>
      </c>
      <c r="L2739" s="6">
        <v>8000000</v>
      </c>
      <c r="M2739" s="6">
        <v>2013</v>
      </c>
      <c r="N2739" s="6">
        <v>7.1</v>
      </c>
      <c r="O2739" s="4">
        <f ca="1">IFERROR(__xludf.DUMMYFUNCTION("IF(Cost_in_dollars!E2739=""USD"",Cost_in_dollars!B2739,Cost_in_dollars!B2739 * GOOGLEFINANCE(""CURRENCY:"" &amp; Cost_in_dollars!E2739 &amp; ""USD""))
"),8000000)</f>
        <v>8000000</v>
      </c>
      <c r="P2739" s="4">
        <f ca="1">IFERROR(__xludf.DUMMYFUNCTION("IF(Cost_in_dollars!E2739=""USD"",Cost_in_dollars!C2739,Cost_in_dollars!C2739 * GOOGLEFINANCE(""CURRENCY:"" &amp; Cost_in_dollars!E2739 &amp; ""USD""))
"),17536788)</f>
        <v>17536788</v>
      </c>
      <c r="Q2739" s="6">
        <f t="shared" ca="1" si="60"/>
        <v>9536788</v>
      </c>
      <c r="R2739" s="7" t="str">
        <f t="shared" si="61"/>
        <v>Enough Said</v>
      </c>
      <c r="S2739" s="43" t="str">
        <f t="shared" si="64"/>
        <v>Comedy</v>
      </c>
    </row>
    <row r="2740" spans="1:19" ht="15.75" customHeight="1" x14ac:dyDescent="0.25">
      <c r="A2740" s="4" t="s">
        <v>4026</v>
      </c>
      <c r="B2740" s="4">
        <v>82</v>
      </c>
      <c r="C2740" s="4">
        <v>178406268</v>
      </c>
      <c r="D2740" s="4" t="s">
        <v>88</v>
      </c>
      <c r="E2740" s="4" t="s">
        <v>536</v>
      </c>
      <c r="F2740" s="4" t="s">
        <v>8720</v>
      </c>
      <c r="G2740" s="4">
        <v>213476</v>
      </c>
      <c r="H2740" s="4" t="s">
        <v>8721</v>
      </c>
      <c r="I2740" s="4">
        <v>271</v>
      </c>
      <c r="J2740" s="4" t="s">
        <v>23</v>
      </c>
      <c r="K2740" s="4" t="s">
        <v>24</v>
      </c>
      <c r="L2740" s="4">
        <v>14000000</v>
      </c>
      <c r="M2740" s="4">
        <v>1990</v>
      </c>
      <c r="N2740" s="4">
        <v>6.9</v>
      </c>
      <c r="O2740" s="4">
        <f ca="1">IFERROR(__xludf.DUMMYFUNCTION("IF(Cost_in_dollars!E2740=""USD"",Cost_in_dollars!B2740,Cost_in_dollars!B2740 * GOOGLEFINANCE(""CURRENCY:"" &amp; Cost_in_dollars!E2740 &amp; ""USD""))
"),14000000)</f>
        <v>14000000</v>
      </c>
      <c r="P2740" s="4">
        <f ca="1">IFERROR(__xludf.DUMMYFUNCTION("IF(Cost_in_dollars!E2740=""USD"",Cost_in_dollars!C2740,Cost_in_dollars!C2740 * GOOGLEFINANCE(""CURRENCY:"" &amp; Cost_in_dollars!E2740 &amp; ""USD""))
"),178406268)</f>
        <v>178406268</v>
      </c>
      <c r="Q2740" s="4">
        <f t="shared" ca="1" si="60"/>
        <v>164406268</v>
      </c>
      <c r="R2740" s="5" t="str">
        <f t="shared" si="61"/>
        <v>Pretty Woman</v>
      </c>
      <c r="S2740" s="43" t="str">
        <f t="shared" si="64"/>
        <v>Comedy</v>
      </c>
    </row>
    <row r="2741" spans="1:19" ht="15.75" customHeight="1" x14ac:dyDescent="0.25">
      <c r="A2741" s="6" t="s">
        <v>8722</v>
      </c>
      <c r="B2741" s="6">
        <v>55</v>
      </c>
      <c r="C2741" s="6">
        <v>23222861</v>
      </c>
      <c r="D2741" s="6" t="s">
        <v>8723</v>
      </c>
      <c r="E2741" s="6" t="s">
        <v>794</v>
      </c>
      <c r="F2741" s="6" t="s">
        <v>8724</v>
      </c>
      <c r="G2741" s="6">
        <v>11092</v>
      </c>
      <c r="H2741" s="6" t="s">
        <v>8725</v>
      </c>
      <c r="I2741" s="6">
        <v>44</v>
      </c>
      <c r="J2741" s="6" t="s">
        <v>23</v>
      </c>
      <c r="K2741" s="6" t="s">
        <v>24</v>
      </c>
      <c r="L2741" s="6">
        <v>26000000</v>
      </c>
      <c r="M2741" s="6">
        <v>2004</v>
      </c>
      <c r="N2741" s="6">
        <v>4.5</v>
      </c>
      <c r="O2741" s="4">
        <f ca="1">IFERROR(__xludf.DUMMYFUNCTION("IF(Cost_in_dollars!E2741=""USD"",Cost_in_dollars!B2741,Cost_in_dollars!B2741 * GOOGLEFINANCE(""CURRENCY:"" &amp; Cost_in_dollars!E2741 &amp; ""USD""))
"),26000000)</f>
        <v>26000000</v>
      </c>
      <c r="P2741" s="4">
        <f ca="1">IFERROR(__xludf.DUMMYFUNCTION("IF(Cost_in_dollars!E2741=""USD"",Cost_in_dollars!C2741,Cost_in_dollars!C2741 * GOOGLEFINANCE(""CURRENCY:"" &amp; Cost_in_dollars!E2741 &amp; ""USD""))
"),23222861)</f>
        <v>23222861</v>
      </c>
      <c r="Q2741" s="6">
        <f t="shared" ca="1" si="60"/>
        <v>-2777139</v>
      </c>
      <c r="R2741" s="7" t="str">
        <f t="shared" si="61"/>
        <v>Agent Cody Banks 2: Destination London</v>
      </c>
      <c r="S2741" s="43" t="str">
        <f t="shared" si="64"/>
        <v>Action</v>
      </c>
    </row>
    <row r="2742" spans="1:19" ht="15.75" customHeight="1" x14ac:dyDescent="0.25">
      <c r="A2742" s="4" t="s">
        <v>101</v>
      </c>
      <c r="B2742" s="4">
        <v>113</v>
      </c>
      <c r="C2742" s="4">
        <v>10996440</v>
      </c>
      <c r="D2742" s="4" t="s">
        <v>7548</v>
      </c>
      <c r="E2742" s="4" t="s">
        <v>881</v>
      </c>
      <c r="F2742" s="4" t="s">
        <v>8726</v>
      </c>
      <c r="G2742" s="4">
        <v>19707</v>
      </c>
      <c r="H2742" s="4" t="s">
        <v>8727</v>
      </c>
      <c r="I2742" s="4">
        <v>128</v>
      </c>
      <c r="J2742" s="4" t="s">
        <v>23</v>
      </c>
      <c r="K2742" s="4" t="s">
        <v>24</v>
      </c>
      <c r="L2742" s="4">
        <v>13000000</v>
      </c>
      <c r="M2742" s="4">
        <v>2006</v>
      </c>
      <c r="N2742" s="4">
        <v>6.3</v>
      </c>
      <c r="O2742" s="4">
        <f ca="1">IFERROR(__xludf.DUMMYFUNCTION("IF(Cost_in_dollars!E2742=""USD"",Cost_in_dollars!B2742,Cost_in_dollars!B2742 * GOOGLEFINANCE(""CURRENCY:"" &amp; Cost_in_dollars!E2742 &amp; ""USD""))
"),13000000)</f>
        <v>13000000</v>
      </c>
      <c r="P2742" s="4">
        <f ca="1">IFERROR(__xludf.DUMMYFUNCTION("IF(Cost_in_dollars!E2742=""USD"",Cost_in_dollars!C2742,Cost_in_dollars!C2742 * GOOGLEFINANCE(""CURRENCY:"" &amp; Cost_in_dollars!E2742 &amp; ""USD""))
"),10996440)</f>
        <v>10996440</v>
      </c>
      <c r="Q2742" s="4">
        <f t="shared" ca="1" si="60"/>
        <v>-2003560</v>
      </c>
      <c r="R2742" s="5" t="str">
        <f t="shared" si="61"/>
        <v>The Astronaut Farmer</v>
      </c>
      <c r="S2742" s="43" t="str">
        <f t="shared" si="64"/>
        <v>Adventure</v>
      </c>
    </row>
    <row r="2743" spans="1:19" ht="15.75" customHeight="1" x14ac:dyDescent="0.25">
      <c r="A2743" s="6" t="s">
        <v>6847</v>
      </c>
      <c r="B2743" s="6">
        <v>91</v>
      </c>
      <c r="C2743" s="6">
        <v>43575716</v>
      </c>
      <c r="D2743" s="6" t="s">
        <v>1839</v>
      </c>
      <c r="E2743" s="6" t="s">
        <v>1072</v>
      </c>
      <c r="F2743" s="6" t="s">
        <v>8728</v>
      </c>
      <c r="G2743" s="6">
        <v>10233</v>
      </c>
      <c r="H2743" s="6" t="s">
        <v>8729</v>
      </c>
      <c r="I2743" s="6">
        <v>63</v>
      </c>
      <c r="J2743" s="6" t="s">
        <v>23</v>
      </c>
      <c r="K2743" s="6" t="s">
        <v>24</v>
      </c>
      <c r="L2743" s="6">
        <v>85000000</v>
      </c>
      <c r="M2743" s="6">
        <v>2010</v>
      </c>
      <c r="N2743" s="6">
        <v>4.3</v>
      </c>
      <c r="O2743" s="4">
        <f ca="1">IFERROR(__xludf.DUMMYFUNCTION("IF(Cost_in_dollars!E2743=""USD"",Cost_in_dollars!B2743,Cost_in_dollars!B2743 * GOOGLEFINANCE(""CURRENCY:"" &amp; Cost_in_dollars!E2743 &amp; ""USD""))
"),85000000)</f>
        <v>85000000</v>
      </c>
      <c r="P2743" s="4">
        <f ca="1">IFERROR(__xludf.DUMMYFUNCTION("IF(Cost_in_dollars!E2743=""USD"",Cost_in_dollars!C2743,Cost_in_dollars!C2743 * GOOGLEFINANCE(""CURRENCY:"" &amp; Cost_in_dollars!E2743 &amp; ""USD""))
"),43575716)</f>
        <v>43575716</v>
      </c>
      <c r="Q2743" s="6">
        <f t="shared" ca="1" si="60"/>
        <v>-41424284</v>
      </c>
      <c r="R2743" s="7" t="str">
        <f t="shared" si="61"/>
        <v>Cats &amp; Dogs: The Revenge of Kitty Galore</v>
      </c>
      <c r="S2743" s="43" t="str">
        <f t="shared" si="64"/>
        <v>Action</v>
      </c>
    </row>
    <row r="2744" spans="1:19" ht="15.75" customHeight="1" x14ac:dyDescent="0.25">
      <c r="A2744" s="4" t="s">
        <v>8730</v>
      </c>
      <c r="B2744" s="4">
        <v>47</v>
      </c>
      <c r="C2744" s="4">
        <v>104257</v>
      </c>
      <c r="D2744" s="4" t="s">
        <v>324</v>
      </c>
      <c r="E2744" s="4" t="s">
        <v>8731</v>
      </c>
      <c r="F2744" s="4" t="s">
        <v>8732</v>
      </c>
      <c r="G2744" s="4">
        <v>19194</v>
      </c>
      <c r="H2744" s="4" t="s">
        <v>8733</v>
      </c>
      <c r="I2744" s="4">
        <v>160</v>
      </c>
      <c r="J2744" s="4" t="s">
        <v>23</v>
      </c>
      <c r="K2744" s="4" t="s">
        <v>133</v>
      </c>
      <c r="L2744" s="4">
        <v>2200000</v>
      </c>
      <c r="M2744" s="4">
        <v>1999</v>
      </c>
      <c r="N2744" s="4">
        <v>7.1</v>
      </c>
      <c r="O2744" s="4">
        <f ca="1">IFERROR(__xludf.DUMMYFUNCTION("IF(Cost_in_dollars!E2744=""USD"",Cost_in_dollars!B2744,Cost_in_dollars!B2744 * GOOGLEFINANCE(""CURRENCY:"" &amp; Cost_in_dollars!E2744 &amp; ""USD""))
"),2827879.99999999)</f>
        <v>2827879.9999999902</v>
      </c>
      <c r="P2744" s="4">
        <f ca="1">IFERROR(__xludf.DUMMYFUNCTION("IF(Cost_in_dollars!E2744=""USD"",Cost_in_dollars!C2744,Cost_in_dollars!C2744 * GOOGLEFINANCE(""CURRENCY:"" &amp; Cost_in_dollars!E2744 &amp; ""USD""))
"),134011.9478)</f>
        <v>134011.94779999999</v>
      </c>
      <c r="Q2744" s="4">
        <f t="shared" ca="1" si="60"/>
        <v>-2693868.05219999</v>
      </c>
      <c r="R2744" s="5" t="str">
        <f t="shared" si="61"/>
        <v>Human Traffic</v>
      </c>
      <c r="S2744" s="43" t="str">
        <f t="shared" si="64"/>
        <v>Comedy</v>
      </c>
    </row>
    <row r="2745" spans="1:19" ht="15.75" customHeight="1" x14ac:dyDescent="0.25">
      <c r="A2745" s="6" t="s">
        <v>8734</v>
      </c>
      <c r="B2745" s="6">
        <v>146</v>
      </c>
      <c r="C2745" s="6">
        <v>43818159</v>
      </c>
      <c r="D2745" s="6" t="s">
        <v>568</v>
      </c>
      <c r="E2745" s="6" t="s">
        <v>1168</v>
      </c>
      <c r="F2745" s="6" t="s">
        <v>8735</v>
      </c>
      <c r="G2745" s="6">
        <v>27664</v>
      </c>
      <c r="H2745" s="6" t="s">
        <v>8736</v>
      </c>
      <c r="I2745" s="6">
        <v>260</v>
      </c>
      <c r="J2745" s="6" t="s">
        <v>23</v>
      </c>
      <c r="K2745" s="6" t="s">
        <v>24</v>
      </c>
      <c r="L2745" s="6">
        <v>20000000</v>
      </c>
      <c r="M2745" s="6">
        <v>2008</v>
      </c>
      <c r="N2745" s="6">
        <v>3.9</v>
      </c>
      <c r="O2745" s="4">
        <f ca="1">IFERROR(__xludf.DUMMYFUNCTION("IF(Cost_in_dollars!E2745=""USD"",Cost_in_dollars!B2745,Cost_in_dollars!B2745 * GOOGLEFINANCE(""CURRENCY:"" &amp; Cost_in_dollars!E2745 &amp; ""USD""))
"),20000000)</f>
        <v>20000000</v>
      </c>
      <c r="P2745" s="4">
        <f ca="1">IFERROR(__xludf.DUMMYFUNCTION("IF(Cost_in_dollars!E2745=""USD"",Cost_in_dollars!C2745,Cost_in_dollars!C2745 * GOOGLEFINANCE(""CURRENCY:"" &amp; Cost_in_dollars!E2745 &amp; ""USD""))
"),43818159)</f>
        <v>43818159</v>
      </c>
      <c r="Q2745" s="6">
        <f t="shared" ca="1" si="60"/>
        <v>23818159</v>
      </c>
      <c r="R2745" s="7" t="str">
        <f t="shared" si="61"/>
        <v>Prom Night</v>
      </c>
      <c r="S2745" s="43" t="str">
        <f t="shared" si="64"/>
        <v>Horror</v>
      </c>
    </row>
    <row r="2746" spans="1:19" ht="15.75" customHeight="1" x14ac:dyDescent="0.25">
      <c r="A2746" s="4" t="s">
        <v>8737</v>
      </c>
      <c r="B2746" s="4">
        <v>11</v>
      </c>
      <c r="C2746" s="4">
        <v>1111</v>
      </c>
      <c r="D2746" s="4" t="s">
        <v>8738</v>
      </c>
      <c r="E2746" s="4" t="s">
        <v>8739</v>
      </c>
      <c r="F2746" s="4" t="s">
        <v>8740</v>
      </c>
      <c r="G2746" s="4">
        <v>771</v>
      </c>
      <c r="H2746" s="4" t="s">
        <v>8741</v>
      </c>
      <c r="I2746" s="4">
        <v>10</v>
      </c>
      <c r="J2746" s="4" t="s">
        <v>23</v>
      </c>
      <c r="K2746" s="4" t="s">
        <v>24</v>
      </c>
      <c r="L2746" s="4">
        <v>200000</v>
      </c>
      <c r="M2746" s="4">
        <v>2006</v>
      </c>
      <c r="N2746" s="4">
        <v>7.7</v>
      </c>
      <c r="O2746" s="4">
        <f ca="1">IFERROR(__xludf.DUMMYFUNCTION("IF(Cost_in_dollars!E2746=""USD"",Cost_in_dollars!B2746,Cost_in_dollars!B2746 * GOOGLEFINANCE(""CURRENCY:"" &amp; Cost_in_dollars!E2746 &amp; ""USD""))
"),200000)</f>
        <v>200000</v>
      </c>
      <c r="P2746" s="4">
        <f ca="1">IFERROR(__xludf.DUMMYFUNCTION("IF(Cost_in_dollars!E2746=""USD"",Cost_in_dollars!C2746,Cost_in_dollars!C2746 * GOOGLEFINANCE(""CURRENCY:"" &amp; Cost_in_dollars!E2746 &amp; ""USD""))
"),1111)</f>
        <v>1111</v>
      </c>
      <c r="Q2746" s="4">
        <f t="shared" ca="1" si="60"/>
        <v>-198889</v>
      </c>
      <c r="R2746" s="5" t="str">
        <f t="shared" si="61"/>
        <v>The Trials of Darryl Hunt</v>
      </c>
      <c r="S2746" s="43" t="str">
        <f t="shared" si="64"/>
        <v>Crime</v>
      </c>
    </row>
    <row r="2747" spans="1:19" ht="15.75" customHeight="1" x14ac:dyDescent="0.25">
      <c r="A2747" s="6" t="s">
        <v>8742</v>
      </c>
      <c r="B2747" s="6">
        <v>308</v>
      </c>
      <c r="C2747" s="6">
        <v>336029560</v>
      </c>
      <c r="D2747" s="6" t="s">
        <v>2174</v>
      </c>
      <c r="E2747" s="6" t="s">
        <v>1083</v>
      </c>
      <c r="F2747" s="6" t="s">
        <v>8743</v>
      </c>
      <c r="G2747" s="6">
        <v>142403</v>
      </c>
      <c r="H2747" s="6" t="s">
        <v>8744</v>
      </c>
      <c r="I2747" s="6">
        <v>275</v>
      </c>
      <c r="J2747" s="6" t="s">
        <v>23</v>
      </c>
      <c r="K2747" s="6" t="s">
        <v>24</v>
      </c>
      <c r="L2747" s="6">
        <v>74000000</v>
      </c>
      <c r="M2747" s="6">
        <v>2015</v>
      </c>
      <c r="N2747" s="6">
        <v>6.4</v>
      </c>
      <c r="O2747" s="4">
        <f ca="1">IFERROR(__xludf.DUMMYFUNCTION("IF(Cost_in_dollars!E2747=""USD"",Cost_in_dollars!B2747,Cost_in_dollars!B2747 * GOOGLEFINANCE(""CURRENCY:"" &amp; Cost_in_dollars!E2747 &amp; ""USD""))
"),74000000)</f>
        <v>74000000</v>
      </c>
      <c r="P2747" s="4">
        <f ca="1">IFERROR(__xludf.DUMMYFUNCTION("IF(Cost_in_dollars!E2747=""USD"",Cost_in_dollars!C2747,Cost_in_dollars!C2747 * GOOGLEFINANCE(""CURRENCY:"" &amp; Cost_in_dollars!E2747 &amp; ""USD""))
"),336029560)</f>
        <v>336029560</v>
      </c>
      <c r="Q2747" s="6">
        <f t="shared" ca="1" si="60"/>
        <v>262029560</v>
      </c>
      <c r="R2747" s="7" t="str">
        <f t="shared" si="61"/>
        <v>Minions</v>
      </c>
      <c r="S2747" s="43" t="str">
        <f t="shared" si="64"/>
        <v>Action</v>
      </c>
    </row>
    <row r="2748" spans="1:19" ht="15.75" customHeight="1" x14ac:dyDescent="0.25">
      <c r="A2748" s="4" t="s">
        <v>5658</v>
      </c>
      <c r="B2748" s="4">
        <v>139</v>
      </c>
      <c r="C2748" s="4">
        <v>77264926</v>
      </c>
      <c r="D2748" s="4" t="s">
        <v>860</v>
      </c>
      <c r="E2748" s="4" t="s">
        <v>4621</v>
      </c>
      <c r="F2748" s="4" t="s">
        <v>8745</v>
      </c>
      <c r="G2748" s="4">
        <v>21176</v>
      </c>
      <c r="H2748" s="4" t="s">
        <v>8746</v>
      </c>
      <c r="I2748" s="4">
        <v>107</v>
      </c>
      <c r="J2748" s="4" t="s">
        <v>23</v>
      </c>
      <c r="K2748" s="4" t="s">
        <v>24</v>
      </c>
      <c r="L2748" s="4">
        <v>25000000</v>
      </c>
      <c r="M2748" s="4">
        <v>2012</v>
      </c>
      <c r="N2748" s="4">
        <v>6.1</v>
      </c>
      <c r="O2748" s="4">
        <f ca="1">IFERROR(__xludf.DUMMYFUNCTION("IF(Cost_in_dollars!E2748=""USD"",Cost_in_dollars!B2748,Cost_in_dollars!B2748 * GOOGLEFINANCE(""CURRENCY:"" &amp; Cost_in_dollars!E2748 &amp; ""USD""))
"),25000000)</f>
        <v>25000000</v>
      </c>
      <c r="P2748" s="4">
        <f ca="1">IFERROR(__xludf.DUMMYFUNCTION("IF(Cost_in_dollars!E2748=""USD"",Cost_in_dollars!C2748,Cost_in_dollars!C2748 * GOOGLEFINANCE(""CURRENCY:"" &amp; Cost_in_dollars!E2748 &amp; ""USD""))
"),77264926)</f>
        <v>77264926</v>
      </c>
      <c r="Q2748" s="4">
        <f t="shared" ca="1" si="60"/>
        <v>52264926</v>
      </c>
      <c r="R2748" s="5" t="str">
        <f t="shared" si="61"/>
        <v>Parental Guidance</v>
      </c>
      <c r="S2748" s="43" t="str">
        <f t="shared" si="64"/>
        <v>Comedy</v>
      </c>
    </row>
    <row r="2749" spans="1:19" ht="15.75" customHeight="1" x14ac:dyDescent="0.25">
      <c r="A2749" s="6" t="s">
        <v>7911</v>
      </c>
      <c r="B2749" s="6">
        <v>316</v>
      </c>
      <c r="C2749" s="6">
        <v>134568845</v>
      </c>
      <c r="D2749" s="6" t="s">
        <v>1515</v>
      </c>
      <c r="E2749" s="6" t="s">
        <v>847</v>
      </c>
      <c r="F2749" s="6" t="s">
        <v>8747</v>
      </c>
      <c r="G2749" s="6">
        <v>299852</v>
      </c>
      <c r="H2749" s="6" t="s">
        <v>8748</v>
      </c>
      <c r="I2749" s="6">
        <v>713</v>
      </c>
      <c r="J2749" s="6" t="s">
        <v>23</v>
      </c>
      <c r="K2749" s="6" t="s">
        <v>24</v>
      </c>
      <c r="L2749" s="6">
        <v>75000000</v>
      </c>
      <c r="M2749" s="6">
        <v>2008</v>
      </c>
      <c r="N2749" s="6">
        <v>6.7</v>
      </c>
      <c r="O2749" s="4">
        <f ca="1">IFERROR(__xludf.DUMMYFUNCTION("IF(Cost_in_dollars!E2749=""USD"",Cost_in_dollars!B2749,Cost_in_dollars!B2749 * GOOGLEFINANCE(""CURRENCY:"" &amp; Cost_in_dollars!E2749 &amp; ""USD""))
"),75000000)</f>
        <v>75000000</v>
      </c>
      <c r="P2749" s="4">
        <f ca="1">IFERROR(__xludf.DUMMYFUNCTION("IF(Cost_in_dollars!E2749=""USD"",Cost_in_dollars!C2749,Cost_in_dollars!C2749 * GOOGLEFINANCE(""CURRENCY:"" &amp; Cost_in_dollars!E2749 &amp; ""USD""))
"),134568845)</f>
        <v>134568845</v>
      </c>
      <c r="Q2749" s="6">
        <f t="shared" ca="1" si="60"/>
        <v>59568845</v>
      </c>
      <c r="R2749" s="7" t="str">
        <f t="shared" si="61"/>
        <v>Wanted</v>
      </c>
      <c r="S2749" s="43" t="str">
        <f t="shared" si="64"/>
        <v>Action</v>
      </c>
    </row>
    <row r="2750" spans="1:19" ht="15.75" customHeight="1" x14ac:dyDescent="0.25">
      <c r="A2750" s="4" t="s">
        <v>8749</v>
      </c>
      <c r="B2750" s="4">
        <v>326</v>
      </c>
      <c r="C2750" s="4">
        <v>124868837</v>
      </c>
      <c r="D2750" s="4" t="s">
        <v>235</v>
      </c>
      <c r="E2750" s="4" t="s">
        <v>7316</v>
      </c>
      <c r="F2750" s="4" t="s">
        <v>8750</v>
      </c>
      <c r="G2750" s="4">
        <v>249688</v>
      </c>
      <c r="H2750" s="4" t="s">
        <v>8751</v>
      </c>
      <c r="I2750" s="4">
        <v>548</v>
      </c>
      <c r="J2750" s="4" t="s">
        <v>23</v>
      </c>
      <c r="K2750" s="4" t="s">
        <v>24</v>
      </c>
      <c r="L2750" s="4">
        <v>12000000</v>
      </c>
      <c r="M2750" s="4">
        <v>2014</v>
      </c>
      <c r="N2750" s="4">
        <v>7.8</v>
      </c>
      <c r="O2750" s="4">
        <f ca="1">IFERROR(__xludf.DUMMYFUNCTION("IF(Cost_in_dollars!E2750=""USD"",Cost_in_dollars!B2750,Cost_in_dollars!B2750 * GOOGLEFINANCE(""CURRENCY:"" &amp; Cost_in_dollars!E2750 &amp; ""USD""))
"),12000000)</f>
        <v>12000000</v>
      </c>
      <c r="P2750" s="4">
        <f ca="1">IFERROR(__xludf.DUMMYFUNCTION("IF(Cost_in_dollars!E2750=""USD"",Cost_in_dollars!C2750,Cost_in_dollars!C2750 * GOOGLEFINANCE(""CURRENCY:"" &amp; Cost_in_dollars!E2750 &amp; ""USD""))
"),124868837)</f>
        <v>124868837</v>
      </c>
      <c r="Q2750" s="4">
        <f t="shared" ca="1" si="60"/>
        <v>112868837</v>
      </c>
      <c r="R2750" s="5" t="str">
        <f t="shared" si="61"/>
        <v>The Fault in Our Stars</v>
      </c>
      <c r="S2750" s="43" t="str">
        <f t="shared" si="64"/>
        <v>Drama</v>
      </c>
    </row>
    <row r="2751" spans="1:19" ht="15.75" customHeight="1" x14ac:dyDescent="0.25">
      <c r="A2751" s="6" t="s">
        <v>1001</v>
      </c>
      <c r="B2751" s="6">
        <v>446</v>
      </c>
      <c r="C2751" s="6">
        <v>218051260</v>
      </c>
      <c r="D2751" s="6" t="s">
        <v>1002</v>
      </c>
      <c r="E2751" s="6" t="s">
        <v>877</v>
      </c>
      <c r="F2751" s="6" t="s">
        <v>1003</v>
      </c>
      <c r="G2751" s="6">
        <v>316027</v>
      </c>
      <c r="H2751" s="6" t="s">
        <v>1004</v>
      </c>
      <c r="I2751" s="6">
        <v>2618</v>
      </c>
      <c r="J2751" s="6" t="s">
        <v>23</v>
      </c>
      <c r="K2751" s="6" t="s">
        <v>1005</v>
      </c>
      <c r="L2751" s="6">
        <v>207000000</v>
      </c>
      <c r="M2751" s="6">
        <v>2005</v>
      </c>
      <c r="N2751" s="6">
        <v>7.2</v>
      </c>
      <c r="O2751" s="4">
        <f ca="1">IFERROR(__xludf.DUMMYFUNCTION("IF(Cost_in_dollars!E2751=""USD"",Cost_in_dollars!B2751,Cost_in_dollars!B2751 * GOOGLEFINANCE(""CURRENCY:"" &amp; Cost_in_dollars!E2751 &amp; ""USD""))
"),121870214.999999)</f>
        <v>121870214.999999</v>
      </c>
      <c r="P2751" s="4">
        <f ca="1">IFERROR(__xludf.DUMMYFUNCTION("IF(Cost_in_dollars!E2751=""USD"",Cost_in_dollars!C2751,Cost_in_dollars!C2751 * GOOGLEFINANCE(""CURRENCY:"" &amp; Cost_in_dollars!E2751 &amp; ""USD""))
"),128376589.068699)</f>
        <v>128376589.068699</v>
      </c>
      <c r="Q2751" s="6">
        <f t="shared" ca="1" si="60"/>
        <v>6506374.0687000006</v>
      </c>
      <c r="R2751" s="7" t="str">
        <f t="shared" si="61"/>
        <v>King Kong</v>
      </c>
      <c r="S2751" s="43" t="str">
        <f t="shared" si="64"/>
        <v>Action</v>
      </c>
    </row>
    <row r="2752" spans="1:19" ht="15.75" customHeight="1" x14ac:dyDescent="0.25">
      <c r="A2752" s="4" t="s">
        <v>1098</v>
      </c>
      <c r="B2752" s="4">
        <v>113</v>
      </c>
      <c r="C2752" s="4">
        <v>12232937</v>
      </c>
      <c r="D2752" s="4" t="s">
        <v>155</v>
      </c>
      <c r="E2752" s="4" t="s">
        <v>8752</v>
      </c>
      <c r="F2752" s="4" t="s">
        <v>8753</v>
      </c>
      <c r="G2752" s="4">
        <v>22823</v>
      </c>
      <c r="H2752" s="4" t="s">
        <v>8754</v>
      </c>
      <c r="I2752" s="4">
        <v>113</v>
      </c>
      <c r="J2752" s="4" t="s">
        <v>23</v>
      </c>
      <c r="K2752" s="4" t="s">
        <v>24</v>
      </c>
      <c r="L2752" s="4">
        <v>22000000</v>
      </c>
      <c r="M2752" s="4">
        <v>2009</v>
      </c>
      <c r="N2752" s="4">
        <v>5.6</v>
      </c>
      <c r="O2752" s="4">
        <f ca="1">IFERROR(__xludf.DUMMYFUNCTION("IF(Cost_in_dollars!E2752=""USD"",Cost_in_dollars!B2752,Cost_in_dollars!B2752 * GOOGLEFINANCE(""CURRENCY:"" &amp; Cost_in_dollars!E2752 &amp; ""USD""))
"),22000000)</f>
        <v>22000000</v>
      </c>
      <c r="P2752" s="4">
        <f ca="1">IFERROR(__xludf.DUMMYFUNCTION("IF(Cost_in_dollars!E2752=""USD"",Cost_in_dollars!C2752,Cost_in_dollars!C2752 * GOOGLEFINANCE(""CURRENCY:"" &amp; Cost_in_dollars!E2752 &amp; ""USD""))
"),12232937)</f>
        <v>12232937</v>
      </c>
      <c r="Q2752" s="4">
        <f t="shared" ca="1" si="60"/>
        <v>-9767063</v>
      </c>
      <c r="R2752" s="5" t="str">
        <f t="shared" si="61"/>
        <v>12 Rounds</v>
      </c>
      <c r="S2752" s="43" t="str">
        <f t="shared" si="64"/>
        <v>Action</v>
      </c>
    </row>
    <row r="2753" spans="1:19" ht="15.75" customHeight="1" x14ac:dyDescent="0.25">
      <c r="A2753" s="6" t="s">
        <v>962</v>
      </c>
      <c r="B2753" s="6">
        <v>72</v>
      </c>
      <c r="C2753" s="6">
        <v>70001698</v>
      </c>
      <c r="D2753" s="6" t="s">
        <v>6923</v>
      </c>
      <c r="E2753" s="6" t="s">
        <v>223</v>
      </c>
      <c r="F2753" s="6" t="s">
        <v>8755</v>
      </c>
      <c r="G2753" s="6">
        <v>76842</v>
      </c>
      <c r="H2753" s="6" t="s">
        <v>8756</v>
      </c>
      <c r="I2753" s="6">
        <v>173</v>
      </c>
      <c r="J2753" s="6" t="s">
        <v>23</v>
      </c>
      <c r="K2753" s="6" t="s">
        <v>24</v>
      </c>
      <c r="L2753" s="6">
        <v>14000000</v>
      </c>
      <c r="M2753" s="6">
        <v>1989</v>
      </c>
      <c r="N2753" s="6">
        <v>7.2</v>
      </c>
      <c r="O2753" s="4">
        <f ca="1">IFERROR(__xludf.DUMMYFUNCTION("IF(Cost_in_dollars!E2753=""USD"",Cost_in_dollars!B2753,Cost_in_dollars!B2753 * GOOGLEFINANCE(""CURRENCY:"" &amp; Cost_in_dollars!E2753 &amp; ""USD""))
"),14000000)</f>
        <v>14000000</v>
      </c>
      <c r="P2753" s="4">
        <f ca="1">IFERROR(__xludf.DUMMYFUNCTION("IF(Cost_in_dollars!E2753=""USD"",Cost_in_dollars!C2753,Cost_in_dollars!C2753 * GOOGLEFINANCE(""CURRENCY:"" &amp; Cost_in_dollars!E2753 &amp; ""USD""))
"),70001698)</f>
        <v>70001698</v>
      </c>
      <c r="Q2753" s="6">
        <f t="shared" ca="1" si="60"/>
        <v>56001698</v>
      </c>
      <c r="R2753" s="7" t="str">
        <f t="shared" si="61"/>
        <v>Born on the Fourth of July</v>
      </c>
      <c r="S2753" s="43" t="str">
        <f t="shared" si="64"/>
        <v>Biography</v>
      </c>
    </row>
    <row r="2754" spans="1:19" ht="15.75" customHeight="1" x14ac:dyDescent="0.25">
      <c r="A2754" s="4" t="s">
        <v>1907</v>
      </c>
      <c r="B2754" s="4">
        <v>101</v>
      </c>
      <c r="C2754" s="4">
        <v>15131330</v>
      </c>
      <c r="D2754" s="4" t="s">
        <v>868</v>
      </c>
      <c r="E2754" s="4" t="s">
        <v>8757</v>
      </c>
      <c r="F2754" s="4" t="s">
        <v>8758</v>
      </c>
      <c r="G2754" s="4">
        <v>25843</v>
      </c>
      <c r="H2754" s="4" t="s">
        <v>8759</v>
      </c>
      <c r="I2754" s="4">
        <v>64</v>
      </c>
      <c r="J2754" s="4" t="s">
        <v>23</v>
      </c>
      <c r="K2754" s="4" t="s">
        <v>611</v>
      </c>
      <c r="L2754" s="4">
        <v>86000000</v>
      </c>
      <c r="M2754" s="4">
        <v>2006</v>
      </c>
      <c r="N2754" s="4">
        <v>6</v>
      </c>
      <c r="O2754" s="4">
        <f ca="1">IFERROR(__xludf.DUMMYFUNCTION("IF(Cost_in_dollars!E2754=""USD"",Cost_in_dollars!B2754,Cost_in_dollars!B2754 * GOOGLEFINANCE(""CURRENCY:"" &amp; Cost_in_dollars!E2754 &amp; ""USD""))
"),93287640)</f>
        <v>93287640</v>
      </c>
      <c r="P2754" s="4">
        <f ca="1">IFERROR(__xludf.DUMMYFUNCTION("IF(Cost_in_dollars!E2754=""USD"",Cost_in_dollars!C2754,Cost_in_dollars!C2754 * GOOGLEFINANCE(""CURRENCY:"" &amp; Cost_in_dollars!E2754 &amp; ""USD""))
"),16413558.9042)</f>
        <v>16413558.904200001</v>
      </c>
      <c r="Q2754" s="4">
        <f t="shared" ca="1" si="60"/>
        <v>-76874081.095799997</v>
      </c>
      <c r="R2754" s="5" t="str">
        <f t="shared" si="61"/>
        <v>Arthur and the Invisibles</v>
      </c>
      <c r="S2754" s="43" t="str">
        <f t="shared" ref="S2754:S2817" si="65">IF(ISNUMBER(FIND("|", D2754)), LEFT(D2754, FIND("|", D2754) - 1), D2754)</f>
        <v>Adventure</v>
      </c>
    </row>
    <row r="2755" spans="1:19" ht="15.75" customHeight="1" x14ac:dyDescent="0.25">
      <c r="A2755" s="6" t="s">
        <v>8760</v>
      </c>
      <c r="B2755" s="6">
        <v>200</v>
      </c>
      <c r="C2755" s="6">
        <v>2268296</v>
      </c>
      <c r="D2755" s="6" t="s">
        <v>372</v>
      </c>
      <c r="E2755" s="6" t="s">
        <v>8761</v>
      </c>
      <c r="F2755" s="6" t="s">
        <v>8762</v>
      </c>
      <c r="G2755" s="6">
        <v>41856</v>
      </c>
      <c r="H2755" s="6" t="s">
        <v>8763</v>
      </c>
      <c r="I2755" s="6">
        <v>119</v>
      </c>
      <c r="J2755" s="6" t="s">
        <v>23</v>
      </c>
      <c r="K2755" s="6" t="s">
        <v>133</v>
      </c>
      <c r="L2755" s="6">
        <v>6500000</v>
      </c>
      <c r="M2755" s="6">
        <v>2013</v>
      </c>
      <c r="N2755" s="6">
        <v>6.9</v>
      </c>
      <c r="O2755" s="4">
        <f ca="1">IFERROR(__xludf.DUMMYFUNCTION("IF(Cost_in_dollars!E2755=""USD"",Cost_in_dollars!B2755,Cost_in_dollars!B2755 * GOOGLEFINANCE(""CURRENCY:"" &amp; Cost_in_dollars!E2755 &amp; ""USD""))
"),8355099.99999999)</f>
        <v>8355099.9999999898</v>
      </c>
      <c r="P2755" s="4">
        <f ca="1">IFERROR(__xludf.DUMMYFUNCTION("IF(Cost_in_dollars!E2755=""USD"",Cost_in_dollars!C2755,Cost_in_dollars!C2755 * GOOGLEFINANCE(""CURRENCY:"" &amp; Cost_in_dollars!E2755 &amp; ""USD""))
"),2915667.67839999)</f>
        <v>2915667.6783999898</v>
      </c>
      <c r="Q2755" s="6">
        <f t="shared" ca="1" si="60"/>
        <v>-5439432.3215999994</v>
      </c>
      <c r="R2755" s="7" t="str">
        <f t="shared" si="61"/>
        <v>The East</v>
      </c>
      <c r="S2755" s="43" t="str">
        <f t="shared" si="65"/>
        <v>Drama</v>
      </c>
    </row>
    <row r="2756" spans="1:19" ht="15.75" customHeight="1" x14ac:dyDescent="0.25">
      <c r="A2756" s="4" t="s">
        <v>37</v>
      </c>
      <c r="B2756" s="4">
        <v>366</v>
      </c>
      <c r="C2756" s="4">
        <v>148085755</v>
      </c>
      <c r="D2756" s="4" t="s">
        <v>102</v>
      </c>
      <c r="E2756" s="4" t="s">
        <v>37</v>
      </c>
      <c r="F2756" s="4" t="s">
        <v>8764</v>
      </c>
      <c r="G2756" s="4">
        <v>561773</v>
      </c>
      <c r="H2756" s="4" t="s">
        <v>8765</v>
      </c>
      <c r="I2756" s="4">
        <v>871</v>
      </c>
      <c r="J2756" s="4" t="s">
        <v>23</v>
      </c>
      <c r="K2756" s="4" t="s">
        <v>24</v>
      </c>
      <c r="L2756" s="4">
        <v>33000000</v>
      </c>
      <c r="M2756" s="4">
        <v>2008</v>
      </c>
      <c r="N2756" s="4">
        <v>8.1999999999999993</v>
      </c>
      <c r="O2756" s="4">
        <f ca="1">IFERROR(__xludf.DUMMYFUNCTION("IF(Cost_in_dollars!E2756=""USD"",Cost_in_dollars!B2756,Cost_in_dollars!B2756 * GOOGLEFINANCE(""CURRENCY:"" &amp; Cost_in_dollars!E2756 &amp; ""USD""))
"),33000000)</f>
        <v>33000000</v>
      </c>
      <c r="P2756" s="4">
        <f ca="1">IFERROR(__xludf.DUMMYFUNCTION("IF(Cost_in_dollars!E2756=""USD"",Cost_in_dollars!C2756,Cost_in_dollars!C2756 * GOOGLEFINANCE(""CURRENCY:"" &amp; Cost_in_dollars!E2756 &amp; ""USD""))
"),148085755)</f>
        <v>148085755</v>
      </c>
      <c r="Q2756" s="4">
        <f t="shared" ca="1" si="60"/>
        <v>115085755</v>
      </c>
      <c r="R2756" s="5" t="str">
        <f t="shared" si="61"/>
        <v>Gran Torino</v>
      </c>
      <c r="S2756" s="43" t="str">
        <f t="shared" si="65"/>
        <v>Drama</v>
      </c>
    </row>
    <row r="2757" spans="1:19" ht="15.75" customHeight="1" x14ac:dyDescent="0.25">
      <c r="A2757" s="6" t="s">
        <v>628</v>
      </c>
      <c r="B2757" s="6">
        <v>57</v>
      </c>
      <c r="C2757" s="6">
        <v>66528842</v>
      </c>
      <c r="D2757" s="6" t="s">
        <v>6226</v>
      </c>
      <c r="E2757" s="6" t="s">
        <v>240</v>
      </c>
      <c r="F2757" s="6" t="s">
        <v>8766</v>
      </c>
      <c r="G2757" s="6">
        <v>112175</v>
      </c>
      <c r="H2757" s="6" t="s">
        <v>8767</v>
      </c>
      <c r="I2757" s="6">
        <v>329</v>
      </c>
      <c r="J2757" s="6" t="s">
        <v>23</v>
      </c>
      <c r="K2757" s="6" t="s">
        <v>24</v>
      </c>
      <c r="L2757" s="6">
        <v>30000000</v>
      </c>
      <c r="M2757" s="6">
        <v>1994</v>
      </c>
      <c r="N2757" s="6">
        <v>7.5</v>
      </c>
      <c r="O2757" s="4">
        <f ca="1">IFERROR(__xludf.DUMMYFUNCTION("IF(Cost_in_dollars!E2757=""USD"",Cost_in_dollars!B2757,Cost_in_dollars!B2757 * GOOGLEFINANCE(""CURRENCY:"" &amp; Cost_in_dollars!E2757 &amp; ""USD""))
"),30000000)</f>
        <v>30000000</v>
      </c>
      <c r="P2757" s="4">
        <f ca="1">IFERROR(__xludf.DUMMYFUNCTION("IF(Cost_in_dollars!E2757=""USD"",Cost_in_dollars!C2757,Cost_in_dollars!C2757 * GOOGLEFINANCE(""CURRENCY:"" &amp; Cost_in_dollars!E2757 &amp; ""USD""))
"),66528842)</f>
        <v>66528842</v>
      </c>
      <c r="Q2757" s="6">
        <f t="shared" ca="1" si="60"/>
        <v>36528842</v>
      </c>
      <c r="R2757" s="7" t="str">
        <f t="shared" si="61"/>
        <v>Legends of the Fall</v>
      </c>
      <c r="S2757" s="43" t="str">
        <f t="shared" si="65"/>
        <v>Drama</v>
      </c>
    </row>
    <row r="2758" spans="1:19" ht="15.75" customHeight="1" x14ac:dyDescent="0.25">
      <c r="A2758" s="4" t="s">
        <v>539</v>
      </c>
      <c r="B2758" s="4">
        <v>185</v>
      </c>
      <c r="C2758" s="4">
        <v>155370362</v>
      </c>
      <c r="D2758" s="4" t="s">
        <v>1579</v>
      </c>
      <c r="E2758" s="4" t="s">
        <v>640</v>
      </c>
      <c r="F2758" s="4" t="s">
        <v>8768</v>
      </c>
      <c r="G2758" s="4">
        <v>98403</v>
      </c>
      <c r="H2758" s="4" t="s">
        <v>8769</v>
      </c>
      <c r="I2758" s="4">
        <v>683</v>
      </c>
      <c r="J2758" s="4" t="s">
        <v>23</v>
      </c>
      <c r="K2758" s="4" t="s">
        <v>24</v>
      </c>
      <c r="L2758" s="4">
        <v>100000000</v>
      </c>
      <c r="M2758" s="4">
        <v>2000</v>
      </c>
      <c r="N2758" s="4">
        <v>6.6</v>
      </c>
      <c r="O2758" s="4">
        <f ca="1">IFERROR(__xludf.DUMMYFUNCTION("IF(Cost_in_dollars!E2758=""USD"",Cost_in_dollars!B2758,Cost_in_dollars!B2758 * GOOGLEFINANCE(""CURRENCY:"" &amp; Cost_in_dollars!E2758 &amp; ""USD""))
"),100000000)</f>
        <v>100000000</v>
      </c>
      <c r="P2758" s="4">
        <f ca="1">IFERROR(__xludf.DUMMYFUNCTION("IF(Cost_in_dollars!E2758=""USD"",Cost_in_dollars!C2758,Cost_in_dollars!C2758 * GOOGLEFINANCE(""CURRENCY:"" &amp; Cost_in_dollars!E2758 &amp; ""USD""))
"),155370362)</f>
        <v>155370362</v>
      </c>
      <c r="Q2758" s="4">
        <f t="shared" ca="1" si="60"/>
        <v>55370362</v>
      </c>
      <c r="R2758" s="5" t="str">
        <f t="shared" si="61"/>
        <v>What Lies Beneath</v>
      </c>
      <c r="S2758" s="43" t="str">
        <f t="shared" si="65"/>
        <v>Drama</v>
      </c>
    </row>
    <row r="2759" spans="1:19" ht="15.75" customHeight="1" x14ac:dyDescent="0.25">
      <c r="A2759" s="6" t="s">
        <v>4354</v>
      </c>
      <c r="B2759" s="6">
        <v>261</v>
      </c>
      <c r="C2759" s="6">
        <v>255950375</v>
      </c>
      <c r="D2759" s="6" t="s">
        <v>1127</v>
      </c>
      <c r="E2759" s="6" t="s">
        <v>8770</v>
      </c>
      <c r="F2759" s="6" t="s">
        <v>8771</v>
      </c>
      <c r="G2759" s="6">
        <v>223127</v>
      </c>
      <c r="H2759" s="6" t="s">
        <v>8772</v>
      </c>
      <c r="I2759" s="6">
        <v>420</v>
      </c>
      <c r="J2759" s="6" t="s">
        <v>23</v>
      </c>
      <c r="K2759" s="6" t="s">
        <v>24</v>
      </c>
      <c r="L2759" s="6">
        <v>29000000</v>
      </c>
      <c r="M2759" s="6">
        <v>2009</v>
      </c>
      <c r="N2759" s="6">
        <v>7.7</v>
      </c>
      <c r="O2759" s="4">
        <f ca="1">IFERROR(__xludf.DUMMYFUNCTION("IF(Cost_in_dollars!E2759=""USD"",Cost_in_dollars!B2759,Cost_in_dollars!B2759 * GOOGLEFINANCE(""CURRENCY:"" &amp; Cost_in_dollars!E2759 &amp; ""USD""))
"),29000000)</f>
        <v>29000000</v>
      </c>
      <c r="P2759" s="4">
        <f ca="1">IFERROR(__xludf.DUMMYFUNCTION("IF(Cost_in_dollars!E2759=""USD"",Cost_in_dollars!C2759,Cost_in_dollars!C2759 * GOOGLEFINANCE(""CURRENCY:"" &amp; Cost_in_dollars!E2759 &amp; ""USD""))
"),255950375)</f>
        <v>255950375</v>
      </c>
      <c r="Q2759" s="6">
        <f t="shared" ca="1" si="60"/>
        <v>226950375</v>
      </c>
      <c r="R2759" s="7" t="str">
        <f t="shared" si="61"/>
        <v>The Blind Side</v>
      </c>
      <c r="S2759" s="43" t="str">
        <f t="shared" si="65"/>
        <v>Biography</v>
      </c>
    </row>
    <row r="2760" spans="1:19" ht="15.75" customHeight="1" x14ac:dyDescent="0.25">
      <c r="A2760" s="4" t="s">
        <v>1429</v>
      </c>
      <c r="B2760" s="4">
        <v>133</v>
      </c>
      <c r="C2760" s="4">
        <v>29580087</v>
      </c>
      <c r="D2760" s="4" t="s">
        <v>162</v>
      </c>
      <c r="E2760" s="4" t="s">
        <v>2197</v>
      </c>
      <c r="F2760" s="4" t="s">
        <v>8773</v>
      </c>
      <c r="G2760" s="4">
        <v>29523</v>
      </c>
      <c r="H2760" s="4" t="s">
        <v>8774</v>
      </c>
      <c r="I2760" s="4">
        <v>121</v>
      </c>
      <c r="J2760" s="4" t="s">
        <v>23</v>
      </c>
      <c r="K2760" s="4" t="s">
        <v>24</v>
      </c>
      <c r="L2760" s="4">
        <v>58000000</v>
      </c>
      <c r="M2760" s="4">
        <v>2009</v>
      </c>
      <c r="N2760" s="4">
        <v>4.7</v>
      </c>
      <c r="O2760" s="4">
        <f ca="1">IFERROR(__xludf.DUMMYFUNCTION("IF(Cost_in_dollars!E2760=""USD"",Cost_in_dollars!B2760,Cost_in_dollars!B2760 * GOOGLEFINANCE(""CURRENCY:"" &amp; Cost_in_dollars!E2760 &amp; ""USD""))
"),58000000)</f>
        <v>58000000</v>
      </c>
      <c r="P2760" s="4">
        <f ca="1">IFERROR(__xludf.DUMMYFUNCTION("IF(Cost_in_dollars!E2760=""USD"",Cost_in_dollars!C2760,Cost_in_dollars!C2760 * GOOGLEFINANCE(""CURRENCY:"" &amp; Cost_in_dollars!E2760 &amp; ""USD""))
"),29580087)</f>
        <v>29580087</v>
      </c>
      <c r="Q2760" s="4">
        <f t="shared" ca="1" si="60"/>
        <v>-28419913</v>
      </c>
      <c r="R2760" s="5" t="str">
        <f t="shared" si="61"/>
        <v>Did You Hear About the Morgans?</v>
      </c>
      <c r="S2760" s="43" t="str">
        <f t="shared" si="65"/>
        <v>Comedy</v>
      </c>
    </row>
    <row r="2761" spans="1:19" ht="15.75" customHeight="1" x14ac:dyDescent="0.25">
      <c r="A2761" s="6" t="s">
        <v>7984</v>
      </c>
      <c r="B2761" s="6">
        <v>516</v>
      </c>
      <c r="C2761" s="6">
        <v>407197282</v>
      </c>
      <c r="D2761" s="6" t="s">
        <v>188</v>
      </c>
      <c r="E2761" s="6" t="s">
        <v>330</v>
      </c>
      <c r="F2761" s="6" t="s">
        <v>8775</v>
      </c>
      <c r="G2761" s="6">
        <v>272670</v>
      </c>
      <c r="H2761" s="6" t="s">
        <v>8776</v>
      </c>
      <c r="I2761" s="6">
        <v>1022</v>
      </c>
      <c r="J2761" s="6" t="s">
        <v>23</v>
      </c>
      <c r="K2761" s="6" t="s">
        <v>24</v>
      </c>
      <c r="L2761" s="6">
        <v>250000000</v>
      </c>
      <c r="M2761" s="6">
        <v>2016</v>
      </c>
      <c r="N2761" s="6">
        <v>8.1999999999999993</v>
      </c>
      <c r="O2761" s="4">
        <f ca="1">IFERROR(__xludf.DUMMYFUNCTION("IF(Cost_in_dollars!E2761=""USD"",Cost_in_dollars!B2761,Cost_in_dollars!B2761 * GOOGLEFINANCE(""CURRENCY:"" &amp; Cost_in_dollars!E2761 &amp; ""USD""))
"),250000000)</f>
        <v>250000000</v>
      </c>
      <c r="P2761" s="4">
        <f ca="1">IFERROR(__xludf.DUMMYFUNCTION("IF(Cost_in_dollars!E2761=""USD"",Cost_in_dollars!C2761,Cost_in_dollars!C2761 * GOOGLEFINANCE(""CURRENCY:"" &amp; Cost_in_dollars!E2761 &amp; ""USD""))
"),407197282)</f>
        <v>407197282</v>
      </c>
      <c r="Q2761" s="6">
        <f t="shared" ca="1" si="60"/>
        <v>157197282</v>
      </c>
      <c r="R2761" s="7" t="str">
        <f t="shared" si="61"/>
        <v>Captain America: Civil War</v>
      </c>
      <c r="S2761" s="43" t="str">
        <f t="shared" si="65"/>
        <v>Action</v>
      </c>
    </row>
    <row r="2762" spans="1:19" ht="15.75" customHeight="1" x14ac:dyDescent="0.25">
      <c r="A2762" s="4" t="s">
        <v>2200</v>
      </c>
      <c r="B2762" s="4">
        <v>94</v>
      </c>
      <c r="C2762" s="4">
        <v>84185387</v>
      </c>
      <c r="D2762" s="4" t="s">
        <v>8777</v>
      </c>
      <c r="E2762" s="4" t="s">
        <v>3508</v>
      </c>
      <c r="F2762" s="4" t="s">
        <v>8778</v>
      </c>
      <c r="G2762" s="4">
        <v>33180</v>
      </c>
      <c r="H2762" s="4" t="s">
        <v>8779</v>
      </c>
      <c r="I2762" s="4">
        <v>149</v>
      </c>
      <c r="J2762" s="4" t="s">
        <v>23</v>
      </c>
      <c r="K2762" s="4" t="s">
        <v>24</v>
      </c>
      <c r="L2762" s="4">
        <v>80000000</v>
      </c>
      <c r="M2762" s="4">
        <v>2004</v>
      </c>
      <c r="N2762" s="4">
        <v>4.9000000000000004</v>
      </c>
      <c r="O2762" s="4">
        <f ca="1">IFERROR(__xludf.DUMMYFUNCTION("IF(Cost_in_dollars!E2762=""USD"",Cost_in_dollars!B2762,Cost_in_dollars!B2762 * GOOGLEFINANCE(""CURRENCY:"" &amp; Cost_in_dollars!E2762 &amp; ""USD""))
"),80000000)</f>
        <v>80000000</v>
      </c>
      <c r="P2762" s="4">
        <f ca="1">IFERROR(__xludf.DUMMYFUNCTION("IF(Cost_in_dollars!E2762=""USD"",Cost_in_dollars!C2762,Cost_in_dollars!C2762 * GOOGLEFINANCE(""CURRENCY:"" &amp; Cost_in_dollars!E2762 &amp; ""USD""))
"),84185387)</f>
        <v>84185387</v>
      </c>
      <c r="Q2762" s="4">
        <f t="shared" ca="1" si="60"/>
        <v>4185387</v>
      </c>
      <c r="R2762" s="5" t="str">
        <f t="shared" si="61"/>
        <v>Scooby-Doo 2: Monsters Unleashed</v>
      </c>
      <c r="S2762" s="43" t="str">
        <f t="shared" si="65"/>
        <v>Adventure</v>
      </c>
    </row>
    <row r="2763" spans="1:19" ht="15.75" customHeight="1" x14ac:dyDescent="0.25">
      <c r="A2763" s="6" t="s">
        <v>1258</v>
      </c>
      <c r="B2763" s="6">
        <v>158</v>
      </c>
      <c r="C2763" s="6">
        <v>40566655</v>
      </c>
      <c r="D2763" s="6" t="s">
        <v>162</v>
      </c>
      <c r="E2763" s="6" t="s">
        <v>8780</v>
      </c>
      <c r="F2763" s="6" t="s">
        <v>8781</v>
      </c>
      <c r="G2763" s="6">
        <v>144021</v>
      </c>
      <c r="H2763" s="6" t="s">
        <v>8782</v>
      </c>
      <c r="I2763" s="6">
        <v>391</v>
      </c>
      <c r="J2763" s="6" t="s">
        <v>23</v>
      </c>
      <c r="K2763" s="6" t="s">
        <v>133</v>
      </c>
      <c r="L2763" s="6">
        <v>30000000</v>
      </c>
      <c r="M2763" s="6">
        <v>2002</v>
      </c>
      <c r="N2763" s="6">
        <v>7.1</v>
      </c>
      <c r="O2763" s="4">
        <f ca="1">IFERROR(__xludf.DUMMYFUNCTION("IF(Cost_in_dollars!E2763=""USD"",Cost_in_dollars!B2763,Cost_in_dollars!B2763 * GOOGLEFINANCE(""CURRENCY:"" &amp; Cost_in_dollars!E2763 &amp; ""USD""))
"),38562000)</f>
        <v>38562000</v>
      </c>
      <c r="P2763" s="4">
        <f ca="1">IFERROR(__xludf.DUMMYFUNCTION("IF(Cost_in_dollars!E2763=""USD"",Cost_in_dollars!C2763,Cost_in_dollars!C2763 * GOOGLEFINANCE(""CURRENCY:"" &amp; Cost_in_dollars!E2763 &amp; ""USD""))
"),52144378.337)</f>
        <v>52144378.336999997</v>
      </c>
      <c r="Q2763" s="6">
        <f t="shared" ca="1" si="60"/>
        <v>13582378.336999997</v>
      </c>
      <c r="R2763" s="7" t="str">
        <f t="shared" si="61"/>
        <v>About a Boy</v>
      </c>
      <c r="S2763" s="43" t="str">
        <f t="shared" si="65"/>
        <v>Comedy</v>
      </c>
    </row>
    <row r="2764" spans="1:19" ht="15.75" customHeight="1" x14ac:dyDescent="0.25">
      <c r="A2764" s="4" t="s">
        <v>8783</v>
      </c>
      <c r="B2764" s="4">
        <v>18</v>
      </c>
      <c r="C2764" s="4">
        <v>5858</v>
      </c>
      <c r="D2764" s="4" t="s">
        <v>254</v>
      </c>
      <c r="E2764" s="4" t="s">
        <v>8784</v>
      </c>
      <c r="F2764" s="4" t="s">
        <v>8785</v>
      </c>
      <c r="G2764" s="4">
        <v>260</v>
      </c>
      <c r="H2764" s="4" t="s">
        <v>109</v>
      </c>
      <c r="I2764" s="4">
        <v>2</v>
      </c>
      <c r="J2764" s="4" t="s">
        <v>23</v>
      </c>
      <c r="K2764" s="4" t="s">
        <v>24</v>
      </c>
      <c r="L2764" s="4">
        <v>150000</v>
      </c>
      <c r="M2764" s="4">
        <v>2014</v>
      </c>
      <c r="N2764" s="4">
        <v>7.1</v>
      </c>
      <c r="O2764" s="4">
        <f ca="1">IFERROR(__xludf.DUMMYFUNCTION("IF(Cost_in_dollars!E2764=""USD"",Cost_in_dollars!B2764,Cost_in_dollars!B2764 * GOOGLEFINANCE(""CURRENCY:"" &amp; Cost_in_dollars!E2764 &amp; ""USD""))
"),150000)</f>
        <v>150000</v>
      </c>
      <c r="P2764" s="4">
        <f ca="1">IFERROR(__xludf.DUMMYFUNCTION("IF(Cost_in_dollars!E2764=""USD"",Cost_in_dollars!C2764,Cost_in_dollars!C2764 * GOOGLEFINANCE(""CURRENCY:"" &amp; Cost_in_dollars!E2764 &amp; ""USD""))
"),5858)</f>
        <v>5858</v>
      </c>
      <c r="Q2764" s="4">
        <f t="shared" ca="1" si="60"/>
        <v>-144142</v>
      </c>
      <c r="R2764" s="5" t="str">
        <f t="shared" si="61"/>
        <v>Top Spin</v>
      </c>
      <c r="S2764" s="43" t="str">
        <f t="shared" si="65"/>
        <v>Documentary</v>
      </c>
    </row>
    <row r="2765" spans="1:19" ht="15.75" customHeight="1" x14ac:dyDescent="0.25">
      <c r="A2765" s="6" t="s">
        <v>8786</v>
      </c>
      <c r="B2765" s="6">
        <v>45</v>
      </c>
      <c r="C2765" s="6">
        <v>12782508</v>
      </c>
      <c r="D2765" s="6" t="s">
        <v>102</v>
      </c>
      <c r="E2765" s="6" t="s">
        <v>1358</v>
      </c>
      <c r="F2765" s="6" t="s">
        <v>8787</v>
      </c>
      <c r="G2765" s="6">
        <v>20163</v>
      </c>
      <c r="H2765" s="6" t="s">
        <v>8788</v>
      </c>
      <c r="I2765" s="6">
        <v>71</v>
      </c>
      <c r="J2765" s="6" t="s">
        <v>23</v>
      </c>
      <c r="K2765" s="6" t="s">
        <v>24</v>
      </c>
      <c r="L2765" s="6">
        <v>23000000</v>
      </c>
      <c r="M2765" s="6">
        <v>1996</v>
      </c>
      <c r="N2765" s="6">
        <v>6.7</v>
      </c>
      <c r="O2765" s="4">
        <f ca="1">IFERROR(__xludf.DUMMYFUNCTION("IF(Cost_in_dollars!E2765=""USD"",Cost_in_dollars!B2765,Cost_in_dollars!B2765 * GOOGLEFINANCE(""CURRENCY:"" &amp; Cost_in_dollars!E2765 &amp; ""USD""))
"),23000000)</f>
        <v>23000000</v>
      </c>
      <c r="P2765" s="4">
        <f ca="1">IFERROR(__xludf.DUMMYFUNCTION("IF(Cost_in_dollars!E2765=""USD"",Cost_in_dollars!C2765,Cost_in_dollars!C2765 * GOOGLEFINANCE(""CURRENCY:"" &amp; Cost_in_dollars!E2765 &amp; ""USD""))
"),12782508)</f>
        <v>12782508</v>
      </c>
      <c r="Q2765" s="6">
        <f t="shared" ca="1" si="60"/>
        <v>-10217492</v>
      </c>
      <c r="R2765" s="7" t="str">
        <f t="shared" si="61"/>
        <v>Marvin's Room</v>
      </c>
      <c r="S2765" s="43" t="str">
        <f t="shared" si="65"/>
        <v>Drama</v>
      </c>
    </row>
    <row r="2766" spans="1:19" ht="15.75" customHeight="1" x14ac:dyDescent="0.25">
      <c r="A2766" s="4" t="s">
        <v>938</v>
      </c>
      <c r="B2766" s="4">
        <v>105</v>
      </c>
      <c r="C2766" s="4">
        <v>33105600</v>
      </c>
      <c r="D2766" s="4" t="s">
        <v>1210</v>
      </c>
      <c r="E2766" s="4" t="s">
        <v>3710</v>
      </c>
      <c r="F2766" s="4" t="s">
        <v>8789</v>
      </c>
      <c r="G2766" s="4">
        <v>41663</v>
      </c>
      <c r="H2766" s="4" t="s">
        <v>8790</v>
      </c>
      <c r="I2766" s="4">
        <v>141</v>
      </c>
      <c r="J2766" s="4" t="s">
        <v>23</v>
      </c>
      <c r="K2766" s="4" t="s">
        <v>24</v>
      </c>
      <c r="L2766" s="4">
        <v>70000000</v>
      </c>
      <c r="M2766" s="4">
        <v>2002</v>
      </c>
      <c r="N2766" s="4">
        <v>5.4</v>
      </c>
      <c r="O2766" s="4">
        <f ca="1">IFERROR(__xludf.DUMMYFUNCTION("IF(Cost_in_dollars!E2766=""USD"",Cost_in_dollars!B2766,Cost_in_dollars!B2766 * GOOGLEFINANCE(""CURRENCY:"" &amp; Cost_in_dollars!E2766 &amp; ""USD""))
"),70000000)</f>
        <v>70000000</v>
      </c>
      <c r="P2766" s="4">
        <f ca="1">IFERROR(__xludf.DUMMYFUNCTION("IF(Cost_in_dollars!E2766=""USD"",Cost_in_dollars!C2766,Cost_in_dollars!C2766 * GOOGLEFINANCE(""CURRENCY:"" &amp; Cost_in_dollars!E2766 &amp; ""USD""))
"),33105600)</f>
        <v>33105600</v>
      </c>
      <c r="Q2766" s="4">
        <f t="shared" ca="1" si="60"/>
        <v>-36894400</v>
      </c>
      <c r="R2766" s="5" t="str">
        <f t="shared" si="61"/>
        <v>I Spy</v>
      </c>
      <c r="S2766" s="43" t="str">
        <f t="shared" si="65"/>
        <v>Action</v>
      </c>
    </row>
    <row r="2767" spans="1:19" ht="15.75" customHeight="1" x14ac:dyDescent="0.25">
      <c r="A2767" s="6" t="s">
        <v>6847</v>
      </c>
      <c r="B2767" s="6">
        <v>178</v>
      </c>
      <c r="C2767" s="6">
        <v>103812241</v>
      </c>
      <c r="D2767" s="6" t="s">
        <v>2731</v>
      </c>
      <c r="E2767" s="6" t="s">
        <v>814</v>
      </c>
      <c r="F2767" s="6" t="s">
        <v>8791</v>
      </c>
      <c r="G2767" s="6">
        <v>67296</v>
      </c>
      <c r="H2767" s="6" t="s">
        <v>8792</v>
      </c>
      <c r="I2767" s="6">
        <v>133</v>
      </c>
      <c r="J2767" s="6" t="s">
        <v>23</v>
      </c>
      <c r="K2767" s="6" t="s">
        <v>24</v>
      </c>
      <c r="L2767" s="6">
        <v>79000000</v>
      </c>
      <c r="M2767" s="6">
        <v>2012</v>
      </c>
      <c r="N2767" s="6">
        <v>5.8</v>
      </c>
      <c r="O2767" s="4">
        <f ca="1">IFERROR(__xludf.DUMMYFUNCTION("IF(Cost_in_dollars!E2767=""USD"",Cost_in_dollars!B2767,Cost_in_dollars!B2767 * GOOGLEFINANCE(""CURRENCY:"" &amp; Cost_in_dollars!E2767 &amp; ""USD""))
"),79000000)</f>
        <v>79000000</v>
      </c>
      <c r="P2767" s="4">
        <f ca="1">IFERROR(__xludf.DUMMYFUNCTION("IF(Cost_in_dollars!E2767=""USD"",Cost_in_dollars!C2767,Cost_in_dollars!C2767 * GOOGLEFINANCE(""CURRENCY:"" &amp; Cost_in_dollars!E2767 &amp; ""USD""))
"),103812241)</f>
        <v>103812241</v>
      </c>
      <c r="Q2767" s="6">
        <f t="shared" ca="1" si="60"/>
        <v>24812241</v>
      </c>
      <c r="R2767" s="7" t="str">
        <f t="shared" si="61"/>
        <v>Journey 2: The Mysterious Island</v>
      </c>
      <c r="S2767" s="43" t="str">
        <f t="shared" si="65"/>
        <v>Action</v>
      </c>
    </row>
    <row r="2768" spans="1:19" ht="15.75" customHeight="1" x14ac:dyDescent="0.25">
      <c r="A2768" s="4" t="s">
        <v>5002</v>
      </c>
      <c r="B2768" s="4">
        <v>41</v>
      </c>
      <c r="C2768" s="4">
        <v>107458785</v>
      </c>
      <c r="D2768" s="4" t="s">
        <v>6972</v>
      </c>
      <c r="E2768" s="4" t="s">
        <v>464</v>
      </c>
      <c r="F2768" s="4" t="s">
        <v>8793</v>
      </c>
      <c r="G2768" s="4">
        <v>71754</v>
      </c>
      <c r="H2768" s="4" t="s">
        <v>8794</v>
      </c>
      <c r="I2768" s="4">
        <v>166</v>
      </c>
      <c r="J2768" s="4" t="s">
        <v>23</v>
      </c>
      <c r="K2768" s="4" t="s">
        <v>24</v>
      </c>
      <c r="L2768" s="4">
        <v>40000000</v>
      </c>
      <c r="M2768" s="4">
        <v>1992</v>
      </c>
      <c r="N2768" s="4">
        <v>7.2</v>
      </c>
      <c r="O2768" s="4">
        <f ca="1">IFERROR(__xludf.DUMMYFUNCTION("IF(Cost_in_dollars!E2768=""USD"",Cost_in_dollars!B2768,Cost_in_dollars!B2768 * GOOGLEFINANCE(""CURRENCY:"" &amp; Cost_in_dollars!E2768 &amp; ""USD""))
"),40000000)</f>
        <v>40000000</v>
      </c>
      <c r="P2768" s="4">
        <f ca="1">IFERROR(__xludf.DUMMYFUNCTION("IF(Cost_in_dollars!E2768=""USD"",Cost_in_dollars!C2768,Cost_in_dollars!C2768 * GOOGLEFINANCE(""CURRENCY:"" &amp; Cost_in_dollars!E2768 &amp; ""USD""))
"),107458785)</f>
        <v>107458785</v>
      </c>
      <c r="Q2768" s="4">
        <f t="shared" ca="1" si="60"/>
        <v>67458785</v>
      </c>
      <c r="R2768" s="5" t="str">
        <f t="shared" si="61"/>
        <v>A League of Their Own</v>
      </c>
      <c r="S2768" s="43" t="str">
        <f t="shared" si="65"/>
        <v>Comedy</v>
      </c>
    </row>
    <row r="2769" spans="1:19" ht="15.75" customHeight="1" x14ac:dyDescent="0.25">
      <c r="A2769" s="6" t="s">
        <v>8795</v>
      </c>
      <c r="B2769" s="6">
        <v>18</v>
      </c>
      <c r="C2769" s="6">
        <v>13493</v>
      </c>
      <c r="D2769" s="6" t="s">
        <v>102</v>
      </c>
      <c r="E2769" s="6" t="s">
        <v>3119</v>
      </c>
      <c r="F2769" s="6" t="s">
        <v>8796</v>
      </c>
      <c r="G2769" s="6">
        <v>531</v>
      </c>
      <c r="H2769" s="6" t="s">
        <v>8797</v>
      </c>
      <c r="I2769" s="6">
        <v>19</v>
      </c>
      <c r="J2769" s="6" t="s">
        <v>23</v>
      </c>
      <c r="K2769" s="6" t="s">
        <v>24</v>
      </c>
      <c r="L2769" s="6">
        <v>600000</v>
      </c>
      <c r="M2769" s="6">
        <v>1998</v>
      </c>
      <c r="N2769" s="6">
        <v>6.6</v>
      </c>
      <c r="O2769" s="4">
        <f ca="1">IFERROR(__xludf.DUMMYFUNCTION("IF(Cost_in_dollars!E2769=""USD"",Cost_in_dollars!B2769,Cost_in_dollars!B2769 * GOOGLEFINANCE(""CURRENCY:"" &amp; Cost_in_dollars!E2769 &amp; ""USD""))
"),600000)</f>
        <v>600000</v>
      </c>
      <c r="P2769" s="4">
        <f ca="1">IFERROR(__xludf.DUMMYFUNCTION("IF(Cost_in_dollars!E2769=""USD"",Cost_in_dollars!C2769,Cost_in_dollars!C2769 * GOOGLEFINANCE(""CURRENCY:"" &amp; Cost_in_dollars!E2769 &amp; ""USD""))
"),13493)</f>
        <v>13493</v>
      </c>
      <c r="Q2769" s="6">
        <f t="shared" ca="1" si="60"/>
        <v>-586507</v>
      </c>
      <c r="R2769" s="7" t="str">
        <f t="shared" si="61"/>
        <v>Broken Vessels</v>
      </c>
      <c r="S2769" s="43" t="str">
        <f t="shared" si="65"/>
        <v>Drama</v>
      </c>
    </row>
    <row r="2770" spans="1:19" ht="15.75" customHeight="1" x14ac:dyDescent="0.25">
      <c r="A2770" s="4" t="s">
        <v>4221</v>
      </c>
      <c r="B2770" s="4">
        <v>135</v>
      </c>
      <c r="C2770" s="4">
        <v>40048332</v>
      </c>
      <c r="D2770" s="4" t="s">
        <v>178</v>
      </c>
      <c r="E2770" s="4" t="s">
        <v>8798</v>
      </c>
      <c r="F2770" s="4" t="s">
        <v>8799</v>
      </c>
      <c r="G2770" s="4">
        <v>61417</v>
      </c>
      <c r="H2770" s="4" t="s">
        <v>8800</v>
      </c>
      <c r="I2770" s="4">
        <v>339</v>
      </c>
      <c r="J2770" s="4" t="s">
        <v>23</v>
      </c>
      <c r="K2770" s="4" t="s">
        <v>24</v>
      </c>
      <c r="L2770" s="4">
        <v>85000000</v>
      </c>
      <c r="M2770" s="4">
        <v>2002</v>
      </c>
      <c r="N2770" s="4">
        <v>5.5</v>
      </c>
      <c r="O2770" s="4">
        <f ca="1">IFERROR(__xludf.DUMMYFUNCTION("IF(Cost_in_dollars!E2770=""USD"",Cost_in_dollars!B2770,Cost_in_dollars!B2770 * GOOGLEFINANCE(""CURRENCY:"" &amp; Cost_in_dollars!E2770 &amp; ""USD""))
"),85000000)</f>
        <v>85000000</v>
      </c>
      <c r="P2770" s="4">
        <f ca="1">IFERROR(__xludf.DUMMYFUNCTION("IF(Cost_in_dollars!E2770=""USD"",Cost_in_dollars!C2770,Cost_in_dollars!C2770 * GOOGLEFINANCE(""CURRENCY:"" &amp; Cost_in_dollars!E2770 &amp; ""USD""))
"),40048332)</f>
        <v>40048332</v>
      </c>
      <c r="Q2770" s="4">
        <f t="shared" ca="1" si="60"/>
        <v>-44951668</v>
      </c>
      <c r="R2770" s="5" t="str">
        <f t="shared" si="61"/>
        <v>Collateral Damage</v>
      </c>
      <c r="S2770" s="43" t="str">
        <f t="shared" si="65"/>
        <v>Action</v>
      </c>
    </row>
    <row r="2771" spans="1:19" ht="15.75" customHeight="1" x14ac:dyDescent="0.25">
      <c r="A2771" s="6" t="s">
        <v>8801</v>
      </c>
      <c r="B2771" s="6">
        <v>120</v>
      </c>
      <c r="C2771" s="6">
        <v>43894863</v>
      </c>
      <c r="D2771" s="6" t="s">
        <v>88</v>
      </c>
      <c r="E2771" s="6" t="s">
        <v>5994</v>
      </c>
      <c r="F2771" s="6" t="s">
        <v>8802</v>
      </c>
      <c r="G2771" s="6">
        <v>25883</v>
      </c>
      <c r="H2771" s="6" t="s">
        <v>8803</v>
      </c>
      <c r="I2771" s="6">
        <v>262</v>
      </c>
      <c r="J2771" s="6" t="s">
        <v>23</v>
      </c>
      <c r="K2771" s="6" t="s">
        <v>24</v>
      </c>
      <c r="L2771" s="6">
        <v>30000000</v>
      </c>
      <c r="M2771" s="6">
        <v>2005</v>
      </c>
      <c r="N2771" s="6">
        <v>5.9</v>
      </c>
      <c r="O2771" s="4">
        <f ca="1">IFERROR(__xludf.DUMMYFUNCTION("IF(Cost_in_dollars!E2771=""USD"",Cost_in_dollars!B2771,Cost_in_dollars!B2771 * GOOGLEFINANCE(""CURRENCY:"" &amp; Cost_in_dollars!E2771 &amp; ""USD""))
"),30000000)</f>
        <v>30000000</v>
      </c>
      <c r="P2771" s="4">
        <f ca="1">IFERROR(__xludf.DUMMYFUNCTION("IF(Cost_in_dollars!E2771=""USD"",Cost_in_dollars!C2771,Cost_in_dollars!C2771 * GOOGLEFINANCE(""CURRENCY:"" &amp; Cost_in_dollars!E2771 &amp; ""USD""))
"),43894863)</f>
        <v>43894863</v>
      </c>
      <c r="Q2771" s="6">
        <f t="shared" ca="1" si="60"/>
        <v>13894863</v>
      </c>
      <c r="R2771" s="7" t="str">
        <f t="shared" si="61"/>
        <v>Must Love Dogs</v>
      </c>
      <c r="S2771" s="43" t="str">
        <f t="shared" si="65"/>
        <v>Comedy</v>
      </c>
    </row>
    <row r="2772" spans="1:19" ht="15.75" customHeight="1" x14ac:dyDescent="0.25">
      <c r="A2772" s="4" t="s">
        <v>5644</v>
      </c>
      <c r="B2772" s="4">
        <v>286</v>
      </c>
      <c r="C2772" s="4">
        <v>25121291</v>
      </c>
      <c r="D2772" s="4" t="s">
        <v>8804</v>
      </c>
      <c r="E2772" s="4" t="s">
        <v>2547</v>
      </c>
      <c r="F2772" s="4" t="s">
        <v>8805</v>
      </c>
      <c r="G2772" s="4">
        <v>177653</v>
      </c>
      <c r="H2772" s="4" t="s">
        <v>8806</v>
      </c>
      <c r="I2772" s="4">
        <v>279</v>
      </c>
      <c r="J2772" s="4" t="s">
        <v>23</v>
      </c>
      <c r="K2772" s="4" t="s">
        <v>24</v>
      </c>
      <c r="L2772" s="4">
        <v>50000000</v>
      </c>
      <c r="M2772" s="4">
        <v>2013</v>
      </c>
      <c r="N2772" s="4">
        <v>6.7</v>
      </c>
      <c r="O2772" s="4">
        <f ca="1">IFERROR(__xludf.DUMMYFUNCTION("IF(Cost_in_dollars!E2772=""USD"",Cost_in_dollars!B2772,Cost_in_dollars!B2772 * GOOGLEFINANCE(""CURRENCY:"" &amp; Cost_in_dollars!E2772 &amp; ""USD""))
"),50000000)</f>
        <v>50000000</v>
      </c>
      <c r="P2772" s="4">
        <f ca="1">IFERROR(__xludf.DUMMYFUNCTION("IF(Cost_in_dollars!E2772=""USD"",Cost_in_dollars!C2772,Cost_in_dollars!C2772 * GOOGLEFINANCE(""CURRENCY:"" &amp; Cost_in_dollars!E2772 &amp; ""USD""))
"),25121291)</f>
        <v>25121291</v>
      </c>
      <c r="Q2772" s="4">
        <f t="shared" ca="1" si="60"/>
        <v>-24878709</v>
      </c>
      <c r="R2772" s="5" t="str">
        <f t="shared" si="61"/>
        <v>Escape Plan</v>
      </c>
      <c r="S2772" s="43" t="str">
        <f t="shared" si="65"/>
        <v>Action</v>
      </c>
    </row>
    <row r="2773" spans="1:19" ht="15.75" customHeight="1" x14ac:dyDescent="0.25">
      <c r="A2773" s="6" t="s">
        <v>5565</v>
      </c>
      <c r="B2773" s="6">
        <v>101</v>
      </c>
      <c r="C2773" s="6">
        <v>91038276</v>
      </c>
      <c r="D2773" s="6" t="s">
        <v>737</v>
      </c>
      <c r="E2773" s="6" t="s">
        <v>8807</v>
      </c>
      <c r="F2773" s="6" t="s">
        <v>8808</v>
      </c>
      <c r="G2773" s="6">
        <v>47876</v>
      </c>
      <c r="H2773" s="6" t="s">
        <v>8809</v>
      </c>
      <c r="I2773" s="6">
        <v>320</v>
      </c>
      <c r="J2773" s="6" t="s">
        <v>23</v>
      </c>
      <c r="K2773" s="6" t="s">
        <v>24</v>
      </c>
      <c r="L2773" s="6">
        <v>13000000</v>
      </c>
      <c r="M2773" s="6">
        <v>2001</v>
      </c>
      <c r="N2773" s="6">
        <v>6.1</v>
      </c>
      <c r="O2773" s="4">
        <f ca="1">IFERROR(__xludf.DUMMYFUNCTION("IF(Cost_in_dollars!E2773=""USD"",Cost_in_dollars!B2773,Cost_in_dollars!B2773 * GOOGLEFINANCE(""CURRENCY:"" &amp; Cost_in_dollars!E2773 &amp; ""USD""))
"),13000000)</f>
        <v>13000000</v>
      </c>
      <c r="P2773" s="4">
        <f ca="1">IFERROR(__xludf.DUMMYFUNCTION("IF(Cost_in_dollars!E2773=""USD"",Cost_in_dollars!C2773,Cost_in_dollars!C2773 * GOOGLEFINANCE(""CURRENCY:"" &amp; Cost_in_dollars!E2773 &amp; ""USD""))
"),91038276)</f>
        <v>91038276</v>
      </c>
      <c r="Q2773" s="6">
        <f t="shared" ca="1" si="60"/>
        <v>78038276</v>
      </c>
      <c r="R2773" s="7" t="str">
        <f t="shared" si="61"/>
        <v>Save the Last Dance</v>
      </c>
      <c r="S2773" s="43" t="str">
        <f t="shared" si="65"/>
        <v>Drama</v>
      </c>
    </row>
    <row r="2774" spans="1:19" ht="15.75" customHeight="1" x14ac:dyDescent="0.25">
      <c r="A2774" s="4" t="s">
        <v>8810</v>
      </c>
      <c r="B2774" s="4">
        <v>242</v>
      </c>
      <c r="C2774" s="4">
        <v>52200504</v>
      </c>
      <c r="D2774" s="4" t="s">
        <v>958</v>
      </c>
      <c r="E2774" s="4" t="s">
        <v>1728</v>
      </c>
      <c r="F2774" s="4" t="s">
        <v>8811</v>
      </c>
      <c r="G2774" s="4">
        <v>54190</v>
      </c>
      <c r="H2774" s="4" t="s">
        <v>8812</v>
      </c>
      <c r="I2774" s="4">
        <v>183</v>
      </c>
      <c r="J2774" s="4" t="s">
        <v>23</v>
      </c>
      <c r="K2774" s="4" t="s">
        <v>627</v>
      </c>
      <c r="L2774" s="4">
        <v>10000000</v>
      </c>
      <c r="M2774" s="4">
        <v>2015</v>
      </c>
      <c r="N2774" s="4">
        <v>6.1</v>
      </c>
      <c r="O2774" s="4">
        <f ca="1">IFERROR(__xludf.DUMMYFUNCTION("IF(Cost_in_dollars!E2774=""USD"",Cost_in_dollars!B2774,Cost_in_dollars!B2774 * GOOGLEFINANCE(""CURRENCY:"" &amp; Cost_in_dollars!E2774 &amp; ""USD""))
"),7234050)</f>
        <v>7234050</v>
      </c>
      <c r="P2774" s="4">
        <f ca="1">IFERROR(__xludf.DUMMYFUNCTION("IF(Cost_in_dollars!E2774=""USD"",Cost_in_dollars!C2774,Cost_in_dollars!C2774 * GOOGLEFINANCE(""CURRENCY:"" &amp; Cost_in_dollars!E2774 &amp; ""USD""))
"),37762105.59612)</f>
        <v>37762105.59612</v>
      </c>
      <c r="Q2774" s="4">
        <f t="shared" ca="1" si="60"/>
        <v>30528055.59612</v>
      </c>
      <c r="R2774" s="5" t="str">
        <f t="shared" si="61"/>
        <v>Insidious: Chapter 3</v>
      </c>
      <c r="S2774" s="43" t="str">
        <f t="shared" si="65"/>
        <v>Fantasy</v>
      </c>
    </row>
    <row r="2775" spans="1:19" ht="15.75" customHeight="1" x14ac:dyDescent="0.25">
      <c r="A2775" s="6" t="s">
        <v>2203</v>
      </c>
      <c r="B2775" s="6">
        <v>226</v>
      </c>
      <c r="C2775" s="6">
        <v>28837115</v>
      </c>
      <c r="D2775" s="6" t="s">
        <v>140</v>
      </c>
      <c r="E2775" s="6" t="s">
        <v>64</v>
      </c>
      <c r="F2775" s="6" t="s">
        <v>8813</v>
      </c>
      <c r="G2775" s="6">
        <v>34964</v>
      </c>
      <c r="H2775" s="6" t="s">
        <v>8814</v>
      </c>
      <c r="I2775" s="6">
        <v>150</v>
      </c>
      <c r="J2775" s="6" t="s">
        <v>23</v>
      </c>
      <c r="K2775" s="6" t="s">
        <v>24</v>
      </c>
      <c r="L2775" s="6">
        <v>50000000</v>
      </c>
      <c r="M2775" s="6">
        <v>2016</v>
      </c>
      <c r="N2775" s="6">
        <v>4.8</v>
      </c>
      <c r="O2775" s="4">
        <f ca="1">IFERROR(__xludf.DUMMYFUNCTION("IF(Cost_in_dollars!E2775=""USD"",Cost_in_dollars!B2775,Cost_in_dollars!B2775 * GOOGLEFINANCE(""CURRENCY:"" &amp; Cost_in_dollars!E2775 &amp; ""USD""))
"),50000000)</f>
        <v>50000000</v>
      </c>
      <c r="P2775" s="4">
        <f ca="1">IFERROR(__xludf.DUMMYFUNCTION("IF(Cost_in_dollars!E2775=""USD"",Cost_in_dollars!C2775,Cost_in_dollars!C2775 * GOOGLEFINANCE(""CURRENCY:"" &amp; Cost_in_dollars!E2775 &amp; ""USD""))
"),28837115)</f>
        <v>28837115</v>
      </c>
      <c r="Q2775" s="6">
        <f t="shared" ca="1" si="60"/>
        <v>-21162885</v>
      </c>
      <c r="R2775" s="7" t="str">
        <f t="shared" si="61"/>
        <v>Zoolander 2</v>
      </c>
      <c r="S2775" s="43" t="str">
        <f t="shared" si="65"/>
        <v>Comedy</v>
      </c>
    </row>
    <row r="2776" spans="1:19" ht="15.75" customHeight="1" x14ac:dyDescent="0.25">
      <c r="A2776" s="4" t="s">
        <v>8815</v>
      </c>
      <c r="B2776" s="4">
        <v>35</v>
      </c>
      <c r="C2776" s="4">
        <v>174635000</v>
      </c>
      <c r="D2776" s="4" t="s">
        <v>696</v>
      </c>
      <c r="E2776" s="4" t="s">
        <v>5714</v>
      </c>
      <c r="F2776" s="4" t="s">
        <v>8816</v>
      </c>
      <c r="G2776" s="4">
        <v>74743</v>
      </c>
      <c r="H2776" s="4" t="s">
        <v>8817</v>
      </c>
      <c r="I2776" s="4">
        <v>93</v>
      </c>
      <c r="J2776" s="4" t="s">
        <v>23</v>
      </c>
      <c r="K2776" s="4" t="s">
        <v>149</v>
      </c>
      <c r="L2776" s="4">
        <v>8800000</v>
      </c>
      <c r="M2776" s="4">
        <v>1986</v>
      </c>
      <c r="N2776" s="4">
        <v>6.5</v>
      </c>
      <c r="O2776" s="4">
        <f ca="1">IFERROR(__xludf.DUMMYFUNCTION("IF(Cost_in_dollars!E2776=""USD"",Cost_in_dollars!B2776,Cost_in_dollars!B2776 * GOOGLEFINANCE(""CURRENCY:"" &amp; Cost_in_dollars!E2776 &amp; ""USD""))
"),5754144)</f>
        <v>5754144</v>
      </c>
      <c r="P2776" s="4">
        <f ca="1">IFERROR(__xludf.DUMMYFUNCTION("IF(Cost_in_dollars!E2776=""USD"",Cost_in_dollars!C2776,Cost_in_dollars!C2776 * GOOGLEFINANCE(""CURRENCY:"" &amp; Cost_in_dollars!E2776 &amp; ""USD""))
"),114190333.8)</f>
        <v>114190333.8</v>
      </c>
      <c r="Q2776" s="4">
        <f t="shared" ca="1" si="60"/>
        <v>108436189.8</v>
      </c>
      <c r="R2776" s="5" t="str">
        <f t="shared" si="61"/>
        <v>Crocodile Dundee</v>
      </c>
      <c r="S2776" s="43" t="str">
        <f t="shared" si="65"/>
        <v>Adventure</v>
      </c>
    </row>
    <row r="2777" spans="1:19" ht="15.75" customHeight="1" x14ac:dyDescent="0.25">
      <c r="A2777" s="6" t="s">
        <v>1716</v>
      </c>
      <c r="B2777" s="6">
        <v>152</v>
      </c>
      <c r="C2777" s="6">
        <v>2912363</v>
      </c>
      <c r="D2777" s="6" t="s">
        <v>53</v>
      </c>
      <c r="E2777" s="6" t="s">
        <v>1823</v>
      </c>
      <c r="F2777" s="6" t="s">
        <v>8818</v>
      </c>
      <c r="G2777" s="6">
        <v>25063</v>
      </c>
      <c r="H2777" s="6" t="s">
        <v>8819</v>
      </c>
      <c r="I2777" s="6">
        <v>177</v>
      </c>
      <c r="J2777" s="6" t="s">
        <v>8820</v>
      </c>
      <c r="K2777" s="6" t="s">
        <v>133</v>
      </c>
      <c r="L2777" s="6">
        <v>3000000</v>
      </c>
      <c r="M2777" s="6">
        <v>2005</v>
      </c>
      <c r="N2777" s="6">
        <v>7.3</v>
      </c>
      <c r="O2777" s="4">
        <f ca="1">IFERROR(__xludf.DUMMYFUNCTION("IF(Cost_in_dollars!E2777=""USD"",Cost_in_dollars!B2777,Cost_in_dollars!B2777 * GOOGLEFINANCE(""CURRENCY:"" &amp; Cost_in_dollars!E2777 &amp; ""USD""))
"),3856199.99999999)</f>
        <v>3856199.9999999902</v>
      </c>
      <c r="P2777" s="4">
        <f ca="1">IFERROR(__xludf.DUMMYFUNCTION("IF(Cost_in_dollars!E2777=""USD"",Cost_in_dollars!C2777,Cost_in_dollars!C2777 * GOOGLEFINANCE(""CURRENCY:"" &amp; Cost_in_dollars!E2777 &amp; ""USD""))
"),3743551.40019999)</f>
        <v>3743551.4001999898</v>
      </c>
      <c r="Q2777" s="6">
        <f t="shared" ca="1" si="60"/>
        <v>-112648.59980000043</v>
      </c>
      <c r="R2777" s="7" t="str">
        <f t="shared" si="61"/>
        <v>Tsotsi</v>
      </c>
      <c r="S2777" s="43" t="str">
        <f t="shared" si="65"/>
        <v>Crime</v>
      </c>
    </row>
    <row r="2778" spans="1:19" ht="15.75" customHeight="1" x14ac:dyDescent="0.25">
      <c r="A2778" s="4" t="s">
        <v>8821</v>
      </c>
      <c r="B2778" s="4">
        <v>205</v>
      </c>
      <c r="C2778" s="4">
        <v>12610731</v>
      </c>
      <c r="D2778" s="4" t="s">
        <v>63</v>
      </c>
      <c r="E2778" s="4" t="s">
        <v>8822</v>
      </c>
      <c r="F2778" s="4" t="s">
        <v>8823</v>
      </c>
      <c r="G2778" s="4">
        <v>38985</v>
      </c>
      <c r="H2778" s="4" t="s">
        <v>8824</v>
      </c>
      <c r="I2778" s="4">
        <v>673</v>
      </c>
      <c r="J2778" s="4" t="s">
        <v>23</v>
      </c>
      <c r="K2778" s="4" t="s">
        <v>24</v>
      </c>
      <c r="L2778" s="4">
        <v>11000000</v>
      </c>
      <c r="M2778" s="4">
        <v>2001</v>
      </c>
      <c r="N2778" s="4">
        <v>4.4000000000000004</v>
      </c>
      <c r="O2778" s="4">
        <f ca="1">IFERROR(__xludf.DUMMYFUNCTION("IF(Cost_in_dollars!E2778=""USD"",Cost_in_dollars!B2778,Cost_in_dollars!B2778 * GOOGLEFINANCE(""CURRENCY:"" &amp; Cost_in_dollars!E2778 &amp; ""USD""))
"),11000000)</f>
        <v>11000000</v>
      </c>
      <c r="P2778" s="4">
        <f ca="1">IFERROR(__xludf.DUMMYFUNCTION("IF(Cost_in_dollars!E2778=""USD"",Cost_in_dollars!C2778,Cost_in_dollars!C2778 * GOOGLEFINANCE(""CURRENCY:"" &amp; Cost_in_dollars!E2778 &amp; ""USD""))
"),12610731)</f>
        <v>12610731</v>
      </c>
      <c r="Q2778" s="4">
        <f t="shared" ca="1" si="60"/>
        <v>1610731</v>
      </c>
      <c r="R2778" s="5" t="str">
        <f t="shared" si="61"/>
        <v>Jason X</v>
      </c>
      <c r="S2778" s="43" t="str">
        <f t="shared" si="65"/>
        <v>Action</v>
      </c>
    </row>
    <row r="2779" spans="1:19" ht="15.75" customHeight="1" x14ac:dyDescent="0.25">
      <c r="A2779" s="6" t="s">
        <v>8825</v>
      </c>
      <c r="B2779" s="6">
        <v>8</v>
      </c>
      <c r="C2779" s="6">
        <v>73678</v>
      </c>
      <c r="D2779" s="6" t="s">
        <v>73</v>
      </c>
      <c r="E2779" s="6" t="s">
        <v>8826</v>
      </c>
      <c r="F2779" s="6" t="s">
        <v>8827</v>
      </c>
      <c r="G2779" s="6">
        <v>266</v>
      </c>
      <c r="H2779" s="6" t="s">
        <v>109</v>
      </c>
      <c r="I2779" s="6">
        <v>8</v>
      </c>
      <c r="J2779" s="6" t="s">
        <v>23</v>
      </c>
      <c r="K2779" s="6" t="s">
        <v>24</v>
      </c>
      <c r="L2779" s="6">
        <v>3000000</v>
      </c>
      <c r="M2779" s="6">
        <v>2011</v>
      </c>
      <c r="N2779" s="6">
        <v>5.9</v>
      </c>
      <c r="O2779" s="4">
        <f ca="1">IFERROR(__xludf.DUMMYFUNCTION("IF(Cost_in_dollars!E2779=""USD"",Cost_in_dollars!B2779,Cost_in_dollars!B2779 * GOOGLEFINANCE(""CURRENCY:"" &amp; Cost_in_dollars!E2779 &amp; ""USD""))
"),3000000)</f>
        <v>3000000</v>
      </c>
      <c r="P2779" s="4">
        <f ca="1">IFERROR(__xludf.DUMMYFUNCTION("IF(Cost_in_dollars!E2779=""USD"",Cost_in_dollars!C2779,Cost_in_dollars!C2779 * GOOGLEFINANCE(""CURRENCY:"" &amp; Cost_in_dollars!E2779 &amp; ""USD""))
"),73678)</f>
        <v>73678</v>
      </c>
      <c r="Q2779" s="6">
        <f t="shared" ca="1" si="60"/>
        <v>-2926322</v>
      </c>
      <c r="R2779" s="7" t="str">
        <f t="shared" si="61"/>
        <v>Fort McCoy</v>
      </c>
      <c r="S2779" s="43" t="str">
        <f t="shared" si="65"/>
        <v>Drama</v>
      </c>
    </row>
    <row r="2780" spans="1:19" ht="15.75" customHeight="1" x14ac:dyDescent="0.25">
      <c r="A2780" s="4" t="s">
        <v>3405</v>
      </c>
      <c r="B2780" s="4">
        <v>298</v>
      </c>
      <c r="C2780" s="4">
        <v>26616999</v>
      </c>
      <c r="D2780" s="4" t="s">
        <v>4916</v>
      </c>
      <c r="E2780" s="4" t="s">
        <v>8828</v>
      </c>
      <c r="F2780" s="4" t="s">
        <v>8829</v>
      </c>
      <c r="G2780" s="4">
        <v>92461</v>
      </c>
      <c r="H2780" s="4" t="s">
        <v>8830</v>
      </c>
      <c r="I2780" s="4">
        <v>347</v>
      </c>
      <c r="J2780" s="4" t="s">
        <v>23</v>
      </c>
      <c r="K2780" s="4" t="s">
        <v>24</v>
      </c>
      <c r="L2780" s="4">
        <v>40000000</v>
      </c>
      <c r="M2780" s="4">
        <v>2013</v>
      </c>
      <c r="N2780" s="4">
        <v>5.9</v>
      </c>
      <c r="O2780" s="4">
        <f ca="1">IFERROR(__xludf.DUMMYFUNCTION("IF(Cost_in_dollars!E2780=""USD"",Cost_in_dollars!B2780,Cost_in_dollars!B2780 * GOOGLEFINANCE(""CURRENCY:"" &amp; Cost_in_dollars!E2780 &amp; ""USD""))
"),40000000)</f>
        <v>40000000</v>
      </c>
      <c r="P2780" s="4">
        <f ca="1">IFERROR(__xludf.DUMMYFUNCTION("IF(Cost_in_dollars!E2780=""USD"",Cost_in_dollars!C2780,Cost_in_dollars!C2780 * GOOGLEFINANCE(""CURRENCY:"" &amp; Cost_in_dollars!E2780 &amp; ""USD""))
"),26616999)</f>
        <v>26616999</v>
      </c>
      <c r="Q2780" s="4">
        <f t="shared" ca="1" si="60"/>
        <v>-13383001</v>
      </c>
      <c r="R2780" s="5" t="str">
        <f t="shared" si="61"/>
        <v>The Host</v>
      </c>
      <c r="S2780" s="43" t="str">
        <f t="shared" si="65"/>
        <v>Action</v>
      </c>
    </row>
    <row r="2781" spans="1:19" ht="15.75" customHeight="1" x14ac:dyDescent="0.25">
      <c r="A2781" s="6" t="s">
        <v>1094</v>
      </c>
      <c r="B2781" s="6">
        <v>81</v>
      </c>
      <c r="C2781" s="6">
        <v>60573641</v>
      </c>
      <c r="D2781" s="6" t="s">
        <v>860</v>
      </c>
      <c r="E2781" s="6" t="s">
        <v>6362</v>
      </c>
      <c r="F2781" s="6" t="s">
        <v>8831</v>
      </c>
      <c r="G2781" s="6">
        <v>68406</v>
      </c>
      <c r="H2781" s="6" t="s">
        <v>8832</v>
      </c>
      <c r="I2781" s="6">
        <v>162</v>
      </c>
      <c r="J2781" s="6" t="s">
        <v>23</v>
      </c>
      <c r="K2781" s="6" t="s">
        <v>24</v>
      </c>
      <c r="L2781" s="6">
        <v>60000000</v>
      </c>
      <c r="M2781" s="6">
        <v>1996</v>
      </c>
      <c r="N2781" s="6">
        <v>5.4</v>
      </c>
      <c r="O2781" s="4">
        <f ca="1">IFERROR(__xludf.DUMMYFUNCTION("IF(Cost_in_dollars!E2781=""USD"",Cost_in_dollars!B2781,Cost_in_dollars!B2781 * GOOGLEFINANCE(""CURRENCY:"" &amp; Cost_in_dollars!E2781 &amp; ""USD""))
"),60000000)</f>
        <v>60000000</v>
      </c>
      <c r="P2781" s="4">
        <f ca="1">IFERROR(__xludf.DUMMYFUNCTION("IF(Cost_in_dollars!E2781=""USD"",Cost_in_dollars!C2781,Cost_in_dollars!C2781 * GOOGLEFINANCE(""CURRENCY:"" &amp; Cost_in_dollars!E2781 &amp; ""USD""))
"),60573641)</f>
        <v>60573641</v>
      </c>
      <c r="Q2781" s="6">
        <f t="shared" ca="1" si="60"/>
        <v>573641</v>
      </c>
      <c r="R2781" s="7" t="str">
        <f t="shared" si="61"/>
        <v>Jingle All the Way</v>
      </c>
      <c r="S2781" s="43" t="str">
        <f t="shared" si="65"/>
        <v>Comedy</v>
      </c>
    </row>
    <row r="2782" spans="1:19" ht="15.75" customHeight="1" x14ac:dyDescent="0.25">
      <c r="A2782" s="4" t="s">
        <v>6538</v>
      </c>
      <c r="B2782" s="4">
        <v>45</v>
      </c>
      <c r="C2782" s="4">
        <v>63408614</v>
      </c>
      <c r="D2782" s="4" t="s">
        <v>793</v>
      </c>
      <c r="E2782" s="4" t="s">
        <v>2547</v>
      </c>
      <c r="F2782" s="4" t="s">
        <v>8833</v>
      </c>
      <c r="G2782" s="4">
        <v>75365</v>
      </c>
      <c r="H2782" s="4" t="s">
        <v>8834</v>
      </c>
      <c r="I2782" s="4">
        <v>149</v>
      </c>
      <c r="J2782" s="4" t="s">
        <v>23</v>
      </c>
      <c r="K2782" s="4" t="s">
        <v>24</v>
      </c>
      <c r="L2782" s="4">
        <v>55000000</v>
      </c>
      <c r="M2782" s="4">
        <v>1989</v>
      </c>
      <c r="N2782" s="4">
        <v>6.3</v>
      </c>
      <c r="O2782" s="4">
        <f ca="1">IFERROR(__xludf.DUMMYFUNCTION("IF(Cost_in_dollars!E2782=""USD"",Cost_in_dollars!B2782,Cost_in_dollars!B2782 * GOOGLEFINANCE(""CURRENCY:"" &amp; Cost_in_dollars!E2782 &amp; ""USD""))
"),55000000)</f>
        <v>55000000</v>
      </c>
      <c r="P2782" s="4">
        <f ca="1">IFERROR(__xludf.DUMMYFUNCTION("IF(Cost_in_dollars!E2782=""USD"",Cost_in_dollars!C2782,Cost_in_dollars!C2782 * GOOGLEFINANCE(""CURRENCY:"" &amp; Cost_in_dollars!E2782 &amp; ""USD""))
"),63408614)</f>
        <v>63408614</v>
      </c>
      <c r="Q2782" s="4">
        <f t="shared" ca="1" si="60"/>
        <v>8408614</v>
      </c>
      <c r="R2782" s="5" t="str">
        <f t="shared" si="61"/>
        <v>Tango &amp; Cash</v>
      </c>
      <c r="S2782" s="43" t="str">
        <f t="shared" si="65"/>
        <v>Action</v>
      </c>
    </row>
    <row r="2783" spans="1:19" ht="15.75" customHeight="1" x14ac:dyDescent="0.25">
      <c r="A2783" s="6" t="s">
        <v>8835</v>
      </c>
      <c r="B2783" s="6">
        <v>149</v>
      </c>
      <c r="C2783" s="6">
        <v>4946250</v>
      </c>
      <c r="D2783" s="6" t="s">
        <v>718</v>
      </c>
      <c r="E2783" s="6" t="s">
        <v>8836</v>
      </c>
      <c r="F2783" s="6" t="s">
        <v>8837</v>
      </c>
      <c r="G2783" s="6">
        <v>9540</v>
      </c>
      <c r="H2783" s="6" t="s">
        <v>8838</v>
      </c>
      <c r="I2783" s="6">
        <v>80</v>
      </c>
      <c r="J2783" s="6" t="s">
        <v>23</v>
      </c>
      <c r="K2783" s="6" t="s">
        <v>24</v>
      </c>
      <c r="L2783" s="6">
        <v>1000000</v>
      </c>
      <c r="M2783" s="6">
        <v>2013</v>
      </c>
      <c r="N2783" s="6">
        <v>7.4</v>
      </c>
      <c r="O2783" s="4">
        <f ca="1">IFERROR(__xludf.DUMMYFUNCTION("IF(Cost_in_dollars!E2783=""USD"",Cost_in_dollars!B2783,Cost_in_dollars!B2783 * GOOGLEFINANCE(""CURRENCY:"" &amp; Cost_in_dollars!E2783 &amp; ""USD""))
"),1000000)</f>
        <v>1000000</v>
      </c>
      <c r="P2783" s="4">
        <f ca="1">IFERROR(__xludf.DUMMYFUNCTION("IF(Cost_in_dollars!E2783=""USD"",Cost_in_dollars!C2783,Cost_in_dollars!C2783 * GOOGLEFINANCE(""CURRENCY:"" &amp; Cost_in_dollars!E2783 &amp; ""USD""))
"),4946250)</f>
        <v>4946250</v>
      </c>
      <c r="Q2783" s="6">
        <f t="shared" ca="1" si="60"/>
        <v>3946250</v>
      </c>
      <c r="R2783" s="7" t="str">
        <f t="shared" si="61"/>
        <v>20 Feet from Stardom</v>
      </c>
      <c r="S2783" s="43" t="str">
        <f t="shared" si="65"/>
        <v>Documentary</v>
      </c>
    </row>
    <row r="2784" spans="1:19" ht="15.75" customHeight="1" x14ac:dyDescent="0.25">
      <c r="A2784" s="4" t="s">
        <v>296</v>
      </c>
      <c r="B2784" s="4">
        <v>288</v>
      </c>
      <c r="C2784" s="4">
        <v>119078393</v>
      </c>
      <c r="D2784" s="4" t="s">
        <v>8839</v>
      </c>
      <c r="E2784" s="4" t="s">
        <v>8840</v>
      </c>
      <c r="F2784" s="4" t="s">
        <v>8841</v>
      </c>
      <c r="G2784" s="4">
        <v>113152</v>
      </c>
      <c r="H2784" s="4" t="s">
        <v>8842</v>
      </c>
      <c r="I2784" s="4">
        <v>1416</v>
      </c>
      <c r="J2784" s="4" t="s">
        <v>23</v>
      </c>
      <c r="K2784" s="4" t="s">
        <v>24</v>
      </c>
      <c r="L2784" s="4">
        <v>6000000</v>
      </c>
      <c r="M2784" s="4">
        <v>2004</v>
      </c>
      <c r="N2784" s="4">
        <v>7.5</v>
      </c>
      <c r="O2784" s="4">
        <f ca="1">IFERROR(__xludf.DUMMYFUNCTION("IF(Cost_in_dollars!E2784=""USD"",Cost_in_dollars!B2784,Cost_in_dollars!B2784 * GOOGLEFINANCE(""CURRENCY:"" &amp; Cost_in_dollars!E2784 &amp; ""USD""))
"),6000000)</f>
        <v>6000000</v>
      </c>
      <c r="P2784" s="4">
        <f ca="1">IFERROR(__xludf.DUMMYFUNCTION("IF(Cost_in_dollars!E2784=""USD"",Cost_in_dollars!C2784,Cost_in_dollars!C2784 * GOOGLEFINANCE(""CURRENCY:"" &amp; Cost_in_dollars!E2784 &amp; ""USD""))
"),119078393)</f>
        <v>119078393</v>
      </c>
      <c r="Q2784" s="4">
        <f t="shared" ca="1" si="60"/>
        <v>113078393</v>
      </c>
      <c r="R2784" s="5" t="str">
        <f t="shared" si="61"/>
        <v>Fahrenheit 9/11</v>
      </c>
      <c r="S2784" s="43" t="str">
        <f t="shared" si="65"/>
        <v>Documentary</v>
      </c>
    </row>
    <row r="2785" spans="1:19" ht="15.75" customHeight="1" x14ac:dyDescent="0.25">
      <c r="A2785" s="6" t="s">
        <v>1810</v>
      </c>
      <c r="B2785" s="6">
        <v>145</v>
      </c>
      <c r="C2785" s="6">
        <v>106694016</v>
      </c>
      <c r="D2785" s="6" t="s">
        <v>443</v>
      </c>
      <c r="E2785" s="6" t="s">
        <v>886</v>
      </c>
      <c r="F2785" s="6" t="s">
        <v>8843</v>
      </c>
      <c r="G2785" s="6">
        <v>123940</v>
      </c>
      <c r="H2785" s="6" t="s">
        <v>8844</v>
      </c>
      <c r="I2785" s="6">
        <v>337</v>
      </c>
      <c r="J2785" s="6" t="s">
        <v>23</v>
      </c>
      <c r="K2785" s="6" t="s">
        <v>24</v>
      </c>
      <c r="L2785" s="6">
        <v>30000000</v>
      </c>
      <c r="M2785" s="6">
        <v>1999</v>
      </c>
      <c r="N2785" s="6">
        <v>6.7</v>
      </c>
      <c r="O2785" s="4">
        <f ca="1">IFERROR(__xludf.DUMMYFUNCTION("IF(Cost_in_dollars!E2785=""USD"",Cost_in_dollars!B2785,Cost_in_dollars!B2785 * GOOGLEFINANCE(""CURRENCY:"" &amp; Cost_in_dollars!E2785 &amp; ""USD""))
"),30000000)</f>
        <v>30000000</v>
      </c>
      <c r="P2785" s="4">
        <f ca="1">IFERROR(__xludf.DUMMYFUNCTION("IF(Cost_in_dollars!E2785=""USD"",Cost_in_dollars!C2785,Cost_in_dollars!C2785 * GOOGLEFINANCE(""CURRENCY:"" &amp; Cost_in_dollars!E2785 &amp; ""USD""))
"),106694016)</f>
        <v>106694016</v>
      </c>
      <c r="Q2785" s="6">
        <f t="shared" ca="1" si="60"/>
        <v>76694016</v>
      </c>
      <c r="R2785" s="7" t="str">
        <f t="shared" si="61"/>
        <v>Analyze This</v>
      </c>
      <c r="S2785" s="43" t="str">
        <f t="shared" si="65"/>
        <v>Comedy</v>
      </c>
    </row>
    <row r="2786" spans="1:19" ht="15.75" customHeight="1" x14ac:dyDescent="0.25">
      <c r="A2786" s="4" t="s">
        <v>1748</v>
      </c>
      <c r="B2786" s="4">
        <v>287</v>
      </c>
      <c r="C2786" s="4">
        <v>51774002</v>
      </c>
      <c r="D2786" s="4" t="s">
        <v>202</v>
      </c>
      <c r="E2786" s="4" t="s">
        <v>461</v>
      </c>
      <c r="F2786" s="4" t="s">
        <v>8845</v>
      </c>
      <c r="G2786" s="4">
        <v>87745</v>
      </c>
      <c r="H2786" s="4" t="s">
        <v>8846</v>
      </c>
      <c r="I2786" s="4">
        <v>331</v>
      </c>
      <c r="J2786" s="4" t="s">
        <v>23</v>
      </c>
      <c r="K2786" s="4" t="s">
        <v>24</v>
      </c>
      <c r="L2786" s="4">
        <v>57000000</v>
      </c>
      <c r="M2786" s="4">
        <v>2011</v>
      </c>
      <c r="N2786" s="4">
        <v>4.3</v>
      </c>
      <c r="O2786" s="4">
        <f ca="1">IFERROR(__xludf.DUMMYFUNCTION("IF(Cost_in_dollars!E2786=""USD"",Cost_in_dollars!B2786,Cost_in_dollars!B2786 * GOOGLEFINANCE(""CURRENCY:"" &amp; Cost_in_dollars!E2786 &amp; ""USD""))
"),57000000)</f>
        <v>57000000</v>
      </c>
      <c r="P2786" s="4">
        <f ca="1">IFERROR(__xludf.DUMMYFUNCTION("IF(Cost_in_dollars!E2786=""USD"",Cost_in_dollars!C2786,Cost_in_dollars!C2786 * GOOGLEFINANCE(""CURRENCY:"" &amp; Cost_in_dollars!E2786 &amp; ""USD""))
"),51774002)</f>
        <v>51774002</v>
      </c>
      <c r="Q2786" s="4">
        <f t="shared" ca="1" si="60"/>
        <v>-5225998</v>
      </c>
      <c r="R2786" s="5" t="str">
        <f t="shared" si="61"/>
        <v>Ghost Rider: Spirit of Vengeance</v>
      </c>
      <c r="S2786" s="43" t="str">
        <f t="shared" si="65"/>
        <v>Action</v>
      </c>
    </row>
    <row r="2787" spans="1:19" ht="15.75" customHeight="1" x14ac:dyDescent="0.25">
      <c r="A2787" s="6" t="s">
        <v>3833</v>
      </c>
      <c r="B2787" s="6">
        <v>118</v>
      </c>
      <c r="C2787" s="6">
        <v>44737059</v>
      </c>
      <c r="D2787" s="6" t="s">
        <v>3417</v>
      </c>
      <c r="E2787" s="6" t="s">
        <v>1173</v>
      </c>
      <c r="F2787" s="6" t="s">
        <v>8847</v>
      </c>
      <c r="G2787" s="6">
        <v>48322</v>
      </c>
      <c r="H2787" s="6" t="s">
        <v>8848</v>
      </c>
      <c r="I2787" s="6">
        <v>261</v>
      </c>
      <c r="J2787" s="6" t="s">
        <v>23</v>
      </c>
      <c r="K2787" s="6" t="s">
        <v>24</v>
      </c>
      <c r="L2787" s="6">
        <v>50000000</v>
      </c>
      <c r="M2787" s="6">
        <v>2000</v>
      </c>
      <c r="N2787" s="6">
        <v>6.5</v>
      </c>
      <c r="O2787" s="4">
        <f ca="1">IFERROR(__xludf.DUMMYFUNCTION("IF(Cost_in_dollars!E2787=""USD"",Cost_in_dollars!B2787,Cost_in_dollars!B2787 * GOOGLEFINANCE(""CURRENCY:"" &amp; Cost_in_dollars!E2787 &amp; ""USD""))
"),50000000)</f>
        <v>50000000</v>
      </c>
      <c r="P2787" s="4">
        <f ca="1">IFERROR(__xludf.DUMMYFUNCTION("IF(Cost_in_dollars!E2787=""USD"",Cost_in_dollars!C2787,Cost_in_dollars!C2787 * GOOGLEFINANCE(""CURRENCY:"" &amp; Cost_in_dollars!E2787 &amp; ""USD""))
"),44737059)</f>
        <v>44737059</v>
      </c>
      <c r="Q2787" s="6">
        <f t="shared" ca="1" si="60"/>
        <v>-5262941</v>
      </c>
      <c r="R2787" s="7" t="str">
        <f t="shared" si="61"/>
        <v>The Replacements</v>
      </c>
      <c r="S2787" s="43" t="str">
        <f t="shared" si="65"/>
        <v>Comedy</v>
      </c>
    </row>
    <row r="2788" spans="1:19" ht="15.75" customHeight="1" x14ac:dyDescent="0.25">
      <c r="A2788" s="4" t="s">
        <v>1255</v>
      </c>
      <c r="B2788" s="4">
        <v>145</v>
      </c>
      <c r="C2788" s="4">
        <v>101736215</v>
      </c>
      <c r="D2788" s="4" t="s">
        <v>140</v>
      </c>
      <c r="E2788" s="4" t="s">
        <v>3892</v>
      </c>
      <c r="F2788" s="4" t="s">
        <v>8849</v>
      </c>
      <c r="G2788" s="4">
        <v>315549</v>
      </c>
      <c r="H2788" s="4" t="s">
        <v>8850</v>
      </c>
      <c r="I2788" s="4">
        <v>789</v>
      </c>
      <c r="J2788" s="4" t="s">
        <v>23</v>
      </c>
      <c r="K2788" s="4" t="s">
        <v>24</v>
      </c>
      <c r="L2788" s="4">
        <v>11000000</v>
      </c>
      <c r="M2788" s="4">
        <v>1999</v>
      </c>
      <c r="N2788" s="4">
        <v>7</v>
      </c>
      <c r="O2788" s="4">
        <f ca="1">IFERROR(__xludf.DUMMYFUNCTION("IF(Cost_in_dollars!E2788=""USD"",Cost_in_dollars!B2788,Cost_in_dollars!B2788 * GOOGLEFINANCE(""CURRENCY:"" &amp; Cost_in_dollars!E2788 &amp; ""USD""))
"),11000000)</f>
        <v>11000000</v>
      </c>
      <c r="P2788" s="4">
        <f ca="1">IFERROR(__xludf.DUMMYFUNCTION("IF(Cost_in_dollars!E2788=""USD"",Cost_in_dollars!C2788,Cost_in_dollars!C2788 * GOOGLEFINANCE(""CURRENCY:"" &amp; Cost_in_dollars!E2788 &amp; ""USD""))
"),101736215)</f>
        <v>101736215</v>
      </c>
      <c r="Q2788" s="4">
        <f t="shared" ca="1" si="60"/>
        <v>90736215</v>
      </c>
      <c r="R2788" s="5" t="str">
        <f t="shared" si="61"/>
        <v>American Pie</v>
      </c>
      <c r="S2788" s="43" t="str">
        <f t="shared" si="65"/>
        <v>Comedy</v>
      </c>
    </row>
    <row r="2789" spans="1:19" ht="15.75" customHeight="1" x14ac:dyDescent="0.25">
      <c r="A2789" s="6" t="s">
        <v>1585</v>
      </c>
      <c r="B2789" s="6">
        <v>245</v>
      </c>
      <c r="C2789" s="6">
        <v>25450527</v>
      </c>
      <c r="D2789" s="6" t="s">
        <v>613</v>
      </c>
      <c r="E2789" s="6" t="s">
        <v>877</v>
      </c>
      <c r="F2789" s="6" t="s">
        <v>8851</v>
      </c>
      <c r="G2789" s="6">
        <v>80196</v>
      </c>
      <c r="H2789" s="6" t="s">
        <v>8852</v>
      </c>
      <c r="I2789" s="6">
        <v>190</v>
      </c>
      <c r="J2789" s="6" t="s">
        <v>23</v>
      </c>
      <c r="K2789" s="6" t="s">
        <v>24</v>
      </c>
      <c r="L2789" s="6">
        <v>50000000</v>
      </c>
      <c r="M2789" s="6">
        <v>2009</v>
      </c>
      <c r="N2789" s="6">
        <v>6.5</v>
      </c>
      <c r="O2789" s="4">
        <f ca="1">IFERROR(__xludf.DUMMYFUNCTION("IF(Cost_in_dollars!E2789=""USD"",Cost_in_dollars!B2789,Cost_in_dollars!B2789 * GOOGLEFINANCE(""CURRENCY:"" &amp; Cost_in_dollars!E2789 &amp; ""USD""))
"),50000000)</f>
        <v>50000000</v>
      </c>
      <c r="P2789" s="4">
        <f ca="1">IFERROR(__xludf.DUMMYFUNCTION("IF(Cost_in_dollars!E2789=""USD"",Cost_in_dollars!C2789,Cost_in_dollars!C2789 * GOOGLEFINANCE(""CURRENCY:"" &amp; Cost_in_dollars!E2789 &amp; ""USD""))
"),25450527)</f>
        <v>25450527</v>
      </c>
      <c r="Q2789" s="6">
        <f t="shared" ca="1" si="60"/>
        <v>-24549473</v>
      </c>
      <c r="R2789" s="7" t="str">
        <f t="shared" si="61"/>
        <v>The International</v>
      </c>
      <c r="S2789" s="43" t="str">
        <f t="shared" si="65"/>
        <v>Action</v>
      </c>
    </row>
    <row r="2790" spans="1:19" ht="15.75" customHeight="1" x14ac:dyDescent="0.25">
      <c r="A2790" s="4" t="s">
        <v>8853</v>
      </c>
      <c r="B2790" s="4">
        <v>30</v>
      </c>
      <c r="C2790" s="4">
        <v>33349949</v>
      </c>
      <c r="D2790" s="4" t="s">
        <v>254</v>
      </c>
      <c r="E2790" s="4" t="s">
        <v>8854</v>
      </c>
      <c r="F2790" s="4" t="s">
        <v>8855</v>
      </c>
      <c r="G2790" s="4">
        <v>9010</v>
      </c>
      <c r="H2790" s="4" t="s">
        <v>8856</v>
      </c>
      <c r="I2790" s="4">
        <v>199</v>
      </c>
      <c r="J2790" s="4" t="s">
        <v>23</v>
      </c>
      <c r="K2790" s="4" t="s">
        <v>24</v>
      </c>
      <c r="L2790" s="4">
        <v>2500000</v>
      </c>
      <c r="M2790" s="4">
        <v>2012</v>
      </c>
      <c r="N2790" s="4">
        <v>5.0999999999999996</v>
      </c>
      <c r="O2790" s="4">
        <f ca="1">IFERROR(__xludf.DUMMYFUNCTION("IF(Cost_in_dollars!E2790=""USD"",Cost_in_dollars!B2790,Cost_in_dollars!B2790 * GOOGLEFINANCE(""CURRENCY:"" &amp; Cost_in_dollars!E2790 &amp; ""USD""))
"),2500000)</f>
        <v>2500000</v>
      </c>
      <c r="P2790" s="4">
        <f ca="1">IFERROR(__xludf.DUMMYFUNCTION("IF(Cost_in_dollars!E2790=""USD"",Cost_in_dollars!C2790,Cost_in_dollars!C2790 * GOOGLEFINANCE(""CURRENCY:"" &amp; Cost_in_dollars!E2790 &amp; ""USD""))
"),33349949)</f>
        <v>33349949</v>
      </c>
      <c r="Q2790" s="4">
        <f t="shared" ca="1" si="60"/>
        <v>30849949</v>
      </c>
      <c r="R2790" s="5" t="str">
        <f t="shared" si="61"/>
        <v>2016: Obama's America</v>
      </c>
      <c r="S2790" s="43" t="str">
        <f t="shared" si="65"/>
        <v>Documentary</v>
      </c>
    </row>
    <row r="2791" spans="1:19" ht="15.75" customHeight="1" x14ac:dyDescent="0.25">
      <c r="A2791" s="6" t="s">
        <v>5689</v>
      </c>
      <c r="B2791" s="6">
        <v>147</v>
      </c>
      <c r="C2791" s="6">
        <v>140244</v>
      </c>
      <c r="D2791" s="6" t="s">
        <v>8857</v>
      </c>
      <c r="E2791" s="6" t="s">
        <v>2392</v>
      </c>
      <c r="F2791" s="6" t="s">
        <v>8858</v>
      </c>
      <c r="G2791" s="6">
        <v>20419</v>
      </c>
      <c r="H2791" s="6" t="s">
        <v>8859</v>
      </c>
      <c r="I2791" s="6">
        <v>259</v>
      </c>
      <c r="J2791" s="6" t="s">
        <v>23</v>
      </c>
      <c r="K2791" s="6" t="s">
        <v>24</v>
      </c>
      <c r="L2791" s="6">
        <v>8500000</v>
      </c>
      <c r="M2791" s="6">
        <v>2008</v>
      </c>
      <c r="N2791" s="6">
        <v>6.7</v>
      </c>
      <c r="O2791" s="4">
        <f ca="1">IFERROR(__xludf.DUMMYFUNCTION("IF(Cost_in_dollars!E2791=""USD"",Cost_in_dollars!B2791,Cost_in_dollars!B2791 * GOOGLEFINANCE(""CURRENCY:"" &amp; Cost_in_dollars!E2791 &amp; ""USD""))
"),8500000)</f>
        <v>8500000</v>
      </c>
      <c r="P2791" s="4">
        <f ca="1">IFERROR(__xludf.DUMMYFUNCTION("IF(Cost_in_dollars!E2791=""USD"",Cost_in_dollars!C2791,Cost_in_dollars!C2791 * GOOGLEFINANCE(""CURRENCY:"" &amp; Cost_in_dollars!E2791 &amp; ""USD""))
"),140244)</f>
        <v>140244</v>
      </c>
      <c r="Q2791" s="6">
        <f t="shared" ca="1" si="60"/>
        <v>-8359756</v>
      </c>
      <c r="R2791" s="7" t="str">
        <f t="shared" si="61"/>
        <v>Repo! The Genetic Opera</v>
      </c>
      <c r="S2791" s="43" t="str">
        <f t="shared" si="65"/>
        <v>Horror</v>
      </c>
    </row>
    <row r="2792" spans="1:19" ht="15.75" customHeight="1" x14ac:dyDescent="0.25">
      <c r="A2792" s="4" t="s">
        <v>1604</v>
      </c>
      <c r="B2792" s="4">
        <v>140</v>
      </c>
      <c r="C2792" s="4">
        <v>66365290</v>
      </c>
      <c r="D2792" s="4" t="s">
        <v>140</v>
      </c>
      <c r="E2792" s="4" t="s">
        <v>330</v>
      </c>
      <c r="F2792" s="4" t="s">
        <v>8860</v>
      </c>
      <c r="G2792" s="4">
        <v>56874</v>
      </c>
      <c r="H2792" s="4" t="s">
        <v>8861</v>
      </c>
      <c r="I2792" s="4">
        <v>358</v>
      </c>
      <c r="J2792" s="4" t="s">
        <v>23</v>
      </c>
      <c r="K2792" s="4" t="s">
        <v>24</v>
      </c>
      <c r="L2792" s="4">
        <v>55000000</v>
      </c>
      <c r="M2792" s="4">
        <v>1999</v>
      </c>
      <c r="N2792" s="4">
        <v>6.4</v>
      </c>
      <c r="O2792" s="4">
        <f ca="1">IFERROR(__xludf.DUMMYFUNCTION("IF(Cost_in_dollars!E2792=""USD"",Cost_in_dollars!B2792,Cost_in_dollars!B2792 * GOOGLEFINANCE(""CURRENCY:"" &amp; Cost_in_dollars!E2792 &amp; ""USD""))
"),55000000)</f>
        <v>55000000</v>
      </c>
      <c r="P2792" s="4">
        <f ca="1">IFERROR(__xludf.DUMMYFUNCTION("IF(Cost_in_dollars!E2792=""USD"",Cost_in_dollars!C2792,Cost_in_dollars!C2792 * GOOGLEFINANCE(""CURRENCY:"" &amp; Cost_in_dollars!E2792 &amp; ""USD""))
"),66365290)</f>
        <v>66365290</v>
      </c>
      <c r="Q2792" s="4">
        <f t="shared" ca="1" si="60"/>
        <v>11365290</v>
      </c>
      <c r="R2792" s="5" t="str">
        <f t="shared" si="61"/>
        <v>Bowfinger</v>
      </c>
      <c r="S2792" s="43" t="str">
        <f t="shared" si="65"/>
        <v>Comedy</v>
      </c>
    </row>
    <row r="2793" spans="1:19" ht="15.75" customHeight="1" x14ac:dyDescent="0.25">
      <c r="A2793" s="6" t="s">
        <v>4176</v>
      </c>
      <c r="B2793" s="6">
        <v>108</v>
      </c>
      <c r="C2793" s="6">
        <v>161487252</v>
      </c>
      <c r="D2793" s="6" t="s">
        <v>3417</v>
      </c>
      <c r="E2793" s="6" t="s">
        <v>619</v>
      </c>
      <c r="F2793" s="6" t="s">
        <v>8862</v>
      </c>
      <c r="G2793" s="6">
        <v>119450</v>
      </c>
      <c r="H2793" s="6" t="s">
        <v>8863</v>
      </c>
      <c r="I2793" s="6">
        <v>300</v>
      </c>
      <c r="J2793" s="6" t="s">
        <v>23</v>
      </c>
      <c r="K2793" s="6" t="s">
        <v>24</v>
      </c>
      <c r="L2793" s="6">
        <v>20000000</v>
      </c>
      <c r="M2793" s="6">
        <v>1998</v>
      </c>
      <c r="N2793" s="6">
        <v>6.1</v>
      </c>
      <c r="O2793" s="4">
        <f ca="1">IFERROR(__xludf.DUMMYFUNCTION("IF(Cost_in_dollars!E2793=""USD"",Cost_in_dollars!B2793,Cost_in_dollars!B2793 * GOOGLEFINANCE(""CURRENCY:"" &amp; Cost_in_dollars!E2793 &amp; ""USD""))
"),20000000)</f>
        <v>20000000</v>
      </c>
      <c r="P2793" s="4">
        <f ca="1">IFERROR(__xludf.DUMMYFUNCTION("IF(Cost_in_dollars!E2793=""USD"",Cost_in_dollars!C2793,Cost_in_dollars!C2793 * GOOGLEFINANCE(""CURRENCY:"" &amp; Cost_in_dollars!E2793 &amp; ""USD""))
"),161487252)</f>
        <v>161487252</v>
      </c>
      <c r="Q2793" s="6">
        <f t="shared" ca="1" si="60"/>
        <v>141487252</v>
      </c>
      <c r="R2793" s="7" t="str">
        <f t="shared" si="61"/>
        <v>The Waterboy</v>
      </c>
      <c r="S2793" s="43" t="str">
        <f t="shared" si="65"/>
        <v>Comedy</v>
      </c>
    </row>
    <row r="2794" spans="1:19" ht="15.75" customHeight="1" x14ac:dyDescent="0.25">
      <c r="A2794" s="4" t="s">
        <v>1001</v>
      </c>
      <c r="B2794" s="4">
        <v>308</v>
      </c>
      <c r="C2794" s="4">
        <v>43982842</v>
      </c>
      <c r="D2794" s="4" t="s">
        <v>1176</v>
      </c>
      <c r="E2794" s="4" t="s">
        <v>1177</v>
      </c>
      <c r="F2794" s="4" t="s">
        <v>1178</v>
      </c>
      <c r="G2794" s="4">
        <v>125109</v>
      </c>
      <c r="H2794" s="4" t="s">
        <v>1179</v>
      </c>
      <c r="I2794" s="4">
        <v>593</v>
      </c>
      <c r="J2794" s="4" t="s">
        <v>23</v>
      </c>
      <c r="K2794" s="4" t="s">
        <v>24</v>
      </c>
      <c r="L2794" s="4">
        <v>65000000</v>
      </c>
      <c r="M2794" s="4">
        <v>2009</v>
      </c>
      <c r="N2794" s="4">
        <v>6.7</v>
      </c>
      <c r="O2794" s="4">
        <f ca="1">IFERROR(__xludf.DUMMYFUNCTION("IF(Cost_in_dollars!E2794=""USD"",Cost_in_dollars!B2794,Cost_in_dollars!B2794 * GOOGLEFINANCE(""CURRENCY:"" &amp; Cost_in_dollars!E2794 &amp; ""USD""))
"),65000000)</f>
        <v>65000000</v>
      </c>
      <c r="P2794" s="4">
        <f ca="1">IFERROR(__xludf.DUMMYFUNCTION("IF(Cost_in_dollars!E2794=""USD"",Cost_in_dollars!C2794,Cost_in_dollars!C2794 * GOOGLEFINANCE(""CURRENCY:"" &amp; Cost_in_dollars!E2794 &amp; ""USD""))
"),43982842)</f>
        <v>43982842</v>
      </c>
      <c r="Q2794" s="4">
        <f t="shared" ca="1" si="60"/>
        <v>-21017158</v>
      </c>
      <c r="R2794" s="5" t="str">
        <f t="shared" si="61"/>
        <v>The Lovely Bones</v>
      </c>
      <c r="S2794" s="43" t="str">
        <f t="shared" si="65"/>
        <v>Drama</v>
      </c>
    </row>
    <row r="2795" spans="1:19" ht="15.75" customHeight="1" x14ac:dyDescent="0.25">
      <c r="A2795" s="6" t="s">
        <v>8864</v>
      </c>
      <c r="B2795" s="6">
        <v>190</v>
      </c>
      <c r="C2795" s="6">
        <v>3148482</v>
      </c>
      <c r="D2795" s="6" t="s">
        <v>235</v>
      </c>
      <c r="E2795" s="6" t="s">
        <v>6082</v>
      </c>
      <c r="F2795" s="6" t="s">
        <v>8865</v>
      </c>
      <c r="G2795" s="6">
        <v>29613</v>
      </c>
      <c r="H2795" s="6" t="s">
        <v>8866</v>
      </c>
      <c r="I2795" s="6">
        <v>98</v>
      </c>
      <c r="J2795" s="6" t="s">
        <v>23</v>
      </c>
      <c r="K2795" s="6" t="s">
        <v>24</v>
      </c>
      <c r="L2795" s="6">
        <v>12000000</v>
      </c>
      <c r="M2795" s="6">
        <v>2008</v>
      </c>
      <c r="N2795" s="6">
        <v>7.1</v>
      </c>
      <c r="O2795" s="4">
        <f ca="1">IFERROR(__xludf.DUMMYFUNCTION("IF(Cost_in_dollars!E2795=""USD"",Cost_in_dollars!B2795,Cost_in_dollars!B2795 * GOOGLEFINANCE(""CURRENCY:"" &amp; Cost_in_dollars!E2795 &amp; ""USD""))
"),12000000)</f>
        <v>12000000</v>
      </c>
      <c r="P2795" s="4">
        <f ca="1">IFERROR(__xludf.DUMMYFUNCTION("IF(Cost_in_dollars!E2795=""USD"",Cost_in_dollars!C2795,Cost_in_dollars!C2795 * GOOGLEFINANCE(""CURRENCY:"" &amp; Cost_in_dollars!E2795 &amp; ""USD""))
"),3148482)</f>
        <v>3148482</v>
      </c>
      <c r="Q2795" s="6">
        <f t="shared" ca="1" si="60"/>
        <v>-8851518</v>
      </c>
      <c r="R2795" s="7" t="str">
        <f t="shared" si="61"/>
        <v>Two Lovers</v>
      </c>
      <c r="S2795" s="43" t="str">
        <f t="shared" si="65"/>
        <v>Drama</v>
      </c>
    </row>
    <row r="2796" spans="1:19" ht="15.75" customHeight="1" x14ac:dyDescent="0.25">
      <c r="A2796" s="4" t="s">
        <v>8867</v>
      </c>
      <c r="B2796" s="4">
        <v>268</v>
      </c>
      <c r="C2796" s="4">
        <v>41008532</v>
      </c>
      <c r="D2796" s="4" t="s">
        <v>116</v>
      </c>
      <c r="E2796" s="4" t="s">
        <v>536</v>
      </c>
      <c r="F2796" s="4" t="s">
        <v>8868</v>
      </c>
      <c r="G2796" s="4">
        <v>19611</v>
      </c>
      <c r="H2796" s="4" t="s">
        <v>8869</v>
      </c>
      <c r="I2796" s="4">
        <v>103</v>
      </c>
      <c r="J2796" s="4" t="s">
        <v>23</v>
      </c>
      <c r="K2796" s="4" t="s">
        <v>24</v>
      </c>
      <c r="L2796" s="4">
        <v>27000000</v>
      </c>
      <c r="M2796" s="4">
        <v>2016</v>
      </c>
      <c r="N2796" s="4">
        <v>6.7</v>
      </c>
      <c r="O2796" s="4">
        <f ca="1">IFERROR(__xludf.DUMMYFUNCTION("IF(Cost_in_dollars!E2796=""USD"",Cost_in_dollars!B2796,Cost_in_dollars!B2796 * GOOGLEFINANCE(""CURRENCY:"" &amp; Cost_in_dollars!E2796 &amp; ""USD""))
"),27000000)</f>
        <v>27000000</v>
      </c>
      <c r="P2796" s="4">
        <f ca="1">IFERROR(__xludf.DUMMYFUNCTION("IF(Cost_in_dollars!E2796=""USD"",Cost_in_dollars!C2796,Cost_in_dollars!C2796 * GOOGLEFINANCE(""CURRENCY:"" &amp; Cost_in_dollars!E2796 &amp; ""USD""))
"),41008532)</f>
        <v>41008532</v>
      </c>
      <c r="Q2796" s="4">
        <f t="shared" ca="1" si="60"/>
        <v>14008532</v>
      </c>
      <c r="R2796" s="5" t="str">
        <f t="shared" si="61"/>
        <v>Money Monster</v>
      </c>
      <c r="S2796" s="43" t="str">
        <f t="shared" si="65"/>
        <v>Crime</v>
      </c>
    </row>
    <row r="2797" spans="1:19" ht="15.75" customHeight="1" x14ac:dyDescent="0.25">
      <c r="A2797" s="6" t="s">
        <v>1401</v>
      </c>
      <c r="B2797" s="6">
        <v>138</v>
      </c>
      <c r="C2797" s="6">
        <v>54228104</v>
      </c>
      <c r="D2797" s="6" t="s">
        <v>8870</v>
      </c>
      <c r="E2797" s="6" t="s">
        <v>1314</v>
      </c>
      <c r="F2797" s="6" t="s">
        <v>8871</v>
      </c>
      <c r="G2797" s="6">
        <v>104991</v>
      </c>
      <c r="H2797" s="6" t="s">
        <v>8872</v>
      </c>
      <c r="I2797" s="6">
        <v>544</v>
      </c>
      <c r="J2797" s="6" t="s">
        <v>23</v>
      </c>
      <c r="K2797" s="6" t="s">
        <v>133</v>
      </c>
      <c r="L2797" s="6">
        <v>35000000</v>
      </c>
      <c r="M2797" s="6">
        <v>2002</v>
      </c>
      <c r="N2797" s="6">
        <v>7.7</v>
      </c>
      <c r="O2797" s="4">
        <f ca="1">IFERROR(__xludf.DUMMYFUNCTION("IF(Cost_in_dollars!E2797=""USD"",Cost_in_dollars!B2797,Cost_in_dollars!B2797 * GOOGLEFINANCE(""CURRENCY:"" &amp; Cost_in_dollars!E2797 &amp; ""USD""))
"),44988999.9999999)</f>
        <v>44988999.999999903</v>
      </c>
      <c r="P2797" s="4">
        <f ca="1">IFERROR(__xludf.DUMMYFUNCTION("IF(Cost_in_dollars!E2797=""USD"",Cost_in_dollars!C2797,Cost_in_dollars!C2797 * GOOGLEFINANCE(""CURRENCY:"" &amp; Cost_in_dollars!E2797 &amp; ""USD""))
"),69704804.8815999)</f>
        <v>69704804.881599903</v>
      </c>
      <c r="Q2797" s="6">
        <f t="shared" ca="1" si="60"/>
        <v>24715804.8816</v>
      </c>
      <c r="R2797" s="7" t="str">
        <f t="shared" si="61"/>
        <v>The Count of Monte Cristo</v>
      </c>
      <c r="S2797" s="43" t="str">
        <f t="shared" si="65"/>
        <v>Action</v>
      </c>
    </row>
    <row r="2798" spans="1:19" ht="15.75" customHeight="1" x14ac:dyDescent="0.25">
      <c r="A2798" s="4" t="s">
        <v>476</v>
      </c>
      <c r="B2798" s="4">
        <v>217</v>
      </c>
      <c r="C2798" s="4">
        <v>59735548</v>
      </c>
      <c r="D2798" s="4" t="s">
        <v>2429</v>
      </c>
      <c r="E2798" s="4" t="s">
        <v>4807</v>
      </c>
      <c r="F2798" s="4" t="s">
        <v>8873</v>
      </c>
      <c r="G2798" s="4">
        <v>290949</v>
      </c>
      <c r="H2798" s="4" t="s">
        <v>8874</v>
      </c>
      <c r="I2798" s="4">
        <v>629</v>
      </c>
      <c r="J2798" s="4" t="s">
        <v>23</v>
      </c>
      <c r="K2798" s="4" t="s">
        <v>24</v>
      </c>
      <c r="L2798" s="4">
        <v>15000000</v>
      </c>
      <c r="M2798" s="4">
        <v>1987</v>
      </c>
      <c r="N2798" s="4">
        <v>7.8</v>
      </c>
      <c r="O2798" s="4">
        <f ca="1">IFERROR(__xludf.DUMMYFUNCTION("IF(Cost_in_dollars!E2798=""USD"",Cost_in_dollars!B2798,Cost_in_dollars!B2798 * GOOGLEFINANCE(""CURRENCY:"" &amp; Cost_in_dollars!E2798 &amp; ""USD""))
"),15000000)</f>
        <v>15000000</v>
      </c>
      <c r="P2798" s="4">
        <f ca="1">IFERROR(__xludf.DUMMYFUNCTION("IF(Cost_in_dollars!E2798=""USD"",Cost_in_dollars!C2798,Cost_in_dollars!C2798 * GOOGLEFINANCE(""CURRENCY:"" &amp; Cost_in_dollars!E2798 &amp; ""USD""))
"),59735548)</f>
        <v>59735548</v>
      </c>
      <c r="Q2798" s="4">
        <f t="shared" ca="1" si="60"/>
        <v>44735548</v>
      </c>
      <c r="R2798" s="5" t="str">
        <f t="shared" si="61"/>
        <v>Predator</v>
      </c>
      <c r="S2798" s="43" t="str">
        <f t="shared" si="65"/>
        <v>Action</v>
      </c>
    </row>
    <row r="2799" spans="1:19" ht="15.75" customHeight="1" x14ac:dyDescent="0.25">
      <c r="A2799" s="6" t="s">
        <v>221</v>
      </c>
      <c r="B2799" s="6">
        <v>133</v>
      </c>
      <c r="C2799" s="6">
        <v>28871190</v>
      </c>
      <c r="D2799" s="6" t="s">
        <v>362</v>
      </c>
      <c r="E2799" s="6" t="s">
        <v>847</v>
      </c>
      <c r="F2799" s="6" t="s">
        <v>8875</v>
      </c>
      <c r="G2799" s="6">
        <v>125421</v>
      </c>
      <c r="H2799" s="6" t="s">
        <v>8876</v>
      </c>
      <c r="I2799" s="6">
        <v>385</v>
      </c>
      <c r="J2799" s="6" t="s">
        <v>23</v>
      </c>
      <c r="K2799" s="6" t="s">
        <v>24</v>
      </c>
      <c r="L2799" s="6">
        <v>24000000</v>
      </c>
      <c r="M2799" s="6">
        <v>1999</v>
      </c>
      <c r="N2799" s="6">
        <v>7.3</v>
      </c>
      <c r="O2799" s="4">
        <f ca="1">IFERROR(__xludf.DUMMYFUNCTION("IF(Cost_in_dollars!E2799=""USD"",Cost_in_dollars!B2799,Cost_in_dollars!B2799 * GOOGLEFINANCE(""CURRENCY:"" &amp; Cost_in_dollars!E2799 &amp; ""USD""))
"),24000000)</f>
        <v>24000000</v>
      </c>
      <c r="P2799" s="4">
        <f ca="1">IFERROR(__xludf.DUMMYFUNCTION("IF(Cost_in_dollars!E2799=""USD"",Cost_in_dollars!C2799,Cost_in_dollars!C2799 * GOOGLEFINANCE(""CURRENCY:"" &amp; Cost_in_dollars!E2799 &amp; ""USD""))
"),28871190)</f>
        <v>28871190</v>
      </c>
      <c r="Q2799" s="6">
        <f t="shared" ca="1" si="60"/>
        <v>4871190</v>
      </c>
      <c r="R2799" s="7" t="str">
        <f t="shared" si="61"/>
        <v>Girl, Interrupted</v>
      </c>
      <c r="S2799" s="43" t="str">
        <f t="shared" si="65"/>
        <v>Biography</v>
      </c>
    </row>
    <row r="2800" spans="1:19" ht="15.75" customHeight="1" x14ac:dyDescent="0.25">
      <c r="A2800" s="4" t="s">
        <v>6882</v>
      </c>
      <c r="B2800" s="4">
        <v>91</v>
      </c>
      <c r="C2800" s="4">
        <v>75074950</v>
      </c>
      <c r="D2800" s="4" t="s">
        <v>457</v>
      </c>
      <c r="E2800" s="4" t="s">
        <v>8807</v>
      </c>
      <c r="F2800" s="4" t="s">
        <v>8877</v>
      </c>
      <c r="G2800" s="4">
        <v>22147</v>
      </c>
      <c r="H2800" s="4" t="s">
        <v>8878</v>
      </c>
      <c r="I2800" s="4">
        <v>156</v>
      </c>
      <c r="J2800" s="4" t="s">
        <v>23</v>
      </c>
      <c r="K2800" s="4" t="s">
        <v>24</v>
      </c>
      <c r="L2800" s="4">
        <v>12000000</v>
      </c>
      <c r="M2800" s="4">
        <v>2002</v>
      </c>
      <c r="N2800" s="4">
        <v>6.3</v>
      </c>
      <c r="O2800" s="4">
        <f ca="1">IFERROR(__xludf.DUMMYFUNCTION("IF(Cost_in_dollars!E2800=""USD"",Cost_in_dollars!B2800,Cost_in_dollars!B2800 * GOOGLEFINANCE(""CURRENCY:"" &amp; Cost_in_dollars!E2800 &amp; ""USD""))
"),12000000)</f>
        <v>12000000</v>
      </c>
      <c r="P2800" s="4">
        <f ca="1">IFERROR(__xludf.DUMMYFUNCTION("IF(Cost_in_dollars!E2800=""USD"",Cost_in_dollars!C2800,Cost_in_dollars!C2800 * GOOGLEFINANCE(""CURRENCY:"" &amp; Cost_in_dollars!E2800 &amp; ""USD""))
"),75074950)</f>
        <v>75074950</v>
      </c>
      <c r="Q2800" s="4">
        <f t="shared" ca="1" si="60"/>
        <v>63074950</v>
      </c>
      <c r="R2800" s="5" t="str">
        <f t="shared" si="61"/>
        <v>Barbershop</v>
      </c>
      <c r="S2800" s="43" t="str">
        <f t="shared" si="65"/>
        <v>Comedy</v>
      </c>
    </row>
    <row r="2801" spans="1:19" ht="15.75" customHeight="1" x14ac:dyDescent="0.25">
      <c r="A2801" s="6" t="s">
        <v>8879</v>
      </c>
      <c r="B2801" s="6">
        <v>217</v>
      </c>
      <c r="C2801" s="6">
        <v>10880926</v>
      </c>
      <c r="D2801" s="6" t="s">
        <v>504</v>
      </c>
      <c r="E2801" s="6" t="s">
        <v>2493</v>
      </c>
      <c r="F2801" s="6" t="s">
        <v>8880</v>
      </c>
      <c r="G2801" s="6">
        <v>54147</v>
      </c>
      <c r="H2801" s="6" t="s">
        <v>8881</v>
      </c>
      <c r="I2801" s="6">
        <v>127</v>
      </c>
      <c r="J2801" s="6" t="s">
        <v>23</v>
      </c>
      <c r="K2801" s="6" t="s">
        <v>24</v>
      </c>
      <c r="L2801" s="6">
        <v>30000000</v>
      </c>
      <c r="M2801" s="6">
        <v>2013</v>
      </c>
      <c r="N2801" s="6">
        <v>6.5</v>
      </c>
      <c r="O2801" s="4">
        <f ca="1">IFERROR(__xludf.DUMMYFUNCTION("IF(Cost_in_dollars!E2801=""USD"",Cost_in_dollars!B2801,Cost_in_dollars!B2801 * GOOGLEFINANCE(""CURRENCY:"" &amp; Cost_in_dollars!E2801 &amp; ""USD""))
"),30000000)</f>
        <v>30000000</v>
      </c>
      <c r="P2801" s="4">
        <f ca="1">IFERROR(__xludf.DUMMYFUNCTION("IF(Cost_in_dollars!E2801=""USD"",Cost_in_dollars!C2801,Cost_in_dollars!C2801 * GOOGLEFINANCE(""CURRENCY:"" &amp; Cost_in_dollars!E2801 &amp; ""USD""))
"),10880926)</f>
        <v>10880926</v>
      </c>
      <c r="Q2801" s="6">
        <f t="shared" ca="1" si="60"/>
        <v>-19119074</v>
      </c>
      <c r="R2801" s="7" t="str">
        <f t="shared" si="61"/>
        <v>Dead Man Down</v>
      </c>
      <c r="S2801" s="43" t="str">
        <f t="shared" si="65"/>
        <v>Action</v>
      </c>
    </row>
    <row r="2802" spans="1:19" ht="15.75" customHeight="1" x14ac:dyDescent="0.25">
      <c r="A2802" s="4" t="s">
        <v>717</v>
      </c>
      <c r="B2802" s="4">
        <v>138</v>
      </c>
      <c r="C2802" s="4">
        <v>42385520</v>
      </c>
      <c r="D2802" s="4" t="s">
        <v>737</v>
      </c>
      <c r="E2802" s="4" t="s">
        <v>8882</v>
      </c>
      <c r="F2802" s="4" t="s">
        <v>8883</v>
      </c>
      <c r="G2802" s="4">
        <v>47297</v>
      </c>
      <c r="H2802" s="4" t="s">
        <v>8884</v>
      </c>
      <c r="I2802" s="4">
        <v>86</v>
      </c>
      <c r="J2802" s="4" t="s">
        <v>23</v>
      </c>
      <c r="K2802" s="4" t="s">
        <v>24</v>
      </c>
      <c r="L2802" s="4">
        <v>30000000</v>
      </c>
      <c r="M2802" s="4">
        <v>2010</v>
      </c>
      <c r="N2802" s="4">
        <v>6.2</v>
      </c>
      <c r="O2802" s="4">
        <f ca="1">IFERROR(__xludf.DUMMYFUNCTION("IF(Cost_in_dollars!E2802=""USD"",Cost_in_dollars!B2802,Cost_in_dollars!B2802 * GOOGLEFINANCE(""CURRENCY:"" &amp; Cost_in_dollars!E2802 &amp; ""USD""))
"),30000000)</f>
        <v>30000000</v>
      </c>
      <c r="P2802" s="4">
        <f ca="1">IFERROR(__xludf.DUMMYFUNCTION("IF(Cost_in_dollars!E2802=""USD"",Cost_in_dollars!C2802,Cost_in_dollars!C2802 * GOOGLEFINANCE(""CURRENCY:"" &amp; Cost_in_dollars!E2802 &amp; ""USD""))
"),42385520)</f>
        <v>42385520</v>
      </c>
      <c r="Q2802" s="4">
        <f t="shared" ca="1" si="60"/>
        <v>12385520</v>
      </c>
      <c r="R2802" s="5" t="str">
        <f t="shared" si="61"/>
        <v>Step Up 3D</v>
      </c>
      <c r="S2802" s="43" t="str">
        <f t="shared" si="65"/>
        <v>Drama</v>
      </c>
    </row>
    <row r="2803" spans="1:19" ht="15.75" customHeight="1" x14ac:dyDescent="0.25">
      <c r="A2803" s="6" t="s">
        <v>350</v>
      </c>
      <c r="B2803" s="6">
        <v>212</v>
      </c>
      <c r="C2803" s="6">
        <v>267652016</v>
      </c>
      <c r="D2803" s="6" t="s">
        <v>304</v>
      </c>
      <c r="E2803" s="6" t="s">
        <v>8885</v>
      </c>
      <c r="F2803" s="6" t="s">
        <v>8886</v>
      </c>
      <c r="G2803" s="6">
        <v>467113</v>
      </c>
      <c r="H2803" s="6" t="s">
        <v>8887</v>
      </c>
      <c r="I2803" s="6">
        <v>945</v>
      </c>
      <c r="J2803" s="6" t="s">
        <v>23</v>
      </c>
      <c r="K2803" s="6" t="s">
        <v>24</v>
      </c>
      <c r="L2803" s="6">
        <v>60000000</v>
      </c>
      <c r="M2803" s="6">
        <v>2001</v>
      </c>
      <c r="N2803" s="6">
        <v>7.9</v>
      </c>
      <c r="O2803" s="4">
        <f ca="1">IFERROR(__xludf.DUMMYFUNCTION("IF(Cost_in_dollars!E2803=""USD"",Cost_in_dollars!B2803,Cost_in_dollars!B2803 * GOOGLEFINANCE(""CURRENCY:"" &amp; Cost_in_dollars!E2803 &amp; ""USD""))
"),60000000)</f>
        <v>60000000</v>
      </c>
      <c r="P2803" s="4">
        <f ca="1">IFERROR(__xludf.DUMMYFUNCTION("IF(Cost_in_dollars!E2803=""USD"",Cost_in_dollars!C2803,Cost_in_dollars!C2803 * GOOGLEFINANCE(""CURRENCY:"" &amp; Cost_in_dollars!E2803 &amp; ""USD""))
"),267652016)</f>
        <v>267652016</v>
      </c>
      <c r="Q2803" s="6">
        <f t="shared" ca="1" si="60"/>
        <v>207652016</v>
      </c>
      <c r="R2803" s="7" t="str">
        <f t="shared" si="61"/>
        <v>Shrek</v>
      </c>
      <c r="S2803" s="43" t="str">
        <f t="shared" si="65"/>
        <v>Adventure</v>
      </c>
    </row>
    <row r="2804" spans="1:19" ht="15.75" customHeight="1" x14ac:dyDescent="0.25">
      <c r="A2804" s="4" t="s">
        <v>1321</v>
      </c>
      <c r="B2804" s="4">
        <v>289</v>
      </c>
      <c r="C2804" s="4">
        <v>214948780</v>
      </c>
      <c r="D2804" s="4" t="s">
        <v>452</v>
      </c>
      <c r="E2804" s="4" t="s">
        <v>977</v>
      </c>
      <c r="F2804" s="4" t="s">
        <v>8888</v>
      </c>
      <c r="G2804" s="4">
        <v>405973</v>
      </c>
      <c r="H2804" s="4" t="s">
        <v>8889</v>
      </c>
      <c r="I2804" s="4">
        <v>1055</v>
      </c>
      <c r="J2804" s="4" t="s">
        <v>23</v>
      </c>
      <c r="K2804" s="4" t="s">
        <v>627</v>
      </c>
      <c r="L2804" s="4">
        <v>110000000</v>
      </c>
      <c r="M2804" s="4">
        <v>2003</v>
      </c>
      <c r="N2804" s="4">
        <v>7.5</v>
      </c>
      <c r="O2804" s="4">
        <f ca="1">IFERROR(__xludf.DUMMYFUNCTION("IF(Cost_in_dollars!E2804=""USD"",Cost_in_dollars!B2804,Cost_in_dollars!B2804 * GOOGLEFINANCE(""CURRENCY:"" &amp; Cost_in_dollars!E2804 &amp; ""USD""))
"),79574550)</f>
        <v>79574550</v>
      </c>
      <c r="P2804" s="4">
        <f ca="1">IFERROR(__xludf.DUMMYFUNCTION("IF(Cost_in_dollars!E2804=""USD"",Cost_in_dollars!C2804,Cost_in_dollars!C2804 * GOOGLEFINANCE(""CURRENCY:"" &amp; Cost_in_dollars!E2804 &amp; ""USD""))
"),155495022.1959)</f>
        <v>155495022.19589999</v>
      </c>
      <c r="Q2804" s="4">
        <f t="shared" ca="1" si="60"/>
        <v>75920472.195899993</v>
      </c>
      <c r="R2804" s="5" t="str">
        <f t="shared" si="61"/>
        <v>X-Men 2</v>
      </c>
      <c r="S2804" s="43" t="str">
        <f t="shared" si="65"/>
        <v>Action</v>
      </c>
    </row>
    <row r="2805" spans="1:19" ht="15.75" customHeight="1" x14ac:dyDescent="0.25">
      <c r="A2805" s="6" t="s">
        <v>8890</v>
      </c>
      <c r="B2805" s="6">
        <v>75</v>
      </c>
      <c r="C2805" s="6">
        <v>712294</v>
      </c>
      <c r="D2805" s="6" t="s">
        <v>102</v>
      </c>
      <c r="E2805" s="6" t="s">
        <v>8891</v>
      </c>
      <c r="F2805" s="6" t="s">
        <v>8892</v>
      </c>
      <c r="G2805" s="6">
        <v>9408</v>
      </c>
      <c r="H2805" s="6" t="s">
        <v>8893</v>
      </c>
      <c r="I2805" s="6">
        <v>68</v>
      </c>
      <c r="J2805" s="6" t="s">
        <v>23</v>
      </c>
      <c r="K2805" s="6" t="s">
        <v>24</v>
      </c>
      <c r="L2805" s="6">
        <v>1500000</v>
      </c>
      <c r="M2805" s="6">
        <v>2005</v>
      </c>
      <c r="N2805" s="6">
        <v>6.7</v>
      </c>
      <c r="O2805" s="4">
        <f ca="1">IFERROR(__xludf.DUMMYFUNCTION("IF(Cost_in_dollars!E2805=""USD"",Cost_in_dollars!B2805,Cost_in_dollars!B2805 * GOOGLEFINANCE(""CURRENCY:"" &amp; Cost_in_dollars!E2805 &amp; ""USD""))
"),1500000)</f>
        <v>1500000</v>
      </c>
      <c r="P2805" s="4">
        <f ca="1">IFERROR(__xludf.DUMMYFUNCTION("IF(Cost_in_dollars!E2805=""USD"",Cost_in_dollars!C2805,Cost_in_dollars!C2805 * GOOGLEFINANCE(""CURRENCY:"" &amp; Cost_in_dollars!E2805 &amp; ""USD""))
"),712294)</f>
        <v>712294</v>
      </c>
      <c r="Q2805" s="6">
        <f t="shared" ca="1" si="60"/>
        <v>-787706</v>
      </c>
      <c r="R2805" s="7" t="str">
        <f t="shared" si="61"/>
        <v>The Ballad of Jack and Rose</v>
      </c>
      <c r="S2805" s="43" t="str">
        <f t="shared" si="65"/>
        <v>Drama</v>
      </c>
    </row>
    <row r="2806" spans="1:19" ht="15.75" customHeight="1" x14ac:dyDescent="0.25">
      <c r="A2806" s="4" t="s">
        <v>2877</v>
      </c>
      <c r="B2806" s="4">
        <v>171</v>
      </c>
      <c r="C2806" s="4">
        <v>25296447</v>
      </c>
      <c r="D2806" s="4" t="s">
        <v>155</v>
      </c>
      <c r="E2806" s="4" t="s">
        <v>818</v>
      </c>
      <c r="F2806" s="4" t="s">
        <v>8894</v>
      </c>
      <c r="G2806" s="4">
        <v>237248</v>
      </c>
      <c r="H2806" s="4" t="s">
        <v>8895</v>
      </c>
      <c r="I2806" s="4">
        <v>460</v>
      </c>
      <c r="J2806" s="4" t="s">
        <v>23</v>
      </c>
      <c r="K2806" s="4" t="s">
        <v>611</v>
      </c>
      <c r="L2806" s="4">
        <v>21000000</v>
      </c>
      <c r="M2806" s="4">
        <v>2002</v>
      </c>
      <c r="N2806" s="4">
        <v>6.8</v>
      </c>
      <c r="O2806" s="4">
        <f ca="1">IFERROR(__xludf.DUMMYFUNCTION("IF(Cost_in_dollars!E2806=""USD"",Cost_in_dollars!B2806,Cost_in_dollars!B2806 * GOOGLEFINANCE(""CURRENCY:"" &amp; Cost_in_dollars!E2806 &amp; ""USD""))
"),22779540)</f>
        <v>22779540</v>
      </c>
      <c r="P2806" s="4">
        <f ca="1">IFERROR(__xludf.DUMMYFUNCTION("IF(Cost_in_dollars!E2806=""USD"",Cost_in_dollars!C2806,Cost_in_dollars!C2806 * GOOGLEFINANCE(""CURRENCY:"" &amp; Cost_in_dollars!E2806 &amp; ""USD""))
"),27440067.91878)</f>
        <v>27440067.918779999</v>
      </c>
      <c r="Q2806" s="4">
        <f t="shared" ca="1" si="60"/>
        <v>4660527.918779999</v>
      </c>
      <c r="R2806" s="5" t="str">
        <f t="shared" si="61"/>
        <v>The Transporter</v>
      </c>
      <c r="S2806" s="43" t="str">
        <f t="shared" si="65"/>
        <v>Action</v>
      </c>
    </row>
    <row r="2807" spans="1:19" ht="15.75" customHeight="1" x14ac:dyDescent="0.25">
      <c r="A2807" s="6" t="s">
        <v>8896</v>
      </c>
      <c r="B2807" s="6">
        <v>93</v>
      </c>
      <c r="C2807" s="6">
        <v>10956379</v>
      </c>
      <c r="D2807" s="6" t="s">
        <v>8897</v>
      </c>
      <c r="E2807" s="6" t="s">
        <v>2347</v>
      </c>
      <c r="F2807" s="6" t="s">
        <v>8898</v>
      </c>
      <c r="G2807" s="6">
        <v>21506</v>
      </c>
      <c r="H2807" s="6" t="s">
        <v>8899</v>
      </c>
      <c r="I2807" s="6">
        <v>364</v>
      </c>
      <c r="J2807" s="6" t="s">
        <v>23</v>
      </c>
      <c r="K2807" s="6" t="s">
        <v>1491</v>
      </c>
      <c r="L2807" s="6">
        <v>35000000</v>
      </c>
      <c r="M2807" s="6">
        <v>2007</v>
      </c>
      <c r="N2807" s="6">
        <v>3.6</v>
      </c>
      <c r="O2807" s="4">
        <f ca="1">IFERROR(__xludf.DUMMYFUNCTION("IF(Cost_in_dollars!E2807=""USD"",Cost_in_dollars!B2807,Cost_in_dollars!B2807 * GOOGLEFINANCE(""CURRENCY:"" &amp; Cost_in_dollars!E2807 &amp; ""USD""))
"),25335.345)</f>
        <v>25335.345000000001</v>
      </c>
      <c r="P2807" s="4">
        <f ca="1">IFERROR(__xludf.DUMMYFUNCTION("IF(Cost_in_dollars!E2807=""USD"",Cost_in_dollars!C2807,Cost_in_dollars!C2807 * GOOGLEFINANCE(""CURRENCY:"" &amp; Cost_in_dollars!E2807 &amp; ""USD""))
"),7930.961197593)</f>
        <v>7930.9611975930002</v>
      </c>
      <c r="Q2807" s="6">
        <f t="shared" ref="Q2807:Q3061" ca="1" si="66">P2807-O2807</f>
        <v>-17404.383802406999</v>
      </c>
      <c r="R2807" s="7" t="str">
        <f t="shared" ref="R2807:R3061" si="67">LEFT(F2807,LEN(F2807)-2)</f>
        <v>Dragon Wars: D-War</v>
      </c>
      <c r="S2807" s="43" t="str">
        <f t="shared" si="65"/>
        <v>Action</v>
      </c>
    </row>
    <row r="2808" spans="1:19" ht="15.75" customHeight="1" x14ac:dyDescent="0.25">
      <c r="A2808" s="4" t="s">
        <v>8900</v>
      </c>
      <c r="B2808" s="4">
        <v>62</v>
      </c>
      <c r="C2808" s="4">
        <v>50382128</v>
      </c>
      <c r="D2808" s="4" t="s">
        <v>162</v>
      </c>
      <c r="E2808" s="4" t="s">
        <v>2710</v>
      </c>
      <c r="F2808" s="4" t="s">
        <v>8901</v>
      </c>
      <c r="G2808" s="4">
        <v>10472</v>
      </c>
      <c r="H2808" s="4" t="s">
        <v>8902</v>
      </c>
      <c r="I2808" s="4">
        <v>202</v>
      </c>
      <c r="J2808" s="4" t="s">
        <v>23</v>
      </c>
      <c r="K2808" s="4" t="s">
        <v>24</v>
      </c>
      <c r="L2808" s="4">
        <v>5500000</v>
      </c>
      <c r="M2808" s="4">
        <v>2005</v>
      </c>
      <c r="N2808" s="4">
        <v>5.6</v>
      </c>
      <c r="O2808" s="4">
        <f ca="1">IFERROR(__xludf.DUMMYFUNCTION("IF(Cost_in_dollars!E2808=""USD"",Cost_in_dollars!B2808,Cost_in_dollars!B2808 * GOOGLEFINANCE(""CURRENCY:"" &amp; Cost_in_dollars!E2808 &amp; ""USD""))
"),5500000)</f>
        <v>5500000</v>
      </c>
      <c r="P2808" s="4">
        <f ca="1">IFERROR(__xludf.DUMMYFUNCTION("IF(Cost_in_dollars!E2808=""USD"",Cost_in_dollars!C2808,Cost_in_dollars!C2808 * GOOGLEFINANCE(""CURRENCY:"" &amp; Cost_in_dollars!E2808 &amp; ""USD""))
"),50382128)</f>
        <v>50382128</v>
      </c>
      <c r="Q2808" s="4">
        <f t="shared" ca="1" si="66"/>
        <v>44882128</v>
      </c>
      <c r="R2808" s="5" t="str">
        <f t="shared" si="67"/>
        <v>Diary of a Mad Black Woman</v>
      </c>
      <c r="S2808" s="43" t="str">
        <f t="shared" si="65"/>
        <v>Comedy</v>
      </c>
    </row>
    <row r="2809" spans="1:19" ht="15.75" customHeight="1" x14ac:dyDescent="0.25">
      <c r="A2809" s="6" t="s">
        <v>8903</v>
      </c>
      <c r="B2809" s="6">
        <v>18</v>
      </c>
      <c r="C2809" s="6">
        <v>4308981</v>
      </c>
      <c r="D2809" s="6" t="s">
        <v>860</v>
      </c>
      <c r="E2809" s="6" t="s">
        <v>805</v>
      </c>
      <c r="F2809" s="6" t="s">
        <v>8904</v>
      </c>
      <c r="G2809" s="6">
        <v>2265</v>
      </c>
      <c r="H2809" s="6" t="s">
        <v>8905</v>
      </c>
      <c r="I2809" s="6">
        <v>37</v>
      </c>
      <c r="J2809" s="6" t="s">
        <v>23</v>
      </c>
      <c r="K2809" s="6" t="s">
        <v>24</v>
      </c>
      <c r="L2809" s="6">
        <v>24000000</v>
      </c>
      <c r="M2809" s="6">
        <v>1998</v>
      </c>
      <c r="N2809" s="6">
        <v>3.9</v>
      </c>
      <c r="O2809" s="4">
        <f ca="1">IFERROR(__xludf.DUMMYFUNCTION("IF(Cost_in_dollars!E2809=""USD"",Cost_in_dollars!B2809,Cost_in_dollars!B2809 * GOOGLEFINANCE(""CURRENCY:"" &amp; Cost_in_dollars!E2809 &amp; ""USD""))
"),24000000)</f>
        <v>24000000</v>
      </c>
      <c r="P2809" s="4">
        <f ca="1">IFERROR(__xludf.DUMMYFUNCTION("IF(Cost_in_dollars!E2809=""USD"",Cost_in_dollars!C2809,Cost_in_dollars!C2809 * GOOGLEFINANCE(""CURRENCY:"" &amp; Cost_in_dollars!E2809 &amp; ""USD""))
"),4308981)</f>
        <v>4308981</v>
      </c>
      <c r="Q2809" s="6">
        <f t="shared" ca="1" si="66"/>
        <v>-19691019</v>
      </c>
      <c r="R2809" s="7" t="str">
        <f t="shared" si="67"/>
        <v>Meet the Deedles</v>
      </c>
      <c r="S2809" s="43" t="str">
        <f t="shared" si="65"/>
        <v>Comedy</v>
      </c>
    </row>
    <row r="2810" spans="1:19" ht="15.75" customHeight="1" x14ac:dyDescent="0.25">
      <c r="A2810" s="4" t="s">
        <v>643</v>
      </c>
      <c r="B2810" s="4">
        <v>50</v>
      </c>
      <c r="C2810" s="4">
        <v>14891000</v>
      </c>
      <c r="D2810" s="4" t="s">
        <v>140</v>
      </c>
      <c r="E2810" s="4" t="s">
        <v>2131</v>
      </c>
      <c r="F2810" s="4" t="s">
        <v>8906</v>
      </c>
      <c r="G2810" s="4">
        <v>15088</v>
      </c>
      <c r="H2810" s="4" t="s">
        <v>8907</v>
      </c>
      <c r="I2810" s="4">
        <v>105</v>
      </c>
      <c r="J2810" s="4" t="s">
        <v>23</v>
      </c>
      <c r="K2810" s="4" t="s">
        <v>24</v>
      </c>
      <c r="L2810" s="4">
        <v>7000000</v>
      </c>
      <c r="M2810" s="4">
        <v>1996</v>
      </c>
      <c r="N2810" s="4">
        <v>6.8</v>
      </c>
      <c r="O2810" s="4">
        <f ca="1">IFERROR(__xludf.DUMMYFUNCTION("IF(Cost_in_dollars!E2810=""USD"",Cost_in_dollars!B2810,Cost_in_dollars!B2810 * GOOGLEFINANCE(""CURRENCY:"" &amp; Cost_in_dollars!E2810 &amp; ""USD""))
"),7000000)</f>
        <v>7000000</v>
      </c>
      <c r="P2810" s="4">
        <f ca="1">IFERROR(__xludf.DUMMYFUNCTION("IF(Cost_in_dollars!E2810=""USD"",Cost_in_dollars!C2810,Cost_in_dollars!C2810 * GOOGLEFINANCE(""CURRENCY:"" &amp; Cost_in_dollars!E2810 &amp; ""USD""))
"),14891000)</f>
        <v>14891000</v>
      </c>
      <c r="Q2810" s="4">
        <f t="shared" ca="1" si="66"/>
        <v>7891000</v>
      </c>
      <c r="R2810" s="5" t="str">
        <f t="shared" si="67"/>
        <v>Flirting with Disaster</v>
      </c>
      <c r="S2810" s="43" t="str">
        <f t="shared" si="65"/>
        <v>Comedy</v>
      </c>
    </row>
    <row r="2811" spans="1:19" ht="15.75" customHeight="1" x14ac:dyDescent="0.25">
      <c r="A2811" s="6" t="s">
        <v>182</v>
      </c>
      <c r="B2811" s="6">
        <v>451</v>
      </c>
      <c r="C2811" s="6">
        <v>334185206</v>
      </c>
      <c r="D2811" s="6" t="s">
        <v>1259</v>
      </c>
      <c r="E2811" s="6" t="s">
        <v>84</v>
      </c>
      <c r="F2811" s="6" t="s">
        <v>2933</v>
      </c>
      <c r="G2811" s="6">
        <v>306336</v>
      </c>
      <c r="H2811" s="6" t="s">
        <v>2934</v>
      </c>
      <c r="I2811" s="6">
        <v>736</v>
      </c>
      <c r="J2811" s="6" t="s">
        <v>23</v>
      </c>
      <c r="K2811" s="6" t="s">
        <v>24</v>
      </c>
      <c r="L2811" s="6">
        <v>200000000</v>
      </c>
      <c r="M2811" s="6">
        <v>2010</v>
      </c>
      <c r="N2811" s="6">
        <v>6.5</v>
      </c>
      <c r="O2811" s="4">
        <f ca="1">IFERROR(__xludf.DUMMYFUNCTION("IF(Cost_in_dollars!E2811=""USD"",Cost_in_dollars!B2811,Cost_in_dollars!B2811 * GOOGLEFINANCE(""CURRENCY:"" &amp; Cost_in_dollars!E2811 &amp; ""USD""))
"),200000000)</f>
        <v>200000000</v>
      </c>
      <c r="P2811" s="4">
        <f ca="1">IFERROR(__xludf.DUMMYFUNCTION("IF(Cost_in_dollars!E2811=""USD"",Cost_in_dollars!C2811,Cost_in_dollars!C2811 * GOOGLEFINANCE(""CURRENCY:"" &amp; Cost_in_dollars!E2811 &amp; ""USD""))
"),334185206)</f>
        <v>334185206</v>
      </c>
      <c r="Q2811" s="6">
        <f t="shared" ca="1" si="66"/>
        <v>134185206</v>
      </c>
      <c r="R2811" s="7" t="str">
        <f t="shared" si="67"/>
        <v>Alice in Wonderland</v>
      </c>
      <c r="S2811" s="43" t="str">
        <f t="shared" si="65"/>
        <v>Adventure</v>
      </c>
    </row>
    <row r="2812" spans="1:19" ht="15.75" customHeight="1" x14ac:dyDescent="0.25">
      <c r="A2812" s="4" t="s">
        <v>532</v>
      </c>
      <c r="B2812" s="4">
        <v>49</v>
      </c>
      <c r="C2812" s="4">
        <v>61490000</v>
      </c>
      <c r="D2812" s="4" t="s">
        <v>2336</v>
      </c>
      <c r="E2812" s="4" t="s">
        <v>536</v>
      </c>
      <c r="F2812" s="4" t="s">
        <v>8908</v>
      </c>
      <c r="G2812" s="4">
        <v>62037</v>
      </c>
      <c r="H2812" s="4" t="s">
        <v>8909</v>
      </c>
      <c r="I2812" s="4">
        <v>148</v>
      </c>
      <c r="J2812" s="4" t="s">
        <v>23</v>
      </c>
      <c r="K2812" s="4" t="s">
        <v>24</v>
      </c>
      <c r="L2812" s="4">
        <v>26000000</v>
      </c>
      <c r="M2812" s="4">
        <v>1990</v>
      </c>
      <c r="N2812" s="4">
        <v>6.6</v>
      </c>
      <c r="O2812" s="4">
        <f ca="1">IFERROR(__xludf.DUMMYFUNCTION("IF(Cost_in_dollars!E2812=""USD"",Cost_in_dollars!B2812,Cost_in_dollars!B2812 * GOOGLEFINANCE(""CURRENCY:"" &amp; Cost_in_dollars!E2812 &amp; ""USD""))
"),26000000)</f>
        <v>26000000</v>
      </c>
      <c r="P2812" s="4">
        <f ca="1">IFERROR(__xludf.DUMMYFUNCTION("IF(Cost_in_dollars!E2812=""USD"",Cost_in_dollars!C2812,Cost_in_dollars!C2812 * GOOGLEFINANCE(""CURRENCY:"" &amp; Cost_in_dollars!E2812 &amp; ""USD""))
"),61490000)</f>
        <v>61490000</v>
      </c>
      <c r="Q2812" s="4">
        <f t="shared" ca="1" si="66"/>
        <v>35490000</v>
      </c>
      <c r="R2812" s="5" t="str">
        <f t="shared" si="67"/>
        <v>Flatliners</v>
      </c>
      <c r="S2812" s="43" t="str">
        <f t="shared" si="65"/>
        <v>Drama</v>
      </c>
    </row>
    <row r="2813" spans="1:19" ht="15.75" customHeight="1" x14ac:dyDescent="0.25">
      <c r="A2813" s="6" t="s">
        <v>3918</v>
      </c>
      <c r="B2813" s="6">
        <v>191</v>
      </c>
      <c r="C2813" s="6">
        <v>64149837</v>
      </c>
      <c r="D2813" s="6" t="s">
        <v>8910</v>
      </c>
      <c r="E2813" s="6" t="s">
        <v>5748</v>
      </c>
      <c r="F2813" s="6" t="s">
        <v>8911</v>
      </c>
      <c r="G2813" s="6">
        <v>146899</v>
      </c>
      <c r="H2813" s="6" t="s">
        <v>8912</v>
      </c>
      <c r="I2813" s="6">
        <v>185</v>
      </c>
      <c r="J2813" s="6" t="s">
        <v>23</v>
      </c>
      <c r="K2813" s="6" t="s">
        <v>24</v>
      </c>
      <c r="L2813" s="6">
        <v>20000000</v>
      </c>
      <c r="M2813" s="6">
        <v>2009</v>
      </c>
      <c r="N2813" s="6">
        <v>6.4</v>
      </c>
      <c r="O2813" s="4">
        <f ca="1">IFERROR(__xludf.DUMMYFUNCTION("IF(Cost_in_dollars!E2813=""USD"",Cost_in_dollars!B2813,Cost_in_dollars!B2813 * GOOGLEFINANCE(""CURRENCY:"" &amp; Cost_in_dollars!E2813 &amp; ""USD""))
"),20000000)</f>
        <v>20000000</v>
      </c>
      <c r="P2813" s="4">
        <f ca="1">IFERROR(__xludf.DUMMYFUNCTION("IF(Cost_in_dollars!E2813=""USD"",Cost_in_dollars!C2813,Cost_in_dollars!C2813 * GOOGLEFINANCE(""CURRENCY:"" &amp; Cost_in_dollars!E2813 &amp; ""USD""))
"),64149837)</f>
        <v>64149837</v>
      </c>
      <c r="Q2813" s="6">
        <f t="shared" ca="1" si="66"/>
        <v>44149837</v>
      </c>
      <c r="R2813" s="7" t="str">
        <f t="shared" si="67"/>
        <v>17 Again</v>
      </c>
      <c r="S2813" s="43" t="str">
        <f t="shared" si="65"/>
        <v>Comedy</v>
      </c>
    </row>
    <row r="2814" spans="1:19" ht="15.75" customHeight="1" x14ac:dyDescent="0.25">
      <c r="A2814" s="4" t="s">
        <v>2084</v>
      </c>
      <c r="B2814" s="4">
        <v>105</v>
      </c>
      <c r="C2814" s="4">
        <v>18535191</v>
      </c>
      <c r="D2814" s="4" t="s">
        <v>88</v>
      </c>
      <c r="E2814" s="4" t="s">
        <v>1407</v>
      </c>
      <c r="F2814" s="4" t="s">
        <v>8913</v>
      </c>
      <c r="G2814" s="4">
        <v>12980</v>
      </c>
      <c r="H2814" s="4" t="s">
        <v>8914</v>
      </c>
      <c r="I2814" s="4">
        <v>132</v>
      </c>
      <c r="J2814" s="4" t="s">
        <v>23</v>
      </c>
      <c r="K2814" s="4" t="s">
        <v>133</v>
      </c>
      <c r="L2814" s="4">
        <v>14000000</v>
      </c>
      <c r="M2814" s="4">
        <v>1999</v>
      </c>
      <c r="N2814" s="4">
        <v>6.9</v>
      </c>
      <c r="O2814" s="4">
        <f ca="1">IFERROR(__xludf.DUMMYFUNCTION("IF(Cost_in_dollars!E2814=""USD"",Cost_in_dollars!B2814,Cost_in_dollars!B2814 * GOOGLEFINANCE(""CURRENCY:"" &amp; Cost_in_dollars!E2814 &amp; ""USD""))
"),17995600)</f>
        <v>17995600</v>
      </c>
      <c r="P2814" s="4">
        <f ca="1">IFERROR(__xludf.DUMMYFUNCTION("IF(Cost_in_dollars!E2814=""USD"",Cost_in_dollars!C2814,Cost_in_dollars!C2814 * GOOGLEFINANCE(""CURRENCY:"" &amp; Cost_in_dollars!E2814 &amp; ""USD""))
"),23825134.5114)</f>
        <v>23825134.511399999</v>
      </c>
      <c r="Q2814" s="4">
        <f t="shared" ca="1" si="66"/>
        <v>5829534.5113999993</v>
      </c>
      <c r="R2814" s="5" t="str">
        <f t="shared" si="67"/>
        <v>An Ideal Husband</v>
      </c>
      <c r="S2814" s="43" t="str">
        <f t="shared" si="65"/>
        <v>Comedy</v>
      </c>
    </row>
    <row r="2815" spans="1:19" ht="15.75" customHeight="1" x14ac:dyDescent="0.25">
      <c r="A2815" s="6" t="s">
        <v>8915</v>
      </c>
      <c r="B2815" s="6">
        <v>138</v>
      </c>
      <c r="C2815" s="6">
        <v>108229</v>
      </c>
      <c r="D2815" s="6" t="s">
        <v>2396</v>
      </c>
      <c r="E2815" s="6" t="s">
        <v>608</v>
      </c>
      <c r="F2815" s="6" t="s">
        <v>8916</v>
      </c>
      <c r="G2815" s="6">
        <v>30836</v>
      </c>
      <c r="H2815" s="6" t="s">
        <v>8917</v>
      </c>
      <c r="I2815" s="6">
        <v>137</v>
      </c>
      <c r="J2815" s="6" t="s">
        <v>23</v>
      </c>
      <c r="K2815" s="6" t="s">
        <v>24</v>
      </c>
      <c r="L2815" s="6">
        <v>4500000</v>
      </c>
      <c r="M2815" s="6">
        <v>2009</v>
      </c>
      <c r="N2815" s="6">
        <v>5.9</v>
      </c>
      <c r="O2815" s="4">
        <f ca="1">IFERROR(__xludf.DUMMYFUNCTION("IF(Cost_in_dollars!E2815=""USD"",Cost_in_dollars!B2815,Cost_in_dollars!B2815 * GOOGLEFINANCE(""CURRENCY:"" &amp; Cost_in_dollars!E2815 &amp; ""USD""))
"),4500000)</f>
        <v>4500000</v>
      </c>
      <c r="P2815" s="4">
        <f ca="1">IFERROR(__xludf.DUMMYFUNCTION("IF(Cost_in_dollars!E2815=""USD"",Cost_in_dollars!C2815,Cost_in_dollars!C2815 * GOOGLEFINANCE(""CURRENCY:"" &amp; Cost_in_dollars!E2815 &amp; ""USD""))
"),108229)</f>
        <v>108229</v>
      </c>
      <c r="Q2815" s="6">
        <f t="shared" ca="1" si="66"/>
        <v>-4391771</v>
      </c>
      <c r="R2815" s="7" t="str">
        <f t="shared" si="67"/>
        <v>After.Life</v>
      </c>
      <c r="S2815" s="43" t="str">
        <f t="shared" si="65"/>
        <v>Drama</v>
      </c>
    </row>
    <row r="2816" spans="1:19" ht="15.75" customHeight="1" x14ac:dyDescent="0.25">
      <c r="A2816" s="4" t="s">
        <v>5293</v>
      </c>
      <c r="B2816" s="4">
        <v>81</v>
      </c>
      <c r="C2816" s="4">
        <v>1980338</v>
      </c>
      <c r="D2816" s="4" t="s">
        <v>8918</v>
      </c>
      <c r="E2816" s="4" t="s">
        <v>8919</v>
      </c>
      <c r="F2816" s="4" t="s">
        <v>8920</v>
      </c>
      <c r="G2816" s="4">
        <v>12366</v>
      </c>
      <c r="H2816" s="4" t="s">
        <v>8921</v>
      </c>
      <c r="I2816" s="4">
        <v>151</v>
      </c>
      <c r="J2816" s="4" t="s">
        <v>23</v>
      </c>
      <c r="K2816" s="4" t="s">
        <v>24</v>
      </c>
      <c r="L2816" s="4">
        <v>5000000</v>
      </c>
      <c r="M2816" s="4">
        <v>1998</v>
      </c>
      <c r="N2816" s="4">
        <v>7</v>
      </c>
      <c r="O2816" s="4">
        <f ca="1">IFERROR(__xludf.DUMMYFUNCTION("IF(Cost_in_dollars!E2816=""USD"",Cost_in_dollars!B2816,Cost_in_dollars!B2816 * GOOGLEFINANCE(""CURRENCY:"" &amp; Cost_in_dollars!E2816 &amp; ""USD""))
"),5000000)</f>
        <v>5000000</v>
      </c>
      <c r="P2816" s="4">
        <f ca="1">IFERROR(__xludf.DUMMYFUNCTION("IF(Cost_in_dollars!E2816=""USD"",Cost_in_dollars!C2816,Cost_in_dollars!C2816 * GOOGLEFINANCE(""CURRENCY:"" &amp; Cost_in_dollars!E2816 &amp; ""USD""))
"),1980338)</f>
        <v>1980338</v>
      </c>
      <c r="Q2816" s="4">
        <f t="shared" ca="1" si="66"/>
        <v>-3019662</v>
      </c>
      <c r="R2816" s="5" t="str">
        <f t="shared" si="67"/>
        <v>Zero Effect</v>
      </c>
      <c r="S2816" s="43" t="str">
        <f t="shared" si="65"/>
        <v>Comedy</v>
      </c>
    </row>
    <row r="2817" spans="1:19" ht="15.75" customHeight="1" x14ac:dyDescent="0.25">
      <c r="A2817" s="6" t="s">
        <v>8922</v>
      </c>
      <c r="B2817" s="6">
        <v>51</v>
      </c>
      <c r="C2817" s="6">
        <v>124494</v>
      </c>
      <c r="D2817" s="6" t="s">
        <v>8923</v>
      </c>
      <c r="E2817" s="6" t="s">
        <v>8924</v>
      </c>
      <c r="F2817" s="6" t="s">
        <v>8925</v>
      </c>
      <c r="G2817" s="6">
        <v>5613</v>
      </c>
      <c r="H2817" s="6" t="s">
        <v>8926</v>
      </c>
      <c r="I2817" s="6">
        <v>102</v>
      </c>
      <c r="J2817" s="6" t="s">
        <v>23</v>
      </c>
      <c r="K2817" s="6" t="s">
        <v>24</v>
      </c>
      <c r="L2817" s="6">
        <v>2000000</v>
      </c>
      <c r="M2817" s="6">
        <v>1998</v>
      </c>
      <c r="N2817" s="6">
        <v>6.7</v>
      </c>
      <c r="O2817" s="4">
        <f ca="1">IFERROR(__xludf.DUMMYFUNCTION("IF(Cost_in_dollars!E2817=""USD"",Cost_in_dollars!B2817,Cost_in_dollars!B2817 * GOOGLEFINANCE(""CURRENCY:"" &amp; Cost_in_dollars!E2817 &amp; ""USD""))
"),2000000)</f>
        <v>2000000</v>
      </c>
      <c r="P2817" s="4">
        <f ca="1">IFERROR(__xludf.DUMMYFUNCTION("IF(Cost_in_dollars!E2817=""USD"",Cost_in_dollars!C2817,Cost_in_dollars!C2817 * GOOGLEFINANCE(""CURRENCY:"" &amp; Cost_in_dollars!E2817 &amp; ""USD""))
"),124494)</f>
        <v>124494</v>
      </c>
      <c r="Q2817" s="6">
        <f t="shared" ca="1" si="66"/>
        <v>-1875506</v>
      </c>
      <c r="R2817" s="7" t="str">
        <f t="shared" si="67"/>
        <v>Six-String Samurai</v>
      </c>
      <c r="S2817" s="43" t="str">
        <f t="shared" si="65"/>
        <v>Action</v>
      </c>
    </row>
    <row r="2818" spans="1:19" ht="15.75" customHeight="1" x14ac:dyDescent="0.25">
      <c r="A2818" s="4" t="s">
        <v>7081</v>
      </c>
      <c r="B2818" s="4">
        <v>186</v>
      </c>
      <c r="C2818" s="4">
        <v>16235293</v>
      </c>
      <c r="D2818" s="4" t="s">
        <v>151</v>
      </c>
      <c r="E2818" s="4" t="s">
        <v>5410</v>
      </c>
      <c r="F2818" s="4" t="s">
        <v>8927</v>
      </c>
      <c r="G2818" s="4">
        <v>19918</v>
      </c>
      <c r="H2818" s="4" t="s">
        <v>8928</v>
      </c>
      <c r="I2818" s="4">
        <v>278</v>
      </c>
      <c r="J2818" s="4" t="s">
        <v>23</v>
      </c>
      <c r="K2818" s="4" t="s">
        <v>24</v>
      </c>
      <c r="L2818" s="4">
        <v>9000000</v>
      </c>
      <c r="M2818" s="4">
        <v>2006</v>
      </c>
      <c r="N2818" s="4">
        <v>4.5</v>
      </c>
      <c r="O2818" s="4">
        <f ca="1">IFERROR(__xludf.DUMMYFUNCTION("IF(Cost_in_dollars!E2818=""USD"",Cost_in_dollars!B2818,Cost_in_dollars!B2818 * GOOGLEFINANCE(""CURRENCY:"" &amp; Cost_in_dollars!E2818 &amp; ""USD""))
"),9000000)</f>
        <v>9000000</v>
      </c>
      <c r="P2818" s="4">
        <f ca="1">IFERROR(__xludf.DUMMYFUNCTION("IF(Cost_in_dollars!E2818=""USD"",Cost_in_dollars!C2818,Cost_in_dollars!C2818 * GOOGLEFINANCE(""CURRENCY:"" &amp; Cost_in_dollars!E2818 &amp; ""USD""))
"),16235293)</f>
        <v>16235293</v>
      </c>
      <c r="Q2818" s="4">
        <f t="shared" ca="1" si="66"/>
        <v>7235293</v>
      </c>
      <c r="R2818" s="5" t="str">
        <f t="shared" si="67"/>
        <v>Black Christmas</v>
      </c>
      <c r="S2818" s="43" t="str">
        <f t="shared" ref="S2818:S2881" si="68">IF(ISNUMBER(FIND("|", D2818)), LEFT(D2818, FIND("|", D2818) - 1), D2818)</f>
        <v>Horror</v>
      </c>
    </row>
    <row r="2819" spans="1:19" ht="15.75" customHeight="1" x14ac:dyDescent="0.25">
      <c r="A2819" s="6" t="s">
        <v>1001</v>
      </c>
      <c r="B2819" s="6">
        <v>422</v>
      </c>
      <c r="C2819" s="6">
        <v>255108370</v>
      </c>
      <c r="D2819" s="6" t="s">
        <v>3118</v>
      </c>
      <c r="E2819" s="6" t="s">
        <v>6502</v>
      </c>
      <c r="F2819" s="6" t="s">
        <v>8929</v>
      </c>
      <c r="G2819" s="6">
        <v>354228</v>
      </c>
      <c r="H2819" s="6" t="s">
        <v>8930</v>
      </c>
      <c r="I2819" s="6">
        <v>802</v>
      </c>
      <c r="J2819" s="6" t="s">
        <v>23</v>
      </c>
      <c r="K2819" s="6" t="s">
        <v>1005</v>
      </c>
      <c r="L2819" s="6">
        <v>250000000</v>
      </c>
      <c r="M2819" s="6">
        <v>2014</v>
      </c>
      <c r="N2819" s="6">
        <v>7.5</v>
      </c>
      <c r="O2819" s="4">
        <f ca="1">IFERROR(__xludf.DUMMYFUNCTION("IF(Cost_in_dollars!E2819=""USD"",Cost_in_dollars!B2819,Cost_in_dollars!B2819 * GOOGLEFINANCE(""CURRENCY:"" &amp; Cost_in_dollars!E2819 &amp; ""USD""))
"),147186250)</f>
        <v>147186250</v>
      </c>
      <c r="P2819" s="4">
        <f ca="1">IFERROR(__xludf.DUMMYFUNCTION("IF(Cost_in_dollars!E2819=""USD"",Cost_in_dollars!C2819,Cost_in_dollars!C2819 * GOOGLEFINANCE(""CURRENCY:"" &amp; Cost_in_dollars!E2819 &amp; ""USD""))
"),150193777.29565)</f>
        <v>150193777.29565001</v>
      </c>
      <c r="Q2819" s="6">
        <f t="shared" ca="1" si="66"/>
        <v>3007527.2956500053</v>
      </c>
      <c r="R2819" s="7" t="str">
        <f t="shared" si="67"/>
        <v>The Hobbit: The Battle of the Five Armies</v>
      </c>
      <c r="S2819" s="43" t="str">
        <f t="shared" si="68"/>
        <v>Adventure</v>
      </c>
    </row>
    <row r="2820" spans="1:19" ht="15.75" customHeight="1" x14ac:dyDescent="0.25">
      <c r="A2820" s="4" t="s">
        <v>8931</v>
      </c>
      <c r="B2820" s="4">
        <v>119</v>
      </c>
      <c r="C2820" s="4">
        <v>22466994</v>
      </c>
      <c r="D2820" s="4" t="s">
        <v>155</v>
      </c>
      <c r="E2820" s="4" t="s">
        <v>818</v>
      </c>
      <c r="F2820" s="4" t="s">
        <v>8932</v>
      </c>
      <c r="G2820" s="4">
        <v>72673</v>
      </c>
      <c r="H2820" s="4" t="s">
        <v>8933</v>
      </c>
      <c r="I2820" s="4">
        <v>166</v>
      </c>
      <c r="J2820" s="4" t="s">
        <v>23</v>
      </c>
      <c r="K2820" s="4" t="s">
        <v>24</v>
      </c>
      <c r="L2820" s="4">
        <v>25000000</v>
      </c>
      <c r="M2820" s="4">
        <v>2007</v>
      </c>
      <c r="N2820" s="4">
        <v>6.3</v>
      </c>
      <c r="O2820" s="4">
        <f ca="1">IFERROR(__xludf.DUMMYFUNCTION("IF(Cost_in_dollars!E2820=""USD"",Cost_in_dollars!B2820,Cost_in_dollars!B2820 * GOOGLEFINANCE(""CURRENCY:"" &amp; Cost_in_dollars!E2820 &amp; ""USD""))
"),25000000)</f>
        <v>25000000</v>
      </c>
      <c r="P2820" s="4">
        <f ca="1">IFERROR(__xludf.DUMMYFUNCTION("IF(Cost_in_dollars!E2820=""USD"",Cost_in_dollars!C2820,Cost_in_dollars!C2820 * GOOGLEFINANCE(""CURRENCY:"" &amp; Cost_in_dollars!E2820 &amp; ""USD""))
"),22466994)</f>
        <v>22466994</v>
      </c>
      <c r="Q2820" s="4">
        <f t="shared" ca="1" si="66"/>
        <v>-2533006</v>
      </c>
      <c r="R2820" s="5" t="str">
        <f t="shared" si="67"/>
        <v>War</v>
      </c>
      <c r="S2820" s="43" t="str">
        <f t="shared" si="68"/>
        <v>Action</v>
      </c>
    </row>
    <row r="2821" spans="1:19" ht="15.75" customHeight="1" x14ac:dyDescent="0.25">
      <c r="A2821" s="6" t="s">
        <v>8934</v>
      </c>
      <c r="B2821" s="6">
        <v>19</v>
      </c>
      <c r="C2821" s="6">
        <v>1200000</v>
      </c>
      <c r="D2821" s="6" t="s">
        <v>183</v>
      </c>
      <c r="E2821" s="6" t="s">
        <v>8935</v>
      </c>
      <c r="F2821" s="6" t="s">
        <v>8936</v>
      </c>
      <c r="G2821" s="6">
        <v>922</v>
      </c>
      <c r="H2821" s="6" t="s">
        <v>8937</v>
      </c>
      <c r="I2821" s="6">
        <v>23</v>
      </c>
      <c r="J2821" s="6" t="s">
        <v>23</v>
      </c>
      <c r="K2821" s="6" t="s">
        <v>24</v>
      </c>
      <c r="L2821" s="6">
        <v>3000000</v>
      </c>
      <c r="M2821" s="6">
        <v>1993</v>
      </c>
      <c r="N2821" s="6">
        <v>5.0999999999999996</v>
      </c>
      <c r="O2821" s="4">
        <f ca="1">IFERROR(__xludf.DUMMYFUNCTION("IF(Cost_in_dollars!E2821=""USD"",Cost_in_dollars!B2821,Cost_in_dollars!B2821 * GOOGLEFINANCE(""CURRENCY:"" &amp; Cost_in_dollars!E2821 &amp; ""USD""))
"),3000000)</f>
        <v>3000000</v>
      </c>
      <c r="P2821" s="4">
        <f ca="1">IFERROR(__xludf.DUMMYFUNCTION("IF(Cost_in_dollars!E2821=""USD"",Cost_in_dollars!C2821,Cost_in_dollars!C2821 * GOOGLEFINANCE(""CURRENCY:"" &amp; Cost_in_dollars!E2821 &amp; ""USD""))
"),1200000)</f>
        <v>1200000</v>
      </c>
      <c r="Q2821" s="6">
        <f t="shared" ca="1" si="66"/>
        <v>-1800000</v>
      </c>
      <c r="R2821" s="7" t="str">
        <f t="shared" si="67"/>
        <v>Excessive Force</v>
      </c>
      <c r="S2821" s="43" t="str">
        <f t="shared" si="68"/>
        <v>Action</v>
      </c>
    </row>
    <row r="2822" spans="1:19" ht="15.75" customHeight="1" x14ac:dyDescent="0.25">
      <c r="A2822" s="4" t="s">
        <v>2547</v>
      </c>
      <c r="B2822" s="4">
        <v>285</v>
      </c>
      <c r="C2822" s="4">
        <v>70269171</v>
      </c>
      <c r="D2822" s="4" t="s">
        <v>135</v>
      </c>
      <c r="E2822" s="4" t="s">
        <v>2547</v>
      </c>
      <c r="F2822" s="4" t="s">
        <v>8938</v>
      </c>
      <c r="G2822" s="4">
        <v>162130</v>
      </c>
      <c r="H2822" s="4" t="s">
        <v>8939</v>
      </c>
      <c r="I2822" s="4">
        <v>962</v>
      </c>
      <c r="J2822" s="4" t="s">
        <v>23</v>
      </c>
      <c r="K2822" s="4" t="s">
        <v>24</v>
      </c>
      <c r="L2822" s="4">
        <v>24000000</v>
      </c>
      <c r="M2822" s="4">
        <v>2006</v>
      </c>
      <c r="N2822" s="4">
        <v>7.2</v>
      </c>
      <c r="O2822" s="4">
        <f ca="1">IFERROR(__xludf.DUMMYFUNCTION("IF(Cost_in_dollars!E2822=""USD"",Cost_in_dollars!B2822,Cost_in_dollars!B2822 * GOOGLEFINANCE(""CURRENCY:"" &amp; Cost_in_dollars!E2822 &amp; ""USD""))
"),24000000)</f>
        <v>24000000</v>
      </c>
      <c r="P2822" s="4">
        <f ca="1">IFERROR(__xludf.DUMMYFUNCTION("IF(Cost_in_dollars!E2822=""USD"",Cost_in_dollars!C2822,Cost_in_dollars!C2822 * GOOGLEFINANCE(""CURRENCY:"" &amp; Cost_in_dollars!E2822 &amp; ""USD""))
"),70269171)</f>
        <v>70269171</v>
      </c>
      <c r="Q2822" s="4">
        <f t="shared" ca="1" si="66"/>
        <v>46269171</v>
      </c>
      <c r="R2822" s="5" t="str">
        <f t="shared" si="67"/>
        <v>Rocky Balboa</v>
      </c>
      <c r="S2822" s="43" t="str">
        <f t="shared" si="68"/>
        <v>Drama</v>
      </c>
    </row>
    <row r="2823" spans="1:19" ht="15.75" customHeight="1" x14ac:dyDescent="0.25">
      <c r="A2823" s="6" t="s">
        <v>8940</v>
      </c>
      <c r="B2823" s="6">
        <v>65</v>
      </c>
      <c r="C2823" s="6">
        <v>381186</v>
      </c>
      <c r="D2823" s="6" t="s">
        <v>372</v>
      </c>
      <c r="E2823" s="6" t="s">
        <v>3839</v>
      </c>
      <c r="F2823" s="6" t="s">
        <v>8941</v>
      </c>
      <c r="G2823" s="6">
        <v>13485</v>
      </c>
      <c r="H2823" s="6" t="s">
        <v>8942</v>
      </c>
      <c r="I2823" s="6">
        <v>90</v>
      </c>
      <c r="J2823" s="6" t="s">
        <v>23</v>
      </c>
      <c r="K2823" s="6" t="s">
        <v>24</v>
      </c>
      <c r="L2823" s="6">
        <v>900000</v>
      </c>
      <c r="M2823" s="6">
        <v>2005</v>
      </c>
      <c r="N2823" s="6">
        <v>6.4</v>
      </c>
      <c r="O2823" s="4">
        <f ca="1">IFERROR(__xludf.DUMMYFUNCTION("IF(Cost_in_dollars!E2823=""USD"",Cost_in_dollars!B2823,Cost_in_dollars!B2823 * GOOGLEFINANCE(""CURRENCY:"" &amp; Cost_in_dollars!E2823 &amp; ""USD""))
"),900000)</f>
        <v>900000</v>
      </c>
      <c r="P2823" s="4">
        <f ca="1">IFERROR(__xludf.DUMMYFUNCTION("IF(Cost_in_dollars!E2823=""USD"",Cost_in_dollars!C2823,Cost_in_dollars!C2823 * GOOGLEFINANCE(""CURRENCY:"" &amp; Cost_in_dollars!E2823 &amp; ""USD""))
"),381186)</f>
        <v>381186</v>
      </c>
      <c r="Q2823" s="6">
        <f t="shared" ca="1" si="66"/>
        <v>-518814</v>
      </c>
      <c r="R2823" s="7" t="str">
        <f t="shared" si="67"/>
        <v>The Quiet</v>
      </c>
      <c r="S2823" s="43" t="str">
        <f t="shared" si="68"/>
        <v>Drama</v>
      </c>
    </row>
    <row r="2824" spans="1:19" ht="15.75" customHeight="1" x14ac:dyDescent="0.25">
      <c r="A2824" s="4" t="s">
        <v>2242</v>
      </c>
      <c r="B2824" s="4">
        <v>43</v>
      </c>
      <c r="C2824" s="4">
        <v>58571513</v>
      </c>
      <c r="D2824" s="4" t="s">
        <v>438</v>
      </c>
      <c r="E2824" s="4" t="s">
        <v>320</v>
      </c>
      <c r="F2824" s="4" t="s">
        <v>8943</v>
      </c>
      <c r="G2824" s="4">
        <v>30213</v>
      </c>
      <c r="H2824" s="4" t="s">
        <v>8944</v>
      </c>
      <c r="I2824" s="4">
        <v>112</v>
      </c>
      <c r="J2824" s="4" t="s">
        <v>23</v>
      </c>
      <c r="K2824" s="4" t="s">
        <v>24</v>
      </c>
      <c r="L2824" s="4">
        <v>19000000</v>
      </c>
      <c r="M2824" s="4">
        <v>1989</v>
      </c>
      <c r="N2824" s="4">
        <v>6.8</v>
      </c>
      <c r="O2824" s="4">
        <f ca="1">IFERROR(__xludf.DUMMYFUNCTION("IF(Cost_in_dollars!E2824=""USD"",Cost_in_dollars!B2824,Cost_in_dollars!B2824 * GOOGLEFINANCE(""CURRENCY:"" &amp; Cost_in_dollars!E2824 &amp; ""USD""))
"),19000000)</f>
        <v>19000000</v>
      </c>
      <c r="P2824" s="4">
        <f ca="1">IFERROR(__xludf.DUMMYFUNCTION("IF(Cost_in_dollars!E2824=""USD"",Cost_in_dollars!C2824,Cost_in_dollars!C2824 * GOOGLEFINANCE(""CURRENCY:"" &amp; Cost_in_dollars!E2824 &amp; ""USD""))
"),58571513)</f>
        <v>58571513</v>
      </c>
      <c r="Q2824" s="4">
        <f t="shared" ca="1" si="66"/>
        <v>39571513</v>
      </c>
      <c r="R2824" s="5" t="str">
        <f t="shared" si="67"/>
        <v>Sea of Love</v>
      </c>
      <c r="S2824" s="43" t="str">
        <f t="shared" si="68"/>
        <v>Crime</v>
      </c>
    </row>
    <row r="2825" spans="1:19" ht="15.75" customHeight="1" x14ac:dyDescent="0.25">
      <c r="A2825" s="6" t="s">
        <v>532</v>
      </c>
      <c r="B2825" s="6">
        <v>153</v>
      </c>
      <c r="C2825" s="6">
        <v>51225796</v>
      </c>
      <c r="D2825" s="6" t="s">
        <v>8945</v>
      </c>
      <c r="E2825" s="6" t="s">
        <v>833</v>
      </c>
      <c r="F2825" s="6" t="s">
        <v>8946</v>
      </c>
      <c r="G2825" s="6">
        <v>96654</v>
      </c>
      <c r="H2825" s="6" t="s">
        <v>8947</v>
      </c>
      <c r="I2825" s="6">
        <v>2047</v>
      </c>
      <c r="J2825" s="6" t="s">
        <v>23</v>
      </c>
      <c r="K2825" s="6" t="s">
        <v>133</v>
      </c>
      <c r="L2825" s="6">
        <v>70000000</v>
      </c>
      <c r="M2825" s="6">
        <v>2004</v>
      </c>
      <c r="N2825" s="6">
        <v>7.4</v>
      </c>
      <c r="O2825" s="4">
        <f ca="1">IFERROR(__xludf.DUMMYFUNCTION("IF(Cost_in_dollars!E2825=""USD"",Cost_in_dollars!B2825,Cost_in_dollars!B2825 * GOOGLEFINANCE(""CURRENCY:"" &amp; Cost_in_dollars!E2825 &amp; ""USD""))
"),89977999.9999999)</f>
        <v>89977999.999999896</v>
      </c>
      <c r="P2825" s="4">
        <f ca="1">IFERROR(__xludf.DUMMYFUNCTION("IF(Cost_in_dollars!E2825=""USD"",Cost_in_dollars!C2825,Cost_in_dollars!C2825 * GOOGLEFINANCE(""CURRENCY:"" &amp; Cost_in_dollars!E2825 &amp; ""USD""))
"),65845638.1783999)</f>
        <v>65845638.178399898</v>
      </c>
      <c r="Q2825" s="6">
        <f t="shared" ca="1" si="66"/>
        <v>-24132361.821599998</v>
      </c>
      <c r="R2825" s="7" t="str">
        <f t="shared" si="67"/>
        <v>The Phantom of the Opera</v>
      </c>
      <c r="S2825" s="43" t="str">
        <f t="shared" si="68"/>
        <v>Drama</v>
      </c>
    </row>
    <row r="2826" spans="1:19" ht="15.75" customHeight="1" x14ac:dyDescent="0.25">
      <c r="A2826" s="4" t="s">
        <v>1771</v>
      </c>
      <c r="B2826" s="4">
        <v>125</v>
      </c>
      <c r="C2826" s="4">
        <v>16298046</v>
      </c>
      <c r="D2826" s="4" t="s">
        <v>93</v>
      </c>
      <c r="E2826" s="4" t="s">
        <v>8948</v>
      </c>
      <c r="F2826" s="4" t="s">
        <v>8949</v>
      </c>
      <c r="G2826" s="4">
        <v>22207</v>
      </c>
      <c r="H2826" s="4" t="s">
        <v>8950</v>
      </c>
      <c r="I2826" s="4">
        <v>747</v>
      </c>
      <c r="J2826" s="4" t="s">
        <v>23</v>
      </c>
      <c r="K2826" s="4" t="s">
        <v>133</v>
      </c>
      <c r="L2826" s="4">
        <v>14000000</v>
      </c>
      <c r="M2826" s="4">
        <v>2005</v>
      </c>
      <c r="N2826" s="4">
        <v>5</v>
      </c>
      <c r="O2826" s="4">
        <f ca="1">IFERROR(__xludf.DUMMYFUNCTION("IF(Cost_in_dollars!E2826=""USD"",Cost_in_dollars!B2826,Cost_in_dollars!B2826 * GOOGLEFINANCE(""CURRENCY:"" &amp; Cost_in_dollars!E2826 &amp; ""USD""))
"),17995600)</f>
        <v>17995600</v>
      </c>
      <c r="P2826" s="4">
        <f ca="1">IFERROR(__xludf.DUMMYFUNCTION("IF(Cost_in_dollars!E2826=""USD"",Cost_in_dollars!C2826,Cost_in_dollars!C2826 * GOOGLEFINANCE(""CURRENCY:"" &amp; Cost_in_dollars!E2826 &amp; ""USD""))
"),20949508.3283999)</f>
        <v>20949508.3283999</v>
      </c>
      <c r="Q2826" s="4">
        <f t="shared" ca="1" si="66"/>
        <v>2953908.3283999003</v>
      </c>
      <c r="R2826" s="5" t="str">
        <f t="shared" si="67"/>
        <v>An American Haunting</v>
      </c>
      <c r="S2826" s="43" t="str">
        <f t="shared" si="68"/>
        <v>Horror</v>
      </c>
    </row>
    <row r="2827" spans="1:19" ht="15.75" customHeight="1" x14ac:dyDescent="0.25">
      <c r="A2827" s="6" t="s">
        <v>3093</v>
      </c>
      <c r="B2827" s="6">
        <v>85</v>
      </c>
      <c r="C2827" s="6">
        <v>30105968</v>
      </c>
      <c r="D2827" s="6" t="s">
        <v>19</v>
      </c>
      <c r="E2827" s="6" t="s">
        <v>8951</v>
      </c>
      <c r="F2827" s="6" t="s">
        <v>8952</v>
      </c>
      <c r="G2827" s="6">
        <v>8860</v>
      </c>
      <c r="H2827" s="6" t="s">
        <v>8953</v>
      </c>
      <c r="I2827" s="6">
        <v>45</v>
      </c>
      <c r="J2827" s="6" t="s">
        <v>23</v>
      </c>
      <c r="K2827" s="6" t="s">
        <v>24</v>
      </c>
      <c r="L2827" s="6">
        <v>37000000</v>
      </c>
      <c r="M2827" s="6">
        <v>2008</v>
      </c>
      <c r="N2827" s="6">
        <v>4.5</v>
      </c>
      <c r="O2827" s="4">
        <f ca="1">IFERROR(__xludf.DUMMYFUNCTION("IF(Cost_in_dollars!E2827=""USD"",Cost_in_dollars!B2827,Cost_in_dollars!B2827 * GOOGLEFINANCE(""CURRENCY:"" &amp; Cost_in_dollars!E2827 &amp; ""USD""))
"),37000000)</f>
        <v>37000000</v>
      </c>
      <c r="P2827" s="4">
        <f ca="1">IFERROR(__xludf.DUMMYFUNCTION("IF(Cost_in_dollars!E2827=""USD"",Cost_in_dollars!C2827,Cost_in_dollars!C2827 * GOOGLEFINANCE(""CURRENCY:"" &amp; Cost_in_dollars!E2827 &amp; ""USD""))
"),30105968)</f>
        <v>30105968</v>
      </c>
      <c r="Q2827" s="6">
        <f t="shared" ca="1" si="66"/>
        <v>-6894032</v>
      </c>
      <c r="R2827" s="7" t="str">
        <f t="shared" si="67"/>
        <v>Space Chimps</v>
      </c>
      <c r="S2827" s="43" t="str">
        <f t="shared" si="68"/>
        <v>Adventure</v>
      </c>
    </row>
    <row r="2828" spans="1:19" ht="15.75" customHeight="1" x14ac:dyDescent="0.25">
      <c r="A2828" s="4" t="s">
        <v>6474</v>
      </c>
      <c r="B2828" s="4">
        <v>21</v>
      </c>
      <c r="C2828" s="4">
        <v>167780960</v>
      </c>
      <c r="D2828" s="4" t="s">
        <v>1499</v>
      </c>
      <c r="E2828" s="4" t="s">
        <v>194</v>
      </c>
      <c r="F2828" s="4" t="s">
        <v>8954</v>
      </c>
      <c r="G2828" s="4">
        <v>36918</v>
      </c>
      <c r="H2828" s="4" t="s">
        <v>8955</v>
      </c>
      <c r="I2828" s="4">
        <v>42</v>
      </c>
      <c r="J2828" s="4" t="s">
        <v>23</v>
      </c>
      <c r="K2828" s="4" t="s">
        <v>24</v>
      </c>
      <c r="L2828" s="4">
        <v>11000000</v>
      </c>
      <c r="M2828" s="4">
        <v>1987</v>
      </c>
      <c r="N2828" s="4">
        <v>5.9</v>
      </c>
      <c r="O2828" s="4">
        <f ca="1">IFERROR(__xludf.DUMMYFUNCTION("IF(Cost_in_dollars!E2828=""USD"",Cost_in_dollars!B2828,Cost_in_dollars!B2828 * GOOGLEFINANCE(""CURRENCY:"" &amp; Cost_in_dollars!E2828 &amp; ""USD""))
"),11000000)</f>
        <v>11000000</v>
      </c>
      <c r="P2828" s="4">
        <f ca="1">IFERROR(__xludf.DUMMYFUNCTION("IF(Cost_in_dollars!E2828=""USD"",Cost_in_dollars!C2828,Cost_in_dollars!C2828 * GOOGLEFINANCE(""CURRENCY:"" &amp; Cost_in_dollars!E2828 &amp; ""USD""))
"),167780960)</f>
        <v>167780960</v>
      </c>
      <c r="Q2828" s="4">
        <f t="shared" ca="1" si="66"/>
        <v>156780960</v>
      </c>
      <c r="R2828" s="5" t="str">
        <f t="shared" si="67"/>
        <v>3 Men and a Baby</v>
      </c>
      <c r="S2828" s="43" t="str">
        <f t="shared" si="68"/>
        <v>Comedy</v>
      </c>
    </row>
    <row r="2829" spans="1:19" ht="15.75" customHeight="1" x14ac:dyDescent="0.25">
      <c r="A2829" s="6" t="s">
        <v>6472</v>
      </c>
      <c r="B2829" s="6">
        <v>80</v>
      </c>
      <c r="C2829" s="6">
        <v>100117603</v>
      </c>
      <c r="D2829" s="6" t="s">
        <v>8956</v>
      </c>
      <c r="E2829" s="6" t="s">
        <v>1575</v>
      </c>
      <c r="F2829" s="6" t="s">
        <v>8957</v>
      </c>
      <c r="G2829" s="6">
        <v>102933</v>
      </c>
      <c r="H2829" s="6" t="s">
        <v>8958</v>
      </c>
      <c r="I2829" s="6">
        <v>230</v>
      </c>
      <c r="J2829" s="6" t="s">
        <v>23</v>
      </c>
      <c r="K2829" s="6" t="s">
        <v>24</v>
      </c>
      <c r="L2829" s="6">
        <v>100000000</v>
      </c>
      <c r="M2829" s="6">
        <v>1996</v>
      </c>
      <c r="N2829" s="6">
        <v>6.9</v>
      </c>
      <c r="O2829" s="4">
        <f ca="1">IFERROR(__xludf.DUMMYFUNCTION("IF(Cost_in_dollars!E2829=""USD"",Cost_in_dollars!B2829,Cost_in_dollars!B2829 * GOOGLEFINANCE(""CURRENCY:"" &amp; Cost_in_dollars!E2829 &amp; ""USD""))
"),100000000)</f>
        <v>100000000</v>
      </c>
      <c r="P2829" s="4">
        <f ca="1">IFERROR(__xludf.DUMMYFUNCTION("IF(Cost_in_dollars!E2829=""USD"",Cost_in_dollars!C2829,Cost_in_dollars!C2829 * GOOGLEFINANCE(""CURRENCY:"" &amp; Cost_in_dollars!E2829 &amp; ""USD""))
"),100117603)</f>
        <v>100117603</v>
      </c>
      <c r="Q2829" s="6">
        <f t="shared" ca="1" si="66"/>
        <v>117603</v>
      </c>
      <c r="R2829" s="7" t="str">
        <f t="shared" si="67"/>
        <v>The Hunchback of Notre Dame</v>
      </c>
      <c r="S2829" s="43" t="str">
        <f t="shared" si="68"/>
        <v>Animation</v>
      </c>
    </row>
    <row r="2830" spans="1:19" ht="15.75" customHeight="1" x14ac:dyDescent="0.25">
      <c r="A2830" s="4" t="s">
        <v>5720</v>
      </c>
      <c r="B2830" s="4">
        <v>119</v>
      </c>
      <c r="C2830" s="4">
        <v>57744720</v>
      </c>
      <c r="D2830" s="4" t="s">
        <v>155</v>
      </c>
      <c r="E2830" s="4" t="s">
        <v>805</v>
      </c>
      <c r="F2830" s="4" t="s">
        <v>8959</v>
      </c>
      <c r="G2830" s="4">
        <v>46961</v>
      </c>
      <c r="H2830" s="4" t="s">
        <v>8960</v>
      </c>
      <c r="I2830" s="4">
        <v>132</v>
      </c>
      <c r="J2830" s="4" t="s">
        <v>23</v>
      </c>
      <c r="K2830" s="4" t="s">
        <v>24</v>
      </c>
      <c r="L2830" s="4">
        <v>20000000</v>
      </c>
      <c r="M2830" s="4">
        <v>2010</v>
      </c>
      <c r="N2830" s="4">
        <v>6.2</v>
      </c>
      <c r="O2830" s="4">
        <f ca="1">IFERROR(__xludf.DUMMYFUNCTION("IF(Cost_in_dollars!E2830=""USD"",Cost_in_dollars!B2830,Cost_in_dollars!B2830 * GOOGLEFINANCE(""CURRENCY:"" &amp; Cost_in_dollars!E2830 &amp; ""USD""))
"),20000000)</f>
        <v>20000000</v>
      </c>
      <c r="P2830" s="4">
        <f ca="1">IFERROR(__xludf.DUMMYFUNCTION("IF(Cost_in_dollars!E2830=""USD"",Cost_in_dollars!C2830,Cost_in_dollars!C2830 * GOOGLEFINANCE(""CURRENCY:"" &amp; Cost_in_dollars!E2830 &amp; ""USD""))
"),57744720)</f>
        <v>57744720</v>
      </c>
      <c r="Q2830" s="4">
        <f t="shared" ca="1" si="66"/>
        <v>37744720</v>
      </c>
      <c r="R2830" s="5" t="str">
        <f t="shared" si="67"/>
        <v>Takers</v>
      </c>
      <c r="S2830" s="43" t="str">
        <f t="shared" si="68"/>
        <v>Action</v>
      </c>
    </row>
    <row r="2831" spans="1:19" ht="15.75" customHeight="1" x14ac:dyDescent="0.25">
      <c r="A2831" s="6" t="s">
        <v>8961</v>
      </c>
      <c r="B2831" s="6">
        <v>7</v>
      </c>
      <c r="C2831" s="6">
        <v>215185</v>
      </c>
      <c r="D2831" s="6" t="s">
        <v>2819</v>
      </c>
      <c r="E2831" s="6" t="s">
        <v>8962</v>
      </c>
      <c r="F2831" s="6" t="s">
        <v>8963</v>
      </c>
      <c r="G2831" s="6">
        <v>48</v>
      </c>
      <c r="H2831" s="6" t="s">
        <v>8964</v>
      </c>
      <c r="I2831" s="6">
        <v>2</v>
      </c>
      <c r="J2831" s="6" t="s">
        <v>23</v>
      </c>
      <c r="K2831" s="6" t="s">
        <v>24</v>
      </c>
      <c r="L2831" s="6">
        <v>200000</v>
      </c>
      <c r="M2831" s="6">
        <v>2008</v>
      </c>
      <c r="N2831" s="6">
        <v>7.5</v>
      </c>
      <c r="O2831" s="4">
        <f ca="1">IFERROR(__xludf.DUMMYFUNCTION("IF(Cost_in_dollars!E2831=""USD"",Cost_in_dollars!B2831,Cost_in_dollars!B2831 * GOOGLEFINANCE(""CURRENCY:"" &amp; Cost_in_dollars!E2831 &amp; ""USD""))
"),200000)</f>
        <v>200000</v>
      </c>
      <c r="P2831" s="4">
        <f ca="1">IFERROR(__xludf.DUMMYFUNCTION("IF(Cost_in_dollars!E2831=""USD"",Cost_in_dollars!C2831,Cost_in_dollars!C2831 * GOOGLEFINANCE(""CURRENCY:"" &amp; Cost_in_dollars!E2831 &amp; ""USD""))
"),215185)</f>
        <v>215185</v>
      </c>
      <c r="Q2831" s="6">
        <f t="shared" ca="1" si="66"/>
        <v>15185</v>
      </c>
      <c r="R2831" s="7" t="str">
        <f t="shared" si="67"/>
        <v>Call + Response</v>
      </c>
      <c r="S2831" s="43" t="str">
        <f t="shared" si="68"/>
        <v>Documentary</v>
      </c>
    </row>
    <row r="2832" spans="1:19" ht="15.75" customHeight="1" x14ac:dyDescent="0.25">
      <c r="A2832" s="4" t="s">
        <v>2689</v>
      </c>
      <c r="B2832" s="4">
        <v>174</v>
      </c>
      <c r="C2832" s="4">
        <v>58183966</v>
      </c>
      <c r="D2832" s="4" t="s">
        <v>1127</v>
      </c>
      <c r="E2832" s="4" t="s">
        <v>2732</v>
      </c>
      <c r="F2832" s="4" t="s">
        <v>8965</v>
      </c>
      <c r="G2832" s="4">
        <v>79186</v>
      </c>
      <c r="H2832" s="4" t="s">
        <v>8966</v>
      </c>
      <c r="I2832" s="4">
        <v>386</v>
      </c>
      <c r="J2832" s="4" t="s">
        <v>23</v>
      </c>
      <c r="K2832" s="4" t="s">
        <v>24</v>
      </c>
      <c r="L2832" s="4">
        <v>107000000</v>
      </c>
      <c r="M2832" s="4">
        <v>2001</v>
      </c>
      <c r="N2832" s="4">
        <v>6.8</v>
      </c>
      <c r="O2832" s="4">
        <f ca="1">IFERROR(__xludf.DUMMYFUNCTION("IF(Cost_in_dollars!E2832=""USD"",Cost_in_dollars!B2832,Cost_in_dollars!B2832 * GOOGLEFINANCE(""CURRENCY:"" &amp; Cost_in_dollars!E2832 &amp; ""USD""))
"),107000000)</f>
        <v>107000000</v>
      </c>
      <c r="P2832" s="4">
        <f ca="1">IFERROR(__xludf.DUMMYFUNCTION("IF(Cost_in_dollars!E2832=""USD"",Cost_in_dollars!C2832,Cost_in_dollars!C2832 * GOOGLEFINANCE(""CURRENCY:"" &amp; Cost_in_dollars!E2832 &amp; ""USD""))
"),58183966)</f>
        <v>58183966</v>
      </c>
      <c r="Q2832" s="4">
        <f t="shared" ca="1" si="66"/>
        <v>-48816034</v>
      </c>
      <c r="R2832" s="5" t="str">
        <f t="shared" si="67"/>
        <v>Ali</v>
      </c>
      <c r="S2832" s="43" t="str">
        <f t="shared" si="68"/>
        <v>Biography</v>
      </c>
    </row>
    <row r="2833" spans="1:19" ht="15.75" customHeight="1" x14ac:dyDescent="0.25">
      <c r="A2833" s="6" t="s">
        <v>3495</v>
      </c>
      <c r="B2833" s="6">
        <v>241</v>
      </c>
      <c r="C2833" s="6">
        <v>32721635</v>
      </c>
      <c r="D2833" s="6" t="s">
        <v>3496</v>
      </c>
      <c r="E2833" s="6" t="s">
        <v>2783</v>
      </c>
      <c r="F2833" s="6" t="s">
        <v>3497</v>
      </c>
      <c r="G2833" s="6">
        <v>67822</v>
      </c>
      <c r="H2833" s="6" t="s">
        <v>3498</v>
      </c>
      <c r="I2833" s="6">
        <v>279</v>
      </c>
      <c r="J2833" s="6" t="s">
        <v>23</v>
      </c>
      <c r="K2833" s="6" t="s">
        <v>24</v>
      </c>
      <c r="L2833" s="6">
        <v>15000000</v>
      </c>
      <c r="M2833" s="6">
        <v>2009</v>
      </c>
      <c r="N2833" s="6">
        <v>6.6</v>
      </c>
      <c r="O2833" s="4">
        <f ca="1">IFERROR(__xludf.DUMMYFUNCTION("IF(Cost_in_dollars!E2833=""USD"",Cost_in_dollars!B2833,Cost_in_dollars!B2833 * GOOGLEFINANCE(""CURRENCY:"" &amp; Cost_in_dollars!E2833 &amp; ""USD""))
"),15000000)</f>
        <v>15000000</v>
      </c>
      <c r="P2833" s="4">
        <f ca="1">IFERROR(__xludf.DUMMYFUNCTION("IF(Cost_in_dollars!E2833=""USD"",Cost_in_dollars!C2833,Cost_in_dollars!C2833 * GOOGLEFINANCE(""CURRENCY:"" &amp; Cost_in_dollars!E2833 &amp; ""USD""))
"),32721635)</f>
        <v>32721635</v>
      </c>
      <c r="Q2833" s="6">
        <f t="shared" ca="1" si="66"/>
        <v>17721635</v>
      </c>
      <c r="R2833" s="7" t="str">
        <f t="shared" si="67"/>
        <v>The Last House on the Left</v>
      </c>
      <c r="S2833" s="43" t="str">
        <f t="shared" si="68"/>
        <v>Crime</v>
      </c>
    </row>
    <row r="2834" spans="1:19" ht="15.75" customHeight="1" x14ac:dyDescent="0.25">
      <c r="A2834" s="4" t="s">
        <v>284</v>
      </c>
      <c r="B2834" s="4">
        <v>181</v>
      </c>
      <c r="C2834" s="4">
        <v>84136909</v>
      </c>
      <c r="D2834" s="4" t="s">
        <v>140</v>
      </c>
      <c r="E2834" s="4" t="s">
        <v>8967</v>
      </c>
      <c r="F2834" s="4" t="s">
        <v>8968</v>
      </c>
      <c r="G2834" s="4">
        <v>267921</v>
      </c>
      <c r="H2834" s="4" t="s">
        <v>8969</v>
      </c>
      <c r="I2834" s="4">
        <v>577</v>
      </c>
      <c r="J2834" s="4" t="s">
        <v>23</v>
      </c>
      <c r="K2834" s="4" t="s">
        <v>24</v>
      </c>
      <c r="L2834" s="4">
        <v>26000000</v>
      </c>
      <c r="M2834" s="4">
        <v>2004</v>
      </c>
      <c r="N2834" s="4">
        <v>7.2</v>
      </c>
      <c r="O2834" s="4">
        <f ca="1">IFERROR(__xludf.DUMMYFUNCTION("IF(Cost_in_dollars!E2834=""USD"",Cost_in_dollars!B2834,Cost_in_dollars!B2834 * GOOGLEFINANCE(""CURRENCY:"" &amp; Cost_in_dollars!E2834 &amp; ""USD""))
"),26000000)</f>
        <v>26000000</v>
      </c>
      <c r="P2834" s="4">
        <f ca="1">IFERROR(__xludf.DUMMYFUNCTION("IF(Cost_in_dollars!E2834=""USD"",Cost_in_dollars!C2834,Cost_in_dollars!C2834 * GOOGLEFINANCE(""CURRENCY:"" &amp; Cost_in_dollars!E2834 &amp; ""USD""))
"),84136909)</f>
        <v>84136909</v>
      </c>
      <c r="Q2834" s="4">
        <f t="shared" ca="1" si="66"/>
        <v>58136909</v>
      </c>
      <c r="R2834" s="5" t="str">
        <f t="shared" si="67"/>
        <v>Anchorman: The Legend of Ron Burgundy</v>
      </c>
      <c r="S2834" s="43" t="str">
        <f t="shared" si="68"/>
        <v>Comedy</v>
      </c>
    </row>
    <row r="2835" spans="1:19" ht="15.75" customHeight="1" x14ac:dyDescent="0.25">
      <c r="A2835" s="6" t="s">
        <v>8970</v>
      </c>
      <c r="B2835" s="6">
        <v>31</v>
      </c>
      <c r="C2835" s="6">
        <v>287761</v>
      </c>
      <c r="D2835" s="6" t="s">
        <v>8971</v>
      </c>
      <c r="E2835" s="6" t="s">
        <v>8972</v>
      </c>
      <c r="F2835" s="6" t="s">
        <v>8973</v>
      </c>
      <c r="G2835" s="6">
        <v>2482</v>
      </c>
      <c r="H2835" s="6" t="s">
        <v>8974</v>
      </c>
      <c r="I2835" s="6">
        <v>16</v>
      </c>
      <c r="J2835" s="6" t="s">
        <v>23</v>
      </c>
      <c r="K2835" s="6" t="s">
        <v>1005</v>
      </c>
      <c r="L2835" s="6">
        <v>1000000</v>
      </c>
      <c r="M2835" s="6">
        <v>2013</v>
      </c>
      <c r="N2835" s="6">
        <v>7.6</v>
      </c>
      <c r="O2835" s="4">
        <f ca="1">IFERROR(__xludf.DUMMYFUNCTION("IF(Cost_in_dollars!E2835=""USD"",Cost_in_dollars!B2835,Cost_in_dollars!B2835 * GOOGLEFINANCE(""CURRENCY:"" &amp; Cost_in_dollars!E2835 &amp; ""USD""))
"),588745)</f>
        <v>588745</v>
      </c>
      <c r="P2835" s="4">
        <f ca="1">IFERROR(__xludf.DUMMYFUNCTION("IF(Cost_in_dollars!E2835=""USD"",Cost_in_dollars!C2835,Cost_in_dollars!C2835 * GOOGLEFINANCE(""CURRENCY:"" &amp; Cost_in_dollars!E2835 &amp; ""USD""))
"),169417.849945)</f>
        <v>169417.84994499999</v>
      </c>
      <c r="Q2835" s="6">
        <f t="shared" ca="1" si="66"/>
        <v>-419327.15005499998</v>
      </c>
      <c r="R2835" s="7" t="str">
        <f t="shared" si="67"/>
        <v>Antarctica: A Year on Ice</v>
      </c>
      <c r="S2835" s="43" t="str">
        <f t="shared" si="68"/>
        <v>Adventure</v>
      </c>
    </row>
    <row r="2836" spans="1:19" ht="15.75" customHeight="1" x14ac:dyDescent="0.25">
      <c r="A2836" s="4" t="s">
        <v>8975</v>
      </c>
      <c r="B2836" s="4">
        <v>25</v>
      </c>
      <c r="C2836" s="4">
        <v>2148212</v>
      </c>
      <c r="D2836" s="4" t="s">
        <v>2179</v>
      </c>
      <c r="E2836" s="4" t="s">
        <v>107</v>
      </c>
      <c r="F2836" s="4" t="s">
        <v>8976</v>
      </c>
      <c r="G2836" s="4">
        <v>781</v>
      </c>
      <c r="H2836" s="4" t="s">
        <v>8977</v>
      </c>
      <c r="I2836" s="4">
        <v>20</v>
      </c>
      <c r="J2836" s="4" t="s">
        <v>23</v>
      </c>
      <c r="K2836" s="4" t="s">
        <v>24</v>
      </c>
      <c r="L2836" s="4">
        <v>7000000</v>
      </c>
      <c r="M2836" s="4">
        <v>1999</v>
      </c>
      <c r="N2836" s="4">
        <v>6.3</v>
      </c>
      <c r="O2836" s="4">
        <f ca="1">IFERROR(__xludf.DUMMYFUNCTION("IF(Cost_in_dollars!E2836=""USD"",Cost_in_dollars!B2836,Cost_in_dollars!B2836 * GOOGLEFINANCE(""CURRENCY:"" &amp; Cost_in_dollars!E2836 &amp; ""USD""))
"),7000000)</f>
        <v>7000000</v>
      </c>
      <c r="P2836" s="4">
        <f ca="1">IFERROR(__xludf.DUMMYFUNCTION("IF(Cost_in_dollars!E2836=""USD"",Cost_in_dollars!C2836,Cost_in_dollars!C2836 * GOOGLEFINANCE(""CURRENCY:"" &amp; Cost_in_dollars!E2836 &amp; ""USD""))
"),2148212)</f>
        <v>2148212</v>
      </c>
      <c r="Q2836" s="4">
        <f t="shared" ca="1" si="66"/>
        <v>-4851788</v>
      </c>
      <c r="R2836" s="5" t="str">
        <f t="shared" si="67"/>
        <v>A Dog of Flanders</v>
      </c>
      <c r="S2836" s="43" t="str">
        <f t="shared" si="68"/>
        <v>Drama</v>
      </c>
    </row>
    <row r="2837" spans="1:19" ht="15.75" customHeight="1" x14ac:dyDescent="0.25">
      <c r="A2837" s="6" t="s">
        <v>7923</v>
      </c>
      <c r="B2837" s="6">
        <v>76</v>
      </c>
      <c r="C2837" s="6">
        <v>49994804</v>
      </c>
      <c r="D2837" s="6" t="s">
        <v>8978</v>
      </c>
      <c r="E2837" s="6" t="s">
        <v>8979</v>
      </c>
      <c r="F2837" s="6" t="s">
        <v>8980</v>
      </c>
      <c r="G2837" s="6">
        <v>29205</v>
      </c>
      <c r="H2837" s="6" t="s">
        <v>8981</v>
      </c>
      <c r="I2837" s="6">
        <v>194</v>
      </c>
      <c r="J2837" s="6" t="s">
        <v>23</v>
      </c>
      <c r="K2837" s="6" t="s">
        <v>24</v>
      </c>
      <c r="L2837" s="6">
        <v>55000000</v>
      </c>
      <c r="M2837" s="6">
        <v>1996</v>
      </c>
      <c r="N2837" s="6">
        <v>6.3</v>
      </c>
      <c r="O2837" s="4">
        <f ca="1">IFERROR(__xludf.DUMMYFUNCTION("IF(Cost_in_dollars!E2837=""USD"",Cost_in_dollars!B2837,Cost_in_dollars!B2837 * GOOGLEFINANCE(""CURRENCY:"" &amp; Cost_in_dollars!E2837 &amp; ""USD""))
"),55000000)</f>
        <v>55000000</v>
      </c>
      <c r="P2837" s="4">
        <f ca="1">IFERROR(__xludf.DUMMYFUNCTION("IF(Cost_in_dollars!E2837=""USD"",Cost_in_dollars!C2837,Cost_in_dollars!C2837 * GOOGLEFINANCE(""CURRENCY:"" &amp; Cost_in_dollars!E2837 &amp; ""USD""))
"),49994804)</f>
        <v>49994804</v>
      </c>
      <c r="Q2837" s="6">
        <f t="shared" ca="1" si="66"/>
        <v>-5005196</v>
      </c>
      <c r="R2837" s="7" t="str">
        <f t="shared" si="67"/>
        <v>Evita</v>
      </c>
      <c r="S2837" s="43" t="str">
        <f t="shared" si="68"/>
        <v>Biography</v>
      </c>
    </row>
    <row r="2838" spans="1:19" ht="15.75" customHeight="1" x14ac:dyDescent="0.25">
      <c r="A2838" s="4" t="s">
        <v>8166</v>
      </c>
      <c r="B2838" s="4">
        <v>148</v>
      </c>
      <c r="C2838" s="4">
        <v>78900000</v>
      </c>
      <c r="D2838" s="4" t="s">
        <v>188</v>
      </c>
      <c r="E2838" s="4" t="s">
        <v>6474</v>
      </c>
      <c r="F2838" s="4" t="s">
        <v>8982</v>
      </c>
      <c r="G2838" s="4">
        <v>91414</v>
      </c>
      <c r="H2838" s="4" t="s">
        <v>8983</v>
      </c>
      <c r="I2838" s="4">
        <v>359</v>
      </c>
      <c r="J2838" s="4" t="s">
        <v>23</v>
      </c>
      <c r="K2838" s="4" t="s">
        <v>24</v>
      </c>
      <c r="L2838" s="4">
        <v>11000000</v>
      </c>
      <c r="M2838" s="4">
        <v>1982</v>
      </c>
      <c r="N2838" s="4">
        <v>7.7</v>
      </c>
      <c r="O2838" s="4">
        <f ca="1">IFERROR(__xludf.DUMMYFUNCTION("IF(Cost_in_dollars!E2838=""USD"",Cost_in_dollars!B2838,Cost_in_dollars!B2838 * GOOGLEFINANCE(""CURRENCY:"" &amp; Cost_in_dollars!E2838 &amp; ""USD""))
"),11000000)</f>
        <v>11000000</v>
      </c>
      <c r="P2838" s="4">
        <f ca="1">IFERROR(__xludf.DUMMYFUNCTION("IF(Cost_in_dollars!E2838=""USD"",Cost_in_dollars!C2838,Cost_in_dollars!C2838 * GOOGLEFINANCE(""CURRENCY:"" &amp; Cost_in_dollars!E2838 &amp; ""USD""))
"),78900000)</f>
        <v>78900000</v>
      </c>
      <c r="Q2838" s="4">
        <f t="shared" ca="1" si="66"/>
        <v>67900000</v>
      </c>
      <c r="R2838" s="5" t="str">
        <f t="shared" si="67"/>
        <v>Star Trek II: The Wrath of Khan</v>
      </c>
      <c r="S2838" s="43" t="str">
        <f t="shared" si="68"/>
        <v>Action</v>
      </c>
    </row>
    <row r="2839" spans="1:19" ht="15.75" customHeight="1" x14ac:dyDescent="0.25">
      <c r="A2839" s="6" t="s">
        <v>3918</v>
      </c>
      <c r="B2839" s="6">
        <v>117</v>
      </c>
      <c r="C2839" s="6">
        <v>31136950</v>
      </c>
      <c r="D2839" s="6" t="s">
        <v>3272</v>
      </c>
      <c r="E2839" s="6" t="s">
        <v>8984</v>
      </c>
      <c r="F2839" s="6" t="s">
        <v>8985</v>
      </c>
      <c r="G2839" s="6">
        <v>47364</v>
      </c>
      <c r="H2839" s="6" t="s">
        <v>8986</v>
      </c>
      <c r="I2839" s="6">
        <v>75</v>
      </c>
      <c r="J2839" s="6" t="s">
        <v>23</v>
      </c>
      <c r="K2839" s="6" t="s">
        <v>24</v>
      </c>
      <c r="L2839" s="6">
        <v>44000000</v>
      </c>
      <c r="M2839" s="6">
        <v>2010</v>
      </c>
      <c r="N2839" s="6">
        <v>6.5</v>
      </c>
      <c r="O2839" s="4">
        <f ca="1">IFERROR(__xludf.DUMMYFUNCTION("IF(Cost_in_dollars!E2839=""USD"",Cost_in_dollars!B2839,Cost_in_dollars!B2839 * GOOGLEFINANCE(""CURRENCY:"" &amp; Cost_in_dollars!E2839 &amp; ""USD""))
"),44000000)</f>
        <v>44000000</v>
      </c>
      <c r="P2839" s="4">
        <f ca="1">IFERROR(__xludf.DUMMYFUNCTION("IF(Cost_in_dollars!E2839=""USD"",Cost_in_dollars!C2839,Cost_in_dollars!C2839 * GOOGLEFINANCE(""CURRENCY:"" &amp; Cost_in_dollars!E2839 &amp; ""USD""))
"),31136950)</f>
        <v>31136950</v>
      </c>
      <c r="Q2839" s="6">
        <f t="shared" ca="1" si="66"/>
        <v>-12863050</v>
      </c>
      <c r="R2839" s="7" t="str">
        <f t="shared" si="67"/>
        <v>Charlie St. Cloud</v>
      </c>
      <c r="S2839" s="43" t="str">
        <f t="shared" si="68"/>
        <v>Drama</v>
      </c>
    </row>
    <row r="2840" spans="1:19" ht="15.75" customHeight="1" x14ac:dyDescent="0.25">
      <c r="A2840" s="4" t="s">
        <v>3480</v>
      </c>
      <c r="B2840" s="4">
        <v>274</v>
      </c>
      <c r="C2840" s="4">
        <v>57981889</v>
      </c>
      <c r="D2840" s="4" t="s">
        <v>116</v>
      </c>
      <c r="E2840" s="4" t="s">
        <v>79</v>
      </c>
      <c r="F2840" s="4" t="s">
        <v>8987</v>
      </c>
      <c r="G2840" s="4">
        <v>173848</v>
      </c>
      <c r="H2840" s="4" t="s">
        <v>8988</v>
      </c>
      <c r="I2840" s="4">
        <v>203</v>
      </c>
      <c r="J2840" s="4" t="s">
        <v>23</v>
      </c>
      <c r="K2840" s="4" t="s">
        <v>24</v>
      </c>
      <c r="L2840" s="4">
        <v>40000000</v>
      </c>
      <c r="M2840" s="4">
        <v>2011</v>
      </c>
      <c r="N2840" s="4">
        <v>7.3</v>
      </c>
      <c r="O2840" s="4">
        <f ca="1">IFERROR(__xludf.DUMMYFUNCTION("IF(Cost_in_dollars!E2840=""USD"",Cost_in_dollars!B2840,Cost_in_dollars!B2840 * GOOGLEFINANCE(""CURRENCY:"" &amp; Cost_in_dollars!E2840 &amp; ""USD""))
"),40000000)</f>
        <v>40000000</v>
      </c>
      <c r="P2840" s="4">
        <f ca="1">IFERROR(__xludf.DUMMYFUNCTION("IF(Cost_in_dollars!E2840=""USD"",Cost_in_dollars!C2840,Cost_in_dollars!C2840 * GOOGLEFINANCE(""CURRENCY:"" &amp; Cost_in_dollars!E2840 &amp; ""USD""))
"),57981889)</f>
        <v>57981889</v>
      </c>
      <c r="Q2840" s="4">
        <f t="shared" ca="1" si="66"/>
        <v>17981889</v>
      </c>
      <c r="R2840" s="5" t="str">
        <f t="shared" si="67"/>
        <v>The Lincoln Lawyer</v>
      </c>
      <c r="S2840" s="43" t="str">
        <f t="shared" si="68"/>
        <v>Crime</v>
      </c>
    </row>
    <row r="2841" spans="1:19" ht="15.75" customHeight="1" x14ac:dyDescent="0.25">
      <c r="A2841" s="6" t="s">
        <v>1755</v>
      </c>
      <c r="B2841" s="6">
        <v>104</v>
      </c>
      <c r="C2841" s="6">
        <v>10569071</v>
      </c>
      <c r="D2841" s="6" t="s">
        <v>140</v>
      </c>
      <c r="E2841" s="6" t="s">
        <v>1755</v>
      </c>
      <c r="F2841" s="6" t="s">
        <v>8989</v>
      </c>
      <c r="G2841" s="6">
        <v>35586</v>
      </c>
      <c r="H2841" s="6" t="s">
        <v>8990</v>
      </c>
      <c r="I2841" s="6">
        <v>131</v>
      </c>
      <c r="J2841" s="6" t="s">
        <v>23</v>
      </c>
      <c r="K2841" s="6" t="s">
        <v>24</v>
      </c>
      <c r="L2841" s="6">
        <v>20000000</v>
      </c>
      <c r="M2841" s="6">
        <v>1997</v>
      </c>
      <c r="N2841" s="6">
        <v>7.4</v>
      </c>
      <c r="O2841" s="4">
        <f ca="1">IFERROR(__xludf.DUMMYFUNCTION("IF(Cost_in_dollars!E2841=""USD"",Cost_in_dollars!B2841,Cost_in_dollars!B2841 * GOOGLEFINANCE(""CURRENCY:"" &amp; Cost_in_dollars!E2841 &amp; ""USD""))
"),20000000)</f>
        <v>20000000</v>
      </c>
      <c r="P2841" s="4">
        <f ca="1">IFERROR(__xludf.DUMMYFUNCTION("IF(Cost_in_dollars!E2841=""USD"",Cost_in_dollars!C2841,Cost_in_dollars!C2841 * GOOGLEFINANCE(""CURRENCY:"" &amp; Cost_in_dollars!E2841 &amp; ""USD""))
"),10569071)</f>
        <v>10569071</v>
      </c>
      <c r="Q2841" s="6">
        <f t="shared" ca="1" si="66"/>
        <v>-9430929</v>
      </c>
      <c r="R2841" s="7" t="str">
        <f t="shared" si="67"/>
        <v>Deconstructing Harry</v>
      </c>
      <c r="S2841" s="43" t="str">
        <f t="shared" si="68"/>
        <v>Comedy</v>
      </c>
    </row>
    <row r="2842" spans="1:19" ht="15.75" customHeight="1" x14ac:dyDescent="0.25">
      <c r="A2842" s="4" t="s">
        <v>4421</v>
      </c>
      <c r="B2842" s="4">
        <v>203</v>
      </c>
      <c r="C2842" s="4">
        <v>23324666</v>
      </c>
      <c r="D2842" s="4" t="s">
        <v>1099</v>
      </c>
      <c r="E2842" s="4" t="s">
        <v>8991</v>
      </c>
      <c r="F2842" s="4" t="s">
        <v>8992</v>
      </c>
      <c r="G2842" s="4">
        <v>97775</v>
      </c>
      <c r="H2842" s="4" t="s">
        <v>8993</v>
      </c>
      <c r="I2842" s="4">
        <v>211</v>
      </c>
      <c r="J2842" s="4" t="s">
        <v>23</v>
      </c>
      <c r="K2842" s="4" t="s">
        <v>611</v>
      </c>
      <c r="L2842" s="4">
        <v>52000000</v>
      </c>
      <c r="M2842" s="4">
        <v>2010</v>
      </c>
      <c r="N2842" s="4">
        <v>6.5</v>
      </c>
      <c r="O2842" s="4">
        <f ca="1">IFERROR(__xludf.DUMMYFUNCTION("IF(Cost_in_dollars!E2842=""USD"",Cost_in_dollars!B2842,Cost_in_dollars!B2842 * GOOGLEFINANCE(""CURRENCY:"" &amp; Cost_in_dollars!E2842 &amp; ""USD""))
"),56406480)</f>
        <v>56406480</v>
      </c>
      <c r="P2842" s="4">
        <f ca="1">IFERROR(__xludf.DUMMYFUNCTION("IF(Cost_in_dollars!E2842=""USD"",Cost_in_dollars!C2842,Cost_in_dollars!C2842 * GOOGLEFINANCE(""CURRENCY:"" &amp; Cost_in_dollars!E2842 &amp; ""USD""))
"),25301198.19684)</f>
        <v>25301198.196839999</v>
      </c>
      <c r="Q2842" s="4">
        <f t="shared" ca="1" si="66"/>
        <v>-31105281.803160001</v>
      </c>
      <c r="R2842" s="5" t="str">
        <f t="shared" si="67"/>
        <v>From Paris with Love</v>
      </c>
      <c r="S2842" s="43" t="str">
        <f t="shared" si="68"/>
        <v>Action</v>
      </c>
    </row>
    <row r="2843" spans="1:19" ht="15.75" customHeight="1" x14ac:dyDescent="0.25">
      <c r="A2843" s="6" t="s">
        <v>8994</v>
      </c>
      <c r="B2843" s="6">
        <v>117</v>
      </c>
      <c r="C2843" s="6">
        <v>104077</v>
      </c>
      <c r="D2843" s="6" t="s">
        <v>58</v>
      </c>
      <c r="E2843" s="6" t="s">
        <v>1676</v>
      </c>
      <c r="F2843" s="6" t="s">
        <v>8995</v>
      </c>
      <c r="G2843" s="6">
        <v>46076</v>
      </c>
      <c r="H2843" s="6" t="s">
        <v>8996</v>
      </c>
      <c r="I2843" s="6">
        <v>88</v>
      </c>
      <c r="J2843" s="6" t="s">
        <v>23</v>
      </c>
      <c r="K2843" s="6" t="s">
        <v>24</v>
      </c>
      <c r="L2843" s="6">
        <v>1000000</v>
      </c>
      <c r="M2843" s="6">
        <v>2006</v>
      </c>
      <c r="N2843" s="6">
        <v>7.4</v>
      </c>
      <c r="O2843" s="4">
        <f ca="1">IFERROR(__xludf.DUMMYFUNCTION("IF(Cost_in_dollars!E2843=""USD"",Cost_in_dollars!B2843,Cost_in_dollars!B2843 * GOOGLEFINANCE(""CURRENCY:"" &amp; Cost_in_dollars!E2843 &amp; ""USD""))
"),1000000)</f>
        <v>1000000</v>
      </c>
      <c r="P2843" s="4">
        <f ca="1">IFERROR(__xludf.DUMMYFUNCTION("IF(Cost_in_dollars!E2843=""USD"",Cost_in_dollars!C2843,Cost_in_dollars!C2843 * GOOGLEFINANCE(""CURRENCY:"" &amp; Cost_in_dollars!E2843 &amp; ""USD""))
"),104077)</f>
        <v>104077</v>
      </c>
      <c r="Q2843" s="6">
        <f t="shared" ca="1" si="66"/>
        <v>-895923</v>
      </c>
      <c r="R2843" s="7" t="str">
        <f t="shared" si="67"/>
        <v>Wristcutters: A Love Story</v>
      </c>
      <c r="S2843" s="43" t="str">
        <f t="shared" si="68"/>
        <v>Comedy</v>
      </c>
    </row>
    <row r="2844" spans="1:19" ht="15.75" customHeight="1" x14ac:dyDescent="0.25">
      <c r="A2844" s="4" t="s">
        <v>1435</v>
      </c>
      <c r="B2844" s="4">
        <v>556</v>
      </c>
      <c r="C2844" s="4">
        <v>96917897</v>
      </c>
      <c r="D2844" s="4" t="s">
        <v>362</v>
      </c>
      <c r="E2844" s="4" t="s">
        <v>5145</v>
      </c>
      <c r="F2844" s="4" t="s">
        <v>8997</v>
      </c>
      <c r="G2844" s="4">
        <v>479453</v>
      </c>
      <c r="H2844" s="4" t="s">
        <v>8998</v>
      </c>
      <c r="I2844" s="4">
        <v>696</v>
      </c>
      <c r="J2844" s="4" t="s">
        <v>23</v>
      </c>
      <c r="K2844" s="4" t="s">
        <v>24</v>
      </c>
      <c r="L2844" s="4">
        <v>40000000</v>
      </c>
      <c r="M2844" s="4">
        <v>2010</v>
      </c>
      <c r="N2844" s="4">
        <v>7.7</v>
      </c>
      <c r="O2844" s="4">
        <f ca="1">IFERROR(__xludf.DUMMYFUNCTION("IF(Cost_in_dollars!E2844=""USD"",Cost_in_dollars!B2844,Cost_in_dollars!B2844 * GOOGLEFINANCE(""CURRENCY:"" &amp; Cost_in_dollars!E2844 &amp; ""USD""))
"),40000000)</f>
        <v>40000000</v>
      </c>
      <c r="P2844" s="4">
        <f ca="1">IFERROR(__xludf.DUMMYFUNCTION("IF(Cost_in_dollars!E2844=""USD"",Cost_in_dollars!C2844,Cost_in_dollars!C2844 * GOOGLEFINANCE(""CURRENCY:"" &amp; Cost_in_dollars!E2844 &amp; ""USD""))
"),96917897)</f>
        <v>96917897</v>
      </c>
      <c r="Q2844" s="4">
        <f t="shared" ca="1" si="66"/>
        <v>56917897</v>
      </c>
      <c r="R2844" s="5" t="str">
        <f t="shared" si="67"/>
        <v>The Social Network</v>
      </c>
      <c r="S2844" s="43" t="str">
        <f t="shared" si="68"/>
        <v>Biography</v>
      </c>
    </row>
    <row r="2845" spans="1:19" ht="15.75" customHeight="1" x14ac:dyDescent="0.25">
      <c r="A2845" s="6" t="s">
        <v>7926</v>
      </c>
      <c r="B2845" s="6">
        <v>50</v>
      </c>
      <c r="C2845" s="6">
        <v>19693891</v>
      </c>
      <c r="D2845" s="6" t="s">
        <v>1041</v>
      </c>
      <c r="E2845" s="6" t="s">
        <v>6959</v>
      </c>
      <c r="F2845" s="6" t="s">
        <v>8999</v>
      </c>
      <c r="G2845" s="6">
        <v>12993</v>
      </c>
      <c r="H2845" s="6" t="s">
        <v>9000</v>
      </c>
      <c r="I2845" s="6">
        <v>107</v>
      </c>
      <c r="J2845" s="6" t="s">
        <v>23</v>
      </c>
      <c r="K2845" s="6" t="s">
        <v>24</v>
      </c>
      <c r="L2845" s="6">
        <v>34000000</v>
      </c>
      <c r="M2845" s="6">
        <v>2001</v>
      </c>
      <c r="N2845" s="6">
        <v>4.9000000000000004</v>
      </c>
      <c r="O2845" s="4">
        <f ca="1">IFERROR(__xludf.DUMMYFUNCTION("IF(Cost_in_dollars!E2845=""USD"",Cost_in_dollars!B2845,Cost_in_dollars!B2845 * GOOGLEFINANCE(""CURRENCY:"" &amp; Cost_in_dollars!E2845 &amp; ""USD""))
"),34000000)</f>
        <v>34000000</v>
      </c>
      <c r="P2845" s="4">
        <f ca="1">IFERROR(__xludf.DUMMYFUNCTION("IF(Cost_in_dollars!E2845=""USD"",Cost_in_dollars!C2845,Cost_in_dollars!C2845 * GOOGLEFINANCE(""CURRENCY:"" &amp; Cost_in_dollars!E2845 &amp; ""USD""))
"),19693891)</f>
        <v>19693891</v>
      </c>
      <c r="Q2845" s="6">
        <f t="shared" ca="1" si="66"/>
        <v>-14306109</v>
      </c>
      <c r="R2845" s="7" t="str">
        <f t="shared" si="67"/>
        <v>Summer Catch</v>
      </c>
      <c r="S2845" s="43" t="str">
        <f t="shared" si="68"/>
        <v>Comedy</v>
      </c>
    </row>
    <row r="2846" spans="1:19" ht="15.75" customHeight="1" x14ac:dyDescent="0.25">
      <c r="A2846" s="4" t="s">
        <v>9001</v>
      </c>
      <c r="B2846" s="4">
        <v>150</v>
      </c>
      <c r="C2846" s="4">
        <v>18225165</v>
      </c>
      <c r="D2846" s="4" t="s">
        <v>696</v>
      </c>
      <c r="E2846" s="4" t="s">
        <v>2530</v>
      </c>
      <c r="F2846" s="4" t="s">
        <v>9002</v>
      </c>
      <c r="G2846" s="4">
        <v>155262</v>
      </c>
      <c r="H2846" s="4" t="s">
        <v>9003</v>
      </c>
      <c r="I2846" s="4">
        <v>316</v>
      </c>
      <c r="J2846" s="4" t="s">
        <v>23</v>
      </c>
      <c r="K2846" s="4" t="s">
        <v>24</v>
      </c>
      <c r="L2846" s="4">
        <v>9000000</v>
      </c>
      <c r="M2846" s="4">
        <v>2004</v>
      </c>
      <c r="N2846" s="4">
        <v>7.1</v>
      </c>
      <c r="O2846" s="4">
        <f ca="1">IFERROR(__xludf.DUMMYFUNCTION("IF(Cost_in_dollars!E2846=""USD"",Cost_in_dollars!B2846,Cost_in_dollars!B2846 * GOOGLEFINANCE(""CURRENCY:"" &amp; Cost_in_dollars!E2846 &amp; ""USD""))
"),9000000)</f>
        <v>9000000</v>
      </c>
      <c r="P2846" s="4">
        <f ca="1">IFERROR(__xludf.DUMMYFUNCTION("IF(Cost_in_dollars!E2846=""USD"",Cost_in_dollars!C2846,Cost_in_dollars!C2846 * GOOGLEFINANCE(""CURRENCY:"" &amp; Cost_in_dollars!E2846 &amp; ""USD""))
"),18225165)</f>
        <v>18225165</v>
      </c>
      <c r="Q2846" s="4">
        <f t="shared" ca="1" si="66"/>
        <v>9225165</v>
      </c>
      <c r="R2846" s="5" t="str">
        <f t="shared" si="67"/>
        <v>Harold &amp; Kumar Go to White Castle</v>
      </c>
      <c r="S2846" s="43" t="str">
        <f t="shared" si="68"/>
        <v>Adventure</v>
      </c>
    </row>
    <row r="2847" spans="1:19" ht="15.75" customHeight="1" x14ac:dyDescent="0.25">
      <c r="A2847" s="6" t="s">
        <v>9004</v>
      </c>
      <c r="B2847" s="6">
        <v>36</v>
      </c>
      <c r="C2847" s="6">
        <v>20915465</v>
      </c>
      <c r="D2847" s="6" t="s">
        <v>9005</v>
      </c>
      <c r="E2847" s="6" t="s">
        <v>600</v>
      </c>
      <c r="F2847" s="6" t="s">
        <v>9006</v>
      </c>
      <c r="G2847" s="6">
        <v>38203</v>
      </c>
      <c r="H2847" s="6" t="s">
        <v>9007</v>
      </c>
      <c r="I2847" s="6">
        <v>290</v>
      </c>
      <c r="J2847" s="6" t="s">
        <v>23</v>
      </c>
      <c r="K2847" s="6" t="s">
        <v>133</v>
      </c>
      <c r="L2847" s="6">
        <v>42000000</v>
      </c>
      <c r="M2847" s="6">
        <v>1993</v>
      </c>
      <c r="N2847" s="6">
        <v>4</v>
      </c>
      <c r="O2847" s="4">
        <f ca="1">IFERROR(__xludf.DUMMYFUNCTION("IF(Cost_in_dollars!E2847=""USD"",Cost_in_dollars!B2847,Cost_in_dollars!B2847 * GOOGLEFINANCE(""CURRENCY:"" &amp; Cost_in_dollars!E2847 &amp; ""USD""))
"),53986799.9999999)</f>
        <v>53986799.999999903</v>
      </c>
      <c r="P2847" s="4">
        <f ca="1">IFERROR(__xludf.DUMMYFUNCTION("IF(Cost_in_dollars!E2847=""USD"",Cost_in_dollars!C2847,Cost_in_dollars!C2847 * GOOGLEFINANCE(""CURRENCY:"" &amp; Cost_in_dollars!E2847 &amp; ""USD""))
"),26884738.711)</f>
        <v>26884738.710999999</v>
      </c>
      <c r="Q2847" s="6">
        <f t="shared" ca="1" si="66"/>
        <v>-27102061.288999904</v>
      </c>
      <c r="R2847" s="7" t="str">
        <f t="shared" si="67"/>
        <v>Super Mario Bros.</v>
      </c>
      <c r="S2847" s="43" t="str">
        <f t="shared" si="68"/>
        <v>Adventure</v>
      </c>
    </row>
    <row r="2848" spans="1:19" ht="15.75" customHeight="1" x14ac:dyDescent="0.25">
      <c r="A2848" s="4" t="s">
        <v>638</v>
      </c>
      <c r="B2848" s="4">
        <v>177</v>
      </c>
      <c r="C2848" s="4">
        <v>229074524</v>
      </c>
      <c r="D2848" s="4" t="s">
        <v>188</v>
      </c>
      <c r="E2848" s="4" t="s">
        <v>2739</v>
      </c>
      <c r="F2848" s="4" t="s">
        <v>9008</v>
      </c>
      <c r="G2848" s="4">
        <v>278362</v>
      </c>
      <c r="H2848" s="4" t="s">
        <v>9009</v>
      </c>
      <c r="I2848" s="4">
        <v>552</v>
      </c>
      <c r="J2848" s="4" t="s">
        <v>23</v>
      </c>
      <c r="K2848" s="4" t="s">
        <v>24</v>
      </c>
      <c r="L2848" s="4">
        <v>73000000</v>
      </c>
      <c r="M2848" s="4">
        <v>1997</v>
      </c>
      <c r="N2848" s="4">
        <v>6.5</v>
      </c>
      <c r="O2848" s="4">
        <f ca="1">IFERROR(__xludf.DUMMYFUNCTION("IF(Cost_in_dollars!E2848=""USD"",Cost_in_dollars!B2848,Cost_in_dollars!B2848 * GOOGLEFINANCE(""CURRENCY:"" &amp; Cost_in_dollars!E2848 &amp; ""USD""))
"),73000000)</f>
        <v>73000000</v>
      </c>
      <c r="P2848" s="4">
        <f ca="1">IFERROR(__xludf.DUMMYFUNCTION("IF(Cost_in_dollars!E2848=""USD"",Cost_in_dollars!C2848,Cost_in_dollars!C2848 * GOOGLEFINANCE(""CURRENCY:"" &amp; Cost_in_dollars!E2848 &amp; ""USD""))
"),229074524)</f>
        <v>229074524</v>
      </c>
      <c r="Q2848" s="4">
        <f t="shared" ca="1" si="66"/>
        <v>156074524</v>
      </c>
      <c r="R2848" s="5" t="str">
        <f t="shared" si="67"/>
        <v>The Lost World: Jurassic Park</v>
      </c>
      <c r="S2848" s="43" t="str">
        <f t="shared" si="68"/>
        <v>Action</v>
      </c>
    </row>
    <row r="2849" spans="1:19" ht="15.75" customHeight="1" x14ac:dyDescent="0.25">
      <c r="A2849" s="6" t="s">
        <v>9010</v>
      </c>
      <c r="B2849" s="6">
        <v>44</v>
      </c>
      <c r="C2849" s="6">
        <v>37788228</v>
      </c>
      <c r="D2849" s="6" t="s">
        <v>140</v>
      </c>
      <c r="E2849" s="6" t="s">
        <v>198</v>
      </c>
      <c r="F2849" s="6" t="s">
        <v>9011</v>
      </c>
      <c r="G2849" s="6">
        <v>15046</v>
      </c>
      <c r="H2849" s="6" t="s">
        <v>9012</v>
      </c>
      <c r="I2849" s="6">
        <v>80</v>
      </c>
      <c r="J2849" s="6" t="s">
        <v>23</v>
      </c>
      <c r="K2849" s="6" t="s">
        <v>24</v>
      </c>
      <c r="L2849" s="6">
        <v>35200000</v>
      </c>
      <c r="M2849" s="6">
        <v>2003</v>
      </c>
      <c r="N2849" s="6">
        <v>5.4</v>
      </c>
      <c r="O2849" s="4">
        <f ca="1">IFERROR(__xludf.DUMMYFUNCTION("IF(Cost_in_dollars!E2849=""USD"",Cost_in_dollars!B2849,Cost_in_dollars!B2849 * GOOGLEFINANCE(""CURRENCY:"" &amp; Cost_in_dollars!E2849 &amp; ""USD""))
"),35200000)</f>
        <v>35200000</v>
      </c>
      <c r="P2849" s="4">
        <f ca="1">IFERROR(__xludf.DUMMYFUNCTION("IF(Cost_in_dollars!E2849=""USD"",Cost_in_dollars!C2849,Cost_in_dollars!C2849 * GOOGLEFINANCE(""CURRENCY:"" &amp; Cost_in_dollars!E2849 &amp; ""USD""))
"),37788228)</f>
        <v>37788228</v>
      </c>
      <c r="Q2849" s="6">
        <f t="shared" ca="1" si="66"/>
        <v>2588228</v>
      </c>
      <c r="R2849" s="7" t="str">
        <f t="shared" si="67"/>
        <v>Head of State</v>
      </c>
      <c r="S2849" s="43" t="str">
        <f t="shared" si="68"/>
        <v>Comedy</v>
      </c>
    </row>
    <row r="2850" spans="1:19" ht="15.75" customHeight="1" x14ac:dyDescent="0.25">
      <c r="A2850" s="4" t="s">
        <v>927</v>
      </c>
      <c r="B2850" s="4">
        <v>231</v>
      </c>
      <c r="C2850" s="4">
        <v>182618434</v>
      </c>
      <c r="D2850" s="4" t="s">
        <v>928</v>
      </c>
      <c r="E2850" s="4" t="s">
        <v>9013</v>
      </c>
      <c r="F2850" s="4" t="s">
        <v>9014</v>
      </c>
      <c r="G2850" s="4">
        <v>133076</v>
      </c>
      <c r="H2850" s="4" t="s">
        <v>9015</v>
      </c>
      <c r="I2850" s="4">
        <v>779</v>
      </c>
      <c r="J2850" s="4" t="s">
        <v>23</v>
      </c>
      <c r="K2850" s="4" t="s">
        <v>24</v>
      </c>
      <c r="L2850" s="4">
        <v>140000000</v>
      </c>
      <c r="M2850" s="4">
        <v>2000</v>
      </c>
      <c r="N2850" s="4">
        <v>6.4</v>
      </c>
      <c r="O2850" s="4">
        <f ca="1">IFERROR(__xludf.DUMMYFUNCTION("IF(Cost_in_dollars!E2850=""USD"",Cost_in_dollars!B2850,Cost_in_dollars!B2850 * GOOGLEFINANCE(""CURRENCY:"" &amp; Cost_in_dollars!E2850 &amp; ""USD""))
"),140000000)</f>
        <v>140000000</v>
      </c>
      <c r="P2850" s="4">
        <f ca="1">IFERROR(__xludf.DUMMYFUNCTION("IF(Cost_in_dollars!E2850=""USD"",Cost_in_dollars!C2850,Cost_in_dollars!C2850 * GOOGLEFINANCE(""CURRENCY:"" &amp; Cost_in_dollars!E2850 &amp; ""USD""))
"),182618434)</f>
        <v>182618434</v>
      </c>
      <c r="Q2850" s="4">
        <f t="shared" ca="1" si="66"/>
        <v>42618434</v>
      </c>
      <c r="R2850" s="5" t="str">
        <f t="shared" si="67"/>
        <v>The Perfect Storm</v>
      </c>
      <c r="S2850" s="43" t="str">
        <f t="shared" si="68"/>
        <v>Action</v>
      </c>
    </row>
    <row r="2851" spans="1:19" ht="15.75" customHeight="1" x14ac:dyDescent="0.25">
      <c r="A2851" s="6" t="s">
        <v>597</v>
      </c>
      <c r="B2851" s="6">
        <v>191</v>
      </c>
      <c r="C2851" s="6">
        <v>124870275</v>
      </c>
      <c r="D2851" s="6" t="s">
        <v>9016</v>
      </c>
      <c r="E2851" s="6" t="s">
        <v>1282</v>
      </c>
      <c r="F2851" s="6" t="s">
        <v>9017</v>
      </c>
      <c r="G2851" s="6">
        <v>152601</v>
      </c>
      <c r="H2851" s="6" t="s">
        <v>9018</v>
      </c>
      <c r="I2851" s="6">
        <v>156</v>
      </c>
      <c r="J2851" s="6" t="s">
        <v>23</v>
      </c>
      <c r="K2851" s="6" t="s">
        <v>24</v>
      </c>
      <c r="L2851" s="6">
        <v>100000000</v>
      </c>
      <c r="M2851" s="6">
        <v>2009</v>
      </c>
      <c r="N2851" s="6">
        <v>7</v>
      </c>
      <c r="O2851" s="4">
        <f ca="1">IFERROR(__xludf.DUMMYFUNCTION("IF(Cost_in_dollars!E2851=""USD"",Cost_in_dollars!B2851,Cost_in_dollars!B2851 * GOOGLEFINANCE(""CURRENCY:"" &amp; Cost_in_dollars!E2851 &amp; ""USD""))
"),100000000)</f>
        <v>100000000</v>
      </c>
      <c r="P2851" s="4">
        <f ca="1">IFERROR(__xludf.DUMMYFUNCTION("IF(Cost_in_dollars!E2851=""USD"",Cost_in_dollars!C2851,Cost_in_dollars!C2851 * GOOGLEFINANCE(""CURRENCY:"" &amp; Cost_in_dollars!E2851 &amp; ""USD""))
"),124870275)</f>
        <v>124870275</v>
      </c>
      <c r="Q2851" s="6">
        <f t="shared" ca="1" si="66"/>
        <v>24870275</v>
      </c>
      <c r="R2851" s="7" t="str">
        <f t="shared" si="67"/>
        <v>Cloudy with a Chance of Meatballs</v>
      </c>
      <c r="S2851" s="43" t="str">
        <f t="shared" si="68"/>
        <v>Animation</v>
      </c>
    </row>
    <row r="2852" spans="1:19" ht="15.75" customHeight="1" x14ac:dyDescent="0.25">
      <c r="A2852" s="4" t="s">
        <v>4026</v>
      </c>
      <c r="B2852" s="4">
        <v>186</v>
      </c>
      <c r="C2852" s="4">
        <v>110476776</v>
      </c>
      <c r="D2852" s="4" t="s">
        <v>88</v>
      </c>
      <c r="E2852" s="4" t="s">
        <v>1916</v>
      </c>
      <c r="F2852" s="4" t="s">
        <v>9019</v>
      </c>
      <c r="G2852" s="4">
        <v>95437</v>
      </c>
      <c r="H2852" s="4" t="s">
        <v>9020</v>
      </c>
      <c r="I2852" s="4">
        <v>211</v>
      </c>
      <c r="J2852" s="4" t="s">
        <v>23</v>
      </c>
      <c r="K2852" s="4" t="s">
        <v>24</v>
      </c>
      <c r="L2852" s="4">
        <v>52000000</v>
      </c>
      <c r="M2852" s="4">
        <v>2010</v>
      </c>
      <c r="N2852" s="4">
        <v>5.7</v>
      </c>
      <c r="O2852" s="4">
        <f ca="1">IFERROR(__xludf.DUMMYFUNCTION("IF(Cost_in_dollars!E2852=""USD"",Cost_in_dollars!B2852,Cost_in_dollars!B2852 * GOOGLEFINANCE(""CURRENCY:"" &amp; Cost_in_dollars!E2852 &amp; ""USD""))
"),52000000)</f>
        <v>52000000</v>
      </c>
      <c r="P2852" s="4">
        <f ca="1">IFERROR(__xludf.DUMMYFUNCTION("IF(Cost_in_dollars!E2852=""USD"",Cost_in_dollars!C2852,Cost_in_dollars!C2852 * GOOGLEFINANCE(""CURRENCY:"" &amp; Cost_in_dollars!E2852 &amp; ""USD""))
"),110476776)</f>
        <v>110476776</v>
      </c>
      <c r="Q2852" s="4">
        <f t="shared" ca="1" si="66"/>
        <v>58476776</v>
      </c>
      <c r="R2852" s="5" t="str">
        <f t="shared" si="67"/>
        <v>Valentine's Day</v>
      </c>
      <c r="S2852" s="43" t="str">
        <f t="shared" si="68"/>
        <v>Comedy</v>
      </c>
    </row>
    <row r="2853" spans="1:19" ht="15.75" customHeight="1" x14ac:dyDescent="0.25">
      <c r="A2853" s="6" t="s">
        <v>9021</v>
      </c>
      <c r="B2853" s="6">
        <v>99</v>
      </c>
      <c r="C2853" s="6">
        <v>489220</v>
      </c>
      <c r="D2853" s="6" t="s">
        <v>5580</v>
      </c>
      <c r="E2853" s="6" t="s">
        <v>9022</v>
      </c>
      <c r="F2853" s="6" t="s">
        <v>9023</v>
      </c>
      <c r="G2853" s="6">
        <v>160511</v>
      </c>
      <c r="H2853" s="6" t="s">
        <v>9024</v>
      </c>
      <c r="I2853" s="6">
        <v>696</v>
      </c>
      <c r="J2853" s="6" t="s">
        <v>23</v>
      </c>
      <c r="K2853" s="6" t="s">
        <v>627</v>
      </c>
      <c r="L2853" s="6">
        <v>365000</v>
      </c>
      <c r="M2853" s="6">
        <v>1997</v>
      </c>
      <c r="N2853" s="6">
        <v>7.3</v>
      </c>
      <c r="O2853" s="4">
        <f ca="1">IFERROR(__xludf.DUMMYFUNCTION("IF(Cost_in_dollars!E2853=""USD"",Cost_in_dollars!B2853,Cost_in_dollars!B2853 * GOOGLEFINANCE(""CURRENCY:"" &amp; Cost_in_dollars!E2853 &amp; ""USD""))
"),264042.825)</f>
        <v>264042.82500000001</v>
      </c>
      <c r="P2853" s="4">
        <f ca="1">IFERROR(__xludf.DUMMYFUNCTION("IF(Cost_in_dollars!E2853=""USD"",Cost_in_dollars!C2853,Cost_in_dollars!C2853 * GOOGLEFINANCE(""CURRENCY:"" &amp; Cost_in_dollars!E2853 &amp; ""USD""))
"),353904.194099999)</f>
        <v>353904.19409999897</v>
      </c>
      <c r="Q2853" s="6">
        <f t="shared" ca="1" si="66"/>
        <v>89861.369099998963</v>
      </c>
      <c r="R2853" s="7" t="str">
        <f t="shared" si="67"/>
        <v>Cube</v>
      </c>
      <c r="S2853" s="43" t="str">
        <f t="shared" si="68"/>
        <v>Mystery</v>
      </c>
    </row>
    <row r="2854" spans="1:19" ht="15.75" customHeight="1" x14ac:dyDescent="0.25">
      <c r="A2854" s="4" t="s">
        <v>3514</v>
      </c>
      <c r="B2854" s="4">
        <v>198</v>
      </c>
      <c r="C2854" s="4">
        <v>40076438</v>
      </c>
      <c r="D2854" s="4" t="s">
        <v>613</v>
      </c>
      <c r="E2854" s="4" t="s">
        <v>886</v>
      </c>
      <c r="F2854" s="4" t="s">
        <v>9025</v>
      </c>
      <c r="G2854" s="4">
        <v>73368</v>
      </c>
      <c r="H2854" s="4" t="s">
        <v>9026</v>
      </c>
      <c r="I2854" s="4">
        <v>248</v>
      </c>
      <c r="J2854" s="4" t="s">
        <v>23</v>
      </c>
      <c r="K2854" s="4" t="s">
        <v>24</v>
      </c>
      <c r="L2854" s="4">
        <v>60000000</v>
      </c>
      <c r="M2854" s="4">
        <v>2008</v>
      </c>
      <c r="N2854" s="4">
        <v>6</v>
      </c>
      <c r="O2854" s="4">
        <f ca="1">IFERROR(__xludf.DUMMYFUNCTION("IF(Cost_in_dollars!E2854=""USD"",Cost_in_dollars!B2854,Cost_in_dollars!B2854 * GOOGLEFINANCE(""CURRENCY:"" &amp; Cost_in_dollars!E2854 &amp; ""USD""))
"),60000000)</f>
        <v>60000000</v>
      </c>
      <c r="P2854" s="4">
        <f ca="1">IFERROR(__xludf.DUMMYFUNCTION("IF(Cost_in_dollars!E2854=""USD"",Cost_in_dollars!C2854,Cost_in_dollars!C2854 * GOOGLEFINANCE(""CURRENCY:"" &amp; Cost_in_dollars!E2854 &amp; ""USD""))
"),40076438)</f>
        <v>40076438</v>
      </c>
      <c r="Q2854" s="4">
        <f t="shared" ca="1" si="66"/>
        <v>-19923562</v>
      </c>
      <c r="R2854" s="5" t="str">
        <f t="shared" si="67"/>
        <v>Righteous Kill</v>
      </c>
      <c r="S2854" s="43" t="str">
        <f t="shared" si="68"/>
        <v>Action</v>
      </c>
    </row>
    <row r="2855" spans="1:19" ht="15.75" customHeight="1" x14ac:dyDescent="0.25">
      <c r="A2855" s="6" t="s">
        <v>9027</v>
      </c>
      <c r="B2855" s="6">
        <v>110</v>
      </c>
      <c r="C2855" s="6">
        <v>43853424</v>
      </c>
      <c r="D2855" s="6" t="s">
        <v>9028</v>
      </c>
      <c r="E2855" s="6" t="s">
        <v>44</v>
      </c>
      <c r="F2855" s="6" t="s">
        <v>9029</v>
      </c>
      <c r="G2855" s="6">
        <v>35514</v>
      </c>
      <c r="H2855" s="6" t="s">
        <v>9030</v>
      </c>
      <c r="I2855" s="6">
        <v>114</v>
      </c>
      <c r="J2855" s="6" t="s">
        <v>23</v>
      </c>
      <c r="K2855" s="6" t="s">
        <v>24</v>
      </c>
      <c r="L2855" s="6">
        <v>18000000</v>
      </c>
      <c r="M2855" s="6">
        <v>2011</v>
      </c>
      <c r="N2855" s="6">
        <v>7.1</v>
      </c>
      <c r="O2855" s="4">
        <f ca="1">IFERROR(__xludf.DUMMYFUNCTION("IF(Cost_in_dollars!E2855=""USD"",Cost_in_dollars!B2855,Cost_in_dollars!B2855 * GOOGLEFINANCE(""CURRENCY:"" &amp; Cost_in_dollars!E2855 &amp; ""USD""))
"),18000000)</f>
        <v>18000000</v>
      </c>
      <c r="P2855" s="4">
        <f ca="1">IFERROR(__xludf.DUMMYFUNCTION("IF(Cost_in_dollars!E2855=""USD"",Cost_in_dollars!C2855,Cost_in_dollars!C2855 * GOOGLEFINANCE(""CURRENCY:"" &amp; Cost_in_dollars!E2855 &amp; ""USD""))
"),43853424)</f>
        <v>43853424</v>
      </c>
      <c r="Q2855" s="6">
        <f t="shared" ca="1" si="66"/>
        <v>25853424</v>
      </c>
      <c r="R2855" s="7" t="str">
        <f t="shared" si="67"/>
        <v>Soul Surfer</v>
      </c>
      <c r="S2855" s="43" t="str">
        <f t="shared" si="68"/>
        <v>Biography</v>
      </c>
    </row>
    <row r="2856" spans="1:19" ht="15.75" customHeight="1" x14ac:dyDescent="0.25">
      <c r="A2856" s="4" t="s">
        <v>1142</v>
      </c>
      <c r="B2856" s="4">
        <v>231</v>
      </c>
      <c r="C2856" s="4">
        <v>4001121</v>
      </c>
      <c r="D2856" s="4" t="s">
        <v>2238</v>
      </c>
      <c r="E2856" s="4" t="s">
        <v>1595</v>
      </c>
      <c r="F2856" s="4" t="s">
        <v>9031</v>
      </c>
      <c r="G2856" s="4">
        <v>48346</v>
      </c>
      <c r="H2856" s="4" t="s">
        <v>9032</v>
      </c>
      <c r="I2856" s="4">
        <v>230</v>
      </c>
      <c r="J2856" s="4" t="s">
        <v>23</v>
      </c>
      <c r="K2856" s="4" t="s">
        <v>24</v>
      </c>
      <c r="L2856" s="4">
        <v>20000000</v>
      </c>
      <c r="M2856" s="4">
        <v>2007</v>
      </c>
      <c r="N2856" s="4">
        <v>7</v>
      </c>
      <c r="O2856" s="4">
        <f ca="1">IFERROR(__xludf.DUMMYFUNCTION("IF(Cost_in_dollars!E2856=""USD"",Cost_in_dollars!B2856,Cost_in_dollars!B2856 * GOOGLEFINANCE(""CURRENCY:"" &amp; Cost_in_dollars!E2856 &amp; ""USD""))
"),20000000)</f>
        <v>20000000</v>
      </c>
      <c r="P2856" s="4">
        <f ca="1">IFERROR(__xludf.DUMMYFUNCTION("IF(Cost_in_dollars!E2856=""USD"",Cost_in_dollars!C2856,Cost_in_dollars!C2856 * GOOGLEFINANCE(""CURRENCY:"" &amp; Cost_in_dollars!E2856 &amp; ""USD""))
"),4001121)</f>
        <v>4001121</v>
      </c>
      <c r="Q2856" s="4">
        <f t="shared" ca="1" si="66"/>
        <v>-15998879</v>
      </c>
      <c r="R2856" s="5" t="str">
        <f t="shared" si="67"/>
        <v>I'm Not There.</v>
      </c>
      <c r="S2856" s="43" t="str">
        <f t="shared" si="68"/>
        <v>Biography</v>
      </c>
    </row>
    <row r="2857" spans="1:19" ht="15.75" customHeight="1" x14ac:dyDescent="0.25">
      <c r="A2857" s="6" t="s">
        <v>2315</v>
      </c>
      <c r="B2857" s="6">
        <v>34</v>
      </c>
      <c r="C2857" s="6">
        <v>43490057</v>
      </c>
      <c r="D2857" s="6" t="s">
        <v>457</v>
      </c>
      <c r="E2857" s="6" t="s">
        <v>1184</v>
      </c>
      <c r="F2857" s="6" t="s">
        <v>9033</v>
      </c>
      <c r="G2857" s="6">
        <v>5275</v>
      </c>
      <c r="H2857" s="6" t="s">
        <v>9034</v>
      </c>
      <c r="I2857" s="6">
        <v>30</v>
      </c>
      <c r="J2857" s="6" t="s">
        <v>23</v>
      </c>
      <c r="K2857" s="6" t="s">
        <v>24</v>
      </c>
      <c r="L2857" s="6">
        <v>7500000</v>
      </c>
      <c r="M2857" s="6">
        <v>1997</v>
      </c>
      <c r="N2857" s="6">
        <v>6.9</v>
      </c>
      <c r="O2857" s="4">
        <f ca="1">IFERROR(__xludf.DUMMYFUNCTION("IF(Cost_in_dollars!E2857=""USD"",Cost_in_dollars!B2857,Cost_in_dollars!B2857 * GOOGLEFINANCE(""CURRENCY:"" &amp; Cost_in_dollars!E2857 &amp; ""USD""))
"),7500000)</f>
        <v>7500000</v>
      </c>
      <c r="P2857" s="4">
        <f ca="1">IFERROR(__xludf.DUMMYFUNCTION("IF(Cost_in_dollars!E2857=""USD"",Cost_in_dollars!C2857,Cost_in_dollars!C2857 * GOOGLEFINANCE(""CURRENCY:"" &amp; Cost_in_dollars!E2857 &amp; ""USD""))
"),43490057)</f>
        <v>43490057</v>
      </c>
      <c r="Q2857" s="6">
        <f t="shared" ca="1" si="66"/>
        <v>35990057</v>
      </c>
      <c r="R2857" s="7" t="str">
        <f t="shared" si="67"/>
        <v>Soul Food</v>
      </c>
      <c r="S2857" s="43" t="str">
        <f t="shared" si="68"/>
        <v>Comedy</v>
      </c>
    </row>
    <row r="2858" spans="1:19" ht="15.75" customHeight="1" x14ac:dyDescent="0.25">
      <c r="A2858" s="4" t="s">
        <v>9035</v>
      </c>
      <c r="B2858" s="4">
        <v>152</v>
      </c>
      <c r="C2858" s="4">
        <v>25799043</v>
      </c>
      <c r="D2858" s="4" t="s">
        <v>1020</v>
      </c>
      <c r="E2858" s="4" t="s">
        <v>381</v>
      </c>
      <c r="F2858" s="4" t="s">
        <v>9036</v>
      </c>
      <c r="G2858" s="4">
        <v>28513</v>
      </c>
      <c r="H2858" s="4" t="s">
        <v>9037</v>
      </c>
      <c r="I2858" s="4">
        <v>126</v>
      </c>
      <c r="J2858" s="4" t="s">
        <v>23</v>
      </c>
      <c r="K2858" s="4" t="s">
        <v>24</v>
      </c>
      <c r="L2858" s="4">
        <v>3300000</v>
      </c>
      <c r="M2858" s="4">
        <v>2015</v>
      </c>
      <c r="N2858" s="4">
        <v>5.2</v>
      </c>
      <c r="O2858" s="4">
        <f ca="1">IFERROR(__xludf.DUMMYFUNCTION("IF(Cost_in_dollars!E2858=""USD"",Cost_in_dollars!B2858,Cost_in_dollars!B2858 * GOOGLEFINANCE(""CURRENCY:"" &amp; Cost_in_dollars!E2858 &amp; ""USD""))
"),3300000)</f>
        <v>3300000</v>
      </c>
      <c r="P2858" s="4">
        <f ca="1">IFERROR(__xludf.DUMMYFUNCTION("IF(Cost_in_dollars!E2858=""USD"",Cost_in_dollars!C2858,Cost_in_dollars!C2858 * GOOGLEFINANCE(""CURRENCY:"" &amp; Cost_in_dollars!E2858 &amp; ""USD""))
"),25799043)</f>
        <v>25799043</v>
      </c>
      <c r="Q2858" s="4">
        <f t="shared" ca="1" si="66"/>
        <v>22499043</v>
      </c>
      <c r="R2858" s="5" t="str">
        <f t="shared" si="67"/>
        <v>The Lazarus Effect</v>
      </c>
      <c r="S2858" s="43" t="str">
        <f t="shared" si="68"/>
        <v>Horror</v>
      </c>
    </row>
    <row r="2859" spans="1:19" ht="15.75" customHeight="1" x14ac:dyDescent="0.25">
      <c r="A2859" s="6" t="s">
        <v>2586</v>
      </c>
      <c r="B2859" s="6">
        <v>165</v>
      </c>
      <c r="C2859" s="6">
        <v>60470220</v>
      </c>
      <c r="D2859" s="6" t="s">
        <v>1893</v>
      </c>
      <c r="E2859" s="6" t="s">
        <v>9038</v>
      </c>
      <c r="F2859" s="6" t="s">
        <v>9039</v>
      </c>
      <c r="G2859" s="6">
        <v>81444</v>
      </c>
      <c r="H2859" s="6" t="s">
        <v>9040</v>
      </c>
      <c r="I2859" s="6">
        <v>192</v>
      </c>
      <c r="J2859" s="6" t="s">
        <v>23</v>
      </c>
      <c r="K2859" s="6" t="s">
        <v>24</v>
      </c>
      <c r="L2859" s="6">
        <v>50000000</v>
      </c>
      <c r="M2859" s="6">
        <v>2003</v>
      </c>
      <c r="N2859" s="6">
        <v>6.2</v>
      </c>
      <c r="O2859" s="4">
        <f ca="1">IFERROR(__xludf.DUMMYFUNCTION("IF(Cost_in_dollars!E2859=""USD"",Cost_in_dollars!B2859,Cost_in_dollars!B2859 * GOOGLEFINANCE(""CURRENCY:"" &amp; Cost_in_dollars!E2859 &amp; ""USD""))
"),50000000)</f>
        <v>50000000</v>
      </c>
      <c r="P2859" s="4">
        <f ca="1">IFERROR(__xludf.DUMMYFUNCTION("IF(Cost_in_dollars!E2859=""USD"",Cost_in_dollars!C2859,Cost_in_dollars!C2859 * GOOGLEFINANCE(""CURRENCY:"" &amp; Cost_in_dollars!E2859 &amp; ""USD""))
"),60470220)</f>
        <v>60470220</v>
      </c>
      <c r="Q2859" s="6">
        <f t="shared" ca="1" si="66"/>
        <v>10470220</v>
      </c>
      <c r="R2859" s="7" t="str">
        <f t="shared" si="67"/>
        <v>Shanghai Knights</v>
      </c>
      <c r="S2859" s="43" t="str">
        <f t="shared" si="68"/>
        <v>Action</v>
      </c>
    </row>
    <row r="2860" spans="1:19" ht="15.75" customHeight="1" x14ac:dyDescent="0.25">
      <c r="A2860" s="4" t="s">
        <v>4047</v>
      </c>
      <c r="B2860" s="4">
        <v>156</v>
      </c>
      <c r="C2860" s="4">
        <v>108012170</v>
      </c>
      <c r="D2860" s="4" t="s">
        <v>304</v>
      </c>
      <c r="E2860" s="4" t="s">
        <v>3710</v>
      </c>
      <c r="F2860" s="4" t="s">
        <v>9041</v>
      </c>
      <c r="G2860" s="4">
        <v>24089</v>
      </c>
      <c r="H2860" s="4" t="s">
        <v>9042</v>
      </c>
      <c r="I2860" s="4">
        <v>82</v>
      </c>
      <c r="J2860" s="4" t="s">
        <v>23</v>
      </c>
      <c r="K2860" s="4" t="s">
        <v>24</v>
      </c>
      <c r="L2860" s="4">
        <v>63000000</v>
      </c>
      <c r="M2860" s="4">
        <v>2011</v>
      </c>
      <c r="N2860" s="4">
        <v>5.5</v>
      </c>
      <c r="O2860" s="4">
        <f ca="1">IFERROR(__xludf.DUMMYFUNCTION("IF(Cost_in_dollars!E2860=""USD"",Cost_in_dollars!B2860,Cost_in_dollars!B2860 * GOOGLEFINANCE(""CURRENCY:"" &amp; Cost_in_dollars!E2860 &amp; ""USD""))
"),63000000)</f>
        <v>63000000</v>
      </c>
      <c r="P2860" s="4">
        <f ca="1">IFERROR(__xludf.DUMMYFUNCTION("IF(Cost_in_dollars!E2860=""USD"",Cost_in_dollars!C2860,Cost_in_dollars!C2860 * GOOGLEFINANCE(""CURRENCY:"" &amp; Cost_in_dollars!E2860 &amp; ""USD""))
"),108012170)</f>
        <v>108012170</v>
      </c>
      <c r="Q2860" s="4">
        <f t="shared" ca="1" si="66"/>
        <v>45012170</v>
      </c>
      <c r="R2860" s="5" t="str">
        <f t="shared" si="67"/>
        <v>Hop</v>
      </c>
      <c r="S2860" s="43" t="str">
        <f t="shared" si="68"/>
        <v>Adventure</v>
      </c>
    </row>
    <row r="2861" spans="1:19" ht="15.75" customHeight="1" x14ac:dyDescent="0.25">
      <c r="A2861" s="6" t="s">
        <v>8622</v>
      </c>
      <c r="B2861" s="6">
        <v>292</v>
      </c>
      <c r="C2861" s="6">
        <v>77501</v>
      </c>
      <c r="D2861" s="6" t="s">
        <v>151</v>
      </c>
      <c r="E2861" s="6" t="s">
        <v>4935</v>
      </c>
      <c r="F2861" s="6" t="s">
        <v>9043</v>
      </c>
      <c r="G2861" s="6">
        <v>27260</v>
      </c>
      <c r="H2861" s="6" t="s">
        <v>9044</v>
      </c>
      <c r="I2861" s="6">
        <v>247</v>
      </c>
      <c r="J2861" s="6" t="s">
        <v>23</v>
      </c>
      <c r="K2861" s="6" t="s">
        <v>24</v>
      </c>
      <c r="L2861" s="6">
        <v>750000</v>
      </c>
      <c r="M2861" s="6">
        <v>2011</v>
      </c>
      <c r="N2861" s="6">
        <v>5.5</v>
      </c>
      <c r="O2861" s="4">
        <f ca="1">IFERROR(__xludf.DUMMYFUNCTION("IF(Cost_in_dollars!E2861=""USD"",Cost_in_dollars!B2861,Cost_in_dollars!B2861 * GOOGLEFINANCE(""CURRENCY:"" &amp; Cost_in_dollars!E2861 &amp; ""USD""))
"),750000)</f>
        <v>750000</v>
      </c>
      <c r="P2861" s="4">
        <f ca="1">IFERROR(__xludf.DUMMYFUNCTION("IF(Cost_in_dollars!E2861=""USD"",Cost_in_dollars!C2861,Cost_in_dollars!C2861 * GOOGLEFINANCE(""CURRENCY:"" &amp; Cost_in_dollars!E2861 &amp; ""USD""))
"),77501)</f>
        <v>77501</v>
      </c>
      <c r="Q2861" s="6">
        <f t="shared" ca="1" si="66"/>
        <v>-672499</v>
      </c>
      <c r="R2861" s="7" t="str">
        <f t="shared" si="67"/>
        <v>The Innkeepers</v>
      </c>
      <c r="S2861" s="43" t="str">
        <f t="shared" si="68"/>
        <v>Horror</v>
      </c>
    </row>
    <row r="2862" spans="1:19" ht="15.75" customHeight="1" x14ac:dyDescent="0.25">
      <c r="A2862" s="4" t="s">
        <v>9045</v>
      </c>
      <c r="B2862" s="4">
        <v>184</v>
      </c>
      <c r="C2862" s="4">
        <v>47852604</v>
      </c>
      <c r="D2862" s="4" t="s">
        <v>314</v>
      </c>
      <c r="E2862" s="4" t="s">
        <v>1222</v>
      </c>
      <c r="F2862" s="4" t="s">
        <v>9046</v>
      </c>
      <c r="G2862" s="4">
        <v>62364</v>
      </c>
      <c r="H2862" s="4" t="s">
        <v>9047</v>
      </c>
      <c r="I2862" s="4">
        <v>337</v>
      </c>
      <c r="J2862" s="4" t="s">
        <v>23</v>
      </c>
      <c r="K2862" s="4" t="s">
        <v>24</v>
      </c>
      <c r="L2862" s="4">
        <v>20000000</v>
      </c>
      <c r="M2862" s="4">
        <v>2007</v>
      </c>
      <c r="N2862" s="4">
        <v>5.9</v>
      </c>
      <c r="O2862" s="4">
        <f ca="1">IFERROR(__xludf.DUMMYFUNCTION("IF(Cost_in_dollars!E2862=""USD"",Cost_in_dollars!B2862,Cost_in_dollars!B2862 * GOOGLEFINANCE(""CURRENCY:"" &amp; Cost_in_dollars!E2862 &amp; ""USD""))
"),20000000)</f>
        <v>20000000</v>
      </c>
      <c r="P2862" s="4">
        <f ca="1">IFERROR(__xludf.DUMMYFUNCTION("IF(Cost_in_dollars!E2862=""USD"",Cost_in_dollars!C2862,Cost_in_dollars!C2862 * GOOGLEFINANCE(""CURRENCY:"" &amp; Cost_in_dollars!E2862 &amp; ""USD""))
"),47852604)</f>
        <v>47852604</v>
      </c>
      <c r="Q2862" s="4">
        <f t="shared" ca="1" si="66"/>
        <v>27852604</v>
      </c>
      <c r="R2862" s="5" t="str">
        <f t="shared" si="67"/>
        <v>Premonition</v>
      </c>
      <c r="S2862" s="43" t="str">
        <f t="shared" si="68"/>
        <v>Drama</v>
      </c>
    </row>
    <row r="2863" spans="1:19" ht="15.75" customHeight="1" x14ac:dyDescent="0.25">
      <c r="A2863" s="6" t="s">
        <v>9048</v>
      </c>
      <c r="B2863" s="6">
        <v>154</v>
      </c>
      <c r="C2863" s="6">
        <v>58867694</v>
      </c>
      <c r="D2863" s="6" t="s">
        <v>9049</v>
      </c>
      <c r="E2863" s="6" t="s">
        <v>1410</v>
      </c>
      <c r="F2863" s="6" t="s">
        <v>9050</v>
      </c>
      <c r="G2863" s="6">
        <v>54077</v>
      </c>
      <c r="H2863" s="6" t="s">
        <v>9051</v>
      </c>
      <c r="I2863" s="6">
        <v>112</v>
      </c>
      <c r="J2863" s="6" t="s">
        <v>23</v>
      </c>
      <c r="K2863" s="6" t="s">
        <v>24</v>
      </c>
      <c r="L2863" s="6">
        <v>100000000</v>
      </c>
      <c r="M2863" s="6">
        <v>2007</v>
      </c>
      <c r="N2863" s="6">
        <v>6.8</v>
      </c>
      <c r="O2863" s="4">
        <f ca="1">IFERROR(__xludf.DUMMYFUNCTION("IF(Cost_in_dollars!E2863=""USD"",Cost_in_dollars!B2863,Cost_in_dollars!B2863 * GOOGLEFINANCE(""CURRENCY:"" &amp; Cost_in_dollars!E2863 &amp; ""USD""))
"),100000000)</f>
        <v>100000000</v>
      </c>
      <c r="P2863" s="4">
        <f ca="1">IFERROR(__xludf.DUMMYFUNCTION("IF(Cost_in_dollars!E2863=""USD"",Cost_in_dollars!C2863,Cost_in_dollars!C2863 * GOOGLEFINANCE(""CURRENCY:"" &amp; Cost_in_dollars!E2863 &amp; ""USD""))
"),58867694)</f>
        <v>58867694</v>
      </c>
      <c r="Q2863" s="6">
        <f t="shared" ca="1" si="66"/>
        <v>-41132306</v>
      </c>
      <c r="R2863" s="7" t="str">
        <f t="shared" si="67"/>
        <v>Surf's Up</v>
      </c>
      <c r="S2863" s="43" t="str">
        <f t="shared" si="68"/>
        <v>Animation</v>
      </c>
    </row>
    <row r="2864" spans="1:19" ht="15.75" customHeight="1" x14ac:dyDescent="0.25">
      <c r="A2864" s="4" t="s">
        <v>1419</v>
      </c>
      <c r="B2864" s="4">
        <v>130</v>
      </c>
      <c r="C2864" s="4">
        <v>43100000</v>
      </c>
      <c r="D2864" s="4" t="s">
        <v>477</v>
      </c>
      <c r="E2864" s="4" t="s">
        <v>1632</v>
      </c>
      <c r="F2864" s="4" t="s">
        <v>9052</v>
      </c>
      <c r="G2864" s="4">
        <v>75280</v>
      </c>
      <c r="H2864" s="4" t="s">
        <v>9053</v>
      </c>
      <c r="I2864" s="4">
        <v>267</v>
      </c>
      <c r="J2864" s="4" t="s">
        <v>23</v>
      </c>
      <c r="K2864" s="4" t="s">
        <v>133</v>
      </c>
      <c r="L2864" s="4">
        <v>9500000</v>
      </c>
      <c r="M2864" s="4">
        <v>1967</v>
      </c>
      <c r="N2864" s="4">
        <v>6.9</v>
      </c>
      <c r="O2864" s="4">
        <f ca="1">IFERROR(__xludf.DUMMYFUNCTION("IF(Cost_in_dollars!E2864=""USD"",Cost_in_dollars!B2864,Cost_in_dollars!B2864 * GOOGLEFINANCE(""CURRENCY:"" &amp; Cost_in_dollars!E2864 &amp; ""USD""))
"),12211299.9999999)</f>
        <v>12211299.999999899</v>
      </c>
      <c r="P2864" s="4">
        <f ca="1">IFERROR(__xludf.DUMMYFUNCTION("IF(Cost_in_dollars!E2864=""USD"",Cost_in_dollars!C2864,Cost_in_dollars!C2864 * GOOGLEFINANCE(""CURRENCY:"" &amp; Cost_in_dollars!E2864 &amp; ""USD""))
"),55400739.9999999)</f>
        <v>55400739.999999903</v>
      </c>
      <c r="Q2864" s="4">
        <f t="shared" ca="1" si="66"/>
        <v>43189440</v>
      </c>
      <c r="R2864" s="5" t="str">
        <f t="shared" si="67"/>
        <v>You Only Live Twice</v>
      </c>
      <c r="S2864" s="43" t="str">
        <f t="shared" si="68"/>
        <v>Action</v>
      </c>
    </row>
    <row r="2865" spans="1:19" ht="15.75" customHeight="1" x14ac:dyDescent="0.25">
      <c r="A2865" s="6" t="s">
        <v>3194</v>
      </c>
      <c r="B2865" s="6">
        <v>42</v>
      </c>
      <c r="C2865" s="6">
        <v>46815748</v>
      </c>
      <c r="D2865" s="6" t="s">
        <v>714</v>
      </c>
      <c r="E2865" s="6" t="s">
        <v>1954</v>
      </c>
      <c r="F2865" s="6" t="s">
        <v>9054</v>
      </c>
      <c r="G2865" s="6">
        <v>32544</v>
      </c>
      <c r="H2865" s="6" t="s">
        <v>9055</v>
      </c>
      <c r="I2865" s="6">
        <v>69</v>
      </c>
      <c r="J2865" s="6" t="s">
        <v>23</v>
      </c>
      <c r="K2865" s="6" t="s">
        <v>24</v>
      </c>
      <c r="L2865" s="6">
        <v>45000000</v>
      </c>
      <c r="M2865" s="6">
        <v>1994</v>
      </c>
      <c r="N2865" s="6">
        <v>6.3</v>
      </c>
      <c r="O2865" s="4">
        <f ca="1">IFERROR(__xludf.DUMMYFUNCTION("IF(Cost_in_dollars!E2865=""USD"",Cost_in_dollars!B2865,Cost_in_dollars!B2865 * GOOGLEFINANCE(""CURRENCY:"" &amp; Cost_in_dollars!E2865 &amp; ""USD""))
"),45000000)</f>
        <v>45000000</v>
      </c>
      <c r="P2865" s="4">
        <f ca="1">IFERROR(__xludf.DUMMYFUNCTION("IF(Cost_in_dollars!E2865=""USD"",Cost_in_dollars!C2865,Cost_in_dollars!C2865 * GOOGLEFINANCE(""CURRENCY:"" &amp; Cost_in_dollars!E2865 &amp; ""USD""))
"),46815748)</f>
        <v>46815748</v>
      </c>
      <c r="Q2865" s="6">
        <f t="shared" ca="1" si="66"/>
        <v>1815748</v>
      </c>
      <c r="R2865" s="7" t="str">
        <f t="shared" si="67"/>
        <v>The River Wild</v>
      </c>
      <c r="S2865" s="43" t="str">
        <f t="shared" si="68"/>
        <v>Action</v>
      </c>
    </row>
    <row r="2866" spans="1:19" ht="15.75" customHeight="1" x14ac:dyDescent="0.25">
      <c r="A2866" s="4" t="s">
        <v>5293</v>
      </c>
      <c r="B2866" s="4">
        <v>171</v>
      </c>
      <c r="C2866" s="4">
        <v>18317151</v>
      </c>
      <c r="D2866" s="4" t="s">
        <v>324</v>
      </c>
      <c r="E2866" s="4" t="s">
        <v>9056</v>
      </c>
      <c r="F2866" s="4" t="s">
        <v>9057</v>
      </c>
      <c r="G2866" s="4">
        <v>55630</v>
      </c>
      <c r="H2866" s="4" t="s">
        <v>9058</v>
      </c>
      <c r="I2866" s="4">
        <v>200</v>
      </c>
      <c r="J2866" s="4" t="s">
        <v>23</v>
      </c>
      <c r="K2866" s="4" t="s">
        <v>24</v>
      </c>
      <c r="L2866" s="4">
        <v>35000000</v>
      </c>
      <c r="M2866" s="4">
        <v>2007</v>
      </c>
      <c r="N2866" s="4">
        <v>6.7</v>
      </c>
      <c r="O2866" s="4">
        <f ca="1">IFERROR(__xludf.DUMMYFUNCTION("IF(Cost_in_dollars!E2866=""USD"",Cost_in_dollars!B2866,Cost_in_dollars!B2866 * GOOGLEFINANCE(""CURRENCY:"" &amp; Cost_in_dollars!E2866 &amp; ""USD""))
"),35000000)</f>
        <v>35000000</v>
      </c>
      <c r="P2866" s="4">
        <f ca="1">IFERROR(__xludf.DUMMYFUNCTION("IF(Cost_in_dollars!E2866=""USD"",Cost_in_dollars!C2866,Cost_in_dollars!C2866 * GOOGLEFINANCE(""CURRENCY:"" &amp; Cost_in_dollars!E2866 &amp; ""USD""))
"),18317151)</f>
        <v>18317151</v>
      </c>
      <c r="Q2866" s="4">
        <f t="shared" ca="1" si="66"/>
        <v>-16682849</v>
      </c>
      <c r="R2866" s="5" t="str">
        <f t="shared" si="67"/>
        <v>Walk Hard: The Dewey Cox Story</v>
      </c>
      <c r="S2866" s="43" t="str">
        <f t="shared" si="68"/>
        <v>Comedy</v>
      </c>
    </row>
    <row r="2867" spans="1:19" ht="15.75" customHeight="1" x14ac:dyDescent="0.25">
      <c r="A2867" s="6" t="s">
        <v>759</v>
      </c>
      <c r="B2867" s="6">
        <v>77</v>
      </c>
      <c r="C2867" s="6">
        <v>82569532</v>
      </c>
      <c r="D2867" s="6" t="s">
        <v>2722</v>
      </c>
      <c r="E2867" s="6" t="s">
        <v>5903</v>
      </c>
      <c r="F2867" s="6" t="s">
        <v>9059</v>
      </c>
      <c r="G2867" s="6">
        <v>42737</v>
      </c>
      <c r="H2867" s="6" t="s">
        <v>9060</v>
      </c>
      <c r="I2867" s="6">
        <v>128</v>
      </c>
      <c r="J2867" s="6" t="s">
        <v>23</v>
      </c>
      <c r="K2867" s="6" t="s">
        <v>24</v>
      </c>
      <c r="L2867" s="6">
        <v>60000000</v>
      </c>
      <c r="M2867" s="6">
        <v>2005</v>
      </c>
      <c r="N2867" s="6">
        <v>5.4</v>
      </c>
      <c r="O2867" s="4">
        <f ca="1">IFERROR(__xludf.DUMMYFUNCTION("IF(Cost_in_dollars!E2867=""USD"",Cost_in_dollars!B2867,Cost_in_dollars!B2867 * GOOGLEFINANCE(""CURRENCY:"" &amp; Cost_in_dollars!E2867 &amp; ""USD""))
"),60000000)</f>
        <v>60000000</v>
      </c>
      <c r="P2867" s="4">
        <f ca="1">IFERROR(__xludf.DUMMYFUNCTION("IF(Cost_in_dollars!E2867=""USD"",Cost_in_dollars!C2867,Cost_in_dollars!C2867 * GOOGLEFINANCE(""CURRENCY:"" &amp; Cost_in_dollars!E2867 &amp; ""USD""))
"),82569532)</f>
        <v>82569532</v>
      </c>
      <c r="Q2867" s="6">
        <f t="shared" ca="1" si="66"/>
        <v>22569532</v>
      </c>
      <c r="R2867" s="7" t="str">
        <f t="shared" si="67"/>
        <v>Cheaper by the Dozen 2</v>
      </c>
      <c r="S2867" s="43" t="str">
        <f t="shared" si="68"/>
        <v>Adventure</v>
      </c>
    </row>
    <row r="2868" spans="1:19" ht="15.75" customHeight="1" x14ac:dyDescent="0.25">
      <c r="A2868" s="4" t="s">
        <v>9061</v>
      </c>
      <c r="B2868" s="4">
        <v>45</v>
      </c>
      <c r="C2868" s="4">
        <v>100491683</v>
      </c>
      <c r="D2868" s="4" t="s">
        <v>3409</v>
      </c>
      <c r="E2868" s="4" t="s">
        <v>3025</v>
      </c>
      <c r="F2868" s="4" t="s">
        <v>9062</v>
      </c>
      <c r="G2868" s="4">
        <v>14005</v>
      </c>
      <c r="H2868" s="4" t="s">
        <v>9063</v>
      </c>
      <c r="I2868" s="4">
        <v>67</v>
      </c>
      <c r="J2868" s="4" t="s">
        <v>23</v>
      </c>
      <c r="K2868" s="4" t="s">
        <v>24</v>
      </c>
      <c r="L2868" s="4">
        <v>24000000</v>
      </c>
      <c r="M2868" s="4">
        <v>1998</v>
      </c>
      <c r="N2868" s="4">
        <v>5.9</v>
      </c>
      <c r="O2868" s="4">
        <f ca="1">IFERROR(__xludf.DUMMYFUNCTION("IF(Cost_in_dollars!E2868=""USD"",Cost_in_dollars!B2868,Cost_in_dollars!B2868 * GOOGLEFINANCE(""CURRENCY:"" &amp; Cost_in_dollars!E2868 &amp; ""USD""))
"),24000000)</f>
        <v>24000000</v>
      </c>
      <c r="P2868" s="4">
        <f ca="1">IFERROR(__xludf.DUMMYFUNCTION("IF(Cost_in_dollars!E2868=""USD"",Cost_in_dollars!C2868,Cost_in_dollars!C2868 * GOOGLEFINANCE(""CURRENCY:"" &amp; Cost_in_dollars!E2868 &amp; ""USD""))
"),100491683)</f>
        <v>100491683</v>
      </c>
      <c r="Q2868" s="4">
        <f t="shared" ca="1" si="66"/>
        <v>76491683</v>
      </c>
      <c r="R2868" s="5" t="str">
        <f t="shared" si="67"/>
        <v>The Rugrats Movie</v>
      </c>
      <c r="S2868" s="43" t="str">
        <f t="shared" si="68"/>
        <v>Adventure</v>
      </c>
    </row>
    <row r="2869" spans="1:19" ht="15.75" customHeight="1" x14ac:dyDescent="0.25">
      <c r="A2869" s="6" t="s">
        <v>5969</v>
      </c>
      <c r="B2869" s="6">
        <v>175</v>
      </c>
      <c r="C2869" s="6">
        <v>13650738</v>
      </c>
      <c r="D2869" s="6" t="s">
        <v>457</v>
      </c>
      <c r="E2869" s="6" t="s">
        <v>1916</v>
      </c>
      <c r="F2869" s="6" t="s">
        <v>9064</v>
      </c>
      <c r="G2869" s="6">
        <v>61360</v>
      </c>
      <c r="H2869" s="6" t="s">
        <v>9065</v>
      </c>
      <c r="I2869" s="6">
        <v>129</v>
      </c>
      <c r="J2869" s="6" t="s">
        <v>23</v>
      </c>
      <c r="K2869" s="6" t="s">
        <v>24</v>
      </c>
      <c r="L2869" s="6">
        <v>20000000</v>
      </c>
      <c r="M2869" s="6">
        <v>2015</v>
      </c>
      <c r="N2869" s="6">
        <v>6.6</v>
      </c>
      <c r="O2869" s="4">
        <f ca="1">IFERROR(__xludf.DUMMYFUNCTION("IF(Cost_in_dollars!E2869=""USD"",Cost_in_dollars!B2869,Cost_in_dollars!B2869 * GOOGLEFINANCE(""CURRENCY:"" &amp; Cost_in_dollars!E2869 &amp; ""USD""))
"),20000000)</f>
        <v>20000000</v>
      </c>
      <c r="P2869" s="4">
        <f ca="1">IFERROR(__xludf.DUMMYFUNCTION("IF(Cost_in_dollars!E2869=""USD"",Cost_in_dollars!C2869,Cost_in_dollars!C2869 * GOOGLEFINANCE(""CURRENCY:"" &amp; Cost_in_dollars!E2869 &amp; ""USD""))
"),13650738)</f>
        <v>13650738</v>
      </c>
      <c r="Q2869" s="6">
        <f t="shared" ca="1" si="66"/>
        <v>-6349262</v>
      </c>
      <c r="R2869" s="7" t="str">
        <f t="shared" si="67"/>
        <v>Burnt</v>
      </c>
      <c r="S2869" s="43" t="str">
        <f t="shared" si="68"/>
        <v>Comedy</v>
      </c>
    </row>
    <row r="2870" spans="1:19" ht="15.75" customHeight="1" x14ac:dyDescent="0.25">
      <c r="A2870" s="4" t="s">
        <v>429</v>
      </c>
      <c r="B2870" s="4">
        <v>137</v>
      </c>
      <c r="C2870" s="4">
        <v>106635996</v>
      </c>
      <c r="D2870" s="4" t="s">
        <v>477</v>
      </c>
      <c r="E2870" s="4" t="s">
        <v>9066</v>
      </c>
      <c r="F2870" s="4" t="s">
        <v>9067</v>
      </c>
      <c r="G2870" s="4">
        <v>199025</v>
      </c>
      <c r="H2870" s="4" t="s">
        <v>9068</v>
      </c>
      <c r="I2870" s="4">
        <v>416</v>
      </c>
      <c r="J2870" s="4" t="s">
        <v>23</v>
      </c>
      <c r="K2870" s="4" t="s">
        <v>133</v>
      </c>
      <c r="L2870" s="4">
        <v>58000000</v>
      </c>
      <c r="M2870" s="4">
        <v>1995</v>
      </c>
      <c r="N2870" s="4">
        <v>7.2</v>
      </c>
      <c r="O2870" s="4">
        <f ca="1">IFERROR(__xludf.DUMMYFUNCTION("IF(Cost_in_dollars!E2870=""USD"",Cost_in_dollars!B2870,Cost_in_dollars!B2870 * GOOGLEFINANCE(""CURRENCY:"" &amp; Cost_in_dollars!E2870 &amp; ""USD""))
"),74553200)</f>
        <v>74553200</v>
      </c>
      <c r="P2870" s="4">
        <f ca="1">IFERROR(__xludf.DUMMYFUNCTION("IF(Cost_in_dollars!E2870=""USD"",Cost_in_dollars!C2870,Cost_in_dollars!C2870 * GOOGLEFINANCE(""CURRENCY:"" &amp; Cost_in_dollars!E2870 &amp; ""USD""))
"),137069909.2584)</f>
        <v>137069909.25839999</v>
      </c>
      <c r="Q2870" s="4">
        <f t="shared" ca="1" si="66"/>
        <v>62516709.258399993</v>
      </c>
      <c r="R2870" s="5" t="str">
        <f t="shared" si="67"/>
        <v>GoldenEye</v>
      </c>
      <c r="S2870" s="43" t="str">
        <f t="shared" si="68"/>
        <v>Action</v>
      </c>
    </row>
    <row r="2871" spans="1:19" ht="15.75" customHeight="1" x14ac:dyDescent="0.25">
      <c r="A2871" s="6" t="s">
        <v>9069</v>
      </c>
      <c r="B2871" s="6">
        <v>207</v>
      </c>
      <c r="C2871" s="6">
        <v>31597131</v>
      </c>
      <c r="D2871" s="6" t="s">
        <v>372</v>
      </c>
      <c r="E2871" s="6" t="s">
        <v>676</v>
      </c>
      <c r="F2871" s="6" t="s">
        <v>9070</v>
      </c>
      <c r="G2871" s="6">
        <v>97938</v>
      </c>
      <c r="H2871" s="6" t="s">
        <v>9071</v>
      </c>
      <c r="I2871" s="6">
        <v>605</v>
      </c>
      <c r="J2871" s="6" t="s">
        <v>23</v>
      </c>
      <c r="K2871" s="6" t="s">
        <v>24</v>
      </c>
      <c r="L2871" s="6">
        <v>12000000</v>
      </c>
      <c r="M2871" s="6">
        <v>2002</v>
      </c>
      <c r="N2871" s="6">
        <v>6.8</v>
      </c>
      <c r="O2871" s="4">
        <f ca="1">IFERROR(__xludf.DUMMYFUNCTION("IF(Cost_in_dollars!E2871=""USD"",Cost_in_dollars!B2871,Cost_in_dollars!B2871 * GOOGLEFINANCE(""CURRENCY:"" &amp; Cost_in_dollars!E2871 &amp; ""USD""))
"),12000000)</f>
        <v>12000000</v>
      </c>
      <c r="P2871" s="4">
        <f ca="1">IFERROR(__xludf.DUMMYFUNCTION("IF(Cost_in_dollars!E2871=""USD"",Cost_in_dollars!C2871,Cost_in_dollars!C2871 * GOOGLEFINANCE(""CURRENCY:"" &amp; Cost_in_dollars!E2871 &amp; ""USD""))
"),31597131)</f>
        <v>31597131</v>
      </c>
      <c r="Q2871" s="6">
        <f t="shared" ca="1" si="66"/>
        <v>19597131</v>
      </c>
      <c r="R2871" s="7" t="str">
        <f t="shared" si="67"/>
        <v>One Hour Photo</v>
      </c>
      <c r="S2871" s="43" t="str">
        <f t="shared" si="68"/>
        <v>Drama</v>
      </c>
    </row>
    <row r="2872" spans="1:19" ht="15.75" customHeight="1" x14ac:dyDescent="0.25">
      <c r="A2872" s="4" t="s">
        <v>2242</v>
      </c>
      <c r="B2872" s="4">
        <v>79</v>
      </c>
      <c r="C2872" s="4">
        <v>32940507</v>
      </c>
      <c r="D2872" s="4" t="s">
        <v>504</v>
      </c>
      <c r="E2872" s="4" t="s">
        <v>54</v>
      </c>
      <c r="F2872" s="4" t="s">
        <v>9072</v>
      </c>
      <c r="G2872" s="4">
        <v>54314</v>
      </c>
      <c r="H2872" s="4" t="s">
        <v>9073</v>
      </c>
      <c r="I2872" s="4">
        <v>127</v>
      </c>
      <c r="J2872" s="4" t="s">
        <v>23</v>
      </c>
      <c r="K2872" s="4" t="s">
        <v>24</v>
      </c>
      <c r="L2872" s="4">
        <v>60000000</v>
      </c>
      <c r="M2872" s="4">
        <v>1998</v>
      </c>
      <c r="N2872" s="4">
        <v>6.1</v>
      </c>
      <c r="O2872" s="4">
        <f ca="1">IFERROR(__xludf.DUMMYFUNCTION("IF(Cost_in_dollars!E2872=""USD"",Cost_in_dollars!B2872,Cost_in_dollars!B2872 * GOOGLEFINANCE(""CURRENCY:"" &amp; Cost_in_dollars!E2872 &amp; ""USD""))
"),60000000)</f>
        <v>60000000</v>
      </c>
      <c r="P2872" s="4">
        <f ca="1">IFERROR(__xludf.DUMMYFUNCTION("IF(Cost_in_dollars!E2872=""USD"",Cost_in_dollars!C2872,Cost_in_dollars!C2872 * GOOGLEFINANCE(""CURRENCY:"" &amp; Cost_in_dollars!E2872 &amp; ""USD""))
"),32940507)</f>
        <v>32940507</v>
      </c>
      <c r="Q2872" s="4">
        <f t="shared" ca="1" si="66"/>
        <v>-27059493</v>
      </c>
      <c r="R2872" s="5" t="str">
        <f t="shared" si="67"/>
        <v>Mercury Rising</v>
      </c>
      <c r="S2872" s="43" t="str">
        <f t="shared" si="68"/>
        <v>Action</v>
      </c>
    </row>
    <row r="2873" spans="1:19" ht="15.75" customHeight="1" x14ac:dyDescent="0.25">
      <c r="A2873" s="6" t="s">
        <v>3433</v>
      </c>
      <c r="B2873" s="6">
        <v>271</v>
      </c>
      <c r="C2873" s="6">
        <v>4007792</v>
      </c>
      <c r="D2873" s="6" t="s">
        <v>162</v>
      </c>
      <c r="E2873" s="6" t="s">
        <v>4752</v>
      </c>
      <c r="F2873" s="6" t="s">
        <v>9074</v>
      </c>
      <c r="G2873" s="6">
        <v>101287</v>
      </c>
      <c r="H2873" s="6" t="s">
        <v>9075</v>
      </c>
      <c r="I2873" s="6">
        <v>260</v>
      </c>
      <c r="J2873" s="6" t="s">
        <v>23</v>
      </c>
      <c r="K2873" s="6" t="s">
        <v>24</v>
      </c>
      <c r="L2873" s="6">
        <v>750000</v>
      </c>
      <c r="M2873" s="6">
        <v>2012</v>
      </c>
      <c r="N2873" s="6">
        <v>7</v>
      </c>
      <c r="O2873" s="4">
        <f ca="1">IFERROR(__xludf.DUMMYFUNCTION("IF(Cost_in_dollars!E2873=""USD"",Cost_in_dollars!B2873,Cost_in_dollars!B2873 * GOOGLEFINANCE(""CURRENCY:"" &amp; Cost_in_dollars!E2873 &amp; ""USD""))
"),750000)</f>
        <v>750000</v>
      </c>
      <c r="P2873" s="4">
        <f ca="1">IFERROR(__xludf.DUMMYFUNCTION("IF(Cost_in_dollars!E2873=""USD"",Cost_in_dollars!C2873,Cost_in_dollars!C2873 * GOOGLEFINANCE(""CURRENCY:"" &amp; Cost_in_dollars!E2873 &amp; ""USD""))
"),4007792)</f>
        <v>4007792</v>
      </c>
      <c r="Q2873" s="6">
        <f t="shared" ca="1" si="66"/>
        <v>3257792</v>
      </c>
      <c r="R2873" s="7" t="str">
        <f t="shared" si="67"/>
        <v>Safety Not Guaranteed</v>
      </c>
      <c r="S2873" s="43" t="str">
        <f t="shared" si="68"/>
        <v>Comedy</v>
      </c>
    </row>
    <row r="2874" spans="1:19" ht="15.75" customHeight="1" x14ac:dyDescent="0.25">
      <c r="A2874" s="4" t="s">
        <v>7402</v>
      </c>
      <c r="B2874" s="4">
        <v>358</v>
      </c>
      <c r="C2874" s="4">
        <v>50815288</v>
      </c>
      <c r="D2874" s="4" t="s">
        <v>372</v>
      </c>
      <c r="E2874" s="4" t="s">
        <v>588</v>
      </c>
      <c r="F2874" s="4" t="s">
        <v>7403</v>
      </c>
      <c r="G2874" s="4">
        <v>109191</v>
      </c>
      <c r="H2874" s="4" t="s">
        <v>7404</v>
      </c>
      <c r="I2874" s="4">
        <v>625</v>
      </c>
      <c r="J2874" s="4" t="s">
        <v>23</v>
      </c>
      <c r="K2874" s="4" t="s">
        <v>24</v>
      </c>
      <c r="L2874" s="4">
        <v>50000000</v>
      </c>
      <c r="M2874" s="4">
        <v>2005</v>
      </c>
      <c r="N2874" s="4">
        <v>7</v>
      </c>
      <c r="O2874" s="4">
        <f ca="1">IFERROR(__xludf.DUMMYFUNCTION("IF(Cost_in_dollars!E2874=""USD"",Cost_in_dollars!B2874,Cost_in_dollars!B2874 * GOOGLEFINANCE(""CURRENCY:"" &amp; Cost_in_dollars!E2874 &amp; ""USD""))
"),50000000)</f>
        <v>50000000</v>
      </c>
      <c r="P2874" s="4">
        <f ca="1">IFERROR(__xludf.DUMMYFUNCTION("IF(Cost_in_dollars!E2874=""USD"",Cost_in_dollars!C2874,Cost_in_dollars!C2874 * GOOGLEFINANCE(""CURRENCY:"" &amp; Cost_in_dollars!E2874 &amp; ""USD""))
"),50815288)</f>
        <v>50815288</v>
      </c>
      <c r="Q2874" s="4">
        <f t="shared" ca="1" si="66"/>
        <v>815288</v>
      </c>
      <c r="R2874" s="5" t="str">
        <f t="shared" si="67"/>
        <v>Syriana</v>
      </c>
      <c r="S2874" s="43" t="str">
        <f t="shared" si="68"/>
        <v>Drama</v>
      </c>
    </row>
    <row r="2875" spans="1:19" ht="15.75" customHeight="1" x14ac:dyDescent="0.25">
      <c r="A2875" s="6" t="s">
        <v>4026</v>
      </c>
      <c r="B2875" s="6">
        <v>93</v>
      </c>
      <c r="C2875" s="6">
        <v>37486138</v>
      </c>
      <c r="D2875" s="6" t="s">
        <v>162</v>
      </c>
      <c r="E2875" s="6" t="s">
        <v>9076</v>
      </c>
      <c r="F2875" s="6" t="s">
        <v>9077</v>
      </c>
      <c r="G2875" s="6">
        <v>30890</v>
      </c>
      <c r="H2875" s="6" t="s">
        <v>9078</v>
      </c>
      <c r="I2875" s="6">
        <v>106</v>
      </c>
      <c r="J2875" s="6" t="s">
        <v>23</v>
      </c>
      <c r="K2875" s="6" t="s">
        <v>24</v>
      </c>
      <c r="L2875" s="6">
        <v>50000000</v>
      </c>
      <c r="M2875" s="6">
        <v>2004</v>
      </c>
      <c r="N2875" s="6">
        <v>6</v>
      </c>
      <c r="O2875" s="4">
        <f ca="1">IFERROR(__xludf.DUMMYFUNCTION("IF(Cost_in_dollars!E2875=""USD"",Cost_in_dollars!B2875,Cost_in_dollars!B2875 * GOOGLEFINANCE(""CURRENCY:"" &amp; Cost_in_dollars!E2875 &amp; ""USD""))
"),50000000)</f>
        <v>50000000</v>
      </c>
      <c r="P2875" s="4">
        <f ca="1">IFERROR(__xludf.DUMMYFUNCTION("IF(Cost_in_dollars!E2875=""USD"",Cost_in_dollars!C2875,Cost_in_dollars!C2875 * GOOGLEFINANCE(""CURRENCY:"" &amp; Cost_in_dollars!E2875 &amp; ""USD""))
"),37486138)</f>
        <v>37486138</v>
      </c>
      <c r="Q2875" s="6">
        <f t="shared" ca="1" si="66"/>
        <v>-12513862</v>
      </c>
      <c r="R2875" s="7" t="str">
        <f t="shared" si="67"/>
        <v>Raising Helen</v>
      </c>
      <c r="S2875" s="43" t="str">
        <f t="shared" si="68"/>
        <v>Comedy</v>
      </c>
    </row>
    <row r="2876" spans="1:19" ht="15.75" customHeight="1" x14ac:dyDescent="0.25">
      <c r="A2876" s="4" t="s">
        <v>1435</v>
      </c>
      <c r="B2876" s="4">
        <v>210</v>
      </c>
      <c r="C2876" s="4">
        <v>55473600</v>
      </c>
      <c r="D2876" s="4" t="s">
        <v>2429</v>
      </c>
      <c r="E2876" s="4" t="s">
        <v>6442</v>
      </c>
      <c r="F2876" s="4" t="s">
        <v>9079</v>
      </c>
      <c r="G2876" s="4">
        <v>207686</v>
      </c>
      <c r="H2876" s="4" t="s">
        <v>9080</v>
      </c>
      <c r="I2876" s="4">
        <v>776</v>
      </c>
      <c r="J2876" s="4" t="s">
        <v>23</v>
      </c>
      <c r="K2876" s="4" t="s">
        <v>24</v>
      </c>
      <c r="L2876" s="4">
        <v>50000000</v>
      </c>
      <c r="M2876" s="4">
        <v>1992</v>
      </c>
      <c r="N2876" s="4">
        <v>6.4</v>
      </c>
      <c r="O2876" s="4">
        <f ca="1">IFERROR(__xludf.DUMMYFUNCTION("IF(Cost_in_dollars!E2876=""USD"",Cost_in_dollars!B2876,Cost_in_dollars!B2876 * GOOGLEFINANCE(""CURRENCY:"" &amp; Cost_in_dollars!E2876 &amp; ""USD""))
"),50000000)</f>
        <v>50000000</v>
      </c>
      <c r="P2876" s="4">
        <f ca="1">IFERROR(__xludf.DUMMYFUNCTION("IF(Cost_in_dollars!E2876=""USD"",Cost_in_dollars!C2876,Cost_in_dollars!C2876 * GOOGLEFINANCE(""CURRENCY:"" &amp; Cost_in_dollars!E2876 &amp; ""USD""))
"),55473600)</f>
        <v>55473600</v>
      </c>
      <c r="Q2876" s="4">
        <f t="shared" ca="1" si="66"/>
        <v>5473600</v>
      </c>
      <c r="R2876" s="5" t="str">
        <f t="shared" si="67"/>
        <v>Alien 3</v>
      </c>
      <c r="S2876" s="43" t="str">
        <f t="shared" si="68"/>
        <v>Action</v>
      </c>
    </row>
    <row r="2877" spans="1:19" ht="15.75" customHeight="1" x14ac:dyDescent="0.25">
      <c r="A2877" s="6" t="s">
        <v>1819</v>
      </c>
      <c r="B2877" s="6">
        <v>141</v>
      </c>
      <c r="C2877" s="6">
        <v>63695760</v>
      </c>
      <c r="D2877" s="6" t="s">
        <v>102</v>
      </c>
      <c r="E2877" s="6" t="s">
        <v>536</v>
      </c>
      <c r="F2877" s="6" t="s">
        <v>9081</v>
      </c>
      <c r="G2877" s="6">
        <v>61490</v>
      </c>
      <c r="H2877" s="6" t="s">
        <v>9082</v>
      </c>
      <c r="I2877" s="6">
        <v>264</v>
      </c>
      <c r="J2877" s="6" t="s">
        <v>23</v>
      </c>
      <c r="K2877" s="6" t="s">
        <v>24</v>
      </c>
      <c r="L2877" s="6">
        <v>65000000</v>
      </c>
      <c r="M2877" s="6">
        <v>2003</v>
      </c>
      <c r="N2877" s="6">
        <v>6.4</v>
      </c>
      <c r="O2877" s="4">
        <f ca="1">IFERROR(__xludf.DUMMYFUNCTION("IF(Cost_in_dollars!E2877=""USD"",Cost_in_dollars!B2877,Cost_in_dollars!B2877 * GOOGLEFINANCE(""CURRENCY:"" &amp; Cost_in_dollars!E2877 &amp; ""USD""))
"),65000000)</f>
        <v>65000000</v>
      </c>
      <c r="P2877" s="4">
        <f ca="1">IFERROR(__xludf.DUMMYFUNCTION("IF(Cost_in_dollars!E2877=""USD"",Cost_in_dollars!C2877,Cost_in_dollars!C2877 * GOOGLEFINANCE(""CURRENCY:"" &amp; Cost_in_dollars!E2877 &amp; ""USD""))
"),63695760)</f>
        <v>63695760</v>
      </c>
      <c r="Q2877" s="6">
        <f t="shared" ca="1" si="66"/>
        <v>-1304240</v>
      </c>
      <c r="R2877" s="7" t="str">
        <f t="shared" si="67"/>
        <v>Mona Lisa Smile</v>
      </c>
      <c r="S2877" s="43" t="str">
        <f t="shared" si="68"/>
        <v>Drama</v>
      </c>
    </row>
    <row r="2878" spans="1:19" ht="15.75" customHeight="1" x14ac:dyDescent="0.25">
      <c r="A2878" s="4" t="s">
        <v>6361</v>
      </c>
      <c r="B2878" s="4">
        <v>127</v>
      </c>
      <c r="C2878" s="4">
        <v>1987287</v>
      </c>
      <c r="D2878" s="4" t="s">
        <v>53</v>
      </c>
      <c r="E2878" s="4" t="s">
        <v>9083</v>
      </c>
      <c r="F2878" s="4" t="s">
        <v>9084</v>
      </c>
      <c r="G2878" s="4">
        <v>25474</v>
      </c>
      <c r="H2878" s="4" t="s">
        <v>9085</v>
      </c>
      <c r="I2878" s="4">
        <v>138</v>
      </c>
      <c r="J2878" s="4" t="s">
        <v>23</v>
      </c>
      <c r="K2878" s="4" t="s">
        <v>133</v>
      </c>
      <c r="L2878" s="4">
        <v>50000000</v>
      </c>
      <c r="M2878" s="4">
        <v>2005</v>
      </c>
      <c r="N2878" s="4">
        <v>6.9</v>
      </c>
      <c r="O2878" s="4">
        <f ca="1">IFERROR(__xludf.DUMMYFUNCTION("IF(Cost_in_dollars!E2878=""USD"",Cost_in_dollars!B2878,Cost_in_dollars!B2878 * GOOGLEFINANCE(""CURRENCY:"" &amp; Cost_in_dollars!E2878 &amp; ""USD""))
"),64269999.9999999)</f>
        <v>64269999.999999903</v>
      </c>
      <c r="P2878" s="4">
        <f ca="1">IFERROR(__xludf.DUMMYFUNCTION("IF(Cost_in_dollars!E2878=""USD"",Cost_in_dollars!C2878,Cost_in_dollars!C2878 * GOOGLEFINANCE(""CURRENCY:"" &amp; Cost_in_dollars!E2878 &amp; ""USD""))
"),2554458.7098)</f>
        <v>2554458.7097999998</v>
      </c>
      <c r="Q2878" s="4">
        <f t="shared" ca="1" si="66"/>
        <v>-61715541.290199906</v>
      </c>
      <c r="R2878" s="5" t="str">
        <f t="shared" si="67"/>
        <v>Oliver Twist</v>
      </c>
      <c r="S2878" s="43" t="str">
        <f t="shared" si="68"/>
        <v>Crime</v>
      </c>
    </row>
    <row r="2879" spans="1:19" ht="15.75" customHeight="1" x14ac:dyDescent="0.25">
      <c r="A2879" s="6" t="s">
        <v>755</v>
      </c>
      <c r="B2879" s="6">
        <v>59</v>
      </c>
      <c r="C2879" s="6">
        <v>65012000</v>
      </c>
      <c r="D2879" s="6" t="s">
        <v>4237</v>
      </c>
      <c r="E2879" s="6" t="s">
        <v>5595</v>
      </c>
      <c r="F2879" s="6" t="s">
        <v>9086</v>
      </c>
      <c r="G2879" s="6">
        <v>43559</v>
      </c>
      <c r="H2879" s="6" t="s">
        <v>9087</v>
      </c>
      <c r="I2879" s="6">
        <v>137</v>
      </c>
      <c r="J2879" s="6" t="s">
        <v>23</v>
      </c>
      <c r="K2879" s="6" t="s">
        <v>24</v>
      </c>
      <c r="L2879" s="6">
        <v>70000000</v>
      </c>
      <c r="M2879" s="6">
        <v>1994</v>
      </c>
      <c r="N2879" s="6">
        <v>6.2</v>
      </c>
      <c r="O2879" s="4">
        <f ca="1">IFERROR(__xludf.DUMMYFUNCTION("IF(Cost_in_dollars!E2879=""USD"",Cost_in_dollars!B2879,Cost_in_dollars!B2879 * GOOGLEFINANCE(""CURRENCY:"" &amp; Cost_in_dollars!E2879 &amp; ""USD""))
"),70000000)</f>
        <v>70000000</v>
      </c>
      <c r="P2879" s="4">
        <f ca="1">IFERROR(__xludf.DUMMYFUNCTION("IF(Cost_in_dollars!E2879=""USD"",Cost_in_dollars!C2879,Cost_in_dollars!C2879 * GOOGLEFINANCE(""CURRENCY:"" &amp; Cost_in_dollars!E2879 &amp; ""USD""))
"),65012000)</f>
        <v>65012000</v>
      </c>
      <c r="Q2879" s="6">
        <f t="shared" ca="1" si="66"/>
        <v>-4988000</v>
      </c>
      <c r="R2879" s="7" t="str">
        <f t="shared" si="67"/>
        <v>Wolf</v>
      </c>
      <c r="S2879" s="43" t="str">
        <f t="shared" si="68"/>
        <v>Drama</v>
      </c>
    </row>
    <row r="2880" spans="1:19" ht="15.75" customHeight="1" x14ac:dyDescent="0.25">
      <c r="A2880" s="4" t="s">
        <v>9088</v>
      </c>
      <c r="B2880" s="4">
        <v>106</v>
      </c>
      <c r="C2880" s="4">
        <v>24044532</v>
      </c>
      <c r="D2880" s="4" t="s">
        <v>235</v>
      </c>
      <c r="E2880" s="4" t="s">
        <v>9089</v>
      </c>
      <c r="F2880" s="4" t="s">
        <v>9090</v>
      </c>
      <c r="G2880" s="4">
        <v>19686</v>
      </c>
      <c r="H2880" s="4" t="s">
        <v>9091</v>
      </c>
      <c r="I2880" s="4">
        <v>180</v>
      </c>
      <c r="J2880" s="4" t="s">
        <v>23</v>
      </c>
      <c r="K2880" s="4" t="s">
        <v>24</v>
      </c>
      <c r="L2880" s="4">
        <v>38000000</v>
      </c>
      <c r="M2880" s="4">
        <v>2001</v>
      </c>
      <c r="N2880" s="4">
        <v>5.6</v>
      </c>
      <c r="O2880" s="4">
        <f ca="1">IFERROR(__xludf.DUMMYFUNCTION("IF(Cost_in_dollars!E2880=""USD"",Cost_in_dollars!B2880,Cost_in_dollars!B2880 * GOOGLEFINANCE(""CURRENCY:"" &amp; Cost_in_dollars!E2880 &amp; ""USD""))
"),38000000)</f>
        <v>38000000</v>
      </c>
      <c r="P2880" s="4">
        <f ca="1">IFERROR(__xludf.DUMMYFUNCTION("IF(Cost_in_dollars!E2880=""USD"",Cost_in_dollars!C2880,Cost_in_dollars!C2880 * GOOGLEFINANCE(""CURRENCY:"" &amp; Cost_in_dollars!E2880 &amp; ""USD""))
"),24044532)</f>
        <v>24044532</v>
      </c>
      <c r="Q2880" s="4">
        <f t="shared" ca="1" si="66"/>
        <v>-13955468</v>
      </c>
      <c r="R2880" s="5" t="str">
        <f t="shared" si="67"/>
        <v>Angel Eyes</v>
      </c>
      <c r="S2880" s="43" t="str">
        <f t="shared" si="68"/>
        <v>Drama</v>
      </c>
    </row>
    <row r="2881" spans="1:19" ht="15.75" customHeight="1" x14ac:dyDescent="0.25">
      <c r="A2881" s="6" t="s">
        <v>9092</v>
      </c>
      <c r="B2881" s="6">
        <v>56</v>
      </c>
      <c r="C2881" s="6">
        <v>1521</v>
      </c>
      <c r="D2881" s="6" t="s">
        <v>367</v>
      </c>
      <c r="E2881" s="6" t="s">
        <v>7972</v>
      </c>
      <c r="F2881" s="6" t="s">
        <v>9093</v>
      </c>
      <c r="G2881" s="6">
        <v>1231</v>
      </c>
      <c r="H2881" s="6" t="s">
        <v>9094</v>
      </c>
      <c r="I2881" s="6">
        <v>10</v>
      </c>
      <c r="J2881" s="6" t="s">
        <v>23</v>
      </c>
      <c r="K2881" s="6" t="s">
        <v>627</v>
      </c>
      <c r="L2881" s="6">
        <v>1500000</v>
      </c>
      <c r="M2881" s="6">
        <v>2012</v>
      </c>
      <c r="N2881" s="6">
        <v>5.7</v>
      </c>
      <c r="O2881" s="4">
        <f ca="1">IFERROR(__xludf.DUMMYFUNCTION("IF(Cost_in_dollars!E2881=""USD"",Cost_in_dollars!B2881,Cost_in_dollars!B2881 * GOOGLEFINANCE(""CURRENCY:"" &amp; Cost_in_dollars!E2881 &amp; ""USD""))
"),1085107.5)</f>
        <v>1085107.5</v>
      </c>
      <c r="P2881" s="4">
        <f ca="1">IFERROR(__xludf.DUMMYFUNCTION("IF(Cost_in_dollars!E2881=""USD"",Cost_in_dollars!C2881,Cost_in_dollars!C2881 * GOOGLEFINANCE(""CURRENCY:"" &amp; Cost_in_dollars!E2881 &amp; ""USD""))
"),1100.29900499999)</f>
        <v>1100.2990049999901</v>
      </c>
      <c r="Q2881" s="6">
        <f t="shared" ca="1" si="66"/>
        <v>-1084007.2009950001</v>
      </c>
      <c r="R2881" s="7" t="str">
        <f t="shared" si="67"/>
        <v>Eddie: The Sleepwalking Cannibal</v>
      </c>
      <c r="S2881" s="43" t="str">
        <f t="shared" si="68"/>
        <v>Comedy</v>
      </c>
    </row>
    <row r="2882" spans="1:19" ht="15.75" customHeight="1" x14ac:dyDescent="0.25">
      <c r="A2882" s="4" t="s">
        <v>9095</v>
      </c>
      <c r="B2882" s="4">
        <v>130</v>
      </c>
      <c r="C2882" s="4">
        <v>14334645</v>
      </c>
      <c r="D2882" s="4" t="s">
        <v>2336</v>
      </c>
      <c r="E2882" s="4" t="s">
        <v>886</v>
      </c>
      <c r="F2882" s="4" t="s">
        <v>9096</v>
      </c>
      <c r="G2882" s="4">
        <v>22449</v>
      </c>
      <c r="H2882" s="4" t="s">
        <v>9097</v>
      </c>
      <c r="I2882" s="4">
        <v>191</v>
      </c>
      <c r="J2882" s="4" t="s">
        <v>23</v>
      </c>
      <c r="K2882" s="4" t="s">
        <v>24</v>
      </c>
      <c r="L2882" s="4">
        <v>25000000</v>
      </c>
      <c r="M2882" s="4">
        <v>2004</v>
      </c>
      <c r="N2882" s="4">
        <v>4.8</v>
      </c>
      <c r="O2882" s="4">
        <f ca="1">IFERROR(__xludf.DUMMYFUNCTION("IF(Cost_in_dollars!E2882=""USD"",Cost_in_dollars!B2882,Cost_in_dollars!B2882 * GOOGLEFINANCE(""CURRENCY:"" &amp; Cost_in_dollars!E2882 &amp; ""USD""))
"),25000000)</f>
        <v>25000000</v>
      </c>
      <c r="P2882" s="4">
        <f ca="1">IFERROR(__xludf.DUMMYFUNCTION("IF(Cost_in_dollars!E2882=""USD"",Cost_in_dollars!C2882,Cost_in_dollars!C2882 * GOOGLEFINANCE(""CURRENCY:"" &amp; Cost_in_dollars!E2882 &amp; ""USD""))
"),14334645)</f>
        <v>14334645</v>
      </c>
      <c r="Q2882" s="4">
        <f t="shared" ca="1" si="66"/>
        <v>-10665355</v>
      </c>
      <c r="R2882" s="5" t="str">
        <f t="shared" si="67"/>
        <v>Godsend</v>
      </c>
      <c r="S2882" s="43" t="str">
        <f t="shared" ref="S2882:S2945" si="69">IF(ISNUMBER(FIND("|", D2882)), LEFT(D2882, FIND("|", D2882) - 1), D2882)</f>
        <v>Drama</v>
      </c>
    </row>
    <row r="2883" spans="1:19" ht="15.75" customHeight="1" x14ac:dyDescent="0.25">
      <c r="A2883" s="6" t="s">
        <v>9098</v>
      </c>
      <c r="B2883" s="6">
        <v>94</v>
      </c>
      <c r="C2883" s="6">
        <v>2436</v>
      </c>
      <c r="D2883" s="6" t="s">
        <v>9099</v>
      </c>
      <c r="E2883" s="6" t="s">
        <v>9100</v>
      </c>
      <c r="F2883" s="6" t="s">
        <v>9101</v>
      </c>
      <c r="G2883" s="6">
        <v>344</v>
      </c>
      <c r="H2883" s="6" t="s">
        <v>9102</v>
      </c>
      <c r="I2883" s="6">
        <v>19</v>
      </c>
      <c r="J2883" s="6" t="s">
        <v>23</v>
      </c>
      <c r="K2883" s="6" t="s">
        <v>24</v>
      </c>
      <c r="L2883" s="6">
        <v>2000000</v>
      </c>
      <c r="M2883" s="6">
        <v>2012</v>
      </c>
      <c r="N2883" s="6">
        <v>5.7</v>
      </c>
      <c r="O2883" s="4">
        <f ca="1">IFERROR(__xludf.DUMMYFUNCTION("IF(Cost_in_dollars!E2883=""USD"",Cost_in_dollars!B2883,Cost_in_dollars!B2883 * GOOGLEFINANCE(""CURRENCY:"" &amp; Cost_in_dollars!E2883 &amp; ""USD""))
"),2000000)</f>
        <v>2000000</v>
      </c>
      <c r="P2883" s="4">
        <f ca="1">IFERROR(__xludf.DUMMYFUNCTION("IF(Cost_in_dollars!E2883=""USD"",Cost_in_dollars!C2883,Cost_in_dollars!C2883 * GOOGLEFINANCE(""CURRENCY:"" &amp; Cost_in_dollars!E2883 &amp; ""USD""))
"),2436)</f>
        <v>2436</v>
      </c>
      <c r="Q2883" s="6">
        <f t="shared" ca="1" si="66"/>
        <v>-1997564</v>
      </c>
      <c r="R2883" s="7" t="str">
        <f t="shared" si="67"/>
        <v>The Ghastly Love of Johnny X</v>
      </c>
      <c r="S2883" s="43" t="str">
        <f t="shared" si="69"/>
        <v>Comedy</v>
      </c>
    </row>
    <row r="2884" spans="1:19" ht="15.75" customHeight="1" x14ac:dyDescent="0.25">
      <c r="A2884" s="4" t="s">
        <v>345</v>
      </c>
      <c r="B2884" s="4">
        <v>118</v>
      </c>
      <c r="C2884" s="4">
        <v>57887882</v>
      </c>
      <c r="D2884" s="4" t="s">
        <v>162</v>
      </c>
      <c r="E2884" s="4" t="s">
        <v>9103</v>
      </c>
      <c r="F2884" s="4" t="s">
        <v>9104</v>
      </c>
      <c r="G2884" s="4">
        <v>35508</v>
      </c>
      <c r="H2884" s="4" t="s">
        <v>9105</v>
      </c>
      <c r="I2884" s="4">
        <v>211</v>
      </c>
      <c r="J2884" s="4" t="s">
        <v>23</v>
      </c>
      <c r="K2884" s="4" t="s">
        <v>24</v>
      </c>
      <c r="L2884" s="4">
        <v>50000000</v>
      </c>
      <c r="M2884" s="4">
        <v>2004</v>
      </c>
      <c r="N2884" s="4">
        <v>6.1</v>
      </c>
      <c r="O2884" s="4">
        <f ca="1">IFERROR(__xludf.DUMMYFUNCTION("IF(Cost_in_dollars!E2884=""USD"",Cost_in_dollars!B2884,Cost_in_dollars!B2884 * GOOGLEFINANCE(""CURRENCY:"" &amp; Cost_in_dollars!E2884 &amp; ""USD""))
"),50000000)</f>
        <v>50000000</v>
      </c>
      <c r="P2884" s="4">
        <f ca="1">IFERROR(__xludf.DUMMYFUNCTION("IF(Cost_in_dollars!E2884=""USD"",Cost_in_dollars!C2884,Cost_in_dollars!C2884 * GOOGLEFINANCE(""CURRENCY:"" &amp; Cost_in_dollars!E2884 &amp; ""USD""))
"),57887882)</f>
        <v>57887882</v>
      </c>
      <c r="Q2884" s="4">
        <f t="shared" ca="1" si="66"/>
        <v>7887882</v>
      </c>
      <c r="R2884" s="5" t="str">
        <f t="shared" si="67"/>
        <v>Shall We Dance</v>
      </c>
      <c r="S2884" s="43" t="str">
        <f t="shared" si="69"/>
        <v>Comedy</v>
      </c>
    </row>
    <row r="2885" spans="1:19" ht="15.75" customHeight="1" x14ac:dyDescent="0.25">
      <c r="A2885" s="6" t="s">
        <v>1667</v>
      </c>
      <c r="B2885" s="6">
        <v>297</v>
      </c>
      <c r="C2885" s="6">
        <v>13782838</v>
      </c>
      <c r="D2885" s="6" t="s">
        <v>727</v>
      </c>
      <c r="E2885" s="6" t="s">
        <v>697</v>
      </c>
      <c r="F2885" s="6" t="s">
        <v>9106</v>
      </c>
      <c r="G2885" s="6">
        <v>258078</v>
      </c>
      <c r="H2885" s="6" t="s">
        <v>9107</v>
      </c>
      <c r="I2885" s="6">
        <v>911</v>
      </c>
      <c r="J2885" s="6" t="s">
        <v>23</v>
      </c>
      <c r="K2885" s="6" t="s">
        <v>24</v>
      </c>
      <c r="L2885" s="6">
        <v>15000000</v>
      </c>
      <c r="M2885" s="6">
        <v>1982</v>
      </c>
      <c r="N2885" s="6">
        <v>8.1999999999999993</v>
      </c>
      <c r="O2885" s="4">
        <f ca="1">IFERROR(__xludf.DUMMYFUNCTION("IF(Cost_in_dollars!E2885=""USD"",Cost_in_dollars!B2885,Cost_in_dollars!B2885 * GOOGLEFINANCE(""CURRENCY:"" &amp; Cost_in_dollars!E2885 &amp; ""USD""))
"),15000000)</f>
        <v>15000000</v>
      </c>
      <c r="P2885" s="4">
        <f ca="1">IFERROR(__xludf.DUMMYFUNCTION("IF(Cost_in_dollars!E2885=""USD"",Cost_in_dollars!C2885,Cost_in_dollars!C2885 * GOOGLEFINANCE(""CURRENCY:"" &amp; Cost_in_dollars!E2885 &amp; ""USD""))
"),13782838)</f>
        <v>13782838</v>
      </c>
      <c r="Q2885" s="6">
        <f t="shared" ca="1" si="66"/>
        <v>-1217162</v>
      </c>
      <c r="R2885" s="7" t="str">
        <f t="shared" si="67"/>
        <v>The Thing</v>
      </c>
      <c r="S2885" s="43" t="str">
        <f t="shared" si="69"/>
        <v>Horror</v>
      </c>
    </row>
    <row r="2886" spans="1:19" ht="15.75" customHeight="1" x14ac:dyDescent="0.25">
      <c r="A2886" s="4" t="s">
        <v>4213</v>
      </c>
      <c r="B2886" s="4">
        <v>62</v>
      </c>
      <c r="C2886" s="4">
        <v>38553833</v>
      </c>
      <c r="D2886" s="4" t="s">
        <v>9108</v>
      </c>
      <c r="E2886" s="4" t="s">
        <v>1503</v>
      </c>
      <c r="F2886" s="4" t="s">
        <v>9109</v>
      </c>
      <c r="G2886" s="4">
        <v>46239</v>
      </c>
      <c r="H2886" s="4" t="s">
        <v>9110</v>
      </c>
      <c r="I2886" s="4">
        <v>155</v>
      </c>
      <c r="J2886" s="4" t="s">
        <v>23</v>
      </c>
      <c r="K2886" s="4" t="s">
        <v>24</v>
      </c>
      <c r="L2886" s="4">
        <v>55000000</v>
      </c>
      <c r="M2886" s="4">
        <v>1996</v>
      </c>
      <c r="N2886" s="4">
        <v>6.8</v>
      </c>
      <c r="O2886" s="4">
        <f ca="1">IFERROR(__xludf.DUMMYFUNCTION("IF(Cost_in_dollars!E2886=""USD"",Cost_in_dollars!B2886,Cost_in_dollars!B2886 * GOOGLEFINANCE(""CURRENCY:"" &amp; Cost_in_dollars!E2886 &amp; ""USD""))
"),55000000)</f>
        <v>55000000</v>
      </c>
      <c r="P2886" s="4">
        <f ca="1">IFERROR(__xludf.DUMMYFUNCTION("IF(Cost_in_dollars!E2886=""USD"",Cost_in_dollars!C2886,Cost_in_dollars!C2886 * GOOGLEFINANCE(""CURRENCY:"" &amp; Cost_in_dollars!E2886 &amp; ""USD""))
"),38553833)</f>
        <v>38553833</v>
      </c>
      <c r="Q2886" s="4">
        <f t="shared" ca="1" si="66"/>
        <v>-16446167</v>
      </c>
      <c r="R2886" s="5" t="str">
        <f t="shared" si="67"/>
        <v>The Ghost and the Darkness</v>
      </c>
      <c r="S2886" s="43" t="str">
        <f t="shared" si="69"/>
        <v>Adventure</v>
      </c>
    </row>
    <row r="2887" spans="1:19" ht="15.75" customHeight="1" x14ac:dyDescent="0.25">
      <c r="A2887" s="6" t="s">
        <v>5028</v>
      </c>
      <c r="B2887" s="6">
        <v>197</v>
      </c>
      <c r="C2887" s="6">
        <v>45506619</v>
      </c>
      <c r="D2887" s="6" t="s">
        <v>9111</v>
      </c>
      <c r="E2887" s="6" t="s">
        <v>2985</v>
      </c>
      <c r="F2887" s="6" t="s">
        <v>9112</v>
      </c>
      <c r="G2887" s="6">
        <v>225102</v>
      </c>
      <c r="H2887" s="6" t="s">
        <v>9113</v>
      </c>
      <c r="I2887" s="6">
        <v>862</v>
      </c>
      <c r="J2887" s="6" t="s">
        <v>23</v>
      </c>
      <c r="K2887" s="6" t="s">
        <v>133</v>
      </c>
      <c r="L2887" s="6">
        <v>26000000</v>
      </c>
      <c r="M2887" s="6">
        <v>2000</v>
      </c>
      <c r="N2887" s="6">
        <v>7.8</v>
      </c>
      <c r="O2887" s="4">
        <f ca="1">IFERROR(__xludf.DUMMYFUNCTION("IF(Cost_in_dollars!E2887=""USD"",Cost_in_dollars!B2887,Cost_in_dollars!B2887 * GOOGLEFINANCE(""CURRENCY:"" &amp; Cost_in_dollars!E2887 &amp; ""USD""))
"),33420399.9999999)</f>
        <v>33420399.999999899</v>
      </c>
      <c r="P2887" s="4">
        <f ca="1">IFERROR(__xludf.DUMMYFUNCTION("IF(Cost_in_dollars!E2887=""USD"",Cost_in_dollars!C2887,Cost_in_dollars!C2887 * GOOGLEFINANCE(""CURRENCY:"" &amp; Cost_in_dollars!E2887 &amp; ""USD""))
"),58494208.0625999)</f>
        <v>58494208.062599897</v>
      </c>
      <c r="Q2887" s="6">
        <f t="shared" ca="1" si="66"/>
        <v>25073808.062599998</v>
      </c>
      <c r="R2887" s="7" t="str">
        <f t="shared" si="67"/>
        <v>O Brother, Where Art Thou?</v>
      </c>
      <c r="S2887" s="43" t="str">
        <f t="shared" si="69"/>
        <v>Adventure</v>
      </c>
    </row>
    <row r="2888" spans="1:19" ht="15.75" customHeight="1" x14ac:dyDescent="0.25">
      <c r="A2888" s="4" t="s">
        <v>9114</v>
      </c>
      <c r="B2888" s="4">
        <v>7</v>
      </c>
      <c r="C2888" s="4">
        <v>4074023</v>
      </c>
      <c r="D2888" s="4" t="s">
        <v>254</v>
      </c>
      <c r="E2888" s="4" t="s">
        <v>9115</v>
      </c>
      <c r="F2888" s="4" t="s">
        <v>9116</v>
      </c>
      <c r="G2888" s="4">
        <v>296</v>
      </c>
      <c r="H2888" s="4" t="s">
        <v>9117</v>
      </c>
      <c r="I2888" s="4">
        <v>4</v>
      </c>
      <c r="J2888" s="4" t="s">
        <v>23</v>
      </c>
      <c r="K2888" s="4" t="s">
        <v>133</v>
      </c>
      <c r="L2888" s="4">
        <v>5000000</v>
      </c>
      <c r="M2888" s="4">
        <v>2010</v>
      </c>
      <c r="N2888" s="4">
        <v>6.9</v>
      </c>
      <c r="O2888" s="4">
        <f ca="1">IFERROR(__xludf.DUMMYFUNCTION("IF(Cost_in_dollars!E2888=""USD"",Cost_in_dollars!B2888,Cost_in_dollars!B2888 * GOOGLEFINANCE(""CURRENCY:"" &amp; Cost_in_dollars!E2888 &amp; ""USD""))
"),6426999.99999999)</f>
        <v>6426999.9999999898</v>
      </c>
      <c r="P2888" s="4">
        <f ca="1">IFERROR(__xludf.DUMMYFUNCTION("IF(Cost_in_dollars!E2888=""USD"",Cost_in_dollars!C2888,Cost_in_dollars!C2888 * GOOGLEFINANCE(""CURRENCY:"" &amp; Cost_in_dollars!E2888 &amp; ""USD""))
"),5236749.16419999)</f>
        <v>5236749.1641999902</v>
      </c>
      <c r="Q2888" s="4">
        <f t="shared" ca="1" si="66"/>
        <v>-1190250.8357999995</v>
      </c>
      <c r="R2888" s="5" t="str">
        <f t="shared" si="67"/>
        <v>Sea Rex 3D: Journey to a Prehistoric World</v>
      </c>
      <c r="S2888" s="43" t="str">
        <f t="shared" si="69"/>
        <v>Documentary</v>
      </c>
    </row>
    <row r="2889" spans="1:19" ht="15.75" customHeight="1" x14ac:dyDescent="0.25">
      <c r="A2889" s="6" t="s">
        <v>9118</v>
      </c>
      <c r="B2889" s="6">
        <v>128</v>
      </c>
      <c r="C2889" s="6">
        <v>46012734</v>
      </c>
      <c r="D2889" s="6" t="s">
        <v>88</v>
      </c>
      <c r="E2889" s="6" t="s">
        <v>4600</v>
      </c>
      <c r="F2889" s="6" t="s">
        <v>9119</v>
      </c>
      <c r="G2889" s="6">
        <v>54421</v>
      </c>
      <c r="H2889" s="6" t="s">
        <v>9120</v>
      </c>
      <c r="I2889" s="6">
        <v>101</v>
      </c>
      <c r="J2889" s="6" t="s">
        <v>23</v>
      </c>
      <c r="K2889" s="6" t="s">
        <v>24</v>
      </c>
      <c r="L2889" s="6">
        <v>40000000</v>
      </c>
      <c r="M2889" s="6">
        <v>2008</v>
      </c>
      <c r="N2889" s="6">
        <v>5.8</v>
      </c>
      <c r="O2889" s="4">
        <f ca="1">IFERROR(__xludf.DUMMYFUNCTION("IF(Cost_in_dollars!E2889=""USD"",Cost_in_dollars!B2889,Cost_in_dollars!B2889 * GOOGLEFINANCE(""CURRENCY:"" &amp; Cost_in_dollars!E2889 &amp; ""USD""))
"),40000000)</f>
        <v>40000000</v>
      </c>
      <c r="P2889" s="4">
        <f ca="1">IFERROR(__xludf.DUMMYFUNCTION("IF(Cost_in_dollars!E2889=""USD"",Cost_in_dollars!C2889,Cost_in_dollars!C2889 * GOOGLEFINANCE(""CURRENCY:"" &amp; Cost_in_dollars!E2889 &amp; ""USD""))
"),46012734)</f>
        <v>46012734</v>
      </c>
      <c r="Q2889" s="6">
        <f t="shared" ca="1" si="66"/>
        <v>6012734</v>
      </c>
      <c r="R2889" s="7" t="str">
        <f t="shared" si="67"/>
        <v>Made of Honor</v>
      </c>
      <c r="S2889" s="43" t="str">
        <f t="shared" si="69"/>
        <v>Comedy</v>
      </c>
    </row>
    <row r="2890" spans="1:19" ht="15.75" customHeight="1" x14ac:dyDescent="0.25">
      <c r="A2890" s="4" t="s">
        <v>4010</v>
      </c>
      <c r="B2890" s="4">
        <v>87</v>
      </c>
      <c r="C2890" s="4">
        <v>1752214</v>
      </c>
      <c r="D2890" s="4" t="s">
        <v>162</v>
      </c>
      <c r="E2890" s="4" t="s">
        <v>518</v>
      </c>
      <c r="F2890" s="4" t="s">
        <v>9121</v>
      </c>
      <c r="G2890" s="4">
        <v>60460</v>
      </c>
      <c r="H2890" s="4" t="s">
        <v>9122</v>
      </c>
      <c r="I2890" s="4">
        <v>104</v>
      </c>
      <c r="J2890" s="4" t="s">
        <v>23</v>
      </c>
      <c r="K2890" s="4" t="s">
        <v>24</v>
      </c>
      <c r="L2890" s="4">
        <v>14000000</v>
      </c>
      <c r="M2890" s="4">
        <v>2010</v>
      </c>
      <c r="N2890" s="4">
        <v>7.7</v>
      </c>
      <c r="O2890" s="4">
        <f ca="1">IFERROR(__xludf.DUMMYFUNCTION("IF(Cost_in_dollars!E2890=""USD"",Cost_in_dollars!B2890,Cost_in_dollars!B2890 * GOOGLEFINANCE(""CURRENCY:"" &amp; Cost_in_dollars!E2890 &amp; ""USD""))
"),14000000)</f>
        <v>14000000</v>
      </c>
      <c r="P2890" s="4">
        <f ca="1">IFERROR(__xludf.DUMMYFUNCTION("IF(Cost_in_dollars!E2890=""USD"",Cost_in_dollars!C2890,Cost_in_dollars!C2890 * GOOGLEFINANCE(""CURRENCY:"" &amp; Cost_in_dollars!E2890 &amp; ""USD""))
"),1752214)</f>
        <v>1752214</v>
      </c>
      <c r="Q2890" s="4">
        <f t="shared" ca="1" si="66"/>
        <v>-12247786</v>
      </c>
      <c r="R2890" s="5" t="str">
        <f t="shared" si="67"/>
        <v>Flipped</v>
      </c>
      <c r="S2890" s="43" t="str">
        <f t="shared" si="69"/>
        <v>Comedy</v>
      </c>
    </row>
    <row r="2891" spans="1:19" ht="15.75" customHeight="1" x14ac:dyDescent="0.25">
      <c r="A2891" s="6" t="s">
        <v>166</v>
      </c>
      <c r="B2891" s="6">
        <v>155</v>
      </c>
      <c r="C2891" s="6">
        <v>106126012</v>
      </c>
      <c r="D2891" s="6" t="s">
        <v>155</v>
      </c>
      <c r="E2891" s="6" t="s">
        <v>818</v>
      </c>
      <c r="F2891" s="6" t="s">
        <v>9123</v>
      </c>
      <c r="G2891" s="6">
        <v>285623</v>
      </c>
      <c r="H2891" s="6" t="s">
        <v>9124</v>
      </c>
      <c r="I2891" s="6">
        <v>497</v>
      </c>
      <c r="J2891" s="6" t="s">
        <v>23</v>
      </c>
      <c r="K2891" s="6" t="s">
        <v>24</v>
      </c>
      <c r="L2891" s="6">
        <v>60000000</v>
      </c>
      <c r="M2891" s="6">
        <v>2003</v>
      </c>
      <c r="N2891" s="6">
        <v>7</v>
      </c>
      <c r="O2891" s="4">
        <f ca="1">IFERROR(__xludf.DUMMYFUNCTION("IF(Cost_in_dollars!E2891=""USD"",Cost_in_dollars!B2891,Cost_in_dollars!B2891 * GOOGLEFINANCE(""CURRENCY:"" &amp; Cost_in_dollars!E2891 &amp; ""USD""))
"),60000000)</f>
        <v>60000000</v>
      </c>
      <c r="P2891" s="4">
        <f ca="1">IFERROR(__xludf.DUMMYFUNCTION("IF(Cost_in_dollars!E2891=""USD"",Cost_in_dollars!C2891,Cost_in_dollars!C2891 * GOOGLEFINANCE(""CURRENCY:"" &amp; Cost_in_dollars!E2891 &amp; ""USD""))
"),106126012)</f>
        <v>106126012</v>
      </c>
      <c r="Q2891" s="6">
        <f t="shared" ca="1" si="66"/>
        <v>46126012</v>
      </c>
      <c r="R2891" s="7" t="str">
        <f t="shared" si="67"/>
        <v>The Italian Job</v>
      </c>
      <c r="S2891" s="43" t="str">
        <f t="shared" si="69"/>
        <v>Action</v>
      </c>
    </row>
    <row r="2892" spans="1:19" ht="15.75" customHeight="1" x14ac:dyDescent="0.25">
      <c r="A2892" s="4" t="s">
        <v>9125</v>
      </c>
      <c r="B2892" s="4">
        <v>39</v>
      </c>
      <c r="C2892" s="4">
        <v>151389</v>
      </c>
      <c r="D2892" s="4" t="s">
        <v>254</v>
      </c>
      <c r="E2892" s="4" t="s">
        <v>3001</v>
      </c>
      <c r="F2892" s="4" t="s">
        <v>9126</v>
      </c>
      <c r="G2892" s="4">
        <v>774</v>
      </c>
      <c r="H2892" s="4" t="s">
        <v>9127</v>
      </c>
      <c r="I2892" s="4">
        <v>7</v>
      </c>
      <c r="J2892" s="4" t="s">
        <v>23</v>
      </c>
      <c r="K2892" s="4" t="s">
        <v>24</v>
      </c>
      <c r="L2892" s="4">
        <v>500000</v>
      </c>
      <c r="M2892" s="4">
        <v>2012</v>
      </c>
      <c r="N2892" s="4">
        <v>7.1</v>
      </c>
      <c r="O2892" s="4">
        <f ca="1">IFERROR(__xludf.DUMMYFUNCTION("IF(Cost_in_dollars!E2892=""USD"",Cost_in_dollars!B2892,Cost_in_dollars!B2892 * GOOGLEFINANCE(""CURRENCY:"" &amp; Cost_in_dollars!E2892 &amp; ""USD""))
"),500000)</f>
        <v>500000</v>
      </c>
      <c r="P2892" s="4">
        <f ca="1">IFERROR(__xludf.DUMMYFUNCTION("IF(Cost_in_dollars!E2892=""USD"",Cost_in_dollars!C2892,Cost_in_dollars!C2892 * GOOGLEFINANCE(""CURRENCY:"" &amp; Cost_in_dollars!E2892 &amp; ""USD""))
"),151389)</f>
        <v>151389</v>
      </c>
      <c r="Q2892" s="4">
        <f t="shared" ca="1" si="66"/>
        <v>-348611</v>
      </c>
      <c r="R2892" s="5" t="str">
        <f t="shared" si="67"/>
        <v>Deceptive Practice: The Mysteries and Mentors of Ricky Jay</v>
      </c>
      <c r="S2892" s="43" t="str">
        <f t="shared" si="69"/>
        <v>Documentary</v>
      </c>
    </row>
    <row r="2893" spans="1:19" ht="15.75" customHeight="1" x14ac:dyDescent="0.25">
      <c r="A2893" s="6" t="s">
        <v>4544</v>
      </c>
      <c r="B2893" s="6">
        <v>156</v>
      </c>
      <c r="C2893" s="6">
        <v>63992328</v>
      </c>
      <c r="D2893" s="6" t="s">
        <v>9128</v>
      </c>
      <c r="E2893" s="6" t="s">
        <v>676</v>
      </c>
      <c r="F2893" s="6" t="s">
        <v>9129</v>
      </c>
      <c r="G2893" s="6">
        <v>32399</v>
      </c>
      <c r="H2893" s="6" t="s">
        <v>9130</v>
      </c>
      <c r="I2893" s="6">
        <v>79</v>
      </c>
      <c r="J2893" s="6" t="s">
        <v>23</v>
      </c>
      <c r="K2893" s="6" t="s">
        <v>149</v>
      </c>
      <c r="L2893" s="6">
        <v>135000000</v>
      </c>
      <c r="M2893" s="6">
        <v>2011</v>
      </c>
      <c r="N2893" s="6">
        <v>5.9</v>
      </c>
      <c r="O2893" s="4">
        <f ca="1">IFERROR(__xludf.DUMMYFUNCTION("IF(Cost_in_dollars!E2893=""USD"",Cost_in_dollars!B2893,Cost_in_dollars!B2893 * GOOGLEFINANCE(""CURRENCY:"" &amp; Cost_in_dollars!E2893 &amp; ""USD""))
"),88273800)</f>
        <v>88273800</v>
      </c>
      <c r="P2893" s="4">
        <f ca="1">IFERROR(__xludf.DUMMYFUNCTION("IF(Cost_in_dollars!E2893=""USD"",Cost_in_dollars!C2893,Cost_in_dollars!C2893 * GOOGLEFINANCE(""CURRENCY:"" &amp; Cost_in_dollars!E2893 &amp; ""USD""))
"),41843303.43264)</f>
        <v>41843303.432640001</v>
      </c>
      <c r="Q2893" s="6">
        <f t="shared" ca="1" si="66"/>
        <v>-46430496.567359999</v>
      </c>
      <c r="R2893" s="7" t="str">
        <f t="shared" si="67"/>
        <v>Happy Feet 2</v>
      </c>
      <c r="S2893" s="43" t="str">
        <f t="shared" si="69"/>
        <v>Animation</v>
      </c>
    </row>
    <row r="2894" spans="1:19" ht="15.75" customHeight="1" x14ac:dyDescent="0.25">
      <c r="A2894" s="4" t="s">
        <v>4130</v>
      </c>
      <c r="B2894" s="4">
        <v>175</v>
      </c>
      <c r="C2894" s="4">
        <v>101643008</v>
      </c>
      <c r="D2894" s="4" t="s">
        <v>155</v>
      </c>
      <c r="E2894" s="4" t="s">
        <v>461</v>
      </c>
      <c r="F2894" s="4" t="s">
        <v>9131</v>
      </c>
      <c r="G2894" s="4">
        <v>218341</v>
      </c>
      <c r="H2894" s="4" t="s">
        <v>9132</v>
      </c>
      <c r="I2894" s="4">
        <v>498</v>
      </c>
      <c r="J2894" s="4" t="s">
        <v>23</v>
      </c>
      <c r="K2894" s="4" t="s">
        <v>24</v>
      </c>
      <c r="L2894" s="4">
        <v>90000000</v>
      </c>
      <c r="M2894" s="4">
        <v>2000</v>
      </c>
      <c r="N2894" s="4">
        <v>6.5</v>
      </c>
      <c r="O2894" s="4">
        <f ca="1">IFERROR(__xludf.DUMMYFUNCTION("IF(Cost_in_dollars!E2894=""USD"",Cost_in_dollars!B2894,Cost_in_dollars!B2894 * GOOGLEFINANCE(""CURRENCY:"" &amp; Cost_in_dollars!E2894 &amp; ""USD""))
"),90000000)</f>
        <v>90000000</v>
      </c>
      <c r="P2894" s="4">
        <f ca="1">IFERROR(__xludf.DUMMYFUNCTION("IF(Cost_in_dollars!E2894=""USD"",Cost_in_dollars!C2894,Cost_in_dollars!C2894 * GOOGLEFINANCE(""CURRENCY:"" &amp; Cost_in_dollars!E2894 &amp; ""USD""))
"),101643008)</f>
        <v>101643008</v>
      </c>
      <c r="Q2894" s="4">
        <f t="shared" ca="1" si="66"/>
        <v>11643008</v>
      </c>
      <c r="R2894" s="5" t="str">
        <f t="shared" si="67"/>
        <v>Gone in Sixty Seconds</v>
      </c>
      <c r="S2894" s="43" t="str">
        <f t="shared" si="69"/>
        <v>Action</v>
      </c>
    </row>
    <row r="2895" spans="1:19" ht="15.75" customHeight="1" x14ac:dyDescent="0.25">
      <c r="A2895" s="6" t="s">
        <v>2505</v>
      </c>
      <c r="B2895" s="6">
        <v>108</v>
      </c>
      <c r="C2895" s="6">
        <v>7204138</v>
      </c>
      <c r="D2895" s="6" t="s">
        <v>140</v>
      </c>
      <c r="E2895" s="6" t="s">
        <v>9133</v>
      </c>
      <c r="F2895" s="6" t="s">
        <v>9134</v>
      </c>
      <c r="G2895" s="6">
        <v>34809</v>
      </c>
      <c r="H2895" s="6" t="s">
        <v>9135</v>
      </c>
      <c r="I2895" s="6">
        <v>125</v>
      </c>
      <c r="J2895" s="6" t="s">
        <v>23</v>
      </c>
      <c r="K2895" s="6" t="s">
        <v>24</v>
      </c>
      <c r="L2895" s="6">
        <v>41000000</v>
      </c>
      <c r="M2895" s="6">
        <v>2011</v>
      </c>
      <c r="N2895" s="6">
        <v>6.2</v>
      </c>
      <c r="O2895" s="4">
        <f ca="1">IFERROR(__xludf.DUMMYFUNCTION("IF(Cost_in_dollars!E2895=""USD"",Cost_in_dollars!B2895,Cost_in_dollars!B2895 * GOOGLEFINANCE(""CURRENCY:"" &amp; Cost_in_dollars!E2895 &amp; ""USD""))
"),41000000)</f>
        <v>41000000</v>
      </c>
      <c r="P2895" s="4">
        <f ca="1">IFERROR(__xludf.DUMMYFUNCTION("IF(Cost_in_dollars!E2895=""USD"",Cost_in_dollars!C2895,Cost_in_dollars!C2895 * GOOGLEFINANCE(""CURRENCY:"" &amp; Cost_in_dollars!E2895 &amp; ""USD""))
"),7204138)</f>
        <v>7204138</v>
      </c>
      <c r="Q2895" s="6">
        <f t="shared" ca="1" si="66"/>
        <v>-33795862</v>
      </c>
      <c r="R2895" s="7" t="str">
        <f t="shared" si="67"/>
        <v>The Big Year</v>
      </c>
      <c r="S2895" s="43" t="str">
        <f t="shared" si="69"/>
        <v>Comedy</v>
      </c>
    </row>
    <row r="2896" spans="1:19" ht="15.75" customHeight="1" x14ac:dyDescent="0.25">
      <c r="A2896" s="4" t="s">
        <v>3541</v>
      </c>
      <c r="B2896" s="4">
        <v>95</v>
      </c>
      <c r="C2896" s="4">
        <v>33927476</v>
      </c>
      <c r="D2896" s="4" t="s">
        <v>1920</v>
      </c>
      <c r="E2896" s="4" t="s">
        <v>9136</v>
      </c>
      <c r="F2896" s="4" t="s">
        <v>9137</v>
      </c>
      <c r="G2896" s="4">
        <v>19176</v>
      </c>
      <c r="H2896" s="4" t="s">
        <v>9138</v>
      </c>
      <c r="I2896" s="4">
        <v>165</v>
      </c>
      <c r="J2896" s="4" t="s">
        <v>23</v>
      </c>
      <c r="K2896" s="4" t="s">
        <v>133</v>
      </c>
      <c r="L2896" s="4">
        <v>40000000</v>
      </c>
      <c r="M2896" s="4">
        <v>1997</v>
      </c>
      <c r="N2896" s="4">
        <v>5.7</v>
      </c>
      <c r="O2896" s="4">
        <f ca="1">IFERROR(__xludf.DUMMYFUNCTION("IF(Cost_in_dollars!E2896=""USD"",Cost_in_dollars!B2896,Cost_in_dollars!B2896 * GOOGLEFINANCE(""CURRENCY:"" &amp; Cost_in_dollars!E2896 &amp; ""USD""))
"),51415999.9999999)</f>
        <v>51415999.999999903</v>
      </c>
      <c r="P2896" s="4">
        <f ca="1">IFERROR(__xludf.DUMMYFUNCTION("IF(Cost_in_dollars!E2896=""USD"",Cost_in_dollars!C2896,Cost_in_dollars!C2896 * GOOGLEFINANCE(""CURRENCY:"" &amp; Cost_in_dollars!E2896 &amp; ""USD""))
"),43610377.6504)</f>
        <v>43610377.650399998</v>
      </c>
      <c r="Q2896" s="4">
        <f t="shared" ca="1" si="66"/>
        <v>-7805622.3495999053</v>
      </c>
      <c r="R2896" s="5" t="str">
        <f t="shared" si="67"/>
        <v>The Relic</v>
      </c>
      <c r="S2896" s="43" t="str">
        <f t="shared" si="69"/>
        <v>Horror</v>
      </c>
    </row>
    <row r="2897" spans="1:19" ht="15.75" customHeight="1" x14ac:dyDescent="0.25">
      <c r="A2897" s="6" t="s">
        <v>2550</v>
      </c>
      <c r="B2897" s="6">
        <v>27</v>
      </c>
      <c r="C2897" s="6">
        <v>111936400</v>
      </c>
      <c r="D2897" s="6" t="s">
        <v>443</v>
      </c>
      <c r="E2897" s="6" t="s">
        <v>6234</v>
      </c>
      <c r="F2897" s="6" t="s">
        <v>9139</v>
      </c>
      <c r="G2897" s="6">
        <v>87538</v>
      </c>
      <c r="H2897" s="6" t="s">
        <v>9140</v>
      </c>
      <c r="I2897" s="6">
        <v>79</v>
      </c>
      <c r="J2897" s="6" t="s">
        <v>23</v>
      </c>
      <c r="K2897" s="6" t="s">
        <v>24</v>
      </c>
      <c r="L2897" s="6">
        <v>15000000</v>
      </c>
      <c r="M2897" s="6">
        <v>1988</v>
      </c>
      <c r="N2897" s="6">
        <v>6</v>
      </c>
      <c r="O2897" s="4">
        <f ca="1">IFERROR(__xludf.DUMMYFUNCTION("IF(Cost_in_dollars!E2897=""USD"",Cost_in_dollars!B2897,Cost_in_dollars!B2897 * GOOGLEFINANCE(""CURRENCY:"" &amp; Cost_in_dollars!E2897 &amp; ""USD""))
"),15000000)</f>
        <v>15000000</v>
      </c>
      <c r="P2897" s="4">
        <f ca="1">IFERROR(__xludf.DUMMYFUNCTION("IF(Cost_in_dollars!E2897=""USD"",Cost_in_dollars!C2897,Cost_in_dollars!C2897 * GOOGLEFINANCE(""CURRENCY:"" &amp; Cost_in_dollars!E2897 &amp; ""USD""))
"),111936400)</f>
        <v>111936400</v>
      </c>
      <c r="Q2897" s="6">
        <f t="shared" ca="1" si="66"/>
        <v>96936400</v>
      </c>
      <c r="R2897" s="7" t="str">
        <f t="shared" si="67"/>
        <v>Twins</v>
      </c>
      <c r="S2897" s="43" t="str">
        <f t="shared" si="69"/>
        <v>Comedy</v>
      </c>
    </row>
    <row r="2898" spans="1:19" ht="15.75" customHeight="1" x14ac:dyDescent="0.25">
      <c r="A2898" s="4" t="s">
        <v>617</v>
      </c>
      <c r="B2898" s="4">
        <v>146</v>
      </c>
      <c r="C2898" s="4">
        <v>32853640</v>
      </c>
      <c r="D2898" s="4" t="s">
        <v>457</v>
      </c>
      <c r="E2898" s="4" t="s">
        <v>9103</v>
      </c>
      <c r="F2898" s="4" t="s">
        <v>9141</v>
      </c>
      <c r="G2898" s="4">
        <v>50199</v>
      </c>
      <c r="H2898" s="4" t="s">
        <v>9142</v>
      </c>
      <c r="I2898" s="4">
        <v>101</v>
      </c>
      <c r="J2898" s="4" t="s">
        <v>23</v>
      </c>
      <c r="K2898" s="4" t="s">
        <v>24</v>
      </c>
      <c r="L2898" s="4">
        <v>40000000</v>
      </c>
      <c r="M2898" s="4">
        <v>2008</v>
      </c>
      <c r="N2898" s="4">
        <v>5.7</v>
      </c>
      <c r="O2898" s="4">
        <f ca="1">IFERROR(__xludf.DUMMYFUNCTION("IF(Cost_in_dollars!E2898=""USD"",Cost_in_dollars!B2898,Cost_in_dollars!B2898 * GOOGLEFINANCE(""CURRENCY:"" &amp; Cost_in_dollars!E2898 &amp; ""USD""))
"),40000000)</f>
        <v>40000000</v>
      </c>
      <c r="P2898" s="4">
        <f ca="1">IFERROR(__xludf.DUMMYFUNCTION("IF(Cost_in_dollars!E2898=""USD"",Cost_in_dollars!C2898,Cost_in_dollars!C2898 * GOOGLEFINANCE(""CURRENCY:"" &amp; Cost_in_dollars!E2898 &amp; ""USD""))
"),32853640)</f>
        <v>32853640</v>
      </c>
      <c r="Q2898" s="4">
        <f t="shared" ca="1" si="66"/>
        <v>-7146360</v>
      </c>
      <c r="R2898" s="5" t="str">
        <f t="shared" si="67"/>
        <v>Drillbit Taylor</v>
      </c>
      <c r="S2898" s="43" t="str">
        <f t="shared" si="69"/>
        <v>Comedy</v>
      </c>
    </row>
    <row r="2899" spans="1:19" ht="15.75" customHeight="1" x14ac:dyDescent="0.25">
      <c r="A2899" s="6" t="s">
        <v>9143</v>
      </c>
      <c r="B2899" s="6">
        <v>95</v>
      </c>
      <c r="C2899" s="6">
        <v>17000000</v>
      </c>
      <c r="D2899" s="6" t="s">
        <v>1328</v>
      </c>
      <c r="E2899" s="6" t="s">
        <v>9144</v>
      </c>
      <c r="F2899" s="6" t="s">
        <v>9145</v>
      </c>
      <c r="G2899" s="6">
        <v>3274</v>
      </c>
      <c r="H2899" s="6" t="s">
        <v>9146</v>
      </c>
      <c r="I2899" s="6">
        <v>84</v>
      </c>
      <c r="J2899" s="6" t="s">
        <v>23</v>
      </c>
      <c r="K2899" s="6" t="s">
        <v>24</v>
      </c>
      <c r="L2899" s="6">
        <v>500000</v>
      </c>
      <c r="M2899" s="6">
        <v>1977</v>
      </c>
      <c r="N2899" s="6">
        <v>5.9</v>
      </c>
      <c r="O2899" s="4">
        <f ca="1">IFERROR(__xludf.DUMMYFUNCTION("IF(Cost_in_dollars!E2899=""USD"",Cost_in_dollars!B2899,Cost_in_dollars!B2899 * GOOGLEFINANCE(""CURRENCY:"" &amp; Cost_in_dollars!E2899 &amp; ""USD""))
"),500000)</f>
        <v>500000</v>
      </c>
      <c r="P2899" s="4">
        <f ca="1">IFERROR(__xludf.DUMMYFUNCTION("IF(Cost_in_dollars!E2899=""USD"",Cost_in_dollars!C2899,Cost_in_dollars!C2899 * GOOGLEFINANCE(""CURRENCY:"" &amp; Cost_in_dollars!E2899 &amp; ""USD""))
"),17000000)</f>
        <v>17000000</v>
      </c>
      <c r="Q2899" s="6">
        <f t="shared" ca="1" si="66"/>
        <v>16500000</v>
      </c>
      <c r="R2899" s="7" t="str">
        <f t="shared" si="67"/>
        <v>Kingdom of the Spiders</v>
      </c>
      <c r="S2899" s="43" t="str">
        <f t="shared" si="69"/>
        <v>Horror</v>
      </c>
    </row>
    <row r="2900" spans="1:19" ht="15.75" customHeight="1" x14ac:dyDescent="0.25">
      <c r="A2900" s="4" t="s">
        <v>9147</v>
      </c>
      <c r="B2900" s="4">
        <v>61</v>
      </c>
      <c r="C2900" s="4">
        <v>9054736</v>
      </c>
      <c r="D2900" s="4" t="s">
        <v>102</v>
      </c>
      <c r="E2900" s="4" t="s">
        <v>707</v>
      </c>
      <c r="F2900" s="4" t="s">
        <v>9148</v>
      </c>
      <c r="G2900" s="4">
        <v>5744</v>
      </c>
      <c r="H2900" s="4" t="s">
        <v>9149</v>
      </c>
      <c r="I2900" s="4">
        <v>57</v>
      </c>
      <c r="J2900" s="4" t="s">
        <v>23</v>
      </c>
      <c r="K2900" s="4" t="s">
        <v>24</v>
      </c>
      <c r="L2900" s="4">
        <v>2700000</v>
      </c>
      <c r="M2900" s="4">
        <v>1997</v>
      </c>
      <c r="N2900" s="4">
        <v>7.1</v>
      </c>
      <c r="O2900" s="4">
        <f ca="1">IFERROR(__xludf.DUMMYFUNCTION("IF(Cost_in_dollars!E2900=""USD"",Cost_in_dollars!B2900,Cost_in_dollars!B2900 * GOOGLEFINANCE(""CURRENCY:"" &amp; Cost_in_dollars!E2900 &amp; ""USD""))
"),2700000)</f>
        <v>2700000</v>
      </c>
      <c r="P2900" s="4">
        <f ca="1">IFERROR(__xludf.DUMMYFUNCTION("IF(Cost_in_dollars!E2900=""USD"",Cost_in_dollars!C2900,Cost_in_dollars!C2900 * GOOGLEFINANCE(""CURRENCY:"" &amp; Cost_in_dollars!E2900 &amp; ""USD""))
"),9054736)</f>
        <v>9054736</v>
      </c>
      <c r="Q2900" s="4">
        <f t="shared" ca="1" si="66"/>
        <v>6354736</v>
      </c>
      <c r="R2900" s="5" t="str">
        <f t="shared" si="67"/>
        <v>Ulee's Gold</v>
      </c>
      <c r="S2900" s="43" t="str">
        <f t="shared" si="69"/>
        <v>Drama</v>
      </c>
    </row>
    <row r="2901" spans="1:19" ht="15.75" customHeight="1" x14ac:dyDescent="0.25">
      <c r="A2901" s="6" t="s">
        <v>755</v>
      </c>
      <c r="B2901" s="6">
        <v>212</v>
      </c>
      <c r="C2901" s="6">
        <v>33987757</v>
      </c>
      <c r="D2901" s="6" t="s">
        <v>235</v>
      </c>
      <c r="E2901" s="6" t="s">
        <v>1091</v>
      </c>
      <c r="F2901" s="6" t="s">
        <v>9150</v>
      </c>
      <c r="G2901" s="6">
        <v>168314</v>
      </c>
      <c r="H2901" s="6" t="s">
        <v>9151</v>
      </c>
      <c r="I2901" s="6">
        <v>903</v>
      </c>
      <c r="J2901" s="6" t="s">
        <v>23</v>
      </c>
      <c r="K2901" s="6" t="s">
        <v>24</v>
      </c>
      <c r="L2901" s="6">
        <v>27000000</v>
      </c>
      <c r="M2901" s="6">
        <v>2004</v>
      </c>
      <c r="N2901" s="6">
        <v>7.3</v>
      </c>
      <c r="O2901" s="4">
        <f ca="1">IFERROR(__xludf.DUMMYFUNCTION("IF(Cost_in_dollars!E2901=""USD"",Cost_in_dollars!B2901,Cost_in_dollars!B2901 * GOOGLEFINANCE(""CURRENCY:"" &amp; Cost_in_dollars!E2901 &amp; ""USD""))
"),27000000)</f>
        <v>27000000</v>
      </c>
      <c r="P2901" s="4">
        <f ca="1">IFERROR(__xludf.DUMMYFUNCTION("IF(Cost_in_dollars!E2901=""USD"",Cost_in_dollars!C2901,Cost_in_dollars!C2901 * GOOGLEFINANCE(""CURRENCY:"" &amp; Cost_in_dollars!E2901 &amp; ""USD""))
"),33987757)</f>
        <v>33987757</v>
      </c>
      <c r="Q2901" s="6">
        <f t="shared" ca="1" si="66"/>
        <v>6987757</v>
      </c>
      <c r="R2901" s="7" t="str">
        <f t="shared" si="67"/>
        <v>Closer</v>
      </c>
      <c r="S2901" s="43" t="str">
        <f t="shared" si="69"/>
        <v>Drama</v>
      </c>
    </row>
    <row r="2902" spans="1:19" ht="15.75" customHeight="1" x14ac:dyDescent="0.25">
      <c r="A2902" s="4" t="s">
        <v>9152</v>
      </c>
      <c r="B2902" s="4">
        <v>209</v>
      </c>
      <c r="C2902" s="4">
        <v>56068547</v>
      </c>
      <c r="D2902" s="4" t="s">
        <v>3244</v>
      </c>
      <c r="E2902" s="4" t="s">
        <v>1059</v>
      </c>
      <c r="F2902" s="4" t="s">
        <v>9153</v>
      </c>
      <c r="G2902" s="4">
        <v>98160</v>
      </c>
      <c r="H2902" s="4" t="s">
        <v>9154</v>
      </c>
      <c r="I2902" s="4">
        <v>307</v>
      </c>
      <c r="J2902" s="4" t="s">
        <v>23</v>
      </c>
      <c r="K2902" s="4" t="s">
        <v>133</v>
      </c>
      <c r="L2902" s="4">
        <v>30000000</v>
      </c>
      <c r="M2902" s="4">
        <v>2005</v>
      </c>
      <c r="N2902" s="4">
        <v>7.5</v>
      </c>
      <c r="O2902" s="4">
        <f ca="1">IFERROR(__xludf.DUMMYFUNCTION("IF(Cost_in_dollars!E2902=""USD"",Cost_in_dollars!B2902,Cost_in_dollars!B2902 * GOOGLEFINANCE(""CURRENCY:"" &amp; Cost_in_dollars!E2902 &amp; ""USD""))
"),38562000)</f>
        <v>38562000</v>
      </c>
      <c r="P2902" s="4">
        <f ca="1">IFERROR(__xludf.DUMMYFUNCTION("IF(Cost_in_dollars!E2902=""USD"",Cost_in_dollars!C2902,Cost_in_dollars!C2902 * GOOGLEFINANCE(""CURRENCY:"" &amp; Cost_in_dollars!E2902 &amp; ""USD""))
"),72070510.3137999)</f>
        <v>72070510.313799903</v>
      </c>
      <c r="Q2902" s="4">
        <f t="shared" ca="1" si="66"/>
        <v>33508510.313799903</v>
      </c>
      <c r="R2902" s="5" t="str">
        <f t="shared" si="67"/>
        <v>The Curse of the Were-Rabbit</v>
      </c>
      <c r="S2902" s="43" t="str">
        <f t="shared" si="69"/>
        <v>Animation</v>
      </c>
    </row>
    <row r="2903" spans="1:19" ht="15.75" customHeight="1" x14ac:dyDescent="0.25">
      <c r="A2903" s="6" t="s">
        <v>1435</v>
      </c>
      <c r="B2903" s="6">
        <v>568</v>
      </c>
      <c r="C2903" s="6">
        <v>167735396</v>
      </c>
      <c r="D2903" s="6" t="s">
        <v>438</v>
      </c>
      <c r="E2903" s="6" t="s">
        <v>7940</v>
      </c>
      <c r="F2903" s="6" t="s">
        <v>9155</v>
      </c>
      <c r="G2903" s="6">
        <v>569841</v>
      </c>
      <c r="H2903" s="6" t="s">
        <v>9156</v>
      </c>
      <c r="I2903" s="6">
        <v>1127</v>
      </c>
      <c r="J2903" s="6" t="s">
        <v>23</v>
      </c>
      <c r="K2903" s="6" t="s">
        <v>24</v>
      </c>
      <c r="L2903" s="6">
        <v>61000000</v>
      </c>
      <c r="M2903" s="6">
        <v>2014</v>
      </c>
      <c r="N2903" s="6">
        <v>8.1</v>
      </c>
      <c r="O2903" s="4">
        <f ca="1">IFERROR(__xludf.DUMMYFUNCTION("IF(Cost_in_dollars!E2903=""USD"",Cost_in_dollars!B2903,Cost_in_dollars!B2903 * GOOGLEFINANCE(""CURRENCY:"" &amp; Cost_in_dollars!E2903 &amp; ""USD""))
"),61000000)</f>
        <v>61000000</v>
      </c>
      <c r="P2903" s="4">
        <f ca="1">IFERROR(__xludf.DUMMYFUNCTION("IF(Cost_in_dollars!E2903=""USD"",Cost_in_dollars!C2903,Cost_in_dollars!C2903 * GOOGLEFINANCE(""CURRENCY:"" &amp; Cost_in_dollars!E2903 &amp; ""USD""))
"),167735396)</f>
        <v>167735396</v>
      </c>
      <c r="Q2903" s="6">
        <f t="shared" ca="1" si="66"/>
        <v>106735396</v>
      </c>
      <c r="R2903" s="7" t="str">
        <f t="shared" si="67"/>
        <v>Gone Girl</v>
      </c>
      <c r="S2903" s="43" t="str">
        <f t="shared" si="69"/>
        <v>Crime</v>
      </c>
    </row>
    <row r="2904" spans="1:19" ht="15.75" customHeight="1" x14ac:dyDescent="0.25">
      <c r="A2904" s="4" t="s">
        <v>338</v>
      </c>
      <c r="B2904" s="4">
        <v>186</v>
      </c>
      <c r="C2904" s="4">
        <v>31199215</v>
      </c>
      <c r="D2904" s="4" t="s">
        <v>1041</v>
      </c>
      <c r="E2904" s="4" t="s">
        <v>9157</v>
      </c>
      <c r="F2904" s="4" t="s">
        <v>9158</v>
      </c>
      <c r="G2904" s="4">
        <v>27664</v>
      </c>
      <c r="H2904" s="4" t="s">
        <v>9159</v>
      </c>
      <c r="I2904" s="4">
        <v>120</v>
      </c>
      <c r="J2904" s="4" t="s">
        <v>23</v>
      </c>
      <c r="K2904" s="4" t="s">
        <v>24</v>
      </c>
      <c r="L2904" s="4">
        <v>58000000</v>
      </c>
      <c r="M2904" s="4">
        <v>2008</v>
      </c>
      <c r="N2904" s="4">
        <v>6</v>
      </c>
      <c r="O2904" s="4">
        <f ca="1">IFERROR(__xludf.DUMMYFUNCTION("IF(Cost_in_dollars!E2904=""USD"",Cost_in_dollars!B2904,Cost_in_dollars!B2904 * GOOGLEFINANCE(""CURRENCY:"" &amp; Cost_in_dollars!E2904 &amp; ""USD""))
"),58000000)</f>
        <v>58000000</v>
      </c>
      <c r="P2904" s="4">
        <f ca="1">IFERROR(__xludf.DUMMYFUNCTION("IF(Cost_in_dollars!E2904=""USD"",Cost_in_dollars!C2904,Cost_in_dollars!C2904 * GOOGLEFINANCE(""CURRENCY:"" &amp; Cost_in_dollars!E2904 &amp; ""USD""))
"),31199215)</f>
        <v>31199215</v>
      </c>
      <c r="Q2904" s="4">
        <f t="shared" ca="1" si="66"/>
        <v>-26800785</v>
      </c>
      <c r="R2904" s="5" t="str">
        <f t="shared" si="67"/>
        <v>Leatherheads</v>
      </c>
      <c r="S2904" s="43" t="str">
        <f t="shared" si="69"/>
        <v>Comedy</v>
      </c>
    </row>
    <row r="2905" spans="1:19" ht="15.75" customHeight="1" x14ac:dyDescent="0.25">
      <c r="A2905" s="6" t="s">
        <v>9160</v>
      </c>
      <c r="B2905" s="6">
        <v>71</v>
      </c>
      <c r="C2905" s="6">
        <v>5595428</v>
      </c>
      <c r="D2905" s="6" t="s">
        <v>102</v>
      </c>
      <c r="E2905" s="6" t="s">
        <v>9161</v>
      </c>
      <c r="F2905" s="6" t="s">
        <v>9162</v>
      </c>
      <c r="G2905" s="6">
        <v>28951</v>
      </c>
      <c r="H2905" s="6" t="s">
        <v>9163</v>
      </c>
      <c r="I2905" s="6">
        <v>257</v>
      </c>
      <c r="J2905" s="6" t="s">
        <v>2939</v>
      </c>
      <c r="K2905" s="6" t="s">
        <v>2940</v>
      </c>
      <c r="L2905" s="6">
        <v>2900000</v>
      </c>
      <c r="M2905" s="6">
        <v>1998</v>
      </c>
      <c r="N2905" s="6">
        <v>8</v>
      </c>
      <c r="O2905" s="4">
        <f ca="1">IFERROR(__xludf.DUMMYFUNCTION("IF(Cost_in_dollars!E2905=""USD"",Cost_in_dollars!B2905,Cost_in_dollars!B2905 * GOOGLEFINANCE(""CURRENCY:"" &amp; Cost_in_dollars!E2905 &amp; ""USD""))
"),513765.45)</f>
        <v>513765.45</v>
      </c>
      <c r="P2905" s="4">
        <f ca="1">IFERROR(__xludf.DUMMYFUNCTION("IF(Cost_in_dollars!E2905=""USD"",Cost_in_dollars!C2905,Cost_in_dollars!C2905 * GOOGLEFINANCE(""CURRENCY:"" &amp; Cost_in_dollars!E2905 &amp; ""USD""))
"),991288.822194)</f>
        <v>991288.82219400001</v>
      </c>
      <c r="Q2905" s="6">
        <f t="shared" ca="1" si="66"/>
        <v>477523.372194</v>
      </c>
      <c r="R2905" s="7" t="str">
        <f t="shared" si="67"/>
        <v>Central Station</v>
      </c>
      <c r="S2905" s="43" t="str">
        <f t="shared" si="69"/>
        <v>Drama</v>
      </c>
    </row>
    <row r="2906" spans="1:19" ht="15.75" customHeight="1" x14ac:dyDescent="0.25">
      <c r="A2906" s="4" t="s">
        <v>9164</v>
      </c>
      <c r="B2906" s="4">
        <v>146</v>
      </c>
      <c r="C2906" s="4">
        <v>3950294</v>
      </c>
      <c r="D2906" s="4" t="s">
        <v>162</v>
      </c>
      <c r="E2906" s="4" t="s">
        <v>330</v>
      </c>
      <c r="F2906" s="4" t="s">
        <v>9165</v>
      </c>
      <c r="G2906" s="4">
        <v>56654</v>
      </c>
      <c r="H2906" s="4" t="s">
        <v>9166</v>
      </c>
      <c r="I2906" s="4">
        <v>124</v>
      </c>
      <c r="J2906" s="4" t="s">
        <v>23</v>
      </c>
      <c r="K2906" s="4" t="s">
        <v>24</v>
      </c>
      <c r="L2906" s="4">
        <v>12000000</v>
      </c>
      <c r="M2906" s="4">
        <v>2007</v>
      </c>
      <c r="N2906" s="4">
        <v>7</v>
      </c>
      <c r="O2906" s="4">
        <f ca="1">IFERROR(__xludf.DUMMYFUNCTION("IF(Cost_in_dollars!E2906=""USD"",Cost_in_dollars!B2906,Cost_in_dollars!B2906 * GOOGLEFINANCE(""CURRENCY:"" &amp; Cost_in_dollars!E2906 &amp; ""USD""))
"),12000000)</f>
        <v>12000000</v>
      </c>
      <c r="P2906" s="4">
        <f ca="1">IFERROR(__xludf.DUMMYFUNCTION("IF(Cost_in_dollars!E2906=""USD"",Cost_in_dollars!C2906,Cost_in_dollars!C2906 * GOOGLEFINANCE(""CURRENCY:"" &amp; Cost_in_dollars!E2906 &amp; ""USD""))
"),3950294)</f>
        <v>3950294</v>
      </c>
      <c r="Q2906" s="4">
        <f t="shared" ca="1" si="66"/>
        <v>-8049706</v>
      </c>
      <c r="R2906" s="5" t="str">
        <f t="shared" si="67"/>
        <v>Charlie Bartlett</v>
      </c>
      <c r="S2906" s="43" t="str">
        <f t="shared" si="69"/>
        <v>Comedy</v>
      </c>
    </row>
    <row r="2907" spans="1:19" ht="15.75" customHeight="1" x14ac:dyDescent="0.25">
      <c r="A2907" s="6" t="s">
        <v>8005</v>
      </c>
      <c r="B2907" s="6">
        <v>78</v>
      </c>
      <c r="C2907" s="6">
        <v>303439</v>
      </c>
      <c r="D2907" s="6" t="s">
        <v>314</v>
      </c>
      <c r="E2907" s="6" t="s">
        <v>9167</v>
      </c>
      <c r="F2907" s="6" t="s">
        <v>9168</v>
      </c>
      <c r="G2907" s="6">
        <v>12125</v>
      </c>
      <c r="H2907" s="6" t="s">
        <v>9169</v>
      </c>
      <c r="I2907" s="6">
        <v>78</v>
      </c>
      <c r="J2907" s="6" t="s">
        <v>23</v>
      </c>
      <c r="K2907" s="6" t="s">
        <v>24</v>
      </c>
      <c r="L2907" s="6">
        <v>8000000</v>
      </c>
      <c r="M2907" s="6">
        <v>2007</v>
      </c>
      <c r="N2907" s="6">
        <v>6.4</v>
      </c>
      <c r="O2907" s="4">
        <f ca="1">IFERROR(__xludf.DUMMYFUNCTION("IF(Cost_in_dollars!E2907=""USD"",Cost_in_dollars!B2907,Cost_in_dollars!B2907 * GOOGLEFINANCE(""CURRENCY:"" &amp; Cost_in_dollars!E2907 &amp; ""USD""))
"),8000000)</f>
        <v>8000000</v>
      </c>
      <c r="P2907" s="4">
        <f ca="1">IFERROR(__xludf.DUMMYFUNCTION("IF(Cost_in_dollars!E2907=""USD"",Cost_in_dollars!C2907,Cost_in_dollars!C2907 * GOOGLEFINANCE(""CURRENCY:"" &amp; Cost_in_dollars!E2907 &amp; ""USD""))
"),303439)</f>
        <v>303439</v>
      </c>
      <c r="Q2907" s="6">
        <f t="shared" ca="1" si="66"/>
        <v>-7696561</v>
      </c>
      <c r="R2907" s="7" t="str">
        <f t="shared" si="67"/>
        <v>The Life Before Her Eyes</v>
      </c>
      <c r="S2907" s="43" t="str">
        <f t="shared" si="69"/>
        <v>Drama</v>
      </c>
    </row>
    <row r="2908" spans="1:19" ht="15.75" customHeight="1" x14ac:dyDescent="0.25">
      <c r="A2908" s="4" t="s">
        <v>3405</v>
      </c>
      <c r="B2908" s="4">
        <v>175</v>
      </c>
      <c r="C2908" s="4">
        <v>12339633</v>
      </c>
      <c r="D2908" s="4" t="s">
        <v>1238</v>
      </c>
      <c r="E2908" s="4" t="s">
        <v>9170</v>
      </c>
      <c r="F2908" s="4" t="s">
        <v>9171</v>
      </c>
      <c r="G2908" s="4">
        <v>220591</v>
      </c>
      <c r="H2908" s="4" t="s">
        <v>9172</v>
      </c>
      <c r="I2908" s="4">
        <v>641</v>
      </c>
      <c r="J2908" s="4" t="s">
        <v>23</v>
      </c>
      <c r="K2908" s="4" t="s">
        <v>24</v>
      </c>
      <c r="L2908" s="4">
        <v>36000000</v>
      </c>
      <c r="M2908" s="4">
        <v>1997</v>
      </c>
      <c r="N2908" s="4">
        <v>7.8</v>
      </c>
      <c r="O2908" s="4">
        <f ca="1">IFERROR(__xludf.DUMMYFUNCTION("IF(Cost_in_dollars!E2908=""USD"",Cost_in_dollars!B2908,Cost_in_dollars!B2908 * GOOGLEFINANCE(""CURRENCY:"" &amp; Cost_in_dollars!E2908 &amp; ""USD""))
"),36000000)</f>
        <v>36000000</v>
      </c>
      <c r="P2908" s="4">
        <f ca="1">IFERROR(__xludf.DUMMYFUNCTION("IF(Cost_in_dollars!E2908=""USD"",Cost_in_dollars!C2908,Cost_in_dollars!C2908 * GOOGLEFINANCE(""CURRENCY:"" &amp; Cost_in_dollars!E2908 &amp; ""USD""))
"),12339633)</f>
        <v>12339633</v>
      </c>
      <c r="Q2908" s="4">
        <f t="shared" ca="1" si="66"/>
        <v>-23660367</v>
      </c>
      <c r="R2908" s="5" t="str">
        <f t="shared" si="67"/>
        <v>Gattaca</v>
      </c>
      <c r="S2908" s="43" t="str">
        <f t="shared" si="69"/>
        <v>Drama</v>
      </c>
    </row>
    <row r="2909" spans="1:19" ht="15.75" customHeight="1" x14ac:dyDescent="0.25">
      <c r="A2909" s="6" t="s">
        <v>850</v>
      </c>
      <c r="B2909" s="6">
        <v>384</v>
      </c>
      <c r="C2909" s="6">
        <v>47375327</v>
      </c>
      <c r="D2909" s="6" t="s">
        <v>188</v>
      </c>
      <c r="E2909" s="6" t="s">
        <v>179</v>
      </c>
      <c r="F2909" s="6" t="s">
        <v>9173</v>
      </c>
      <c r="G2909" s="6">
        <v>139593</v>
      </c>
      <c r="H2909" s="6" t="s">
        <v>9174</v>
      </c>
      <c r="I2909" s="6">
        <v>720</v>
      </c>
      <c r="J2909" s="6" t="s">
        <v>23</v>
      </c>
      <c r="K2909" s="6" t="s">
        <v>24</v>
      </c>
      <c r="L2909" s="6">
        <v>176000000</v>
      </c>
      <c r="M2909" s="6">
        <v>2015</v>
      </c>
      <c r="N2909" s="6">
        <v>5.4</v>
      </c>
      <c r="O2909" s="4">
        <f ca="1">IFERROR(__xludf.DUMMYFUNCTION("IF(Cost_in_dollars!E2909=""USD"",Cost_in_dollars!B2909,Cost_in_dollars!B2909 * GOOGLEFINANCE(""CURRENCY:"" &amp; Cost_in_dollars!E2909 &amp; ""USD""))
"),176000000)</f>
        <v>176000000</v>
      </c>
      <c r="P2909" s="4">
        <f ca="1">IFERROR(__xludf.DUMMYFUNCTION("IF(Cost_in_dollars!E2909=""USD"",Cost_in_dollars!C2909,Cost_in_dollars!C2909 * GOOGLEFINANCE(""CURRENCY:"" &amp; Cost_in_dollars!E2909 &amp; ""USD""))
"),47375327)</f>
        <v>47375327</v>
      </c>
      <c r="Q2909" s="6">
        <f t="shared" ca="1" si="66"/>
        <v>-128624673</v>
      </c>
      <c r="R2909" s="7" t="str">
        <f t="shared" si="67"/>
        <v>Jupiter Ascending</v>
      </c>
      <c r="S2909" s="43" t="str">
        <f t="shared" si="69"/>
        <v>Action</v>
      </c>
    </row>
    <row r="2910" spans="1:19" ht="15.75" customHeight="1" x14ac:dyDescent="0.25">
      <c r="A2910" s="4" t="s">
        <v>3557</v>
      </c>
      <c r="B2910" s="4">
        <v>134</v>
      </c>
      <c r="C2910" s="4">
        <v>12561</v>
      </c>
      <c r="D2910" s="4" t="s">
        <v>88</v>
      </c>
      <c r="E2910" s="4" t="s">
        <v>2682</v>
      </c>
      <c r="F2910" s="4" t="s">
        <v>9175</v>
      </c>
      <c r="G2910" s="4">
        <v>71276</v>
      </c>
      <c r="H2910" s="4" t="s">
        <v>9176</v>
      </c>
      <c r="I2910" s="4">
        <v>181</v>
      </c>
      <c r="J2910" s="4" t="s">
        <v>23</v>
      </c>
      <c r="K2910" s="4" t="s">
        <v>24</v>
      </c>
      <c r="L2910" s="4">
        <v>19000000</v>
      </c>
      <c r="M2910" s="4">
        <v>2010</v>
      </c>
      <c r="N2910" s="4">
        <v>6.4</v>
      </c>
      <c r="O2910" s="4">
        <f ca="1">IFERROR(__xludf.DUMMYFUNCTION("IF(Cost_in_dollars!E2910=""USD"",Cost_in_dollars!B2910,Cost_in_dollars!B2910 * GOOGLEFINANCE(""CURRENCY:"" &amp; Cost_in_dollars!E2910 &amp; ""USD""))
"),19000000)</f>
        <v>19000000</v>
      </c>
      <c r="P2910" s="4">
        <f ca="1">IFERROR(__xludf.DUMMYFUNCTION("IF(Cost_in_dollars!E2910=""USD"",Cost_in_dollars!C2910,Cost_in_dollars!C2910 * GOOGLEFINANCE(""CURRENCY:"" &amp; Cost_in_dollars!E2910 &amp; ""USD""))
"),12561)</f>
        <v>12561</v>
      </c>
      <c r="Q2910" s="4">
        <f t="shared" ca="1" si="66"/>
        <v>-18987439</v>
      </c>
      <c r="R2910" s="5" t="str">
        <f t="shared" si="67"/>
        <v>Leap Year</v>
      </c>
      <c r="S2910" s="43" t="str">
        <f t="shared" si="69"/>
        <v>Comedy</v>
      </c>
    </row>
    <row r="2911" spans="1:19" ht="15.75" customHeight="1" x14ac:dyDescent="0.25">
      <c r="A2911" s="6" t="s">
        <v>318</v>
      </c>
      <c r="B2911" s="6">
        <v>198</v>
      </c>
      <c r="C2911" s="6">
        <v>125531634</v>
      </c>
      <c r="D2911" s="6" t="s">
        <v>319</v>
      </c>
      <c r="E2911" s="6" t="s">
        <v>1436</v>
      </c>
      <c r="F2911" s="6" t="s">
        <v>9177</v>
      </c>
      <c r="G2911" s="6">
        <v>284852</v>
      </c>
      <c r="H2911" s="6" t="s">
        <v>9178</v>
      </c>
      <c r="I2911" s="6">
        <v>627</v>
      </c>
      <c r="J2911" s="6" t="s">
        <v>23</v>
      </c>
      <c r="K2911" s="6" t="s">
        <v>24</v>
      </c>
      <c r="L2911" s="6">
        <v>110000000</v>
      </c>
      <c r="M2911" s="6">
        <v>2004</v>
      </c>
      <c r="N2911" s="6">
        <v>6.4</v>
      </c>
      <c r="O2911" s="4">
        <f ca="1">IFERROR(__xludf.DUMMYFUNCTION("IF(Cost_in_dollars!E2911=""USD"",Cost_in_dollars!B2911,Cost_in_dollars!B2911 * GOOGLEFINANCE(""CURRENCY:"" &amp; Cost_in_dollars!E2911 &amp; ""USD""))
"),110000000)</f>
        <v>110000000</v>
      </c>
      <c r="P2911" s="4">
        <f ca="1">IFERROR(__xludf.DUMMYFUNCTION("IF(Cost_in_dollars!E2911=""USD"",Cost_in_dollars!C2911,Cost_in_dollars!C2911 * GOOGLEFINANCE(""CURRENCY:"" &amp; Cost_in_dollars!E2911 &amp; ""USD""))
"),125531634)</f>
        <v>125531634</v>
      </c>
      <c r="Q2911" s="6">
        <f t="shared" ca="1" si="66"/>
        <v>15531634</v>
      </c>
      <c r="R2911" s="7" t="str">
        <f t="shared" si="67"/>
        <v>Ocean's Twelve</v>
      </c>
      <c r="S2911" s="43" t="str">
        <f t="shared" si="69"/>
        <v>Crime</v>
      </c>
    </row>
    <row r="2912" spans="1:19" ht="15.75" customHeight="1" x14ac:dyDescent="0.25">
      <c r="A2912" s="4" t="s">
        <v>5600</v>
      </c>
      <c r="B2912" s="4">
        <v>127</v>
      </c>
      <c r="C2912" s="4">
        <v>38120554</v>
      </c>
      <c r="D2912" s="4" t="s">
        <v>8306</v>
      </c>
      <c r="E2912" s="4" t="s">
        <v>767</v>
      </c>
      <c r="F2912" s="4" t="s">
        <v>9179</v>
      </c>
      <c r="G2912" s="4">
        <v>71527</v>
      </c>
      <c r="H2912" s="4" t="s">
        <v>9180</v>
      </c>
      <c r="I2912" s="4">
        <v>217</v>
      </c>
      <c r="J2912" s="4" t="s">
        <v>23</v>
      </c>
      <c r="K2912" s="4" t="s">
        <v>24</v>
      </c>
      <c r="L2912" s="4">
        <v>140000000</v>
      </c>
      <c r="M2912" s="4">
        <v>2002</v>
      </c>
      <c r="N2912" s="4">
        <v>7.1</v>
      </c>
      <c r="O2912" s="4">
        <f ca="1">IFERROR(__xludf.DUMMYFUNCTION("IF(Cost_in_dollars!E2912=""USD"",Cost_in_dollars!B2912,Cost_in_dollars!B2912 * GOOGLEFINANCE(""CURRENCY:"" &amp; Cost_in_dollars!E2912 &amp; ""USD""))
"),140000000)</f>
        <v>140000000</v>
      </c>
      <c r="P2912" s="4">
        <f ca="1">IFERROR(__xludf.DUMMYFUNCTION("IF(Cost_in_dollars!E2912=""USD"",Cost_in_dollars!C2912,Cost_in_dollars!C2912 * GOOGLEFINANCE(""CURRENCY:"" &amp; Cost_in_dollars!E2912 &amp; ""USD""))
"),38120554)</f>
        <v>38120554</v>
      </c>
      <c r="Q2912" s="4">
        <f t="shared" ca="1" si="66"/>
        <v>-101879446</v>
      </c>
      <c r="R2912" s="5" t="str">
        <f t="shared" si="67"/>
        <v>Treasure Planet</v>
      </c>
      <c r="S2912" s="43" t="str">
        <f t="shared" si="69"/>
        <v>Adventure</v>
      </c>
    </row>
    <row r="2913" spans="1:19" ht="15.75" customHeight="1" x14ac:dyDescent="0.25">
      <c r="A2913" s="6" t="s">
        <v>7142</v>
      </c>
      <c r="B2913" s="6">
        <v>284</v>
      </c>
      <c r="C2913" s="6">
        <v>83503161</v>
      </c>
      <c r="D2913" s="6" t="s">
        <v>9181</v>
      </c>
      <c r="E2913" s="6" t="s">
        <v>1314</v>
      </c>
      <c r="F2913" s="6" t="s">
        <v>9182</v>
      </c>
      <c r="G2913" s="6">
        <v>138190</v>
      </c>
      <c r="H2913" s="6" t="s">
        <v>9183</v>
      </c>
      <c r="I2913" s="6">
        <v>405</v>
      </c>
      <c r="J2913" s="6" t="s">
        <v>23</v>
      </c>
      <c r="K2913" s="6" t="s">
        <v>24</v>
      </c>
      <c r="L2913" s="6">
        <v>75000000</v>
      </c>
      <c r="M2913" s="6">
        <v>2011</v>
      </c>
      <c r="N2913" s="6">
        <v>6.1</v>
      </c>
      <c r="O2913" s="4">
        <f ca="1">IFERROR(__xludf.DUMMYFUNCTION("IF(Cost_in_dollars!E2913=""USD"",Cost_in_dollars!B2913,Cost_in_dollars!B2913 * GOOGLEFINANCE(""CURRENCY:"" &amp; Cost_in_dollars!E2913 &amp; ""USD""))
"),75000000)</f>
        <v>75000000</v>
      </c>
      <c r="P2913" s="4">
        <f ca="1">IFERROR(__xludf.DUMMYFUNCTION("IF(Cost_in_dollars!E2913=""USD"",Cost_in_dollars!C2913,Cost_in_dollars!C2913 * GOOGLEFINANCE(""CURRENCY:"" &amp; Cost_in_dollars!E2913 &amp; ""USD""))
"),83503161)</f>
        <v>83503161</v>
      </c>
      <c r="Q2913" s="6">
        <f t="shared" ca="1" si="66"/>
        <v>8503161</v>
      </c>
      <c r="R2913" s="7" t="str">
        <f t="shared" si="67"/>
        <v>Immortals</v>
      </c>
      <c r="S2913" s="43" t="str">
        <f t="shared" si="69"/>
        <v>Action</v>
      </c>
    </row>
    <row r="2914" spans="1:19" ht="15.75" customHeight="1" x14ac:dyDescent="0.25">
      <c r="A2914" s="4" t="s">
        <v>634</v>
      </c>
      <c r="B2914" s="4">
        <v>199</v>
      </c>
      <c r="C2914" s="4">
        <v>36883539</v>
      </c>
      <c r="D2914" s="4" t="s">
        <v>504</v>
      </c>
      <c r="E2914" s="4" t="s">
        <v>54</v>
      </c>
      <c r="F2914" s="4" t="s">
        <v>9184</v>
      </c>
      <c r="G2914" s="4">
        <v>112769</v>
      </c>
      <c r="H2914" s="4" t="s">
        <v>9185</v>
      </c>
      <c r="I2914" s="4">
        <v>305</v>
      </c>
      <c r="J2914" s="4" t="s">
        <v>23</v>
      </c>
      <c r="K2914" s="4" t="s">
        <v>176</v>
      </c>
      <c r="L2914" s="4">
        <v>52000000</v>
      </c>
      <c r="M2914" s="4">
        <v>2006</v>
      </c>
      <c r="N2914" s="4">
        <v>6.6</v>
      </c>
      <c r="O2914" s="4">
        <f ca="1">IFERROR(__xludf.DUMMYFUNCTION("IF(Cost_in_dollars!E2914=""USD"",Cost_in_dollars!B2914,Cost_in_dollars!B2914 * GOOGLEFINANCE(""CURRENCY:"" &amp; Cost_in_dollars!E2914 &amp; ""USD""))
"),56406480)</f>
        <v>56406480</v>
      </c>
      <c r="P2914" s="4">
        <f ca="1">IFERROR(__xludf.DUMMYFUNCTION("IF(Cost_in_dollars!E2914=""USD"",Cost_in_dollars!C2914,Cost_in_dollars!C2914 * GOOGLEFINANCE(""CURRENCY:"" &amp; Cost_in_dollars!E2914 &amp; ""USD""))
"),40009050.09486)</f>
        <v>40009050.094860002</v>
      </c>
      <c r="Q2914" s="4">
        <f t="shared" ca="1" si="66"/>
        <v>-16397429.905139998</v>
      </c>
      <c r="R2914" s="5" t="str">
        <f t="shared" si="67"/>
        <v>16 Blocks</v>
      </c>
      <c r="S2914" s="43" t="str">
        <f t="shared" si="69"/>
        <v>Action</v>
      </c>
    </row>
    <row r="2915" spans="1:19" ht="15.75" customHeight="1" x14ac:dyDescent="0.25">
      <c r="A2915" s="6" t="s">
        <v>1830</v>
      </c>
      <c r="B2915" s="6">
        <v>227</v>
      </c>
      <c r="C2915" s="6">
        <v>14998070</v>
      </c>
      <c r="D2915" s="6" t="s">
        <v>9186</v>
      </c>
      <c r="E2915" s="6" t="s">
        <v>1954</v>
      </c>
      <c r="F2915" s="6" t="s">
        <v>9187</v>
      </c>
      <c r="G2915" s="6">
        <v>41170</v>
      </c>
      <c r="H2915" s="6" t="s">
        <v>9188</v>
      </c>
      <c r="I2915" s="6">
        <v>298</v>
      </c>
      <c r="J2915" s="6" t="s">
        <v>23</v>
      </c>
      <c r="K2915" s="6" t="s">
        <v>24</v>
      </c>
      <c r="L2915" s="6">
        <v>35000000</v>
      </c>
      <c r="M2915" s="6">
        <v>2007</v>
      </c>
      <c r="N2915" s="6">
        <v>6.2</v>
      </c>
      <c r="O2915" s="4">
        <f ca="1">IFERROR(__xludf.DUMMYFUNCTION("IF(Cost_in_dollars!E2915=""USD"",Cost_in_dollars!B2915,Cost_in_dollars!B2915 * GOOGLEFINANCE(""CURRENCY:"" &amp; Cost_in_dollars!E2915 &amp; ""USD""))
"),35000000)</f>
        <v>35000000</v>
      </c>
      <c r="P2915" s="4">
        <f ca="1">IFERROR(__xludf.DUMMYFUNCTION("IF(Cost_in_dollars!E2915=""USD"",Cost_in_dollars!C2915,Cost_in_dollars!C2915 * GOOGLEFINANCE(""CURRENCY:"" &amp; Cost_in_dollars!E2915 &amp; ""USD""))
"),14998070)</f>
        <v>14998070</v>
      </c>
      <c r="Q2915" s="6">
        <f t="shared" ca="1" si="66"/>
        <v>-20001930</v>
      </c>
      <c r="R2915" s="7" t="str">
        <f t="shared" si="67"/>
        <v>Lions for Lambs</v>
      </c>
      <c r="S2915" s="43" t="str">
        <f t="shared" si="69"/>
        <v>Drama</v>
      </c>
    </row>
    <row r="2916" spans="1:19" ht="15.75" customHeight="1" x14ac:dyDescent="0.25">
      <c r="A2916" s="4" t="s">
        <v>9189</v>
      </c>
      <c r="B2916" s="4">
        <v>17</v>
      </c>
      <c r="C2916" s="4">
        <v>869325</v>
      </c>
      <c r="D2916" s="4" t="s">
        <v>1290</v>
      </c>
      <c r="E2916" s="4" t="s">
        <v>3818</v>
      </c>
      <c r="F2916" s="4" t="s">
        <v>9190</v>
      </c>
      <c r="G2916" s="4">
        <v>2281</v>
      </c>
      <c r="H2916" s="4" t="s">
        <v>9191</v>
      </c>
      <c r="I2916" s="4">
        <v>16</v>
      </c>
      <c r="J2916" s="4" t="s">
        <v>23</v>
      </c>
      <c r="K2916" s="4" t="s">
        <v>24</v>
      </c>
      <c r="L2916" s="4">
        <v>6000000</v>
      </c>
      <c r="M2916" s="4">
        <v>1991</v>
      </c>
      <c r="N2916" s="4">
        <v>3.8</v>
      </c>
      <c r="O2916" s="4">
        <f ca="1">IFERROR(__xludf.DUMMYFUNCTION("IF(Cost_in_dollars!E2916=""USD"",Cost_in_dollars!B2916,Cost_in_dollars!B2916 * GOOGLEFINANCE(""CURRENCY:"" &amp; Cost_in_dollars!E2916 &amp; ""USD""))
"),6000000)</f>
        <v>6000000</v>
      </c>
      <c r="P2916" s="4">
        <f ca="1">IFERROR(__xludf.DUMMYFUNCTION("IF(Cost_in_dollars!E2916=""USD"",Cost_in_dollars!C2916,Cost_in_dollars!C2916 * GOOGLEFINANCE(""CURRENCY:"" &amp; Cost_in_dollars!E2916 &amp; ""USD""))
"),869325)</f>
        <v>869325</v>
      </c>
      <c r="Q2916" s="4">
        <f t="shared" ca="1" si="66"/>
        <v>-5130675</v>
      </c>
      <c r="R2916" s="5" t="str">
        <f t="shared" si="67"/>
        <v>Beastmaster 2: Through the Portal of Time</v>
      </c>
      <c r="S2916" s="43" t="str">
        <f t="shared" si="69"/>
        <v>Action</v>
      </c>
    </row>
    <row r="2917" spans="1:19" ht="15.75" customHeight="1" x14ac:dyDescent="0.25">
      <c r="A2917" s="6" t="s">
        <v>2008</v>
      </c>
      <c r="B2917" s="6">
        <v>151</v>
      </c>
      <c r="C2917" s="6">
        <v>110000082</v>
      </c>
      <c r="D2917" s="6" t="s">
        <v>140</v>
      </c>
      <c r="E2917" s="6" t="s">
        <v>9192</v>
      </c>
      <c r="F2917" s="6" t="s">
        <v>9193</v>
      </c>
      <c r="G2917" s="6">
        <v>111526</v>
      </c>
      <c r="H2917" s="6" t="s">
        <v>9194</v>
      </c>
      <c r="I2917" s="6">
        <v>347</v>
      </c>
      <c r="J2917" s="6" t="s">
        <v>23</v>
      </c>
      <c r="K2917" s="6" t="s">
        <v>24</v>
      </c>
      <c r="L2917" s="6">
        <v>48000000</v>
      </c>
      <c r="M2917" s="6">
        <v>2003</v>
      </c>
      <c r="N2917" s="6">
        <v>5.5</v>
      </c>
      <c r="O2917" s="4">
        <f ca="1">IFERROR(__xludf.DUMMYFUNCTION("IF(Cost_in_dollars!E2917=""USD"",Cost_in_dollars!B2917,Cost_in_dollars!B2917 * GOOGLEFINANCE(""CURRENCY:"" &amp; Cost_in_dollars!E2917 &amp; ""USD""))
"),48000000)</f>
        <v>48000000</v>
      </c>
      <c r="P2917" s="4">
        <f ca="1">IFERROR(__xludf.DUMMYFUNCTION("IF(Cost_in_dollars!E2917=""USD"",Cost_in_dollars!C2917,Cost_in_dollars!C2917 * GOOGLEFINANCE(""CURRENCY:"" &amp; Cost_in_dollars!E2917 &amp; ""USD""))
"),110000082)</f>
        <v>110000082</v>
      </c>
      <c r="Q2917" s="6">
        <f t="shared" ca="1" si="66"/>
        <v>62000082</v>
      </c>
      <c r="R2917" s="7" t="str">
        <f t="shared" si="67"/>
        <v>Scary Movie 3</v>
      </c>
      <c r="S2917" s="43" t="str">
        <f t="shared" si="69"/>
        <v>Comedy</v>
      </c>
    </row>
    <row r="2918" spans="1:19" ht="15.75" customHeight="1" x14ac:dyDescent="0.25">
      <c r="A2918" s="4" t="s">
        <v>555</v>
      </c>
      <c r="B2918" s="4">
        <v>138</v>
      </c>
      <c r="C2918" s="4">
        <v>20991497</v>
      </c>
      <c r="D2918" s="4" t="s">
        <v>162</v>
      </c>
      <c r="E2918" s="4" t="s">
        <v>500</v>
      </c>
      <c r="F2918" s="4" t="s">
        <v>9195</v>
      </c>
      <c r="G2918" s="4">
        <v>39782</v>
      </c>
      <c r="H2918" s="4" t="s">
        <v>9196</v>
      </c>
      <c r="I2918" s="4">
        <v>172</v>
      </c>
      <c r="J2918" s="4" t="s">
        <v>23</v>
      </c>
      <c r="K2918" s="4" t="s">
        <v>24</v>
      </c>
      <c r="L2918" s="4">
        <v>37000000</v>
      </c>
      <c r="M2918" s="4">
        <v>2015</v>
      </c>
      <c r="N2918" s="4">
        <v>5.4</v>
      </c>
      <c r="O2918" s="4">
        <f ca="1">IFERROR(__xludf.DUMMYFUNCTION("IF(Cost_in_dollars!E2918=""USD"",Cost_in_dollars!B2918,Cost_in_dollars!B2918 * GOOGLEFINANCE(""CURRENCY:"" &amp; Cost_in_dollars!E2918 &amp; ""USD""))
"),37000000)</f>
        <v>37000000</v>
      </c>
      <c r="P2918" s="4">
        <f ca="1">IFERROR(__xludf.DUMMYFUNCTION("IF(Cost_in_dollars!E2918=""USD"",Cost_in_dollars!C2918,Cost_in_dollars!C2918 * GOOGLEFINANCE(""CURRENCY:"" &amp; Cost_in_dollars!E2918 &amp; ""USD""))
"),20991497)</f>
        <v>20991497</v>
      </c>
      <c r="Q2918" s="4">
        <f t="shared" ca="1" si="66"/>
        <v>-16008503</v>
      </c>
      <c r="R2918" s="5" t="str">
        <f t="shared" si="67"/>
        <v>Aloha</v>
      </c>
      <c r="S2918" s="43" t="str">
        <f t="shared" si="69"/>
        <v>Comedy</v>
      </c>
    </row>
    <row r="2919" spans="1:19" ht="15.75" customHeight="1" x14ac:dyDescent="0.25">
      <c r="A2919" s="6" t="s">
        <v>1335</v>
      </c>
      <c r="B2919" s="6">
        <v>70</v>
      </c>
      <c r="C2919" s="6">
        <v>3034181</v>
      </c>
      <c r="D2919" s="6" t="s">
        <v>2060</v>
      </c>
      <c r="E2919" s="6" t="s">
        <v>9197</v>
      </c>
      <c r="F2919" s="6" t="s">
        <v>9198</v>
      </c>
      <c r="G2919" s="6">
        <v>13622</v>
      </c>
      <c r="H2919" s="6" t="s">
        <v>9199</v>
      </c>
      <c r="I2919" s="6">
        <v>128</v>
      </c>
      <c r="J2919" s="6" t="s">
        <v>23</v>
      </c>
      <c r="K2919" s="6" t="s">
        <v>133</v>
      </c>
      <c r="L2919" s="6">
        <v>11000000</v>
      </c>
      <c r="M2919" s="6">
        <v>2002</v>
      </c>
      <c r="N2919" s="6">
        <v>5.4</v>
      </c>
      <c r="O2919" s="4">
        <f ca="1">IFERROR(__xludf.DUMMYFUNCTION("IF(Cost_in_dollars!E2919=""USD"",Cost_in_dollars!B2919,Cost_in_dollars!B2919 * GOOGLEFINANCE(""CURRENCY:"" &amp; Cost_in_dollars!E2919 &amp; ""USD""))
"),14139399.9999999)</f>
        <v>14139399.999999899</v>
      </c>
      <c r="P2919" s="4">
        <f ca="1">IFERROR(__xludf.DUMMYFUNCTION("IF(Cost_in_dollars!E2919=""USD"",Cost_in_dollars!C2919,Cost_in_dollars!C2919 * GOOGLEFINANCE(""CURRENCY:"" &amp; Cost_in_dollars!E2919 &amp; ""USD""))
"),3900136.25739999)</f>
        <v>3900136.2573999902</v>
      </c>
      <c r="Q2919" s="6">
        <f t="shared" ca="1" si="66"/>
        <v>-10239263.742599908</v>
      </c>
      <c r="R2919" s="7" t="str">
        <f t="shared" si="67"/>
        <v>The Guru</v>
      </c>
      <c r="S2919" s="43" t="str">
        <f t="shared" si="69"/>
        <v>Comedy</v>
      </c>
    </row>
    <row r="2920" spans="1:19" ht="15.75" customHeight="1" x14ac:dyDescent="0.25">
      <c r="A2920" s="4" t="s">
        <v>4505</v>
      </c>
      <c r="B2920" s="4">
        <v>91</v>
      </c>
      <c r="C2920" s="4">
        <v>2882062</v>
      </c>
      <c r="D2920" s="4" t="s">
        <v>162</v>
      </c>
      <c r="E2920" s="4" t="s">
        <v>9200</v>
      </c>
      <c r="F2920" s="4" t="s">
        <v>9201</v>
      </c>
      <c r="G2920" s="4">
        <v>5178</v>
      </c>
      <c r="H2920" s="4" t="s">
        <v>9202</v>
      </c>
      <c r="I2920" s="4">
        <v>101</v>
      </c>
      <c r="J2920" s="4" t="s">
        <v>23</v>
      </c>
      <c r="K2920" s="4" t="s">
        <v>24</v>
      </c>
      <c r="L2920" s="4">
        <v>150000</v>
      </c>
      <c r="M2920" s="4">
        <v>2000</v>
      </c>
      <c r="N2920" s="4">
        <v>6.3</v>
      </c>
      <c r="O2920" s="4">
        <f ca="1">IFERROR(__xludf.DUMMYFUNCTION("IF(Cost_in_dollars!E2920=""USD"",Cost_in_dollars!B2920,Cost_in_dollars!B2920 * GOOGLEFINANCE(""CURRENCY:"" &amp; Cost_in_dollars!E2920 &amp; ""USD""))
"),150000)</f>
        <v>150000</v>
      </c>
      <c r="P2920" s="4">
        <f ca="1">IFERROR(__xludf.DUMMYFUNCTION("IF(Cost_in_dollars!E2920=""USD"",Cost_in_dollars!C2920,Cost_in_dollars!C2920 * GOOGLEFINANCE(""CURRENCY:"" &amp; Cost_in_dollars!E2920 &amp; ""USD""))
"),2882062)</f>
        <v>2882062</v>
      </c>
      <c r="Q2920" s="4">
        <f t="shared" ca="1" si="66"/>
        <v>2732062</v>
      </c>
      <c r="R2920" s="5" t="str">
        <f t="shared" si="67"/>
        <v>Tadpole</v>
      </c>
      <c r="S2920" s="43" t="str">
        <f t="shared" si="69"/>
        <v>Comedy</v>
      </c>
    </row>
    <row r="2921" spans="1:19" ht="15.75" customHeight="1" x14ac:dyDescent="0.25">
      <c r="A2921" s="6" t="s">
        <v>9203</v>
      </c>
      <c r="B2921" s="6">
        <v>61</v>
      </c>
      <c r="C2921" s="6">
        <v>11806119</v>
      </c>
      <c r="D2921" s="6" t="s">
        <v>9204</v>
      </c>
      <c r="E2921" s="6" t="s">
        <v>7559</v>
      </c>
      <c r="F2921" s="6" t="s">
        <v>9205</v>
      </c>
      <c r="G2921" s="6">
        <v>57578</v>
      </c>
      <c r="H2921" s="6" t="s">
        <v>9206</v>
      </c>
      <c r="I2921" s="6">
        <v>210</v>
      </c>
      <c r="J2921" s="6" t="s">
        <v>23</v>
      </c>
      <c r="K2921" s="6" t="s">
        <v>24</v>
      </c>
      <c r="L2921" s="6">
        <v>1100000</v>
      </c>
      <c r="M2921" s="6">
        <v>1988</v>
      </c>
      <c r="N2921" s="6">
        <v>6.8</v>
      </c>
      <c r="O2921" s="4">
        <f ca="1">IFERROR(__xludf.DUMMYFUNCTION("IF(Cost_in_dollars!E2921=""USD"",Cost_in_dollars!B2921,Cost_in_dollars!B2921 * GOOGLEFINANCE(""CURRENCY:"" &amp; Cost_in_dollars!E2921 &amp; ""USD""))
"),1100000)</f>
        <v>1100000</v>
      </c>
      <c r="P2921" s="4">
        <f ca="1">IFERROR(__xludf.DUMMYFUNCTION("IF(Cost_in_dollars!E2921=""USD"",Cost_in_dollars!C2921,Cost_in_dollars!C2921 * GOOGLEFINANCE(""CURRENCY:"" &amp; Cost_in_dollars!E2921 &amp; ""USD""))
"),11806119)</f>
        <v>11806119</v>
      </c>
      <c r="Q2921" s="6">
        <f t="shared" ca="1" si="66"/>
        <v>10706119</v>
      </c>
      <c r="R2921" s="7" t="str">
        <f t="shared" si="67"/>
        <v>Bloodsport</v>
      </c>
      <c r="S2921" s="43" t="str">
        <f t="shared" si="69"/>
        <v>Action</v>
      </c>
    </row>
    <row r="2922" spans="1:19" ht="15.75" customHeight="1" x14ac:dyDescent="0.25">
      <c r="A2922" s="4" t="s">
        <v>9207</v>
      </c>
      <c r="B2922" s="4">
        <v>174</v>
      </c>
      <c r="C2922" s="4">
        <v>21471685</v>
      </c>
      <c r="D2922" s="4" t="s">
        <v>188</v>
      </c>
      <c r="E2922" s="4" t="s">
        <v>2551</v>
      </c>
      <c r="F2922" s="4" t="s">
        <v>9208</v>
      </c>
      <c r="G2922" s="4">
        <v>65464</v>
      </c>
      <c r="H2922" s="4" t="s">
        <v>9209</v>
      </c>
      <c r="I2922" s="4">
        <v>1308</v>
      </c>
      <c r="J2922" s="4" t="s">
        <v>23</v>
      </c>
      <c r="K2922" s="4" t="s">
        <v>24</v>
      </c>
      <c r="L2922" s="4">
        <v>44000000</v>
      </c>
      <c r="M2922" s="4">
        <v>2000</v>
      </c>
      <c r="N2922" s="4">
        <v>2.4</v>
      </c>
      <c r="O2922" s="4">
        <f ca="1">IFERROR(__xludf.DUMMYFUNCTION("IF(Cost_in_dollars!E2922=""USD"",Cost_in_dollars!B2922,Cost_in_dollars!B2922 * GOOGLEFINANCE(""CURRENCY:"" &amp; Cost_in_dollars!E2922 &amp; ""USD""))
"),44000000)</f>
        <v>44000000</v>
      </c>
      <c r="P2922" s="4">
        <f ca="1">IFERROR(__xludf.DUMMYFUNCTION("IF(Cost_in_dollars!E2922=""USD"",Cost_in_dollars!C2922,Cost_in_dollars!C2922 * GOOGLEFINANCE(""CURRENCY:"" &amp; Cost_in_dollars!E2922 &amp; ""USD""))
"),21471685)</f>
        <v>21471685</v>
      </c>
      <c r="Q2922" s="4">
        <f t="shared" ca="1" si="66"/>
        <v>-22528315</v>
      </c>
      <c r="R2922" s="5" t="str">
        <f t="shared" si="67"/>
        <v>Battlefield Earth</v>
      </c>
      <c r="S2922" s="43" t="str">
        <f t="shared" si="69"/>
        <v>Action</v>
      </c>
    </row>
    <row r="2923" spans="1:19" ht="15.75" customHeight="1" x14ac:dyDescent="0.25">
      <c r="A2923" s="6" t="s">
        <v>2745</v>
      </c>
      <c r="B2923" s="6">
        <v>500</v>
      </c>
      <c r="C2923" s="6">
        <v>146405371</v>
      </c>
      <c r="D2923" s="6" t="s">
        <v>188</v>
      </c>
      <c r="E2923" s="6" t="s">
        <v>1507</v>
      </c>
      <c r="F2923" s="6" t="s">
        <v>9210</v>
      </c>
      <c r="G2923" s="6">
        <v>518537</v>
      </c>
      <c r="H2923" s="6" t="s">
        <v>9211</v>
      </c>
      <c r="I2923" s="6">
        <v>698</v>
      </c>
      <c r="J2923" s="6" t="s">
        <v>23</v>
      </c>
      <c r="K2923" s="6" t="s">
        <v>24</v>
      </c>
      <c r="L2923" s="6">
        <v>160000000</v>
      </c>
      <c r="M2923" s="6">
        <v>2011</v>
      </c>
      <c r="N2923" s="6">
        <v>7.8</v>
      </c>
      <c r="O2923" s="4">
        <f ca="1">IFERROR(__xludf.DUMMYFUNCTION("IF(Cost_in_dollars!E2923=""USD"",Cost_in_dollars!B2923,Cost_in_dollars!B2923 * GOOGLEFINANCE(""CURRENCY:"" &amp; Cost_in_dollars!E2923 &amp; ""USD""))
"),160000000)</f>
        <v>160000000</v>
      </c>
      <c r="P2923" s="4">
        <f ca="1">IFERROR(__xludf.DUMMYFUNCTION("IF(Cost_in_dollars!E2923=""USD"",Cost_in_dollars!C2923,Cost_in_dollars!C2923 * GOOGLEFINANCE(""CURRENCY:"" &amp; Cost_in_dollars!E2923 &amp; ""USD""))
"),146405371)</f>
        <v>146405371</v>
      </c>
      <c r="Q2923" s="6">
        <f t="shared" ca="1" si="66"/>
        <v>-13594629</v>
      </c>
      <c r="R2923" s="7" t="str">
        <f t="shared" si="67"/>
        <v>X-Men: First Class</v>
      </c>
      <c r="S2923" s="43" t="str">
        <f t="shared" si="69"/>
        <v>Action</v>
      </c>
    </row>
    <row r="2924" spans="1:19" ht="15.75" customHeight="1" x14ac:dyDescent="0.25">
      <c r="A2924" s="4" t="s">
        <v>638</v>
      </c>
      <c r="B2924" s="4">
        <v>151</v>
      </c>
      <c r="C2924" s="4">
        <v>77032279</v>
      </c>
      <c r="D2924" s="4" t="s">
        <v>457</v>
      </c>
      <c r="E2924" s="4" t="s">
        <v>464</v>
      </c>
      <c r="F2924" s="4" t="s">
        <v>9212</v>
      </c>
      <c r="G2924" s="4">
        <v>303864</v>
      </c>
      <c r="H2924" s="4" t="s">
        <v>9213</v>
      </c>
      <c r="I2924" s="4">
        <v>596</v>
      </c>
      <c r="J2924" s="4" t="s">
        <v>23</v>
      </c>
      <c r="K2924" s="4" t="s">
        <v>24</v>
      </c>
      <c r="L2924" s="4">
        <v>60000000</v>
      </c>
      <c r="M2924" s="4">
        <v>2004</v>
      </c>
      <c r="N2924" s="4">
        <v>7.3</v>
      </c>
      <c r="O2924" s="4">
        <f ca="1">IFERROR(__xludf.DUMMYFUNCTION("IF(Cost_in_dollars!E2924=""USD"",Cost_in_dollars!B2924,Cost_in_dollars!B2924 * GOOGLEFINANCE(""CURRENCY:"" &amp; Cost_in_dollars!E2924 &amp; ""USD""))
"),60000000)</f>
        <v>60000000</v>
      </c>
      <c r="P2924" s="4">
        <f ca="1">IFERROR(__xludf.DUMMYFUNCTION("IF(Cost_in_dollars!E2924=""USD"",Cost_in_dollars!C2924,Cost_in_dollars!C2924 * GOOGLEFINANCE(""CURRENCY:"" &amp; Cost_in_dollars!E2924 &amp; ""USD""))
"),77032279)</f>
        <v>77032279</v>
      </c>
      <c r="Q2924" s="4">
        <f t="shared" ca="1" si="66"/>
        <v>17032279</v>
      </c>
      <c r="R2924" s="5" t="str">
        <f t="shared" si="67"/>
        <v>The Terminal</v>
      </c>
      <c r="S2924" s="43" t="str">
        <f t="shared" si="69"/>
        <v>Comedy</v>
      </c>
    </row>
    <row r="2925" spans="1:19" ht="15.75" customHeight="1" x14ac:dyDescent="0.25">
      <c r="A2925" s="6" t="s">
        <v>1435</v>
      </c>
      <c r="B2925" s="6">
        <v>157</v>
      </c>
      <c r="C2925" s="6">
        <v>48265581</v>
      </c>
      <c r="D2925" s="6" t="s">
        <v>314</v>
      </c>
      <c r="E2925" s="6" t="s">
        <v>9214</v>
      </c>
      <c r="F2925" s="6" t="s">
        <v>9215</v>
      </c>
      <c r="G2925" s="6">
        <v>261069</v>
      </c>
      <c r="H2925" s="6" t="s">
        <v>9216</v>
      </c>
      <c r="I2925" s="6">
        <v>506</v>
      </c>
      <c r="J2925" s="6" t="s">
        <v>23</v>
      </c>
      <c r="K2925" s="6" t="s">
        <v>24</v>
      </c>
      <c r="L2925" s="6">
        <v>50000000</v>
      </c>
      <c r="M2925" s="6">
        <v>1997</v>
      </c>
      <c r="N2925" s="6">
        <v>7.8</v>
      </c>
      <c r="O2925" s="4">
        <f ca="1">IFERROR(__xludf.DUMMYFUNCTION("IF(Cost_in_dollars!E2925=""USD"",Cost_in_dollars!B2925,Cost_in_dollars!B2925 * GOOGLEFINANCE(""CURRENCY:"" &amp; Cost_in_dollars!E2925 &amp; ""USD""))
"),50000000)</f>
        <v>50000000</v>
      </c>
      <c r="P2925" s="4">
        <f ca="1">IFERROR(__xludf.DUMMYFUNCTION("IF(Cost_in_dollars!E2925=""USD"",Cost_in_dollars!C2925,Cost_in_dollars!C2925 * GOOGLEFINANCE(""CURRENCY:"" &amp; Cost_in_dollars!E2925 &amp; ""USD""))
"),48265581)</f>
        <v>48265581</v>
      </c>
      <c r="Q2925" s="6">
        <f t="shared" ca="1" si="66"/>
        <v>-1734419</v>
      </c>
      <c r="R2925" s="7" t="str">
        <f t="shared" si="67"/>
        <v>The Game</v>
      </c>
      <c r="S2925" s="43" t="str">
        <f t="shared" si="69"/>
        <v>Drama</v>
      </c>
    </row>
    <row r="2926" spans="1:19" ht="15.75" customHeight="1" x14ac:dyDescent="0.25">
      <c r="A2926" s="4" t="s">
        <v>9217</v>
      </c>
      <c r="B2926" s="4">
        <v>90</v>
      </c>
      <c r="C2926" s="4">
        <v>7927</v>
      </c>
      <c r="D2926" s="4" t="s">
        <v>9218</v>
      </c>
      <c r="E2926" s="4" t="s">
        <v>9219</v>
      </c>
      <c r="F2926" s="4" t="s">
        <v>9220</v>
      </c>
      <c r="G2926" s="4">
        <v>19236</v>
      </c>
      <c r="H2926" s="4" t="s">
        <v>9221</v>
      </c>
      <c r="I2926" s="4">
        <v>175</v>
      </c>
      <c r="J2926" s="4" t="s">
        <v>23</v>
      </c>
      <c r="K2926" s="4" t="s">
        <v>24</v>
      </c>
      <c r="L2926" s="4">
        <v>2300000</v>
      </c>
      <c r="M2926" s="4">
        <v>1947</v>
      </c>
      <c r="N2926" s="4">
        <v>7.7</v>
      </c>
      <c r="O2926" s="4">
        <f ca="1">IFERROR(__xludf.DUMMYFUNCTION("IF(Cost_in_dollars!E2926=""USD"",Cost_in_dollars!B2926,Cost_in_dollars!B2926 * GOOGLEFINANCE(""CURRENCY:"" &amp; Cost_in_dollars!E2926 &amp; ""USD""))
"),2300000)</f>
        <v>2300000</v>
      </c>
      <c r="P2926" s="4">
        <f ca="1">IFERROR(__xludf.DUMMYFUNCTION("IF(Cost_in_dollars!E2926=""USD"",Cost_in_dollars!C2926,Cost_in_dollars!C2926 * GOOGLEFINANCE(""CURRENCY:"" &amp; Cost_in_dollars!E2926 &amp; ""USD""))
"),7927)</f>
        <v>7927</v>
      </c>
      <c r="Q2926" s="4">
        <f t="shared" ca="1" si="66"/>
        <v>-2292073</v>
      </c>
      <c r="R2926" s="5" t="str">
        <f t="shared" si="67"/>
        <v>The Lady from Shanghai</v>
      </c>
      <c r="S2926" s="43" t="str">
        <f t="shared" si="69"/>
        <v>Crime</v>
      </c>
    </row>
    <row r="2927" spans="1:19" ht="15.75" customHeight="1" x14ac:dyDescent="0.25">
      <c r="A2927" s="6" t="s">
        <v>2873</v>
      </c>
      <c r="B2927" s="6">
        <v>432</v>
      </c>
      <c r="C2927" s="6">
        <v>13401683</v>
      </c>
      <c r="D2927" s="6" t="s">
        <v>851</v>
      </c>
      <c r="E2927" s="6" t="s">
        <v>2874</v>
      </c>
      <c r="F2927" s="6" t="s">
        <v>2875</v>
      </c>
      <c r="G2927" s="6">
        <v>203461</v>
      </c>
      <c r="H2927" s="6" t="s">
        <v>2876</v>
      </c>
      <c r="I2927" s="6">
        <v>588</v>
      </c>
      <c r="J2927" s="6" t="s">
        <v>23</v>
      </c>
      <c r="K2927" s="6" t="s">
        <v>133</v>
      </c>
      <c r="L2927" s="6">
        <v>35000000</v>
      </c>
      <c r="M2927" s="6">
        <v>2012</v>
      </c>
      <c r="N2927" s="6">
        <v>7.1</v>
      </c>
      <c r="O2927" s="4">
        <f ca="1">IFERROR(__xludf.DUMMYFUNCTION("IF(Cost_in_dollars!E2927=""USD"",Cost_in_dollars!B2927,Cost_in_dollars!B2927 * GOOGLEFINANCE(""CURRENCY:"" &amp; Cost_in_dollars!E2927 &amp; ""USD""))
"),44988999.9999999)</f>
        <v>44988999.999999903</v>
      </c>
      <c r="P2927" s="4">
        <f ca="1">IFERROR(__xludf.DUMMYFUNCTION("IF(Cost_in_dollars!E2927=""USD"",Cost_in_dollars!C2927,Cost_in_dollars!C2927 * GOOGLEFINANCE(""CURRENCY:"" &amp; Cost_in_dollars!E2927 &amp; ""USD""))
"),17226523.3281999)</f>
        <v>17226523.328199901</v>
      </c>
      <c r="Q2927" s="6">
        <f t="shared" ca="1" si="66"/>
        <v>-27762476.671800002</v>
      </c>
      <c r="R2927" s="7" t="str">
        <f t="shared" si="67"/>
        <v>Dredd</v>
      </c>
      <c r="S2927" s="43" t="str">
        <f t="shared" si="69"/>
        <v>Action</v>
      </c>
    </row>
    <row r="2928" spans="1:19" ht="15.75" customHeight="1" x14ac:dyDescent="0.25">
      <c r="A2928" s="4" t="s">
        <v>52</v>
      </c>
      <c r="B2928" s="4">
        <v>486</v>
      </c>
      <c r="C2928" s="4">
        <v>120523073</v>
      </c>
      <c r="D2928" s="4" t="s">
        <v>8427</v>
      </c>
      <c r="E2928" s="4" t="s">
        <v>435</v>
      </c>
      <c r="F2928" s="4" t="s">
        <v>9222</v>
      </c>
      <c r="G2928" s="4">
        <v>885175</v>
      </c>
      <c r="H2928" s="4" t="s">
        <v>9223</v>
      </c>
      <c r="I2928" s="4">
        <v>1527</v>
      </c>
      <c r="J2928" s="4" t="s">
        <v>23</v>
      </c>
      <c r="K2928" s="4" t="s">
        <v>24</v>
      </c>
      <c r="L2928" s="4">
        <v>75000000</v>
      </c>
      <c r="M2928" s="4">
        <v>2009</v>
      </c>
      <c r="N2928" s="4">
        <v>8.3000000000000007</v>
      </c>
      <c r="O2928" s="4">
        <f ca="1">IFERROR(__xludf.DUMMYFUNCTION("IF(Cost_in_dollars!E2928=""USD"",Cost_in_dollars!B2928,Cost_in_dollars!B2928 * GOOGLEFINANCE(""CURRENCY:"" &amp; Cost_in_dollars!E2928 &amp; ""USD""))
"),75000000)</f>
        <v>75000000</v>
      </c>
      <c r="P2928" s="4">
        <f ca="1">IFERROR(__xludf.DUMMYFUNCTION("IF(Cost_in_dollars!E2928=""USD"",Cost_in_dollars!C2928,Cost_in_dollars!C2928 * GOOGLEFINANCE(""CURRENCY:"" &amp; Cost_in_dollars!E2928 &amp; ""USD""))
"),120523073)</f>
        <v>120523073</v>
      </c>
      <c r="Q2928" s="4">
        <f t="shared" ca="1" si="66"/>
        <v>45523073</v>
      </c>
      <c r="R2928" s="5" t="str">
        <f t="shared" si="67"/>
        <v>Inglourious Basterds</v>
      </c>
      <c r="S2928" s="43" t="str">
        <f t="shared" si="69"/>
        <v>Adventure</v>
      </c>
    </row>
    <row r="2929" spans="1:19" ht="15.75" customHeight="1" x14ac:dyDescent="0.25">
      <c r="A2929" s="6" t="s">
        <v>880</v>
      </c>
      <c r="B2929" s="6">
        <v>233</v>
      </c>
      <c r="C2929" s="6">
        <v>10499968</v>
      </c>
      <c r="D2929" s="6" t="s">
        <v>504</v>
      </c>
      <c r="E2929" s="6" t="s">
        <v>2229</v>
      </c>
      <c r="F2929" s="6" t="s">
        <v>2230</v>
      </c>
      <c r="G2929" s="6">
        <v>47498</v>
      </c>
      <c r="H2929" s="6" t="s">
        <v>2231</v>
      </c>
      <c r="I2929" s="6">
        <v>212</v>
      </c>
      <c r="J2929" s="6" t="s">
        <v>23</v>
      </c>
      <c r="K2929" s="6" t="s">
        <v>24</v>
      </c>
      <c r="L2929" s="6">
        <v>35000000</v>
      </c>
      <c r="M2929" s="6">
        <v>2014</v>
      </c>
      <c r="N2929" s="6">
        <v>5.7</v>
      </c>
      <c r="O2929" s="4">
        <f ca="1">IFERROR(__xludf.DUMMYFUNCTION("IF(Cost_in_dollars!E2929=""USD"",Cost_in_dollars!B2929,Cost_in_dollars!B2929 * GOOGLEFINANCE(""CURRENCY:"" &amp; Cost_in_dollars!E2929 &amp; ""USD""))
"),35000000)</f>
        <v>35000000</v>
      </c>
      <c r="P2929" s="4">
        <f ca="1">IFERROR(__xludf.DUMMYFUNCTION("IF(Cost_in_dollars!E2929=""USD"",Cost_in_dollars!C2929,Cost_in_dollars!C2929 * GOOGLEFINANCE(""CURRENCY:"" &amp; Cost_in_dollars!E2929 &amp; ""USD""))
"),10499968)</f>
        <v>10499968</v>
      </c>
      <c r="Q2929" s="6">
        <f t="shared" ca="1" si="66"/>
        <v>-24500032</v>
      </c>
      <c r="R2929" s="7" t="str">
        <f t="shared" si="67"/>
        <v>Sabotage</v>
      </c>
      <c r="S2929" s="43" t="str">
        <f t="shared" si="69"/>
        <v>Action</v>
      </c>
    </row>
    <row r="2930" spans="1:19" ht="15.75" customHeight="1" x14ac:dyDescent="0.25">
      <c r="A2930" s="4" t="s">
        <v>6474</v>
      </c>
      <c r="B2930" s="4">
        <v>106</v>
      </c>
      <c r="C2930" s="4">
        <v>109713132</v>
      </c>
      <c r="D2930" s="4" t="s">
        <v>649</v>
      </c>
      <c r="E2930" s="4" t="s">
        <v>6474</v>
      </c>
      <c r="F2930" s="4" t="s">
        <v>9224</v>
      </c>
      <c r="G2930" s="4">
        <v>61621</v>
      </c>
      <c r="H2930" s="4" t="s">
        <v>9225</v>
      </c>
      <c r="I2930" s="4">
        <v>219</v>
      </c>
      <c r="J2930" s="4" t="s">
        <v>23</v>
      </c>
      <c r="K2930" s="4" t="s">
        <v>24</v>
      </c>
      <c r="L2930" s="4">
        <v>25000000</v>
      </c>
      <c r="M2930" s="4">
        <v>1986</v>
      </c>
      <c r="N2930" s="4">
        <v>7.3</v>
      </c>
      <c r="O2930" s="4">
        <f ca="1">IFERROR(__xludf.DUMMYFUNCTION("IF(Cost_in_dollars!E2930=""USD"",Cost_in_dollars!B2930,Cost_in_dollars!B2930 * GOOGLEFINANCE(""CURRENCY:"" &amp; Cost_in_dollars!E2930 &amp; ""USD""))
"),25000000)</f>
        <v>25000000</v>
      </c>
      <c r="P2930" s="4">
        <f ca="1">IFERROR(__xludf.DUMMYFUNCTION("IF(Cost_in_dollars!E2930=""USD"",Cost_in_dollars!C2930,Cost_in_dollars!C2930 * GOOGLEFINANCE(""CURRENCY:"" &amp; Cost_in_dollars!E2930 &amp; ""USD""))
"),109713132)</f>
        <v>109713132</v>
      </c>
      <c r="Q2930" s="4">
        <f t="shared" ca="1" si="66"/>
        <v>84713132</v>
      </c>
      <c r="R2930" s="5" t="str">
        <f t="shared" si="67"/>
        <v>Star Trek IV: The Voyage Home</v>
      </c>
      <c r="S2930" s="43" t="str">
        <f t="shared" si="69"/>
        <v>Adventure</v>
      </c>
    </row>
    <row r="2931" spans="1:19" ht="15.75" customHeight="1" x14ac:dyDescent="0.25">
      <c r="A2931" s="6" t="s">
        <v>3713</v>
      </c>
      <c r="B2931" s="6">
        <v>18</v>
      </c>
      <c r="C2931" s="6">
        <v>3562749</v>
      </c>
      <c r="D2931" s="6" t="s">
        <v>6458</v>
      </c>
      <c r="E2931" s="6" t="s">
        <v>2019</v>
      </c>
      <c r="F2931" s="6" t="s">
        <v>9226</v>
      </c>
      <c r="G2931" s="6">
        <v>5600</v>
      </c>
      <c r="H2931" s="6" t="s">
        <v>9227</v>
      </c>
      <c r="I2931" s="6">
        <v>49</v>
      </c>
      <c r="J2931" s="6" t="s">
        <v>23</v>
      </c>
      <c r="K2931" s="6" t="s">
        <v>24</v>
      </c>
      <c r="L2931" s="6">
        <v>32000000</v>
      </c>
      <c r="M2931" s="6">
        <v>1997</v>
      </c>
      <c r="N2931" s="6">
        <v>6.9</v>
      </c>
      <c r="O2931" s="4">
        <f ca="1">IFERROR(__xludf.DUMMYFUNCTION("IF(Cost_in_dollars!E2931=""USD"",Cost_in_dollars!B2931,Cost_in_dollars!B2931 * GOOGLEFINANCE(""CURRENCY:"" &amp; Cost_in_dollars!E2931 &amp; ""USD""))
"),32000000)</f>
        <v>32000000</v>
      </c>
      <c r="P2931" s="4">
        <f ca="1">IFERROR(__xludf.DUMMYFUNCTION("IF(Cost_in_dollars!E2931=""USD"",Cost_in_dollars!C2931,Cost_in_dollars!C2931 * GOOGLEFINANCE(""CURRENCY:"" &amp; Cost_in_dollars!E2931 &amp; ""USD""))
"),3562749)</f>
        <v>3562749</v>
      </c>
      <c r="Q2931" s="6">
        <f t="shared" ca="1" si="66"/>
        <v>-28437251</v>
      </c>
      <c r="R2931" s="7" t="str">
        <f t="shared" si="67"/>
        <v>Cats Don't Dance</v>
      </c>
      <c r="S2931" s="43" t="str">
        <f t="shared" si="69"/>
        <v>Animation</v>
      </c>
    </row>
    <row r="2932" spans="1:19" ht="15.75" customHeight="1" x14ac:dyDescent="0.25">
      <c r="A2932" s="4" t="s">
        <v>201</v>
      </c>
      <c r="B2932" s="4">
        <v>206</v>
      </c>
      <c r="C2932" s="4">
        <v>62318875</v>
      </c>
      <c r="D2932" s="4" t="s">
        <v>452</v>
      </c>
      <c r="E2932" s="4" t="s">
        <v>203</v>
      </c>
      <c r="F2932" s="4" t="s">
        <v>9228</v>
      </c>
      <c r="G2932" s="4">
        <v>156225</v>
      </c>
      <c r="H2932" s="4" t="s">
        <v>9229</v>
      </c>
      <c r="I2932" s="4">
        <v>502</v>
      </c>
      <c r="J2932" s="4" t="s">
        <v>23</v>
      </c>
      <c r="K2932" s="4" t="s">
        <v>24</v>
      </c>
      <c r="L2932" s="4">
        <v>50000000</v>
      </c>
      <c r="M2932" s="4">
        <v>2006</v>
      </c>
      <c r="N2932" s="4">
        <v>6.8</v>
      </c>
      <c r="O2932" s="4">
        <f ca="1">IFERROR(__xludf.DUMMYFUNCTION("IF(Cost_in_dollars!E2932=""USD"",Cost_in_dollars!B2932,Cost_in_dollars!B2932 * GOOGLEFINANCE(""CURRENCY:"" &amp; Cost_in_dollars!E2932 &amp; ""USD""))
"),50000000)</f>
        <v>50000000</v>
      </c>
      <c r="P2932" s="4">
        <f ca="1">IFERROR(__xludf.DUMMYFUNCTION("IF(Cost_in_dollars!E2932=""USD"",Cost_in_dollars!C2932,Cost_in_dollars!C2932 * GOOGLEFINANCE(""CURRENCY:"" &amp; Cost_in_dollars!E2932 &amp; ""USD""))
"),62318875)</f>
        <v>62318875</v>
      </c>
      <c r="Q2932" s="4">
        <f t="shared" ca="1" si="66"/>
        <v>12318875</v>
      </c>
      <c r="R2932" s="5" t="str">
        <f t="shared" si="67"/>
        <v>Underworld: Evolution</v>
      </c>
      <c r="S2932" s="43" t="str">
        <f t="shared" si="69"/>
        <v>Action</v>
      </c>
    </row>
    <row r="2933" spans="1:19" ht="15.75" customHeight="1" x14ac:dyDescent="0.25">
      <c r="A2933" s="6" t="s">
        <v>9230</v>
      </c>
      <c r="B2933" s="6">
        <v>101</v>
      </c>
      <c r="C2933" s="6">
        <v>37752931</v>
      </c>
      <c r="D2933" s="6" t="s">
        <v>235</v>
      </c>
      <c r="E2933" s="6" t="s">
        <v>881</v>
      </c>
      <c r="F2933" s="6" t="s">
        <v>9231</v>
      </c>
      <c r="G2933" s="6">
        <v>20201</v>
      </c>
      <c r="H2933" s="6" t="s">
        <v>9232</v>
      </c>
      <c r="I2933" s="6">
        <v>180</v>
      </c>
      <c r="J2933" s="6" t="s">
        <v>23</v>
      </c>
      <c r="K2933" s="6" t="s">
        <v>24</v>
      </c>
      <c r="L2933" s="6">
        <v>40000000</v>
      </c>
      <c r="M2933" s="6">
        <v>2000</v>
      </c>
      <c r="N2933" s="6">
        <v>5.5</v>
      </c>
      <c r="O2933" s="4">
        <f ca="1">IFERROR(__xludf.DUMMYFUNCTION("IF(Cost_in_dollars!E2933=""USD"",Cost_in_dollars!B2933,Cost_in_dollars!B2933 * GOOGLEFINANCE(""CURRENCY:"" &amp; Cost_in_dollars!E2933 &amp; ""USD""))
"),40000000)</f>
        <v>40000000</v>
      </c>
      <c r="P2933" s="4">
        <f ca="1">IFERROR(__xludf.DUMMYFUNCTION("IF(Cost_in_dollars!E2933=""USD"",Cost_in_dollars!C2933,Cost_in_dollars!C2933 * GOOGLEFINANCE(""CURRENCY:"" &amp; Cost_in_dollars!E2933 &amp; ""USD""))
"),37752931)</f>
        <v>37752931</v>
      </c>
      <c r="Q2933" s="6">
        <f t="shared" ca="1" si="66"/>
        <v>-2247069</v>
      </c>
      <c r="R2933" s="7" t="str">
        <f t="shared" si="67"/>
        <v>Autumn in New York</v>
      </c>
      <c r="S2933" s="43" t="str">
        <f t="shared" si="69"/>
        <v>Drama</v>
      </c>
    </row>
    <row r="2934" spans="1:19" ht="15.75" customHeight="1" x14ac:dyDescent="0.25">
      <c r="A2934" s="4" t="s">
        <v>638</v>
      </c>
      <c r="B2934" s="4">
        <v>77</v>
      </c>
      <c r="C2934" s="4">
        <v>44175394</v>
      </c>
      <c r="D2934" s="4" t="s">
        <v>216</v>
      </c>
      <c r="E2934" s="4" t="s">
        <v>240</v>
      </c>
      <c r="F2934" s="4" t="s">
        <v>9233</v>
      </c>
      <c r="G2934" s="4">
        <v>56509</v>
      </c>
      <c r="H2934" s="4" t="s">
        <v>9234</v>
      </c>
      <c r="I2934" s="4">
        <v>227</v>
      </c>
      <c r="J2934" s="4" t="s">
        <v>23</v>
      </c>
      <c r="K2934" s="4" t="s">
        <v>24</v>
      </c>
      <c r="L2934" s="4">
        <v>36000000</v>
      </c>
      <c r="M2934" s="4">
        <v>1997</v>
      </c>
      <c r="N2934" s="4">
        <v>7.2</v>
      </c>
      <c r="O2934" s="4">
        <f ca="1">IFERROR(__xludf.DUMMYFUNCTION("IF(Cost_in_dollars!E2934=""USD"",Cost_in_dollars!B2934,Cost_in_dollars!B2934 * GOOGLEFINANCE(""CURRENCY:"" &amp; Cost_in_dollars!E2934 &amp; ""USD""))
"),36000000)</f>
        <v>36000000</v>
      </c>
      <c r="P2934" s="4">
        <f ca="1">IFERROR(__xludf.DUMMYFUNCTION("IF(Cost_in_dollars!E2934=""USD"",Cost_in_dollars!C2934,Cost_in_dollars!C2934 * GOOGLEFINANCE(""CURRENCY:"" &amp; Cost_in_dollars!E2934 &amp; ""USD""))
"),44175394)</f>
        <v>44175394</v>
      </c>
      <c r="Q2934" s="4">
        <f t="shared" ca="1" si="66"/>
        <v>8175394</v>
      </c>
      <c r="R2934" s="5" t="str">
        <f t="shared" si="67"/>
        <v>Amistad</v>
      </c>
      <c r="S2934" s="43" t="str">
        <f t="shared" si="69"/>
        <v>Drama</v>
      </c>
    </row>
    <row r="2935" spans="1:19" ht="15.75" customHeight="1" x14ac:dyDescent="0.25">
      <c r="A2935" s="6" t="s">
        <v>1574</v>
      </c>
      <c r="B2935" s="6">
        <v>241</v>
      </c>
      <c r="C2935" s="6">
        <v>54758461</v>
      </c>
      <c r="D2935" s="6" t="s">
        <v>222</v>
      </c>
      <c r="E2935" s="6" t="s">
        <v>1649</v>
      </c>
      <c r="F2935" s="6" t="s">
        <v>9235</v>
      </c>
      <c r="G2935" s="6">
        <v>147641</v>
      </c>
      <c r="H2935" s="6" t="s">
        <v>9236</v>
      </c>
      <c r="I2935" s="6">
        <v>238</v>
      </c>
      <c r="J2935" s="6" t="s">
        <v>23</v>
      </c>
      <c r="K2935" s="6" t="s">
        <v>24</v>
      </c>
      <c r="L2935" s="6">
        <v>65000000</v>
      </c>
      <c r="M2935" s="6">
        <v>2012</v>
      </c>
      <c r="N2935" s="6">
        <v>6.3</v>
      </c>
      <c r="O2935" s="4">
        <f ca="1">IFERROR(__xludf.DUMMYFUNCTION("IF(Cost_in_dollars!E2935=""USD"",Cost_in_dollars!B2935,Cost_in_dollars!B2935 * GOOGLEFINANCE(""CURRENCY:"" &amp; Cost_in_dollars!E2935 &amp; ""USD""))
"),65000000)</f>
        <v>65000000</v>
      </c>
      <c r="P2935" s="4">
        <f ca="1">IFERROR(__xludf.DUMMYFUNCTION("IF(Cost_in_dollars!E2935=""USD"",Cost_in_dollars!C2935,Cost_in_dollars!C2935 * GOOGLEFINANCE(""CURRENCY:"" &amp; Cost_in_dollars!E2935 &amp; ""USD""))
"),54758461)</f>
        <v>54758461</v>
      </c>
      <c r="Q2935" s="6">
        <f t="shared" ca="1" si="66"/>
        <v>-10241539</v>
      </c>
      <c r="R2935" s="7" t="str">
        <f t="shared" si="67"/>
        <v>This Means War</v>
      </c>
      <c r="S2935" s="43" t="str">
        <f t="shared" si="69"/>
        <v>Action</v>
      </c>
    </row>
    <row r="2936" spans="1:19" ht="15.75" customHeight="1" x14ac:dyDescent="0.25">
      <c r="A2936" s="4" t="s">
        <v>9237</v>
      </c>
      <c r="B2936" s="4">
        <v>27</v>
      </c>
      <c r="C2936" s="4">
        <v>70527</v>
      </c>
      <c r="D2936" s="4" t="s">
        <v>457</v>
      </c>
      <c r="E2936" s="4" t="s">
        <v>3050</v>
      </c>
      <c r="F2936" s="4" t="s">
        <v>9238</v>
      </c>
      <c r="G2936" s="4">
        <v>7690</v>
      </c>
      <c r="H2936" s="4" t="s">
        <v>9239</v>
      </c>
      <c r="I2936" s="4">
        <v>68</v>
      </c>
      <c r="J2936" s="4" t="s">
        <v>23</v>
      </c>
      <c r="K2936" s="4" t="s">
        <v>24</v>
      </c>
      <c r="L2936" s="4">
        <v>6500000</v>
      </c>
      <c r="M2936" s="4">
        <v>2004</v>
      </c>
      <c r="N2936" s="4">
        <v>6.7</v>
      </c>
      <c r="O2936" s="4">
        <f ca="1">IFERROR(__xludf.DUMMYFUNCTION("IF(Cost_in_dollars!E2936=""USD"",Cost_in_dollars!B2936,Cost_in_dollars!B2936 * GOOGLEFINANCE(""CURRENCY:"" &amp; Cost_in_dollars!E2936 &amp; ""USD""))
"),6500000)</f>
        <v>6500000</v>
      </c>
      <c r="P2936" s="4">
        <f ca="1">IFERROR(__xludf.DUMMYFUNCTION("IF(Cost_in_dollars!E2936=""USD"",Cost_in_dollars!C2936,Cost_in_dollars!C2936 * GOOGLEFINANCE(""CURRENCY:"" &amp; Cost_in_dollars!E2936 &amp; ""USD""))
"),70527)</f>
        <v>70527</v>
      </c>
      <c r="Q2936" s="4">
        <f t="shared" ca="1" si="66"/>
        <v>-6429473</v>
      </c>
      <c r="R2936" s="5" t="str">
        <f t="shared" si="67"/>
        <v>Eulogy</v>
      </c>
      <c r="S2936" s="43" t="str">
        <f t="shared" si="69"/>
        <v>Comedy</v>
      </c>
    </row>
    <row r="2937" spans="1:19" ht="15.75" customHeight="1" x14ac:dyDescent="0.25">
      <c r="A2937" s="6" t="s">
        <v>1321</v>
      </c>
      <c r="B2937" s="6">
        <v>539</v>
      </c>
      <c r="C2937" s="6">
        <v>233914986</v>
      </c>
      <c r="D2937" s="6" t="s">
        <v>452</v>
      </c>
      <c r="E2937" s="6" t="s">
        <v>1507</v>
      </c>
      <c r="F2937" s="6" t="s">
        <v>9240</v>
      </c>
      <c r="G2937" s="6">
        <v>514125</v>
      </c>
      <c r="H2937" s="6" t="s">
        <v>9241</v>
      </c>
      <c r="I2937" s="6">
        <v>752</v>
      </c>
      <c r="J2937" s="6" t="s">
        <v>23</v>
      </c>
      <c r="K2937" s="6" t="s">
        <v>24</v>
      </c>
      <c r="L2937" s="6">
        <v>200000000</v>
      </c>
      <c r="M2937" s="6">
        <v>2014</v>
      </c>
      <c r="N2937" s="6">
        <v>8</v>
      </c>
      <c r="O2937" s="4">
        <f ca="1">IFERROR(__xludf.DUMMYFUNCTION("IF(Cost_in_dollars!E2937=""USD"",Cost_in_dollars!B2937,Cost_in_dollars!B2937 * GOOGLEFINANCE(""CURRENCY:"" &amp; Cost_in_dollars!E2937 &amp; ""USD""))
"),200000000)</f>
        <v>200000000</v>
      </c>
      <c r="P2937" s="4">
        <f ca="1">IFERROR(__xludf.DUMMYFUNCTION("IF(Cost_in_dollars!E2937=""USD"",Cost_in_dollars!C2937,Cost_in_dollars!C2937 * GOOGLEFINANCE(""CURRENCY:"" &amp; Cost_in_dollars!E2937 &amp; ""USD""))
"),233914986)</f>
        <v>233914986</v>
      </c>
      <c r="Q2937" s="6">
        <f t="shared" ca="1" si="66"/>
        <v>33914986</v>
      </c>
      <c r="R2937" s="7" t="str">
        <f t="shared" si="67"/>
        <v>X-Men: Days of Future Past</v>
      </c>
      <c r="S2937" s="43" t="str">
        <f t="shared" si="69"/>
        <v>Action</v>
      </c>
    </row>
    <row r="2938" spans="1:19" ht="15.75" customHeight="1" x14ac:dyDescent="0.25">
      <c r="A2938" s="4" t="s">
        <v>9242</v>
      </c>
      <c r="B2938" s="4">
        <v>93</v>
      </c>
      <c r="C2938" s="4">
        <v>7739049</v>
      </c>
      <c r="D2938" s="4" t="s">
        <v>162</v>
      </c>
      <c r="E2938" s="4" t="s">
        <v>3606</v>
      </c>
      <c r="F2938" s="4" t="s">
        <v>9243</v>
      </c>
      <c r="G2938" s="4">
        <v>10680</v>
      </c>
      <c r="H2938" s="4" t="s">
        <v>9244</v>
      </c>
      <c r="I2938" s="4">
        <v>112</v>
      </c>
      <c r="J2938" s="4" t="s">
        <v>23</v>
      </c>
      <c r="K2938" s="4" t="s">
        <v>627</v>
      </c>
      <c r="L2938" s="4">
        <v>18000000</v>
      </c>
      <c r="M2938" s="4">
        <v>2004</v>
      </c>
      <c r="N2938" s="4">
        <v>7.1</v>
      </c>
      <c r="O2938" s="4">
        <f ca="1">IFERROR(__xludf.DUMMYFUNCTION("IF(Cost_in_dollars!E2938=""USD"",Cost_in_dollars!B2938,Cost_in_dollars!B2938 * GOOGLEFINANCE(""CURRENCY:"" &amp; Cost_in_dollars!E2938 &amp; ""USD""))
"),13021290)</f>
        <v>13021290</v>
      </c>
      <c r="P2938" s="4">
        <f ca="1">IFERROR(__xludf.DUMMYFUNCTION("IF(Cost_in_dollars!E2938=""USD"",Cost_in_dollars!C2938,Cost_in_dollars!C2938 * GOOGLEFINANCE(""CURRENCY:"" &amp; Cost_in_dollars!E2938 &amp; ""USD""))
"),5598466.741845)</f>
        <v>5598466.7418449996</v>
      </c>
      <c r="Q2938" s="4">
        <f t="shared" ca="1" si="66"/>
        <v>-7422823.2581550004</v>
      </c>
      <c r="R2938" s="5" t="str">
        <f t="shared" si="67"/>
        <v>Being Julia</v>
      </c>
      <c r="S2938" s="43" t="str">
        <f t="shared" si="69"/>
        <v>Comedy</v>
      </c>
    </row>
    <row r="2939" spans="1:19" ht="15.75" customHeight="1" x14ac:dyDescent="0.25">
      <c r="A2939" s="6" t="s">
        <v>9245</v>
      </c>
      <c r="B2939" s="6">
        <v>181</v>
      </c>
      <c r="C2939" s="6">
        <v>82234139</v>
      </c>
      <c r="D2939" s="6" t="s">
        <v>509</v>
      </c>
      <c r="E2939" s="6" t="s">
        <v>814</v>
      </c>
      <c r="F2939" s="6" t="s">
        <v>9246</v>
      </c>
      <c r="G2939" s="6">
        <v>110390</v>
      </c>
      <c r="H2939" s="6" t="s">
        <v>9247</v>
      </c>
      <c r="I2939" s="6">
        <v>522</v>
      </c>
      <c r="J2939" s="6" t="s">
        <v>23</v>
      </c>
      <c r="K2939" s="6" t="s">
        <v>24</v>
      </c>
      <c r="L2939" s="6">
        <v>17000000</v>
      </c>
      <c r="M2939" s="6">
        <v>2007</v>
      </c>
      <c r="N2939" s="6">
        <v>7.2</v>
      </c>
      <c r="O2939" s="4">
        <f ca="1">IFERROR(__xludf.DUMMYFUNCTION("IF(Cost_in_dollars!E2939=""USD"",Cost_in_dollars!B2939,Cost_in_dollars!B2939 * GOOGLEFINANCE(""CURRENCY:"" &amp; Cost_in_dollars!E2939 &amp; ""USD""))
"),17000000)</f>
        <v>17000000</v>
      </c>
      <c r="P2939" s="4">
        <f ca="1">IFERROR(__xludf.DUMMYFUNCTION("IF(Cost_in_dollars!E2939=""USD"",Cost_in_dollars!C2939,Cost_in_dollars!C2939 * GOOGLEFINANCE(""CURRENCY:"" &amp; Cost_in_dollars!E2939 &amp; ""USD""))
"),82234139)</f>
        <v>82234139</v>
      </c>
      <c r="Q2939" s="6">
        <f t="shared" ca="1" si="66"/>
        <v>65234139</v>
      </c>
      <c r="R2939" s="7" t="str">
        <f t="shared" si="67"/>
        <v>Bridge to Terabithia</v>
      </c>
      <c r="S2939" s="43" t="str">
        <f t="shared" si="69"/>
        <v>Adventure</v>
      </c>
    </row>
    <row r="2940" spans="1:19" ht="15.75" customHeight="1" x14ac:dyDescent="0.25">
      <c r="A2940" s="4" t="s">
        <v>532</v>
      </c>
      <c r="B2940" s="4">
        <v>39</v>
      </c>
      <c r="C2940" s="4">
        <v>92115211</v>
      </c>
      <c r="D2940" s="4" t="s">
        <v>438</v>
      </c>
      <c r="E2940" s="4" t="s">
        <v>9248</v>
      </c>
      <c r="F2940" s="4" t="s">
        <v>9249</v>
      </c>
      <c r="G2940" s="4">
        <v>45798</v>
      </c>
      <c r="H2940" s="4" t="s">
        <v>9250</v>
      </c>
      <c r="I2940" s="4">
        <v>94</v>
      </c>
      <c r="J2940" s="4" t="s">
        <v>23</v>
      </c>
      <c r="K2940" s="4" t="s">
        <v>24</v>
      </c>
      <c r="L2940" s="4">
        <v>45000000</v>
      </c>
      <c r="M2940" s="4">
        <v>1994</v>
      </c>
      <c r="N2940" s="4">
        <v>6.7</v>
      </c>
      <c r="O2940" s="4">
        <f ca="1">IFERROR(__xludf.DUMMYFUNCTION("IF(Cost_in_dollars!E2940=""USD"",Cost_in_dollars!B2940,Cost_in_dollars!B2940 * GOOGLEFINANCE(""CURRENCY:"" &amp; Cost_in_dollars!E2940 &amp; ""USD""))
"),45000000)</f>
        <v>45000000</v>
      </c>
      <c r="P2940" s="4">
        <f ca="1">IFERROR(__xludf.DUMMYFUNCTION("IF(Cost_in_dollars!E2940=""USD"",Cost_in_dollars!C2940,Cost_in_dollars!C2940 * GOOGLEFINANCE(""CURRENCY:"" &amp; Cost_in_dollars!E2940 &amp; ""USD""))
"),92115211)</f>
        <v>92115211</v>
      </c>
      <c r="Q2940" s="4">
        <f t="shared" ca="1" si="66"/>
        <v>47115211</v>
      </c>
      <c r="R2940" s="5" t="str">
        <f t="shared" si="67"/>
        <v>The Client</v>
      </c>
      <c r="S2940" s="43" t="str">
        <f t="shared" si="69"/>
        <v>Crime</v>
      </c>
    </row>
    <row r="2941" spans="1:19" ht="15.75" customHeight="1" x14ac:dyDescent="0.25">
      <c r="A2941" s="6" t="s">
        <v>778</v>
      </c>
      <c r="B2941" s="6">
        <v>236</v>
      </c>
      <c r="C2941" s="6">
        <v>39825798</v>
      </c>
      <c r="D2941" s="6" t="s">
        <v>1028</v>
      </c>
      <c r="E2941" s="6" t="s">
        <v>7739</v>
      </c>
      <c r="F2941" s="6" t="s">
        <v>9251</v>
      </c>
      <c r="G2941" s="6">
        <v>295375</v>
      </c>
      <c r="H2941" s="6" t="s">
        <v>9252</v>
      </c>
      <c r="I2941" s="6">
        <v>645</v>
      </c>
      <c r="J2941" s="6" t="s">
        <v>23</v>
      </c>
      <c r="K2941" s="6" t="s">
        <v>24</v>
      </c>
      <c r="L2941" s="6">
        <v>16000000</v>
      </c>
      <c r="M2941" s="6">
        <v>2006</v>
      </c>
      <c r="N2941" s="6">
        <v>7.6</v>
      </c>
      <c r="O2941" s="4">
        <f ca="1">IFERROR(__xludf.DUMMYFUNCTION("IF(Cost_in_dollars!E2941=""USD"",Cost_in_dollars!B2941,Cost_in_dollars!B2941 * GOOGLEFINANCE(""CURRENCY:"" &amp; Cost_in_dollars!E2941 &amp; ""USD""))
"),16000000)</f>
        <v>16000000</v>
      </c>
      <c r="P2941" s="4">
        <f ca="1">IFERROR(__xludf.DUMMYFUNCTION("IF(Cost_in_dollars!E2941=""USD"",Cost_in_dollars!C2941,Cost_in_dollars!C2941 * GOOGLEFINANCE(""CURRENCY:"" &amp; Cost_in_dollars!E2941 &amp; ""USD""))
"),39825798)</f>
        <v>39825798</v>
      </c>
      <c r="Q2941" s="6">
        <f t="shared" ca="1" si="66"/>
        <v>23825798</v>
      </c>
      <c r="R2941" s="7" t="str">
        <f t="shared" si="67"/>
        <v>The Illusionist</v>
      </c>
      <c r="S2941" s="43" t="str">
        <f t="shared" si="69"/>
        <v>Drama</v>
      </c>
    </row>
    <row r="2942" spans="1:19" ht="15.75" customHeight="1" x14ac:dyDescent="0.25">
      <c r="A2942" s="4" t="s">
        <v>535</v>
      </c>
      <c r="B2942" s="4">
        <v>112</v>
      </c>
      <c r="C2942" s="4">
        <v>8662318</v>
      </c>
      <c r="D2942" s="4" t="s">
        <v>88</v>
      </c>
      <c r="E2942" s="4" t="s">
        <v>293</v>
      </c>
      <c r="F2942" s="4" t="s">
        <v>9253</v>
      </c>
      <c r="G2942" s="4">
        <v>15033</v>
      </c>
      <c r="H2942" s="4" t="s">
        <v>9254</v>
      </c>
      <c r="I2942" s="4">
        <v>75</v>
      </c>
      <c r="J2942" s="4" t="s">
        <v>23</v>
      </c>
      <c r="K2942" s="4" t="s">
        <v>24</v>
      </c>
      <c r="L2942" s="4">
        <v>17000000</v>
      </c>
      <c r="M2942" s="4">
        <v>2009</v>
      </c>
      <c r="N2942" s="4">
        <v>5.9</v>
      </c>
      <c r="O2942" s="4">
        <f ca="1">IFERROR(__xludf.DUMMYFUNCTION("IF(Cost_in_dollars!E2942=""USD"",Cost_in_dollars!B2942,Cost_in_dollars!B2942 * GOOGLEFINANCE(""CURRENCY:"" &amp; Cost_in_dollars!E2942 &amp; ""USD""))
"),17000000)</f>
        <v>17000000</v>
      </c>
      <c r="P2942" s="4">
        <f ca="1">IFERROR(__xludf.DUMMYFUNCTION("IF(Cost_in_dollars!E2942=""USD"",Cost_in_dollars!C2942,Cost_in_dollars!C2942 * GOOGLEFINANCE(""CURRENCY:"" &amp; Cost_in_dollars!E2942 &amp; ""USD""))
"),8662318)</f>
        <v>8662318</v>
      </c>
      <c r="Q2942" s="4">
        <f t="shared" ca="1" si="66"/>
        <v>-8337682</v>
      </c>
      <c r="R2942" s="5" t="str">
        <f t="shared" si="67"/>
        <v>My Life in Ruins</v>
      </c>
      <c r="S2942" s="43" t="str">
        <f t="shared" si="69"/>
        <v>Comedy</v>
      </c>
    </row>
    <row r="2943" spans="1:19" ht="15.75" customHeight="1" x14ac:dyDescent="0.25">
      <c r="A2943" s="6" t="s">
        <v>9255</v>
      </c>
      <c r="B2943" s="6">
        <v>38</v>
      </c>
      <c r="C2943" s="6">
        <v>1027119</v>
      </c>
      <c r="D2943" s="6" t="s">
        <v>102</v>
      </c>
      <c r="E2943" s="6" t="s">
        <v>9256</v>
      </c>
      <c r="F2943" s="6" t="s">
        <v>9257</v>
      </c>
      <c r="G2943" s="6">
        <v>2742</v>
      </c>
      <c r="H2943" s="6" t="s">
        <v>9258</v>
      </c>
      <c r="I2943" s="6">
        <v>73</v>
      </c>
      <c r="J2943" s="6" t="s">
        <v>23</v>
      </c>
      <c r="K2943" s="6" t="s">
        <v>24</v>
      </c>
      <c r="L2943" s="6">
        <v>225000</v>
      </c>
      <c r="M2943" s="6">
        <v>2000</v>
      </c>
      <c r="N2943" s="6">
        <v>7</v>
      </c>
      <c r="O2943" s="4">
        <f ca="1">IFERROR(__xludf.DUMMYFUNCTION("IF(Cost_in_dollars!E2943=""USD"",Cost_in_dollars!B2943,Cost_in_dollars!B2943 * GOOGLEFINANCE(""CURRENCY:"" &amp; Cost_in_dollars!E2943 &amp; ""USD""))
"),225000)</f>
        <v>225000</v>
      </c>
      <c r="P2943" s="4">
        <f ca="1">IFERROR(__xludf.DUMMYFUNCTION("IF(Cost_in_dollars!E2943=""USD"",Cost_in_dollars!C2943,Cost_in_dollars!C2943 * GOOGLEFINANCE(""CURRENCY:"" &amp; Cost_in_dollars!E2943 &amp; ""USD""))
"),1027119)</f>
        <v>1027119</v>
      </c>
      <c r="Q2943" s="6">
        <f t="shared" ca="1" si="66"/>
        <v>802119</v>
      </c>
      <c r="R2943" s="7" t="str">
        <f t="shared" si="67"/>
        <v>Urbania</v>
      </c>
      <c r="S2943" s="43" t="str">
        <f t="shared" si="69"/>
        <v>Drama</v>
      </c>
    </row>
    <row r="2944" spans="1:19" ht="15.75" customHeight="1" x14ac:dyDescent="0.25">
      <c r="A2944" s="4" t="s">
        <v>3014</v>
      </c>
      <c r="B2944" s="4">
        <v>253</v>
      </c>
      <c r="C2944" s="4">
        <v>78747585</v>
      </c>
      <c r="D2944" s="4" t="s">
        <v>9259</v>
      </c>
      <c r="E2944" s="4" t="s">
        <v>352</v>
      </c>
      <c r="F2944" s="4" t="s">
        <v>9260</v>
      </c>
      <c r="G2944" s="4">
        <v>89770</v>
      </c>
      <c r="H2944" s="4" t="s">
        <v>9261</v>
      </c>
      <c r="I2944" s="4">
        <v>342</v>
      </c>
      <c r="J2944" s="4" t="s">
        <v>23</v>
      </c>
      <c r="K2944" s="4" t="s">
        <v>24</v>
      </c>
      <c r="L2944" s="4">
        <v>88000000</v>
      </c>
      <c r="M2944" s="4">
        <v>2015</v>
      </c>
      <c r="N2944" s="4">
        <v>5.6</v>
      </c>
      <c r="O2944" s="4">
        <f ca="1">IFERROR(__xludf.DUMMYFUNCTION("IF(Cost_in_dollars!E2944=""USD"",Cost_in_dollars!B2944,Cost_in_dollars!B2944 * GOOGLEFINANCE(""CURRENCY:"" &amp; Cost_in_dollars!E2944 &amp; ""USD""))
"),88000000)</f>
        <v>88000000</v>
      </c>
      <c r="P2944" s="4">
        <f ca="1">IFERROR(__xludf.DUMMYFUNCTION("IF(Cost_in_dollars!E2944=""USD"",Cost_in_dollars!C2944,Cost_in_dollars!C2944 * GOOGLEFINANCE(""CURRENCY:"" &amp; Cost_in_dollars!E2944 &amp; ""USD""))
"),78747585)</f>
        <v>78747585</v>
      </c>
      <c r="Q2944" s="4">
        <f t="shared" ca="1" si="66"/>
        <v>-9252415</v>
      </c>
      <c r="R2944" s="5" t="str">
        <f t="shared" si="67"/>
        <v>Pixels</v>
      </c>
      <c r="S2944" s="43" t="str">
        <f t="shared" si="69"/>
        <v>Action</v>
      </c>
    </row>
    <row r="2945" spans="1:19" ht="15.75" customHeight="1" x14ac:dyDescent="0.25">
      <c r="A2945" s="6" t="s">
        <v>1748</v>
      </c>
      <c r="B2945" s="6">
        <v>93</v>
      </c>
      <c r="C2945" s="6">
        <v>1712111</v>
      </c>
      <c r="D2945" s="6" t="s">
        <v>309</v>
      </c>
      <c r="E2945" s="6" t="s">
        <v>2800</v>
      </c>
      <c r="F2945" s="6" t="s">
        <v>9262</v>
      </c>
      <c r="G2945" s="6">
        <v>7199</v>
      </c>
      <c r="H2945" s="6" t="s">
        <v>9263</v>
      </c>
      <c r="I2945" s="6">
        <v>53</v>
      </c>
      <c r="J2945" s="6" t="s">
        <v>23</v>
      </c>
      <c r="K2945" s="6" t="s">
        <v>24</v>
      </c>
      <c r="L2945" s="6">
        <v>8495000</v>
      </c>
      <c r="M2945" s="6">
        <v>2015</v>
      </c>
      <c r="N2945" s="6">
        <v>4.5</v>
      </c>
      <c r="O2945" s="4">
        <f ca="1">IFERROR(__xludf.DUMMYFUNCTION("IF(Cost_in_dollars!E2945=""USD"",Cost_in_dollars!B2945,Cost_in_dollars!B2945 * GOOGLEFINANCE(""CURRENCY:"" &amp; Cost_in_dollars!E2945 &amp; ""USD""))
"),8495000)</f>
        <v>8495000</v>
      </c>
      <c r="P2945" s="4">
        <f ca="1">IFERROR(__xludf.DUMMYFUNCTION("IF(Cost_in_dollars!E2945=""USD"",Cost_in_dollars!C2945,Cost_in_dollars!C2945 * GOOGLEFINANCE(""CURRENCY:"" &amp; Cost_in_dollars!E2945 &amp; ""USD""))
"),1712111)</f>
        <v>1712111</v>
      </c>
      <c r="Q2945" s="6">
        <f t="shared" ca="1" si="66"/>
        <v>-6782889</v>
      </c>
      <c r="R2945" s="7" t="str">
        <f t="shared" si="67"/>
        <v>The Vatican Tapes</v>
      </c>
      <c r="S2945" s="43" t="str">
        <f t="shared" si="69"/>
        <v>Horror</v>
      </c>
    </row>
    <row r="2946" spans="1:19" ht="15.75" customHeight="1" x14ac:dyDescent="0.25">
      <c r="A2946" s="4" t="s">
        <v>5658</v>
      </c>
      <c r="B2946" s="4">
        <v>91</v>
      </c>
      <c r="C2946" s="4">
        <v>25677801</v>
      </c>
      <c r="D2946" s="4" t="s">
        <v>292</v>
      </c>
      <c r="E2946" s="4" t="s">
        <v>393</v>
      </c>
      <c r="F2946" s="4" t="s">
        <v>9264</v>
      </c>
      <c r="G2946" s="4">
        <v>41273</v>
      </c>
      <c r="H2946" s="4" t="s">
        <v>9265</v>
      </c>
      <c r="I2946" s="4">
        <v>136</v>
      </c>
      <c r="J2946" s="4" t="s">
        <v>23</v>
      </c>
      <c r="K2946" s="4" t="s">
        <v>24</v>
      </c>
      <c r="L2946" s="4">
        <v>20000000</v>
      </c>
      <c r="M2946" s="4">
        <v>2010</v>
      </c>
      <c r="N2946" s="4">
        <v>5.8</v>
      </c>
      <c r="O2946" s="4">
        <f ca="1">IFERROR(__xludf.DUMMYFUNCTION("IF(Cost_in_dollars!E2946=""USD"",Cost_in_dollars!B2946,Cost_in_dollars!B2946 * GOOGLEFINANCE(""CURRENCY:"" &amp; Cost_in_dollars!E2946 &amp; ""USD""))
"),20000000)</f>
        <v>20000000</v>
      </c>
      <c r="P2946" s="4">
        <f ca="1">IFERROR(__xludf.DUMMYFUNCTION("IF(Cost_in_dollars!E2946=""USD"",Cost_in_dollars!C2946,Cost_in_dollars!C2946 * GOOGLEFINANCE(""CURRENCY:"" &amp; Cost_in_dollars!E2946 &amp; ""USD""))
"),25677801)</f>
        <v>25677801</v>
      </c>
      <c r="Q2946" s="4">
        <f t="shared" ca="1" si="66"/>
        <v>5677801</v>
      </c>
      <c r="R2946" s="5" t="str">
        <f t="shared" si="67"/>
        <v>You Again</v>
      </c>
      <c r="S2946" s="43" t="str">
        <f t="shared" ref="S2946:S3009" si="70">IF(ISNUMBER(FIND("|", D2946)), LEFT(D2946, FIND("|", D2946) - 1), D2946)</f>
        <v>Comedy</v>
      </c>
    </row>
    <row r="2947" spans="1:19" ht="15.75" customHeight="1" x14ac:dyDescent="0.25">
      <c r="A2947" s="6" t="s">
        <v>1495</v>
      </c>
      <c r="B2947" s="6">
        <v>29</v>
      </c>
      <c r="C2947" s="6">
        <v>8600000</v>
      </c>
      <c r="D2947" s="6" t="s">
        <v>1698</v>
      </c>
      <c r="E2947" s="6" t="s">
        <v>608</v>
      </c>
      <c r="F2947" s="6" t="s">
        <v>9266</v>
      </c>
      <c r="G2947" s="6">
        <v>17982</v>
      </c>
      <c r="H2947" s="6" t="s">
        <v>9267</v>
      </c>
      <c r="I2947" s="6">
        <v>95</v>
      </c>
      <c r="J2947" s="6" t="s">
        <v>23</v>
      </c>
      <c r="K2947" s="6" t="s">
        <v>133</v>
      </c>
      <c r="L2947" s="6">
        <v>25000000</v>
      </c>
      <c r="M2947" s="6">
        <v>1984</v>
      </c>
      <c r="N2947" s="6">
        <v>7</v>
      </c>
      <c r="O2947" s="4">
        <f ca="1">IFERROR(__xludf.DUMMYFUNCTION("IF(Cost_in_dollars!E2947=""USD"",Cost_in_dollars!B2947,Cost_in_dollars!B2947 * GOOGLEFINANCE(""CURRENCY:"" &amp; Cost_in_dollars!E2947 &amp; ""USD""))
"),32134999.9999999)</f>
        <v>32134999.999999899</v>
      </c>
      <c r="P2947" s="4">
        <f ca="1">IFERROR(__xludf.DUMMYFUNCTION("IF(Cost_in_dollars!E2947=""USD"",Cost_in_dollars!C2947,Cost_in_dollars!C2947 * GOOGLEFINANCE(""CURRENCY:"" &amp; Cost_in_dollars!E2947 &amp; ""USD""))
"),11054439.9999999)</f>
        <v>11054439.999999899</v>
      </c>
      <c r="Q2947" s="6">
        <f t="shared" ca="1" si="66"/>
        <v>-21080560</v>
      </c>
      <c r="R2947" s="7" t="str">
        <f t="shared" si="67"/>
        <v>The Bounty</v>
      </c>
      <c r="S2947" s="43" t="str">
        <f t="shared" si="70"/>
        <v>Action</v>
      </c>
    </row>
    <row r="2948" spans="1:19" ht="15.75" customHeight="1" x14ac:dyDescent="0.25">
      <c r="A2948" s="4" t="s">
        <v>717</v>
      </c>
      <c r="B2948" s="4">
        <v>97</v>
      </c>
      <c r="C2948" s="4">
        <v>58006147</v>
      </c>
      <c r="D2948" s="4" t="s">
        <v>334</v>
      </c>
      <c r="E2948" s="4" t="s">
        <v>9268</v>
      </c>
      <c r="F2948" s="4" t="s">
        <v>9269</v>
      </c>
      <c r="G2948" s="4">
        <v>67653</v>
      </c>
      <c r="H2948" s="4" t="s">
        <v>9270</v>
      </c>
      <c r="I2948" s="4">
        <v>108</v>
      </c>
      <c r="J2948" s="4" t="s">
        <v>23</v>
      </c>
      <c r="K2948" s="4" t="s">
        <v>24</v>
      </c>
      <c r="L2948" s="4">
        <v>23000000</v>
      </c>
      <c r="M2948" s="4">
        <v>2008</v>
      </c>
      <c r="N2948" s="4">
        <v>6.2</v>
      </c>
      <c r="O2948" s="4">
        <f ca="1">IFERROR(__xludf.DUMMYFUNCTION("IF(Cost_in_dollars!E2948=""USD"",Cost_in_dollars!B2948,Cost_in_dollars!B2948 * GOOGLEFINANCE(""CURRENCY:"" &amp; Cost_in_dollars!E2948 &amp; ""USD""))
"),23000000)</f>
        <v>23000000</v>
      </c>
      <c r="P2948" s="4">
        <f ca="1">IFERROR(__xludf.DUMMYFUNCTION("IF(Cost_in_dollars!E2948=""USD"",Cost_in_dollars!C2948,Cost_in_dollars!C2948 * GOOGLEFINANCE(""CURRENCY:"" &amp; Cost_in_dollars!E2948 &amp; ""USD""))
"),58006147)</f>
        <v>58006147</v>
      </c>
      <c r="Q2948" s="4">
        <f t="shared" ca="1" si="66"/>
        <v>35006147</v>
      </c>
      <c r="R2948" s="5" t="str">
        <f t="shared" si="67"/>
        <v>Step Up 2: The Streets</v>
      </c>
      <c r="S2948" s="43" t="str">
        <f t="shared" si="70"/>
        <v>Drama</v>
      </c>
    </row>
    <row r="2949" spans="1:19" ht="15.75" customHeight="1" x14ac:dyDescent="0.25">
      <c r="A2949" s="6" t="s">
        <v>2614</v>
      </c>
      <c r="B2949" s="6">
        <v>232</v>
      </c>
      <c r="C2949" s="6">
        <v>5480996</v>
      </c>
      <c r="D2949" s="6" t="s">
        <v>9271</v>
      </c>
      <c r="E2949" s="6" t="s">
        <v>330</v>
      </c>
      <c r="F2949" s="6" t="s">
        <v>9272</v>
      </c>
      <c r="G2949" s="6">
        <v>89383</v>
      </c>
      <c r="H2949" s="6" t="s">
        <v>9273</v>
      </c>
      <c r="I2949" s="6">
        <v>293</v>
      </c>
      <c r="J2949" s="6" t="s">
        <v>23</v>
      </c>
      <c r="K2949" s="6" t="s">
        <v>24</v>
      </c>
      <c r="L2949" s="6">
        <v>8700000</v>
      </c>
      <c r="M2949" s="6">
        <v>2006</v>
      </c>
      <c r="N2949" s="6">
        <v>7.1</v>
      </c>
      <c r="O2949" s="4">
        <f ca="1">IFERROR(__xludf.DUMMYFUNCTION("IF(Cost_in_dollars!E2949=""USD"",Cost_in_dollars!B2949,Cost_in_dollars!B2949 * GOOGLEFINANCE(""CURRENCY:"" &amp; Cost_in_dollars!E2949 &amp; ""USD""))
"),8700000)</f>
        <v>8700000</v>
      </c>
      <c r="P2949" s="4">
        <f ca="1">IFERROR(__xludf.DUMMYFUNCTION("IF(Cost_in_dollars!E2949=""USD"",Cost_in_dollars!C2949,Cost_in_dollars!C2949 * GOOGLEFINANCE(""CURRENCY:"" &amp; Cost_in_dollars!E2949 &amp; ""USD""))
"),5480996)</f>
        <v>5480996</v>
      </c>
      <c r="Q2949" s="6">
        <f t="shared" ca="1" si="66"/>
        <v>-3219004</v>
      </c>
      <c r="R2949" s="7" t="str">
        <f t="shared" si="67"/>
        <v>A Scanner Darkly</v>
      </c>
      <c r="S2949" s="43" t="str">
        <f t="shared" si="70"/>
        <v>Animation</v>
      </c>
    </row>
    <row r="2950" spans="1:19" ht="15.75" customHeight="1" x14ac:dyDescent="0.25">
      <c r="A2950" s="4" t="s">
        <v>1604</v>
      </c>
      <c r="B2950" s="4">
        <v>25</v>
      </c>
      <c r="C2950" s="4">
        <v>35617599</v>
      </c>
      <c r="D2950" s="4" t="s">
        <v>7366</v>
      </c>
      <c r="E2950" s="4" t="s">
        <v>325</v>
      </c>
      <c r="F2950" s="4" t="s">
        <v>9274</v>
      </c>
      <c r="G2950" s="4">
        <v>20688</v>
      </c>
      <c r="H2950" s="4" t="s">
        <v>9275</v>
      </c>
      <c r="I2950" s="4">
        <v>47</v>
      </c>
      <c r="J2950" s="4" t="s">
        <v>23</v>
      </c>
      <c r="K2950" s="4" t="s">
        <v>24</v>
      </c>
      <c r="L2950" s="4">
        <v>45000000</v>
      </c>
      <c r="M2950" s="4">
        <v>1995</v>
      </c>
      <c r="N2950" s="4">
        <v>5.9</v>
      </c>
      <c r="O2950" s="4">
        <f ca="1">IFERROR(__xludf.DUMMYFUNCTION("IF(Cost_in_dollars!E2950=""USD"",Cost_in_dollars!B2950,Cost_in_dollars!B2950 * GOOGLEFINANCE(""CURRENCY:"" &amp; Cost_in_dollars!E2950 &amp; ""USD""))
"),45000000)</f>
        <v>45000000</v>
      </c>
      <c r="P2950" s="4">
        <f ca="1">IFERROR(__xludf.DUMMYFUNCTION("IF(Cost_in_dollars!E2950=""USD"",Cost_in_dollars!C2950,Cost_in_dollars!C2950 * GOOGLEFINANCE(""CURRENCY:"" &amp; Cost_in_dollars!E2950 &amp; ""USD""))
"),35617599)</f>
        <v>35617599</v>
      </c>
      <c r="Q2950" s="4">
        <f t="shared" ca="1" si="66"/>
        <v>-9382401</v>
      </c>
      <c r="R2950" s="5" t="str">
        <f t="shared" si="67"/>
        <v>The Indian in the Cupboard</v>
      </c>
      <c r="S2950" s="43" t="str">
        <f t="shared" si="70"/>
        <v>Drama</v>
      </c>
    </row>
    <row r="2951" spans="1:19" ht="15.75" customHeight="1" x14ac:dyDescent="0.25">
      <c r="A2951" s="6" t="s">
        <v>9276</v>
      </c>
      <c r="B2951" s="6">
        <v>98</v>
      </c>
      <c r="C2951" s="6">
        <v>26288320</v>
      </c>
      <c r="D2951" s="6" t="s">
        <v>9277</v>
      </c>
      <c r="E2951" s="6" t="s">
        <v>1436</v>
      </c>
      <c r="F2951" s="6" t="s">
        <v>9278</v>
      </c>
      <c r="G2951" s="6">
        <v>36144</v>
      </c>
      <c r="H2951" s="6" t="s">
        <v>9279</v>
      </c>
      <c r="I2951" s="6">
        <v>91</v>
      </c>
      <c r="J2951" s="6" t="s">
        <v>23</v>
      </c>
      <c r="K2951" s="6" t="s">
        <v>24</v>
      </c>
      <c r="L2951" s="6">
        <v>60000000</v>
      </c>
      <c r="M2951" s="6">
        <v>2003</v>
      </c>
      <c r="N2951" s="6">
        <v>6.7</v>
      </c>
      <c r="O2951" s="4">
        <f ca="1">IFERROR(__xludf.DUMMYFUNCTION("IF(Cost_in_dollars!E2951=""USD"",Cost_in_dollars!B2951,Cost_in_dollars!B2951 * GOOGLEFINANCE(""CURRENCY:"" &amp; Cost_in_dollars!E2951 &amp; ""USD""))
"),60000000)</f>
        <v>60000000</v>
      </c>
      <c r="P2951" s="4">
        <f ca="1">IFERROR(__xludf.DUMMYFUNCTION("IF(Cost_in_dollars!E2951=""USD"",Cost_in_dollars!C2951,Cost_in_dollars!C2951 * GOOGLEFINANCE(""CURRENCY:"" &amp; Cost_in_dollars!E2951 &amp; ""USD""))
"),26288320)</f>
        <v>26288320</v>
      </c>
      <c r="Q2951" s="6">
        <f t="shared" ca="1" si="66"/>
        <v>-33711680</v>
      </c>
      <c r="R2951" s="7" t="str">
        <f t="shared" si="67"/>
        <v>Sinbad: Legend of the Seven Seas</v>
      </c>
      <c r="S2951" s="43" t="str">
        <f t="shared" si="70"/>
        <v>Adventure</v>
      </c>
    </row>
    <row r="2952" spans="1:19" ht="15.75" customHeight="1" x14ac:dyDescent="0.25">
      <c r="A2952" s="4" t="s">
        <v>150</v>
      </c>
      <c r="B2952" s="4">
        <v>256</v>
      </c>
      <c r="C2952" s="4">
        <v>26505000</v>
      </c>
      <c r="D2952" s="4" t="s">
        <v>151</v>
      </c>
      <c r="E2952" s="4" t="s">
        <v>84</v>
      </c>
      <c r="F2952" s="4" t="s">
        <v>152</v>
      </c>
      <c r="G2952" s="4">
        <v>149293</v>
      </c>
      <c r="H2952" s="4" t="s">
        <v>153</v>
      </c>
      <c r="I2952" s="4">
        <v>668</v>
      </c>
      <c r="J2952" s="4" t="s">
        <v>23</v>
      </c>
      <c r="K2952" s="4" t="s">
        <v>24</v>
      </c>
      <c r="L2952" s="4">
        <v>1800000</v>
      </c>
      <c r="M2952" s="4">
        <v>1984</v>
      </c>
      <c r="N2952" s="4">
        <v>7.5</v>
      </c>
      <c r="O2952" s="4">
        <f ca="1">IFERROR(__xludf.DUMMYFUNCTION("IF(Cost_in_dollars!E2952=""USD"",Cost_in_dollars!B2952,Cost_in_dollars!B2952 * GOOGLEFINANCE(""CURRENCY:"" &amp; Cost_in_dollars!E2952 &amp; ""USD""))
"),1800000)</f>
        <v>1800000</v>
      </c>
      <c r="P2952" s="4">
        <f ca="1">IFERROR(__xludf.DUMMYFUNCTION("IF(Cost_in_dollars!E2952=""USD"",Cost_in_dollars!C2952,Cost_in_dollars!C2952 * GOOGLEFINANCE(""CURRENCY:"" &amp; Cost_in_dollars!E2952 &amp; ""USD""))
"),26505000)</f>
        <v>26505000</v>
      </c>
      <c r="Q2952" s="4">
        <f t="shared" ca="1" si="66"/>
        <v>24705000</v>
      </c>
      <c r="R2952" s="5" t="str">
        <f t="shared" si="67"/>
        <v>A Nightmare on Elm Street</v>
      </c>
      <c r="S2952" s="43" t="str">
        <f t="shared" si="70"/>
        <v>Horror</v>
      </c>
    </row>
    <row r="2953" spans="1:19" ht="15.75" customHeight="1" x14ac:dyDescent="0.25">
      <c r="A2953" s="6" t="s">
        <v>9280</v>
      </c>
      <c r="B2953" s="6">
        <v>12</v>
      </c>
      <c r="C2953" s="6">
        <v>58936</v>
      </c>
      <c r="D2953" s="6" t="s">
        <v>324</v>
      </c>
      <c r="E2953" s="6" t="s">
        <v>9281</v>
      </c>
      <c r="F2953" s="6" t="s">
        <v>9282</v>
      </c>
      <c r="G2953" s="6">
        <v>91</v>
      </c>
      <c r="H2953" s="6" t="s">
        <v>9283</v>
      </c>
      <c r="I2953" s="6">
        <v>4</v>
      </c>
      <c r="J2953" s="6" t="s">
        <v>23</v>
      </c>
      <c r="K2953" s="6" t="s">
        <v>24</v>
      </c>
      <c r="L2953" s="6">
        <v>1200000</v>
      </c>
      <c r="M2953" s="6">
        <v>2001</v>
      </c>
      <c r="N2953" s="6">
        <v>6.1</v>
      </c>
      <c r="O2953" s="4">
        <f ca="1">IFERROR(__xludf.DUMMYFUNCTION("IF(Cost_in_dollars!E2953=""USD"",Cost_in_dollars!B2953,Cost_in_dollars!B2953 * GOOGLEFINANCE(""CURRENCY:"" &amp; Cost_in_dollars!E2953 &amp; ""USD""))
"),1200000)</f>
        <v>1200000</v>
      </c>
      <c r="P2953" s="4">
        <f ca="1">IFERROR(__xludf.DUMMYFUNCTION("IF(Cost_in_dollars!E2953=""USD"",Cost_in_dollars!C2953,Cost_in_dollars!C2953 * GOOGLEFINANCE(""CURRENCY:"" &amp; Cost_in_dollars!E2953 &amp; ""USD""))
"),58936)</f>
        <v>58936</v>
      </c>
      <c r="Q2953" s="6">
        <f t="shared" ca="1" si="66"/>
        <v>-1141064</v>
      </c>
      <c r="R2953" s="7" t="str">
        <f t="shared" si="67"/>
        <v>Down and Out with the Dolls</v>
      </c>
      <c r="S2953" s="43" t="str">
        <f t="shared" si="70"/>
        <v>Comedy</v>
      </c>
    </row>
    <row r="2954" spans="1:19" ht="15.75" customHeight="1" x14ac:dyDescent="0.25">
      <c r="A2954" s="4" t="s">
        <v>2102</v>
      </c>
      <c r="B2954" s="4">
        <v>120</v>
      </c>
      <c r="C2954" s="4">
        <v>43792641</v>
      </c>
      <c r="D2954" s="4" t="s">
        <v>88</v>
      </c>
      <c r="E2954" s="4" t="s">
        <v>676</v>
      </c>
      <c r="F2954" s="4" t="s">
        <v>9284</v>
      </c>
      <c r="G2954" s="4">
        <v>32157</v>
      </c>
      <c r="H2954" s="4" t="s">
        <v>9285</v>
      </c>
      <c r="I2954" s="4">
        <v>119</v>
      </c>
      <c r="J2954" s="4" t="s">
        <v>23</v>
      </c>
      <c r="K2954" s="4" t="s">
        <v>24</v>
      </c>
      <c r="L2954" s="4">
        <v>35000000</v>
      </c>
      <c r="M2954" s="4">
        <v>2007</v>
      </c>
      <c r="N2954" s="4">
        <v>5.3</v>
      </c>
      <c r="O2954" s="4">
        <f ca="1">IFERROR(__xludf.DUMMYFUNCTION("IF(Cost_in_dollars!E2954=""USD"",Cost_in_dollars!B2954,Cost_in_dollars!B2954 * GOOGLEFINANCE(""CURRENCY:"" &amp; Cost_in_dollars!E2954 &amp; ""USD""))
"),35000000)</f>
        <v>35000000</v>
      </c>
      <c r="P2954" s="4">
        <f ca="1">IFERROR(__xludf.DUMMYFUNCTION("IF(Cost_in_dollars!E2954=""USD"",Cost_in_dollars!C2954,Cost_in_dollars!C2954 * GOOGLEFINANCE(""CURRENCY:"" &amp; Cost_in_dollars!E2954 &amp; ""USD""))
"),43792641)</f>
        <v>43792641</v>
      </c>
      <c r="Q2954" s="4">
        <f t="shared" ca="1" si="66"/>
        <v>8792641</v>
      </c>
      <c r="R2954" s="5" t="str">
        <f t="shared" si="67"/>
        <v>License to Wed</v>
      </c>
      <c r="S2954" s="43" t="str">
        <f t="shared" si="70"/>
        <v>Comedy</v>
      </c>
    </row>
    <row r="2955" spans="1:19" ht="15.75" customHeight="1" x14ac:dyDescent="0.25">
      <c r="A2955" s="6" t="s">
        <v>2826</v>
      </c>
      <c r="B2955" s="6">
        <v>231</v>
      </c>
      <c r="C2955" s="6">
        <v>4398392</v>
      </c>
      <c r="D2955" s="6" t="s">
        <v>9186</v>
      </c>
      <c r="E2955" s="6" t="s">
        <v>5350</v>
      </c>
      <c r="F2955" s="6" t="s">
        <v>9286</v>
      </c>
      <c r="G2955" s="6">
        <v>59507</v>
      </c>
      <c r="H2955" s="6" t="s">
        <v>9287</v>
      </c>
      <c r="I2955" s="6">
        <v>232</v>
      </c>
      <c r="J2955" s="6" t="s">
        <v>6572</v>
      </c>
      <c r="K2955" s="6" t="s">
        <v>6573</v>
      </c>
      <c r="L2955" s="6">
        <v>21000000</v>
      </c>
      <c r="M2955" s="6">
        <v>2006</v>
      </c>
      <c r="N2955" s="6">
        <v>7.8</v>
      </c>
      <c r="O2955" s="4">
        <f ca="1">IFERROR(__xludf.DUMMYFUNCTION("IF(Cost_in_dollars!E2955=""USD"",Cost_in_dollars!B2955,Cost_in_dollars!B2955 * GOOGLEFINANCE(""CURRENCY:"" &amp; Cost_in_dollars!E2955 &amp; ""USD""))
"),22779540)</f>
        <v>22779540</v>
      </c>
      <c r="P2955" s="4">
        <f ca="1">IFERROR(__xludf.DUMMYFUNCTION("IF(Cost_in_dollars!E2955=""USD"",Cost_in_dollars!C2955,Cost_in_dollars!C2955 * GOOGLEFINANCE(""CURRENCY:"" &amp; Cost_in_dollars!E2955 &amp; ""USD""))
"),4771111.73808)</f>
        <v>4771111.7380799996</v>
      </c>
      <c r="Q2955" s="6">
        <f t="shared" ca="1" si="66"/>
        <v>-18008428.261920001</v>
      </c>
      <c r="R2955" s="7" t="str">
        <f t="shared" si="67"/>
        <v>Black Book</v>
      </c>
      <c r="S2955" s="43" t="str">
        <f t="shared" si="70"/>
        <v>Drama</v>
      </c>
    </row>
    <row r="2956" spans="1:19" ht="15.75" customHeight="1" x14ac:dyDescent="0.25">
      <c r="A2956" s="4" t="s">
        <v>1098</v>
      </c>
      <c r="B2956" s="4">
        <v>199</v>
      </c>
      <c r="C2956" s="4">
        <v>73648142</v>
      </c>
      <c r="D2956" s="4" t="s">
        <v>1749</v>
      </c>
      <c r="E2956" s="4" t="s">
        <v>1336</v>
      </c>
      <c r="F2956" s="4" t="s">
        <v>9288</v>
      </c>
      <c r="G2956" s="4">
        <v>99043</v>
      </c>
      <c r="H2956" s="4" t="s">
        <v>9289</v>
      </c>
      <c r="I2956" s="4">
        <v>643</v>
      </c>
      <c r="J2956" s="4" t="s">
        <v>23</v>
      </c>
      <c r="K2956" s="4" t="s">
        <v>24</v>
      </c>
      <c r="L2956" s="4">
        <v>60000000</v>
      </c>
      <c r="M2956" s="4">
        <v>1999</v>
      </c>
      <c r="N2956" s="4">
        <v>5.8</v>
      </c>
      <c r="O2956" s="4">
        <f ca="1">IFERROR(__xludf.DUMMYFUNCTION("IF(Cost_in_dollars!E2956=""USD"",Cost_in_dollars!B2956,Cost_in_dollars!B2956 * GOOGLEFINANCE(""CURRENCY:"" &amp; Cost_in_dollars!E2956 &amp; ""USD""))
"),60000000)</f>
        <v>60000000</v>
      </c>
      <c r="P2956" s="4">
        <f ca="1">IFERROR(__xludf.DUMMYFUNCTION("IF(Cost_in_dollars!E2956=""USD"",Cost_in_dollars!C2956,Cost_in_dollars!C2956 * GOOGLEFINANCE(""CURRENCY:"" &amp; Cost_in_dollars!E2956 &amp; ""USD""))
"),73648142)</f>
        <v>73648142</v>
      </c>
      <c r="Q2956" s="4">
        <f t="shared" ca="1" si="66"/>
        <v>13648142</v>
      </c>
      <c r="R2956" s="5" t="str">
        <f t="shared" si="67"/>
        <v>Deep Blue Sea</v>
      </c>
      <c r="S2956" s="43" t="str">
        <f t="shared" si="70"/>
        <v>Action</v>
      </c>
    </row>
    <row r="2957" spans="1:19" ht="15.75" customHeight="1" x14ac:dyDescent="0.25">
      <c r="A2957" s="6" t="s">
        <v>7146</v>
      </c>
      <c r="B2957" s="6">
        <v>159</v>
      </c>
      <c r="C2957" s="6">
        <v>5773519</v>
      </c>
      <c r="D2957" s="6" t="s">
        <v>2336</v>
      </c>
      <c r="E2957" s="6" t="s">
        <v>2107</v>
      </c>
      <c r="F2957" s="6" t="s">
        <v>9290</v>
      </c>
      <c r="G2957" s="6">
        <v>28618</v>
      </c>
      <c r="H2957" s="6" t="s">
        <v>9291</v>
      </c>
      <c r="I2957" s="6">
        <v>91</v>
      </c>
      <c r="J2957" s="6" t="s">
        <v>23</v>
      </c>
      <c r="K2957" s="6" t="s">
        <v>24</v>
      </c>
      <c r="L2957" s="6">
        <v>40000000</v>
      </c>
      <c r="M2957" s="6">
        <v>2015</v>
      </c>
      <c r="N2957" s="6">
        <v>6</v>
      </c>
      <c r="O2957" s="4">
        <f ca="1">IFERROR(__xludf.DUMMYFUNCTION("IF(Cost_in_dollars!E2957=""USD"",Cost_in_dollars!B2957,Cost_in_dollars!B2957 * GOOGLEFINANCE(""CURRENCY:"" &amp; Cost_in_dollars!E2957 &amp; ""USD""))
"),40000000)</f>
        <v>40000000</v>
      </c>
      <c r="P2957" s="4">
        <f ca="1">IFERROR(__xludf.DUMMYFUNCTION("IF(Cost_in_dollars!E2957=""USD"",Cost_in_dollars!C2957,Cost_in_dollars!C2957 * GOOGLEFINANCE(""CURRENCY:"" &amp; Cost_in_dollars!E2957 &amp; ""USD""))
"),5773519)</f>
        <v>5773519</v>
      </c>
      <c r="Q2957" s="6">
        <f t="shared" ca="1" si="66"/>
        <v>-34226481</v>
      </c>
      <c r="R2957" s="7" t="str">
        <f t="shared" si="67"/>
        <v>Victor Frankenstein</v>
      </c>
      <c r="S2957" s="43" t="str">
        <f t="shared" si="70"/>
        <v>Drama</v>
      </c>
    </row>
    <row r="2958" spans="1:19" ht="15.75" customHeight="1" x14ac:dyDescent="0.25">
      <c r="A2958" s="4" t="s">
        <v>4972</v>
      </c>
      <c r="B2958" s="4">
        <v>419</v>
      </c>
      <c r="C2958" s="4">
        <v>35887263</v>
      </c>
      <c r="D2958" s="4" t="s">
        <v>890</v>
      </c>
      <c r="E2958" s="4" t="s">
        <v>3626</v>
      </c>
      <c r="F2958" s="4" t="s">
        <v>9292</v>
      </c>
      <c r="G2958" s="4">
        <v>265507</v>
      </c>
      <c r="H2958" s="4" t="s">
        <v>9293</v>
      </c>
      <c r="I2958" s="4">
        <v>388</v>
      </c>
      <c r="J2958" s="4" t="s">
        <v>23</v>
      </c>
      <c r="K2958" s="4" t="s">
        <v>133</v>
      </c>
      <c r="L2958" s="4">
        <v>15000000</v>
      </c>
      <c r="M2958" s="4">
        <v>2014</v>
      </c>
      <c r="N2958" s="4">
        <v>7.7</v>
      </c>
      <c r="O2958" s="4">
        <f ca="1">IFERROR(__xludf.DUMMYFUNCTION("IF(Cost_in_dollars!E2958=""USD"",Cost_in_dollars!B2958,Cost_in_dollars!B2958 * GOOGLEFINANCE(""CURRENCY:"" &amp; Cost_in_dollars!E2958 &amp; ""USD""))
"),19281000)</f>
        <v>19281000</v>
      </c>
      <c r="P2958" s="4">
        <f ca="1">IFERROR(__xludf.DUMMYFUNCTION("IF(Cost_in_dollars!E2958=""USD"",Cost_in_dollars!C2958,Cost_in_dollars!C2958 * GOOGLEFINANCE(""CURRENCY:"" &amp; Cost_in_dollars!E2958 &amp; ""USD""))
"),46129487.8601999)</f>
        <v>46129487.860199898</v>
      </c>
      <c r="Q2958" s="4">
        <f t="shared" ca="1" si="66"/>
        <v>26848487.860199898</v>
      </c>
      <c r="R2958" s="5" t="str">
        <f t="shared" si="67"/>
        <v>The Theory of Everything</v>
      </c>
      <c r="S2958" s="43" t="str">
        <f t="shared" si="70"/>
        <v>Biography</v>
      </c>
    </row>
    <row r="2959" spans="1:19" ht="15.75" customHeight="1" x14ac:dyDescent="0.25">
      <c r="A2959" s="6" t="s">
        <v>9294</v>
      </c>
      <c r="B2959" s="6">
        <v>43</v>
      </c>
      <c r="C2959" s="6">
        <v>5669081</v>
      </c>
      <c r="D2959" s="6" t="s">
        <v>73</v>
      </c>
      <c r="E2959" s="6" t="s">
        <v>9295</v>
      </c>
      <c r="F2959" s="6" t="s">
        <v>9296</v>
      </c>
      <c r="G2959" s="6">
        <v>3665</v>
      </c>
      <c r="H2959" s="6" t="s">
        <v>9297</v>
      </c>
      <c r="I2959" s="6">
        <v>57</v>
      </c>
      <c r="J2959" s="6" t="s">
        <v>1569</v>
      </c>
      <c r="K2959" s="6" t="s">
        <v>1220</v>
      </c>
      <c r="L2959" s="6">
        <v>10818775</v>
      </c>
      <c r="M2959" s="6">
        <v>2012</v>
      </c>
      <c r="N2959" s="6">
        <v>6.6</v>
      </c>
      <c r="O2959" s="4">
        <f ca="1">IFERROR(__xludf.DUMMYFUNCTION("IF(Cost_in_dollars!E2959=""USD"",Cost_in_dollars!B2959,Cost_in_dollars!B2959 * GOOGLEFINANCE(""CURRENCY:"" &amp; Cost_in_dollars!E2959 &amp; ""USD""))
"),586428.34505475)</f>
        <v>586428.34505474998</v>
      </c>
      <c r="P2959" s="4">
        <f ca="1">IFERROR(__xludf.DUMMYFUNCTION("IF(Cost_in_dollars!E2959=""USD"",Cost_in_dollars!C2959,Cost_in_dollars!C2959 * GOOGLEFINANCE(""CURRENCY:"" &amp; Cost_in_dollars!E2959 &amp; ""USD""))
"),307290.778189889)</f>
        <v>307290.77818988898</v>
      </c>
      <c r="Q2959" s="6">
        <f t="shared" ca="1" si="66"/>
        <v>-279137.566864861</v>
      </c>
      <c r="R2959" s="7" t="str">
        <f t="shared" si="67"/>
        <v>For Greater Glory: The True Story of Cristiada</v>
      </c>
      <c r="S2959" s="43" t="str">
        <f t="shared" si="70"/>
        <v>Drama</v>
      </c>
    </row>
    <row r="2960" spans="1:19" ht="15.75" customHeight="1" x14ac:dyDescent="0.25">
      <c r="A2960" s="4" t="s">
        <v>9298</v>
      </c>
      <c r="B2960" s="4">
        <v>12</v>
      </c>
      <c r="C2960" s="4">
        <v>169379</v>
      </c>
      <c r="D2960" s="4" t="s">
        <v>73</v>
      </c>
      <c r="E2960" s="4" t="s">
        <v>9299</v>
      </c>
      <c r="F2960" s="4" t="s">
        <v>9300</v>
      </c>
      <c r="G2960" s="4">
        <v>683</v>
      </c>
      <c r="H2960" s="4" t="s">
        <v>109</v>
      </c>
      <c r="I2960" s="4">
        <v>3</v>
      </c>
      <c r="J2960" s="4" t="s">
        <v>1569</v>
      </c>
      <c r="K2960" s="4" t="s">
        <v>1220</v>
      </c>
      <c r="L2960" s="4">
        <v>10000000</v>
      </c>
      <c r="M2960" s="4">
        <v>2013</v>
      </c>
      <c r="N2960" s="4">
        <v>6.2</v>
      </c>
      <c r="O2960" s="4">
        <f ca="1">IFERROR(__xludf.DUMMYFUNCTION("IF(Cost_in_dollars!E2960=""USD"",Cost_in_dollars!B2960,Cost_in_dollars!B2960 * GOOGLEFINANCE(""CURRENCY:"" &amp; Cost_in_dollars!E2960 &amp; ""USD""))
"),542046.9)</f>
        <v>542046.9</v>
      </c>
      <c r="P2960" s="4">
        <f ca="1">IFERROR(__xludf.DUMMYFUNCTION("IF(Cost_in_dollars!E2960=""USD"",Cost_in_dollars!C2960,Cost_in_dollars!C2960 * GOOGLEFINANCE(""CURRENCY:"" &amp; Cost_in_dollars!E2960 &amp; ""USD""))
"),9181.13618751)</f>
        <v>9181.1361875099992</v>
      </c>
      <c r="Q2960" s="4">
        <f t="shared" ca="1" si="66"/>
        <v>-532865.76381249004</v>
      </c>
      <c r="R2960" s="5" t="str">
        <f t="shared" si="67"/>
        <v>Cinco de Mayo, La Batalla</v>
      </c>
      <c r="S2960" s="43" t="str">
        <f t="shared" si="70"/>
        <v>Drama</v>
      </c>
    </row>
    <row r="2961" spans="1:19" ht="15.75" customHeight="1" x14ac:dyDescent="0.25">
      <c r="A2961" s="6" t="s">
        <v>3177</v>
      </c>
      <c r="B2961" s="6">
        <v>403</v>
      </c>
      <c r="C2961" s="6">
        <v>337103873</v>
      </c>
      <c r="D2961" s="6" t="s">
        <v>1324</v>
      </c>
      <c r="E2961" s="6" t="s">
        <v>1507</v>
      </c>
      <c r="F2961" s="6" t="s">
        <v>9301</v>
      </c>
      <c r="G2961" s="6">
        <v>305008</v>
      </c>
      <c r="H2961" s="6" t="s">
        <v>9302</v>
      </c>
      <c r="I2961" s="6">
        <v>591</v>
      </c>
      <c r="J2961" s="6" t="s">
        <v>23</v>
      </c>
      <c r="K2961" s="6" t="s">
        <v>24</v>
      </c>
      <c r="L2961" s="6">
        <v>125000000</v>
      </c>
      <c r="M2961" s="6">
        <v>2014</v>
      </c>
      <c r="N2961" s="6">
        <v>6.7</v>
      </c>
      <c r="O2961" s="4">
        <f ca="1">IFERROR(__xludf.DUMMYFUNCTION("IF(Cost_in_dollars!E2961=""USD"",Cost_in_dollars!B2961,Cost_in_dollars!B2961 * GOOGLEFINANCE(""CURRENCY:"" &amp; Cost_in_dollars!E2961 &amp; ""USD""))
"),125000000)</f>
        <v>125000000</v>
      </c>
      <c r="P2961" s="4">
        <f ca="1">IFERROR(__xludf.DUMMYFUNCTION("IF(Cost_in_dollars!E2961=""USD"",Cost_in_dollars!C2961,Cost_in_dollars!C2961 * GOOGLEFINANCE(""CURRENCY:"" &amp; Cost_in_dollars!E2961 &amp; ""USD""))
"),337103873)</f>
        <v>337103873</v>
      </c>
      <c r="Q2961" s="6">
        <f t="shared" ca="1" si="66"/>
        <v>212103873</v>
      </c>
      <c r="R2961" s="7" t="str">
        <f t="shared" si="67"/>
        <v>The Hunger Games: Mockingjay - Part 1</v>
      </c>
      <c r="S2961" s="43" t="str">
        <f t="shared" si="70"/>
        <v>Adventure</v>
      </c>
    </row>
    <row r="2962" spans="1:19" ht="15.75" customHeight="1" x14ac:dyDescent="0.25">
      <c r="A2962" s="4" t="s">
        <v>9303</v>
      </c>
      <c r="B2962" s="4">
        <v>23</v>
      </c>
      <c r="C2962" s="4">
        <v>3333823</v>
      </c>
      <c r="D2962" s="4" t="s">
        <v>2995</v>
      </c>
      <c r="E2962" s="4" t="s">
        <v>9304</v>
      </c>
      <c r="F2962" s="4" t="s">
        <v>9305</v>
      </c>
      <c r="G2962" s="4">
        <v>5612</v>
      </c>
      <c r="H2962" s="4" t="s">
        <v>9306</v>
      </c>
      <c r="I2962" s="4">
        <v>122</v>
      </c>
      <c r="J2962" s="4" t="s">
        <v>23</v>
      </c>
      <c r="K2962" s="4" t="s">
        <v>24</v>
      </c>
      <c r="L2962" s="4">
        <v>10000000</v>
      </c>
      <c r="M2962" s="4">
        <v>2012</v>
      </c>
      <c r="N2962" s="4">
        <v>5.5</v>
      </c>
      <c r="O2962" s="4">
        <f ca="1">IFERROR(__xludf.DUMMYFUNCTION("IF(Cost_in_dollars!E2962=""USD"",Cost_in_dollars!B2962,Cost_in_dollars!B2962 * GOOGLEFINANCE(""CURRENCY:"" &amp; Cost_in_dollars!E2962 &amp; ""USD""))
"),10000000)</f>
        <v>10000000</v>
      </c>
      <c r="P2962" s="4">
        <f ca="1">IFERROR(__xludf.DUMMYFUNCTION("IF(Cost_in_dollars!E2962=""USD"",Cost_in_dollars!C2962,Cost_in_dollars!C2962 * GOOGLEFINANCE(""CURRENCY:"" &amp; Cost_in_dollars!E2962 &amp; ""USD""))
"),3333823)</f>
        <v>3333823</v>
      </c>
      <c r="Q2962" s="4">
        <f t="shared" ca="1" si="66"/>
        <v>-6666177</v>
      </c>
      <c r="R2962" s="5" t="str">
        <f t="shared" si="67"/>
        <v>Atlas Shrugged II: The Strike</v>
      </c>
      <c r="S2962" s="43" t="str">
        <f t="shared" si="70"/>
        <v>Drama</v>
      </c>
    </row>
    <row r="2963" spans="1:19" ht="15.75" customHeight="1" x14ac:dyDescent="0.25">
      <c r="A2963" s="6" t="s">
        <v>4213</v>
      </c>
      <c r="B2963" s="6">
        <v>119</v>
      </c>
      <c r="C2963" s="6">
        <v>30669413</v>
      </c>
      <c r="D2963" s="6" t="s">
        <v>2429</v>
      </c>
      <c r="E2963" s="6" t="s">
        <v>5353</v>
      </c>
      <c r="F2963" s="6" t="s">
        <v>9307</v>
      </c>
      <c r="G2963" s="6">
        <v>105478</v>
      </c>
      <c r="H2963" s="6" t="s">
        <v>9308</v>
      </c>
      <c r="I2963" s="6">
        <v>291</v>
      </c>
      <c r="J2963" s="6" t="s">
        <v>23</v>
      </c>
      <c r="K2963" s="6" t="s">
        <v>24</v>
      </c>
      <c r="L2963" s="6">
        <v>35000000</v>
      </c>
      <c r="M2963" s="6">
        <v>1990</v>
      </c>
      <c r="N2963" s="6">
        <v>6.2</v>
      </c>
      <c r="O2963" s="4">
        <f ca="1">IFERROR(__xludf.DUMMYFUNCTION("IF(Cost_in_dollars!E2963=""USD"",Cost_in_dollars!B2963,Cost_in_dollars!B2963 * GOOGLEFINANCE(""CURRENCY:"" &amp; Cost_in_dollars!E2963 &amp; ""USD""))
"),35000000)</f>
        <v>35000000</v>
      </c>
      <c r="P2963" s="4">
        <f ca="1">IFERROR(__xludf.DUMMYFUNCTION("IF(Cost_in_dollars!E2963=""USD"",Cost_in_dollars!C2963,Cost_in_dollars!C2963 * GOOGLEFINANCE(""CURRENCY:"" &amp; Cost_in_dollars!E2963 &amp; ""USD""))
"),30669413)</f>
        <v>30669413</v>
      </c>
      <c r="Q2963" s="6">
        <f t="shared" ca="1" si="66"/>
        <v>-4330587</v>
      </c>
      <c r="R2963" s="7" t="str">
        <f t="shared" si="67"/>
        <v>Predator 2</v>
      </c>
      <c r="S2963" s="43" t="str">
        <f t="shared" si="70"/>
        <v>Action</v>
      </c>
    </row>
    <row r="2964" spans="1:19" ht="15.75" customHeight="1" x14ac:dyDescent="0.25">
      <c r="A2964" s="4" t="s">
        <v>9309</v>
      </c>
      <c r="B2964" s="4">
        <v>225</v>
      </c>
      <c r="C2964" s="4">
        <v>62401264</v>
      </c>
      <c r="D2964" s="4" t="s">
        <v>504</v>
      </c>
      <c r="E2964" s="4" t="s">
        <v>833</v>
      </c>
      <c r="F2964" s="4" t="s">
        <v>9310</v>
      </c>
      <c r="G2964" s="4">
        <v>69484</v>
      </c>
      <c r="H2964" s="4" t="s">
        <v>9311</v>
      </c>
      <c r="I2964" s="4">
        <v>323</v>
      </c>
      <c r="J2964" s="4" t="s">
        <v>23</v>
      </c>
      <c r="K2964" s="4" t="s">
        <v>133</v>
      </c>
      <c r="L2964" s="4">
        <v>60000000</v>
      </c>
      <c r="M2964" s="4">
        <v>2016</v>
      </c>
      <c r="N2964" s="4">
        <v>5.9</v>
      </c>
      <c r="O2964" s="4">
        <f ca="1">IFERROR(__xludf.DUMMYFUNCTION("IF(Cost_in_dollars!E2964=""USD"",Cost_in_dollars!B2964,Cost_in_dollars!B2964 * GOOGLEFINANCE(""CURRENCY:"" &amp; Cost_in_dollars!E2964 &amp; ""USD""))
"),77124000)</f>
        <v>77124000</v>
      </c>
      <c r="P2964" s="4">
        <f ca="1">IFERROR(__xludf.DUMMYFUNCTION("IF(Cost_in_dollars!E2964=""USD"",Cost_in_dollars!C2964,Cost_in_dollars!C2964 * GOOGLEFINANCE(""CURRENCY:"" &amp; Cost_in_dollars!E2964 &amp; ""USD""))
"),80210584.7455999)</f>
        <v>80210584.745599896</v>
      </c>
      <c r="Q2964" s="4">
        <f t="shared" ca="1" si="66"/>
        <v>3086584.7455998957</v>
      </c>
      <c r="R2964" s="5" t="str">
        <f t="shared" si="67"/>
        <v>London Has Fallen</v>
      </c>
      <c r="S2964" s="43" t="str">
        <f t="shared" si="70"/>
        <v>Action</v>
      </c>
    </row>
    <row r="2965" spans="1:19" ht="15.75" customHeight="1" x14ac:dyDescent="0.25">
      <c r="A2965" s="6" t="s">
        <v>8240</v>
      </c>
      <c r="B2965" s="6">
        <v>143</v>
      </c>
      <c r="C2965" s="6">
        <v>8047690</v>
      </c>
      <c r="D2965" s="6" t="s">
        <v>235</v>
      </c>
      <c r="E2965" s="6" t="s">
        <v>6916</v>
      </c>
      <c r="F2965" s="6" t="s">
        <v>9312</v>
      </c>
      <c r="G2965" s="6">
        <v>77656</v>
      </c>
      <c r="H2965" s="6" t="s">
        <v>9313</v>
      </c>
      <c r="I2965" s="6">
        <v>220</v>
      </c>
      <c r="J2965" s="6" t="s">
        <v>3279</v>
      </c>
      <c r="K2965" s="6" t="s">
        <v>220</v>
      </c>
      <c r="L2965" s="6">
        <v>19400000</v>
      </c>
      <c r="M2965" s="6">
        <v>2006</v>
      </c>
      <c r="N2965" s="6">
        <v>7.5</v>
      </c>
      <c r="O2965" s="4">
        <f ca="1">IFERROR(__xludf.DUMMYFUNCTION("IF(Cost_in_dollars!E2965=""USD"",Cost_in_dollars!B2965,Cost_in_dollars!B2965 * GOOGLEFINANCE(""CURRENCY:"" &amp; Cost_in_dollars!E2965 &amp; ""USD""))
"),2682707.65999999)</f>
        <v>2682707.6599999899</v>
      </c>
      <c r="P2965" s="4">
        <f ca="1">IFERROR(__xludf.DUMMYFUNCTION("IF(Cost_in_dollars!E2965=""USD"",Cost_in_dollars!C2965,Cost_in_dollars!C2965 * GOOGLEFINANCE(""CURRENCY:"" &amp; Cost_in_dollars!E2965 &amp; ""USD""))
"),1112865.95919099)</f>
        <v>1112865.9591909901</v>
      </c>
      <c r="Q2965" s="6">
        <f t="shared" ca="1" si="66"/>
        <v>-1569841.7008089998</v>
      </c>
      <c r="R2965" s="7" t="str">
        <f t="shared" si="67"/>
        <v>The Painted Veil</v>
      </c>
      <c r="S2965" s="43" t="str">
        <f t="shared" si="70"/>
        <v>Drama</v>
      </c>
    </row>
    <row r="2966" spans="1:19" ht="15.75" customHeight="1" x14ac:dyDescent="0.25">
      <c r="A2966" s="4" t="s">
        <v>9314</v>
      </c>
      <c r="B2966" s="4">
        <v>488</v>
      </c>
      <c r="C2966" s="4">
        <v>237282182</v>
      </c>
      <c r="D2966" s="4" t="s">
        <v>304</v>
      </c>
      <c r="E2966" s="4" t="s">
        <v>7645</v>
      </c>
      <c r="F2966" s="4" t="s">
        <v>9315</v>
      </c>
      <c r="G2966" s="4">
        <v>273556</v>
      </c>
      <c r="H2966" s="4" t="s">
        <v>9316</v>
      </c>
      <c r="I2966" s="4">
        <v>428</v>
      </c>
      <c r="J2966" s="4" t="s">
        <v>23</v>
      </c>
      <c r="K2966" s="4" t="s">
        <v>24</v>
      </c>
      <c r="L2966" s="4">
        <v>185000000</v>
      </c>
      <c r="M2966" s="4">
        <v>2012</v>
      </c>
      <c r="N2966" s="4">
        <v>7.2</v>
      </c>
      <c r="O2966" s="4">
        <f ca="1">IFERROR(__xludf.DUMMYFUNCTION("IF(Cost_in_dollars!E2966=""USD"",Cost_in_dollars!B2966,Cost_in_dollars!B2966 * GOOGLEFINANCE(""CURRENCY:"" &amp; Cost_in_dollars!E2966 &amp; ""USD""))
"),185000000)</f>
        <v>185000000</v>
      </c>
      <c r="P2966" s="4">
        <f ca="1">IFERROR(__xludf.DUMMYFUNCTION("IF(Cost_in_dollars!E2966=""USD"",Cost_in_dollars!C2966,Cost_in_dollars!C2966 * GOOGLEFINANCE(""CURRENCY:"" &amp; Cost_in_dollars!E2966 &amp; ""USD""))
"),237282182)</f>
        <v>237282182</v>
      </c>
      <c r="Q2966" s="4">
        <f t="shared" ca="1" si="66"/>
        <v>52282182</v>
      </c>
      <c r="R2966" s="5" t="str">
        <f t="shared" si="67"/>
        <v>Brave</v>
      </c>
      <c r="S2966" s="43" t="str">
        <f t="shared" si="70"/>
        <v>Adventure</v>
      </c>
    </row>
    <row r="2967" spans="1:19" ht="15.75" customHeight="1" x14ac:dyDescent="0.25">
      <c r="A2967" s="6" t="s">
        <v>1475</v>
      </c>
      <c r="B2967" s="6">
        <v>101</v>
      </c>
      <c r="C2967" s="6">
        <v>8712564</v>
      </c>
      <c r="D2967" s="6" t="s">
        <v>438</v>
      </c>
      <c r="E2967" s="6" t="s">
        <v>6205</v>
      </c>
      <c r="F2967" s="6" t="s">
        <v>9317</v>
      </c>
      <c r="G2967" s="6">
        <v>16555</v>
      </c>
      <c r="H2967" s="6" t="s">
        <v>9318</v>
      </c>
      <c r="I2967" s="6">
        <v>139</v>
      </c>
      <c r="J2967" s="6" t="s">
        <v>23</v>
      </c>
      <c r="K2967" s="6" t="s">
        <v>24</v>
      </c>
      <c r="L2967" s="6">
        <v>27000000</v>
      </c>
      <c r="M2967" s="6">
        <v>2004</v>
      </c>
      <c r="N2967" s="6">
        <v>5.9</v>
      </c>
      <c r="O2967" s="4">
        <f ca="1">IFERROR(__xludf.DUMMYFUNCTION("IF(Cost_in_dollars!E2967=""USD"",Cost_in_dollars!B2967,Cost_in_dollars!B2967 * GOOGLEFINANCE(""CURRENCY:"" &amp; Cost_in_dollars!E2967 &amp; ""USD""))
"),27000000)</f>
        <v>27000000</v>
      </c>
      <c r="P2967" s="4">
        <f ca="1">IFERROR(__xludf.DUMMYFUNCTION("IF(Cost_in_dollars!E2967=""USD"",Cost_in_dollars!C2967,Cost_in_dollars!C2967 * GOOGLEFINANCE(""CURRENCY:"" &amp; Cost_in_dollars!E2967 &amp; ""USD""))
"),8712564)</f>
        <v>8712564</v>
      </c>
      <c r="Q2967" s="6">
        <f t="shared" ca="1" si="66"/>
        <v>-18287436</v>
      </c>
      <c r="R2967" s="7" t="str">
        <f t="shared" si="67"/>
        <v>Suspect Zero</v>
      </c>
      <c r="S2967" s="43" t="str">
        <f t="shared" si="70"/>
        <v>Crime</v>
      </c>
    </row>
    <row r="2968" spans="1:19" ht="15.75" customHeight="1" x14ac:dyDescent="0.25">
      <c r="A2968" s="4" t="s">
        <v>9319</v>
      </c>
      <c r="B2968" s="4">
        <v>148</v>
      </c>
      <c r="C2968" s="4">
        <v>37036404</v>
      </c>
      <c r="D2968" s="4" t="s">
        <v>162</v>
      </c>
      <c r="E2968" s="4" t="s">
        <v>9320</v>
      </c>
      <c r="F2968" s="4" t="s">
        <v>9321</v>
      </c>
      <c r="G2968" s="4">
        <v>44816</v>
      </c>
      <c r="H2968" s="4" t="s">
        <v>9322</v>
      </c>
      <c r="I2968" s="4">
        <v>259</v>
      </c>
      <c r="J2968" s="4" t="s">
        <v>23</v>
      </c>
      <c r="K2968" s="4" t="s">
        <v>24</v>
      </c>
      <c r="L2968" s="4">
        <v>30000000</v>
      </c>
      <c r="M2968" s="4">
        <v>2000</v>
      </c>
      <c r="N2968" s="4">
        <v>6.4</v>
      </c>
      <c r="O2968" s="4">
        <f ca="1">IFERROR(__xludf.DUMMYFUNCTION("IF(Cost_in_dollars!E2968=""USD"",Cost_in_dollars!B2968,Cost_in_dollars!B2968 * GOOGLEFINANCE(""CURRENCY:"" &amp; Cost_in_dollars!E2968 &amp; ""USD""))
"),30000000)</f>
        <v>30000000</v>
      </c>
      <c r="P2968" s="4">
        <f ca="1">IFERROR(__xludf.DUMMYFUNCTION("IF(Cost_in_dollars!E2968=""USD"",Cost_in_dollars!C2968,Cost_in_dollars!C2968 * GOOGLEFINANCE(""CURRENCY:"" &amp; Cost_in_dollars!E2968 &amp; ""USD""))
"),37036404)</f>
        <v>37036404</v>
      </c>
      <c r="Q2968" s="4">
        <f t="shared" ca="1" si="66"/>
        <v>7036404</v>
      </c>
      <c r="R2968" s="5" t="str">
        <f t="shared" si="67"/>
        <v>Keeping the Faith</v>
      </c>
      <c r="S2968" s="43" t="str">
        <f t="shared" si="70"/>
        <v>Comedy</v>
      </c>
    </row>
    <row r="2969" spans="1:19" ht="15.75" customHeight="1" x14ac:dyDescent="0.25">
      <c r="A2969" s="6" t="s">
        <v>3651</v>
      </c>
      <c r="B2969" s="6">
        <v>76</v>
      </c>
      <c r="C2969" s="6">
        <v>37901509</v>
      </c>
      <c r="D2969" s="6" t="s">
        <v>1908</v>
      </c>
      <c r="E2969" s="6" t="s">
        <v>1436</v>
      </c>
      <c r="F2969" s="6" t="s">
        <v>9323</v>
      </c>
      <c r="G2969" s="6">
        <v>96385</v>
      </c>
      <c r="H2969" s="6" t="s">
        <v>9324</v>
      </c>
      <c r="I2969" s="6">
        <v>119</v>
      </c>
      <c r="J2969" s="6" t="s">
        <v>23</v>
      </c>
      <c r="K2969" s="6" t="s">
        <v>24</v>
      </c>
      <c r="L2969" s="6">
        <v>70000000</v>
      </c>
      <c r="M2969" s="6">
        <v>1997</v>
      </c>
      <c r="N2969" s="6">
        <v>7</v>
      </c>
      <c r="O2969" s="4">
        <f ca="1">IFERROR(__xludf.DUMMYFUNCTION("IF(Cost_in_dollars!E2969=""USD"",Cost_in_dollars!B2969,Cost_in_dollars!B2969 * GOOGLEFINANCE(""CURRENCY:"" &amp; Cost_in_dollars!E2969 &amp; ""USD""))
"),70000000)</f>
        <v>70000000</v>
      </c>
      <c r="P2969" s="4">
        <f ca="1">IFERROR(__xludf.DUMMYFUNCTION("IF(Cost_in_dollars!E2969=""USD"",Cost_in_dollars!C2969,Cost_in_dollars!C2969 * GOOGLEFINANCE(""CURRENCY:"" &amp; Cost_in_dollars!E2969 &amp; ""USD""))
"),37901509)</f>
        <v>37901509</v>
      </c>
      <c r="Q2969" s="6">
        <f t="shared" ca="1" si="66"/>
        <v>-32098491</v>
      </c>
      <c r="R2969" s="7" t="str">
        <f t="shared" si="67"/>
        <v>Seven Years in Tibet</v>
      </c>
      <c r="S2969" s="43" t="str">
        <f t="shared" si="70"/>
        <v>Adventure</v>
      </c>
    </row>
    <row r="2970" spans="1:19" ht="15.75" customHeight="1" x14ac:dyDescent="0.25">
      <c r="A2970" s="4" t="s">
        <v>9325</v>
      </c>
      <c r="B2970" s="4">
        <v>92</v>
      </c>
      <c r="C2970" s="4">
        <v>141600000</v>
      </c>
      <c r="D2970" s="4" t="s">
        <v>9326</v>
      </c>
      <c r="E2970" s="4" t="s">
        <v>1595</v>
      </c>
      <c r="F2970" s="4" t="s">
        <v>9327</v>
      </c>
      <c r="G2970" s="4">
        <v>119675</v>
      </c>
      <c r="H2970" s="4" t="s">
        <v>9328</v>
      </c>
      <c r="I2970" s="4">
        <v>216</v>
      </c>
      <c r="J2970" s="4" t="s">
        <v>23</v>
      </c>
      <c r="K2970" s="4" t="s">
        <v>24</v>
      </c>
      <c r="L2970" s="4">
        <v>55000000</v>
      </c>
      <c r="M2970" s="4">
        <v>1995</v>
      </c>
      <c r="N2970" s="4">
        <v>6.6</v>
      </c>
      <c r="O2970" s="4">
        <f ca="1">IFERROR(__xludf.DUMMYFUNCTION("IF(Cost_in_dollars!E2970=""USD"",Cost_in_dollars!B2970,Cost_in_dollars!B2970 * GOOGLEFINANCE(""CURRENCY:"" &amp; Cost_in_dollars!E2970 &amp; ""USD""))
"),55000000)</f>
        <v>55000000</v>
      </c>
      <c r="P2970" s="4">
        <f ca="1">IFERROR(__xludf.DUMMYFUNCTION("IF(Cost_in_dollars!E2970=""USD"",Cost_in_dollars!C2970,Cost_in_dollars!C2970 * GOOGLEFINANCE(""CURRENCY:"" &amp; Cost_in_dollars!E2970 &amp; ""USD""))
"),141600000)</f>
        <v>141600000</v>
      </c>
      <c r="Q2970" s="4">
        <f t="shared" ca="1" si="66"/>
        <v>86600000</v>
      </c>
      <c r="R2970" s="5" t="str">
        <f t="shared" si="67"/>
        <v>Pocahontas</v>
      </c>
      <c r="S2970" s="43" t="str">
        <f t="shared" si="70"/>
        <v>Adventure</v>
      </c>
    </row>
    <row r="2971" spans="1:19" ht="15.75" customHeight="1" x14ac:dyDescent="0.25">
      <c r="A2971" s="6" t="s">
        <v>9160</v>
      </c>
      <c r="B2971" s="6">
        <v>252</v>
      </c>
      <c r="C2971" s="6">
        <v>717753</v>
      </c>
      <c r="D2971" s="6" t="s">
        <v>895</v>
      </c>
      <c r="E2971" s="6" t="s">
        <v>1982</v>
      </c>
      <c r="F2971" s="6" t="s">
        <v>9329</v>
      </c>
      <c r="G2971" s="6">
        <v>33107</v>
      </c>
      <c r="H2971" s="6" t="s">
        <v>9330</v>
      </c>
      <c r="I2971" s="6">
        <v>128</v>
      </c>
      <c r="J2971" s="6" t="s">
        <v>23</v>
      </c>
      <c r="K2971" s="6" t="s">
        <v>611</v>
      </c>
      <c r="L2971" s="6">
        <v>25000000</v>
      </c>
      <c r="M2971" s="6">
        <v>2012</v>
      </c>
      <c r="N2971" s="6">
        <v>6.1</v>
      </c>
      <c r="O2971" s="4">
        <f ca="1">IFERROR(__xludf.DUMMYFUNCTION("IF(Cost_in_dollars!E2971=""USD"",Cost_in_dollars!B2971,Cost_in_dollars!B2971 * GOOGLEFINANCE(""CURRENCY:"" &amp; Cost_in_dollars!E2971 &amp; ""USD""))
"),27118500)</f>
        <v>27118500</v>
      </c>
      <c r="P2971" s="4">
        <f ca="1">IFERROR(__xludf.DUMMYFUNCTION("IF(Cost_in_dollars!E2971=""USD"",Cost_in_dollars!C2971,Cost_in_dollars!C2971 * GOOGLEFINANCE(""CURRENCY:"" &amp; Cost_in_dollars!E2971 &amp; ""USD""))
"),778575.38922)</f>
        <v>778575.38922000001</v>
      </c>
      <c r="Q2971" s="6">
        <f t="shared" ca="1" si="66"/>
        <v>-26339924.610780001</v>
      </c>
      <c r="R2971" s="7" t="str">
        <f t="shared" si="67"/>
        <v>On the Road</v>
      </c>
      <c r="S2971" s="43" t="str">
        <f t="shared" si="70"/>
        <v>Adventure</v>
      </c>
    </row>
    <row r="2972" spans="1:19" ht="15.75" customHeight="1" x14ac:dyDescent="0.25">
      <c r="A2972" s="4" t="s">
        <v>1810</v>
      </c>
      <c r="B2972" s="4">
        <v>125</v>
      </c>
      <c r="C2972" s="4">
        <v>37879996</v>
      </c>
      <c r="D2972" s="4" t="s">
        <v>1756</v>
      </c>
      <c r="E2972" s="4" t="s">
        <v>20</v>
      </c>
      <c r="F2972" s="4" t="s">
        <v>9331</v>
      </c>
      <c r="G2972" s="4">
        <v>81888</v>
      </c>
      <c r="H2972" s="4" t="s">
        <v>9332</v>
      </c>
      <c r="I2972" s="4">
        <v>254</v>
      </c>
      <c r="J2972" s="4" t="s">
        <v>23</v>
      </c>
      <c r="K2972" s="4" t="s">
        <v>24</v>
      </c>
      <c r="L2972" s="4">
        <v>48000000</v>
      </c>
      <c r="M2972" s="4">
        <v>2000</v>
      </c>
      <c r="N2972" s="4">
        <v>6</v>
      </c>
      <c r="O2972" s="4">
        <f ca="1">IFERROR(__xludf.DUMMYFUNCTION("IF(Cost_in_dollars!E2972=""USD"",Cost_in_dollars!B2972,Cost_in_dollars!B2972 * GOOGLEFINANCE(""CURRENCY:"" &amp; Cost_in_dollars!E2972 &amp; ""USD""))
"),48000000)</f>
        <v>48000000</v>
      </c>
      <c r="P2972" s="4">
        <f ca="1">IFERROR(__xludf.DUMMYFUNCTION("IF(Cost_in_dollars!E2972=""USD"",Cost_in_dollars!C2972,Cost_in_dollars!C2972 * GOOGLEFINANCE(""CURRENCY:"" &amp; Cost_in_dollars!E2972 &amp; ""USD""))
"),37879996)</f>
        <v>37879996</v>
      </c>
      <c r="Q2972" s="4">
        <f t="shared" ca="1" si="66"/>
        <v>-10120004</v>
      </c>
      <c r="R2972" s="5" t="str">
        <f t="shared" si="67"/>
        <v>Bedazzled</v>
      </c>
      <c r="S2972" s="43" t="str">
        <f t="shared" si="70"/>
        <v>Comedy</v>
      </c>
    </row>
    <row r="2973" spans="1:19" ht="15.75" customHeight="1" x14ac:dyDescent="0.25">
      <c r="A2973" s="6" t="s">
        <v>9333</v>
      </c>
      <c r="B2973" s="6">
        <v>265</v>
      </c>
      <c r="C2973" s="6">
        <v>6619173</v>
      </c>
      <c r="D2973" s="6" t="s">
        <v>9334</v>
      </c>
      <c r="E2973" s="6" t="s">
        <v>1083</v>
      </c>
      <c r="F2973" s="6" t="s">
        <v>9335</v>
      </c>
      <c r="G2973" s="6">
        <v>87203</v>
      </c>
      <c r="H2973" s="6" t="s">
        <v>9336</v>
      </c>
      <c r="I2973" s="6">
        <v>221</v>
      </c>
      <c r="J2973" s="6" t="s">
        <v>23</v>
      </c>
      <c r="K2973" s="6" t="s">
        <v>24</v>
      </c>
      <c r="L2973" s="6">
        <v>10000000</v>
      </c>
      <c r="M2973" s="6">
        <v>2012</v>
      </c>
      <c r="N2973" s="6">
        <v>6.7</v>
      </c>
      <c r="O2973" s="4">
        <f ca="1">IFERROR(__xludf.DUMMYFUNCTION("IF(Cost_in_dollars!E2973=""USD"",Cost_in_dollars!B2973,Cost_in_dollars!B2973 * GOOGLEFINANCE(""CURRENCY:"" &amp; Cost_in_dollars!E2973 &amp; ""USD""))
"),10000000)</f>
        <v>10000000</v>
      </c>
      <c r="P2973" s="4">
        <f ca="1">IFERROR(__xludf.DUMMYFUNCTION("IF(Cost_in_dollars!E2973=""USD"",Cost_in_dollars!C2973,Cost_in_dollars!C2973 * GOOGLEFINANCE(""CURRENCY:"" &amp; Cost_in_dollars!E2973 &amp; ""USD""))
"),6619173)</f>
        <v>6619173</v>
      </c>
      <c r="Q2973" s="6">
        <f t="shared" ca="1" si="66"/>
        <v>-3380827</v>
      </c>
      <c r="R2973" s="7" t="str">
        <f t="shared" si="67"/>
        <v>Seeking a Friend for the End of the World</v>
      </c>
      <c r="S2973" s="43" t="str">
        <f t="shared" si="70"/>
        <v>Adventure</v>
      </c>
    </row>
    <row r="2974" spans="1:19" ht="15.75" customHeight="1" x14ac:dyDescent="0.25">
      <c r="A2974" s="4" t="s">
        <v>9337</v>
      </c>
      <c r="B2974" s="4">
        <v>223</v>
      </c>
      <c r="C2974" s="4">
        <v>290158751</v>
      </c>
      <c r="D2974" s="4" t="s">
        <v>1290</v>
      </c>
      <c r="E2974" s="4" t="s">
        <v>640</v>
      </c>
      <c r="F2974" s="4" t="s">
        <v>9338</v>
      </c>
      <c r="G2974" s="4">
        <v>837759</v>
      </c>
      <c r="H2974" s="4" t="s">
        <v>9339</v>
      </c>
      <c r="I2974" s="4">
        <v>900</v>
      </c>
      <c r="J2974" s="4" t="s">
        <v>23</v>
      </c>
      <c r="K2974" s="4" t="s">
        <v>24</v>
      </c>
      <c r="L2974" s="4">
        <v>18000000</v>
      </c>
      <c r="M2974" s="4">
        <v>1980</v>
      </c>
      <c r="N2974" s="4">
        <v>8.8000000000000007</v>
      </c>
      <c r="O2974" s="4">
        <f ca="1">IFERROR(__xludf.DUMMYFUNCTION("IF(Cost_in_dollars!E2974=""USD"",Cost_in_dollars!B2974,Cost_in_dollars!B2974 * GOOGLEFINANCE(""CURRENCY:"" &amp; Cost_in_dollars!E2974 &amp; ""USD""))
"),18000000)</f>
        <v>18000000</v>
      </c>
      <c r="P2974" s="4">
        <f ca="1">IFERROR(__xludf.DUMMYFUNCTION("IF(Cost_in_dollars!E2974=""USD"",Cost_in_dollars!C2974,Cost_in_dollars!C2974 * GOOGLEFINANCE(""CURRENCY:"" &amp; Cost_in_dollars!E2974 &amp; ""USD""))
"),290158751)</f>
        <v>290158751</v>
      </c>
      <c r="Q2974" s="4">
        <f t="shared" ca="1" si="66"/>
        <v>272158751</v>
      </c>
      <c r="R2974" s="5" t="str">
        <f t="shared" si="67"/>
        <v>Star Wars: Episode V - The Empire Strikes Back</v>
      </c>
      <c r="S2974" s="43" t="str">
        <f t="shared" si="70"/>
        <v>Action</v>
      </c>
    </row>
    <row r="2975" spans="1:19" ht="15.75" customHeight="1" x14ac:dyDescent="0.25">
      <c r="A2975" s="6" t="s">
        <v>150</v>
      </c>
      <c r="B2975" s="6">
        <v>212</v>
      </c>
      <c r="C2975" s="6">
        <v>89138076</v>
      </c>
      <c r="D2975" s="6" t="s">
        <v>568</v>
      </c>
      <c r="E2975" s="6" t="s">
        <v>9340</v>
      </c>
      <c r="F2975" s="6" t="s">
        <v>9341</v>
      </c>
      <c r="G2975" s="6">
        <v>98535</v>
      </c>
      <c r="H2975" s="6" t="s">
        <v>9342</v>
      </c>
      <c r="I2975" s="6">
        <v>734</v>
      </c>
      <c r="J2975" s="6" t="s">
        <v>23</v>
      </c>
      <c r="K2975" s="6" t="s">
        <v>24</v>
      </c>
      <c r="L2975" s="6">
        <v>40000000</v>
      </c>
      <c r="M2975" s="6">
        <v>2000</v>
      </c>
      <c r="N2975" s="6">
        <v>5.5</v>
      </c>
      <c r="O2975" s="4">
        <f ca="1">IFERROR(__xludf.DUMMYFUNCTION("IF(Cost_in_dollars!E2975=""USD"",Cost_in_dollars!B2975,Cost_in_dollars!B2975 * GOOGLEFINANCE(""CURRENCY:"" &amp; Cost_in_dollars!E2975 &amp; ""USD""))
"),40000000)</f>
        <v>40000000</v>
      </c>
      <c r="P2975" s="4">
        <f ca="1">IFERROR(__xludf.DUMMYFUNCTION("IF(Cost_in_dollars!E2975=""USD"",Cost_in_dollars!C2975,Cost_in_dollars!C2975 * GOOGLEFINANCE(""CURRENCY:"" &amp; Cost_in_dollars!E2975 &amp; ""USD""))
"),89138076)</f>
        <v>89138076</v>
      </c>
      <c r="Q2975" s="6">
        <f t="shared" ca="1" si="66"/>
        <v>49138076</v>
      </c>
      <c r="R2975" s="7" t="str">
        <f t="shared" si="67"/>
        <v>Scream 3</v>
      </c>
      <c r="S2975" s="43" t="str">
        <f t="shared" si="70"/>
        <v>Horror</v>
      </c>
    </row>
    <row r="2976" spans="1:19" ht="15.75" customHeight="1" x14ac:dyDescent="0.25">
      <c r="A2976" s="4" t="s">
        <v>1126</v>
      </c>
      <c r="B2976" s="4">
        <v>175</v>
      </c>
      <c r="C2976" s="4">
        <v>260031035</v>
      </c>
      <c r="D2976" s="4" t="s">
        <v>517</v>
      </c>
      <c r="E2976" s="4" t="s">
        <v>4205</v>
      </c>
      <c r="F2976" s="4" t="s">
        <v>9343</v>
      </c>
      <c r="G2976" s="4">
        <v>141414</v>
      </c>
      <c r="H2976" s="4" t="s">
        <v>9344</v>
      </c>
      <c r="I2976" s="4">
        <v>482</v>
      </c>
      <c r="J2976" s="4" t="s">
        <v>23</v>
      </c>
      <c r="K2976" s="4" t="s">
        <v>24</v>
      </c>
      <c r="L2976" s="4">
        <v>123000000</v>
      </c>
      <c r="M2976" s="4">
        <v>2000</v>
      </c>
      <c r="N2976" s="4">
        <v>6</v>
      </c>
      <c r="O2976" s="4">
        <f ca="1">IFERROR(__xludf.DUMMYFUNCTION("IF(Cost_in_dollars!E2976=""USD"",Cost_in_dollars!B2976,Cost_in_dollars!B2976 * GOOGLEFINANCE(""CURRENCY:"" &amp; Cost_in_dollars!E2976 &amp; ""USD""))
"),123000000)</f>
        <v>123000000</v>
      </c>
      <c r="P2976" s="4">
        <f ca="1">IFERROR(__xludf.DUMMYFUNCTION("IF(Cost_in_dollars!E2976=""USD"",Cost_in_dollars!C2976,Cost_in_dollars!C2976 * GOOGLEFINANCE(""CURRENCY:"" &amp; Cost_in_dollars!E2976 &amp; ""USD""))
"),260031035)</f>
        <v>260031035</v>
      </c>
      <c r="Q2976" s="4">
        <f t="shared" ca="1" si="66"/>
        <v>137031035</v>
      </c>
      <c r="R2976" s="5" t="str">
        <f t="shared" si="67"/>
        <v>How the Grinch Stole Christmas</v>
      </c>
      <c r="S2976" s="43" t="str">
        <f t="shared" si="70"/>
        <v>Comedy</v>
      </c>
    </row>
    <row r="2977" spans="1:19" ht="15.75" customHeight="1" x14ac:dyDescent="0.25">
      <c r="A2977" s="6" t="s">
        <v>9345</v>
      </c>
      <c r="B2977" s="6">
        <v>76</v>
      </c>
      <c r="C2977" s="6">
        <v>396035</v>
      </c>
      <c r="D2977" s="6" t="s">
        <v>235</v>
      </c>
      <c r="E2977" s="6" t="s">
        <v>6540</v>
      </c>
      <c r="F2977" s="6" t="s">
        <v>9346</v>
      </c>
      <c r="G2977" s="6">
        <v>2725</v>
      </c>
      <c r="H2977" s="6" t="s">
        <v>9347</v>
      </c>
      <c r="I2977" s="6">
        <v>48</v>
      </c>
      <c r="J2977" s="6" t="s">
        <v>23</v>
      </c>
      <c r="K2977" s="6" t="s">
        <v>133</v>
      </c>
      <c r="L2977" s="6">
        <v>1000000</v>
      </c>
      <c r="M2977" s="6">
        <v>2004</v>
      </c>
      <c r="N2977" s="6">
        <v>6.9</v>
      </c>
      <c r="O2977" s="4">
        <f ca="1">IFERROR(__xludf.DUMMYFUNCTION("IF(Cost_in_dollars!E2977=""USD"",Cost_in_dollars!B2977,Cost_in_dollars!B2977 * GOOGLEFINANCE(""CURRENCY:"" &amp; Cost_in_dollars!E2977 &amp; ""USD""))
"),1285399.99999999)</f>
        <v>1285399.99999999</v>
      </c>
      <c r="P2977" s="4">
        <f ca="1">IFERROR(__xludf.DUMMYFUNCTION("IF(Cost_in_dollars!E2977=""USD"",Cost_in_dollars!C2977,Cost_in_dollars!C2977 * GOOGLEFINANCE(""CURRENCY:"" &amp; Cost_in_dollars!E2977 &amp; ""USD""))
"),509063.388999999)</f>
        <v>509063.38899999898</v>
      </c>
      <c r="Q2977" s="6">
        <f t="shared" ca="1" si="66"/>
        <v>-776336.61099999095</v>
      </c>
      <c r="R2977" s="7" t="str">
        <f t="shared" si="67"/>
        <v>Yes</v>
      </c>
      <c r="S2977" s="43" t="str">
        <f t="shared" si="70"/>
        <v>Drama</v>
      </c>
    </row>
    <row r="2978" spans="1:19" ht="15.75" customHeight="1" x14ac:dyDescent="0.25">
      <c r="A2978" s="4" t="s">
        <v>9348</v>
      </c>
      <c r="B2978" s="4">
        <v>33</v>
      </c>
      <c r="C2978" s="4">
        <v>13684949</v>
      </c>
      <c r="D2978" s="4" t="s">
        <v>1827</v>
      </c>
      <c r="E2978" s="4" t="s">
        <v>5029</v>
      </c>
      <c r="F2978" s="4" t="s">
        <v>9349</v>
      </c>
      <c r="G2978" s="4">
        <v>4564</v>
      </c>
      <c r="H2978" s="4" t="s">
        <v>9350</v>
      </c>
      <c r="I2978" s="4">
        <v>43</v>
      </c>
      <c r="J2978" s="4" t="s">
        <v>23</v>
      </c>
      <c r="K2978" s="4" t="s">
        <v>24</v>
      </c>
      <c r="L2978" s="4">
        <v>3000000</v>
      </c>
      <c r="M2978" s="4">
        <v>2002</v>
      </c>
      <c r="N2978" s="4">
        <v>5.9</v>
      </c>
      <c r="O2978" s="4">
        <f ca="1">IFERROR(__xludf.DUMMYFUNCTION("IF(Cost_in_dollars!E2978=""USD"",Cost_in_dollars!B2978,Cost_in_dollars!B2978 * GOOGLEFINANCE(""CURRENCY:"" &amp; Cost_in_dollars!E2978 &amp; ""USD""))
"),3000000)</f>
        <v>3000000</v>
      </c>
      <c r="P2978" s="4">
        <f ca="1">IFERROR(__xludf.DUMMYFUNCTION("IF(Cost_in_dollars!E2978=""USD"",Cost_in_dollars!C2978,Cost_in_dollars!C2978 * GOOGLEFINANCE(""CURRENCY:"" &amp; Cost_in_dollars!E2978 &amp; ""USD""))
"),13684949)</f>
        <v>13684949</v>
      </c>
      <c r="Q2978" s="4">
        <f t="shared" ca="1" si="66"/>
        <v>10684949</v>
      </c>
      <c r="R2978" s="5" t="str">
        <f t="shared" si="67"/>
        <v>Hey Arnold! The Movie</v>
      </c>
      <c r="S2978" s="43" t="str">
        <f t="shared" si="70"/>
        <v>Adventure</v>
      </c>
    </row>
    <row r="2979" spans="1:19" ht="15.75" customHeight="1" x14ac:dyDescent="0.25">
      <c r="A2979" s="6" t="s">
        <v>67</v>
      </c>
      <c r="B2979" s="6">
        <v>53</v>
      </c>
      <c r="C2979" s="6">
        <v>38168022</v>
      </c>
      <c r="D2979" s="6" t="s">
        <v>3803</v>
      </c>
      <c r="E2979" s="6" t="s">
        <v>198</v>
      </c>
      <c r="F2979" s="6" t="s">
        <v>9351</v>
      </c>
      <c r="G2979" s="6">
        <v>4687</v>
      </c>
      <c r="H2979" s="6" t="s">
        <v>9352</v>
      </c>
      <c r="I2979" s="6">
        <v>83</v>
      </c>
      <c r="J2979" s="6" t="s">
        <v>23</v>
      </c>
      <c r="K2979" s="6" t="s">
        <v>24</v>
      </c>
      <c r="L2979" s="6">
        <v>3000000</v>
      </c>
      <c r="M2979" s="6">
        <v>2000</v>
      </c>
      <c r="N2979" s="6">
        <v>6.6</v>
      </c>
      <c r="O2979" s="4">
        <f ca="1">IFERROR(__xludf.DUMMYFUNCTION("IF(Cost_in_dollars!E2979=""USD"",Cost_in_dollars!B2979,Cost_in_dollars!B2979 * GOOGLEFINANCE(""CURRENCY:"" &amp; Cost_in_dollars!E2979 &amp; ""USD""))
"),3000000)</f>
        <v>3000000</v>
      </c>
      <c r="P2979" s="4">
        <f ca="1">IFERROR(__xludf.DUMMYFUNCTION("IF(Cost_in_dollars!E2979=""USD"",Cost_in_dollars!C2979,Cost_in_dollars!C2979 * GOOGLEFINANCE(""CURRENCY:"" &amp; Cost_in_dollars!E2979 &amp; ""USD""))
"),38168022)</f>
        <v>38168022</v>
      </c>
      <c r="Q2979" s="6">
        <f t="shared" ca="1" si="66"/>
        <v>35168022</v>
      </c>
      <c r="R2979" s="7" t="str">
        <f t="shared" si="67"/>
        <v>The Original Kings of Comedy</v>
      </c>
      <c r="S2979" s="43" t="str">
        <f t="shared" si="70"/>
        <v>Comedy</v>
      </c>
    </row>
    <row r="2980" spans="1:19" ht="15.75" customHeight="1" x14ac:dyDescent="0.25">
      <c r="A2980" s="4" t="s">
        <v>4603</v>
      </c>
      <c r="B2980" s="4">
        <v>125</v>
      </c>
      <c r="C2980" s="4">
        <v>6998324</v>
      </c>
      <c r="D2980" s="4" t="s">
        <v>457</v>
      </c>
      <c r="E2980" s="4" t="s">
        <v>9353</v>
      </c>
      <c r="F2980" s="4" t="s">
        <v>9354</v>
      </c>
      <c r="G2980" s="4">
        <v>11476</v>
      </c>
      <c r="H2980" s="4" t="s">
        <v>9355</v>
      </c>
      <c r="I2980" s="4">
        <v>50</v>
      </c>
      <c r="J2980" s="4" t="s">
        <v>23</v>
      </c>
      <c r="K2980" s="4" t="s">
        <v>24</v>
      </c>
      <c r="L2980" s="4">
        <v>28000000</v>
      </c>
      <c r="M2980" s="4">
        <v>2015</v>
      </c>
      <c r="N2980" s="4">
        <v>6.1</v>
      </c>
      <c r="O2980" s="4">
        <f ca="1">IFERROR(__xludf.DUMMYFUNCTION("IF(Cost_in_dollars!E2980=""USD"",Cost_in_dollars!B2980,Cost_in_dollars!B2980 * GOOGLEFINANCE(""CURRENCY:"" &amp; Cost_in_dollars!E2980 &amp; ""USD""))
"),28000000)</f>
        <v>28000000</v>
      </c>
      <c r="P2980" s="4">
        <f ca="1">IFERROR(__xludf.DUMMYFUNCTION("IF(Cost_in_dollars!E2980=""USD"",Cost_in_dollars!C2980,Cost_in_dollars!C2980 * GOOGLEFINANCE(""CURRENCY:"" &amp; Cost_in_dollars!E2980 &amp; ""USD""))
"),6998324)</f>
        <v>6998324</v>
      </c>
      <c r="Q2980" s="4">
        <f t="shared" ca="1" si="66"/>
        <v>-21001676</v>
      </c>
      <c r="R2980" s="5" t="str">
        <f t="shared" si="67"/>
        <v>Our Brand Is Crisis</v>
      </c>
      <c r="S2980" s="43" t="str">
        <f t="shared" si="70"/>
        <v>Comedy</v>
      </c>
    </row>
    <row r="2981" spans="1:19" ht="15.75" customHeight="1" x14ac:dyDescent="0.25">
      <c r="A2981" s="6" t="s">
        <v>4210</v>
      </c>
      <c r="B2981" s="6">
        <v>127</v>
      </c>
      <c r="C2981" s="6">
        <v>10460089</v>
      </c>
      <c r="D2981" s="6" t="s">
        <v>438</v>
      </c>
      <c r="E2981" s="6" t="s">
        <v>1115</v>
      </c>
      <c r="F2981" s="6" t="s">
        <v>9356</v>
      </c>
      <c r="G2981" s="6">
        <v>34098</v>
      </c>
      <c r="H2981" s="6" t="s">
        <v>9357</v>
      </c>
      <c r="I2981" s="6">
        <v>214</v>
      </c>
      <c r="J2981" s="6" t="s">
        <v>23</v>
      </c>
      <c r="K2981" s="6" t="s">
        <v>24</v>
      </c>
      <c r="L2981" s="6">
        <v>7500000</v>
      </c>
      <c r="M2981" s="6">
        <v>2002</v>
      </c>
      <c r="N2981" s="6">
        <v>7.2</v>
      </c>
      <c r="O2981" s="4">
        <f ca="1">IFERROR(__xludf.DUMMYFUNCTION("IF(Cost_in_dollars!E2981=""USD"",Cost_in_dollars!B2981,Cost_in_dollars!B2981 * GOOGLEFINANCE(""CURRENCY:"" &amp; Cost_in_dollars!E2981 &amp; ""USD""))
"),7500000)</f>
        <v>7500000</v>
      </c>
      <c r="P2981" s="4">
        <f ca="1">IFERROR(__xludf.DUMMYFUNCTION("IF(Cost_in_dollars!E2981=""USD"",Cost_in_dollars!C2981,Cost_in_dollars!C2981 * GOOGLEFINANCE(""CURRENCY:"" &amp; Cost_in_dollars!E2981 &amp; ""USD""))
"),10460089)</f>
        <v>10460089</v>
      </c>
      <c r="Q2981" s="6">
        <f t="shared" ca="1" si="66"/>
        <v>2960089</v>
      </c>
      <c r="R2981" s="7" t="str">
        <f t="shared" si="67"/>
        <v>Narc</v>
      </c>
      <c r="S2981" s="43" t="str">
        <f t="shared" si="70"/>
        <v>Crime</v>
      </c>
    </row>
    <row r="2982" spans="1:19" ht="15.75" customHeight="1" x14ac:dyDescent="0.25">
      <c r="A2982" s="4" t="s">
        <v>9358</v>
      </c>
      <c r="B2982" s="4">
        <v>384</v>
      </c>
      <c r="C2982" s="4">
        <v>222487711</v>
      </c>
      <c r="D2982" s="4" t="s">
        <v>7292</v>
      </c>
      <c r="E2982" s="4" t="s">
        <v>8661</v>
      </c>
      <c r="F2982" s="4" t="s">
        <v>9359</v>
      </c>
      <c r="G2982" s="4">
        <v>279093</v>
      </c>
      <c r="H2982" s="4" t="s">
        <v>9360</v>
      </c>
      <c r="I2982" s="4">
        <v>433</v>
      </c>
      <c r="J2982" s="4" t="s">
        <v>23</v>
      </c>
      <c r="K2982" s="4" t="s">
        <v>24</v>
      </c>
      <c r="L2982" s="4">
        <v>165000000</v>
      </c>
      <c r="M2982" s="4">
        <v>2014</v>
      </c>
      <c r="N2982" s="4">
        <v>7.9</v>
      </c>
      <c r="O2982" s="4">
        <f ca="1">IFERROR(__xludf.DUMMYFUNCTION("IF(Cost_in_dollars!E2982=""USD"",Cost_in_dollars!B2982,Cost_in_dollars!B2982 * GOOGLEFINANCE(""CURRENCY:"" &amp; Cost_in_dollars!E2982 &amp; ""USD""))
"),165000000)</f>
        <v>165000000</v>
      </c>
      <c r="P2982" s="4">
        <f ca="1">IFERROR(__xludf.DUMMYFUNCTION("IF(Cost_in_dollars!E2982=""USD"",Cost_in_dollars!C2982,Cost_in_dollars!C2982 * GOOGLEFINANCE(""CURRENCY:"" &amp; Cost_in_dollars!E2982 &amp; ""USD""))
"),222487711)</f>
        <v>222487711</v>
      </c>
      <c r="Q2982" s="4">
        <f t="shared" ca="1" si="66"/>
        <v>57487711</v>
      </c>
      <c r="R2982" s="5" t="str">
        <f t="shared" si="67"/>
        <v>Big Hero 6</v>
      </c>
      <c r="S2982" s="43" t="str">
        <f t="shared" si="70"/>
        <v>Action</v>
      </c>
    </row>
    <row r="2983" spans="1:19" ht="15.75" customHeight="1" x14ac:dyDescent="0.25">
      <c r="A2983" s="6" t="s">
        <v>9361</v>
      </c>
      <c r="B2983" s="6">
        <v>157</v>
      </c>
      <c r="C2983" s="6">
        <v>6855137</v>
      </c>
      <c r="D2983" s="6" t="s">
        <v>504</v>
      </c>
      <c r="E2983" s="6" t="s">
        <v>805</v>
      </c>
      <c r="F2983" s="6" t="s">
        <v>9362</v>
      </c>
      <c r="G2983" s="6">
        <v>88590</v>
      </c>
      <c r="H2983" s="6" t="s">
        <v>9363</v>
      </c>
      <c r="I2983" s="6">
        <v>419</v>
      </c>
      <c r="J2983" s="6" t="s">
        <v>23</v>
      </c>
      <c r="K2983" s="6" t="s">
        <v>176</v>
      </c>
      <c r="L2983" s="6">
        <v>17000000</v>
      </c>
      <c r="M2983" s="6">
        <v>2006</v>
      </c>
      <c r="N2983" s="6">
        <v>7.4</v>
      </c>
      <c r="O2983" s="4">
        <f ca="1">IFERROR(__xludf.DUMMYFUNCTION("IF(Cost_in_dollars!E2983=""USD"",Cost_in_dollars!B2983,Cost_in_dollars!B2983 * GOOGLEFINANCE(""CURRENCY:"" &amp; Cost_in_dollars!E2983 &amp; ""USD""))
"),18440580)</f>
        <v>18440580</v>
      </c>
      <c r="P2983" s="4">
        <f ca="1">IFERROR(__xludf.DUMMYFUNCTION("IF(Cost_in_dollars!E2983=""USD"",Cost_in_dollars!C2983,Cost_in_dollars!C2983 * GOOGLEFINANCE(""CURRENCY:"" &amp; Cost_in_dollars!E2983 &amp; ""USD""))
"),7436041.30938)</f>
        <v>7436041.3093800005</v>
      </c>
      <c r="Q2983" s="6">
        <f t="shared" ca="1" si="66"/>
        <v>-11004538.69062</v>
      </c>
      <c r="R2983" s="7" t="str">
        <f t="shared" si="67"/>
        <v>Running Scared</v>
      </c>
      <c r="S2983" s="43" t="str">
        <f t="shared" si="70"/>
        <v>Action</v>
      </c>
    </row>
    <row r="2984" spans="1:19" ht="15.75" customHeight="1" x14ac:dyDescent="0.25">
      <c r="A2984" s="4" t="s">
        <v>9364</v>
      </c>
      <c r="B2984" s="4">
        <v>41</v>
      </c>
      <c r="C2984" s="4">
        <v>562059</v>
      </c>
      <c r="D2984" s="4" t="s">
        <v>372</v>
      </c>
      <c r="E2984" s="4" t="s">
        <v>1889</v>
      </c>
      <c r="F2984" s="4" t="s">
        <v>9365</v>
      </c>
      <c r="G2984" s="4">
        <v>8535</v>
      </c>
      <c r="H2984" s="4" t="s">
        <v>9366</v>
      </c>
      <c r="I2984" s="4">
        <v>113</v>
      </c>
      <c r="J2984" s="4" t="s">
        <v>23</v>
      </c>
      <c r="K2984" s="4" t="s">
        <v>24</v>
      </c>
      <c r="L2984" s="4">
        <v>4000000</v>
      </c>
      <c r="M2984" s="4">
        <v>2002</v>
      </c>
      <c r="N2984" s="4">
        <v>7</v>
      </c>
      <c r="O2984" s="4">
        <f ca="1">IFERROR(__xludf.DUMMYFUNCTION("IF(Cost_in_dollars!E2984=""USD"",Cost_in_dollars!B2984,Cost_in_dollars!B2984 * GOOGLEFINANCE(""CURRENCY:"" &amp; Cost_in_dollars!E2984 &amp; ""USD""))
"),4000000)</f>
        <v>4000000</v>
      </c>
      <c r="P2984" s="4">
        <f ca="1">IFERROR(__xludf.DUMMYFUNCTION("IF(Cost_in_dollars!E2984=""USD"",Cost_in_dollars!C2984,Cost_in_dollars!C2984 * GOOGLEFINANCE(""CURRENCY:"" &amp; Cost_in_dollars!E2984 &amp; ""USD""))
"),562059)</f>
        <v>562059</v>
      </c>
      <c r="Q2984" s="4">
        <f t="shared" ca="1" si="66"/>
        <v>-3437941</v>
      </c>
      <c r="R2984" s="5" t="str">
        <f t="shared" si="67"/>
        <v>Poolhall Junkies</v>
      </c>
      <c r="S2984" s="43" t="str">
        <f t="shared" si="70"/>
        <v>Drama</v>
      </c>
    </row>
    <row r="2985" spans="1:19" ht="15.75" customHeight="1" x14ac:dyDescent="0.25">
      <c r="A2985" s="6" t="s">
        <v>2005</v>
      </c>
      <c r="B2985" s="6">
        <v>147</v>
      </c>
      <c r="C2985" s="6">
        <v>2077046</v>
      </c>
      <c r="D2985" s="6" t="s">
        <v>162</v>
      </c>
      <c r="E2985" s="6" t="s">
        <v>2489</v>
      </c>
      <c r="F2985" s="6" t="s">
        <v>9367</v>
      </c>
      <c r="G2985" s="6">
        <v>27266</v>
      </c>
      <c r="H2985" s="6" t="s">
        <v>9368</v>
      </c>
      <c r="I2985" s="6">
        <v>75</v>
      </c>
      <c r="J2985" s="6" t="s">
        <v>23</v>
      </c>
      <c r="K2985" s="6" t="s">
        <v>24</v>
      </c>
      <c r="L2985" s="6">
        <v>6000000</v>
      </c>
      <c r="M2985" s="6">
        <v>2008</v>
      </c>
      <c r="N2985" s="6">
        <v>7</v>
      </c>
      <c r="O2985" s="4">
        <f ca="1">IFERROR(__xludf.DUMMYFUNCTION("IF(Cost_in_dollars!E2985=""USD"",Cost_in_dollars!B2985,Cost_in_dollars!B2985 * GOOGLEFINANCE(""CURRENCY:"" &amp; Cost_in_dollars!E2985 &amp; ""USD""))
"),6000000)</f>
        <v>6000000</v>
      </c>
      <c r="P2985" s="4">
        <f ca="1">IFERROR(__xludf.DUMMYFUNCTION("IF(Cost_in_dollars!E2985=""USD"",Cost_in_dollars!C2985,Cost_in_dollars!C2985 * GOOGLEFINANCE(""CURRENCY:"" &amp; Cost_in_dollars!E2985 &amp; ""USD""))
"),2077046)</f>
        <v>2077046</v>
      </c>
      <c r="Q2985" s="6">
        <f t="shared" ca="1" si="66"/>
        <v>-3922954</v>
      </c>
      <c r="R2985" s="7" t="str">
        <f t="shared" si="67"/>
        <v>The Wackness</v>
      </c>
      <c r="S2985" s="43" t="str">
        <f t="shared" si="70"/>
        <v>Comedy</v>
      </c>
    </row>
    <row r="2986" spans="1:19" ht="15.75" customHeight="1" x14ac:dyDescent="0.25">
      <c r="A2986" s="4" t="s">
        <v>150</v>
      </c>
      <c r="B2986" s="4">
        <v>109</v>
      </c>
      <c r="C2986" s="4">
        <v>18090181</v>
      </c>
      <c r="D2986" s="4" t="s">
        <v>822</v>
      </c>
      <c r="E2986" s="4" t="s">
        <v>3018</v>
      </c>
      <c r="F2986" s="4" t="s">
        <v>9369</v>
      </c>
      <c r="G2986" s="4">
        <v>38191</v>
      </c>
      <c r="H2986" s="4" t="s">
        <v>9370</v>
      </c>
      <c r="I2986" s="4">
        <v>271</v>
      </c>
      <c r="J2986" s="4" t="s">
        <v>23</v>
      </c>
      <c r="K2986" s="4" t="s">
        <v>24</v>
      </c>
      <c r="L2986" s="4">
        <v>8000000</v>
      </c>
      <c r="M2986" s="4">
        <v>1994</v>
      </c>
      <c r="N2986" s="4">
        <v>6.4</v>
      </c>
      <c r="O2986" s="4">
        <f ca="1">IFERROR(__xludf.DUMMYFUNCTION("IF(Cost_in_dollars!E2986=""USD"",Cost_in_dollars!B2986,Cost_in_dollars!B2986 * GOOGLEFINANCE(""CURRENCY:"" &amp; Cost_in_dollars!E2986 &amp; ""USD""))
"),8000000)</f>
        <v>8000000</v>
      </c>
      <c r="P2986" s="4">
        <f ca="1">IFERROR(__xludf.DUMMYFUNCTION("IF(Cost_in_dollars!E2986=""USD"",Cost_in_dollars!C2986,Cost_in_dollars!C2986 * GOOGLEFINANCE(""CURRENCY:"" &amp; Cost_in_dollars!E2986 &amp; ""USD""))
"),18090181)</f>
        <v>18090181</v>
      </c>
      <c r="Q2986" s="4">
        <f t="shared" ca="1" si="66"/>
        <v>10090181</v>
      </c>
      <c r="R2986" s="5" t="str">
        <f t="shared" si="67"/>
        <v>New Nightmare</v>
      </c>
      <c r="S2986" s="43" t="str">
        <f t="shared" si="70"/>
        <v>Fantasy</v>
      </c>
    </row>
    <row r="2987" spans="1:19" ht="15.75" customHeight="1" x14ac:dyDescent="0.25">
      <c r="A2987" s="6" t="s">
        <v>8160</v>
      </c>
      <c r="B2987" s="6">
        <v>135</v>
      </c>
      <c r="C2987" s="6">
        <v>24185781</v>
      </c>
      <c r="D2987" s="6" t="s">
        <v>78</v>
      </c>
      <c r="E2987" s="6" t="s">
        <v>240</v>
      </c>
      <c r="F2987" s="6" t="s">
        <v>9371</v>
      </c>
      <c r="G2987" s="6">
        <v>30339</v>
      </c>
      <c r="H2987" s="6" t="s">
        <v>9372</v>
      </c>
      <c r="I2987" s="6">
        <v>268</v>
      </c>
      <c r="J2987" s="6" t="s">
        <v>23</v>
      </c>
      <c r="K2987" s="6" t="s">
        <v>24</v>
      </c>
      <c r="L2987" s="6">
        <v>31000000</v>
      </c>
      <c r="M2987" s="6">
        <v>2001</v>
      </c>
      <c r="N2987" s="6">
        <v>6.9</v>
      </c>
      <c r="O2987" s="4">
        <f ca="1">IFERROR(__xludf.DUMMYFUNCTION("IF(Cost_in_dollars!E2987=""USD"",Cost_in_dollars!B2987,Cost_in_dollars!B2987 * GOOGLEFINANCE(""CURRENCY:"" &amp; Cost_in_dollars!E2987 &amp; ""USD""))
"),31000000)</f>
        <v>31000000</v>
      </c>
      <c r="P2987" s="4">
        <f ca="1">IFERROR(__xludf.DUMMYFUNCTION("IF(Cost_in_dollars!E2987=""USD"",Cost_in_dollars!C2987,Cost_in_dollars!C2987 * GOOGLEFINANCE(""CURRENCY:"" &amp; Cost_in_dollars!E2987 &amp; ""USD""))
"),24185781)</f>
        <v>24185781</v>
      </c>
      <c r="Q2987" s="6">
        <f t="shared" ca="1" si="66"/>
        <v>-6814219</v>
      </c>
      <c r="R2987" s="7" t="str">
        <f t="shared" si="67"/>
        <v>Hearts in Atlantis</v>
      </c>
      <c r="S2987" s="43" t="str">
        <f t="shared" si="70"/>
        <v>Drama</v>
      </c>
    </row>
    <row r="2988" spans="1:19" ht="15.75" customHeight="1" x14ac:dyDescent="0.25">
      <c r="A2988" s="4" t="s">
        <v>555</v>
      </c>
      <c r="B2988" s="4">
        <v>138</v>
      </c>
      <c r="C2988" s="4">
        <v>20991497</v>
      </c>
      <c r="D2988" s="4" t="s">
        <v>162</v>
      </c>
      <c r="E2988" s="4" t="s">
        <v>500</v>
      </c>
      <c r="F2988" s="4" t="s">
        <v>9195</v>
      </c>
      <c r="G2988" s="4">
        <v>39778</v>
      </c>
      <c r="H2988" s="4" t="s">
        <v>9196</v>
      </c>
      <c r="I2988" s="4">
        <v>172</v>
      </c>
      <c r="J2988" s="4" t="s">
        <v>23</v>
      </c>
      <c r="K2988" s="4" t="s">
        <v>24</v>
      </c>
      <c r="L2988" s="4">
        <v>37000000</v>
      </c>
      <c r="M2988" s="4">
        <v>2015</v>
      </c>
      <c r="N2988" s="4">
        <v>5.4</v>
      </c>
      <c r="O2988" s="4">
        <f ca="1">IFERROR(__xludf.DUMMYFUNCTION("IF(Cost_in_dollars!E2988=""USD"",Cost_in_dollars!B2988,Cost_in_dollars!B2988 * GOOGLEFINANCE(""CURRENCY:"" &amp; Cost_in_dollars!E2988 &amp; ""USD""))
"),37000000)</f>
        <v>37000000</v>
      </c>
      <c r="P2988" s="4">
        <f ca="1">IFERROR(__xludf.DUMMYFUNCTION("IF(Cost_in_dollars!E2988=""USD"",Cost_in_dollars!C2988,Cost_in_dollars!C2988 * GOOGLEFINANCE(""CURRENCY:"" &amp; Cost_in_dollars!E2988 &amp; ""USD""))
"),20991497)</f>
        <v>20991497</v>
      </c>
      <c r="Q2988" s="4">
        <f t="shared" ca="1" si="66"/>
        <v>-16008503</v>
      </c>
      <c r="R2988" s="5" t="str">
        <f t="shared" si="67"/>
        <v>Aloha</v>
      </c>
      <c r="S2988" s="43" t="str">
        <f t="shared" si="70"/>
        <v>Comedy</v>
      </c>
    </row>
    <row r="2989" spans="1:19" ht="15.75" customHeight="1" x14ac:dyDescent="0.25">
      <c r="A2989" s="6" t="s">
        <v>9373</v>
      </c>
      <c r="B2989" s="6">
        <v>54</v>
      </c>
      <c r="C2989" s="6">
        <v>713413</v>
      </c>
      <c r="D2989" s="6" t="s">
        <v>1277</v>
      </c>
      <c r="E2989" s="6" t="s">
        <v>9374</v>
      </c>
      <c r="F2989" s="6" t="s">
        <v>9375</v>
      </c>
      <c r="G2989" s="6">
        <v>9171</v>
      </c>
      <c r="H2989" s="6" t="s">
        <v>9376</v>
      </c>
      <c r="I2989" s="6">
        <v>68</v>
      </c>
      <c r="J2989" s="6" t="s">
        <v>6572</v>
      </c>
      <c r="K2989" s="6" t="s">
        <v>6573</v>
      </c>
      <c r="L2989" s="6">
        <v>4500000</v>
      </c>
      <c r="M2989" s="6">
        <v>1997</v>
      </c>
      <c r="N2989" s="6">
        <v>7.8</v>
      </c>
      <c r="O2989" s="4">
        <f ca="1">IFERROR(__xludf.DUMMYFUNCTION("IF(Cost_in_dollars!E2989=""USD"",Cost_in_dollars!B2989,Cost_in_dollars!B2989 * GOOGLEFINANCE(""CURRENCY:"" &amp; Cost_in_dollars!E2989 &amp; ""USD""))
"),4881330)</f>
        <v>4881330</v>
      </c>
      <c r="P2989" s="4">
        <f ca="1">IFERROR(__xludf.DUMMYFUNCTION("IF(Cost_in_dollars!E2989=""USD"",Cost_in_dollars!C2989,Cost_in_dollars!C2989 * GOOGLEFINANCE(""CURRENCY:"" &amp; Cost_in_dollars!E2989 &amp; ""USD""))
"),773867.61762)</f>
        <v>773867.61762000003</v>
      </c>
      <c r="Q2989" s="6">
        <f t="shared" ca="1" si="66"/>
        <v>-4107462.3823799998</v>
      </c>
      <c r="R2989" s="7" t="str">
        <f t="shared" si="67"/>
        <v>Character</v>
      </c>
      <c r="S2989" s="43" t="str">
        <f t="shared" si="70"/>
        <v>Crime</v>
      </c>
    </row>
    <row r="2990" spans="1:19" ht="15.75" customHeight="1" x14ac:dyDescent="0.25">
      <c r="A2990" s="4" t="s">
        <v>2368</v>
      </c>
      <c r="B2990" s="4">
        <v>181</v>
      </c>
      <c r="C2990" s="4">
        <v>66002193</v>
      </c>
      <c r="D2990" s="4" t="s">
        <v>1711</v>
      </c>
      <c r="E2990" s="4" t="s">
        <v>877</v>
      </c>
      <c r="F2990" s="4" t="s">
        <v>9377</v>
      </c>
      <c r="G2990" s="4">
        <v>44296</v>
      </c>
      <c r="H2990" s="4" t="s">
        <v>9378</v>
      </c>
      <c r="I2990" s="4">
        <v>144</v>
      </c>
      <c r="J2990" s="4" t="s">
        <v>23</v>
      </c>
      <c r="K2990" s="4" t="s">
        <v>24</v>
      </c>
      <c r="L2990" s="4">
        <v>110000000</v>
      </c>
      <c r="M2990" s="4">
        <v>2016</v>
      </c>
      <c r="N2990" s="4">
        <v>5.8</v>
      </c>
      <c r="O2990" s="4">
        <f ca="1">IFERROR(__xludf.DUMMYFUNCTION("IF(Cost_in_dollars!E2990=""USD"",Cost_in_dollars!B2990,Cost_in_dollars!B2990 * GOOGLEFINANCE(""CURRENCY:"" &amp; Cost_in_dollars!E2990 &amp; ""USD""))
"),110000000)</f>
        <v>110000000</v>
      </c>
      <c r="P2990" s="4">
        <f ca="1">IFERROR(__xludf.DUMMYFUNCTION("IF(Cost_in_dollars!E2990=""USD"",Cost_in_dollars!C2990,Cost_in_dollars!C2990 * GOOGLEFINANCE(""CURRENCY:"" &amp; Cost_in_dollars!E2990 &amp; ""USD""))
"),66002193)</f>
        <v>66002193</v>
      </c>
      <c r="Q2990" s="4">
        <f t="shared" ca="1" si="66"/>
        <v>-43997807</v>
      </c>
      <c r="R2990" s="5" t="str">
        <f t="shared" si="67"/>
        <v>Allegiant</v>
      </c>
      <c r="S2990" s="43" t="str">
        <f t="shared" si="70"/>
        <v>Action</v>
      </c>
    </row>
    <row r="2991" spans="1:19" ht="15.75" customHeight="1" x14ac:dyDescent="0.25">
      <c r="A2991" s="6" t="s">
        <v>429</v>
      </c>
      <c r="B2991" s="6">
        <v>258</v>
      </c>
      <c r="C2991" s="6">
        <v>43290977</v>
      </c>
      <c r="D2991" s="6" t="s">
        <v>438</v>
      </c>
      <c r="E2991" s="6" t="s">
        <v>4932</v>
      </c>
      <c r="F2991" s="6" t="s">
        <v>9379</v>
      </c>
      <c r="G2991" s="6">
        <v>75201</v>
      </c>
      <c r="H2991" s="6" t="s">
        <v>9380</v>
      </c>
      <c r="I2991" s="6">
        <v>256</v>
      </c>
      <c r="J2991" s="6" t="s">
        <v>23</v>
      </c>
      <c r="K2991" s="6" t="s">
        <v>133</v>
      </c>
      <c r="L2991" s="6">
        <v>80000000</v>
      </c>
      <c r="M2991" s="6">
        <v>2010</v>
      </c>
      <c r="N2991" s="6">
        <v>6.6</v>
      </c>
      <c r="O2991" s="4">
        <f ca="1">IFERROR(__xludf.DUMMYFUNCTION("IF(Cost_in_dollars!E2991=""USD"",Cost_in_dollars!B2991,Cost_in_dollars!B2991 * GOOGLEFINANCE(""CURRENCY:"" &amp; Cost_in_dollars!E2991 &amp; ""USD""))
"),102831999.999999)</f>
        <v>102831999.999999</v>
      </c>
      <c r="P2991" s="4">
        <f ca="1">IFERROR(__xludf.DUMMYFUNCTION("IF(Cost_in_dollars!E2991=""USD"",Cost_in_dollars!C2991,Cost_in_dollars!C2991 * GOOGLEFINANCE(""CURRENCY:"" &amp; Cost_in_dollars!E2991 &amp; ""USD""))
"),55646221.8357999)</f>
        <v>55646221.835799903</v>
      </c>
      <c r="Q2991" s="6">
        <f t="shared" ca="1" si="66"/>
        <v>-47185778.164199099</v>
      </c>
      <c r="R2991" s="7" t="str">
        <f t="shared" si="67"/>
        <v>Edge of Darkness</v>
      </c>
      <c r="S2991" s="43" t="str">
        <f t="shared" si="70"/>
        <v>Crime</v>
      </c>
    </row>
    <row r="2992" spans="1:19" ht="15.75" customHeight="1" x14ac:dyDescent="0.25">
      <c r="A2992" s="4" t="s">
        <v>1963</v>
      </c>
      <c r="B2992" s="4">
        <v>331</v>
      </c>
      <c r="C2992" s="4">
        <v>29959436</v>
      </c>
      <c r="D2992" s="4" t="s">
        <v>623</v>
      </c>
      <c r="E2992" s="4" t="s">
        <v>1954</v>
      </c>
      <c r="F2992" s="4" t="s">
        <v>9381</v>
      </c>
      <c r="G2992" s="4">
        <v>82327</v>
      </c>
      <c r="H2992" s="4" t="s">
        <v>9382</v>
      </c>
      <c r="I2992" s="4">
        <v>350</v>
      </c>
      <c r="J2992" s="4" t="s">
        <v>23</v>
      </c>
      <c r="K2992" s="4" t="s">
        <v>133</v>
      </c>
      <c r="L2992" s="4">
        <v>13000000</v>
      </c>
      <c r="M2992" s="4">
        <v>2011</v>
      </c>
      <c r="N2992" s="4">
        <v>6.4</v>
      </c>
      <c r="O2992" s="4">
        <f ca="1">IFERROR(__xludf.DUMMYFUNCTION("IF(Cost_in_dollars!E2992=""USD"",Cost_in_dollars!B2992,Cost_in_dollars!B2992 * GOOGLEFINANCE(""CURRENCY:"" &amp; Cost_in_dollars!E2992 &amp; ""USD""))
"),16710199.9999999)</f>
        <v>16710199.999999899</v>
      </c>
      <c r="P2992" s="4">
        <f ca="1">IFERROR(__xludf.DUMMYFUNCTION("IF(Cost_in_dollars!E2992=""USD"",Cost_in_dollars!C2992,Cost_in_dollars!C2992 * GOOGLEFINANCE(""CURRENCY:"" &amp; Cost_in_dollars!E2992 &amp; ""USD""))
"),38509859.0343999)</f>
        <v>38509859.034399897</v>
      </c>
      <c r="Q2992" s="4">
        <f t="shared" ca="1" si="66"/>
        <v>21799659.034399997</v>
      </c>
      <c r="R2992" s="5" t="str">
        <f t="shared" si="67"/>
        <v>The Iron Lady</v>
      </c>
      <c r="S2992" s="43" t="str">
        <f t="shared" si="70"/>
        <v>Biography</v>
      </c>
    </row>
    <row r="2993" spans="1:19" ht="15.75" customHeight="1" x14ac:dyDescent="0.25">
      <c r="A2993" s="6" t="s">
        <v>1702</v>
      </c>
      <c r="B2993" s="6">
        <v>358</v>
      </c>
      <c r="C2993" s="6">
        <v>18298649</v>
      </c>
      <c r="D2993" s="6" t="s">
        <v>367</v>
      </c>
      <c r="E2993" s="6" t="s">
        <v>9383</v>
      </c>
      <c r="F2993" s="6" t="s">
        <v>9384</v>
      </c>
      <c r="G2993" s="6">
        <v>85024</v>
      </c>
      <c r="H2993" s="6" t="s">
        <v>9385</v>
      </c>
      <c r="I2993" s="6">
        <v>242</v>
      </c>
      <c r="J2993" s="6" t="s">
        <v>23</v>
      </c>
      <c r="K2993" s="6" t="s">
        <v>24</v>
      </c>
      <c r="L2993" s="6">
        <v>30000000</v>
      </c>
      <c r="M2993" s="6">
        <v>2011</v>
      </c>
      <c r="N2993" s="6">
        <v>6.4</v>
      </c>
      <c r="O2993" s="4">
        <f ca="1">IFERROR(__xludf.DUMMYFUNCTION("IF(Cost_in_dollars!E2993=""USD"",Cost_in_dollars!B2993,Cost_in_dollars!B2993 * GOOGLEFINANCE(""CURRENCY:"" &amp; Cost_in_dollars!E2993 &amp; ""USD""))
"),30000000)</f>
        <v>30000000</v>
      </c>
      <c r="P2993" s="4">
        <f ca="1">IFERROR(__xludf.DUMMYFUNCTION("IF(Cost_in_dollars!E2993=""USD"",Cost_in_dollars!C2993,Cost_in_dollars!C2993 * GOOGLEFINANCE(""CURRENCY:"" &amp; Cost_in_dollars!E2993 &amp; ""USD""))
"),18298649)</f>
        <v>18298649</v>
      </c>
      <c r="Q2993" s="6">
        <f t="shared" ca="1" si="66"/>
        <v>-11701351</v>
      </c>
      <c r="R2993" s="7" t="str">
        <f t="shared" si="67"/>
        <v>Fright Night</v>
      </c>
      <c r="S2993" s="43" t="str">
        <f t="shared" si="70"/>
        <v>Comedy</v>
      </c>
    </row>
    <row r="2994" spans="1:19" ht="15.75" customHeight="1" x14ac:dyDescent="0.25">
      <c r="A2994" s="4" t="s">
        <v>4176</v>
      </c>
      <c r="B2994" s="4">
        <v>178</v>
      </c>
      <c r="C2994" s="4">
        <v>80360866</v>
      </c>
      <c r="D2994" s="4" t="s">
        <v>292</v>
      </c>
      <c r="E2994" s="4" t="s">
        <v>3590</v>
      </c>
      <c r="F2994" s="4" t="s">
        <v>9386</v>
      </c>
      <c r="G2994" s="4">
        <v>44662</v>
      </c>
      <c r="H2994" s="4" t="s">
        <v>9387</v>
      </c>
      <c r="I2994" s="4">
        <v>127</v>
      </c>
      <c r="J2994" s="4" t="s">
        <v>23</v>
      </c>
      <c r="K2994" s="4" t="s">
        <v>24</v>
      </c>
      <c r="L2994" s="4">
        <v>80000000</v>
      </c>
      <c r="M2994" s="4">
        <v>2011</v>
      </c>
      <c r="N2994" s="4">
        <v>5.2</v>
      </c>
      <c r="O2994" s="4">
        <f ca="1">IFERROR(__xludf.DUMMYFUNCTION("IF(Cost_in_dollars!E2994=""USD"",Cost_in_dollars!B2994,Cost_in_dollars!B2994 * GOOGLEFINANCE(""CURRENCY:"" &amp; Cost_in_dollars!E2994 &amp; ""USD""))
"),80000000)</f>
        <v>80000000</v>
      </c>
      <c r="P2994" s="4">
        <f ca="1">IFERROR(__xludf.DUMMYFUNCTION("IF(Cost_in_dollars!E2994=""USD"",Cost_in_dollars!C2994,Cost_in_dollars!C2994 * GOOGLEFINANCE(""CURRENCY:"" &amp; Cost_in_dollars!E2994 &amp; ""USD""))
"),80360866)</f>
        <v>80360866</v>
      </c>
      <c r="Q2994" s="4">
        <f t="shared" ca="1" si="66"/>
        <v>360866</v>
      </c>
      <c r="R2994" s="5" t="str">
        <f t="shared" si="67"/>
        <v>Zookeeper</v>
      </c>
      <c r="S2994" s="43" t="str">
        <f t="shared" si="70"/>
        <v>Comedy</v>
      </c>
    </row>
    <row r="2995" spans="1:19" ht="15.75" customHeight="1" x14ac:dyDescent="0.25">
      <c r="A2995" s="6" t="s">
        <v>726</v>
      </c>
      <c r="B2995" s="6">
        <v>76</v>
      </c>
      <c r="C2995" s="6">
        <v>38536376</v>
      </c>
      <c r="D2995" s="6" t="s">
        <v>3324</v>
      </c>
      <c r="E2995" s="6" t="s">
        <v>2392</v>
      </c>
      <c r="F2995" s="6" t="s">
        <v>9388</v>
      </c>
      <c r="G2995" s="6">
        <v>15866</v>
      </c>
      <c r="H2995" s="6" t="s">
        <v>9389</v>
      </c>
      <c r="I2995" s="6">
        <v>83</v>
      </c>
      <c r="J2995" s="6" t="s">
        <v>23</v>
      </c>
      <c r="K2995" s="6" t="s">
        <v>24</v>
      </c>
      <c r="L2995" s="6">
        <v>27000000</v>
      </c>
      <c r="M2995" s="6">
        <v>2011</v>
      </c>
      <c r="N2995" s="6">
        <v>3.6</v>
      </c>
      <c r="O2995" s="4">
        <f ca="1">IFERROR(__xludf.DUMMYFUNCTION("IF(Cost_in_dollars!E2995=""USD"",Cost_in_dollars!B2995,Cost_in_dollars!B2995 * GOOGLEFINANCE(""CURRENCY:"" &amp; Cost_in_dollars!E2995 &amp; ""USD""))
"),27000000)</f>
        <v>27000000</v>
      </c>
      <c r="P2995" s="4">
        <f ca="1">IFERROR(__xludf.DUMMYFUNCTION("IF(Cost_in_dollars!E2995=""USD"",Cost_in_dollars!C2995,Cost_in_dollars!C2995 * GOOGLEFINANCE(""CURRENCY:"" &amp; Cost_in_dollars!E2995 &amp; ""USD""))
"),38536376)</f>
        <v>38536376</v>
      </c>
      <c r="Q2995" s="6">
        <f t="shared" ca="1" si="66"/>
        <v>11536376</v>
      </c>
      <c r="R2995" s="7" t="str">
        <f t="shared" si="67"/>
        <v>Spy Kids: All the Time in the World in 4D</v>
      </c>
      <c r="S2995" s="43" t="str">
        <f t="shared" si="70"/>
        <v>Action</v>
      </c>
    </row>
    <row r="2996" spans="1:19" ht="15.75" customHeight="1" x14ac:dyDescent="0.25">
      <c r="A2996" s="4" t="s">
        <v>9390</v>
      </c>
      <c r="B2996" s="4">
        <v>51</v>
      </c>
      <c r="C2996" s="4">
        <v>1744858</v>
      </c>
      <c r="D2996" s="4" t="s">
        <v>1041</v>
      </c>
      <c r="E2996" s="4" t="s">
        <v>2767</v>
      </c>
      <c r="F2996" s="4" t="s">
        <v>9391</v>
      </c>
      <c r="G2996" s="4">
        <v>6084</v>
      </c>
      <c r="H2996" s="4" t="s">
        <v>9392</v>
      </c>
      <c r="I2996" s="4">
        <v>120</v>
      </c>
      <c r="J2996" s="4" t="s">
        <v>23</v>
      </c>
      <c r="K2996" s="4" t="s">
        <v>24</v>
      </c>
      <c r="L2996" s="4">
        <v>1000000</v>
      </c>
      <c r="M2996" s="4">
        <v>2000</v>
      </c>
      <c r="N2996" s="4">
        <v>7</v>
      </c>
      <c r="O2996" s="4">
        <f ca="1">IFERROR(__xludf.DUMMYFUNCTION("IF(Cost_in_dollars!E2996=""USD"",Cost_in_dollars!B2996,Cost_in_dollars!B2996 * GOOGLEFINANCE(""CURRENCY:"" &amp; Cost_in_dollars!E2996 &amp; ""USD""))
"),1000000)</f>
        <v>1000000</v>
      </c>
      <c r="P2996" s="4">
        <f ca="1">IFERROR(__xludf.DUMMYFUNCTION("IF(Cost_in_dollars!E2996=""USD"",Cost_in_dollars!C2996,Cost_in_dollars!C2996 * GOOGLEFINANCE(""CURRENCY:"" &amp; Cost_in_dollars!E2996 &amp; ""USD""))
"),1744858)</f>
        <v>1744858</v>
      </c>
      <c r="Q2996" s="4">
        <f t="shared" ca="1" si="66"/>
        <v>744858</v>
      </c>
      <c r="R2996" s="5" t="str">
        <f t="shared" si="67"/>
        <v>The Broken Hearts Club: A Romantic Comedy</v>
      </c>
      <c r="S2996" s="43" t="str">
        <f t="shared" si="70"/>
        <v>Comedy</v>
      </c>
    </row>
    <row r="2997" spans="1:19" ht="15.75" customHeight="1" x14ac:dyDescent="0.25">
      <c r="A2997" s="6" t="s">
        <v>37</v>
      </c>
      <c r="B2997" s="6">
        <v>251</v>
      </c>
      <c r="C2997" s="6">
        <v>13753931</v>
      </c>
      <c r="D2997" s="6" t="s">
        <v>73</v>
      </c>
      <c r="E2997" s="6" t="s">
        <v>9393</v>
      </c>
      <c r="F2997" s="6" t="s">
        <v>9394</v>
      </c>
      <c r="G2997" s="6">
        <v>132149</v>
      </c>
      <c r="H2997" s="6" t="s">
        <v>9395</v>
      </c>
      <c r="I2997" s="6">
        <v>316</v>
      </c>
      <c r="J2997" s="6" t="s">
        <v>1550</v>
      </c>
      <c r="K2997" s="6" t="s">
        <v>24</v>
      </c>
      <c r="L2997" s="6">
        <v>19000000</v>
      </c>
      <c r="M2997" s="6">
        <v>2006</v>
      </c>
      <c r="N2997" s="6">
        <v>7.9</v>
      </c>
      <c r="O2997" s="4">
        <f ca="1">IFERROR(__xludf.DUMMYFUNCTION("IF(Cost_in_dollars!E2997=""USD"",Cost_in_dollars!B2997,Cost_in_dollars!B2997 * GOOGLEFINANCE(""CURRENCY:"" &amp; Cost_in_dollars!E2997 &amp; ""USD""))
"),19000000)</f>
        <v>19000000</v>
      </c>
      <c r="P2997" s="4">
        <f ca="1">IFERROR(__xludf.DUMMYFUNCTION("IF(Cost_in_dollars!E2997=""USD"",Cost_in_dollars!C2997,Cost_in_dollars!C2997 * GOOGLEFINANCE(""CURRENCY:"" &amp; Cost_in_dollars!E2997 &amp; ""USD""))
"),13753931)</f>
        <v>13753931</v>
      </c>
      <c r="Q2997" s="6">
        <f t="shared" ca="1" si="66"/>
        <v>-5246069</v>
      </c>
      <c r="R2997" s="7" t="str">
        <f t="shared" si="67"/>
        <v>Letters from Iwo Jima</v>
      </c>
      <c r="S2997" s="43" t="str">
        <f t="shared" si="70"/>
        <v>Drama</v>
      </c>
    </row>
    <row r="2998" spans="1:19" ht="15.75" customHeight="1" x14ac:dyDescent="0.25">
      <c r="A2998" s="4" t="s">
        <v>6415</v>
      </c>
      <c r="B2998" s="4">
        <v>85</v>
      </c>
      <c r="C2998" s="4">
        <v>40219708</v>
      </c>
      <c r="D2998" s="4" t="s">
        <v>135</v>
      </c>
      <c r="E2998" s="4" t="s">
        <v>1173</v>
      </c>
      <c r="F2998" s="4" t="s">
        <v>9396</v>
      </c>
      <c r="G2998" s="4">
        <v>22649</v>
      </c>
      <c r="H2998" s="4" t="s">
        <v>9397</v>
      </c>
      <c r="I2998" s="4">
        <v>131</v>
      </c>
      <c r="J2998" s="4" t="s">
        <v>23</v>
      </c>
      <c r="K2998" s="4" t="s">
        <v>24</v>
      </c>
      <c r="L2998" s="4">
        <v>21000000</v>
      </c>
      <c r="M2998" s="4">
        <v>2001</v>
      </c>
      <c r="N2998" s="4">
        <v>6.3</v>
      </c>
      <c r="O2998" s="4">
        <f ca="1">IFERROR(__xludf.DUMMYFUNCTION("IF(Cost_in_dollars!E2998=""USD"",Cost_in_dollars!B2998,Cost_in_dollars!B2998 * GOOGLEFINANCE(""CURRENCY:"" &amp; Cost_in_dollars!E2998 &amp; ""USD""))
"),21000000)</f>
        <v>21000000</v>
      </c>
      <c r="P2998" s="4">
        <f ca="1">IFERROR(__xludf.DUMMYFUNCTION("IF(Cost_in_dollars!E2998=""USD"",Cost_in_dollars!C2998,Cost_in_dollars!C2998 * GOOGLEFINANCE(""CURRENCY:"" &amp; Cost_in_dollars!E2998 &amp; ""USD""))
"),40219708)</f>
        <v>40219708</v>
      </c>
      <c r="Q2998" s="4">
        <f t="shared" ca="1" si="66"/>
        <v>19219708</v>
      </c>
      <c r="R2998" s="5" t="str">
        <f t="shared" si="67"/>
        <v>Hardball</v>
      </c>
      <c r="S2998" s="43" t="str">
        <f t="shared" si="70"/>
        <v>Drama</v>
      </c>
    </row>
    <row r="2999" spans="1:19" ht="15.75" customHeight="1" x14ac:dyDescent="0.25">
      <c r="A2999" s="6" t="s">
        <v>2550</v>
      </c>
      <c r="B2999" s="6">
        <v>52</v>
      </c>
      <c r="C2999" s="6">
        <v>85300000</v>
      </c>
      <c r="D2999" s="6" t="s">
        <v>9398</v>
      </c>
      <c r="E2999" s="6" t="s">
        <v>473</v>
      </c>
      <c r="F2999" s="6" t="s">
        <v>9399</v>
      </c>
      <c r="G2999" s="6">
        <v>48629</v>
      </c>
      <c r="H2999" s="6" t="s">
        <v>9400</v>
      </c>
      <c r="I2999" s="6">
        <v>134</v>
      </c>
      <c r="J2999" s="6" t="s">
        <v>23</v>
      </c>
      <c r="K2999" s="6" t="s">
        <v>24</v>
      </c>
      <c r="L2999" s="6">
        <v>10000000</v>
      </c>
      <c r="M2999" s="6">
        <v>1981</v>
      </c>
      <c r="N2999" s="6">
        <v>6.9</v>
      </c>
      <c r="O2999" s="4">
        <f ca="1">IFERROR(__xludf.DUMMYFUNCTION("IF(Cost_in_dollars!E2999=""USD"",Cost_in_dollars!B2999,Cost_in_dollars!B2999 * GOOGLEFINANCE(""CURRENCY:"" &amp; Cost_in_dollars!E2999 &amp; ""USD""))
"),10000000)</f>
        <v>10000000</v>
      </c>
      <c r="P2999" s="4">
        <f ca="1">IFERROR(__xludf.DUMMYFUNCTION("IF(Cost_in_dollars!E2999=""USD"",Cost_in_dollars!C2999,Cost_in_dollars!C2999 * GOOGLEFINANCE(""CURRENCY:"" &amp; Cost_in_dollars!E2999 &amp; ""USD""))
"),85300000)</f>
        <v>85300000</v>
      </c>
      <c r="Q2999" s="6">
        <f t="shared" ca="1" si="66"/>
        <v>75300000</v>
      </c>
      <c r="R2999" s="7" t="str">
        <f t="shared" si="67"/>
        <v>Stripes</v>
      </c>
      <c r="S2999" s="43" t="str">
        <f t="shared" si="70"/>
        <v>Action</v>
      </c>
    </row>
    <row r="3000" spans="1:19" ht="15.75" customHeight="1" x14ac:dyDescent="0.25">
      <c r="A3000" s="4" t="s">
        <v>3854</v>
      </c>
      <c r="B3000" s="4">
        <v>585</v>
      </c>
      <c r="C3000" s="4">
        <v>100189501</v>
      </c>
      <c r="D3000" s="4" t="s">
        <v>188</v>
      </c>
      <c r="E3000" s="4" t="s">
        <v>223</v>
      </c>
      <c r="F3000" s="4" t="s">
        <v>9401</v>
      </c>
      <c r="G3000" s="4">
        <v>431620</v>
      </c>
      <c r="H3000" s="4" t="s">
        <v>9402</v>
      </c>
      <c r="I3000" s="4">
        <v>741</v>
      </c>
      <c r="J3000" s="4" t="s">
        <v>23</v>
      </c>
      <c r="K3000" s="4" t="s">
        <v>24</v>
      </c>
      <c r="L3000" s="4">
        <v>178000000</v>
      </c>
      <c r="M3000" s="4">
        <v>2014</v>
      </c>
      <c r="N3000" s="4">
        <v>7.9</v>
      </c>
      <c r="O3000" s="4">
        <f ca="1">IFERROR(__xludf.DUMMYFUNCTION("IF(Cost_in_dollars!E3000=""USD"",Cost_in_dollars!B3000,Cost_in_dollars!B3000 * GOOGLEFINANCE(""CURRENCY:"" &amp; Cost_in_dollars!E3000 &amp; ""USD""))
"),178000000)</f>
        <v>178000000</v>
      </c>
      <c r="P3000" s="4">
        <f ca="1">IFERROR(__xludf.DUMMYFUNCTION("IF(Cost_in_dollars!E3000=""USD"",Cost_in_dollars!C3000,Cost_in_dollars!C3000 * GOOGLEFINANCE(""CURRENCY:"" &amp; Cost_in_dollars!E3000 &amp; ""USD""))
"),100189501)</f>
        <v>100189501</v>
      </c>
      <c r="Q3000" s="4">
        <f t="shared" ca="1" si="66"/>
        <v>-77810499</v>
      </c>
      <c r="R3000" s="5" t="str">
        <f t="shared" si="67"/>
        <v>Edge of Tomorrow</v>
      </c>
      <c r="S3000" s="43" t="str">
        <f t="shared" si="70"/>
        <v>Action</v>
      </c>
    </row>
    <row r="3001" spans="1:19" ht="15.75" customHeight="1" x14ac:dyDescent="0.25">
      <c r="A3001" s="6" t="s">
        <v>5806</v>
      </c>
      <c r="B3001" s="6">
        <v>210</v>
      </c>
      <c r="C3001" s="6">
        <v>4018695</v>
      </c>
      <c r="D3001" s="6" t="s">
        <v>3098</v>
      </c>
      <c r="E3001" s="6" t="s">
        <v>670</v>
      </c>
      <c r="F3001" s="6" t="s">
        <v>9403</v>
      </c>
      <c r="G3001" s="6">
        <v>69759</v>
      </c>
      <c r="H3001" s="6" t="s">
        <v>9404</v>
      </c>
      <c r="I3001" s="6">
        <v>235</v>
      </c>
      <c r="J3001" s="6" t="s">
        <v>673</v>
      </c>
      <c r="K3001" s="6" t="s">
        <v>674</v>
      </c>
      <c r="L3001" s="6">
        <v>12000000</v>
      </c>
      <c r="M3001" s="6">
        <v>2010</v>
      </c>
      <c r="N3001" s="6">
        <v>8</v>
      </c>
      <c r="O3001" s="4">
        <f ca="1">IFERROR(__xludf.DUMMYFUNCTION("IF(Cost_in_dollars!E3001=""USD"",Cost_in_dollars!B3001,Cost_in_dollars!B3001 * GOOGLEFINANCE(""CURRENCY:"" &amp; Cost_in_dollars!E3001 &amp; ""USD""))
"),143297.52)</f>
        <v>143297.51999999999</v>
      </c>
      <c r="P3001" s="4">
        <f ca="1">IFERROR(__xludf.DUMMYFUNCTION("IF(Cost_in_dollars!E3001=""USD"",Cost_in_dollars!C3001,Cost_in_dollars!C3001 * GOOGLEFINANCE(""CURRENCY:"" &amp; Cost_in_dollars!E3001 &amp; ""USD""))
"),47989.0855947)</f>
        <v>47989.085594700002</v>
      </c>
      <c r="Q3001" s="6">
        <f t="shared" ca="1" si="66"/>
        <v>-95308.43440529998</v>
      </c>
      <c r="R3001" s="7" t="str">
        <f t="shared" si="67"/>
        <v>My Name Is Khan</v>
      </c>
      <c r="S3001" s="43" t="str">
        <f t="shared" si="70"/>
        <v>Adventure</v>
      </c>
    </row>
    <row r="3002" spans="1:19" ht="15.75" customHeight="1" x14ac:dyDescent="0.25">
      <c r="A3002" s="4" t="s">
        <v>9405</v>
      </c>
      <c r="B3002" s="4">
        <v>96</v>
      </c>
      <c r="C3002" s="4">
        <v>3041803</v>
      </c>
      <c r="D3002" s="4" t="s">
        <v>235</v>
      </c>
      <c r="E3002" s="4" t="s">
        <v>2365</v>
      </c>
      <c r="F3002" s="4" t="s">
        <v>9406</v>
      </c>
      <c r="G3002" s="4">
        <v>6377</v>
      </c>
      <c r="H3002" s="4" t="s">
        <v>9407</v>
      </c>
      <c r="I3002" s="4">
        <v>181</v>
      </c>
      <c r="J3002" s="4" t="s">
        <v>23</v>
      </c>
      <c r="K3002" s="4" t="s">
        <v>133</v>
      </c>
      <c r="L3002" s="4">
        <v>10000000</v>
      </c>
      <c r="M3002" s="4">
        <v>2000</v>
      </c>
      <c r="N3002" s="4">
        <v>7.1</v>
      </c>
      <c r="O3002" s="4">
        <f ca="1">IFERROR(__xludf.DUMMYFUNCTION("IF(Cost_in_dollars!E3002=""USD"",Cost_in_dollars!B3002,Cost_in_dollars!B3002 * GOOGLEFINANCE(""CURRENCY:"" &amp; Cost_in_dollars!E3002 &amp; ""USD""))
"),12853999.9999999)</f>
        <v>12853999.999999899</v>
      </c>
      <c r="P3002" s="4">
        <f ca="1">IFERROR(__xludf.DUMMYFUNCTION("IF(Cost_in_dollars!E3002=""USD"",Cost_in_dollars!C3002,Cost_in_dollars!C3002 * GOOGLEFINANCE(""CURRENCY:"" &amp; Cost_in_dollars!E3002 &amp; ""USD""))
"),3909933.57619999)</f>
        <v>3909933.5761999902</v>
      </c>
      <c r="Q3002" s="4">
        <f t="shared" ca="1" si="66"/>
        <v>-8944066.4237999097</v>
      </c>
      <c r="R3002" s="5" t="str">
        <f t="shared" si="67"/>
        <v>The House of Mirth</v>
      </c>
      <c r="S3002" s="43" t="str">
        <f t="shared" si="70"/>
        <v>Drama</v>
      </c>
    </row>
    <row r="3003" spans="1:19" ht="15.75" customHeight="1" x14ac:dyDescent="0.25">
      <c r="A3003" s="6" t="s">
        <v>9408</v>
      </c>
      <c r="B3003" s="6">
        <v>178</v>
      </c>
      <c r="C3003" s="6">
        <v>25857987</v>
      </c>
      <c r="D3003" s="6" t="s">
        <v>851</v>
      </c>
      <c r="E3003" s="6" t="s">
        <v>3205</v>
      </c>
      <c r="F3003" s="6" t="s">
        <v>9409</v>
      </c>
      <c r="G3003" s="6">
        <v>110614</v>
      </c>
      <c r="H3003" s="6" t="s">
        <v>9410</v>
      </c>
      <c r="I3003" s="6">
        <v>532</v>
      </c>
      <c r="J3003" s="6" t="s">
        <v>23</v>
      </c>
      <c r="K3003" s="6" t="s">
        <v>24</v>
      </c>
      <c r="L3003" s="6">
        <v>62000000</v>
      </c>
      <c r="M3003" s="6">
        <v>2005</v>
      </c>
      <c r="N3003" s="6">
        <v>5.5</v>
      </c>
      <c r="O3003" s="4">
        <f ca="1">IFERROR(__xludf.DUMMYFUNCTION("IF(Cost_in_dollars!E3003=""USD"",Cost_in_dollars!B3003,Cost_in_dollars!B3003 * GOOGLEFINANCE(""CURRENCY:"" &amp; Cost_in_dollars!E3003 &amp; ""USD""))
"),62000000)</f>
        <v>62000000</v>
      </c>
      <c r="P3003" s="4">
        <f ca="1">IFERROR(__xludf.DUMMYFUNCTION("IF(Cost_in_dollars!E3003=""USD"",Cost_in_dollars!C3003,Cost_in_dollars!C3003 * GOOGLEFINANCE(""CURRENCY:"" &amp; Cost_in_dollars!E3003 &amp; ""USD""))
"),25857987)</f>
        <v>25857987</v>
      </c>
      <c r="Q3003" s="6">
        <f t="shared" ca="1" si="66"/>
        <v>-36142013</v>
      </c>
      <c r="R3003" s="7" t="str">
        <f t="shared" si="67"/>
        <v>Ã†on Flux</v>
      </c>
      <c r="S3003" s="43" t="str">
        <f t="shared" si="70"/>
        <v>Action</v>
      </c>
    </row>
    <row r="3004" spans="1:19" ht="15.75" customHeight="1" x14ac:dyDescent="0.25">
      <c r="A3004" s="4" t="s">
        <v>6415</v>
      </c>
      <c r="B3004" s="4">
        <v>76</v>
      </c>
      <c r="C3004" s="4">
        <v>61112916</v>
      </c>
      <c r="D3004" s="4" t="s">
        <v>517</v>
      </c>
      <c r="E3004" s="4" t="s">
        <v>330</v>
      </c>
      <c r="F3004" s="4" t="s">
        <v>9411</v>
      </c>
      <c r="G3004" s="4">
        <v>14888</v>
      </c>
      <c r="H3004" s="4" t="s">
        <v>9412</v>
      </c>
      <c r="I3004" s="4">
        <v>83</v>
      </c>
      <c r="J3004" s="4" t="s">
        <v>23</v>
      </c>
      <c r="K3004" s="4" t="s">
        <v>24</v>
      </c>
      <c r="L3004" s="4">
        <v>50000000</v>
      </c>
      <c r="M3004" s="4">
        <v>2006</v>
      </c>
      <c r="N3004" s="4">
        <v>4.4000000000000004</v>
      </c>
      <c r="O3004" s="4">
        <f ca="1">IFERROR(__xludf.DUMMYFUNCTION("IF(Cost_in_dollars!E3004=""USD"",Cost_in_dollars!B3004,Cost_in_dollars!B3004 * GOOGLEFINANCE(""CURRENCY:"" &amp; Cost_in_dollars!E3004 &amp; ""USD""))
"),50000000)</f>
        <v>50000000</v>
      </c>
      <c r="P3004" s="4">
        <f ca="1">IFERROR(__xludf.DUMMYFUNCTION("IF(Cost_in_dollars!E3004=""USD"",Cost_in_dollars!C3004,Cost_in_dollars!C3004 * GOOGLEFINANCE(""CURRENCY:"" &amp; Cost_in_dollars!E3004 &amp; ""USD""))
"),61112916)</f>
        <v>61112916</v>
      </c>
      <c r="Q3004" s="4">
        <f t="shared" ca="1" si="66"/>
        <v>11112916</v>
      </c>
      <c r="R3004" s="5" t="str">
        <f t="shared" si="67"/>
        <v>The Shaggy Dog</v>
      </c>
      <c r="S3004" s="43" t="str">
        <f t="shared" si="70"/>
        <v>Comedy</v>
      </c>
    </row>
    <row r="3005" spans="1:19" ht="15.75" customHeight="1" x14ac:dyDescent="0.25">
      <c r="A3005" s="6" t="s">
        <v>7146</v>
      </c>
      <c r="B3005" s="6">
        <v>202</v>
      </c>
      <c r="C3005" s="6">
        <v>22494487</v>
      </c>
      <c r="D3005" s="6" t="s">
        <v>438</v>
      </c>
      <c r="E3005" s="6" t="s">
        <v>54</v>
      </c>
      <c r="F3005" s="6" t="s">
        <v>7147</v>
      </c>
      <c r="G3005" s="6">
        <v>262153</v>
      </c>
      <c r="H3005" s="6" t="s">
        <v>7148</v>
      </c>
      <c r="I3005" s="6">
        <v>507</v>
      </c>
      <c r="J3005" s="6" t="s">
        <v>23</v>
      </c>
      <c r="K3005" s="6" t="s">
        <v>176</v>
      </c>
      <c r="L3005" s="6">
        <v>27000000</v>
      </c>
      <c r="M3005" s="6">
        <v>2006</v>
      </c>
      <c r="N3005" s="6">
        <v>7.8</v>
      </c>
      <c r="O3005" s="4">
        <f ca="1">IFERROR(__xludf.DUMMYFUNCTION("IF(Cost_in_dollars!E3005=""USD"",Cost_in_dollars!B3005,Cost_in_dollars!B3005 * GOOGLEFINANCE(""CURRENCY:"" &amp; Cost_in_dollars!E3005 &amp; ""USD""))
"),29287980)</f>
        <v>29287980</v>
      </c>
      <c r="P3005" s="4">
        <f ca="1">IFERROR(__xludf.DUMMYFUNCTION("IF(Cost_in_dollars!E3005=""USD"",Cost_in_dollars!C3005,Cost_in_dollars!C3005 * GOOGLEFINANCE(""CURRENCY:"" &amp; Cost_in_dollars!E3005 &amp; ""USD""))
"),24400669.82838)</f>
        <v>24400669.82838</v>
      </c>
      <c r="Q3005" s="6">
        <f t="shared" ca="1" si="66"/>
        <v>-4887310.1716200002</v>
      </c>
      <c r="R3005" s="7" t="str">
        <f t="shared" si="67"/>
        <v>Lucky Number Slevin</v>
      </c>
      <c r="S3005" s="43" t="str">
        <f t="shared" si="70"/>
        <v>Crime</v>
      </c>
    </row>
    <row r="3006" spans="1:19" ht="15.75" customHeight="1" x14ac:dyDescent="0.25">
      <c r="A3006" s="4" t="s">
        <v>7146</v>
      </c>
      <c r="B3006" s="4">
        <v>159</v>
      </c>
      <c r="C3006" s="4">
        <v>5773519</v>
      </c>
      <c r="D3006" s="4" t="s">
        <v>2336</v>
      </c>
      <c r="E3006" s="4" t="s">
        <v>2107</v>
      </c>
      <c r="F3006" s="4" t="s">
        <v>9290</v>
      </c>
      <c r="G3006" s="4">
        <v>28621</v>
      </c>
      <c r="H3006" s="4" t="s">
        <v>9291</v>
      </c>
      <c r="I3006" s="4">
        <v>91</v>
      </c>
      <c r="J3006" s="4" t="s">
        <v>23</v>
      </c>
      <c r="K3006" s="4" t="s">
        <v>24</v>
      </c>
      <c r="L3006" s="4">
        <v>40000000</v>
      </c>
      <c r="M3006" s="4">
        <v>2015</v>
      </c>
      <c r="N3006" s="4">
        <v>6</v>
      </c>
      <c r="O3006" s="4">
        <f ca="1">IFERROR(__xludf.DUMMYFUNCTION("IF(Cost_in_dollars!E3006=""USD"",Cost_in_dollars!B3006,Cost_in_dollars!B3006 * GOOGLEFINANCE(""CURRENCY:"" &amp; Cost_in_dollars!E3006 &amp; ""USD""))
"),40000000)</f>
        <v>40000000</v>
      </c>
      <c r="P3006" s="4">
        <f ca="1">IFERROR(__xludf.DUMMYFUNCTION("IF(Cost_in_dollars!E3006=""USD"",Cost_in_dollars!C3006,Cost_in_dollars!C3006 * GOOGLEFINANCE(""CURRENCY:"" &amp; Cost_in_dollars!E3006 &amp; ""USD""))
"),5773519)</f>
        <v>5773519</v>
      </c>
      <c r="Q3006" s="4">
        <f t="shared" ca="1" si="66"/>
        <v>-34226481</v>
      </c>
      <c r="R3006" s="5" t="str">
        <f t="shared" si="67"/>
        <v>Victor Frankenstein</v>
      </c>
      <c r="S3006" s="43" t="str">
        <f t="shared" si="70"/>
        <v>Drama</v>
      </c>
    </row>
    <row r="3007" spans="1:19" ht="15.75" customHeight="1" x14ac:dyDescent="0.25">
      <c r="A3007" s="6" t="s">
        <v>1514</v>
      </c>
      <c r="B3007" s="6">
        <v>9</v>
      </c>
      <c r="C3007" s="6">
        <v>2850263</v>
      </c>
      <c r="D3007" s="6" t="s">
        <v>9413</v>
      </c>
      <c r="E3007" s="6" t="s">
        <v>9414</v>
      </c>
      <c r="F3007" s="6" t="s">
        <v>9415</v>
      </c>
      <c r="G3007" s="6">
        <v>5061</v>
      </c>
      <c r="H3007" s="6" t="s">
        <v>9416</v>
      </c>
      <c r="I3007" s="6">
        <v>70</v>
      </c>
      <c r="J3007" s="6" t="s">
        <v>23</v>
      </c>
      <c r="K3007" s="6" t="s">
        <v>24</v>
      </c>
      <c r="L3007" s="6">
        <v>2600000</v>
      </c>
      <c r="M3007" s="6">
        <v>1993</v>
      </c>
      <c r="N3007" s="6">
        <v>6.2</v>
      </c>
      <c r="O3007" s="4">
        <f ca="1">IFERROR(__xludf.DUMMYFUNCTION("IF(Cost_in_dollars!E3007=""USD"",Cost_in_dollars!B3007,Cost_in_dollars!B3007 * GOOGLEFINANCE(""CURRENCY:"" &amp; Cost_in_dollars!E3007 &amp; ""USD""))
"),2600000)</f>
        <v>2600000</v>
      </c>
      <c r="P3007" s="4">
        <f ca="1">IFERROR(__xludf.DUMMYFUNCTION("IF(Cost_in_dollars!E3007=""USD"",Cost_in_dollars!C3007,Cost_in_dollars!C3007 * GOOGLEFINANCE(""CURRENCY:"" &amp; Cost_in_dollars!E3007 &amp; ""USD""))
"),2850263)</f>
        <v>2850263</v>
      </c>
      <c r="Q3007" s="6">
        <f t="shared" ca="1" si="66"/>
        <v>250263</v>
      </c>
      <c r="R3007" s="7" t="str">
        <f t="shared" si="67"/>
        <v>Airborne</v>
      </c>
      <c r="S3007" s="43" t="str">
        <f t="shared" si="70"/>
        <v>Adventure</v>
      </c>
    </row>
    <row r="3008" spans="1:19" ht="15.75" customHeight="1" x14ac:dyDescent="0.25">
      <c r="A3008" s="4" t="s">
        <v>3811</v>
      </c>
      <c r="B3008" s="4">
        <v>275</v>
      </c>
      <c r="C3008" s="4">
        <v>134455175</v>
      </c>
      <c r="D3008" s="4" t="s">
        <v>443</v>
      </c>
      <c r="E3008" s="4" t="s">
        <v>508</v>
      </c>
      <c r="F3008" s="4" t="s">
        <v>9417</v>
      </c>
      <c r="G3008" s="4">
        <v>97664</v>
      </c>
      <c r="H3008" s="4" t="s">
        <v>9418</v>
      </c>
      <c r="I3008" s="4">
        <v>232</v>
      </c>
      <c r="J3008" s="4" t="s">
        <v>23</v>
      </c>
      <c r="K3008" s="4" t="s">
        <v>24</v>
      </c>
      <c r="L3008" s="4">
        <v>35000000</v>
      </c>
      <c r="M3008" s="4">
        <v>2013</v>
      </c>
      <c r="N3008" s="4">
        <v>5.7</v>
      </c>
      <c r="O3008" s="4">
        <f ca="1">IFERROR(__xludf.DUMMYFUNCTION("IF(Cost_in_dollars!E3008=""USD"",Cost_in_dollars!B3008,Cost_in_dollars!B3008 * GOOGLEFINANCE(""CURRENCY:"" &amp; Cost_in_dollars!E3008 &amp; ""USD""))
"),35000000)</f>
        <v>35000000</v>
      </c>
      <c r="P3008" s="4">
        <f ca="1">IFERROR(__xludf.DUMMYFUNCTION("IF(Cost_in_dollars!E3008=""USD"",Cost_in_dollars!C3008,Cost_in_dollars!C3008 * GOOGLEFINANCE(""CURRENCY:"" &amp; Cost_in_dollars!E3008 &amp; ""USD""))
"),134455175)</f>
        <v>134455175</v>
      </c>
      <c r="Q3008" s="4">
        <f t="shared" ca="1" si="66"/>
        <v>99455175</v>
      </c>
      <c r="R3008" s="5" t="str">
        <f t="shared" si="67"/>
        <v>Identity Thief</v>
      </c>
      <c r="S3008" s="43" t="str">
        <f t="shared" si="70"/>
        <v>Comedy</v>
      </c>
    </row>
    <row r="3009" spans="1:19" ht="15.75" customHeight="1" x14ac:dyDescent="0.25">
      <c r="A3009" s="6" t="s">
        <v>1285</v>
      </c>
      <c r="B3009" s="6">
        <v>118</v>
      </c>
      <c r="C3009" s="6">
        <v>21000000</v>
      </c>
      <c r="D3009" s="6" t="s">
        <v>477</v>
      </c>
      <c r="E3009" s="6" t="s">
        <v>1033</v>
      </c>
      <c r="F3009" s="6" t="s">
        <v>9419</v>
      </c>
      <c r="G3009" s="6">
        <v>73950</v>
      </c>
      <c r="H3009" s="6" t="s">
        <v>9420</v>
      </c>
      <c r="I3009" s="6">
        <v>258</v>
      </c>
      <c r="J3009" s="6" t="s">
        <v>23</v>
      </c>
      <c r="K3009" s="6" t="s">
        <v>133</v>
      </c>
      <c r="L3009" s="6">
        <v>13000000</v>
      </c>
      <c r="M3009" s="6">
        <v>1974</v>
      </c>
      <c r="N3009" s="6">
        <v>6.8</v>
      </c>
      <c r="O3009" s="4">
        <f ca="1">IFERROR(__xludf.DUMMYFUNCTION("IF(Cost_in_dollars!E3009=""USD"",Cost_in_dollars!B3009,Cost_in_dollars!B3009 * GOOGLEFINANCE(""CURRENCY:"" &amp; Cost_in_dollars!E3009 &amp; ""USD""))
"),16710199.9999999)</f>
        <v>16710199.999999899</v>
      </c>
      <c r="P3009" s="4">
        <f ca="1">IFERROR(__xludf.DUMMYFUNCTION("IF(Cost_in_dollars!E3009=""USD"",Cost_in_dollars!C3009,Cost_in_dollars!C3009 * GOOGLEFINANCE(""CURRENCY:"" &amp; Cost_in_dollars!E3009 &amp; ""USD""))
"),26993399.9999999)</f>
        <v>26993399.999999899</v>
      </c>
      <c r="Q3009" s="6">
        <f t="shared" ca="1" si="66"/>
        <v>10283200</v>
      </c>
      <c r="R3009" s="7" t="str">
        <f t="shared" si="67"/>
        <v>The Man with the Golden Gun</v>
      </c>
      <c r="S3009" s="43" t="str">
        <f t="shared" si="70"/>
        <v>Action</v>
      </c>
    </row>
    <row r="3010" spans="1:19" ht="15.75" customHeight="1" x14ac:dyDescent="0.25">
      <c r="A3010" s="4" t="s">
        <v>9421</v>
      </c>
      <c r="B3010" s="4">
        <v>148</v>
      </c>
      <c r="C3010" s="4">
        <v>37481242</v>
      </c>
      <c r="D3010" s="4" t="s">
        <v>88</v>
      </c>
      <c r="E3010" s="4" t="s">
        <v>7492</v>
      </c>
      <c r="F3010" s="4" t="s">
        <v>9422</v>
      </c>
      <c r="G3010" s="4">
        <v>40654</v>
      </c>
      <c r="H3010" s="4" t="s">
        <v>9423</v>
      </c>
      <c r="I3010" s="4">
        <v>97</v>
      </c>
      <c r="J3010" s="4" t="s">
        <v>23</v>
      </c>
      <c r="K3010" s="4" t="s">
        <v>24</v>
      </c>
      <c r="L3010" s="4">
        <v>35000000</v>
      </c>
      <c r="M3010" s="4">
        <v>2010</v>
      </c>
      <c r="N3010" s="4">
        <v>5.3</v>
      </c>
      <c r="O3010" s="4">
        <f ca="1">IFERROR(__xludf.DUMMYFUNCTION("IF(Cost_in_dollars!E3010=""USD"",Cost_in_dollars!B3010,Cost_in_dollars!B3010 * GOOGLEFINANCE(""CURRENCY:"" &amp; Cost_in_dollars!E3010 &amp; ""USD""))
"),35000000)</f>
        <v>35000000</v>
      </c>
      <c r="P3010" s="4">
        <f ca="1">IFERROR(__xludf.DUMMYFUNCTION("IF(Cost_in_dollars!E3010=""USD"",Cost_in_dollars!C3010,Cost_in_dollars!C3010 * GOOGLEFINANCE(""CURRENCY:"" &amp; Cost_in_dollars!E3010 &amp; ""USD""))
"),37481242)</f>
        <v>37481242</v>
      </c>
      <c r="Q3010" s="4">
        <f t="shared" ca="1" si="66"/>
        <v>2481242</v>
      </c>
      <c r="R3010" s="5" t="str">
        <f t="shared" si="67"/>
        <v>The Back-up Plan</v>
      </c>
      <c r="S3010" s="43" t="str">
        <f t="shared" ref="S3010:S3073" si="71">IF(ISNUMBER(FIND("|", D3010)), LEFT(D3010, FIND("|", D3010) - 1), D3010)</f>
        <v>Comedy</v>
      </c>
    </row>
    <row r="3011" spans="1:19" ht="15.75" customHeight="1" x14ac:dyDescent="0.25">
      <c r="A3011" s="6" t="s">
        <v>9424</v>
      </c>
      <c r="B3011" s="6">
        <v>78</v>
      </c>
      <c r="C3011" s="6">
        <v>37606</v>
      </c>
      <c r="D3011" s="6" t="s">
        <v>172</v>
      </c>
      <c r="E3011" s="6" t="s">
        <v>2197</v>
      </c>
      <c r="F3011" s="6" t="s">
        <v>9425</v>
      </c>
      <c r="G3011" s="6">
        <v>31836</v>
      </c>
      <c r="H3011" s="6" t="s">
        <v>9426</v>
      </c>
      <c r="I3011" s="6">
        <v>90</v>
      </c>
      <c r="J3011" s="6" t="s">
        <v>23</v>
      </c>
      <c r="K3011" s="6" t="s">
        <v>627</v>
      </c>
      <c r="L3011" s="6">
        <v>3500000</v>
      </c>
      <c r="M3011" s="6">
        <v>2009</v>
      </c>
      <c r="N3011" s="6">
        <v>6.8</v>
      </c>
      <c r="O3011" s="4">
        <f ca="1">IFERROR(__xludf.DUMMYFUNCTION("IF(Cost_in_dollars!E3011=""USD"",Cost_in_dollars!B3011,Cost_in_dollars!B3011 * GOOGLEFINANCE(""CURRENCY:"" &amp; Cost_in_dollars!E3011 &amp; ""USD""))
"),2531917.5)</f>
        <v>2531917.5</v>
      </c>
      <c r="P3011" s="4">
        <f ca="1">IFERROR(__xludf.DUMMYFUNCTION("IF(Cost_in_dollars!E3011=""USD"",Cost_in_dollars!C3011,Cost_in_dollars!C3011 * GOOGLEFINANCE(""CURRENCY:"" &amp; Cost_in_dollars!E3011 &amp; ""USD""))
"),27204.36843)</f>
        <v>27204.368429999999</v>
      </c>
      <c r="Q3011" s="6">
        <f t="shared" ca="1" si="66"/>
        <v>-2504713.1315700002</v>
      </c>
      <c r="R3011" s="7" t="str">
        <f t="shared" si="67"/>
        <v>Defendor</v>
      </c>
      <c r="S3011" s="43" t="str">
        <f t="shared" si="71"/>
        <v>Comedy</v>
      </c>
    </row>
    <row r="3012" spans="1:19" ht="15.75" customHeight="1" x14ac:dyDescent="0.25">
      <c r="A3012" s="4" t="s">
        <v>5314</v>
      </c>
      <c r="B3012" s="4">
        <v>45</v>
      </c>
      <c r="C3012" s="4">
        <v>27141959</v>
      </c>
      <c r="D3012" s="4" t="s">
        <v>9427</v>
      </c>
      <c r="E3012" s="4" t="s">
        <v>3693</v>
      </c>
      <c r="F3012" s="4" t="s">
        <v>9428</v>
      </c>
      <c r="G3012" s="4">
        <v>19547</v>
      </c>
      <c r="H3012" s="4" t="s">
        <v>9429</v>
      </c>
      <c r="I3012" s="4">
        <v>168</v>
      </c>
      <c r="J3012" s="4" t="s">
        <v>23</v>
      </c>
      <c r="K3012" s="4" t="s">
        <v>24</v>
      </c>
      <c r="L3012" s="4">
        <v>18000000</v>
      </c>
      <c r="M3012" s="4">
        <v>1999</v>
      </c>
      <c r="N3012" s="4">
        <v>2.5</v>
      </c>
      <c r="O3012" s="4">
        <f ca="1">IFERROR(__xludf.DUMMYFUNCTION("IF(Cost_in_dollars!E3012=""USD"",Cost_in_dollars!B3012,Cost_in_dollars!B3012 * GOOGLEFINANCE(""CURRENCY:"" &amp; Cost_in_dollars!E3012 &amp; ""USD""))
"),18000000)</f>
        <v>18000000</v>
      </c>
      <c r="P3012" s="4">
        <f ca="1">IFERROR(__xludf.DUMMYFUNCTION("IF(Cost_in_dollars!E3012=""USD"",Cost_in_dollars!C3012,Cost_in_dollars!C3012 * GOOGLEFINANCE(""CURRENCY:"" &amp; Cost_in_dollars!E3012 &amp; ""USD""))
"),27141959)</f>
        <v>27141959</v>
      </c>
      <c r="Q3012" s="4">
        <f t="shared" ca="1" si="66"/>
        <v>9141959</v>
      </c>
      <c r="R3012" s="5" t="str">
        <f t="shared" si="67"/>
        <v>Baby Geniuses</v>
      </c>
      <c r="S3012" s="43" t="str">
        <f t="shared" si="71"/>
        <v>Comedy</v>
      </c>
    </row>
    <row r="3013" spans="1:19" ht="15.75" customHeight="1" x14ac:dyDescent="0.25">
      <c r="A3013" s="6" t="s">
        <v>9430</v>
      </c>
      <c r="B3013" s="6">
        <v>36</v>
      </c>
      <c r="C3013" s="6">
        <v>13391174</v>
      </c>
      <c r="D3013" s="6" t="s">
        <v>623</v>
      </c>
      <c r="E3013" s="6" t="s">
        <v>9431</v>
      </c>
      <c r="F3013" s="6" t="s">
        <v>9432</v>
      </c>
      <c r="G3013" s="6">
        <v>5796</v>
      </c>
      <c r="H3013" s="6" t="s">
        <v>9433</v>
      </c>
      <c r="I3013" s="6">
        <v>177</v>
      </c>
      <c r="J3013" s="6" t="s">
        <v>23</v>
      </c>
      <c r="K3013" s="6" t="s">
        <v>24</v>
      </c>
      <c r="L3013" s="6">
        <v>20000000</v>
      </c>
      <c r="M3013" s="6">
        <v>2006</v>
      </c>
      <c r="N3013" s="6">
        <v>6.3</v>
      </c>
      <c r="O3013" s="4">
        <f ca="1">IFERROR(__xludf.DUMMYFUNCTION("IF(Cost_in_dollars!E3013=""USD"",Cost_in_dollars!B3013,Cost_in_dollars!B3013 * GOOGLEFINANCE(""CURRENCY:"" &amp; Cost_in_dollars!E3013 &amp; ""USD""))
"),20000000)</f>
        <v>20000000</v>
      </c>
      <c r="P3013" s="4">
        <f ca="1">IFERROR(__xludf.DUMMYFUNCTION("IF(Cost_in_dollars!E3013=""USD"",Cost_in_dollars!C3013,Cost_in_dollars!C3013 * GOOGLEFINANCE(""CURRENCY:"" &amp; Cost_in_dollars!E3013 &amp; ""USD""))
"),13391174)</f>
        <v>13391174</v>
      </c>
      <c r="Q3013" s="6">
        <f t="shared" ca="1" si="66"/>
        <v>-6608826</v>
      </c>
      <c r="R3013" s="7" t="str">
        <f t="shared" si="67"/>
        <v>One Night with the King</v>
      </c>
      <c r="S3013" s="43" t="str">
        <f t="shared" si="71"/>
        <v>Biography</v>
      </c>
    </row>
    <row r="3014" spans="1:19" ht="15.75" customHeight="1" x14ac:dyDescent="0.25">
      <c r="A3014" s="4" t="s">
        <v>9434</v>
      </c>
      <c r="B3014" s="4">
        <v>63</v>
      </c>
      <c r="C3014" s="4">
        <v>33423521</v>
      </c>
      <c r="D3014" s="4" t="s">
        <v>1210</v>
      </c>
      <c r="E3014" s="4" t="s">
        <v>1168</v>
      </c>
      <c r="F3014" s="4" t="s">
        <v>9435</v>
      </c>
      <c r="G3014" s="4">
        <v>53115</v>
      </c>
      <c r="H3014" s="4" t="s">
        <v>9436</v>
      </c>
      <c r="I3014" s="4">
        <v>282</v>
      </c>
      <c r="J3014" s="4" t="s">
        <v>23</v>
      </c>
      <c r="K3014" s="4" t="s">
        <v>1551</v>
      </c>
      <c r="L3014" s="4">
        <v>35000000</v>
      </c>
      <c r="M3014" s="4">
        <v>1994</v>
      </c>
      <c r="N3014" s="4">
        <v>3.8</v>
      </c>
      <c r="O3014" s="4">
        <f ca="1">IFERROR(__xludf.DUMMYFUNCTION("IF(Cost_in_dollars!E3014=""USD"",Cost_in_dollars!B3014,Cost_in_dollars!B3014 * GOOGLEFINANCE(""CURRENCY:"" &amp; Cost_in_dollars!E3014 &amp; ""USD""))
"),227381)</f>
        <v>227381</v>
      </c>
      <c r="P3014" s="4">
        <f ca="1">IFERROR(__xludf.DUMMYFUNCTION("IF(Cost_in_dollars!E3014=""USD"",Cost_in_dollars!C3014,Cost_in_dollars!C3014 * GOOGLEFINANCE(""CURRENCY:"" &amp; Cost_in_dollars!E3014 &amp; ""USD""))
"),217139.2465286)</f>
        <v>217139.24652859999</v>
      </c>
      <c r="Q3014" s="4">
        <f t="shared" ca="1" si="66"/>
        <v>-10241.753471400007</v>
      </c>
      <c r="R3014" s="5" t="str">
        <f t="shared" si="67"/>
        <v>Street Fighter</v>
      </c>
      <c r="S3014" s="43" t="str">
        <f t="shared" si="71"/>
        <v>Action</v>
      </c>
    </row>
    <row r="3015" spans="1:19" ht="15.75" customHeight="1" x14ac:dyDescent="0.25">
      <c r="A3015" s="6" t="s">
        <v>9437</v>
      </c>
      <c r="B3015" s="6">
        <v>78</v>
      </c>
      <c r="C3015" s="6">
        <v>1779284</v>
      </c>
      <c r="D3015" s="6" t="s">
        <v>457</v>
      </c>
      <c r="E3015" s="6" t="s">
        <v>3919</v>
      </c>
      <c r="F3015" s="6" t="s">
        <v>9438</v>
      </c>
      <c r="G3015" s="6">
        <v>12047</v>
      </c>
      <c r="H3015" s="6" t="s">
        <v>9439</v>
      </c>
      <c r="I3015" s="6">
        <v>122</v>
      </c>
      <c r="J3015" s="6" t="s">
        <v>23</v>
      </c>
      <c r="K3015" s="6" t="s">
        <v>24</v>
      </c>
      <c r="L3015" s="6">
        <v>12000000</v>
      </c>
      <c r="M3015" s="6">
        <v>2002</v>
      </c>
      <c r="N3015" s="6">
        <v>7.1</v>
      </c>
      <c r="O3015" s="4">
        <f ca="1">IFERROR(__xludf.DUMMYFUNCTION("IF(Cost_in_dollars!E3015=""USD"",Cost_in_dollars!B3015,Cost_in_dollars!B3015 * GOOGLEFINANCE(""CURRENCY:"" &amp; Cost_in_dollars!E3015 &amp; ""USD""))
"),12000000)</f>
        <v>12000000</v>
      </c>
      <c r="P3015" s="4">
        <f ca="1">IFERROR(__xludf.DUMMYFUNCTION("IF(Cost_in_dollars!E3015=""USD"",Cost_in_dollars!C3015,Cost_in_dollars!C3015 * GOOGLEFINANCE(""CURRENCY:"" &amp; Cost_in_dollars!E3015 &amp; ""USD""))
"),1779284)</f>
        <v>1779284</v>
      </c>
      <c r="Q3015" s="6">
        <f t="shared" ca="1" si="66"/>
        <v>-10220716</v>
      </c>
      <c r="R3015" s="7" t="str">
        <f t="shared" si="67"/>
        <v>The Dangerous Lives of Altar Boys</v>
      </c>
      <c r="S3015" s="43" t="str">
        <f t="shared" si="71"/>
        <v>Comedy</v>
      </c>
    </row>
    <row r="3016" spans="1:19" ht="15.75" customHeight="1" x14ac:dyDescent="0.25">
      <c r="A3016" s="4" t="s">
        <v>3218</v>
      </c>
      <c r="B3016" s="4">
        <v>343</v>
      </c>
      <c r="C3016" s="4">
        <v>201148159</v>
      </c>
      <c r="D3016" s="4" t="s">
        <v>6551</v>
      </c>
      <c r="E3016" s="4" t="s">
        <v>2727</v>
      </c>
      <c r="F3016" s="4" t="s">
        <v>7203</v>
      </c>
      <c r="G3016" s="4">
        <v>103749</v>
      </c>
      <c r="H3016" s="4" t="s">
        <v>7204</v>
      </c>
      <c r="I3016" s="4">
        <v>323</v>
      </c>
      <c r="J3016" s="4" t="s">
        <v>23</v>
      </c>
      <c r="K3016" s="4" t="s">
        <v>24</v>
      </c>
      <c r="L3016" s="4">
        <v>95000000</v>
      </c>
      <c r="M3016" s="4">
        <v>2015</v>
      </c>
      <c r="N3016" s="4">
        <v>7</v>
      </c>
      <c r="O3016" s="4">
        <f ca="1">IFERROR(__xludf.DUMMYFUNCTION("IF(Cost_in_dollars!E3016=""USD"",Cost_in_dollars!B3016,Cost_in_dollars!B3016 * GOOGLEFINANCE(""CURRENCY:"" &amp; Cost_in_dollars!E3016 &amp; ""USD""))
"),95000000)</f>
        <v>95000000</v>
      </c>
      <c r="P3016" s="4">
        <f ca="1">IFERROR(__xludf.DUMMYFUNCTION("IF(Cost_in_dollars!E3016=""USD"",Cost_in_dollars!C3016,Cost_in_dollars!C3016 * GOOGLEFINANCE(""CURRENCY:"" &amp; Cost_in_dollars!E3016 &amp; ""USD""))
"),201148159)</f>
        <v>201148159</v>
      </c>
      <c r="Q3016" s="4">
        <f t="shared" ca="1" si="66"/>
        <v>106148159</v>
      </c>
      <c r="R3016" s="5" t="str">
        <f t="shared" si="67"/>
        <v>Cinderella</v>
      </c>
      <c r="S3016" s="43" t="str">
        <f t="shared" si="71"/>
        <v>Drama</v>
      </c>
    </row>
    <row r="3017" spans="1:19" ht="15.75" customHeight="1" x14ac:dyDescent="0.25">
      <c r="A3017" s="6" t="s">
        <v>4820</v>
      </c>
      <c r="B3017" s="6">
        <v>208</v>
      </c>
      <c r="C3017" s="6">
        <v>31598308</v>
      </c>
      <c r="D3017" s="6" t="s">
        <v>93</v>
      </c>
      <c r="E3017" s="6" t="s">
        <v>84</v>
      </c>
      <c r="F3017" s="6" t="s">
        <v>9440</v>
      </c>
      <c r="G3017" s="6">
        <v>124765</v>
      </c>
      <c r="H3017" s="6" t="s">
        <v>9441</v>
      </c>
      <c r="I3017" s="6">
        <v>541</v>
      </c>
      <c r="J3017" s="6" t="s">
        <v>23</v>
      </c>
      <c r="K3017" s="6" t="s">
        <v>24</v>
      </c>
      <c r="L3017" s="6">
        <v>35000000</v>
      </c>
      <c r="M3017" s="6">
        <v>2001</v>
      </c>
      <c r="N3017" s="6">
        <v>6.8</v>
      </c>
      <c r="O3017" s="4">
        <f ca="1">IFERROR(__xludf.DUMMYFUNCTION("IF(Cost_in_dollars!E3017=""USD"",Cost_in_dollars!B3017,Cost_in_dollars!B3017 * GOOGLEFINANCE(""CURRENCY:"" &amp; Cost_in_dollars!E3017 &amp; ""USD""))
"),35000000)</f>
        <v>35000000</v>
      </c>
      <c r="P3017" s="4">
        <f ca="1">IFERROR(__xludf.DUMMYFUNCTION("IF(Cost_in_dollars!E3017=""USD"",Cost_in_dollars!C3017,Cost_in_dollars!C3017 * GOOGLEFINANCE(""CURRENCY:"" &amp; Cost_in_dollars!E3017 &amp; ""USD""))
"),31598308)</f>
        <v>31598308</v>
      </c>
      <c r="Q3017" s="6">
        <f t="shared" ca="1" si="66"/>
        <v>-3401692</v>
      </c>
      <c r="R3017" s="7" t="str">
        <f t="shared" si="67"/>
        <v>From Hell</v>
      </c>
      <c r="S3017" s="43" t="str">
        <f t="shared" si="71"/>
        <v>Horror</v>
      </c>
    </row>
    <row r="3018" spans="1:19" ht="15.75" customHeight="1" x14ac:dyDescent="0.25">
      <c r="A3018" s="4" t="s">
        <v>2087</v>
      </c>
      <c r="B3018" s="4">
        <v>277</v>
      </c>
      <c r="C3018" s="4">
        <v>51178893</v>
      </c>
      <c r="D3018" s="4" t="s">
        <v>9442</v>
      </c>
      <c r="E3018" s="4" t="s">
        <v>1724</v>
      </c>
      <c r="F3018" s="4" t="s">
        <v>9443</v>
      </c>
      <c r="G3018" s="4">
        <v>24285</v>
      </c>
      <c r="H3018" s="4" t="s">
        <v>9444</v>
      </c>
      <c r="I3018" s="4">
        <v>110</v>
      </c>
      <c r="J3018" s="4" t="s">
        <v>23</v>
      </c>
      <c r="K3018" s="4" t="s">
        <v>24</v>
      </c>
      <c r="L3018" s="4">
        <v>50000000</v>
      </c>
      <c r="M3018" s="4">
        <v>2014</v>
      </c>
      <c r="N3018" s="4">
        <v>6.4</v>
      </c>
      <c r="O3018" s="4">
        <f ca="1">IFERROR(__xludf.DUMMYFUNCTION("IF(Cost_in_dollars!E3018=""USD"",Cost_in_dollars!B3018,Cost_in_dollars!B3018 * GOOGLEFINANCE(""CURRENCY:"" &amp; Cost_in_dollars!E3018 &amp; ""USD""))
"),50000000)</f>
        <v>50000000</v>
      </c>
      <c r="P3018" s="4">
        <f ca="1">IFERROR(__xludf.DUMMYFUNCTION("IF(Cost_in_dollars!E3018=""USD"",Cost_in_dollars!C3018,Cost_in_dollars!C3018 * GOOGLEFINANCE(""CURRENCY:"" &amp; Cost_in_dollars!E3018 &amp; ""USD""))
"),51178893)</f>
        <v>51178893</v>
      </c>
      <c r="Q3018" s="4">
        <f t="shared" ca="1" si="66"/>
        <v>1178893</v>
      </c>
      <c r="R3018" s="5" t="str">
        <f t="shared" si="67"/>
        <v>Muppets Most Wanted</v>
      </c>
      <c r="S3018" s="43" t="str">
        <f t="shared" si="71"/>
        <v>Adventure</v>
      </c>
    </row>
    <row r="3019" spans="1:19" ht="15.75" customHeight="1" x14ac:dyDescent="0.25">
      <c r="A3019" s="6" t="s">
        <v>9445</v>
      </c>
      <c r="B3019" s="6">
        <v>258</v>
      </c>
      <c r="C3019" s="6">
        <v>18600911</v>
      </c>
      <c r="D3019" s="6" t="s">
        <v>155</v>
      </c>
      <c r="E3019" s="6" t="s">
        <v>9446</v>
      </c>
      <c r="F3019" s="6" t="s">
        <v>9447</v>
      </c>
      <c r="G3019" s="6">
        <v>125198</v>
      </c>
      <c r="H3019" s="6" t="s">
        <v>9448</v>
      </c>
      <c r="I3019" s="6">
        <v>153</v>
      </c>
      <c r="J3019" s="6" t="s">
        <v>23</v>
      </c>
      <c r="K3019" s="6" t="s">
        <v>24</v>
      </c>
      <c r="L3019" s="6">
        <v>42000000</v>
      </c>
      <c r="M3019" s="6">
        <v>2012</v>
      </c>
      <c r="N3019" s="6">
        <v>6.6</v>
      </c>
      <c r="O3019" s="4">
        <f ca="1">IFERROR(__xludf.DUMMYFUNCTION("IF(Cost_in_dollars!E3019=""USD"",Cost_in_dollars!B3019,Cost_in_dollars!B3019 * GOOGLEFINANCE(""CURRENCY:"" &amp; Cost_in_dollars!E3019 &amp; ""USD""))
"),42000000)</f>
        <v>42000000</v>
      </c>
      <c r="P3019" s="4">
        <f ca="1">IFERROR(__xludf.DUMMYFUNCTION("IF(Cost_in_dollars!E3019=""USD"",Cost_in_dollars!C3019,Cost_in_dollars!C3019 * GOOGLEFINANCE(""CURRENCY:"" &amp; Cost_in_dollars!E3019 &amp; ""USD""))
"),18600911)</f>
        <v>18600911</v>
      </c>
      <c r="Q3019" s="6">
        <f t="shared" ca="1" si="66"/>
        <v>-23399089</v>
      </c>
      <c r="R3019" s="7" t="str">
        <f t="shared" si="67"/>
        <v>Man on a Ledge</v>
      </c>
      <c r="S3019" s="43" t="str">
        <f t="shared" si="71"/>
        <v>Action</v>
      </c>
    </row>
    <row r="3020" spans="1:19" ht="15.75" customHeight="1" x14ac:dyDescent="0.25">
      <c r="A3020" s="4" t="s">
        <v>6257</v>
      </c>
      <c r="B3020" s="4">
        <v>93</v>
      </c>
      <c r="C3020" s="4">
        <v>41256277</v>
      </c>
      <c r="D3020" s="4" t="s">
        <v>1099</v>
      </c>
      <c r="E3020" s="4" t="s">
        <v>9449</v>
      </c>
      <c r="F3020" s="4" t="s">
        <v>9450</v>
      </c>
      <c r="G3020" s="4">
        <v>46451</v>
      </c>
      <c r="H3020" s="4" t="s">
        <v>9451</v>
      </c>
      <c r="I3020" s="4">
        <v>156</v>
      </c>
      <c r="J3020" s="4" t="s">
        <v>23</v>
      </c>
      <c r="K3020" s="4" t="s">
        <v>24</v>
      </c>
      <c r="L3020" s="4">
        <v>50000000</v>
      </c>
      <c r="M3020" s="4">
        <v>1997</v>
      </c>
      <c r="N3020" s="4">
        <v>5.9</v>
      </c>
      <c r="O3020" s="4">
        <f ca="1">IFERROR(__xludf.DUMMYFUNCTION("IF(Cost_in_dollars!E3020=""USD"",Cost_in_dollars!B3020,Cost_in_dollars!B3020 * GOOGLEFINANCE(""CURRENCY:"" &amp; Cost_in_dollars!E3020 &amp; ""USD""))
"),50000000)</f>
        <v>50000000</v>
      </c>
      <c r="P3020" s="4">
        <f ca="1">IFERROR(__xludf.DUMMYFUNCTION("IF(Cost_in_dollars!E3020=""USD"",Cost_in_dollars!C3020,Cost_in_dollars!C3020 * GOOGLEFINANCE(""CURRENCY:"" &amp; Cost_in_dollars!E3020 &amp; ""USD""))
"),41256277)</f>
        <v>41256277</v>
      </c>
      <c r="Q3020" s="4">
        <f t="shared" ca="1" si="66"/>
        <v>-8743723</v>
      </c>
      <c r="R3020" s="5" t="str">
        <f t="shared" si="67"/>
        <v>The Peacemaker</v>
      </c>
      <c r="S3020" s="43" t="str">
        <f t="shared" si="71"/>
        <v>Action</v>
      </c>
    </row>
    <row r="3021" spans="1:19" ht="15.75" customHeight="1" x14ac:dyDescent="0.25">
      <c r="A3021" s="6" t="s">
        <v>4787</v>
      </c>
      <c r="B3021" s="6">
        <v>50</v>
      </c>
      <c r="C3021" s="6">
        <v>2892582</v>
      </c>
      <c r="D3021" s="6" t="s">
        <v>140</v>
      </c>
      <c r="E3021" s="6" t="s">
        <v>5188</v>
      </c>
      <c r="F3021" s="6" t="s">
        <v>9452</v>
      </c>
      <c r="G3021" s="6">
        <v>22697</v>
      </c>
      <c r="H3021" s="6" t="s">
        <v>9453</v>
      </c>
      <c r="I3021" s="6">
        <v>202</v>
      </c>
      <c r="J3021" s="6" t="s">
        <v>23</v>
      </c>
      <c r="K3021" s="6" t="s">
        <v>24</v>
      </c>
      <c r="L3021" s="6">
        <v>4000000</v>
      </c>
      <c r="M3021" s="6">
        <v>1996</v>
      </c>
      <c r="N3021" s="6">
        <v>7.6</v>
      </c>
      <c r="O3021" s="4">
        <f ca="1">IFERROR(__xludf.DUMMYFUNCTION("IF(Cost_in_dollars!E3021=""USD"",Cost_in_dollars!B3021,Cost_in_dollars!B3021 * GOOGLEFINANCE(""CURRENCY:"" &amp; Cost_in_dollars!E3021 &amp; ""USD""))
"),4000000)</f>
        <v>4000000</v>
      </c>
      <c r="P3021" s="4">
        <f ca="1">IFERROR(__xludf.DUMMYFUNCTION("IF(Cost_in_dollars!E3021=""USD"",Cost_in_dollars!C3021,Cost_in_dollars!C3021 * GOOGLEFINANCE(""CURRENCY:"" &amp; Cost_in_dollars!E3021 &amp; ""USD""))
"),2892582)</f>
        <v>2892582</v>
      </c>
      <c r="Q3021" s="6">
        <f t="shared" ca="1" si="66"/>
        <v>-1107418</v>
      </c>
      <c r="R3021" s="7" t="str">
        <f t="shared" si="67"/>
        <v>Waiting for Guffman</v>
      </c>
      <c r="S3021" s="43" t="str">
        <f t="shared" si="71"/>
        <v>Comedy</v>
      </c>
    </row>
    <row r="3022" spans="1:19" ht="15.75" customHeight="1" x14ac:dyDescent="0.25">
      <c r="A3022" s="4" t="s">
        <v>442</v>
      </c>
      <c r="B3022" s="4">
        <v>255</v>
      </c>
      <c r="C3022" s="4">
        <v>86897182</v>
      </c>
      <c r="D3022" s="4" t="s">
        <v>140</v>
      </c>
      <c r="E3022" s="4" t="s">
        <v>444</v>
      </c>
      <c r="F3022" s="4" t="s">
        <v>9454</v>
      </c>
      <c r="G3022" s="4">
        <v>106790</v>
      </c>
      <c r="H3022" s="4" t="s">
        <v>9455</v>
      </c>
      <c r="I3022" s="4">
        <v>177</v>
      </c>
      <c r="J3022" s="4" t="s">
        <v>23</v>
      </c>
      <c r="K3022" s="4" t="s">
        <v>24</v>
      </c>
      <c r="L3022" s="4">
        <v>95000000</v>
      </c>
      <c r="M3022" s="4">
        <v>2012</v>
      </c>
      <c r="N3022" s="4">
        <v>6.2</v>
      </c>
      <c r="O3022" s="4">
        <f ca="1">IFERROR(__xludf.DUMMYFUNCTION("IF(Cost_in_dollars!E3022=""USD"",Cost_in_dollars!B3022,Cost_in_dollars!B3022 * GOOGLEFINANCE(""CURRENCY:"" &amp; Cost_in_dollars!E3022 &amp; ""USD""))
"),95000000)</f>
        <v>95000000</v>
      </c>
      <c r="P3022" s="4">
        <f ca="1">IFERROR(__xludf.DUMMYFUNCTION("IF(Cost_in_dollars!E3022=""USD"",Cost_in_dollars!C3022,Cost_in_dollars!C3022 * GOOGLEFINANCE(""CURRENCY:"" &amp; Cost_in_dollars!E3022 &amp; ""USD""))
"),86897182)</f>
        <v>86897182</v>
      </c>
      <c r="Q3022" s="4">
        <f t="shared" ca="1" si="66"/>
        <v>-8102818</v>
      </c>
      <c r="R3022" s="5" t="str">
        <f t="shared" si="67"/>
        <v>The Campaign</v>
      </c>
      <c r="S3022" s="43" t="str">
        <f t="shared" si="71"/>
        <v>Comedy</v>
      </c>
    </row>
    <row r="3023" spans="1:19" ht="15.75" customHeight="1" x14ac:dyDescent="0.25">
      <c r="A3023" s="6" t="s">
        <v>9456</v>
      </c>
      <c r="B3023" s="6">
        <v>43</v>
      </c>
      <c r="C3023" s="6">
        <v>16988996</v>
      </c>
      <c r="D3023" s="6" t="s">
        <v>9457</v>
      </c>
      <c r="E3023" s="6" t="s">
        <v>1232</v>
      </c>
      <c r="F3023" s="6" t="s">
        <v>9458</v>
      </c>
      <c r="G3023" s="6">
        <v>3875</v>
      </c>
      <c r="H3023" s="6" t="s">
        <v>9459</v>
      </c>
      <c r="I3023" s="6">
        <v>75</v>
      </c>
      <c r="J3023" s="6" t="s">
        <v>23</v>
      </c>
      <c r="K3023" s="6" t="s">
        <v>24</v>
      </c>
      <c r="L3023" s="6">
        <v>35000000</v>
      </c>
      <c r="M3023" s="6">
        <v>2002</v>
      </c>
      <c r="N3023" s="6">
        <v>4</v>
      </c>
      <c r="O3023" s="4">
        <f ca="1">IFERROR(__xludf.DUMMYFUNCTION("IF(Cost_in_dollars!E3023=""USD"",Cost_in_dollars!B3023,Cost_in_dollars!B3023 * GOOGLEFINANCE(""CURRENCY:"" &amp; Cost_in_dollars!E3023 &amp; ""USD""))
"),35000000)</f>
        <v>35000000</v>
      </c>
      <c r="P3023" s="4">
        <f ca="1">IFERROR(__xludf.DUMMYFUNCTION("IF(Cost_in_dollars!E3023=""USD"",Cost_in_dollars!C3023,Cost_in_dollars!C3023 * GOOGLEFINANCE(""CURRENCY:"" &amp; Cost_in_dollars!E3023 &amp; ""USD""))
"),16988996)</f>
        <v>16988996</v>
      </c>
      <c r="Q3023" s="6">
        <f t="shared" ca="1" si="66"/>
        <v>-18011004</v>
      </c>
      <c r="R3023" s="7" t="str">
        <f t="shared" si="67"/>
        <v>The Country Bears</v>
      </c>
      <c r="S3023" s="43" t="str">
        <f t="shared" si="71"/>
        <v>Comedy</v>
      </c>
    </row>
    <row r="3024" spans="1:19" ht="15.75" customHeight="1" x14ac:dyDescent="0.25">
      <c r="A3024" s="4" t="s">
        <v>9460</v>
      </c>
      <c r="B3024" s="4">
        <v>6</v>
      </c>
      <c r="C3024" s="4">
        <v>35688</v>
      </c>
      <c r="D3024" s="4" t="s">
        <v>140</v>
      </c>
      <c r="E3024" s="4" t="s">
        <v>9460</v>
      </c>
      <c r="F3024" s="4" t="s">
        <v>9461</v>
      </c>
      <c r="G3024" s="4">
        <v>4167</v>
      </c>
      <c r="H3024" s="4" t="s">
        <v>109</v>
      </c>
      <c r="I3024" s="4">
        <v>72</v>
      </c>
      <c r="J3024" s="4" t="s">
        <v>23</v>
      </c>
      <c r="K3024" s="4" t="s">
        <v>24</v>
      </c>
      <c r="L3024" s="4">
        <v>600000</v>
      </c>
      <c r="M3024" s="4">
        <v>2014</v>
      </c>
      <c r="N3024" s="4">
        <v>5.0999999999999996</v>
      </c>
      <c r="O3024" s="4">
        <f ca="1">IFERROR(__xludf.DUMMYFUNCTION("IF(Cost_in_dollars!E3024=""USD"",Cost_in_dollars!B3024,Cost_in_dollars!B3024 * GOOGLEFINANCE(""CURRENCY:"" &amp; Cost_in_dollars!E3024 &amp; ""USD""))
"),600000)</f>
        <v>600000</v>
      </c>
      <c r="P3024" s="4">
        <f ca="1">IFERROR(__xludf.DUMMYFUNCTION("IF(Cost_in_dollars!E3024=""USD"",Cost_in_dollars!C3024,Cost_in_dollars!C3024 * GOOGLEFINANCE(""CURRENCY:"" &amp; Cost_in_dollars!E3024 &amp; ""USD""))
"),35688)</f>
        <v>35688</v>
      </c>
      <c r="Q3024" s="4">
        <f t="shared" ca="1" si="66"/>
        <v>-564312</v>
      </c>
      <c r="R3024" s="5" t="str">
        <f t="shared" si="67"/>
        <v>Not Cool</v>
      </c>
      <c r="S3024" s="43" t="str">
        <f t="shared" si="71"/>
        <v>Comedy</v>
      </c>
    </row>
    <row r="3025" spans="1:19" ht="15.75" customHeight="1" x14ac:dyDescent="0.25">
      <c r="A3025" s="6" t="s">
        <v>30</v>
      </c>
      <c r="B3025" s="6">
        <v>154</v>
      </c>
      <c r="C3025" s="6">
        <v>15709385</v>
      </c>
      <c r="D3025" s="6" t="s">
        <v>116</v>
      </c>
      <c r="E3025" s="6" t="s">
        <v>4322</v>
      </c>
      <c r="F3025" s="6" t="s">
        <v>9462</v>
      </c>
      <c r="G3025" s="6">
        <v>53053</v>
      </c>
      <c r="H3025" s="6" t="s">
        <v>9463</v>
      </c>
      <c r="I3025" s="6">
        <v>132</v>
      </c>
      <c r="J3025" s="6" t="s">
        <v>23</v>
      </c>
      <c r="K3025" s="6" t="s">
        <v>24</v>
      </c>
      <c r="L3025" s="6">
        <v>30000000</v>
      </c>
      <c r="M3025" s="6">
        <v>2008</v>
      </c>
      <c r="N3025" s="6">
        <v>6.7</v>
      </c>
      <c r="O3025" s="4">
        <f ca="1">IFERROR(__xludf.DUMMYFUNCTION("IF(Cost_in_dollars!E3025=""USD"",Cost_in_dollars!B3025,Cost_in_dollars!B3025 * GOOGLEFINANCE(""CURRENCY:"" &amp; Cost_in_dollars!E3025 &amp; ""USD""))
"),30000000)</f>
        <v>30000000</v>
      </c>
      <c r="P3025" s="4">
        <f ca="1">IFERROR(__xludf.DUMMYFUNCTION("IF(Cost_in_dollars!E3025=""USD"",Cost_in_dollars!C3025,Cost_in_dollars!C3025 * GOOGLEFINANCE(""CURRENCY:"" &amp; Cost_in_dollars!E3025 &amp; ""USD""))
"),15709385)</f>
        <v>15709385</v>
      </c>
      <c r="Q3025" s="6">
        <f t="shared" ca="1" si="66"/>
        <v>-14290615</v>
      </c>
      <c r="R3025" s="7" t="str">
        <f t="shared" si="67"/>
        <v>Pride and Glory</v>
      </c>
      <c r="S3025" s="43" t="str">
        <f t="shared" si="71"/>
        <v>Crime</v>
      </c>
    </row>
    <row r="3026" spans="1:19" ht="15.75" customHeight="1" x14ac:dyDescent="0.25">
      <c r="A3026" s="4" t="s">
        <v>1353</v>
      </c>
      <c r="B3026" s="4">
        <v>300</v>
      </c>
      <c r="C3026" s="4">
        <v>373377893</v>
      </c>
      <c r="D3026" s="4" t="s">
        <v>3564</v>
      </c>
      <c r="E3026" s="4" t="s">
        <v>881</v>
      </c>
      <c r="F3026" s="4" t="s">
        <v>9464</v>
      </c>
      <c r="G3026" s="4">
        <v>411164</v>
      </c>
      <c r="H3026" s="4" t="s">
        <v>9465</v>
      </c>
      <c r="I3026" s="4">
        <v>1303</v>
      </c>
      <c r="J3026" s="4" t="s">
        <v>23</v>
      </c>
      <c r="K3026" s="4" t="s">
        <v>24</v>
      </c>
      <c r="L3026" s="4">
        <v>200000000</v>
      </c>
      <c r="M3026" s="4">
        <v>2004</v>
      </c>
      <c r="N3026" s="4">
        <v>7.3</v>
      </c>
      <c r="O3026" s="4">
        <f ca="1">IFERROR(__xludf.DUMMYFUNCTION("IF(Cost_in_dollars!E3026=""USD"",Cost_in_dollars!B3026,Cost_in_dollars!B3026 * GOOGLEFINANCE(""CURRENCY:"" &amp; Cost_in_dollars!E3026 &amp; ""USD""))
"),200000000)</f>
        <v>200000000</v>
      </c>
      <c r="P3026" s="4">
        <f ca="1">IFERROR(__xludf.DUMMYFUNCTION("IF(Cost_in_dollars!E3026=""USD"",Cost_in_dollars!C3026,Cost_in_dollars!C3026 * GOOGLEFINANCE(""CURRENCY:"" &amp; Cost_in_dollars!E3026 &amp; ""USD""))
"),373377893)</f>
        <v>373377893</v>
      </c>
      <c r="Q3026" s="4">
        <f t="shared" ca="1" si="66"/>
        <v>173377893</v>
      </c>
      <c r="R3026" s="5" t="str">
        <f t="shared" si="67"/>
        <v>Spider-Man 2</v>
      </c>
      <c r="S3026" s="43" t="str">
        <f t="shared" si="71"/>
        <v>Action</v>
      </c>
    </row>
    <row r="3027" spans="1:19" ht="15.75" customHeight="1" x14ac:dyDescent="0.25">
      <c r="A3027" s="6" t="s">
        <v>3938</v>
      </c>
      <c r="B3027" s="6">
        <v>318</v>
      </c>
      <c r="C3027" s="6">
        <v>206435493</v>
      </c>
      <c r="D3027" s="6" t="s">
        <v>2771</v>
      </c>
      <c r="E3027" s="6" t="s">
        <v>2587</v>
      </c>
      <c r="F3027" s="6" t="s">
        <v>9466</v>
      </c>
      <c r="G3027" s="6">
        <v>473887</v>
      </c>
      <c r="H3027" s="6" t="s">
        <v>9467</v>
      </c>
      <c r="I3027" s="6">
        <v>626</v>
      </c>
      <c r="J3027" s="6" t="s">
        <v>23</v>
      </c>
      <c r="K3027" s="6" t="s">
        <v>24</v>
      </c>
      <c r="L3027" s="6">
        <v>150000000</v>
      </c>
      <c r="M3027" s="6">
        <v>2007</v>
      </c>
      <c r="N3027" s="6">
        <v>8</v>
      </c>
      <c r="O3027" s="4">
        <f ca="1">IFERROR(__xludf.DUMMYFUNCTION("IF(Cost_in_dollars!E3027=""USD"",Cost_in_dollars!B3027,Cost_in_dollars!B3027 * GOOGLEFINANCE(""CURRENCY:"" &amp; Cost_in_dollars!E3027 &amp; ""USD""))
"),150000000)</f>
        <v>150000000</v>
      </c>
      <c r="P3027" s="4">
        <f ca="1">IFERROR(__xludf.DUMMYFUNCTION("IF(Cost_in_dollars!E3027=""USD"",Cost_in_dollars!C3027,Cost_in_dollars!C3027 * GOOGLEFINANCE(""CURRENCY:"" &amp; Cost_in_dollars!E3027 &amp; ""USD""))
"),206435493)</f>
        <v>206435493</v>
      </c>
      <c r="Q3027" s="6">
        <f t="shared" ca="1" si="66"/>
        <v>56435493</v>
      </c>
      <c r="R3027" s="7" t="str">
        <f t="shared" si="67"/>
        <v>Ratatouille</v>
      </c>
      <c r="S3027" s="43" t="str">
        <f t="shared" si="71"/>
        <v>Animation</v>
      </c>
    </row>
    <row r="3028" spans="1:19" ht="15.75" customHeight="1" x14ac:dyDescent="0.25">
      <c r="A3028" s="4" t="s">
        <v>318</v>
      </c>
      <c r="B3028" s="4">
        <v>450</v>
      </c>
      <c r="C3028" s="4">
        <v>32154410</v>
      </c>
      <c r="D3028" s="4" t="s">
        <v>116</v>
      </c>
      <c r="E3028" s="4" t="s">
        <v>179</v>
      </c>
      <c r="F3028" s="4" t="s">
        <v>2584</v>
      </c>
      <c r="G3028" s="4">
        <v>148327</v>
      </c>
      <c r="H3028" s="4" t="s">
        <v>2585</v>
      </c>
      <c r="I3028" s="4">
        <v>274</v>
      </c>
      <c r="J3028" s="4" t="s">
        <v>23</v>
      </c>
      <c r="K3028" s="4" t="s">
        <v>24</v>
      </c>
      <c r="L3028" s="4">
        <v>30000000</v>
      </c>
      <c r="M3028" s="4">
        <v>2013</v>
      </c>
      <c r="N3028" s="4">
        <v>7.1</v>
      </c>
      <c r="O3028" s="4">
        <f ca="1">IFERROR(__xludf.DUMMYFUNCTION("IF(Cost_in_dollars!E3028=""USD"",Cost_in_dollars!B3028,Cost_in_dollars!B3028 * GOOGLEFINANCE(""CURRENCY:"" &amp; Cost_in_dollars!E3028 &amp; ""USD""))
"),30000000)</f>
        <v>30000000</v>
      </c>
      <c r="P3028" s="4">
        <f ca="1">IFERROR(__xludf.DUMMYFUNCTION("IF(Cost_in_dollars!E3028=""USD"",Cost_in_dollars!C3028,Cost_in_dollars!C3028 * GOOGLEFINANCE(""CURRENCY:"" &amp; Cost_in_dollars!E3028 &amp; ""USD""))
"),32154410)</f>
        <v>32154410</v>
      </c>
      <c r="Q3028" s="4">
        <f t="shared" ca="1" si="66"/>
        <v>2154410</v>
      </c>
      <c r="R3028" s="5" t="str">
        <f t="shared" si="67"/>
        <v>Side Effects</v>
      </c>
      <c r="S3028" s="43" t="str">
        <f t="shared" si="71"/>
        <v>Crime</v>
      </c>
    </row>
    <row r="3029" spans="1:19" ht="15.75" customHeight="1" x14ac:dyDescent="0.25">
      <c r="A3029" s="6" t="s">
        <v>7911</v>
      </c>
      <c r="B3029" s="6">
        <v>393</v>
      </c>
      <c r="C3029" s="6">
        <v>37516013</v>
      </c>
      <c r="D3029" s="6" t="s">
        <v>482</v>
      </c>
      <c r="E3029" s="6" t="s">
        <v>7739</v>
      </c>
      <c r="F3029" s="6" t="s">
        <v>9468</v>
      </c>
      <c r="G3029" s="6">
        <v>128629</v>
      </c>
      <c r="H3029" s="6" t="s">
        <v>9469</v>
      </c>
      <c r="I3029" s="6">
        <v>348</v>
      </c>
      <c r="J3029" s="6" t="s">
        <v>23</v>
      </c>
      <c r="K3029" s="6" t="s">
        <v>24</v>
      </c>
      <c r="L3029" s="6">
        <v>69000000</v>
      </c>
      <c r="M3029" s="6">
        <v>2012</v>
      </c>
      <c r="N3029" s="6">
        <v>5.9</v>
      </c>
      <c r="O3029" s="4">
        <f ca="1">IFERROR(__xludf.DUMMYFUNCTION("IF(Cost_in_dollars!E3029=""USD"",Cost_in_dollars!B3029,Cost_in_dollars!B3029 * GOOGLEFINANCE(""CURRENCY:"" &amp; Cost_in_dollars!E3029 &amp; ""USD""))
"),69000000)</f>
        <v>69000000</v>
      </c>
      <c r="P3029" s="4">
        <f ca="1">IFERROR(__xludf.DUMMYFUNCTION("IF(Cost_in_dollars!E3029=""USD"",Cost_in_dollars!C3029,Cost_in_dollars!C3029 * GOOGLEFINANCE(""CURRENCY:"" &amp; Cost_in_dollars!E3029 &amp; ""USD""))
"),37516013)</f>
        <v>37516013</v>
      </c>
      <c r="Q3029" s="6">
        <f t="shared" ca="1" si="66"/>
        <v>-31483987</v>
      </c>
      <c r="R3029" s="7" t="str">
        <f t="shared" si="67"/>
        <v>Abraham Lincoln: Vampire Hunter</v>
      </c>
      <c r="S3029" s="43" t="str">
        <f t="shared" si="71"/>
        <v>Action</v>
      </c>
    </row>
    <row r="3030" spans="1:19" ht="15.75" customHeight="1" x14ac:dyDescent="0.25">
      <c r="A3030" s="4" t="s">
        <v>9470</v>
      </c>
      <c r="B3030" s="4">
        <v>47</v>
      </c>
      <c r="C3030" s="4">
        <v>11508423</v>
      </c>
      <c r="D3030" s="4" t="s">
        <v>9471</v>
      </c>
      <c r="E3030" s="4" t="s">
        <v>9472</v>
      </c>
      <c r="F3030" s="4" t="s">
        <v>9473</v>
      </c>
      <c r="G3030" s="4">
        <v>3174</v>
      </c>
      <c r="H3030" s="4" t="s">
        <v>9474</v>
      </c>
      <c r="I3030" s="4">
        <v>19</v>
      </c>
      <c r="J3030" s="4" t="s">
        <v>23</v>
      </c>
      <c r="K3030" s="4" t="s">
        <v>24</v>
      </c>
      <c r="L3030" s="4">
        <v>23000000</v>
      </c>
      <c r="M3030" s="4">
        <v>2008</v>
      </c>
      <c r="N3030" s="4">
        <v>5.0999999999999996</v>
      </c>
      <c r="O3030" s="4">
        <f ca="1">IFERROR(__xludf.DUMMYFUNCTION("IF(Cost_in_dollars!E3030=""USD"",Cost_in_dollars!B3030,Cost_in_dollars!B3030 * GOOGLEFINANCE(""CURRENCY:"" &amp; Cost_in_dollars!E3030 &amp; ""USD""))
"),23000000)</f>
        <v>23000000</v>
      </c>
      <c r="P3030" s="4">
        <f ca="1">IFERROR(__xludf.DUMMYFUNCTION("IF(Cost_in_dollars!E3030=""USD"",Cost_in_dollars!C3030,Cost_in_dollars!C3030 * GOOGLEFINANCE(""CURRENCY:"" &amp; Cost_in_dollars!E3030 &amp; ""USD""))
"),11508423)</f>
        <v>11508423</v>
      </c>
      <c r="Q3030" s="4">
        <f t="shared" ca="1" si="66"/>
        <v>-11491577</v>
      </c>
      <c r="R3030" s="5" t="str">
        <f t="shared" si="67"/>
        <v>The Longshots</v>
      </c>
      <c r="S3030" s="43" t="str">
        <f t="shared" si="71"/>
        <v>Biography</v>
      </c>
    </row>
    <row r="3031" spans="1:19" ht="15.75" customHeight="1" x14ac:dyDescent="0.25">
      <c r="A3031" s="6" t="s">
        <v>2375</v>
      </c>
      <c r="B3031" s="6">
        <v>202</v>
      </c>
      <c r="C3031" s="6">
        <v>202007640</v>
      </c>
      <c r="D3031" s="6" t="s">
        <v>3674</v>
      </c>
      <c r="E3031" s="6" t="s">
        <v>49</v>
      </c>
      <c r="F3031" s="6" t="s">
        <v>9475</v>
      </c>
      <c r="G3031" s="6">
        <v>248045</v>
      </c>
      <c r="H3031" s="6" t="s">
        <v>9476</v>
      </c>
      <c r="I3031" s="6">
        <v>890</v>
      </c>
      <c r="J3031" s="6" t="s">
        <v>23</v>
      </c>
      <c r="K3031" s="6" t="s">
        <v>24</v>
      </c>
      <c r="L3031" s="6">
        <v>98000000</v>
      </c>
      <c r="M3031" s="6">
        <v>2001</v>
      </c>
      <c r="N3031" s="6">
        <v>6.3</v>
      </c>
      <c r="O3031" s="4">
        <f ca="1">IFERROR(__xludf.DUMMYFUNCTION("IF(Cost_in_dollars!E3031=""USD"",Cost_in_dollars!B3031,Cost_in_dollars!B3031 * GOOGLEFINANCE(""CURRENCY:"" &amp; Cost_in_dollars!E3031 &amp; ""USD""))
"),98000000)</f>
        <v>98000000</v>
      </c>
      <c r="P3031" s="4">
        <f ca="1">IFERROR(__xludf.DUMMYFUNCTION("IF(Cost_in_dollars!E3031=""USD"",Cost_in_dollars!C3031,Cost_in_dollars!C3031 * GOOGLEFINANCE(""CURRENCY:"" &amp; Cost_in_dollars!E3031 &amp; ""USD""))
"),202007640)</f>
        <v>202007640</v>
      </c>
      <c r="Q3031" s="6">
        <f t="shared" ca="1" si="66"/>
        <v>104007640</v>
      </c>
      <c r="R3031" s="7" t="str">
        <f t="shared" si="67"/>
        <v>The Mummy Returns</v>
      </c>
      <c r="S3031" s="43" t="str">
        <f t="shared" si="71"/>
        <v>Action</v>
      </c>
    </row>
    <row r="3032" spans="1:19" ht="15.75" customHeight="1" x14ac:dyDescent="0.25">
      <c r="A3032" s="4" t="s">
        <v>524</v>
      </c>
      <c r="B3032" s="4">
        <v>108</v>
      </c>
      <c r="C3032" s="4">
        <v>4291965</v>
      </c>
      <c r="D3032" s="4" t="s">
        <v>623</v>
      </c>
      <c r="E3032" s="4" t="s">
        <v>9477</v>
      </c>
      <c r="F3032" s="4" t="s">
        <v>9478</v>
      </c>
      <c r="G3032" s="4">
        <v>9334</v>
      </c>
      <c r="H3032" s="4" t="s">
        <v>9479</v>
      </c>
      <c r="I3032" s="4">
        <v>59</v>
      </c>
      <c r="J3032" s="4" t="s">
        <v>23</v>
      </c>
      <c r="K3032" s="4" t="s">
        <v>611</v>
      </c>
      <c r="L3032" s="4">
        <v>14000000</v>
      </c>
      <c r="M3032" s="4">
        <v>2006</v>
      </c>
      <c r="N3032" s="4">
        <v>6.7</v>
      </c>
      <c r="O3032" s="4">
        <f ca="1">IFERROR(__xludf.DUMMYFUNCTION("IF(Cost_in_dollars!E3032=""USD"",Cost_in_dollars!B3032,Cost_in_dollars!B3032 * GOOGLEFINANCE(""CURRENCY:"" &amp; Cost_in_dollars!E3032 &amp; ""USD""))
"),15186360)</f>
        <v>15186360</v>
      </c>
      <c r="P3032" s="4">
        <f ca="1">IFERROR(__xludf.DUMMYFUNCTION("IF(Cost_in_dollars!E3032=""USD"",Cost_in_dollars!C3032,Cost_in_dollars!C3032 * GOOGLEFINANCE(""CURRENCY:"" &amp; Cost_in_dollars!E3032 &amp; ""USD""))
"),4655666.1141)</f>
        <v>4655666.1140999999</v>
      </c>
      <c r="Q3032" s="4">
        <f t="shared" ca="1" si="66"/>
        <v>-10530693.8859</v>
      </c>
      <c r="R3032" s="5" t="str">
        <f t="shared" si="67"/>
        <v>Catch a Fire</v>
      </c>
      <c r="S3032" s="43" t="str">
        <f t="shared" si="71"/>
        <v>Biography</v>
      </c>
    </row>
    <row r="3033" spans="1:19" ht="15.75" customHeight="1" x14ac:dyDescent="0.25">
      <c r="A3033" s="6" t="s">
        <v>284</v>
      </c>
      <c r="B3033" s="6">
        <v>164</v>
      </c>
      <c r="C3033" s="6">
        <v>148213377</v>
      </c>
      <c r="D3033" s="6" t="s">
        <v>5298</v>
      </c>
      <c r="E3033" s="6" t="s">
        <v>444</v>
      </c>
      <c r="F3033" s="6" t="s">
        <v>9480</v>
      </c>
      <c r="G3033" s="6">
        <v>130776</v>
      </c>
      <c r="H3033" s="6" t="s">
        <v>9481</v>
      </c>
      <c r="I3033" s="6">
        <v>437</v>
      </c>
      <c r="J3033" s="6" t="s">
        <v>23</v>
      </c>
      <c r="K3033" s="6" t="s">
        <v>24</v>
      </c>
      <c r="L3033" s="6">
        <v>73000000</v>
      </c>
      <c r="M3033" s="6">
        <v>2006</v>
      </c>
      <c r="N3033" s="6">
        <v>6.6</v>
      </c>
      <c r="O3033" s="4">
        <f ca="1">IFERROR(__xludf.DUMMYFUNCTION("IF(Cost_in_dollars!E3033=""USD"",Cost_in_dollars!B3033,Cost_in_dollars!B3033 * GOOGLEFINANCE(""CURRENCY:"" &amp; Cost_in_dollars!E3033 &amp; ""USD""))
"),73000000)</f>
        <v>73000000</v>
      </c>
      <c r="P3033" s="4">
        <f ca="1">IFERROR(__xludf.DUMMYFUNCTION("IF(Cost_in_dollars!E3033=""USD"",Cost_in_dollars!C3033,Cost_in_dollars!C3033 * GOOGLEFINANCE(""CURRENCY:"" &amp; Cost_in_dollars!E3033 &amp; ""USD""))
"),148213377)</f>
        <v>148213377</v>
      </c>
      <c r="Q3033" s="6">
        <f t="shared" ca="1" si="66"/>
        <v>75213377</v>
      </c>
      <c r="R3033" s="7" t="str">
        <f t="shared" si="67"/>
        <v>Talladega Nights: The Ballad of Ricky Bobby</v>
      </c>
      <c r="S3033" s="43" t="str">
        <f t="shared" si="71"/>
        <v>Action</v>
      </c>
    </row>
    <row r="3034" spans="1:19" ht="15.75" customHeight="1" x14ac:dyDescent="0.25">
      <c r="A3034" s="4" t="s">
        <v>5373</v>
      </c>
      <c r="B3034" s="4">
        <v>157</v>
      </c>
      <c r="C3034" s="4">
        <v>2086345</v>
      </c>
      <c r="D3034" s="4" t="s">
        <v>890</v>
      </c>
      <c r="E3034" s="4" t="s">
        <v>9482</v>
      </c>
      <c r="F3034" s="4" t="s">
        <v>9483</v>
      </c>
      <c r="G3034" s="4">
        <v>64556</v>
      </c>
      <c r="H3034" s="4" t="s">
        <v>9484</v>
      </c>
      <c r="I3034" s="4">
        <v>140</v>
      </c>
      <c r="J3034" s="4" t="s">
        <v>1569</v>
      </c>
      <c r="K3034" s="4" t="s">
        <v>1111</v>
      </c>
      <c r="L3034" s="4">
        <v>10000000</v>
      </c>
      <c r="M3034" s="4">
        <v>2004</v>
      </c>
      <c r="N3034" s="4">
        <v>8.1</v>
      </c>
      <c r="O3034" s="4">
        <f ca="1">IFERROR(__xludf.DUMMYFUNCTION("IF(Cost_in_dollars!E3034=""USD"",Cost_in_dollars!B3034,Cost_in_dollars!B3034 * GOOGLEFINANCE(""CURRENCY:"" &amp; Cost_in_dollars!E3034 &amp; ""USD""))
"),10847400)</f>
        <v>10847400</v>
      </c>
      <c r="P3034" s="4">
        <f ca="1">IFERROR(__xludf.DUMMYFUNCTION("IF(Cost_in_dollars!E3034=""USD"",Cost_in_dollars!C3034,Cost_in_dollars!C3034 * GOOGLEFINANCE(""CURRENCY:"" &amp; Cost_in_dollars!E3034 &amp; ""USD""))
"),2263141.8753)</f>
        <v>2263141.8753</v>
      </c>
      <c r="Q3034" s="4">
        <f t="shared" ca="1" si="66"/>
        <v>-8584258.1247000005</v>
      </c>
      <c r="R3034" s="5" t="str">
        <f t="shared" si="67"/>
        <v>The Sea Inside</v>
      </c>
      <c r="S3034" s="43" t="str">
        <f t="shared" si="71"/>
        <v>Biography</v>
      </c>
    </row>
    <row r="3035" spans="1:19" ht="15.75" customHeight="1" x14ac:dyDescent="0.25">
      <c r="A3035" s="6" t="s">
        <v>1589</v>
      </c>
      <c r="B3035" s="6">
        <v>341</v>
      </c>
      <c r="C3035" s="6">
        <v>60338891</v>
      </c>
      <c r="D3035" s="6" t="s">
        <v>457</v>
      </c>
      <c r="E3035" s="6" t="s">
        <v>881</v>
      </c>
      <c r="F3035" s="6" t="s">
        <v>9485</v>
      </c>
      <c r="G3035" s="6">
        <v>248468</v>
      </c>
      <c r="H3035" s="6" t="s">
        <v>9486</v>
      </c>
      <c r="I3035" s="6">
        <v>545</v>
      </c>
      <c r="J3035" s="6" t="s">
        <v>23</v>
      </c>
      <c r="K3035" s="6" t="s">
        <v>24</v>
      </c>
      <c r="L3035" s="6">
        <v>37000000</v>
      </c>
      <c r="M3035" s="6">
        <v>2008</v>
      </c>
      <c r="N3035" s="6">
        <v>7</v>
      </c>
      <c r="O3035" s="4">
        <f ca="1">IFERROR(__xludf.DUMMYFUNCTION("IF(Cost_in_dollars!E3035=""USD"",Cost_in_dollars!B3035,Cost_in_dollars!B3035 * GOOGLEFINANCE(""CURRENCY:"" &amp; Cost_in_dollars!E3035 &amp; ""USD""))
"),37000000)</f>
        <v>37000000</v>
      </c>
      <c r="P3035" s="4">
        <f ca="1">IFERROR(__xludf.DUMMYFUNCTION("IF(Cost_in_dollars!E3035=""USD"",Cost_in_dollars!C3035,Cost_in_dollars!C3035 * GOOGLEFINANCE(""CURRENCY:"" &amp; Cost_in_dollars!E3035 &amp; ""USD""))
"),60338891)</f>
        <v>60338891</v>
      </c>
      <c r="Q3035" s="6">
        <f t="shared" ca="1" si="66"/>
        <v>23338891</v>
      </c>
      <c r="R3035" s="7" t="str">
        <f t="shared" si="67"/>
        <v>Burn After Reading</v>
      </c>
      <c r="S3035" s="43" t="str">
        <f t="shared" si="71"/>
        <v>Comedy</v>
      </c>
    </row>
    <row r="3036" spans="1:19" ht="15.75" customHeight="1" x14ac:dyDescent="0.25">
      <c r="A3036" s="4" t="s">
        <v>3173</v>
      </c>
      <c r="B3036" s="4">
        <v>91</v>
      </c>
      <c r="C3036" s="4">
        <v>112950721</v>
      </c>
      <c r="D3036" s="4" t="s">
        <v>517</v>
      </c>
      <c r="E3036" s="4" t="s">
        <v>9487</v>
      </c>
      <c r="F3036" s="4" t="s">
        <v>9488</v>
      </c>
      <c r="G3036" s="4">
        <v>33884</v>
      </c>
      <c r="H3036" s="4" t="s">
        <v>9489</v>
      </c>
      <c r="I3036" s="4">
        <v>79</v>
      </c>
      <c r="J3036" s="4" t="s">
        <v>23</v>
      </c>
      <c r="K3036" s="4" t="s">
        <v>24</v>
      </c>
      <c r="L3036" s="4">
        <v>72000000</v>
      </c>
      <c r="M3036" s="4">
        <v>2001</v>
      </c>
      <c r="N3036" s="4">
        <v>4.5999999999999996</v>
      </c>
      <c r="O3036" s="4">
        <f ca="1">IFERROR(__xludf.DUMMYFUNCTION("IF(Cost_in_dollars!E3036=""USD"",Cost_in_dollars!B3036,Cost_in_dollars!B3036 * GOOGLEFINANCE(""CURRENCY:"" &amp; Cost_in_dollars!E3036 &amp; ""USD""))
"),72000000)</f>
        <v>72000000</v>
      </c>
      <c r="P3036" s="4">
        <f ca="1">IFERROR(__xludf.DUMMYFUNCTION("IF(Cost_in_dollars!E3036=""USD"",Cost_in_dollars!C3036,Cost_in_dollars!C3036 * GOOGLEFINANCE(""CURRENCY:"" &amp; Cost_in_dollars!E3036 &amp; ""USD""))
"),112950721)</f>
        <v>112950721</v>
      </c>
      <c r="Q3036" s="4">
        <f t="shared" ca="1" si="66"/>
        <v>40950721</v>
      </c>
      <c r="R3036" s="5" t="str">
        <f t="shared" si="67"/>
        <v>Dr. Dolittle 2</v>
      </c>
      <c r="S3036" s="43" t="str">
        <f t="shared" si="71"/>
        <v>Comedy</v>
      </c>
    </row>
    <row r="3037" spans="1:19" ht="15.75" customHeight="1" x14ac:dyDescent="0.25">
      <c r="A3037" s="6" t="s">
        <v>6882</v>
      </c>
      <c r="B3037" s="6">
        <v>262</v>
      </c>
      <c r="C3037" s="6">
        <v>131920333</v>
      </c>
      <c r="D3037" s="6" t="s">
        <v>797</v>
      </c>
      <c r="E3037" s="6" t="s">
        <v>986</v>
      </c>
      <c r="F3037" s="6" t="s">
        <v>9490</v>
      </c>
      <c r="G3037" s="6">
        <v>213275</v>
      </c>
      <c r="H3037" s="6" t="s">
        <v>9491</v>
      </c>
      <c r="I3037" s="6">
        <v>436</v>
      </c>
      <c r="J3037" s="6" t="s">
        <v>23</v>
      </c>
      <c r="K3037" s="6" t="s">
        <v>24</v>
      </c>
      <c r="L3037" s="6">
        <v>130000000</v>
      </c>
      <c r="M3037" s="6">
        <v>2007</v>
      </c>
      <c r="N3037" s="6">
        <v>5.6</v>
      </c>
      <c r="O3037" s="4">
        <f ca="1">IFERROR(__xludf.DUMMYFUNCTION("IF(Cost_in_dollars!E3037=""USD"",Cost_in_dollars!B3037,Cost_in_dollars!B3037 * GOOGLEFINANCE(""CURRENCY:"" &amp; Cost_in_dollars!E3037 &amp; ""USD""))
"),130000000)</f>
        <v>130000000</v>
      </c>
      <c r="P3037" s="4">
        <f ca="1">IFERROR(__xludf.DUMMYFUNCTION("IF(Cost_in_dollars!E3037=""USD"",Cost_in_dollars!C3037,Cost_in_dollars!C3037 * GOOGLEFINANCE(""CURRENCY:"" &amp; Cost_in_dollars!E3037 &amp; ""USD""))
"),131920333)</f>
        <v>131920333</v>
      </c>
      <c r="Q3037" s="6">
        <f t="shared" ca="1" si="66"/>
        <v>1920333</v>
      </c>
      <c r="R3037" s="7" t="str">
        <f t="shared" si="67"/>
        <v>Fantastic 4: Rise of the Silver Surfer</v>
      </c>
      <c r="S3037" s="43" t="str">
        <f t="shared" si="71"/>
        <v>Action</v>
      </c>
    </row>
    <row r="3038" spans="1:19" ht="15.75" customHeight="1" x14ac:dyDescent="0.25">
      <c r="A3038" s="4" t="s">
        <v>539</v>
      </c>
      <c r="B3038" s="4">
        <v>125</v>
      </c>
      <c r="C3038" s="4">
        <v>118500000</v>
      </c>
      <c r="D3038" s="4" t="s">
        <v>649</v>
      </c>
      <c r="E3038" s="4" t="s">
        <v>3594</v>
      </c>
      <c r="F3038" s="4" t="s">
        <v>9492</v>
      </c>
      <c r="G3038" s="4">
        <v>340085</v>
      </c>
      <c r="H3038" s="4" t="s">
        <v>9493</v>
      </c>
      <c r="I3038" s="4">
        <v>327</v>
      </c>
      <c r="J3038" s="4" t="s">
        <v>23</v>
      </c>
      <c r="K3038" s="4" t="s">
        <v>24</v>
      </c>
      <c r="L3038" s="4">
        <v>40000000</v>
      </c>
      <c r="M3038" s="4">
        <v>1989</v>
      </c>
      <c r="N3038" s="4">
        <v>7.8</v>
      </c>
      <c r="O3038" s="4">
        <f ca="1">IFERROR(__xludf.DUMMYFUNCTION("IF(Cost_in_dollars!E3038=""USD"",Cost_in_dollars!B3038,Cost_in_dollars!B3038 * GOOGLEFINANCE(""CURRENCY:"" &amp; Cost_in_dollars!E3038 &amp; ""USD""))
"),40000000)</f>
        <v>40000000</v>
      </c>
      <c r="P3038" s="4">
        <f ca="1">IFERROR(__xludf.DUMMYFUNCTION("IF(Cost_in_dollars!E3038=""USD"",Cost_in_dollars!C3038,Cost_in_dollars!C3038 * GOOGLEFINANCE(""CURRENCY:"" &amp; Cost_in_dollars!E3038 &amp; ""USD""))
"),118500000)</f>
        <v>118500000</v>
      </c>
      <c r="Q3038" s="4">
        <f t="shared" ca="1" si="66"/>
        <v>78500000</v>
      </c>
      <c r="R3038" s="5" t="str">
        <f t="shared" si="67"/>
        <v>Back to the Future Part II</v>
      </c>
      <c r="S3038" s="43" t="str">
        <f t="shared" si="71"/>
        <v>Adventure</v>
      </c>
    </row>
    <row r="3039" spans="1:19" ht="15.75" customHeight="1" x14ac:dyDescent="0.25">
      <c r="A3039" s="6" t="s">
        <v>1353</v>
      </c>
      <c r="B3039" s="6">
        <v>397</v>
      </c>
      <c r="C3039" s="6">
        <v>42057340</v>
      </c>
      <c r="D3039" s="6" t="s">
        <v>309</v>
      </c>
      <c r="E3039" s="6" t="s">
        <v>4932</v>
      </c>
      <c r="F3039" s="6" t="s">
        <v>9494</v>
      </c>
      <c r="G3039" s="6">
        <v>158354</v>
      </c>
      <c r="H3039" s="6" t="s">
        <v>9495</v>
      </c>
      <c r="I3039" s="6">
        <v>691</v>
      </c>
      <c r="J3039" s="6" t="s">
        <v>23</v>
      </c>
      <c r="K3039" s="6" t="s">
        <v>24</v>
      </c>
      <c r="L3039" s="6">
        <v>30000000</v>
      </c>
      <c r="M3039" s="6">
        <v>2009</v>
      </c>
      <c r="N3039" s="6">
        <v>6.6</v>
      </c>
      <c r="O3039" s="4">
        <f ca="1">IFERROR(__xludf.DUMMYFUNCTION("IF(Cost_in_dollars!E3039=""USD"",Cost_in_dollars!B3039,Cost_in_dollars!B3039 * GOOGLEFINANCE(""CURRENCY:"" &amp; Cost_in_dollars!E3039 &amp; ""USD""))
"),30000000)</f>
        <v>30000000</v>
      </c>
      <c r="P3039" s="4">
        <f ca="1">IFERROR(__xludf.DUMMYFUNCTION("IF(Cost_in_dollars!E3039=""USD"",Cost_in_dollars!C3039,Cost_in_dollars!C3039 * GOOGLEFINANCE(""CURRENCY:"" &amp; Cost_in_dollars!E3039 &amp; ""USD""))
"),42057340)</f>
        <v>42057340</v>
      </c>
      <c r="Q3039" s="6">
        <f t="shared" ca="1" si="66"/>
        <v>12057340</v>
      </c>
      <c r="R3039" s="7" t="str">
        <f t="shared" si="67"/>
        <v>Drag Me to Hell</v>
      </c>
      <c r="S3039" s="43" t="str">
        <f t="shared" si="71"/>
        <v>Horror</v>
      </c>
    </row>
    <row r="3040" spans="1:19" ht="15.75" customHeight="1" x14ac:dyDescent="0.25">
      <c r="A3040" s="4" t="s">
        <v>9496</v>
      </c>
      <c r="B3040" s="4">
        <v>59</v>
      </c>
      <c r="C3040" s="4">
        <v>6157157</v>
      </c>
      <c r="D3040" s="4" t="s">
        <v>457</v>
      </c>
      <c r="E3040" s="4" t="s">
        <v>9497</v>
      </c>
      <c r="F3040" s="4" t="s">
        <v>9498</v>
      </c>
      <c r="G3040" s="4">
        <v>21416</v>
      </c>
      <c r="H3040" s="4" t="s">
        <v>9499</v>
      </c>
      <c r="I3040" s="4">
        <v>198</v>
      </c>
      <c r="J3040" s="4" t="s">
        <v>23</v>
      </c>
      <c r="K3040" s="4" t="s">
        <v>24</v>
      </c>
      <c r="L3040" s="4">
        <v>5000000</v>
      </c>
      <c r="M3040" s="4">
        <v>1989</v>
      </c>
      <c r="N3040" s="4">
        <v>7</v>
      </c>
      <c r="O3040" s="4">
        <f ca="1">IFERROR(__xludf.DUMMYFUNCTION("IF(Cost_in_dollars!E3040=""USD"",Cost_in_dollars!B3040,Cost_in_dollars!B3040 * GOOGLEFINANCE(""CURRENCY:"" &amp; Cost_in_dollars!E3040 &amp; ""USD""))
"),5000000)</f>
        <v>5000000</v>
      </c>
      <c r="P3040" s="4">
        <f ca="1">IFERROR(__xludf.DUMMYFUNCTION("IF(Cost_in_dollars!E3040=""USD"",Cost_in_dollars!C3040,Cost_in_dollars!C3040 * GOOGLEFINANCE(""CURRENCY:"" &amp; Cost_in_dollars!E3040 &amp; ""USD""))
"),6157157)</f>
        <v>6157157</v>
      </c>
      <c r="Q3040" s="4">
        <f t="shared" ca="1" si="66"/>
        <v>1157157</v>
      </c>
      <c r="R3040" s="5" t="str">
        <f t="shared" si="67"/>
        <v>UHF</v>
      </c>
      <c r="S3040" s="43" t="str">
        <f t="shared" si="71"/>
        <v>Comedy</v>
      </c>
    </row>
    <row r="3041" spans="1:19" ht="15.75" customHeight="1" x14ac:dyDescent="0.25">
      <c r="A3041" s="6" t="s">
        <v>4066</v>
      </c>
      <c r="B3041" s="6">
        <v>126</v>
      </c>
      <c r="C3041" s="6">
        <v>4599680</v>
      </c>
      <c r="D3041" s="6" t="s">
        <v>102</v>
      </c>
      <c r="E3041" s="6" t="s">
        <v>2985</v>
      </c>
      <c r="F3041" s="6" t="s">
        <v>9500</v>
      </c>
      <c r="G3041" s="6">
        <v>68222</v>
      </c>
      <c r="H3041" s="6" t="s">
        <v>9501</v>
      </c>
      <c r="I3041" s="6">
        <v>545</v>
      </c>
      <c r="J3041" s="6" t="s">
        <v>23</v>
      </c>
      <c r="K3041" s="6" t="s">
        <v>24</v>
      </c>
      <c r="L3041" s="6">
        <v>1500000</v>
      </c>
      <c r="M3041" s="6">
        <v>2003</v>
      </c>
      <c r="N3041" s="6">
        <v>6.8</v>
      </c>
      <c r="O3041" s="4">
        <f ca="1">IFERROR(__xludf.DUMMYFUNCTION("IF(Cost_in_dollars!E3041=""USD"",Cost_in_dollars!B3041,Cost_in_dollars!B3041 * GOOGLEFINANCE(""CURRENCY:"" &amp; Cost_in_dollars!E3041 &amp; ""USD""))
"),1500000)</f>
        <v>1500000</v>
      </c>
      <c r="P3041" s="4">
        <f ca="1">IFERROR(__xludf.DUMMYFUNCTION("IF(Cost_in_dollars!E3041=""USD"",Cost_in_dollars!C3041,Cost_in_dollars!C3041 * GOOGLEFINANCE(""CURRENCY:"" &amp; Cost_in_dollars!E3041 &amp; ""USD""))
"),4599680)</f>
        <v>4599680</v>
      </c>
      <c r="Q3041" s="6">
        <f t="shared" ca="1" si="66"/>
        <v>3099680</v>
      </c>
      <c r="R3041" s="7" t="str">
        <f t="shared" si="67"/>
        <v>Thirteen</v>
      </c>
      <c r="S3041" s="43" t="str">
        <f t="shared" si="71"/>
        <v>Drama</v>
      </c>
    </row>
    <row r="3042" spans="1:19" ht="15.75" customHeight="1" x14ac:dyDescent="0.25">
      <c r="A3042" s="4" t="s">
        <v>2742</v>
      </c>
      <c r="B3042" s="4">
        <v>221</v>
      </c>
      <c r="C3042" s="4">
        <v>183436380</v>
      </c>
      <c r="D3042" s="4" t="s">
        <v>324</v>
      </c>
      <c r="E3042" s="4" t="s">
        <v>2905</v>
      </c>
      <c r="F3042" s="4" t="s">
        <v>9502</v>
      </c>
      <c r="G3042" s="4">
        <v>97697</v>
      </c>
      <c r="H3042" s="4" t="s">
        <v>9503</v>
      </c>
      <c r="I3042" s="4">
        <v>185</v>
      </c>
      <c r="J3042" s="4" t="s">
        <v>23</v>
      </c>
      <c r="K3042" s="4" t="s">
        <v>24</v>
      </c>
      <c r="L3042" s="4">
        <v>29000000</v>
      </c>
      <c r="M3042" s="4">
        <v>2015</v>
      </c>
      <c r="N3042" s="4">
        <v>6.5</v>
      </c>
      <c r="O3042" s="4">
        <f ca="1">IFERROR(__xludf.DUMMYFUNCTION("IF(Cost_in_dollars!E3042=""USD"",Cost_in_dollars!B3042,Cost_in_dollars!B3042 * GOOGLEFINANCE(""CURRENCY:"" &amp; Cost_in_dollars!E3042 &amp; ""USD""))
"),29000000)</f>
        <v>29000000</v>
      </c>
      <c r="P3042" s="4">
        <f ca="1">IFERROR(__xludf.DUMMYFUNCTION("IF(Cost_in_dollars!E3042=""USD"",Cost_in_dollars!C3042,Cost_in_dollars!C3042 * GOOGLEFINANCE(""CURRENCY:"" &amp; Cost_in_dollars!E3042 &amp; ""USD""))
"),183436380)</f>
        <v>183436380</v>
      </c>
      <c r="Q3042" s="4">
        <f t="shared" ca="1" si="66"/>
        <v>154436380</v>
      </c>
      <c r="R3042" s="5" t="str">
        <f t="shared" si="67"/>
        <v>Pitch Perfect 2</v>
      </c>
      <c r="S3042" s="43" t="str">
        <f t="shared" si="71"/>
        <v>Comedy</v>
      </c>
    </row>
    <row r="3043" spans="1:19" ht="15.75" customHeight="1" x14ac:dyDescent="0.25">
      <c r="A3043" s="6" t="s">
        <v>3327</v>
      </c>
      <c r="B3043" s="6">
        <v>111</v>
      </c>
      <c r="C3043" s="6">
        <v>37188667</v>
      </c>
      <c r="D3043" s="6" t="s">
        <v>457</v>
      </c>
      <c r="E3043" s="6" t="s">
        <v>9504</v>
      </c>
      <c r="F3043" s="6" t="s">
        <v>9505</v>
      </c>
      <c r="G3043" s="6">
        <v>34219</v>
      </c>
      <c r="H3043" s="6" t="s">
        <v>9506</v>
      </c>
      <c r="I3043" s="6">
        <v>578</v>
      </c>
      <c r="J3043" s="6" t="s">
        <v>23</v>
      </c>
      <c r="K3043" s="6" t="s">
        <v>24</v>
      </c>
      <c r="L3043" s="6">
        <v>12000000</v>
      </c>
      <c r="M3043" s="6">
        <v>2002</v>
      </c>
      <c r="N3043" s="6">
        <v>3.3</v>
      </c>
      <c r="O3043" s="4">
        <f ca="1">IFERROR(__xludf.DUMMYFUNCTION("IF(Cost_in_dollars!E3043=""USD"",Cost_in_dollars!B3043,Cost_in_dollars!B3043 * GOOGLEFINANCE(""CURRENCY:"" &amp; Cost_in_dollars!E3043 &amp; ""USD""))
"),12000000)</f>
        <v>12000000</v>
      </c>
      <c r="P3043" s="4">
        <f ca="1">IFERROR(__xludf.DUMMYFUNCTION("IF(Cost_in_dollars!E3043=""USD"",Cost_in_dollars!C3043,Cost_in_dollars!C3043 * GOOGLEFINANCE(""CURRENCY:"" &amp; Cost_in_dollars!E3043 &amp; ""USD""))
"),37188667)</f>
        <v>37188667</v>
      </c>
      <c r="Q3043" s="6">
        <f t="shared" ca="1" si="66"/>
        <v>25188667</v>
      </c>
      <c r="R3043" s="7" t="str">
        <f t="shared" si="67"/>
        <v>Crossroads</v>
      </c>
      <c r="S3043" s="43" t="str">
        <f t="shared" si="71"/>
        <v>Comedy</v>
      </c>
    </row>
    <row r="3044" spans="1:19" ht="15.75" customHeight="1" x14ac:dyDescent="0.25">
      <c r="A3044" s="4" t="s">
        <v>341</v>
      </c>
      <c r="B3044" s="4">
        <v>143</v>
      </c>
      <c r="C3044" s="4">
        <v>6197866</v>
      </c>
      <c r="D3044" s="4" t="s">
        <v>362</v>
      </c>
      <c r="E3044" s="4" t="s">
        <v>8948</v>
      </c>
      <c r="F3044" s="4" t="s">
        <v>9507</v>
      </c>
      <c r="G3044" s="4">
        <v>63733</v>
      </c>
      <c r="H3044" s="4" t="s">
        <v>9508</v>
      </c>
      <c r="I3044" s="4">
        <v>414</v>
      </c>
      <c r="J3044" s="4" t="s">
        <v>23</v>
      </c>
      <c r="K3044" s="4" t="s">
        <v>611</v>
      </c>
      <c r="L3044" s="4">
        <v>10000000</v>
      </c>
      <c r="M3044" s="4">
        <v>1999</v>
      </c>
      <c r="N3044" s="4">
        <v>8</v>
      </c>
      <c r="O3044" s="4">
        <f ca="1">IFERROR(__xludf.DUMMYFUNCTION("IF(Cost_in_dollars!E3044=""USD"",Cost_in_dollars!B3044,Cost_in_dollars!B3044 * GOOGLEFINANCE(""CURRENCY:"" &amp; Cost_in_dollars!E3044 &amp; ""USD""))
"),10847400)</f>
        <v>10847400</v>
      </c>
      <c r="P3044" s="4">
        <f ca="1">IFERROR(__xludf.DUMMYFUNCTION("IF(Cost_in_dollars!E3044=""USD"",Cost_in_dollars!C3044,Cost_in_dollars!C3044 * GOOGLEFINANCE(""CURRENCY:"" &amp; Cost_in_dollars!E3044 &amp; ""USD""))
"),6723073.16484)</f>
        <v>6723073.1648399998</v>
      </c>
      <c r="Q3044" s="4">
        <f t="shared" ca="1" si="66"/>
        <v>-4124326.8351600002</v>
      </c>
      <c r="R3044" s="5" t="str">
        <f t="shared" si="67"/>
        <v>The Straight Story</v>
      </c>
      <c r="S3044" s="43" t="str">
        <f t="shared" si="71"/>
        <v>Biography</v>
      </c>
    </row>
    <row r="3045" spans="1:19" ht="15.75" customHeight="1" x14ac:dyDescent="0.25">
      <c r="A3045" s="6" t="s">
        <v>9509</v>
      </c>
      <c r="B3045" s="6">
        <v>51</v>
      </c>
      <c r="C3045" s="6">
        <v>94900000</v>
      </c>
      <c r="D3045" s="6" t="s">
        <v>737</v>
      </c>
      <c r="E3045" s="6" t="s">
        <v>9510</v>
      </c>
      <c r="F3045" s="6" t="s">
        <v>9511</v>
      </c>
      <c r="G3045" s="6">
        <v>35172</v>
      </c>
      <c r="H3045" s="6" t="s">
        <v>9512</v>
      </c>
      <c r="I3045" s="6">
        <v>128</v>
      </c>
      <c r="J3045" s="6" t="s">
        <v>23</v>
      </c>
      <c r="K3045" s="6" t="s">
        <v>24</v>
      </c>
      <c r="L3045" s="6">
        <v>4000000</v>
      </c>
      <c r="M3045" s="6">
        <v>1983</v>
      </c>
      <c r="N3045" s="6">
        <v>6.1</v>
      </c>
      <c r="O3045" s="4">
        <f ca="1">IFERROR(__xludf.DUMMYFUNCTION("IF(Cost_in_dollars!E3045=""USD"",Cost_in_dollars!B3045,Cost_in_dollars!B3045 * GOOGLEFINANCE(""CURRENCY:"" &amp; Cost_in_dollars!E3045 &amp; ""USD""))
"),4000000)</f>
        <v>4000000</v>
      </c>
      <c r="P3045" s="4">
        <f ca="1">IFERROR(__xludf.DUMMYFUNCTION("IF(Cost_in_dollars!E3045=""USD"",Cost_in_dollars!C3045,Cost_in_dollars!C3045 * GOOGLEFINANCE(""CURRENCY:"" &amp; Cost_in_dollars!E3045 &amp; ""USD""))
"),94900000)</f>
        <v>94900000</v>
      </c>
      <c r="Q3045" s="6">
        <f t="shared" ca="1" si="66"/>
        <v>90900000</v>
      </c>
      <c r="R3045" s="7" t="str">
        <f t="shared" si="67"/>
        <v>Flashdance</v>
      </c>
      <c r="S3045" s="43" t="str">
        <f t="shared" si="71"/>
        <v>Drama</v>
      </c>
    </row>
    <row r="3046" spans="1:19" ht="15.75" customHeight="1" x14ac:dyDescent="0.25">
      <c r="A3046" s="4" t="s">
        <v>521</v>
      </c>
      <c r="B3046" s="4">
        <v>77</v>
      </c>
      <c r="C3046" s="4">
        <v>39025000</v>
      </c>
      <c r="D3046" s="4" t="s">
        <v>53</v>
      </c>
      <c r="E3046" s="4" t="s">
        <v>9513</v>
      </c>
      <c r="F3046" s="4" t="s">
        <v>9514</v>
      </c>
      <c r="G3046" s="4">
        <v>73193</v>
      </c>
      <c r="H3046" s="4" t="s">
        <v>9515</v>
      </c>
      <c r="I3046" s="4">
        <v>190</v>
      </c>
      <c r="J3046" s="4" t="s">
        <v>23</v>
      </c>
      <c r="K3046" s="4" t="s">
        <v>133</v>
      </c>
      <c r="L3046" s="4">
        <v>11000000</v>
      </c>
      <c r="M3046" s="4">
        <v>1995</v>
      </c>
      <c r="N3046" s="4">
        <v>7.6</v>
      </c>
      <c r="O3046" s="4">
        <f ca="1">IFERROR(__xludf.DUMMYFUNCTION("IF(Cost_in_dollars!E3046=""USD"",Cost_in_dollars!B3046,Cost_in_dollars!B3046 * GOOGLEFINANCE(""CURRENCY:"" &amp; Cost_in_dollars!E3046 &amp; ""USD""))
"),14139399.9999999)</f>
        <v>14139399.999999899</v>
      </c>
      <c r="P3046" s="4">
        <f ca="1">IFERROR(__xludf.DUMMYFUNCTION("IF(Cost_in_dollars!E3046=""USD"",Cost_in_dollars!C3046,Cost_in_dollars!C3046 * GOOGLEFINANCE(""CURRENCY:"" &amp; Cost_in_dollars!E3046 &amp; ""USD""))
"),50162734.9999999)</f>
        <v>50162734.999999903</v>
      </c>
      <c r="Q3046" s="4">
        <f t="shared" ca="1" si="66"/>
        <v>36023335</v>
      </c>
      <c r="R3046" s="5" t="str">
        <f t="shared" si="67"/>
        <v>Dead Man Walking</v>
      </c>
      <c r="S3046" s="43" t="str">
        <f t="shared" si="71"/>
        <v>Crime</v>
      </c>
    </row>
    <row r="3047" spans="1:19" ht="15.75" customHeight="1" x14ac:dyDescent="0.25">
      <c r="A3047" s="6" t="s">
        <v>4071</v>
      </c>
      <c r="B3047" s="6">
        <v>98</v>
      </c>
      <c r="C3047" s="6">
        <v>72601713</v>
      </c>
      <c r="D3047" s="6" t="s">
        <v>3522</v>
      </c>
      <c r="E3047" s="6" t="s">
        <v>9516</v>
      </c>
      <c r="F3047" s="6" t="s">
        <v>9517</v>
      </c>
      <c r="G3047" s="6">
        <v>21396</v>
      </c>
      <c r="H3047" s="6" t="s">
        <v>9518</v>
      </c>
      <c r="I3047" s="6">
        <v>155</v>
      </c>
      <c r="J3047" s="6" t="s">
        <v>23</v>
      </c>
      <c r="K3047" s="6" t="s">
        <v>176</v>
      </c>
      <c r="L3047" s="6">
        <v>51000000</v>
      </c>
      <c r="M3047" s="6">
        <v>2006</v>
      </c>
      <c r="N3047" s="6">
        <v>5.6</v>
      </c>
      <c r="O3047" s="4">
        <f ca="1">IFERROR(__xludf.DUMMYFUNCTION("IF(Cost_in_dollars!E3047=""USD"",Cost_in_dollars!B3047,Cost_in_dollars!B3047 * GOOGLEFINANCE(""CURRENCY:"" &amp; Cost_in_dollars!E3047 &amp; ""USD""))
"),55321740)</f>
        <v>55321740</v>
      </c>
      <c r="P3047" s="4">
        <f ca="1">IFERROR(__xludf.DUMMYFUNCTION("IF(Cost_in_dollars!E3047=""USD"",Cost_in_dollars!C3047,Cost_in_dollars!C3047 * GOOGLEFINANCE(""CURRENCY:"" &amp; Cost_in_dollars!E3047 &amp; ""USD""))
"),78753982.15962)</f>
        <v>78753982.159620002</v>
      </c>
      <c r="Q3047" s="6">
        <f t="shared" ca="1" si="66"/>
        <v>23432242.159620002</v>
      </c>
      <c r="R3047" s="7" t="str">
        <f t="shared" si="67"/>
        <v>Barnyard</v>
      </c>
      <c r="S3047" s="43" t="str">
        <f t="shared" si="71"/>
        <v>Animation</v>
      </c>
    </row>
    <row r="3048" spans="1:19" ht="15.75" customHeight="1" x14ac:dyDescent="0.25">
      <c r="A3048" s="4" t="s">
        <v>1767</v>
      </c>
      <c r="B3048" s="4">
        <v>129</v>
      </c>
      <c r="C3048" s="4">
        <v>1150403</v>
      </c>
      <c r="D3048" s="4" t="s">
        <v>1788</v>
      </c>
      <c r="E3048" s="4" t="s">
        <v>6916</v>
      </c>
      <c r="F3048" s="4" t="s">
        <v>9519</v>
      </c>
      <c r="G3048" s="4">
        <v>14143</v>
      </c>
      <c r="H3048" s="4" t="s">
        <v>9520</v>
      </c>
      <c r="I3048" s="4">
        <v>102</v>
      </c>
      <c r="J3048" s="4" t="s">
        <v>23</v>
      </c>
      <c r="K3048" s="4" t="s">
        <v>24</v>
      </c>
      <c r="L3048" s="4">
        <v>13000000</v>
      </c>
      <c r="M3048" s="4">
        <v>2006</v>
      </c>
      <c r="N3048" s="4">
        <v>7.1</v>
      </c>
      <c r="O3048" s="4">
        <f ca="1">IFERROR(__xludf.DUMMYFUNCTION("IF(Cost_in_dollars!E3048=""USD"",Cost_in_dollars!B3048,Cost_in_dollars!B3048 * GOOGLEFINANCE(""CURRENCY:"" &amp; Cost_in_dollars!E3048 &amp; ""USD""))
"),13000000)</f>
        <v>13000000</v>
      </c>
      <c r="P3048" s="4">
        <f ca="1">IFERROR(__xludf.DUMMYFUNCTION("IF(Cost_in_dollars!E3048=""USD"",Cost_in_dollars!C3048,Cost_in_dollars!C3048 * GOOGLEFINANCE(""CURRENCY:"" &amp; Cost_in_dollars!E3048 &amp; ""USD""))
"),1150403)</f>
        <v>1150403</v>
      </c>
      <c r="Q3048" s="4">
        <f t="shared" ca="1" si="66"/>
        <v>-11849597</v>
      </c>
      <c r="R3048" s="5" t="str">
        <f t="shared" si="67"/>
        <v>Infamous</v>
      </c>
      <c r="S3048" s="43" t="str">
        <f t="shared" si="71"/>
        <v>Biography</v>
      </c>
    </row>
    <row r="3049" spans="1:19" ht="15.75" customHeight="1" x14ac:dyDescent="0.25">
      <c r="A3049" s="6" t="s">
        <v>9521</v>
      </c>
      <c r="B3049" s="6">
        <v>205</v>
      </c>
      <c r="C3049" s="6">
        <v>613556</v>
      </c>
      <c r="D3049" s="6" t="s">
        <v>211</v>
      </c>
      <c r="E3049" s="6" t="s">
        <v>9522</v>
      </c>
      <c r="F3049" s="6" t="s">
        <v>9523</v>
      </c>
      <c r="G3049" s="6">
        <v>9427</v>
      </c>
      <c r="H3049" s="6" t="s">
        <v>9524</v>
      </c>
      <c r="I3049" s="6">
        <v>87</v>
      </c>
      <c r="J3049" s="6" t="s">
        <v>3279</v>
      </c>
      <c r="K3049" s="6" t="s">
        <v>3280</v>
      </c>
      <c r="L3049" s="6">
        <v>15000000</v>
      </c>
      <c r="M3049" s="6">
        <v>2015</v>
      </c>
      <c r="N3049" s="6">
        <v>6.4</v>
      </c>
      <c r="O3049" s="4">
        <f ca="1">IFERROR(__xludf.DUMMYFUNCTION("IF(Cost_in_dollars!E3049=""USD"",Cost_in_dollars!B3049,Cost_in_dollars!B3049 * GOOGLEFINANCE(""CURRENCY:"" &amp; Cost_in_dollars!E3049 &amp; ""USD""))
"),458184.6)</f>
        <v>458184.6</v>
      </c>
      <c r="P3049" s="4">
        <f ca="1">IFERROR(__xludf.DUMMYFUNCTION("IF(Cost_in_dollars!E3049=""USD"",Cost_in_dollars!C3049,Cost_in_dollars!C3049 * GOOGLEFINANCE(""CURRENCY:"" &amp; Cost_in_dollars!E3049 &amp; ""USD""))
"),18741.46069584)</f>
        <v>18741.46069584</v>
      </c>
      <c r="Q3049" s="6">
        <f t="shared" ca="1" si="66"/>
        <v>-439443.13930415997</v>
      </c>
      <c r="R3049" s="7" t="str">
        <f t="shared" si="67"/>
        <v>The Assassin</v>
      </c>
      <c r="S3049" s="43" t="str">
        <f t="shared" si="71"/>
        <v>Action</v>
      </c>
    </row>
    <row r="3050" spans="1:19" ht="15.75" customHeight="1" x14ac:dyDescent="0.25">
      <c r="A3050" s="4" t="s">
        <v>9525</v>
      </c>
      <c r="B3050" s="4">
        <v>113</v>
      </c>
      <c r="C3050" s="4">
        <v>36073232</v>
      </c>
      <c r="D3050" s="4" t="s">
        <v>6863</v>
      </c>
      <c r="E3050" s="4" t="s">
        <v>9526</v>
      </c>
      <c r="F3050" s="4" t="s">
        <v>9527</v>
      </c>
      <c r="G3050" s="4">
        <v>8913</v>
      </c>
      <c r="H3050" s="4" t="s">
        <v>9528</v>
      </c>
      <c r="I3050" s="4">
        <v>66</v>
      </c>
      <c r="J3050" s="4" t="s">
        <v>23</v>
      </c>
      <c r="K3050" s="4" t="s">
        <v>24</v>
      </c>
      <c r="L3050" s="4">
        <v>80000000</v>
      </c>
      <c r="M3050" s="4">
        <v>2013</v>
      </c>
      <c r="N3050" s="4">
        <v>5.2</v>
      </c>
      <c r="O3050" s="4">
        <f ca="1">IFERROR(__xludf.DUMMYFUNCTION("IF(Cost_in_dollars!E3050=""USD"",Cost_in_dollars!B3050,Cost_in_dollars!B3050 * GOOGLEFINANCE(""CURRENCY:"" &amp; Cost_in_dollars!E3050 &amp; ""USD""))
"),80000000)</f>
        <v>80000000</v>
      </c>
      <c r="P3050" s="4">
        <f ca="1">IFERROR(__xludf.DUMMYFUNCTION("IF(Cost_in_dollars!E3050=""USD"",Cost_in_dollars!C3050,Cost_in_dollars!C3050 * GOOGLEFINANCE(""CURRENCY:"" &amp; Cost_in_dollars!E3050 &amp; ""USD""))
"),36073232)</f>
        <v>36073232</v>
      </c>
      <c r="Q3050" s="4">
        <f t="shared" ca="1" si="66"/>
        <v>-43926768</v>
      </c>
      <c r="R3050" s="5" t="str">
        <f t="shared" si="67"/>
        <v>Walking with Dinosaurs 3D</v>
      </c>
      <c r="S3050" s="43" t="str">
        <f t="shared" si="71"/>
        <v>Adventure</v>
      </c>
    </row>
    <row r="3051" spans="1:19" ht="15.75" customHeight="1" x14ac:dyDescent="0.25">
      <c r="A3051" s="6" t="s">
        <v>8225</v>
      </c>
      <c r="B3051" s="6">
        <v>76</v>
      </c>
      <c r="C3051" s="6">
        <v>25339117</v>
      </c>
      <c r="D3051" s="6" t="s">
        <v>88</v>
      </c>
      <c r="E3051" s="6" t="s">
        <v>2530</v>
      </c>
      <c r="F3051" s="6" t="s">
        <v>9529</v>
      </c>
      <c r="G3051" s="6">
        <v>37885</v>
      </c>
      <c r="H3051" s="6" t="s">
        <v>9530</v>
      </c>
      <c r="I3051" s="6">
        <v>247</v>
      </c>
      <c r="J3051" s="6" t="s">
        <v>23</v>
      </c>
      <c r="K3051" s="6" t="s">
        <v>24</v>
      </c>
      <c r="L3051" s="6">
        <v>10000000</v>
      </c>
      <c r="M3051" s="6">
        <v>1998</v>
      </c>
      <c r="N3051" s="6">
        <v>6.5</v>
      </c>
      <c r="O3051" s="4">
        <f ca="1">IFERROR(__xludf.DUMMYFUNCTION("IF(Cost_in_dollars!E3051=""USD"",Cost_in_dollars!B3051,Cost_in_dollars!B3051 * GOOGLEFINANCE(""CURRENCY:"" &amp; Cost_in_dollars!E3051 &amp; ""USD""))
"),10000000)</f>
        <v>10000000</v>
      </c>
      <c r="P3051" s="4">
        <f ca="1">IFERROR(__xludf.DUMMYFUNCTION("IF(Cost_in_dollars!E3051=""USD"",Cost_in_dollars!C3051,Cost_in_dollars!C3051 * GOOGLEFINANCE(""CURRENCY:"" &amp; Cost_in_dollars!E3051 &amp; ""USD""))
"),25339117)</f>
        <v>25339117</v>
      </c>
      <c r="Q3051" s="6">
        <f t="shared" ca="1" si="66"/>
        <v>15339117</v>
      </c>
      <c r="R3051" s="7" t="str">
        <f t="shared" si="67"/>
        <v>Can't Hardly Wait</v>
      </c>
      <c r="S3051" s="43" t="str">
        <f t="shared" si="71"/>
        <v>Comedy</v>
      </c>
    </row>
    <row r="3052" spans="1:19" ht="15.75" customHeight="1" x14ac:dyDescent="0.25">
      <c r="A3052" s="4" t="s">
        <v>1878</v>
      </c>
      <c r="B3052" s="4">
        <v>177</v>
      </c>
      <c r="C3052" s="4">
        <v>20285518</v>
      </c>
      <c r="D3052" s="4" t="s">
        <v>504</v>
      </c>
      <c r="E3052" s="4" t="s">
        <v>805</v>
      </c>
      <c r="F3052" s="4" t="s">
        <v>9531</v>
      </c>
      <c r="G3052" s="4">
        <v>32103</v>
      </c>
      <c r="H3052" s="4" t="s">
        <v>9532</v>
      </c>
      <c r="I3052" s="4">
        <v>112</v>
      </c>
      <c r="J3052" s="4" t="s">
        <v>23</v>
      </c>
      <c r="K3052" s="4" t="s">
        <v>611</v>
      </c>
      <c r="L3052" s="4">
        <v>28000000</v>
      </c>
      <c r="M3052" s="4">
        <v>2014</v>
      </c>
      <c r="N3052" s="4">
        <v>5.7</v>
      </c>
      <c r="O3052" s="4">
        <f ca="1">IFERROR(__xludf.DUMMYFUNCTION("IF(Cost_in_dollars!E3052=""USD"",Cost_in_dollars!B3052,Cost_in_dollars!B3052 * GOOGLEFINANCE(""CURRENCY:"" &amp; Cost_in_dollars!E3052 &amp; ""USD""))
"),30372720)</f>
        <v>30372720</v>
      </c>
      <c r="P3052" s="4">
        <f ca="1">IFERROR(__xludf.DUMMYFUNCTION("IF(Cost_in_dollars!E3052=""USD"",Cost_in_dollars!C3052,Cost_in_dollars!C3052 * GOOGLEFINANCE(""CURRENCY:"" &amp; Cost_in_dollars!E3052 &amp; ""USD""))
"),22004512.79532)</f>
        <v>22004512.79532</v>
      </c>
      <c r="Q3052" s="4">
        <f t="shared" ca="1" si="66"/>
        <v>-8368207.2046799995</v>
      </c>
      <c r="R3052" s="5" t="str">
        <f t="shared" si="67"/>
        <v>Brick Mansions</v>
      </c>
      <c r="S3052" s="43" t="str">
        <f t="shared" si="71"/>
        <v>Action</v>
      </c>
    </row>
    <row r="3053" spans="1:19" ht="15.75" customHeight="1" x14ac:dyDescent="0.25">
      <c r="A3053" s="6" t="s">
        <v>617</v>
      </c>
      <c r="B3053" s="6">
        <v>94</v>
      </c>
      <c r="C3053" s="6">
        <v>58156435</v>
      </c>
      <c r="D3053" s="6" t="s">
        <v>9533</v>
      </c>
      <c r="E3053" s="6" t="s">
        <v>9534</v>
      </c>
      <c r="F3053" s="6" t="s">
        <v>9535</v>
      </c>
      <c r="G3053" s="6">
        <v>37479</v>
      </c>
      <c r="H3053" s="6" t="s">
        <v>9536</v>
      </c>
      <c r="I3053" s="6">
        <v>152</v>
      </c>
      <c r="J3053" s="6" t="s">
        <v>23</v>
      </c>
      <c r="K3053" s="6" t="s">
        <v>24</v>
      </c>
      <c r="L3053" s="6">
        <v>19000000</v>
      </c>
      <c r="M3053" s="6">
        <v>2004</v>
      </c>
      <c r="N3053" s="6">
        <v>5.9</v>
      </c>
      <c r="O3053" s="4">
        <f ca="1">IFERROR(__xludf.DUMMYFUNCTION("IF(Cost_in_dollars!E3053=""USD"",Cost_in_dollars!B3053,Cost_in_dollars!B3053 * GOOGLEFINANCE(""CURRENCY:"" &amp; Cost_in_dollars!E3053 &amp; ""USD""))
"),19000000)</f>
        <v>19000000</v>
      </c>
      <c r="P3053" s="4">
        <f ca="1">IFERROR(__xludf.DUMMYFUNCTION("IF(Cost_in_dollars!E3053=""USD"",Cost_in_dollars!C3053,Cost_in_dollars!C3053 * GOOGLEFINANCE(""CURRENCY:"" &amp; Cost_in_dollars!E3053 &amp; ""USD""))
"),58156435)</f>
        <v>58156435</v>
      </c>
      <c r="Q3053" s="6">
        <f t="shared" ca="1" si="66"/>
        <v>39156435</v>
      </c>
      <c r="R3053" s="7" t="str">
        <f t="shared" si="67"/>
        <v>Without a Paddle</v>
      </c>
      <c r="S3053" s="43" t="str">
        <f t="shared" si="71"/>
        <v>Adventure</v>
      </c>
    </row>
    <row r="3054" spans="1:19" ht="15.75" customHeight="1" x14ac:dyDescent="0.25">
      <c r="A3054" s="4" t="s">
        <v>1327</v>
      </c>
      <c r="B3054" s="4">
        <v>277</v>
      </c>
      <c r="C3054" s="4">
        <v>30859000</v>
      </c>
      <c r="D3054" s="4" t="s">
        <v>309</v>
      </c>
      <c r="E3054" s="4" t="s">
        <v>5721</v>
      </c>
      <c r="F3054" s="4" t="s">
        <v>9537</v>
      </c>
      <c r="G3054" s="4">
        <v>96410</v>
      </c>
      <c r="H3054" s="4" t="s">
        <v>9538</v>
      </c>
      <c r="I3054" s="4">
        <v>826</v>
      </c>
      <c r="J3054" s="4" t="s">
        <v>23</v>
      </c>
      <c r="K3054" s="4" t="s">
        <v>24</v>
      </c>
      <c r="L3054" s="4">
        <v>83532</v>
      </c>
      <c r="M3054" s="4">
        <v>1974</v>
      </c>
      <c r="N3054" s="4">
        <v>7.5</v>
      </c>
      <c r="O3054" s="4">
        <f ca="1">IFERROR(__xludf.DUMMYFUNCTION("IF(Cost_in_dollars!E3054=""USD"",Cost_in_dollars!B3054,Cost_in_dollars!B3054 * GOOGLEFINANCE(""CURRENCY:"" &amp; Cost_in_dollars!E3054 &amp; ""USD""))
"),83532)</f>
        <v>83532</v>
      </c>
      <c r="P3054" s="4">
        <f ca="1">IFERROR(__xludf.DUMMYFUNCTION("IF(Cost_in_dollars!E3054=""USD"",Cost_in_dollars!C3054,Cost_in_dollars!C3054 * GOOGLEFINANCE(""CURRENCY:"" &amp; Cost_in_dollars!E3054 &amp; ""USD""))
"),30859000)</f>
        <v>30859000</v>
      </c>
      <c r="Q3054" s="4">
        <f t="shared" ca="1" si="66"/>
        <v>30775468</v>
      </c>
      <c r="R3054" s="5" t="str">
        <f t="shared" si="67"/>
        <v>The Texas Chain Saw Massacre</v>
      </c>
      <c r="S3054" s="43" t="str">
        <f t="shared" si="71"/>
        <v>Horror</v>
      </c>
    </row>
    <row r="3055" spans="1:19" ht="15.75" customHeight="1" x14ac:dyDescent="0.25">
      <c r="A3055" s="6" t="s">
        <v>3762</v>
      </c>
      <c r="B3055" s="6">
        <v>262</v>
      </c>
      <c r="C3055" s="6">
        <v>62647540</v>
      </c>
      <c r="D3055" s="6" t="s">
        <v>406</v>
      </c>
      <c r="E3055" s="6" t="s">
        <v>2524</v>
      </c>
      <c r="F3055" s="6" t="s">
        <v>9539</v>
      </c>
      <c r="G3055" s="6">
        <v>143525</v>
      </c>
      <c r="H3055" s="6" t="s">
        <v>9540</v>
      </c>
      <c r="I3055" s="6">
        <v>657</v>
      </c>
      <c r="J3055" s="6" t="s">
        <v>23</v>
      </c>
      <c r="K3055" s="6" t="s">
        <v>176</v>
      </c>
      <c r="L3055" s="6">
        <v>70000000</v>
      </c>
      <c r="M3055" s="6">
        <v>2005</v>
      </c>
      <c r="N3055" s="6">
        <v>7.1</v>
      </c>
      <c r="O3055" s="4">
        <f ca="1">IFERROR(__xludf.DUMMYFUNCTION("IF(Cost_in_dollars!E3055=""USD"",Cost_in_dollars!B3055,Cost_in_dollars!B3055 * GOOGLEFINANCE(""CURRENCY:"" &amp; Cost_in_dollars!E3055 &amp; ""USD""))
"),75931800)</f>
        <v>75931800</v>
      </c>
      <c r="P3055" s="4">
        <f ca="1">IFERROR(__xludf.DUMMYFUNCTION("IF(Cost_in_dollars!E3055=""USD"",Cost_in_dollars!C3055,Cost_in_dollars!C3055 * GOOGLEFINANCE(""CURRENCY:"" &amp; Cost_in_dollars!E3055 &amp; ""USD""))
"),67956292.5396)</f>
        <v>67956292.5396</v>
      </c>
      <c r="Q3055" s="6">
        <f t="shared" ca="1" si="66"/>
        <v>-7975507.4604000002</v>
      </c>
      <c r="R3055" s="7" t="str">
        <f t="shared" si="67"/>
        <v>Jarhead</v>
      </c>
      <c r="S3055" s="43" t="str">
        <f t="shared" si="71"/>
        <v>Action</v>
      </c>
    </row>
    <row r="3056" spans="1:19" ht="15.75" customHeight="1" x14ac:dyDescent="0.25">
      <c r="A3056" s="4" t="s">
        <v>899</v>
      </c>
      <c r="B3056" s="4">
        <v>136</v>
      </c>
      <c r="C3056" s="4">
        <v>3151130</v>
      </c>
      <c r="D3056" s="4" t="s">
        <v>140</v>
      </c>
      <c r="E3056" s="4" t="s">
        <v>9541</v>
      </c>
      <c r="F3056" s="4" t="s">
        <v>9542</v>
      </c>
      <c r="G3056" s="4">
        <v>181749</v>
      </c>
      <c r="H3056" s="4" t="s">
        <v>9543</v>
      </c>
      <c r="I3056" s="4">
        <v>615</v>
      </c>
      <c r="J3056" s="4" t="s">
        <v>23</v>
      </c>
      <c r="K3056" s="4" t="s">
        <v>24</v>
      </c>
      <c r="L3056" s="4">
        <v>230000</v>
      </c>
      <c r="M3056" s="4">
        <v>1994</v>
      </c>
      <c r="N3056" s="4">
        <v>7.8</v>
      </c>
      <c r="O3056" s="4">
        <f ca="1">IFERROR(__xludf.DUMMYFUNCTION("IF(Cost_in_dollars!E3056=""USD"",Cost_in_dollars!B3056,Cost_in_dollars!B3056 * GOOGLEFINANCE(""CURRENCY:"" &amp; Cost_in_dollars!E3056 &amp; ""USD""))
"),230000)</f>
        <v>230000</v>
      </c>
      <c r="P3056" s="4">
        <f ca="1">IFERROR(__xludf.DUMMYFUNCTION("IF(Cost_in_dollars!E3056=""USD"",Cost_in_dollars!C3056,Cost_in_dollars!C3056 * GOOGLEFINANCE(""CURRENCY:"" &amp; Cost_in_dollars!E3056 &amp; ""USD""))
"),3151130)</f>
        <v>3151130</v>
      </c>
      <c r="Q3056" s="4">
        <f t="shared" ca="1" si="66"/>
        <v>2921130</v>
      </c>
      <c r="R3056" s="5" t="str">
        <f t="shared" si="67"/>
        <v>Clerks</v>
      </c>
      <c r="S3056" s="43" t="str">
        <f t="shared" si="71"/>
        <v>Comedy</v>
      </c>
    </row>
    <row r="3057" spans="1:19" ht="15.75" customHeight="1" x14ac:dyDescent="0.25">
      <c r="A3057" s="6" t="s">
        <v>9544</v>
      </c>
      <c r="B3057" s="6">
        <v>351</v>
      </c>
      <c r="C3057" s="6">
        <v>38317535</v>
      </c>
      <c r="D3057" s="6" t="s">
        <v>235</v>
      </c>
      <c r="E3057" s="6" t="s">
        <v>7359</v>
      </c>
      <c r="F3057" s="6" t="s">
        <v>9545</v>
      </c>
      <c r="G3057" s="6">
        <v>73249</v>
      </c>
      <c r="H3057" s="6" t="s">
        <v>9546</v>
      </c>
      <c r="I3057" s="6">
        <v>212</v>
      </c>
      <c r="J3057" s="6" t="s">
        <v>23</v>
      </c>
      <c r="K3057" s="6" t="s">
        <v>133</v>
      </c>
      <c r="L3057" s="6">
        <v>11000000</v>
      </c>
      <c r="M3057" s="6">
        <v>2015</v>
      </c>
      <c r="N3057" s="6">
        <v>7.5</v>
      </c>
      <c r="O3057" s="4">
        <f ca="1">IFERROR(__xludf.DUMMYFUNCTION("IF(Cost_in_dollars!E3057=""USD"",Cost_in_dollars!B3057,Cost_in_dollars!B3057 * GOOGLEFINANCE(""CURRENCY:"" &amp; Cost_in_dollars!E3057 &amp; ""USD""))
"),14139399.9999999)</f>
        <v>14139399.999999899</v>
      </c>
      <c r="P3057" s="4">
        <f ca="1">IFERROR(__xludf.DUMMYFUNCTION("IF(Cost_in_dollars!E3057=""USD"",Cost_in_dollars!C3057,Cost_in_dollars!C3057 * GOOGLEFINANCE(""CURRENCY:"" &amp; Cost_in_dollars!E3057 &amp; ""USD""))
"),49253359.4889999)</f>
        <v>49253359.488999903</v>
      </c>
      <c r="Q3057" s="6">
        <f t="shared" ca="1" si="66"/>
        <v>35113959.489000008</v>
      </c>
      <c r="R3057" s="7" t="str">
        <f t="shared" si="67"/>
        <v>Brooklyn</v>
      </c>
      <c r="S3057" s="43" t="str">
        <f t="shared" si="71"/>
        <v>Drama</v>
      </c>
    </row>
    <row r="3058" spans="1:19" ht="15.75" customHeight="1" x14ac:dyDescent="0.25">
      <c r="A3058" s="4" t="s">
        <v>416</v>
      </c>
      <c r="B3058" s="4">
        <v>78</v>
      </c>
      <c r="C3058" s="4">
        <v>29500000</v>
      </c>
      <c r="D3058" s="4" t="s">
        <v>9547</v>
      </c>
      <c r="E3058" s="4" t="s">
        <v>4438</v>
      </c>
      <c r="F3058" s="4" t="s">
        <v>9548</v>
      </c>
      <c r="G3058" s="4">
        <v>25613</v>
      </c>
      <c r="H3058" s="4" t="s">
        <v>9549</v>
      </c>
      <c r="I3058" s="4">
        <v>121</v>
      </c>
      <c r="J3058" s="4" t="s">
        <v>23</v>
      </c>
      <c r="K3058" s="4" t="s">
        <v>24</v>
      </c>
      <c r="L3058" s="4">
        <v>10000000</v>
      </c>
      <c r="M3058" s="4">
        <v>1983</v>
      </c>
      <c r="N3058" s="4">
        <v>6.5</v>
      </c>
      <c r="O3058" s="4">
        <f ca="1">IFERROR(__xludf.DUMMYFUNCTION("IF(Cost_in_dollars!E3058=""USD"",Cost_in_dollars!B3058,Cost_in_dollars!B3058 * GOOGLEFINANCE(""CURRENCY:"" &amp; Cost_in_dollars!E3058 &amp; ""USD""))
"),10000000)</f>
        <v>10000000</v>
      </c>
      <c r="P3058" s="4">
        <f ca="1">IFERROR(__xludf.DUMMYFUNCTION("IF(Cost_in_dollars!E3058=""USD"",Cost_in_dollars!C3058,Cost_in_dollars!C3058 * GOOGLEFINANCE(""CURRENCY:"" &amp; Cost_in_dollars!E3058 &amp; ""USD""))
"),29500000)</f>
        <v>29500000</v>
      </c>
      <c r="Q3058" s="4">
        <f t="shared" ca="1" si="66"/>
        <v>19500000</v>
      </c>
      <c r="R3058" s="5" t="str">
        <f t="shared" si="67"/>
        <v>Twilight Zone: The Movie</v>
      </c>
      <c r="S3058" s="43" t="str">
        <f t="shared" si="71"/>
        <v>Fantasy</v>
      </c>
    </row>
    <row r="3059" spans="1:19" ht="15.75" customHeight="1" x14ac:dyDescent="0.25">
      <c r="A3059" s="6" t="s">
        <v>6019</v>
      </c>
      <c r="B3059" s="6">
        <v>88</v>
      </c>
      <c r="C3059" s="6">
        <v>56631572</v>
      </c>
      <c r="D3059" s="6" t="s">
        <v>88</v>
      </c>
      <c r="E3059" s="6" t="s">
        <v>7933</v>
      </c>
      <c r="F3059" s="6" t="s">
        <v>9550</v>
      </c>
      <c r="G3059" s="6">
        <v>123390</v>
      </c>
      <c r="H3059" s="6" t="s">
        <v>9551</v>
      </c>
      <c r="I3059" s="6">
        <v>248</v>
      </c>
      <c r="J3059" s="6" t="s">
        <v>23</v>
      </c>
      <c r="K3059" s="6" t="s">
        <v>24</v>
      </c>
      <c r="L3059" s="6">
        <v>12000000</v>
      </c>
      <c r="M3059" s="6">
        <v>1995</v>
      </c>
      <c r="N3059" s="6">
        <v>6.8</v>
      </c>
      <c r="O3059" s="4">
        <f ca="1">IFERROR(__xludf.DUMMYFUNCTION("IF(Cost_in_dollars!E3059=""USD"",Cost_in_dollars!B3059,Cost_in_dollars!B3059 * GOOGLEFINANCE(""CURRENCY:"" &amp; Cost_in_dollars!E3059 &amp; ""USD""))
"),12000000)</f>
        <v>12000000</v>
      </c>
      <c r="P3059" s="4">
        <f ca="1">IFERROR(__xludf.DUMMYFUNCTION("IF(Cost_in_dollars!E3059=""USD"",Cost_in_dollars!C3059,Cost_in_dollars!C3059 * GOOGLEFINANCE(""CURRENCY:"" &amp; Cost_in_dollars!E3059 &amp; ""USD""))
"),56631572)</f>
        <v>56631572</v>
      </c>
      <c r="Q3059" s="6">
        <f t="shared" ca="1" si="66"/>
        <v>44631572</v>
      </c>
      <c r="R3059" s="7" t="str">
        <f t="shared" si="67"/>
        <v>Clueless</v>
      </c>
      <c r="S3059" s="43" t="str">
        <f t="shared" si="71"/>
        <v>Comedy</v>
      </c>
    </row>
    <row r="3060" spans="1:19" ht="15.75" customHeight="1" x14ac:dyDescent="0.25">
      <c r="A3060" s="4" t="s">
        <v>8266</v>
      </c>
      <c r="B3060" s="4">
        <v>172</v>
      </c>
      <c r="C3060" s="4">
        <v>5023275</v>
      </c>
      <c r="D3060" s="4" t="s">
        <v>9552</v>
      </c>
      <c r="E3060" s="4" t="s">
        <v>9553</v>
      </c>
      <c r="F3060" s="4" t="s">
        <v>9554</v>
      </c>
      <c r="G3060" s="4">
        <v>34194</v>
      </c>
      <c r="H3060" s="4" t="s">
        <v>9555</v>
      </c>
      <c r="I3060" s="4">
        <v>199</v>
      </c>
      <c r="J3060" s="4" t="s">
        <v>23</v>
      </c>
      <c r="K3060" s="4" t="s">
        <v>611</v>
      </c>
      <c r="L3060" s="4">
        <v>15000000</v>
      </c>
      <c r="M3060" s="4">
        <v>2005</v>
      </c>
      <c r="N3060" s="4">
        <v>7.5</v>
      </c>
      <c r="O3060" s="4">
        <f ca="1">IFERROR(__xludf.DUMMYFUNCTION("IF(Cost_in_dollars!E3060=""USD"",Cost_in_dollars!B3060,Cost_in_dollars!B3060 * GOOGLEFINANCE(""CURRENCY:"" &amp; Cost_in_dollars!E3060 &amp; ""USD""))
"),16271100)</f>
        <v>16271100</v>
      </c>
      <c r="P3060" s="4">
        <f ca="1">IFERROR(__xludf.DUMMYFUNCTION("IF(Cost_in_dollars!E3060=""USD"",Cost_in_dollars!C3060,Cost_in_dollars!C3060 * GOOGLEFINANCE(""CURRENCY:"" &amp; Cost_in_dollars!E3060 &amp; ""USD""))
"),5448947.3235)</f>
        <v>5448947.3234999999</v>
      </c>
      <c r="Q3060" s="4">
        <f t="shared" ca="1" si="66"/>
        <v>-10822152.6765</v>
      </c>
      <c r="R3060" s="5" t="str">
        <f t="shared" si="67"/>
        <v>Three Burials</v>
      </c>
      <c r="S3060" s="43" t="str">
        <f t="shared" si="71"/>
        <v>Adventure</v>
      </c>
    </row>
    <row r="3061" spans="1:19" ht="15.75" customHeight="1" x14ac:dyDescent="0.25">
      <c r="A3061" s="6" t="s">
        <v>9556</v>
      </c>
      <c r="B3061" s="6">
        <v>214</v>
      </c>
      <c r="C3061" s="6">
        <v>125014030</v>
      </c>
      <c r="D3061" s="6" t="s">
        <v>235</v>
      </c>
      <c r="E3061" s="6" t="s">
        <v>179</v>
      </c>
      <c r="F3061" s="6" t="s">
        <v>9557</v>
      </c>
      <c r="G3061" s="6">
        <v>145852</v>
      </c>
      <c r="H3061" s="6" t="s">
        <v>9558</v>
      </c>
      <c r="I3061" s="6">
        <v>164</v>
      </c>
      <c r="J3061" s="6" t="s">
        <v>23</v>
      </c>
      <c r="K3061" s="6" t="s">
        <v>24</v>
      </c>
      <c r="L3061" s="6">
        <v>30000000</v>
      </c>
      <c r="M3061" s="6">
        <v>2012</v>
      </c>
      <c r="N3061" s="6">
        <v>6.8</v>
      </c>
      <c r="O3061" s="4">
        <f ca="1">IFERROR(__xludf.DUMMYFUNCTION("IF(Cost_in_dollars!E3061=""USD"",Cost_in_dollars!B3061,Cost_in_dollars!B3061 * GOOGLEFINANCE(""CURRENCY:"" &amp; Cost_in_dollars!E3061 &amp; ""USD""))
"),30000000)</f>
        <v>30000000</v>
      </c>
      <c r="P3061" s="4">
        <f ca="1">IFERROR(__xludf.DUMMYFUNCTION("IF(Cost_in_dollars!E3061=""USD"",Cost_in_dollars!C3061,Cost_in_dollars!C3061 * GOOGLEFINANCE(""CURRENCY:"" &amp; Cost_in_dollars!E3061 &amp; ""USD""))
"),125014030)</f>
        <v>125014030</v>
      </c>
      <c r="Q3061" s="6">
        <f t="shared" ca="1" si="66"/>
        <v>95014030</v>
      </c>
      <c r="R3061" s="7" t="str">
        <f t="shared" si="67"/>
        <v>The Vow</v>
      </c>
      <c r="S3061" s="43" t="str">
        <f t="shared" si="71"/>
        <v>Drama</v>
      </c>
    </row>
    <row r="3062" spans="1:19" ht="15.75" customHeight="1" x14ac:dyDescent="0.25">
      <c r="A3062" s="4" t="s">
        <v>4648</v>
      </c>
      <c r="B3062" s="4">
        <v>63</v>
      </c>
      <c r="C3062" s="4">
        <v>115862</v>
      </c>
      <c r="D3062" s="4" t="s">
        <v>235</v>
      </c>
      <c r="E3062" s="4" t="s">
        <v>4322</v>
      </c>
      <c r="F3062" s="4" t="s">
        <v>9559</v>
      </c>
      <c r="G3062" s="4">
        <v>7394</v>
      </c>
      <c r="H3062" s="4" t="s">
        <v>9560</v>
      </c>
      <c r="I3062" s="4">
        <v>50</v>
      </c>
      <c r="J3062" s="4" t="s">
        <v>23</v>
      </c>
      <c r="K3062" s="4" t="s">
        <v>24</v>
      </c>
      <c r="L3062" s="4">
        <v>6000000</v>
      </c>
      <c r="M3062" s="4">
        <v>2009</v>
      </c>
      <c r="N3062" s="4">
        <v>6.7</v>
      </c>
      <c r="O3062" s="4">
        <f ca="1">IFERROR(__xludf.DUMMYFUNCTION("IF(Cost_in_dollars!E3062=""USD"",Cost_in_dollars!B3062,Cost_in_dollars!B3062 * GOOGLEFINANCE(""CURRENCY:"" &amp; Cost_in_dollars!E3062 &amp; ""USD""))
"),6000000)</f>
        <v>6000000</v>
      </c>
      <c r="P3062" s="4">
        <f ca="1">IFERROR(__xludf.DUMMYFUNCTION("IF(Cost_in_dollars!E3062=""USD"",Cost_in_dollars!C3062,Cost_in_dollars!C3062 * GOOGLEFINANCE(""CURRENCY:"" &amp; Cost_in_dollars!E3062 &amp; ""USD""))
"),115862)</f>
        <v>115862</v>
      </c>
      <c r="Q3062" s="4">
        <f t="shared" ref="Q3062:Q3316" ca="1" si="72">P3062-O3062</f>
        <v>-5884138</v>
      </c>
      <c r="R3062" s="5" t="str">
        <f t="shared" ref="R3062:R3316" si="73">LEFT(F3062,LEN(F3062)-2)</f>
        <v>The Greatest</v>
      </c>
      <c r="S3062" s="43" t="str">
        <f t="shared" si="71"/>
        <v>Drama</v>
      </c>
    </row>
    <row r="3063" spans="1:19" ht="15.75" customHeight="1" x14ac:dyDescent="0.25">
      <c r="A3063" s="6" t="s">
        <v>726</v>
      </c>
      <c r="B3063" s="6">
        <v>103</v>
      </c>
      <c r="C3063" s="6">
        <v>85570368</v>
      </c>
      <c r="D3063" s="6" t="s">
        <v>3324</v>
      </c>
      <c r="E3063" s="6" t="s">
        <v>456</v>
      </c>
      <c r="F3063" s="6" t="s">
        <v>9561</v>
      </c>
      <c r="G3063" s="6">
        <v>44885</v>
      </c>
      <c r="H3063" s="6" t="s">
        <v>9562</v>
      </c>
      <c r="I3063" s="6">
        <v>107</v>
      </c>
      <c r="J3063" s="6" t="s">
        <v>23</v>
      </c>
      <c r="K3063" s="6" t="s">
        <v>24</v>
      </c>
      <c r="L3063" s="6">
        <v>38000000</v>
      </c>
      <c r="M3063" s="6">
        <v>2002</v>
      </c>
      <c r="N3063" s="6">
        <v>5.0999999999999996</v>
      </c>
      <c r="O3063" s="4">
        <f ca="1">IFERROR(__xludf.DUMMYFUNCTION("IF(Cost_in_dollars!E3063=""USD"",Cost_in_dollars!B3063,Cost_in_dollars!B3063 * GOOGLEFINANCE(""CURRENCY:"" &amp; Cost_in_dollars!E3063 &amp; ""USD""))
"),38000000)</f>
        <v>38000000</v>
      </c>
      <c r="P3063" s="4">
        <f ca="1">IFERROR(__xludf.DUMMYFUNCTION("IF(Cost_in_dollars!E3063=""USD"",Cost_in_dollars!C3063,Cost_in_dollars!C3063 * GOOGLEFINANCE(""CURRENCY:"" &amp; Cost_in_dollars!E3063 &amp; ""USD""))
"),85570368)</f>
        <v>85570368</v>
      </c>
      <c r="Q3063" s="6">
        <f t="shared" ca="1" si="72"/>
        <v>47570368</v>
      </c>
      <c r="R3063" s="7" t="str">
        <f t="shared" si="73"/>
        <v>Spy Kids 2: Island of Lost Dreams</v>
      </c>
      <c r="S3063" s="43" t="str">
        <f t="shared" si="71"/>
        <v>Action</v>
      </c>
    </row>
    <row r="3064" spans="1:19" ht="15.75" customHeight="1" x14ac:dyDescent="0.25">
      <c r="A3064" s="4" t="s">
        <v>9563</v>
      </c>
      <c r="B3064" s="4">
        <v>4</v>
      </c>
      <c r="C3064" s="4">
        <v>2024854</v>
      </c>
      <c r="D3064" s="4" t="s">
        <v>3787</v>
      </c>
      <c r="E3064" s="4" t="s">
        <v>9564</v>
      </c>
      <c r="F3064" s="4" t="s">
        <v>9565</v>
      </c>
      <c r="G3064" s="4">
        <v>564</v>
      </c>
      <c r="H3064" s="4" t="s">
        <v>9566</v>
      </c>
      <c r="I3064" s="4">
        <v>21</v>
      </c>
      <c r="J3064" s="4" t="s">
        <v>23</v>
      </c>
      <c r="K3064" s="4" t="s">
        <v>24</v>
      </c>
      <c r="L3064" s="4">
        <v>6500000</v>
      </c>
      <c r="M3064" s="4">
        <v>2005</v>
      </c>
      <c r="N3064" s="4">
        <v>6.6</v>
      </c>
      <c r="O3064" s="4">
        <f ca="1">IFERROR(__xludf.DUMMYFUNCTION("IF(Cost_in_dollars!E3064=""USD"",Cost_in_dollars!B3064,Cost_in_dollars!B3064 * GOOGLEFINANCE(""CURRENCY:"" &amp; Cost_in_dollars!E3064 &amp; ""USD""))
"),6500000)</f>
        <v>6500000</v>
      </c>
      <c r="P3064" s="4">
        <f ca="1">IFERROR(__xludf.DUMMYFUNCTION("IF(Cost_in_dollars!E3064=""USD"",Cost_in_dollars!C3064,Cost_in_dollars!C3064 * GOOGLEFINANCE(""CURRENCY:"" &amp; Cost_in_dollars!E3064 &amp; ""USD""))
"),2024854)</f>
        <v>2024854</v>
      </c>
      <c r="Q3064" s="4">
        <f t="shared" ca="1" si="72"/>
        <v>-4475146</v>
      </c>
      <c r="R3064" s="5" t="str">
        <f t="shared" si="73"/>
        <v>The Work and the Glory II: American Zion</v>
      </c>
      <c r="S3064" s="43" t="str">
        <f t="shared" si="71"/>
        <v>Drama</v>
      </c>
    </row>
    <row r="3065" spans="1:19" ht="15.75" customHeight="1" x14ac:dyDescent="0.25">
      <c r="A3065" s="6" t="s">
        <v>3854</v>
      </c>
      <c r="B3065" s="6">
        <v>77</v>
      </c>
      <c r="C3065" s="6">
        <v>4505922</v>
      </c>
      <c r="D3065" s="6" t="s">
        <v>457</v>
      </c>
      <c r="E3065" s="6" t="s">
        <v>508</v>
      </c>
      <c r="F3065" s="6" t="s">
        <v>9567</v>
      </c>
      <c r="G3065" s="6">
        <v>63951</v>
      </c>
      <c r="H3065" s="6" t="s">
        <v>9568</v>
      </c>
      <c r="I3065" s="6">
        <v>252</v>
      </c>
      <c r="J3065" s="6" t="s">
        <v>23</v>
      </c>
      <c r="K3065" s="6" t="s">
        <v>24</v>
      </c>
      <c r="L3065" s="6">
        <v>200000</v>
      </c>
      <c r="M3065" s="6">
        <v>1996</v>
      </c>
      <c r="N3065" s="6">
        <v>7.4</v>
      </c>
      <c r="O3065" s="4">
        <f ca="1">IFERROR(__xludf.DUMMYFUNCTION("IF(Cost_in_dollars!E3065=""USD"",Cost_in_dollars!B3065,Cost_in_dollars!B3065 * GOOGLEFINANCE(""CURRENCY:"" &amp; Cost_in_dollars!E3065 &amp; ""USD""))
"),200000)</f>
        <v>200000</v>
      </c>
      <c r="P3065" s="4">
        <f ca="1">IFERROR(__xludf.DUMMYFUNCTION("IF(Cost_in_dollars!E3065=""USD"",Cost_in_dollars!C3065,Cost_in_dollars!C3065 * GOOGLEFINANCE(""CURRENCY:"" &amp; Cost_in_dollars!E3065 &amp; ""USD""))
"),4505922)</f>
        <v>4505922</v>
      </c>
      <c r="Q3065" s="6">
        <f t="shared" ca="1" si="72"/>
        <v>4305922</v>
      </c>
      <c r="R3065" s="7" t="str">
        <f t="shared" si="73"/>
        <v>Swingers</v>
      </c>
      <c r="S3065" s="43" t="str">
        <f t="shared" si="71"/>
        <v>Comedy</v>
      </c>
    </row>
    <row r="3066" spans="1:19" ht="15.75" customHeight="1" x14ac:dyDescent="0.25">
      <c r="A3066" s="4" t="s">
        <v>9569</v>
      </c>
      <c r="B3066" s="4">
        <v>216</v>
      </c>
      <c r="C3066" s="4">
        <v>11434867</v>
      </c>
      <c r="D3066" s="4" t="s">
        <v>1028</v>
      </c>
      <c r="E3066" s="4" t="s">
        <v>881</v>
      </c>
      <c r="F3066" s="4" t="s">
        <v>9570</v>
      </c>
      <c r="G3066" s="4">
        <v>59637</v>
      </c>
      <c r="H3066" s="4" t="s">
        <v>9571</v>
      </c>
      <c r="I3066" s="4">
        <v>130</v>
      </c>
      <c r="J3066" s="4" t="s">
        <v>23</v>
      </c>
      <c r="K3066" s="4" t="s">
        <v>24</v>
      </c>
      <c r="L3066" s="4">
        <v>6000000</v>
      </c>
      <c r="M3066" s="4">
        <v>2012</v>
      </c>
      <c r="N3066" s="4">
        <v>7.1</v>
      </c>
      <c r="O3066" s="4">
        <f ca="1">IFERROR(__xludf.DUMMYFUNCTION("IF(Cost_in_dollars!E3066=""USD"",Cost_in_dollars!B3066,Cost_in_dollars!B3066 * GOOGLEFINANCE(""CURRENCY:"" &amp; Cost_in_dollars!E3066 &amp; ""USD""))
"),6000000)</f>
        <v>6000000</v>
      </c>
      <c r="P3066" s="4">
        <f ca="1">IFERROR(__xludf.DUMMYFUNCTION("IF(Cost_in_dollars!E3066=""USD"",Cost_in_dollars!C3066,Cost_in_dollars!C3066 * GOOGLEFINANCE(""CURRENCY:"" &amp; Cost_in_dollars!E3066 &amp; ""USD""))
"),11434867)</f>
        <v>11434867</v>
      </c>
      <c r="Q3066" s="4">
        <f t="shared" ca="1" si="72"/>
        <v>5434867</v>
      </c>
      <c r="R3066" s="5" t="str">
        <f t="shared" si="73"/>
        <v>The Words</v>
      </c>
      <c r="S3066" s="43" t="str">
        <f t="shared" si="71"/>
        <v>Drama</v>
      </c>
    </row>
    <row r="3067" spans="1:19" ht="15.75" customHeight="1" x14ac:dyDescent="0.25">
      <c r="A3067" s="6" t="s">
        <v>9572</v>
      </c>
      <c r="B3067" s="6">
        <v>73</v>
      </c>
      <c r="C3067" s="6">
        <v>6173485</v>
      </c>
      <c r="D3067" s="6" t="s">
        <v>362</v>
      </c>
      <c r="E3067" s="6" t="s">
        <v>9573</v>
      </c>
      <c r="F3067" s="6" t="s">
        <v>9574</v>
      </c>
      <c r="G3067" s="6">
        <v>10672</v>
      </c>
      <c r="H3067" s="6" t="s">
        <v>9575</v>
      </c>
      <c r="I3067" s="6">
        <v>84</v>
      </c>
      <c r="J3067" s="6" t="s">
        <v>23</v>
      </c>
      <c r="K3067" s="6" t="s">
        <v>176</v>
      </c>
      <c r="L3067" s="6">
        <v>7000000</v>
      </c>
      <c r="M3067" s="6">
        <v>2001</v>
      </c>
      <c r="N3067" s="6">
        <v>7.7</v>
      </c>
      <c r="O3067" s="4">
        <f ca="1">IFERROR(__xludf.DUMMYFUNCTION("IF(Cost_in_dollars!E3067=""USD"",Cost_in_dollars!B3067,Cost_in_dollars!B3067 * GOOGLEFINANCE(""CURRENCY:"" &amp; Cost_in_dollars!E3067 &amp; ""USD""))
"),7593180)</f>
        <v>7593180</v>
      </c>
      <c r="P3067" s="4">
        <f ca="1">IFERROR(__xludf.DUMMYFUNCTION("IF(Cost_in_dollars!E3067=""USD"",Cost_in_dollars!C3067,Cost_in_dollars!C3067 * GOOGLEFINANCE(""CURRENCY:"" &amp; Cost_in_dollars!E3067 &amp; ""USD""))
"),6696626.1189)</f>
        <v>6696626.1189000001</v>
      </c>
      <c r="Q3067" s="6">
        <f t="shared" ca="1" si="72"/>
        <v>-896553.88109999988</v>
      </c>
      <c r="R3067" s="7" t="str">
        <f t="shared" si="73"/>
        <v>Nowhere in Africa</v>
      </c>
      <c r="S3067" s="43" t="str">
        <f t="shared" si="71"/>
        <v>Biography</v>
      </c>
    </row>
    <row r="3068" spans="1:19" ht="15.75" customHeight="1" x14ac:dyDescent="0.25">
      <c r="A3068" s="4" t="s">
        <v>9509</v>
      </c>
      <c r="B3068" s="4">
        <v>94</v>
      </c>
      <c r="C3068" s="4">
        <v>156645693</v>
      </c>
      <c r="D3068" s="4" t="s">
        <v>1868</v>
      </c>
      <c r="E3068" s="4" t="s">
        <v>7788</v>
      </c>
      <c r="F3068" s="4" t="s">
        <v>9576</v>
      </c>
      <c r="G3068" s="4">
        <v>55101</v>
      </c>
      <c r="H3068" s="4" t="s">
        <v>9577</v>
      </c>
      <c r="I3068" s="4">
        <v>201</v>
      </c>
      <c r="J3068" s="4" t="s">
        <v>23</v>
      </c>
      <c r="K3068" s="4" t="s">
        <v>24</v>
      </c>
      <c r="L3068" s="4">
        <v>14000000</v>
      </c>
      <c r="M3068" s="4">
        <v>1987</v>
      </c>
      <c r="N3068" s="4">
        <v>6.9</v>
      </c>
      <c r="O3068" s="4">
        <f ca="1">IFERROR(__xludf.DUMMYFUNCTION("IF(Cost_in_dollars!E3068=""USD"",Cost_in_dollars!B3068,Cost_in_dollars!B3068 * GOOGLEFINANCE(""CURRENCY:"" &amp; Cost_in_dollars!E3068 &amp; ""USD""))
"),14000000)</f>
        <v>14000000</v>
      </c>
      <c r="P3068" s="4">
        <f ca="1">IFERROR(__xludf.DUMMYFUNCTION("IF(Cost_in_dollars!E3068=""USD"",Cost_in_dollars!C3068,Cost_in_dollars!C3068 * GOOGLEFINANCE(""CURRENCY:"" &amp; Cost_in_dollars!E3068 &amp; ""USD""))
"),156645693)</f>
        <v>156645693</v>
      </c>
      <c r="Q3068" s="4">
        <f t="shared" ca="1" si="72"/>
        <v>142645693</v>
      </c>
      <c r="R3068" s="5" t="str">
        <f t="shared" si="73"/>
        <v>Fatal Attraction</v>
      </c>
      <c r="S3068" s="43" t="str">
        <f t="shared" si="71"/>
        <v>Drama</v>
      </c>
    </row>
    <row r="3069" spans="1:19" ht="15.75" customHeight="1" x14ac:dyDescent="0.25">
      <c r="A3069" s="6" t="s">
        <v>9578</v>
      </c>
      <c r="B3069" s="6">
        <v>191</v>
      </c>
      <c r="C3069" s="6">
        <v>15417771</v>
      </c>
      <c r="D3069" s="6" t="s">
        <v>309</v>
      </c>
      <c r="E3069" s="6" t="s">
        <v>3468</v>
      </c>
      <c r="F3069" s="6" t="s">
        <v>9579</v>
      </c>
      <c r="G3069" s="6">
        <v>87494</v>
      </c>
      <c r="H3069" s="6" t="s">
        <v>9580</v>
      </c>
      <c r="I3069" s="6">
        <v>540</v>
      </c>
      <c r="J3069" s="6" t="s">
        <v>23</v>
      </c>
      <c r="K3069" s="6" t="s">
        <v>24</v>
      </c>
      <c r="L3069" s="6">
        <v>12600000</v>
      </c>
      <c r="M3069" s="6">
        <v>2003</v>
      </c>
      <c r="N3069" s="6">
        <v>6.1</v>
      </c>
      <c r="O3069" s="4">
        <f ca="1">IFERROR(__xludf.DUMMYFUNCTION("IF(Cost_in_dollars!E3069=""USD"",Cost_in_dollars!B3069,Cost_in_dollars!B3069 * GOOGLEFINANCE(""CURRENCY:"" &amp; Cost_in_dollars!E3069 &amp; ""USD""))
"),12600000)</f>
        <v>12600000</v>
      </c>
      <c r="P3069" s="4">
        <f ca="1">IFERROR(__xludf.DUMMYFUNCTION("IF(Cost_in_dollars!E3069=""USD"",Cost_in_dollars!C3069,Cost_in_dollars!C3069 * GOOGLEFINANCE(""CURRENCY:"" &amp; Cost_in_dollars!E3069 &amp; ""USD""))
"),15417771)</f>
        <v>15417771</v>
      </c>
      <c r="Q3069" s="6">
        <f t="shared" ca="1" si="72"/>
        <v>2817771</v>
      </c>
      <c r="R3069" s="7" t="str">
        <f t="shared" si="73"/>
        <v>Wrong Turn</v>
      </c>
      <c r="S3069" s="43" t="str">
        <f t="shared" si="71"/>
        <v>Horror</v>
      </c>
    </row>
    <row r="3070" spans="1:19" ht="15.75" customHeight="1" x14ac:dyDescent="0.25">
      <c r="A3070" s="4" t="s">
        <v>8896</v>
      </c>
      <c r="B3070" s="4">
        <v>4</v>
      </c>
      <c r="C3070" s="4">
        <v>163591</v>
      </c>
      <c r="D3070" s="4" t="s">
        <v>140</v>
      </c>
      <c r="E3070" s="4" t="s">
        <v>9541</v>
      </c>
      <c r="F3070" s="4" t="s">
        <v>9581</v>
      </c>
      <c r="G3070" s="4">
        <v>912</v>
      </c>
      <c r="H3070" s="4" t="s">
        <v>9582</v>
      </c>
      <c r="I3070" s="4">
        <v>17</v>
      </c>
      <c r="J3070" s="4" t="s">
        <v>23</v>
      </c>
      <c r="K3070" s="4" t="s">
        <v>1491</v>
      </c>
      <c r="L3070" s="4">
        <v>13400000</v>
      </c>
      <c r="M3070" s="4">
        <v>2010</v>
      </c>
      <c r="N3070" s="4">
        <v>3.6</v>
      </c>
      <c r="O3070" s="4">
        <f ca="1">IFERROR(__xludf.DUMMYFUNCTION("IF(Cost_in_dollars!E3070=""USD"",Cost_in_dollars!B3070,Cost_in_dollars!B3070 * GOOGLEFINANCE(""CURRENCY:"" &amp; Cost_in_dollars!E3070 &amp; ""USD""))
"),9699.8178)</f>
        <v>9699.8178000000007</v>
      </c>
      <c r="P3070" s="4">
        <f ca="1">IFERROR(__xludf.DUMMYFUNCTION("IF(Cost_in_dollars!E3070=""USD"",Cost_in_dollars!C3070,Cost_in_dollars!C3070 * GOOGLEFINANCE(""CURRENCY:"" &amp; Cost_in_dollars!E3070 &amp; ""USD""))
"),118.418126397)</f>
        <v>118.41812639699999</v>
      </c>
      <c r="Q3070" s="4">
        <f t="shared" ca="1" si="72"/>
        <v>-9581.3996736030003</v>
      </c>
      <c r="R3070" s="5" t="str">
        <f t="shared" si="73"/>
        <v>The Last Godfather</v>
      </c>
      <c r="S3070" s="43" t="str">
        <f t="shared" si="71"/>
        <v>Comedy</v>
      </c>
    </row>
    <row r="3071" spans="1:19" ht="15.75" customHeight="1" x14ac:dyDescent="0.25">
      <c r="A3071" s="6" t="s">
        <v>690</v>
      </c>
      <c r="B3071" s="6">
        <v>228</v>
      </c>
      <c r="C3071" s="6">
        <v>40687294</v>
      </c>
      <c r="D3071" s="6" t="s">
        <v>613</v>
      </c>
      <c r="E3071" s="6" t="s">
        <v>4779</v>
      </c>
      <c r="F3071" s="6" t="s">
        <v>9583</v>
      </c>
      <c r="G3071" s="6">
        <v>107772</v>
      </c>
      <c r="H3071" s="6" t="s">
        <v>9584</v>
      </c>
      <c r="I3071" s="6">
        <v>398</v>
      </c>
      <c r="J3071" s="6" t="s">
        <v>23</v>
      </c>
      <c r="K3071" s="6" t="s">
        <v>627</v>
      </c>
      <c r="L3071" s="6">
        <v>35000000</v>
      </c>
      <c r="M3071" s="6">
        <v>2008</v>
      </c>
      <c r="N3071" s="6">
        <v>5.4</v>
      </c>
      <c r="O3071" s="4">
        <f ca="1">IFERROR(__xludf.DUMMYFUNCTION("IF(Cost_in_dollars!E3071=""USD"",Cost_in_dollars!B3071,Cost_in_dollars!B3071 * GOOGLEFINANCE(""CURRENCY:"" &amp; Cost_in_dollars!E3071 &amp; ""USD""))
"),25319175)</f>
        <v>25319175</v>
      </c>
      <c r="P3071" s="4">
        <f ca="1">IFERROR(__xludf.DUMMYFUNCTION("IF(Cost_in_dollars!E3071=""USD"",Cost_in_dollars!C3071,Cost_in_dollars!C3071 * GOOGLEFINANCE(""CURRENCY:"" &amp; Cost_in_dollars!E3071 &amp; ""USD""))
"),29433391.91607)</f>
        <v>29433391.916069999</v>
      </c>
      <c r="Q3071" s="6">
        <f t="shared" ca="1" si="72"/>
        <v>4114216.9160699993</v>
      </c>
      <c r="R3071" s="7" t="str">
        <f t="shared" si="73"/>
        <v>Max Payne</v>
      </c>
      <c r="S3071" s="43" t="str">
        <f t="shared" si="71"/>
        <v>Action</v>
      </c>
    </row>
    <row r="3072" spans="1:19" ht="15.75" customHeight="1" x14ac:dyDescent="0.25">
      <c r="A3072" s="4" t="s">
        <v>4479</v>
      </c>
      <c r="B3072" s="4">
        <v>187</v>
      </c>
      <c r="C3072" s="4">
        <v>112703470</v>
      </c>
      <c r="D3072" s="4" t="s">
        <v>162</v>
      </c>
      <c r="E3072" s="4" t="s">
        <v>1954</v>
      </c>
      <c r="F3072" s="4" t="s">
        <v>9585</v>
      </c>
      <c r="G3072" s="4">
        <v>69860</v>
      </c>
      <c r="H3072" s="4" t="s">
        <v>9586</v>
      </c>
      <c r="I3072" s="4">
        <v>214</v>
      </c>
      <c r="J3072" s="4" t="s">
        <v>23</v>
      </c>
      <c r="K3072" s="4" t="s">
        <v>24</v>
      </c>
      <c r="L3072" s="4">
        <v>85000000</v>
      </c>
      <c r="M3072" s="4">
        <v>2009</v>
      </c>
      <c r="N3072" s="4">
        <v>6.6</v>
      </c>
      <c r="O3072" s="4">
        <f ca="1">IFERROR(__xludf.DUMMYFUNCTION("IF(Cost_in_dollars!E3072=""USD"",Cost_in_dollars!B3072,Cost_in_dollars!B3072 * GOOGLEFINANCE(""CURRENCY:"" &amp; Cost_in_dollars!E3072 &amp; ""USD""))
"),85000000)</f>
        <v>85000000</v>
      </c>
      <c r="P3072" s="4">
        <f ca="1">IFERROR(__xludf.DUMMYFUNCTION("IF(Cost_in_dollars!E3072=""USD"",Cost_in_dollars!C3072,Cost_in_dollars!C3072 * GOOGLEFINANCE(""CURRENCY:"" &amp; Cost_in_dollars!E3072 &amp; ""USD""))
"),112703470)</f>
        <v>112703470</v>
      </c>
      <c r="Q3072" s="4">
        <f t="shared" ca="1" si="72"/>
        <v>27703470</v>
      </c>
      <c r="R3072" s="5" t="str">
        <f t="shared" si="73"/>
        <v>It's Complicated</v>
      </c>
      <c r="S3072" s="43" t="str">
        <f t="shared" si="71"/>
        <v>Comedy</v>
      </c>
    </row>
    <row r="3073" spans="1:19" ht="15.75" customHeight="1" x14ac:dyDescent="0.25">
      <c r="A3073" s="6" t="s">
        <v>1339</v>
      </c>
      <c r="B3073" s="6">
        <v>94</v>
      </c>
      <c r="C3073" s="6">
        <v>24788807</v>
      </c>
      <c r="D3073" s="6" t="s">
        <v>140</v>
      </c>
      <c r="E3073" s="6" t="s">
        <v>1627</v>
      </c>
      <c r="F3073" s="6" t="s">
        <v>9587</v>
      </c>
      <c r="G3073" s="6">
        <v>21245</v>
      </c>
      <c r="H3073" s="6" t="s">
        <v>9588</v>
      </c>
      <c r="I3073" s="6">
        <v>213</v>
      </c>
      <c r="J3073" s="6" t="s">
        <v>23</v>
      </c>
      <c r="K3073" s="6" t="s">
        <v>133</v>
      </c>
      <c r="L3073" s="6">
        <v>3000000</v>
      </c>
      <c r="M3073" s="6">
        <v>1998</v>
      </c>
      <c r="N3073" s="6">
        <v>7.4</v>
      </c>
      <c r="O3073" s="4">
        <f ca="1">IFERROR(__xludf.DUMMYFUNCTION("IF(Cost_in_dollars!E3073=""USD"",Cost_in_dollars!B3073,Cost_in_dollars!B3073 * GOOGLEFINANCE(""CURRENCY:"" &amp; Cost_in_dollars!E3073 &amp; ""USD""))
"),3856199.99999999)</f>
        <v>3856199.9999999902</v>
      </c>
      <c r="P3073" s="4">
        <f ca="1">IFERROR(__xludf.DUMMYFUNCTION("IF(Cost_in_dollars!E3073=""USD"",Cost_in_dollars!C3073,Cost_in_dollars!C3073 * GOOGLEFINANCE(""CURRENCY:"" &amp; Cost_in_dollars!E3073 &amp; ""USD""))
"),31863532.5177999)</f>
        <v>31863532.517799899</v>
      </c>
      <c r="Q3073" s="6">
        <f t="shared" ca="1" si="72"/>
        <v>28007332.51779991</v>
      </c>
      <c r="R3073" s="7" t="str">
        <f t="shared" si="73"/>
        <v>Waking Ned Devine</v>
      </c>
      <c r="S3073" s="43" t="str">
        <f t="shared" si="71"/>
        <v>Comedy</v>
      </c>
    </row>
    <row r="3074" spans="1:19" ht="15.75" customHeight="1" x14ac:dyDescent="0.25">
      <c r="A3074" s="4" t="s">
        <v>429</v>
      </c>
      <c r="B3074" s="4">
        <v>137</v>
      </c>
      <c r="C3074" s="4">
        <v>45356386</v>
      </c>
      <c r="D3074" s="4" t="s">
        <v>4180</v>
      </c>
      <c r="E3074" s="4" t="s">
        <v>7244</v>
      </c>
      <c r="F3074" s="4" t="s">
        <v>9589</v>
      </c>
      <c r="G3074" s="4">
        <v>71574</v>
      </c>
      <c r="H3074" s="4" t="s">
        <v>9590</v>
      </c>
      <c r="I3074" s="4">
        <v>244</v>
      </c>
      <c r="J3074" s="4" t="s">
        <v>1569</v>
      </c>
      <c r="K3074" s="4" t="s">
        <v>24</v>
      </c>
      <c r="L3074" s="4">
        <v>75000000</v>
      </c>
      <c r="M3074" s="4">
        <v>2005</v>
      </c>
      <c r="N3074" s="4">
        <v>5.9</v>
      </c>
      <c r="O3074" s="4">
        <f ca="1">IFERROR(__xludf.DUMMYFUNCTION("IF(Cost_in_dollars!E3074=""USD"",Cost_in_dollars!B3074,Cost_in_dollars!B3074 * GOOGLEFINANCE(""CURRENCY:"" &amp; Cost_in_dollars!E3074 &amp; ""USD""))
"),75000000)</f>
        <v>75000000</v>
      </c>
      <c r="P3074" s="4">
        <f ca="1">IFERROR(__xludf.DUMMYFUNCTION("IF(Cost_in_dollars!E3074=""USD"",Cost_in_dollars!C3074,Cost_in_dollars!C3074 * GOOGLEFINANCE(""CURRENCY:"" &amp; Cost_in_dollars!E3074 &amp; ""USD""))
"),45356386)</f>
        <v>45356386</v>
      </c>
      <c r="Q3074" s="4">
        <f t="shared" ca="1" si="72"/>
        <v>-29643614</v>
      </c>
      <c r="R3074" s="5" t="str">
        <f t="shared" si="73"/>
        <v>The Legend of Zorro</v>
      </c>
      <c r="S3074" s="43" t="str">
        <f t="shared" ref="S3074:S3137" si="74">IF(ISNUMBER(FIND("|", D3074)), LEFT(D3074, FIND("|", D3074) - 1), D3074)</f>
        <v>Action</v>
      </c>
    </row>
    <row r="3075" spans="1:19" ht="15.75" customHeight="1" x14ac:dyDescent="0.25">
      <c r="A3075" s="6" t="s">
        <v>9591</v>
      </c>
      <c r="B3075" s="6">
        <v>138</v>
      </c>
      <c r="C3075" s="6">
        <v>37300107</v>
      </c>
      <c r="D3075" s="6" t="s">
        <v>1854</v>
      </c>
      <c r="E3075" s="6" t="s">
        <v>7431</v>
      </c>
      <c r="F3075" s="6" t="s">
        <v>9592</v>
      </c>
      <c r="G3075" s="6">
        <v>29147</v>
      </c>
      <c r="H3075" s="6" t="s">
        <v>9593</v>
      </c>
      <c r="I3075" s="6">
        <v>115</v>
      </c>
      <c r="J3075" s="6" t="s">
        <v>23</v>
      </c>
      <c r="K3075" s="6" t="s">
        <v>24</v>
      </c>
      <c r="L3075" s="6">
        <v>16000000</v>
      </c>
      <c r="M3075" s="6">
        <v>2011</v>
      </c>
      <c r="N3075" s="6">
        <v>4.8</v>
      </c>
      <c r="O3075" s="4">
        <f ca="1">IFERROR(__xludf.DUMMYFUNCTION("IF(Cost_in_dollars!E3075=""USD"",Cost_in_dollars!B3075,Cost_in_dollars!B3075 * GOOGLEFINANCE(""CURRENCY:"" &amp; Cost_in_dollars!E3075 &amp; ""USD""))
"),16000000)</f>
        <v>16000000</v>
      </c>
      <c r="P3075" s="4">
        <f ca="1">IFERROR(__xludf.DUMMYFUNCTION("IF(Cost_in_dollars!E3075=""USD"",Cost_in_dollars!C3075,Cost_in_dollars!C3075 * GOOGLEFINANCE(""CURRENCY:"" &amp; Cost_in_dollars!E3075 &amp; ""USD""))
"),37300107)</f>
        <v>37300107</v>
      </c>
      <c r="Q3075" s="6">
        <f t="shared" ca="1" si="72"/>
        <v>21300107</v>
      </c>
      <c r="R3075" s="7" t="str">
        <f t="shared" si="73"/>
        <v>The Roommate</v>
      </c>
      <c r="S3075" s="43" t="str">
        <f t="shared" si="74"/>
        <v>Drama</v>
      </c>
    </row>
    <row r="3076" spans="1:19" ht="15.75" customHeight="1" x14ac:dyDescent="0.25">
      <c r="A3076" s="4" t="s">
        <v>1882</v>
      </c>
      <c r="B3076" s="4">
        <v>121</v>
      </c>
      <c r="C3076" s="4">
        <v>75764085</v>
      </c>
      <c r="D3076" s="4" t="s">
        <v>58</v>
      </c>
      <c r="E3076" s="4" t="s">
        <v>461</v>
      </c>
      <c r="F3076" s="4" t="s">
        <v>9594</v>
      </c>
      <c r="G3076" s="4">
        <v>85844</v>
      </c>
      <c r="H3076" s="4" t="s">
        <v>9595</v>
      </c>
      <c r="I3076" s="4">
        <v>322</v>
      </c>
      <c r="J3076" s="4" t="s">
        <v>23</v>
      </c>
      <c r="K3076" s="4" t="s">
        <v>24</v>
      </c>
      <c r="L3076" s="4">
        <v>60000000</v>
      </c>
      <c r="M3076" s="4">
        <v>2000</v>
      </c>
      <c r="N3076" s="4">
        <v>6.7</v>
      </c>
      <c r="O3076" s="4">
        <f ca="1">IFERROR(__xludf.DUMMYFUNCTION("IF(Cost_in_dollars!E3076=""USD"",Cost_in_dollars!B3076,Cost_in_dollars!B3076 * GOOGLEFINANCE(""CURRENCY:"" &amp; Cost_in_dollars!E3076 &amp; ""USD""))
"),60000000)</f>
        <v>60000000</v>
      </c>
      <c r="P3076" s="4">
        <f ca="1">IFERROR(__xludf.DUMMYFUNCTION("IF(Cost_in_dollars!E3076=""USD"",Cost_in_dollars!C3076,Cost_in_dollars!C3076 * GOOGLEFINANCE(""CURRENCY:"" &amp; Cost_in_dollars!E3076 &amp; ""USD""))
"),75764085)</f>
        <v>75764085</v>
      </c>
      <c r="Q3076" s="4">
        <f t="shared" ca="1" si="72"/>
        <v>15764085</v>
      </c>
      <c r="R3076" s="5" t="str">
        <f t="shared" si="73"/>
        <v>The Family Man</v>
      </c>
      <c r="S3076" s="43" t="str">
        <f t="shared" si="74"/>
        <v>Comedy</v>
      </c>
    </row>
    <row r="3077" spans="1:19" ht="15.75" customHeight="1" x14ac:dyDescent="0.25">
      <c r="A3077" s="6" t="s">
        <v>9596</v>
      </c>
      <c r="B3077" s="6">
        <v>28</v>
      </c>
      <c r="C3077" s="6">
        <v>64148</v>
      </c>
      <c r="D3077" s="6" t="s">
        <v>102</v>
      </c>
      <c r="E3077" s="6" t="s">
        <v>5193</v>
      </c>
      <c r="F3077" s="6" t="s">
        <v>9597</v>
      </c>
      <c r="G3077" s="6">
        <v>2601</v>
      </c>
      <c r="H3077" s="6" t="s">
        <v>9598</v>
      </c>
      <c r="I3077" s="6">
        <v>35</v>
      </c>
      <c r="J3077" s="6" t="s">
        <v>23</v>
      </c>
      <c r="K3077" s="6" t="s">
        <v>133</v>
      </c>
      <c r="L3077" s="6">
        <v>6500000</v>
      </c>
      <c r="M3077" s="6">
        <v>2000</v>
      </c>
      <c r="N3077" s="6">
        <v>7.3</v>
      </c>
      <c r="O3077" s="4">
        <f ca="1">IFERROR(__xludf.DUMMYFUNCTION("IF(Cost_in_dollars!E3077=""USD"",Cost_in_dollars!B3077,Cost_in_dollars!B3077 * GOOGLEFINANCE(""CURRENCY:"" &amp; Cost_in_dollars!E3077 &amp; ""USD""))
"),8355099.99999999)</f>
        <v>8355099.9999999898</v>
      </c>
      <c r="P3077" s="4">
        <f ca="1">IFERROR(__xludf.DUMMYFUNCTION("IF(Cost_in_dollars!E3077=""USD"",Cost_in_dollars!C3077,Cost_in_dollars!C3077 * GOOGLEFINANCE(""CURRENCY:"" &amp; Cost_in_dollars!E3077 &amp; ""USD""))
"),82455.8391999999)</f>
        <v>82455.8391999999</v>
      </c>
      <c r="Q3077" s="6">
        <f t="shared" ca="1" si="72"/>
        <v>-8272644.1607999895</v>
      </c>
      <c r="R3077" s="7" t="str">
        <f t="shared" si="73"/>
        <v>Aberdeen</v>
      </c>
      <c r="S3077" s="43" t="str">
        <f t="shared" si="74"/>
        <v>Drama</v>
      </c>
    </row>
    <row r="3078" spans="1:19" ht="15.75" customHeight="1" x14ac:dyDescent="0.25">
      <c r="A3078" s="4" t="s">
        <v>1755</v>
      </c>
      <c r="B3078" s="4">
        <v>154</v>
      </c>
      <c r="C3078" s="4">
        <v>39200000</v>
      </c>
      <c r="D3078" s="4" t="s">
        <v>88</v>
      </c>
      <c r="E3078" s="4" t="s">
        <v>1755</v>
      </c>
      <c r="F3078" s="4" t="s">
        <v>9599</v>
      </c>
      <c r="G3078" s="4">
        <v>192940</v>
      </c>
      <c r="H3078" s="4" t="s">
        <v>9600</v>
      </c>
      <c r="I3078" s="4">
        <v>491</v>
      </c>
      <c r="J3078" s="4" t="s">
        <v>23</v>
      </c>
      <c r="K3078" s="4" t="s">
        <v>24</v>
      </c>
      <c r="L3078" s="4">
        <v>4000000</v>
      </c>
      <c r="M3078" s="4">
        <v>1977</v>
      </c>
      <c r="N3078" s="4">
        <v>8.1</v>
      </c>
      <c r="O3078" s="4">
        <f ca="1">IFERROR(__xludf.DUMMYFUNCTION("IF(Cost_in_dollars!E3078=""USD"",Cost_in_dollars!B3078,Cost_in_dollars!B3078 * GOOGLEFINANCE(""CURRENCY:"" &amp; Cost_in_dollars!E3078 &amp; ""USD""))
"),4000000)</f>
        <v>4000000</v>
      </c>
      <c r="P3078" s="4">
        <f ca="1">IFERROR(__xludf.DUMMYFUNCTION("IF(Cost_in_dollars!E3078=""USD"",Cost_in_dollars!C3078,Cost_in_dollars!C3078 * GOOGLEFINANCE(""CURRENCY:"" &amp; Cost_in_dollars!E3078 &amp; ""USD""))
"),39200000)</f>
        <v>39200000</v>
      </c>
      <c r="Q3078" s="4">
        <f t="shared" ca="1" si="72"/>
        <v>35200000</v>
      </c>
      <c r="R3078" s="5" t="str">
        <f t="shared" si="73"/>
        <v>Annie Hall</v>
      </c>
      <c r="S3078" s="43" t="str">
        <f t="shared" si="74"/>
        <v>Comedy</v>
      </c>
    </row>
    <row r="3079" spans="1:19" ht="15.75" customHeight="1" x14ac:dyDescent="0.25">
      <c r="A3079" s="6" t="s">
        <v>2375</v>
      </c>
      <c r="B3079" s="6">
        <v>106</v>
      </c>
      <c r="C3079" s="6">
        <v>11146409</v>
      </c>
      <c r="D3079" s="6" t="s">
        <v>4556</v>
      </c>
      <c r="E3079" s="6" t="s">
        <v>2800</v>
      </c>
      <c r="F3079" s="6" t="s">
        <v>9601</v>
      </c>
      <c r="G3079" s="6">
        <v>26551</v>
      </c>
      <c r="H3079" s="6" t="s">
        <v>9602</v>
      </c>
      <c r="I3079" s="6">
        <v>273</v>
      </c>
      <c r="J3079" s="6" t="s">
        <v>23</v>
      </c>
      <c r="K3079" s="6" t="s">
        <v>24</v>
      </c>
      <c r="L3079" s="6">
        <v>45000000</v>
      </c>
      <c r="M3079" s="6">
        <v>1998</v>
      </c>
      <c r="N3079" s="6">
        <v>6</v>
      </c>
      <c r="O3079" s="4">
        <f ca="1">IFERROR(__xludf.DUMMYFUNCTION("IF(Cost_in_dollars!E3079=""USD"",Cost_in_dollars!B3079,Cost_in_dollars!B3079 * GOOGLEFINANCE(""CURRENCY:"" &amp; Cost_in_dollars!E3079 &amp; ""USD""))
"),45000000)</f>
        <v>45000000</v>
      </c>
      <c r="P3079" s="4">
        <f ca="1">IFERROR(__xludf.DUMMYFUNCTION("IF(Cost_in_dollars!E3079=""USD"",Cost_in_dollars!C3079,Cost_in_dollars!C3079 * GOOGLEFINANCE(""CURRENCY:"" &amp; Cost_in_dollars!E3079 &amp; ""USD""))
"),11146409)</f>
        <v>11146409</v>
      </c>
      <c r="Q3079" s="6">
        <f t="shared" ca="1" si="72"/>
        <v>-33853591</v>
      </c>
      <c r="R3079" s="7" t="str">
        <f t="shared" si="73"/>
        <v>Deep Rising</v>
      </c>
      <c r="S3079" s="43" t="str">
        <f t="shared" si="74"/>
        <v>Action</v>
      </c>
    </row>
    <row r="3080" spans="1:19" ht="15.75" customHeight="1" x14ac:dyDescent="0.25">
      <c r="A3080" s="4" t="s">
        <v>182</v>
      </c>
      <c r="B3080" s="4">
        <v>267</v>
      </c>
      <c r="C3080" s="4">
        <v>53337608</v>
      </c>
      <c r="D3080" s="4" t="s">
        <v>9603</v>
      </c>
      <c r="E3080" s="4" t="s">
        <v>84</v>
      </c>
      <c r="F3080" s="4" t="s">
        <v>9604</v>
      </c>
      <c r="G3080" s="4">
        <v>188785</v>
      </c>
      <c r="H3080" s="4" t="s">
        <v>9605</v>
      </c>
      <c r="I3080" s="4">
        <v>467</v>
      </c>
      <c r="J3080" s="4" t="s">
        <v>23</v>
      </c>
      <c r="K3080" s="4" t="s">
        <v>24</v>
      </c>
      <c r="L3080" s="4">
        <v>40000000</v>
      </c>
      <c r="M3080" s="4">
        <v>2005</v>
      </c>
      <c r="N3080" s="4">
        <v>7.4</v>
      </c>
      <c r="O3080" s="4">
        <f ca="1">IFERROR(__xludf.DUMMYFUNCTION("IF(Cost_in_dollars!E3080=""USD"",Cost_in_dollars!B3080,Cost_in_dollars!B3080 * GOOGLEFINANCE(""CURRENCY:"" &amp; Cost_in_dollars!E3080 &amp; ""USD""))
"),40000000)</f>
        <v>40000000</v>
      </c>
      <c r="P3080" s="4">
        <f ca="1">IFERROR(__xludf.DUMMYFUNCTION("IF(Cost_in_dollars!E3080=""USD"",Cost_in_dollars!C3080,Cost_in_dollars!C3080 * GOOGLEFINANCE(""CURRENCY:"" &amp; Cost_in_dollars!E3080 &amp; ""USD""))
"),53337608)</f>
        <v>53337608</v>
      </c>
      <c r="Q3080" s="4">
        <f t="shared" ca="1" si="72"/>
        <v>13337608</v>
      </c>
      <c r="R3080" s="5" t="str">
        <f t="shared" si="73"/>
        <v>Corpse Bride</v>
      </c>
      <c r="S3080" s="43" t="str">
        <f t="shared" si="74"/>
        <v>Animation</v>
      </c>
    </row>
    <row r="3081" spans="1:19" ht="15.75" customHeight="1" x14ac:dyDescent="0.25">
      <c r="A3081" s="6" t="s">
        <v>1468</v>
      </c>
      <c r="B3081" s="6">
        <v>62</v>
      </c>
      <c r="C3081" s="6">
        <v>24944213</v>
      </c>
      <c r="D3081" s="6" t="s">
        <v>3417</v>
      </c>
      <c r="E3081" s="6" t="s">
        <v>473</v>
      </c>
      <c r="F3081" s="6" t="s">
        <v>9606</v>
      </c>
      <c r="G3081" s="6">
        <v>63459</v>
      </c>
      <c r="H3081" s="6" t="s">
        <v>9607</v>
      </c>
      <c r="I3081" s="6">
        <v>185</v>
      </c>
      <c r="J3081" s="6" t="s">
        <v>23</v>
      </c>
      <c r="K3081" s="6" t="s">
        <v>24</v>
      </c>
      <c r="L3081" s="6">
        <v>27000000</v>
      </c>
      <c r="M3081" s="6">
        <v>1996</v>
      </c>
      <c r="N3081" s="6">
        <v>6.9</v>
      </c>
      <c r="O3081" s="4">
        <f ca="1">IFERROR(__xludf.DUMMYFUNCTION("IF(Cost_in_dollars!E3081=""USD"",Cost_in_dollars!B3081,Cost_in_dollars!B3081 * GOOGLEFINANCE(""CURRENCY:"" &amp; Cost_in_dollars!E3081 &amp; ""USD""))
"),27000000)</f>
        <v>27000000</v>
      </c>
      <c r="P3081" s="4">
        <f ca="1">IFERROR(__xludf.DUMMYFUNCTION("IF(Cost_in_dollars!E3081=""USD"",Cost_in_dollars!C3081,Cost_in_dollars!C3081 * GOOGLEFINANCE(""CURRENCY:"" &amp; Cost_in_dollars!E3081 &amp; ""USD""))
"),24944213)</f>
        <v>24944213</v>
      </c>
      <c r="Q3081" s="6">
        <f t="shared" ca="1" si="72"/>
        <v>-2055787</v>
      </c>
      <c r="R3081" s="7" t="str">
        <f t="shared" si="73"/>
        <v>Kingpin</v>
      </c>
      <c r="S3081" s="43" t="str">
        <f t="shared" si="74"/>
        <v>Comedy</v>
      </c>
    </row>
    <row r="3082" spans="1:19" ht="15.75" customHeight="1" x14ac:dyDescent="0.25">
      <c r="A3082" s="4" t="s">
        <v>9608</v>
      </c>
      <c r="B3082" s="4">
        <v>248</v>
      </c>
      <c r="C3082" s="4">
        <v>2221809</v>
      </c>
      <c r="D3082" s="4" t="s">
        <v>102</v>
      </c>
      <c r="E3082" s="4" t="s">
        <v>2251</v>
      </c>
      <c r="F3082" s="4" t="s">
        <v>9609</v>
      </c>
      <c r="G3082" s="4">
        <v>40618</v>
      </c>
      <c r="H3082" s="4" t="s">
        <v>9610</v>
      </c>
      <c r="I3082" s="4">
        <v>144</v>
      </c>
      <c r="J3082" s="4" t="s">
        <v>23</v>
      </c>
      <c r="K3082" s="4" t="s">
        <v>24</v>
      </c>
      <c r="L3082" s="4">
        <v>5000000</v>
      </c>
      <c r="M3082" s="4">
        <v>2010</v>
      </c>
      <c r="N3082" s="4">
        <v>7</v>
      </c>
      <c r="O3082" s="4">
        <f ca="1">IFERROR(__xludf.DUMMYFUNCTION("IF(Cost_in_dollars!E3082=""USD"",Cost_in_dollars!B3082,Cost_in_dollars!B3082 * GOOGLEFINANCE(""CURRENCY:"" &amp; Cost_in_dollars!E3082 &amp; ""USD""))
"),5000000)</f>
        <v>5000000</v>
      </c>
      <c r="P3082" s="4">
        <f ca="1">IFERROR(__xludf.DUMMYFUNCTION("IF(Cost_in_dollars!E3082=""USD"",Cost_in_dollars!C3082,Cost_in_dollars!C3082 * GOOGLEFINANCE(""CURRENCY:"" &amp; Cost_in_dollars!E3082 &amp; ""USD""))
"),2221809)</f>
        <v>2221809</v>
      </c>
      <c r="Q3082" s="4">
        <f t="shared" ca="1" si="72"/>
        <v>-2778191</v>
      </c>
      <c r="R3082" s="5" t="str">
        <f t="shared" si="73"/>
        <v>Rabbit Hole</v>
      </c>
      <c r="S3082" s="43" t="str">
        <f t="shared" si="74"/>
        <v>Drama</v>
      </c>
    </row>
    <row r="3083" spans="1:19" ht="15.75" customHeight="1" x14ac:dyDescent="0.25">
      <c r="A3083" s="6" t="s">
        <v>1298</v>
      </c>
      <c r="B3083" s="6">
        <v>51</v>
      </c>
      <c r="C3083" s="6">
        <v>33357476</v>
      </c>
      <c r="D3083" s="6" t="s">
        <v>9611</v>
      </c>
      <c r="E3083" s="6" t="s">
        <v>1676</v>
      </c>
      <c r="F3083" s="6" t="s">
        <v>9612</v>
      </c>
      <c r="G3083" s="6">
        <v>7392</v>
      </c>
      <c r="H3083" s="6" t="s">
        <v>9613</v>
      </c>
      <c r="I3083" s="6">
        <v>53</v>
      </c>
      <c r="J3083" s="6" t="s">
        <v>23</v>
      </c>
      <c r="K3083" s="6" t="s">
        <v>24</v>
      </c>
      <c r="L3083" s="6">
        <v>35000000</v>
      </c>
      <c r="M3083" s="6">
        <v>2001</v>
      </c>
      <c r="N3083" s="6">
        <v>5.4</v>
      </c>
      <c r="O3083" s="4">
        <f ca="1">IFERROR(__xludf.DUMMYFUNCTION("IF(Cost_in_dollars!E3083=""USD"",Cost_in_dollars!B3083,Cost_in_dollars!B3083 * GOOGLEFINANCE(""CURRENCY:"" &amp; Cost_in_dollars!E3083 &amp; ""USD""))
"),35000000)</f>
        <v>35000000</v>
      </c>
      <c r="P3083" s="4">
        <f ca="1">IFERROR(__xludf.DUMMYFUNCTION("IF(Cost_in_dollars!E3083=""USD"",Cost_in_dollars!C3083,Cost_in_dollars!C3083 * GOOGLEFINANCE(""CURRENCY:"" &amp; Cost_in_dollars!E3083 &amp; ""USD""))
"),33357476)</f>
        <v>33357476</v>
      </c>
      <c r="Q3083" s="6">
        <f t="shared" ca="1" si="72"/>
        <v>-1642524</v>
      </c>
      <c r="R3083" s="7" t="str">
        <f t="shared" si="73"/>
        <v>See Spot Run</v>
      </c>
      <c r="S3083" s="43" t="str">
        <f t="shared" si="74"/>
        <v>Action</v>
      </c>
    </row>
    <row r="3084" spans="1:19" ht="15.75" customHeight="1" x14ac:dyDescent="0.25">
      <c r="A3084" s="4" t="s">
        <v>1126</v>
      </c>
      <c r="B3084" s="4">
        <v>79</v>
      </c>
      <c r="C3084" s="4">
        <v>136448821</v>
      </c>
      <c r="D3084" s="4" t="s">
        <v>319</v>
      </c>
      <c r="E3084" s="4" t="s">
        <v>9614</v>
      </c>
      <c r="F3084" s="4" t="s">
        <v>9615</v>
      </c>
      <c r="G3084" s="4">
        <v>98989</v>
      </c>
      <c r="H3084" s="4" t="s">
        <v>9616</v>
      </c>
      <c r="I3084" s="4">
        <v>158</v>
      </c>
      <c r="J3084" s="4" t="s">
        <v>23</v>
      </c>
      <c r="K3084" s="4" t="s">
        <v>24</v>
      </c>
      <c r="L3084" s="4">
        <v>80000000</v>
      </c>
      <c r="M3084" s="4">
        <v>1996</v>
      </c>
      <c r="N3084" s="4">
        <v>6.6</v>
      </c>
      <c r="O3084" s="4">
        <f ca="1">IFERROR(__xludf.DUMMYFUNCTION("IF(Cost_in_dollars!E3084=""USD"",Cost_in_dollars!B3084,Cost_in_dollars!B3084 * GOOGLEFINANCE(""CURRENCY:"" &amp; Cost_in_dollars!E3084 &amp; ""USD""))
"),80000000)</f>
        <v>80000000</v>
      </c>
      <c r="P3084" s="4">
        <f ca="1">IFERROR(__xludf.DUMMYFUNCTION("IF(Cost_in_dollars!E3084=""USD"",Cost_in_dollars!C3084,Cost_in_dollars!C3084 * GOOGLEFINANCE(""CURRENCY:"" &amp; Cost_in_dollars!E3084 &amp; ""USD""))
"),136448821)</f>
        <v>136448821</v>
      </c>
      <c r="Q3084" s="4">
        <f t="shared" ca="1" si="72"/>
        <v>56448821</v>
      </c>
      <c r="R3084" s="5" t="str">
        <f t="shared" si="73"/>
        <v>Ransom</v>
      </c>
      <c r="S3084" s="43" t="str">
        <f t="shared" si="74"/>
        <v>Crime</v>
      </c>
    </row>
    <row r="3085" spans="1:19" ht="15.75" customHeight="1" x14ac:dyDescent="0.25">
      <c r="A3085" s="6" t="s">
        <v>9617</v>
      </c>
      <c r="B3085" s="6">
        <v>1</v>
      </c>
      <c r="C3085" s="6">
        <v>14616</v>
      </c>
      <c r="D3085" s="6" t="s">
        <v>102</v>
      </c>
      <c r="E3085" s="6" t="s">
        <v>3492</v>
      </c>
      <c r="F3085" s="6" t="s">
        <v>9618</v>
      </c>
      <c r="G3085" s="6">
        <v>314</v>
      </c>
      <c r="H3085" s="6" t="s">
        <v>109</v>
      </c>
      <c r="I3085" s="6">
        <v>10</v>
      </c>
      <c r="J3085" s="6" t="s">
        <v>23</v>
      </c>
      <c r="K3085" s="6" t="s">
        <v>24</v>
      </c>
      <c r="L3085" s="6">
        <v>12000000</v>
      </c>
      <c r="M3085" s="6">
        <v>2015</v>
      </c>
      <c r="N3085" s="6">
        <v>7.5</v>
      </c>
      <c r="O3085" s="4">
        <f ca="1">IFERROR(__xludf.DUMMYFUNCTION("IF(Cost_in_dollars!E3085=""USD"",Cost_in_dollars!B3085,Cost_in_dollars!B3085 * GOOGLEFINANCE(""CURRENCY:"" &amp; Cost_in_dollars!E3085 &amp; ""USD""))
"),12000000)</f>
        <v>12000000</v>
      </c>
      <c r="P3085" s="4">
        <f ca="1">IFERROR(__xludf.DUMMYFUNCTION("IF(Cost_in_dollars!E3085=""USD"",Cost_in_dollars!C3085,Cost_in_dollars!C3085 * GOOGLEFINANCE(""CURRENCY:"" &amp; Cost_in_dollars!E3085 &amp; ""USD""))
"),14616)</f>
        <v>14616</v>
      </c>
      <c r="Q3085" s="6">
        <f t="shared" ca="1" si="72"/>
        <v>-11985384</v>
      </c>
      <c r="R3085" s="7" t="str">
        <f t="shared" si="73"/>
        <v>10 Days in a Madhouse</v>
      </c>
      <c r="S3085" s="43" t="str">
        <f t="shared" si="74"/>
        <v>Drama</v>
      </c>
    </row>
    <row r="3086" spans="1:19" ht="15.75" customHeight="1" x14ac:dyDescent="0.25">
      <c r="A3086" s="4" t="s">
        <v>1553</v>
      </c>
      <c r="B3086" s="4">
        <v>92</v>
      </c>
      <c r="C3086" s="4">
        <v>16017403</v>
      </c>
      <c r="D3086" s="4" t="s">
        <v>1868</v>
      </c>
      <c r="E3086" s="4" t="s">
        <v>3195</v>
      </c>
      <c r="F3086" s="4" t="s">
        <v>9619</v>
      </c>
      <c r="G3086" s="4">
        <v>17333</v>
      </c>
      <c r="H3086" s="4" t="s">
        <v>9620</v>
      </c>
      <c r="I3086" s="4">
        <v>153</v>
      </c>
      <c r="J3086" s="4" t="s">
        <v>23</v>
      </c>
      <c r="K3086" s="4" t="s">
        <v>24</v>
      </c>
      <c r="L3086" s="4">
        <v>5000000</v>
      </c>
      <c r="M3086" s="4">
        <v>2001</v>
      </c>
      <c r="N3086" s="4">
        <v>6.2</v>
      </c>
      <c r="O3086" s="4">
        <f ca="1">IFERROR(__xludf.DUMMYFUNCTION("IF(Cost_in_dollars!E3086=""USD"",Cost_in_dollars!B3086,Cost_in_dollars!B3086 * GOOGLEFINANCE(""CURRENCY:"" &amp; Cost_in_dollars!E3086 &amp; ""USD""))
"),5000000)</f>
        <v>5000000</v>
      </c>
      <c r="P3086" s="4">
        <f ca="1">IFERROR(__xludf.DUMMYFUNCTION("IF(Cost_in_dollars!E3086=""USD"",Cost_in_dollars!C3086,Cost_in_dollars!C3086 * GOOGLEFINANCE(""CURRENCY:"" &amp; Cost_in_dollars!E3086 &amp; ""USD""))
"),16017403)</f>
        <v>16017403</v>
      </c>
      <c r="Q3086" s="4">
        <f t="shared" ca="1" si="72"/>
        <v>11017403</v>
      </c>
      <c r="R3086" s="5" t="str">
        <f t="shared" si="73"/>
        <v>O</v>
      </c>
      <c r="S3086" s="43" t="str">
        <f t="shared" si="74"/>
        <v>Drama</v>
      </c>
    </row>
    <row r="3087" spans="1:19" ht="15.75" customHeight="1" x14ac:dyDescent="0.25">
      <c r="A3087" s="6" t="s">
        <v>9621</v>
      </c>
      <c r="B3087" s="6">
        <v>28</v>
      </c>
      <c r="C3087" s="6">
        <v>777423</v>
      </c>
      <c r="D3087" s="6" t="s">
        <v>1127</v>
      </c>
      <c r="E3087" s="6" t="s">
        <v>1367</v>
      </c>
      <c r="F3087" s="6" t="s">
        <v>9622</v>
      </c>
      <c r="G3087" s="6">
        <v>5841</v>
      </c>
      <c r="H3087" s="6" t="s">
        <v>9623</v>
      </c>
      <c r="I3087" s="6">
        <v>57</v>
      </c>
      <c r="J3087" s="6" t="s">
        <v>23</v>
      </c>
      <c r="K3087" s="6" t="s">
        <v>24</v>
      </c>
      <c r="L3087" s="6">
        <v>25000000</v>
      </c>
      <c r="M3087" s="6">
        <v>1998</v>
      </c>
      <c r="N3087" s="6">
        <v>7.2</v>
      </c>
      <c r="O3087" s="4">
        <f ca="1">IFERROR(__xludf.DUMMYFUNCTION("IF(Cost_in_dollars!E3087=""USD"",Cost_in_dollars!B3087,Cost_in_dollars!B3087 * GOOGLEFINANCE(""CURRENCY:"" &amp; Cost_in_dollars!E3087 &amp; ""USD""))
"),25000000)</f>
        <v>25000000</v>
      </c>
      <c r="P3087" s="4">
        <f ca="1">IFERROR(__xludf.DUMMYFUNCTION("IF(Cost_in_dollars!E3087=""USD"",Cost_in_dollars!C3087,Cost_in_dollars!C3087 * GOOGLEFINANCE(""CURRENCY:"" &amp; Cost_in_dollars!E3087 &amp; ""USD""))
"),777423)</f>
        <v>777423</v>
      </c>
      <c r="Q3087" s="6">
        <f t="shared" ca="1" si="72"/>
        <v>-24222577</v>
      </c>
      <c r="R3087" s="7" t="str">
        <f t="shared" si="73"/>
        <v>Without Limits</v>
      </c>
      <c r="S3087" s="43" t="str">
        <f t="shared" si="74"/>
        <v>Biography</v>
      </c>
    </row>
    <row r="3088" spans="1:19" ht="15.75" customHeight="1" x14ac:dyDescent="0.25">
      <c r="A3088" s="4" t="s">
        <v>1321</v>
      </c>
      <c r="B3088" s="4">
        <v>434</v>
      </c>
      <c r="C3088" s="4">
        <v>200069408</v>
      </c>
      <c r="D3088" s="4" t="s">
        <v>188</v>
      </c>
      <c r="E3088" s="4" t="s">
        <v>486</v>
      </c>
      <c r="F3088" s="4" t="s">
        <v>9624</v>
      </c>
      <c r="G3088" s="4">
        <v>240396</v>
      </c>
      <c r="H3088" s="4" t="s">
        <v>9625</v>
      </c>
      <c r="I3088" s="4">
        <v>2367</v>
      </c>
      <c r="J3088" s="4" t="s">
        <v>23</v>
      </c>
      <c r="K3088" s="4" t="s">
        <v>24</v>
      </c>
      <c r="L3088" s="4">
        <v>209000000</v>
      </c>
      <c r="M3088" s="4">
        <v>2006</v>
      </c>
      <c r="N3088" s="4">
        <v>6.1</v>
      </c>
      <c r="O3088" s="4">
        <f ca="1">IFERROR(__xludf.DUMMYFUNCTION("IF(Cost_in_dollars!E3088=""USD"",Cost_in_dollars!B3088,Cost_in_dollars!B3088 * GOOGLEFINANCE(""CURRENCY:"" &amp; Cost_in_dollars!E3088 &amp; ""USD""))
"),209000000)</f>
        <v>209000000</v>
      </c>
      <c r="P3088" s="4">
        <f ca="1">IFERROR(__xludf.DUMMYFUNCTION("IF(Cost_in_dollars!E3088=""USD"",Cost_in_dollars!C3088,Cost_in_dollars!C3088 * GOOGLEFINANCE(""CURRENCY:"" &amp; Cost_in_dollars!E3088 &amp; ""USD""))
"),200069408)</f>
        <v>200069408</v>
      </c>
      <c r="Q3088" s="4">
        <f t="shared" ca="1" si="72"/>
        <v>-8930592</v>
      </c>
      <c r="R3088" s="5" t="str">
        <f t="shared" si="73"/>
        <v>Superman Returns</v>
      </c>
      <c r="S3088" s="43" t="str">
        <f t="shared" si="74"/>
        <v>Action</v>
      </c>
    </row>
    <row r="3089" spans="1:19" ht="15.75" customHeight="1" x14ac:dyDescent="0.25">
      <c r="A3089" s="6" t="s">
        <v>9626</v>
      </c>
      <c r="B3089" s="6">
        <v>75</v>
      </c>
      <c r="C3089" s="6">
        <v>43984230</v>
      </c>
      <c r="D3089" s="6" t="s">
        <v>623</v>
      </c>
      <c r="E3089" s="6" t="s">
        <v>146</v>
      </c>
      <c r="F3089" s="6" t="s">
        <v>9627</v>
      </c>
      <c r="G3089" s="6">
        <v>70274</v>
      </c>
      <c r="H3089" s="6" t="s">
        <v>9628</v>
      </c>
      <c r="I3089" s="6">
        <v>133</v>
      </c>
      <c r="J3089" s="6" t="s">
        <v>23</v>
      </c>
      <c r="K3089" s="6" t="s">
        <v>220</v>
      </c>
      <c r="L3089" s="6">
        <v>23000000</v>
      </c>
      <c r="M3089" s="6">
        <v>1987</v>
      </c>
      <c r="N3089" s="6">
        <v>7.8</v>
      </c>
      <c r="O3089" s="4">
        <f ca="1">IFERROR(__xludf.DUMMYFUNCTION("IF(Cost_in_dollars!E3089=""USD"",Cost_in_dollars!B3089,Cost_in_dollars!B3089 * GOOGLEFINANCE(""CURRENCY:"" &amp; Cost_in_dollars!E3089 &amp; ""USD""))
"),3180529.69999999)</f>
        <v>3180529.6999999899</v>
      </c>
      <c r="P3089" s="4">
        <f ca="1">IFERROR(__xludf.DUMMYFUNCTION("IF(Cost_in_dollars!E3089=""USD"",Cost_in_dollars!C3089,Cost_in_dollars!C3089 * GOOGLEFINANCE(""CURRENCY:"" &amp; Cost_in_dollars!E3089 &amp; ""USD""))
"),6082310.86289699)</f>
        <v>6082310.86289699</v>
      </c>
      <c r="Q3089" s="6">
        <f t="shared" ca="1" si="72"/>
        <v>2901781.1628970001</v>
      </c>
      <c r="R3089" s="7" t="str">
        <f t="shared" si="73"/>
        <v>The Last Emperor</v>
      </c>
      <c r="S3089" s="43" t="str">
        <f t="shared" si="74"/>
        <v>Biography</v>
      </c>
    </row>
    <row r="3090" spans="1:19" ht="15.75" customHeight="1" x14ac:dyDescent="0.25">
      <c r="A3090" s="4" t="s">
        <v>9629</v>
      </c>
      <c r="B3090" s="4">
        <v>136</v>
      </c>
      <c r="C3090" s="4">
        <v>7691700</v>
      </c>
      <c r="D3090" s="4" t="s">
        <v>682</v>
      </c>
      <c r="E3090" s="4" t="s">
        <v>1426</v>
      </c>
      <c r="F3090" s="4" t="s">
        <v>9630</v>
      </c>
      <c r="G3090" s="4">
        <v>12937</v>
      </c>
      <c r="H3090" s="4" t="s">
        <v>9631</v>
      </c>
      <c r="I3090" s="4">
        <v>73</v>
      </c>
      <c r="J3090" s="4" t="s">
        <v>661</v>
      </c>
      <c r="K3090" s="4" t="s">
        <v>611</v>
      </c>
      <c r="L3090" s="4">
        <v>10000000</v>
      </c>
      <c r="M3090" s="4">
        <v>2010</v>
      </c>
      <c r="N3090" s="4">
        <v>7.5</v>
      </c>
      <c r="O3090" s="4">
        <f ca="1">IFERROR(__xludf.DUMMYFUNCTION("IF(Cost_in_dollars!E3090=""USD"",Cost_in_dollars!B3090,Cost_in_dollars!B3090 * GOOGLEFINANCE(""CURRENCY:"" &amp; Cost_in_dollars!E3090 &amp; ""USD""))
"),10847400)</f>
        <v>10847400</v>
      </c>
      <c r="P3090" s="4">
        <f ca="1">IFERROR(__xludf.DUMMYFUNCTION("IF(Cost_in_dollars!E3090=""USD"",Cost_in_dollars!C3090,Cost_in_dollars!C3090 * GOOGLEFINANCE(""CURRENCY:"" &amp; Cost_in_dollars!E3090 &amp; ""USD""))
"),8343494.658)</f>
        <v>8343494.6579999998</v>
      </c>
      <c r="Q3090" s="4">
        <f t="shared" ca="1" si="72"/>
        <v>-2503905.3420000002</v>
      </c>
      <c r="R3090" s="5" t="str">
        <f t="shared" si="73"/>
        <v>Sarah's Key</v>
      </c>
      <c r="S3090" s="43" t="str">
        <f t="shared" si="74"/>
        <v>Drama</v>
      </c>
    </row>
    <row r="3091" spans="1:19" ht="15.75" customHeight="1" x14ac:dyDescent="0.25">
      <c r="A3091" s="6" t="s">
        <v>9632</v>
      </c>
      <c r="B3091" s="6">
        <v>70</v>
      </c>
      <c r="C3091" s="6">
        <v>85884815</v>
      </c>
      <c r="D3091" s="6" t="s">
        <v>7554</v>
      </c>
      <c r="E3091" s="6" t="s">
        <v>2563</v>
      </c>
      <c r="F3091" s="6" t="s">
        <v>9633</v>
      </c>
      <c r="G3091" s="6">
        <v>9418</v>
      </c>
      <c r="H3091" s="6" t="s">
        <v>9634</v>
      </c>
      <c r="I3091" s="6">
        <v>53</v>
      </c>
      <c r="J3091" s="6" t="s">
        <v>23</v>
      </c>
      <c r="K3091" s="6" t="s">
        <v>24</v>
      </c>
      <c r="L3091" s="6">
        <v>90000000</v>
      </c>
      <c r="M3091" s="6">
        <v>2015</v>
      </c>
      <c r="N3091" s="6">
        <v>5</v>
      </c>
      <c r="O3091" s="4">
        <f ca="1">IFERROR(__xludf.DUMMYFUNCTION("IF(Cost_in_dollars!E3091=""USD"",Cost_in_dollars!B3091,Cost_in_dollars!B3091 * GOOGLEFINANCE(""CURRENCY:"" &amp; Cost_in_dollars!E3091 &amp; ""USD""))
"),90000000)</f>
        <v>90000000</v>
      </c>
      <c r="P3091" s="4">
        <f ca="1">IFERROR(__xludf.DUMMYFUNCTION("IF(Cost_in_dollars!E3091=""USD"",Cost_in_dollars!C3091,Cost_in_dollars!C3091 * GOOGLEFINANCE(""CURRENCY:"" &amp; Cost_in_dollars!E3091 &amp; ""USD""))
"),85884815)</f>
        <v>85884815</v>
      </c>
      <c r="Q3091" s="6">
        <f t="shared" ca="1" si="72"/>
        <v>-4115185</v>
      </c>
      <c r="R3091" s="7" t="str">
        <f t="shared" si="73"/>
        <v>Alvin and the Chipmunks: The Road Chip</v>
      </c>
      <c r="S3091" s="43" t="str">
        <f t="shared" si="74"/>
        <v>Adventure</v>
      </c>
    </row>
    <row r="3092" spans="1:19" ht="15.75" customHeight="1" x14ac:dyDescent="0.25">
      <c r="A3092" s="4" t="s">
        <v>2324</v>
      </c>
      <c r="B3092" s="4">
        <v>64</v>
      </c>
      <c r="C3092" s="4">
        <v>57504069</v>
      </c>
      <c r="D3092" s="4" t="s">
        <v>53</v>
      </c>
      <c r="E3092" s="4" t="s">
        <v>9635</v>
      </c>
      <c r="F3092" s="4" t="s">
        <v>9636</v>
      </c>
      <c r="G3092" s="4">
        <v>94139</v>
      </c>
      <c r="H3092" s="4" t="s">
        <v>9637</v>
      </c>
      <c r="I3092" s="4">
        <v>183</v>
      </c>
      <c r="J3092" s="4" t="s">
        <v>23</v>
      </c>
      <c r="K3092" s="4" t="s">
        <v>24</v>
      </c>
      <c r="L3092" s="4">
        <v>6000000</v>
      </c>
      <c r="M3092" s="4">
        <v>1991</v>
      </c>
      <c r="N3092" s="4">
        <v>7.8</v>
      </c>
      <c r="O3092" s="4">
        <f ca="1">IFERROR(__xludf.DUMMYFUNCTION("IF(Cost_in_dollars!E3092=""USD"",Cost_in_dollars!B3092,Cost_in_dollars!B3092 * GOOGLEFINANCE(""CURRENCY:"" &amp; Cost_in_dollars!E3092 &amp; ""USD""))
"),6000000)</f>
        <v>6000000</v>
      </c>
      <c r="P3092" s="4">
        <f ca="1">IFERROR(__xludf.DUMMYFUNCTION("IF(Cost_in_dollars!E3092=""USD"",Cost_in_dollars!C3092,Cost_in_dollars!C3092 * GOOGLEFINANCE(""CURRENCY:"" &amp; Cost_in_dollars!E3092 &amp; ""USD""))
"),57504069)</f>
        <v>57504069</v>
      </c>
      <c r="Q3092" s="4">
        <f t="shared" ca="1" si="72"/>
        <v>51504069</v>
      </c>
      <c r="R3092" s="5" t="str">
        <f t="shared" si="73"/>
        <v>Boyz n the Hood</v>
      </c>
      <c r="S3092" s="43" t="str">
        <f t="shared" si="74"/>
        <v>Crime</v>
      </c>
    </row>
    <row r="3093" spans="1:19" ht="15.75" customHeight="1" x14ac:dyDescent="0.25">
      <c r="A3093" s="6" t="s">
        <v>1464</v>
      </c>
      <c r="B3093" s="6">
        <v>191</v>
      </c>
      <c r="C3093" s="6">
        <v>242589580</v>
      </c>
      <c r="D3093" s="6" t="s">
        <v>457</v>
      </c>
      <c r="E3093" s="6" t="s">
        <v>173</v>
      </c>
      <c r="F3093" s="6" t="s">
        <v>9638</v>
      </c>
      <c r="G3093" s="6">
        <v>296904</v>
      </c>
      <c r="H3093" s="6" t="s">
        <v>9639</v>
      </c>
      <c r="I3093" s="6">
        <v>604</v>
      </c>
      <c r="J3093" s="6" t="s">
        <v>23</v>
      </c>
      <c r="K3093" s="6" t="s">
        <v>24</v>
      </c>
      <c r="L3093" s="6">
        <v>81000000</v>
      </c>
      <c r="M3093" s="6">
        <v>2003</v>
      </c>
      <c r="N3093" s="6">
        <v>6.7</v>
      </c>
      <c r="O3093" s="4">
        <f ca="1">IFERROR(__xludf.DUMMYFUNCTION("IF(Cost_in_dollars!E3093=""USD"",Cost_in_dollars!B3093,Cost_in_dollars!B3093 * GOOGLEFINANCE(""CURRENCY:"" &amp; Cost_in_dollars!E3093 &amp; ""USD""))
"),81000000)</f>
        <v>81000000</v>
      </c>
      <c r="P3093" s="4">
        <f ca="1">IFERROR(__xludf.DUMMYFUNCTION("IF(Cost_in_dollars!E3093=""USD"",Cost_in_dollars!C3093,Cost_in_dollars!C3093 * GOOGLEFINANCE(""CURRENCY:"" &amp; Cost_in_dollars!E3093 &amp; ""USD""))
"),242589580)</f>
        <v>242589580</v>
      </c>
      <c r="Q3093" s="6">
        <f t="shared" ca="1" si="72"/>
        <v>161589580</v>
      </c>
      <c r="R3093" s="7" t="str">
        <f t="shared" si="73"/>
        <v>Bruce Almighty</v>
      </c>
      <c r="S3093" s="43" t="str">
        <f t="shared" si="74"/>
        <v>Comedy</v>
      </c>
    </row>
    <row r="3094" spans="1:19" ht="15.75" customHeight="1" x14ac:dyDescent="0.25">
      <c r="A3094" s="4" t="s">
        <v>586</v>
      </c>
      <c r="B3094" s="4">
        <v>324</v>
      </c>
      <c r="C3094" s="4">
        <v>31838002</v>
      </c>
      <c r="D3094" s="4" t="s">
        <v>623</v>
      </c>
      <c r="E3094" s="4" t="s">
        <v>407</v>
      </c>
      <c r="F3094" s="4" t="s">
        <v>9640</v>
      </c>
      <c r="G3094" s="4">
        <v>136673</v>
      </c>
      <c r="H3094" s="4" t="s">
        <v>9641</v>
      </c>
      <c r="I3094" s="4">
        <v>281</v>
      </c>
      <c r="J3094" s="4" t="s">
        <v>23</v>
      </c>
      <c r="K3094" s="4" t="s">
        <v>24</v>
      </c>
      <c r="L3094" s="4">
        <v>20000000</v>
      </c>
      <c r="M3094" s="4">
        <v>2008</v>
      </c>
      <c r="N3094" s="4">
        <v>7.6</v>
      </c>
      <c r="O3094" s="4">
        <f ca="1">IFERROR(__xludf.DUMMYFUNCTION("IF(Cost_in_dollars!E3094=""USD"",Cost_in_dollars!B3094,Cost_in_dollars!B3094 * GOOGLEFINANCE(""CURRENCY:"" &amp; Cost_in_dollars!E3094 &amp; ""USD""))
"),20000000)</f>
        <v>20000000</v>
      </c>
      <c r="P3094" s="4">
        <f ca="1">IFERROR(__xludf.DUMMYFUNCTION("IF(Cost_in_dollars!E3094=""USD"",Cost_in_dollars!C3094,Cost_in_dollars!C3094 * GOOGLEFINANCE(""CURRENCY:"" &amp; Cost_in_dollars!E3094 &amp; ""USD""))
"),31838002)</f>
        <v>31838002</v>
      </c>
      <c r="Q3094" s="4">
        <f t="shared" ca="1" si="72"/>
        <v>11838002</v>
      </c>
      <c r="R3094" s="5" t="str">
        <f t="shared" si="73"/>
        <v>Milk</v>
      </c>
      <c r="S3094" s="43" t="str">
        <f t="shared" si="74"/>
        <v>Biography</v>
      </c>
    </row>
    <row r="3095" spans="1:19" ht="15.75" customHeight="1" x14ac:dyDescent="0.25">
      <c r="A3095" s="6" t="s">
        <v>927</v>
      </c>
      <c r="B3095" s="6">
        <v>96</v>
      </c>
      <c r="C3095" s="6">
        <v>11433134</v>
      </c>
      <c r="D3095" s="6" t="s">
        <v>9642</v>
      </c>
      <c r="E3095" s="6" t="s">
        <v>9643</v>
      </c>
      <c r="F3095" s="6" t="s">
        <v>9644</v>
      </c>
      <c r="G3095" s="6">
        <v>168203</v>
      </c>
      <c r="H3095" s="6" t="s">
        <v>9645</v>
      </c>
      <c r="I3095" s="6">
        <v>426</v>
      </c>
      <c r="J3095" s="6" t="s">
        <v>1045</v>
      </c>
      <c r="K3095" s="6" t="s">
        <v>9646</v>
      </c>
      <c r="L3095" s="6">
        <v>14000000</v>
      </c>
      <c r="M3095" s="6">
        <v>1981</v>
      </c>
      <c r="N3095" s="6">
        <v>8.4</v>
      </c>
      <c r="O3095" s="4">
        <f ca="1">IFERROR(__xludf.DUMMYFUNCTION("IF(Cost_in_dollars!E3095=""USD"",Cost_in_dollars!B3095,Cost_in_dollars!B3095 * GOOGLEFINANCE(""CURRENCY:"" &amp; Cost_in_dollars!E3095 &amp; ""USD""))
"),15186360)</f>
        <v>15186360</v>
      </c>
      <c r="P3095" s="4">
        <f ca="1">IFERROR(__xludf.DUMMYFUNCTION("IF(Cost_in_dollars!E3095=""USD"",Cost_in_dollars!C3095,Cost_in_dollars!C3095 * GOOGLEFINANCE(""CURRENCY:"" &amp; Cost_in_dollars!E3095 &amp; ""USD""))
"),12401977.77516)</f>
        <v>12401977.77516</v>
      </c>
      <c r="Q3095" s="6">
        <f t="shared" ca="1" si="72"/>
        <v>-2784382.2248400003</v>
      </c>
      <c r="R3095" s="7" t="str">
        <f t="shared" si="73"/>
        <v>Das Boot</v>
      </c>
      <c r="S3095" s="43" t="str">
        <f t="shared" si="74"/>
        <v>Adventure</v>
      </c>
    </row>
    <row r="3096" spans="1:19" ht="15.75" customHeight="1" x14ac:dyDescent="0.25">
      <c r="A3096" s="4" t="s">
        <v>4722</v>
      </c>
      <c r="B3096" s="4">
        <v>56</v>
      </c>
      <c r="C3096" s="4">
        <v>50800000</v>
      </c>
      <c r="D3096" s="4" t="s">
        <v>73</v>
      </c>
      <c r="E3096" s="4" t="s">
        <v>9647</v>
      </c>
      <c r="F3096" s="4" t="s">
        <v>9648</v>
      </c>
      <c r="G3096" s="4">
        <v>40277</v>
      </c>
      <c r="H3096" s="4" t="s">
        <v>9649</v>
      </c>
      <c r="I3096" s="4">
        <v>210</v>
      </c>
      <c r="J3096" s="4" t="s">
        <v>23</v>
      </c>
      <c r="K3096" s="4" t="s">
        <v>24</v>
      </c>
      <c r="L3096" s="4">
        <v>26000000</v>
      </c>
      <c r="M3096" s="4">
        <v>1977</v>
      </c>
      <c r="N3096" s="4">
        <v>7.4</v>
      </c>
      <c r="O3096" s="4">
        <f ca="1">IFERROR(__xludf.DUMMYFUNCTION("IF(Cost_in_dollars!E3096=""USD"",Cost_in_dollars!B3096,Cost_in_dollars!B3096 * GOOGLEFINANCE(""CURRENCY:"" &amp; Cost_in_dollars!E3096 &amp; ""USD""))
"),26000000)</f>
        <v>26000000</v>
      </c>
      <c r="P3096" s="4">
        <f ca="1">IFERROR(__xludf.DUMMYFUNCTION("IF(Cost_in_dollars!E3096=""USD"",Cost_in_dollars!C3096,Cost_in_dollars!C3096 * GOOGLEFINANCE(""CURRENCY:"" &amp; Cost_in_dollars!E3096 &amp; ""USD""))
"),50800000)</f>
        <v>50800000</v>
      </c>
      <c r="Q3096" s="4">
        <f t="shared" ca="1" si="72"/>
        <v>24800000</v>
      </c>
      <c r="R3096" s="5" t="str">
        <f t="shared" si="73"/>
        <v>A Bridge Too Far</v>
      </c>
      <c r="S3096" s="43" t="str">
        <f t="shared" si="74"/>
        <v>Drama</v>
      </c>
    </row>
    <row r="3097" spans="1:19" ht="15.75" customHeight="1" x14ac:dyDescent="0.25">
      <c r="A3097" s="6" t="s">
        <v>9650</v>
      </c>
      <c r="B3097" s="6">
        <v>127</v>
      </c>
      <c r="C3097" s="6">
        <v>23020488</v>
      </c>
      <c r="D3097" s="6" t="s">
        <v>2465</v>
      </c>
      <c r="E3097" s="6" t="s">
        <v>4882</v>
      </c>
      <c r="F3097" s="6" t="s">
        <v>9651</v>
      </c>
      <c r="G3097" s="6">
        <v>42324</v>
      </c>
      <c r="H3097" s="6" t="s">
        <v>9652</v>
      </c>
      <c r="I3097" s="6">
        <v>180</v>
      </c>
      <c r="J3097" s="6" t="s">
        <v>23</v>
      </c>
      <c r="K3097" s="6" t="s">
        <v>24</v>
      </c>
      <c r="L3097" s="6">
        <v>52000000</v>
      </c>
      <c r="M3097" s="6">
        <v>2003</v>
      </c>
      <c r="N3097" s="6">
        <v>5.5</v>
      </c>
      <c r="O3097" s="4">
        <f ca="1">IFERROR(__xludf.DUMMYFUNCTION("IF(Cost_in_dollars!E3097=""USD"",Cost_in_dollars!B3097,Cost_in_dollars!B3097 * GOOGLEFINANCE(""CURRENCY:"" &amp; Cost_in_dollars!E3097 &amp; ""USD""))
"),52000000)</f>
        <v>52000000</v>
      </c>
      <c r="P3097" s="4">
        <f ca="1">IFERROR(__xludf.DUMMYFUNCTION("IF(Cost_in_dollars!E3097=""USD"",Cost_in_dollars!C3097,Cost_in_dollars!C3097 * GOOGLEFINANCE(""CURRENCY:"" &amp; Cost_in_dollars!E3097 &amp; ""USD""))
"),23020488)</f>
        <v>23020488</v>
      </c>
      <c r="Q3097" s="6">
        <f t="shared" ca="1" si="72"/>
        <v>-28979512</v>
      </c>
      <c r="R3097" s="7" t="str">
        <f t="shared" si="73"/>
        <v>Bulletproof Monk</v>
      </c>
      <c r="S3097" s="43" t="str">
        <f t="shared" si="74"/>
        <v>Action</v>
      </c>
    </row>
    <row r="3098" spans="1:19" ht="15.75" customHeight="1" x14ac:dyDescent="0.25">
      <c r="A3098" s="4" t="s">
        <v>1607</v>
      </c>
      <c r="B3098" s="4">
        <v>86</v>
      </c>
      <c r="C3098" s="4">
        <v>9589875</v>
      </c>
      <c r="D3098" s="4" t="s">
        <v>1127</v>
      </c>
      <c r="E3098" s="4" t="s">
        <v>44</v>
      </c>
      <c r="F3098" s="4" t="s">
        <v>9653</v>
      </c>
      <c r="G3098" s="4">
        <v>16673</v>
      </c>
      <c r="H3098" s="4" t="s">
        <v>9654</v>
      </c>
      <c r="I3098" s="4">
        <v>45</v>
      </c>
      <c r="J3098" s="4" t="s">
        <v>23</v>
      </c>
      <c r="K3098" s="4" t="s">
        <v>24</v>
      </c>
      <c r="L3098" s="4">
        <v>40000000</v>
      </c>
      <c r="M3098" s="4">
        <v>2008</v>
      </c>
      <c r="N3098" s="4">
        <v>7.3</v>
      </c>
      <c r="O3098" s="4">
        <f ca="1">IFERROR(__xludf.DUMMYFUNCTION("IF(Cost_in_dollars!E3098=""USD"",Cost_in_dollars!B3098,Cost_in_dollars!B3098 * GOOGLEFINANCE(""CURRENCY:"" &amp; Cost_in_dollars!E3098 &amp; ""USD""))
"),40000000)</f>
        <v>40000000</v>
      </c>
      <c r="P3098" s="4">
        <f ca="1">IFERROR(__xludf.DUMMYFUNCTION("IF(Cost_in_dollars!E3098=""USD"",Cost_in_dollars!C3098,Cost_in_dollars!C3098 * GOOGLEFINANCE(""CURRENCY:"" &amp; Cost_in_dollars!E3098 &amp; ""USD""))
"),9589875)</f>
        <v>9589875</v>
      </c>
      <c r="Q3098" s="4">
        <f t="shared" ca="1" si="72"/>
        <v>-30410125</v>
      </c>
      <c r="R3098" s="5" t="str">
        <f t="shared" si="73"/>
        <v>The Express</v>
      </c>
      <c r="S3098" s="43" t="str">
        <f t="shared" si="74"/>
        <v>Biography</v>
      </c>
    </row>
    <row r="3099" spans="1:19" ht="15.75" customHeight="1" x14ac:dyDescent="0.25">
      <c r="A3099" s="6" t="s">
        <v>499</v>
      </c>
      <c r="B3099" s="6">
        <v>58</v>
      </c>
      <c r="C3099" s="6">
        <v>6563357</v>
      </c>
      <c r="D3099" s="6" t="s">
        <v>696</v>
      </c>
      <c r="E3099" s="6" t="s">
        <v>9655</v>
      </c>
      <c r="F3099" s="6" t="s">
        <v>9656</v>
      </c>
      <c r="G3099" s="6">
        <v>18571</v>
      </c>
      <c r="H3099" s="6" t="s">
        <v>9657</v>
      </c>
      <c r="I3099" s="6">
        <v>120</v>
      </c>
      <c r="J3099" s="6" t="s">
        <v>23</v>
      </c>
      <c r="K3099" s="6" t="s">
        <v>24</v>
      </c>
      <c r="L3099" s="6">
        <v>20000000</v>
      </c>
      <c r="M3099" s="6">
        <v>2008</v>
      </c>
      <c r="N3099" s="6">
        <v>5.3</v>
      </c>
      <c r="O3099" s="4">
        <f ca="1">IFERROR(__xludf.DUMMYFUNCTION("IF(Cost_in_dollars!E3099=""USD"",Cost_in_dollars!B3099,Cost_in_dollars!B3099 * GOOGLEFINANCE(""CURRENCY:"" &amp; Cost_in_dollars!E3099 &amp; ""USD""))
"),20000000)</f>
        <v>20000000</v>
      </c>
      <c r="P3099" s="4">
        <f ca="1">IFERROR(__xludf.DUMMYFUNCTION("IF(Cost_in_dollars!E3099=""USD"",Cost_in_dollars!C3099,Cost_in_dollars!C3099 * GOOGLEFINANCE(""CURRENCY:"" &amp; Cost_in_dollars!E3099 &amp; ""USD""))
"),6563357)</f>
        <v>6563357</v>
      </c>
      <c r="Q3099" s="6">
        <f t="shared" ca="1" si="72"/>
        <v>-13436643</v>
      </c>
      <c r="R3099" s="7" t="str">
        <f t="shared" si="73"/>
        <v>Strange Wilderness</v>
      </c>
      <c r="S3099" s="43" t="str">
        <f t="shared" si="74"/>
        <v>Adventure</v>
      </c>
    </row>
    <row r="3100" spans="1:19" ht="15.75" customHeight="1" x14ac:dyDescent="0.25">
      <c r="A3100" s="4" t="s">
        <v>6882</v>
      </c>
      <c r="B3100" s="4">
        <v>52</v>
      </c>
      <c r="C3100" s="4">
        <v>65182182</v>
      </c>
      <c r="D3100" s="4" t="s">
        <v>88</v>
      </c>
      <c r="E3100" s="4" t="s">
        <v>3753</v>
      </c>
      <c r="F3100" s="4" t="s">
        <v>9658</v>
      </c>
      <c r="G3100" s="4">
        <v>15310</v>
      </c>
      <c r="H3100" s="4" t="s">
        <v>9659</v>
      </c>
      <c r="I3100" s="4">
        <v>38</v>
      </c>
      <c r="J3100" s="4" t="s">
        <v>23</v>
      </c>
      <c r="K3100" s="4" t="s">
        <v>24</v>
      </c>
      <c r="L3100" s="4">
        <v>24000000</v>
      </c>
      <c r="M3100" s="4">
        <v>2014</v>
      </c>
      <c r="N3100" s="4">
        <v>5.7</v>
      </c>
      <c r="O3100" s="4">
        <f ca="1">IFERROR(__xludf.DUMMYFUNCTION("IF(Cost_in_dollars!E3100=""USD"",Cost_in_dollars!B3100,Cost_in_dollars!B3100 * GOOGLEFINANCE(""CURRENCY:"" &amp; Cost_in_dollars!E3100 &amp; ""USD""))
"),24000000)</f>
        <v>24000000</v>
      </c>
      <c r="P3100" s="4">
        <f ca="1">IFERROR(__xludf.DUMMYFUNCTION("IF(Cost_in_dollars!E3100=""USD"",Cost_in_dollars!C3100,Cost_in_dollars!C3100 * GOOGLEFINANCE(""CURRENCY:"" &amp; Cost_in_dollars!E3100 &amp; ""USD""))
"),65182182)</f>
        <v>65182182</v>
      </c>
      <c r="Q3100" s="4">
        <f t="shared" ca="1" si="72"/>
        <v>41182182</v>
      </c>
      <c r="R3100" s="5" t="str">
        <f t="shared" si="73"/>
        <v>Think Like a Man Too</v>
      </c>
      <c r="S3100" s="43" t="str">
        <f t="shared" si="74"/>
        <v>Comedy</v>
      </c>
    </row>
    <row r="3101" spans="1:19" ht="15.75" customHeight="1" x14ac:dyDescent="0.25">
      <c r="A3101" s="6" t="s">
        <v>9660</v>
      </c>
      <c r="B3101" s="6">
        <v>173</v>
      </c>
      <c r="C3101" s="6">
        <v>38108</v>
      </c>
      <c r="D3101" s="6" t="s">
        <v>1920</v>
      </c>
      <c r="E3101" s="6" t="s">
        <v>9661</v>
      </c>
      <c r="F3101" s="6" t="s">
        <v>9662</v>
      </c>
      <c r="G3101" s="6">
        <v>40878</v>
      </c>
      <c r="H3101" s="6" t="s">
        <v>9663</v>
      </c>
      <c r="I3101" s="6">
        <v>124</v>
      </c>
      <c r="J3101" s="6" t="s">
        <v>1569</v>
      </c>
      <c r="K3101" s="6" t="s">
        <v>1111</v>
      </c>
      <c r="L3101" s="6">
        <v>2600000</v>
      </c>
      <c r="M3101" s="6">
        <v>2007</v>
      </c>
      <c r="N3101" s="6">
        <v>7.2</v>
      </c>
      <c r="O3101" s="4">
        <f ca="1">IFERROR(__xludf.DUMMYFUNCTION("IF(Cost_in_dollars!E3101=""USD"",Cost_in_dollars!B3101,Cost_in_dollars!B3101 * GOOGLEFINANCE(""CURRENCY:"" &amp; Cost_in_dollars!E3101 &amp; ""USD""))
"),2820324)</f>
        <v>2820324</v>
      </c>
      <c r="P3101" s="4">
        <f ca="1">IFERROR(__xludf.DUMMYFUNCTION("IF(Cost_in_dollars!E3101=""USD"",Cost_in_dollars!C3101,Cost_in_dollars!C3101 * GOOGLEFINANCE(""CURRENCY:"" &amp; Cost_in_dollars!E3101 &amp; ""USD""))
"),41337.27192)</f>
        <v>41337.271919999999</v>
      </c>
      <c r="Q3101" s="6">
        <f t="shared" ca="1" si="72"/>
        <v>-2778986.7280799998</v>
      </c>
      <c r="R3101" s="7" t="str">
        <f t="shared" si="73"/>
        <v>Timecrimes</v>
      </c>
      <c r="S3101" s="43" t="str">
        <f t="shared" si="74"/>
        <v>Horror</v>
      </c>
    </row>
    <row r="3102" spans="1:19" ht="15.75" customHeight="1" x14ac:dyDescent="0.25">
      <c r="A3102" s="4" t="s">
        <v>3946</v>
      </c>
      <c r="B3102" s="4">
        <v>163</v>
      </c>
      <c r="C3102" s="4">
        <v>128200012</v>
      </c>
      <c r="D3102" s="4" t="s">
        <v>19</v>
      </c>
      <c r="E3102" s="4" t="s">
        <v>1860</v>
      </c>
      <c r="F3102" s="4" t="s">
        <v>9664</v>
      </c>
      <c r="G3102" s="4">
        <v>103022</v>
      </c>
      <c r="H3102" s="4" t="s">
        <v>9665</v>
      </c>
      <c r="I3102" s="4">
        <v>269</v>
      </c>
      <c r="J3102" s="4" t="s">
        <v>23</v>
      </c>
      <c r="K3102" s="4" t="s">
        <v>24</v>
      </c>
      <c r="L3102" s="4">
        <v>75000000</v>
      </c>
      <c r="M3102" s="4">
        <v>2005</v>
      </c>
      <c r="N3102" s="4">
        <v>6.3</v>
      </c>
      <c r="O3102" s="4">
        <f ca="1">IFERROR(__xludf.DUMMYFUNCTION("IF(Cost_in_dollars!E3102=""USD"",Cost_in_dollars!B3102,Cost_in_dollars!B3102 * GOOGLEFINANCE(""CURRENCY:"" &amp; Cost_in_dollars!E3102 &amp; ""USD""))
"),75000000)</f>
        <v>75000000</v>
      </c>
      <c r="P3102" s="4">
        <f ca="1">IFERROR(__xludf.DUMMYFUNCTION("IF(Cost_in_dollars!E3102=""USD"",Cost_in_dollars!C3102,Cost_in_dollars!C3102 * GOOGLEFINANCE(""CURRENCY:"" &amp; Cost_in_dollars!E3102 &amp; ""USD""))
"),128200012)</f>
        <v>128200012</v>
      </c>
      <c r="Q3102" s="4">
        <f t="shared" ca="1" si="72"/>
        <v>53200012</v>
      </c>
      <c r="R3102" s="5" t="str">
        <f t="shared" si="73"/>
        <v>Robots</v>
      </c>
      <c r="S3102" s="43" t="str">
        <f t="shared" si="74"/>
        <v>Adventure</v>
      </c>
    </row>
    <row r="3103" spans="1:19" ht="15.75" customHeight="1" x14ac:dyDescent="0.25">
      <c r="A3103" s="6" t="s">
        <v>9666</v>
      </c>
      <c r="B3103" s="6">
        <v>144</v>
      </c>
      <c r="C3103" s="6">
        <v>17768000</v>
      </c>
      <c r="D3103" s="6" t="s">
        <v>309</v>
      </c>
      <c r="E3103" s="6" t="s">
        <v>1632</v>
      </c>
      <c r="F3103" s="6" t="s">
        <v>9667</v>
      </c>
      <c r="G3103" s="6">
        <v>29629</v>
      </c>
      <c r="H3103" s="6" t="s">
        <v>9668</v>
      </c>
      <c r="I3103" s="6">
        <v>374</v>
      </c>
      <c r="J3103" s="6" t="s">
        <v>23</v>
      </c>
      <c r="K3103" s="6" t="s">
        <v>24</v>
      </c>
      <c r="L3103" s="6">
        <v>5000000</v>
      </c>
      <c r="M3103" s="6">
        <v>1988</v>
      </c>
      <c r="N3103" s="6">
        <v>5.9</v>
      </c>
      <c r="O3103" s="4">
        <f ca="1">IFERROR(__xludf.DUMMYFUNCTION("IF(Cost_in_dollars!E3103=""USD"",Cost_in_dollars!B3103,Cost_in_dollars!B3103 * GOOGLEFINANCE(""CURRENCY:"" &amp; Cost_in_dollars!E3103 &amp; ""USD""))
"),5000000)</f>
        <v>5000000</v>
      </c>
      <c r="P3103" s="4">
        <f ca="1">IFERROR(__xludf.DUMMYFUNCTION("IF(Cost_in_dollars!E3103=""USD"",Cost_in_dollars!C3103,Cost_in_dollars!C3103 * GOOGLEFINANCE(""CURRENCY:"" &amp; Cost_in_dollars!E3103 &amp; ""USD""))
"),17768000)</f>
        <v>17768000</v>
      </c>
      <c r="Q3103" s="6">
        <f t="shared" ca="1" si="72"/>
        <v>12768000</v>
      </c>
      <c r="R3103" s="7" t="str">
        <f t="shared" si="73"/>
        <v>Halloween 4: The Return of Michael Myers</v>
      </c>
      <c r="S3103" s="43" t="str">
        <f t="shared" si="74"/>
        <v>Horror</v>
      </c>
    </row>
    <row r="3104" spans="1:19" ht="15.75" customHeight="1" x14ac:dyDescent="0.25">
      <c r="A3104" s="4" t="s">
        <v>9669</v>
      </c>
      <c r="B3104" s="4">
        <v>41</v>
      </c>
      <c r="C3104" s="4">
        <v>1046166</v>
      </c>
      <c r="D3104" s="4" t="s">
        <v>2060</v>
      </c>
      <c r="E3104" s="4" t="s">
        <v>1310</v>
      </c>
      <c r="F3104" s="4" t="s">
        <v>9670</v>
      </c>
      <c r="G3104" s="4">
        <v>2599</v>
      </c>
      <c r="H3104" s="4" t="s">
        <v>9671</v>
      </c>
      <c r="I3104" s="4">
        <v>45</v>
      </c>
      <c r="J3104" s="4" t="s">
        <v>23</v>
      </c>
      <c r="K3104" s="4" t="s">
        <v>176</v>
      </c>
      <c r="L3104" s="4">
        <v>9000000</v>
      </c>
      <c r="M3104" s="4">
        <v>2005</v>
      </c>
      <c r="N3104" s="4">
        <v>4.2</v>
      </c>
      <c r="O3104" s="4">
        <f ca="1">IFERROR(__xludf.DUMMYFUNCTION("IF(Cost_in_dollars!E3104=""USD"",Cost_in_dollars!B3104,Cost_in_dollars!B3104 * GOOGLEFINANCE(""CURRENCY:"" &amp; Cost_in_dollars!E3104 &amp; ""USD""))
"),9762660)</f>
        <v>9762660</v>
      </c>
      <c r="P3104" s="4">
        <f ca="1">IFERROR(__xludf.DUMMYFUNCTION("IF(Cost_in_dollars!E3104=""USD"",Cost_in_dollars!C3104,Cost_in_dollars!C3104 * GOOGLEFINANCE(""CURRENCY:"" &amp; Cost_in_dollars!E3104 &amp; ""USD""))
"),1134818.10684)</f>
        <v>1134818.10684</v>
      </c>
      <c r="Q3104" s="4">
        <f t="shared" ca="1" si="72"/>
        <v>-8627841.8931600004</v>
      </c>
      <c r="R3104" s="5" t="str">
        <f t="shared" si="73"/>
        <v>Undiscovered</v>
      </c>
      <c r="S3104" s="43" t="str">
        <f t="shared" si="74"/>
        <v>Comedy</v>
      </c>
    </row>
    <row r="3105" spans="1:19" ht="15.75" customHeight="1" x14ac:dyDescent="0.25">
      <c r="A3105" s="6" t="s">
        <v>4176</v>
      </c>
      <c r="B3105" s="6">
        <v>188</v>
      </c>
      <c r="C3105" s="6">
        <v>24004159</v>
      </c>
      <c r="D3105" s="6" t="s">
        <v>1893</v>
      </c>
      <c r="E3105" s="6" t="s">
        <v>1860</v>
      </c>
      <c r="F3105" s="6" t="s">
        <v>9672</v>
      </c>
      <c r="G3105" s="6">
        <v>68720</v>
      </c>
      <c r="H3105" s="6" t="s">
        <v>9673</v>
      </c>
      <c r="I3105" s="6">
        <v>191</v>
      </c>
      <c r="J3105" s="6" t="s">
        <v>23</v>
      </c>
      <c r="K3105" s="6" t="s">
        <v>24</v>
      </c>
      <c r="L3105" s="6">
        <v>110000000</v>
      </c>
      <c r="M3105" s="6">
        <v>2004</v>
      </c>
      <c r="N3105" s="6">
        <v>5.8</v>
      </c>
      <c r="O3105" s="4">
        <f ca="1">IFERROR(__xludf.DUMMYFUNCTION("IF(Cost_in_dollars!E3105=""USD"",Cost_in_dollars!B3105,Cost_in_dollars!B3105 * GOOGLEFINANCE(""CURRENCY:"" &amp; Cost_in_dollars!E3105 &amp; ""USD""))
"),110000000)</f>
        <v>110000000</v>
      </c>
      <c r="P3105" s="4">
        <f ca="1">IFERROR(__xludf.DUMMYFUNCTION("IF(Cost_in_dollars!E3105=""USD"",Cost_in_dollars!C3105,Cost_in_dollars!C3105 * GOOGLEFINANCE(""CURRENCY:"" &amp; Cost_in_dollars!E3105 &amp; ""USD""))
"),24004159)</f>
        <v>24004159</v>
      </c>
      <c r="Q3105" s="6">
        <f t="shared" ca="1" si="72"/>
        <v>-85995841</v>
      </c>
      <c r="R3105" s="7" t="str">
        <f t="shared" si="73"/>
        <v>Around the World in 80 Days</v>
      </c>
      <c r="S3105" s="43" t="str">
        <f t="shared" si="74"/>
        <v>Action</v>
      </c>
    </row>
    <row r="3106" spans="1:19" ht="15.75" customHeight="1" x14ac:dyDescent="0.25">
      <c r="A3106" s="4" t="s">
        <v>1353</v>
      </c>
      <c r="B3106" s="4">
        <v>525</v>
      </c>
      <c r="C3106" s="4">
        <v>234903076</v>
      </c>
      <c r="D3106" s="4" t="s">
        <v>1259</v>
      </c>
      <c r="E3106" s="4" t="s">
        <v>2806</v>
      </c>
      <c r="F3106" s="4" t="s">
        <v>2807</v>
      </c>
      <c r="G3106" s="4">
        <v>175413</v>
      </c>
      <c r="H3106" s="4" t="s">
        <v>2808</v>
      </c>
      <c r="I3106" s="4">
        <v>511</v>
      </c>
      <c r="J3106" s="4" t="s">
        <v>23</v>
      </c>
      <c r="K3106" s="4" t="s">
        <v>24</v>
      </c>
      <c r="L3106" s="4">
        <v>215000000</v>
      </c>
      <c r="M3106" s="4">
        <v>2013</v>
      </c>
      <c r="N3106" s="4">
        <v>6.4</v>
      </c>
      <c r="O3106" s="4">
        <f ca="1">IFERROR(__xludf.DUMMYFUNCTION("IF(Cost_in_dollars!E3106=""USD"",Cost_in_dollars!B3106,Cost_in_dollars!B3106 * GOOGLEFINANCE(""CURRENCY:"" &amp; Cost_in_dollars!E3106 &amp; ""USD""))
"),215000000)</f>
        <v>215000000</v>
      </c>
      <c r="P3106" s="4">
        <f ca="1">IFERROR(__xludf.DUMMYFUNCTION("IF(Cost_in_dollars!E3106=""USD"",Cost_in_dollars!C3106,Cost_in_dollars!C3106 * GOOGLEFINANCE(""CURRENCY:"" &amp; Cost_in_dollars!E3106 &amp; ""USD""))
"),234903076)</f>
        <v>234903076</v>
      </c>
      <c r="Q3106" s="4">
        <f t="shared" ca="1" si="72"/>
        <v>19903076</v>
      </c>
      <c r="R3106" s="5" t="str">
        <f t="shared" si="73"/>
        <v>Oz the Great and Powerful</v>
      </c>
      <c r="S3106" s="43" t="str">
        <f t="shared" si="74"/>
        <v>Adventure</v>
      </c>
    </row>
    <row r="3107" spans="1:19" ht="15.75" customHeight="1" x14ac:dyDescent="0.25">
      <c r="A3107" s="6" t="s">
        <v>9674</v>
      </c>
      <c r="B3107" s="6">
        <v>190</v>
      </c>
      <c r="C3107" s="6">
        <v>23993605</v>
      </c>
      <c r="D3107" s="6" t="s">
        <v>172</v>
      </c>
      <c r="E3107" s="6" t="s">
        <v>9675</v>
      </c>
      <c r="F3107" s="6" t="s">
        <v>9676</v>
      </c>
      <c r="G3107" s="6">
        <v>52467</v>
      </c>
      <c r="H3107" s="6" t="s">
        <v>9677</v>
      </c>
      <c r="I3107" s="6">
        <v>248</v>
      </c>
      <c r="J3107" s="6" t="s">
        <v>23</v>
      </c>
      <c r="K3107" s="6" t="s">
        <v>24</v>
      </c>
      <c r="L3107" s="6">
        <v>18000000</v>
      </c>
      <c r="M3107" s="6">
        <v>2009</v>
      </c>
      <c r="N3107" s="6">
        <v>5.8</v>
      </c>
      <c r="O3107" s="4">
        <f ca="1">IFERROR(__xludf.DUMMYFUNCTION("IF(Cost_in_dollars!E3107=""USD"",Cost_in_dollars!B3107,Cost_in_dollars!B3107 * GOOGLEFINANCE(""CURRENCY:"" &amp; Cost_in_dollars!E3107 &amp; ""USD""))
"),18000000)</f>
        <v>18000000</v>
      </c>
      <c r="P3107" s="4">
        <f ca="1">IFERROR(__xludf.DUMMYFUNCTION("IF(Cost_in_dollars!E3107=""USD"",Cost_in_dollars!C3107,Cost_in_dollars!C3107 * GOOGLEFINANCE(""CURRENCY:"" &amp; Cost_in_dollars!E3107 &amp; ""USD""))
"),23993605)</f>
        <v>23993605</v>
      </c>
      <c r="Q3107" s="6">
        <f t="shared" ca="1" si="72"/>
        <v>5993605</v>
      </c>
      <c r="R3107" s="7" t="str">
        <f t="shared" si="73"/>
        <v>Observe and Report</v>
      </c>
      <c r="S3107" s="43" t="str">
        <f t="shared" si="74"/>
        <v>Comedy</v>
      </c>
    </row>
    <row r="3108" spans="1:19" ht="15.75" customHeight="1" x14ac:dyDescent="0.25">
      <c r="A3108" s="4" t="s">
        <v>72</v>
      </c>
      <c r="B3108" s="4">
        <v>314</v>
      </c>
      <c r="C3108" s="4">
        <v>65007045</v>
      </c>
      <c r="D3108" s="4" t="s">
        <v>3882</v>
      </c>
      <c r="E3108" s="4" t="s">
        <v>1595</v>
      </c>
      <c r="F3108" s="4" t="s">
        <v>3883</v>
      </c>
      <c r="G3108" s="4">
        <v>128694</v>
      </c>
      <c r="H3108" s="4" t="s">
        <v>3884</v>
      </c>
      <c r="I3108" s="4">
        <v>657</v>
      </c>
      <c r="J3108" s="4" t="s">
        <v>23</v>
      </c>
      <c r="K3108" s="4" t="s">
        <v>133</v>
      </c>
      <c r="L3108" s="4">
        <v>140000000</v>
      </c>
      <c r="M3108" s="4">
        <v>2014</v>
      </c>
      <c r="N3108" s="4">
        <v>6.1</v>
      </c>
      <c r="O3108" s="4">
        <f ca="1">IFERROR(__xludf.DUMMYFUNCTION("IF(Cost_in_dollars!E3108=""USD"",Cost_in_dollars!B3108,Cost_in_dollars!B3108 * GOOGLEFINANCE(""CURRENCY:"" &amp; Cost_in_dollars!E3108 &amp; ""USD""))
"),179955999.999999)</f>
        <v>179955999.99999899</v>
      </c>
      <c r="P3108" s="4">
        <f ca="1">IFERROR(__xludf.DUMMYFUNCTION("IF(Cost_in_dollars!E3108=""USD"",Cost_in_dollars!C3108,Cost_in_dollars!C3108 * GOOGLEFINANCE(""CURRENCY:"" &amp; Cost_in_dollars!E3108 &amp; ""USD""))
"),83560055.6429999)</f>
        <v>83560055.642999902</v>
      </c>
      <c r="Q3108" s="4">
        <f t="shared" ca="1" si="72"/>
        <v>-96395944.356999084</v>
      </c>
      <c r="R3108" s="5" t="str">
        <f t="shared" si="73"/>
        <v>Exodus: Gods and Kings</v>
      </c>
      <c r="S3108" s="43" t="str">
        <f t="shared" si="74"/>
        <v>Action</v>
      </c>
    </row>
    <row r="3109" spans="1:19" ht="15.75" customHeight="1" x14ac:dyDescent="0.25">
      <c r="A3109" s="6" t="s">
        <v>9678</v>
      </c>
      <c r="B3109" s="6">
        <v>5</v>
      </c>
      <c r="C3109" s="6">
        <v>11784000</v>
      </c>
      <c r="D3109" s="6" t="s">
        <v>4896</v>
      </c>
      <c r="E3109" s="6" t="s">
        <v>3393</v>
      </c>
      <c r="F3109" s="6" t="s">
        <v>9679</v>
      </c>
      <c r="G3109" s="6">
        <v>6701</v>
      </c>
      <c r="H3109" s="6" t="s">
        <v>9680</v>
      </c>
      <c r="I3109" s="6">
        <v>26</v>
      </c>
      <c r="J3109" s="6" t="s">
        <v>23</v>
      </c>
      <c r="K3109" s="6" t="s">
        <v>24</v>
      </c>
      <c r="L3109" s="6">
        <v>20000000</v>
      </c>
      <c r="M3109" s="6">
        <v>1994</v>
      </c>
      <c r="N3109" s="6">
        <v>4.3</v>
      </c>
      <c r="O3109" s="4">
        <f ca="1">IFERROR(__xludf.DUMMYFUNCTION("IF(Cost_in_dollars!E3109=""USD"",Cost_in_dollars!B3109,Cost_in_dollars!B3109 * GOOGLEFINANCE(""CURRENCY:"" &amp; Cost_in_dollars!E3109 &amp; ""USD""))
"),20000000)</f>
        <v>20000000</v>
      </c>
      <c r="P3109" s="4">
        <f ca="1">IFERROR(__xludf.DUMMYFUNCTION("IF(Cost_in_dollars!E3109=""USD"",Cost_in_dollars!C3109,Cost_in_dollars!C3109 * GOOGLEFINANCE(""CURRENCY:"" &amp; Cost_in_dollars!E3109 &amp; ""USD""))
"),11784000)</f>
        <v>11784000</v>
      </c>
      <c r="Q3109" s="6">
        <f t="shared" ca="1" si="72"/>
        <v>-8216000</v>
      </c>
      <c r="R3109" s="7" t="str">
        <f t="shared" si="73"/>
        <v>3 Ninjas Kick Back</v>
      </c>
      <c r="S3109" s="43" t="str">
        <f t="shared" si="74"/>
        <v>Action</v>
      </c>
    </row>
    <row r="3110" spans="1:19" ht="15.75" customHeight="1" x14ac:dyDescent="0.25">
      <c r="A3110" s="4" t="s">
        <v>1001</v>
      </c>
      <c r="B3110" s="4">
        <v>93</v>
      </c>
      <c r="C3110" s="4">
        <v>3049135</v>
      </c>
      <c r="D3110" s="4" t="s">
        <v>9681</v>
      </c>
      <c r="E3110" s="4" t="s">
        <v>780</v>
      </c>
      <c r="F3110" s="4" t="s">
        <v>9682</v>
      </c>
      <c r="G3110" s="4">
        <v>50197</v>
      </c>
      <c r="H3110" s="4" t="s">
        <v>9683</v>
      </c>
      <c r="I3110" s="4">
        <v>265</v>
      </c>
      <c r="J3110" s="4" t="s">
        <v>23</v>
      </c>
      <c r="K3110" s="4" t="s">
        <v>1005</v>
      </c>
      <c r="L3110" s="4">
        <v>5000000</v>
      </c>
      <c r="M3110" s="4">
        <v>1994</v>
      </c>
      <c r="N3110" s="4">
        <v>7.4</v>
      </c>
      <c r="O3110" s="4">
        <f ca="1">IFERROR(__xludf.DUMMYFUNCTION("IF(Cost_in_dollars!E3110=""USD"",Cost_in_dollars!B3110,Cost_in_dollars!B3110 * GOOGLEFINANCE(""CURRENCY:"" &amp; Cost_in_dollars!E3110 &amp; ""USD""))
"),2943725)</f>
        <v>2943725</v>
      </c>
      <c r="P3110" s="4">
        <f ca="1">IFERROR(__xludf.DUMMYFUNCTION("IF(Cost_in_dollars!E3110=""USD"",Cost_in_dollars!C3110,Cost_in_dollars!C3110 * GOOGLEFINANCE(""CURRENCY:"" &amp; Cost_in_dollars!E3110 &amp; ""USD""))
"),1795162.98557499)</f>
        <v>1795162.98557499</v>
      </c>
      <c r="Q3110" s="4">
        <f t="shared" ca="1" si="72"/>
        <v>-1148562.01442501</v>
      </c>
      <c r="R3110" s="5" t="str">
        <f t="shared" si="73"/>
        <v>Heavenly Creatures</v>
      </c>
      <c r="S3110" s="43" t="str">
        <f t="shared" si="74"/>
        <v>Biography</v>
      </c>
    </row>
    <row r="3111" spans="1:19" ht="15.75" customHeight="1" x14ac:dyDescent="0.25">
      <c r="A3111" s="6" t="s">
        <v>1249</v>
      </c>
      <c r="B3111" s="6">
        <v>110</v>
      </c>
      <c r="C3111" s="6">
        <v>7022940</v>
      </c>
      <c r="D3111" s="6" t="s">
        <v>162</v>
      </c>
      <c r="E3111" s="6" t="s">
        <v>9684</v>
      </c>
      <c r="F3111" s="6" t="s">
        <v>9685</v>
      </c>
      <c r="G3111" s="6">
        <v>14018</v>
      </c>
      <c r="H3111" s="6" t="s">
        <v>9686</v>
      </c>
      <c r="I3111" s="6">
        <v>190</v>
      </c>
      <c r="J3111" s="6" t="s">
        <v>23</v>
      </c>
      <c r="K3111" s="6" t="s">
        <v>24</v>
      </c>
      <c r="L3111" s="6">
        <v>1000000</v>
      </c>
      <c r="M3111" s="6">
        <v>2001</v>
      </c>
      <c r="N3111" s="6">
        <v>6.7</v>
      </c>
      <c r="O3111" s="4">
        <f ca="1">IFERROR(__xludf.DUMMYFUNCTION("IF(Cost_in_dollars!E3111=""USD"",Cost_in_dollars!B3111,Cost_in_dollars!B3111 * GOOGLEFINANCE(""CURRENCY:"" &amp; Cost_in_dollars!E3111 &amp; ""USD""))
"),1000000)</f>
        <v>1000000</v>
      </c>
      <c r="P3111" s="4">
        <f ca="1">IFERROR(__xludf.DUMMYFUNCTION("IF(Cost_in_dollars!E3111=""USD"",Cost_in_dollars!C3111,Cost_in_dollars!C3111 * GOOGLEFINANCE(""CURRENCY:"" &amp; Cost_in_dollars!E3111 &amp; ""USD""))
"),7022940)</f>
        <v>7022940</v>
      </c>
      <c r="Q3111" s="6">
        <f t="shared" ca="1" si="72"/>
        <v>6022940</v>
      </c>
      <c r="R3111" s="7" t="str">
        <f t="shared" si="73"/>
        <v>Kissing Jessica Stein</v>
      </c>
      <c r="S3111" s="43" t="str">
        <f t="shared" si="74"/>
        <v>Comedy</v>
      </c>
    </row>
    <row r="3112" spans="1:19" ht="15.75" customHeight="1" x14ac:dyDescent="0.25">
      <c r="A3112" s="4" t="s">
        <v>4221</v>
      </c>
      <c r="B3112" s="4">
        <v>47</v>
      </c>
      <c r="C3112" s="4">
        <v>20550712</v>
      </c>
      <c r="D3112" s="4" t="s">
        <v>1562</v>
      </c>
      <c r="E3112" s="4" t="s">
        <v>1173</v>
      </c>
      <c r="F3112" s="4" t="s">
        <v>9687</v>
      </c>
      <c r="G3112" s="4">
        <v>40346</v>
      </c>
      <c r="H3112" s="4" t="s">
        <v>9688</v>
      </c>
      <c r="I3112" s="4">
        <v>95</v>
      </c>
      <c r="J3112" s="4" t="s">
        <v>23</v>
      </c>
      <c r="K3112" s="4" t="s">
        <v>24</v>
      </c>
      <c r="L3112" s="4">
        <v>50000000</v>
      </c>
      <c r="M3112" s="4">
        <v>1996</v>
      </c>
      <c r="N3112" s="4">
        <v>5.6</v>
      </c>
      <c r="O3112" s="4">
        <f ca="1">IFERROR(__xludf.DUMMYFUNCTION("IF(Cost_in_dollars!E3112=""USD"",Cost_in_dollars!B3112,Cost_in_dollars!B3112 * GOOGLEFINANCE(""CURRENCY:"" &amp; Cost_in_dollars!E3112 &amp; ""USD""))
"),50000000)</f>
        <v>50000000</v>
      </c>
      <c r="P3112" s="4">
        <f ca="1">IFERROR(__xludf.DUMMYFUNCTION("IF(Cost_in_dollars!E3112=""USD"",Cost_in_dollars!C3112,Cost_in_dollars!C3112 * GOOGLEFINANCE(""CURRENCY:"" &amp; Cost_in_dollars!E3112 &amp; ""USD""))
"),20550712)</f>
        <v>20550712</v>
      </c>
      <c r="Q3112" s="4">
        <f t="shared" ca="1" si="72"/>
        <v>-29449288</v>
      </c>
      <c r="R3112" s="5" t="str">
        <f t="shared" si="73"/>
        <v>Chain Reaction</v>
      </c>
      <c r="S3112" s="43" t="str">
        <f t="shared" si="74"/>
        <v>Action</v>
      </c>
    </row>
    <row r="3113" spans="1:19" ht="15.75" customHeight="1" x14ac:dyDescent="0.25">
      <c r="A3113" s="6" t="s">
        <v>384</v>
      </c>
      <c r="B3113" s="6">
        <v>154</v>
      </c>
      <c r="C3113" s="6">
        <v>180965237</v>
      </c>
      <c r="D3113" s="6" t="s">
        <v>477</v>
      </c>
      <c r="E3113" s="6" t="s">
        <v>223</v>
      </c>
      <c r="F3113" s="6" t="s">
        <v>9689</v>
      </c>
      <c r="G3113" s="6">
        <v>300542</v>
      </c>
      <c r="H3113" s="6" t="s">
        <v>9690</v>
      </c>
      <c r="I3113" s="6">
        <v>378</v>
      </c>
      <c r="J3113" s="6" t="s">
        <v>23</v>
      </c>
      <c r="K3113" s="6" t="s">
        <v>24</v>
      </c>
      <c r="L3113" s="6">
        <v>80000000</v>
      </c>
      <c r="M3113" s="6">
        <v>1996</v>
      </c>
      <c r="N3113" s="6">
        <v>7.1</v>
      </c>
      <c r="O3113" s="4">
        <f ca="1">IFERROR(__xludf.DUMMYFUNCTION("IF(Cost_in_dollars!E3113=""USD"",Cost_in_dollars!B3113,Cost_in_dollars!B3113 * GOOGLEFINANCE(""CURRENCY:"" &amp; Cost_in_dollars!E3113 &amp; ""USD""))
"),80000000)</f>
        <v>80000000</v>
      </c>
      <c r="P3113" s="4">
        <f ca="1">IFERROR(__xludf.DUMMYFUNCTION("IF(Cost_in_dollars!E3113=""USD"",Cost_in_dollars!C3113,Cost_in_dollars!C3113 * GOOGLEFINANCE(""CURRENCY:"" &amp; Cost_in_dollars!E3113 &amp; ""USD""))
"),180965237)</f>
        <v>180965237</v>
      </c>
      <c r="Q3113" s="6">
        <f t="shared" ca="1" si="72"/>
        <v>100965237</v>
      </c>
      <c r="R3113" s="7" t="str">
        <f t="shared" si="73"/>
        <v>Mission: Impossible</v>
      </c>
      <c r="S3113" s="43" t="str">
        <f t="shared" si="74"/>
        <v>Action</v>
      </c>
    </row>
    <row r="3114" spans="1:19" ht="15.75" customHeight="1" x14ac:dyDescent="0.25">
      <c r="A3114" s="4" t="s">
        <v>1098</v>
      </c>
      <c r="B3114" s="4">
        <v>61</v>
      </c>
      <c r="C3114" s="4">
        <v>11000000</v>
      </c>
      <c r="D3114" s="4" t="s">
        <v>1893</v>
      </c>
      <c r="E3114" s="4" t="s">
        <v>9691</v>
      </c>
      <c r="F3114" s="4" t="s">
        <v>9692</v>
      </c>
      <c r="G3114" s="4">
        <v>21102</v>
      </c>
      <c r="H3114" s="4" t="s">
        <v>9693</v>
      </c>
      <c r="I3114" s="4">
        <v>169</v>
      </c>
      <c r="J3114" s="4" t="s">
        <v>23</v>
      </c>
      <c r="K3114" s="4" t="s">
        <v>24</v>
      </c>
      <c r="L3114" s="4">
        <v>98000000</v>
      </c>
      <c r="M3114" s="4">
        <v>1995</v>
      </c>
      <c r="N3114" s="4">
        <v>5.6</v>
      </c>
      <c r="O3114" s="4">
        <f ca="1">IFERROR(__xludf.DUMMYFUNCTION("IF(Cost_in_dollars!E3114=""USD"",Cost_in_dollars!B3114,Cost_in_dollars!B3114 * GOOGLEFINANCE(""CURRENCY:"" &amp; Cost_in_dollars!E3114 &amp; ""USD""))
"),98000000)</f>
        <v>98000000</v>
      </c>
      <c r="P3114" s="4">
        <f ca="1">IFERROR(__xludf.DUMMYFUNCTION("IF(Cost_in_dollars!E3114=""USD"",Cost_in_dollars!C3114,Cost_in_dollars!C3114 * GOOGLEFINANCE(""CURRENCY:"" &amp; Cost_in_dollars!E3114 &amp; ""USD""))
"),11000000)</f>
        <v>11000000</v>
      </c>
      <c r="Q3114" s="4">
        <f t="shared" ca="1" si="72"/>
        <v>-87000000</v>
      </c>
      <c r="R3114" s="5" t="str">
        <f t="shared" si="73"/>
        <v>Cutthroat Island</v>
      </c>
      <c r="S3114" s="43" t="str">
        <f t="shared" si="74"/>
        <v>Action</v>
      </c>
    </row>
    <row r="3115" spans="1:19" ht="15.75" customHeight="1" x14ac:dyDescent="0.25">
      <c r="A3115" s="6" t="s">
        <v>7953</v>
      </c>
      <c r="B3115" s="6">
        <v>119</v>
      </c>
      <c r="C3115" s="6">
        <v>65557989</v>
      </c>
      <c r="D3115" s="6" t="s">
        <v>9694</v>
      </c>
      <c r="E3115" s="6" t="s">
        <v>3523</v>
      </c>
      <c r="F3115" s="6" t="s">
        <v>9695</v>
      </c>
      <c r="G3115" s="6">
        <v>73539</v>
      </c>
      <c r="H3115" s="6" t="s">
        <v>9696</v>
      </c>
      <c r="I3115" s="6">
        <v>271</v>
      </c>
      <c r="J3115" s="6" t="s">
        <v>23</v>
      </c>
      <c r="K3115" s="6" t="s">
        <v>24</v>
      </c>
      <c r="L3115" s="6">
        <v>45000000</v>
      </c>
      <c r="M3115" s="6">
        <v>1997</v>
      </c>
      <c r="N3115" s="6">
        <v>4.5999999999999996</v>
      </c>
      <c r="O3115" s="4">
        <f ca="1">IFERROR(__xludf.DUMMYFUNCTION("IF(Cost_in_dollars!E3115=""USD"",Cost_in_dollars!B3115,Cost_in_dollars!B3115 * GOOGLEFINANCE(""CURRENCY:"" &amp; Cost_in_dollars!E3115 &amp; ""USD""))
"),45000000)</f>
        <v>45000000</v>
      </c>
      <c r="P3115" s="4">
        <f ca="1">IFERROR(__xludf.DUMMYFUNCTION("IF(Cost_in_dollars!E3115=""USD"",Cost_in_dollars!C3115,Cost_in_dollars!C3115 * GOOGLEFINANCE(""CURRENCY:"" &amp; Cost_in_dollars!E3115 &amp; ""USD""))
"),65557989)</f>
        <v>65557989</v>
      </c>
      <c r="Q3115" s="6">
        <f t="shared" ca="1" si="72"/>
        <v>20557989</v>
      </c>
      <c r="R3115" s="7" t="str">
        <f t="shared" si="73"/>
        <v>Anaconda</v>
      </c>
      <c r="S3115" s="43" t="str">
        <f t="shared" si="74"/>
        <v>Action</v>
      </c>
    </row>
    <row r="3116" spans="1:19" ht="15.75" customHeight="1" x14ac:dyDescent="0.25">
      <c r="A3116" s="4" t="s">
        <v>9697</v>
      </c>
      <c r="B3116" s="4">
        <v>141</v>
      </c>
      <c r="C3116" s="4">
        <v>26876529</v>
      </c>
      <c r="D3116" s="4" t="s">
        <v>568</v>
      </c>
      <c r="E3116" s="4" t="s">
        <v>9698</v>
      </c>
      <c r="F3116" s="4" t="s">
        <v>9699</v>
      </c>
      <c r="G3116" s="4">
        <v>26624</v>
      </c>
      <c r="H3116" s="4" t="s">
        <v>9700</v>
      </c>
      <c r="I3116" s="4">
        <v>189</v>
      </c>
      <c r="J3116" s="4" t="s">
        <v>23</v>
      </c>
      <c r="K3116" s="4" t="s">
        <v>1551</v>
      </c>
      <c r="L3116" s="4">
        <v>27000000</v>
      </c>
      <c r="M3116" s="4">
        <v>2008</v>
      </c>
      <c r="N3116" s="4">
        <v>3.9</v>
      </c>
      <c r="O3116" s="4">
        <f ca="1">IFERROR(__xludf.DUMMYFUNCTION("IF(Cost_in_dollars!E3116=""USD"",Cost_in_dollars!B3116,Cost_in_dollars!B3116 * GOOGLEFINANCE(""CURRENCY:"" &amp; Cost_in_dollars!E3116 &amp; ""USD""))
"),175408.2)</f>
        <v>175408.2</v>
      </c>
      <c r="P3116" s="4">
        <f ca="1">IFERROR(__xludf.DUMMYFUNCTION("IF(Cost_in_dollars!E3116=""USD"",Cost_in_dollars!C3116,Cost_in_dollars!C3116 * GOOGLEFINANCE(""CURRENCY:"" &amp; Cost_in_dollars!E3116 &amp; ""USD""))
"),174606.0583014)</f>
        <v>174606.05830139999</v>
      </c>
      <c r="Q3116" s="4">
        <f t="shared" ca="1" si="72"/>
        <v>-802.14169860002585</v>
      </c>
      <c r="R3116" s="5" t="str">
        <f t="shared" si="73"/>
        <v>One Missed Call</v>
      </c>
      <c r="S3116" s="43" t="str">
        <f t="shared" si="74"/>
        <v>Horror</v>
      </c>
    </row>
    <row r="3117" spans="1:19" ht="15.75" customHeight="1" x14ac:dyDescent="0.25">
      <c r="A3117" s="6" t="s">
        <v>9701</v>
      </c>
      <c r="B3117" s="6">
        <v>60</v>
      </c>
      <c r="C3117" s="6">
        <v>36830</v>
      </c>
      <c r="D3117" s="6" t="s">
        <v>9702</v>
      </c>
      <c r="E3117" s="6" t="s">
        <v>9701</v>
      </c>
      <c r="F3117" s="6" t="s">
        <v>9703</v>
      </c>
      <c r="G3117" s="6">
        <v>3291</v>
      </c>
      <c r="H3117" s="6" t="s">
        <v>9704</v>
      </c>
      <c r="I3117" s="6">
        <v>63</v>
      </c>
      <c r="J3117" s="6" t="s">
        <v>23</v>
      </c>
      <c r="K3117" s="6" t="s">
        <v>133</v>
      </c>
      <c r="L3117" s="6">
        <v>1400000</v>
      </c>
      <c r="M3117" s="6">
        <v>2004</v>
      </c>
      <c r="N3117" s="6">
        <v>6.6</v>
      </c>
      <c r="O3117" s="4">
        <f ca="1">IFERROR(__xludf.DUMMYFUNCTION("IF(Cost_in_dollars!E3117=""USD"",Cost_in_dollars!B3117,Cost_in_dollars!B3117 * GOOGLEFINANCE(""CURRENCY:"" &amp; Cost_in_dollars!E3117 &amp; ""USD""))
"),1799559.99999999)</f>
        <v>1799559.99999999</v>
      </c>
      <c r="P3117" s="4">
        <f ca="1">IFERROR(__xludf.DUMMYFUNCTION("IF(Cost_in_dollars!E3117=""USD"",Cost_in_dollars!C3117,Cost_in_dollars!C3117 * GOOGLEFINANCE(""CURRENCY:"" &amp; Cost_in_dollars!E3117 &amp; ""USD""))
"),47341.2819999999)</f>
        <v>47341.281999999897</v>
      </c>
      <c r="Q3117" s="6">
        <f t="shared" ca="1" si="72"/>
        <v>-1752218.7179999901</v>
      </c>
      <c r="R3117" s="7" t="str">
        <f t="shared" si="73"/>
        <v>Incident at Loch Ness</v>
      </c>
      <c r="S3117" s="43" t="str">
        <f t="shared" si="74"/>
        <v>Adventure</v>
      </c>
    </row>
    <row r="3118" spans="1:19" ht="15.75" customHeight="1" x14ac:dyDescent="0.25">
      <c r="A3118" s="4" t="s">
        <v>323</v>
      </c>
      <c r="B3118" s="4">
        <v>81</v>
      </c>
      <c r="C3118" s="4">
        <v>6241697</v>
      </c>
      <c r="D3118" s="4" t="s">
        <v>140</v>
      </c>
      <c r="E3118" s="4" t="s">
        <v>2466</v>
      </c>
      <c r="F3118" s="4" t="s">
        <v>9705</v>
      </c>
      <c r="G3118" s="4">
        <v>16059</v>
      </c>
      <c r="H3118" s="4" t="s">
        <v>9706</v>
      </c>
      <c r="I3118" s="4">
        <v>210</v>
      </c>
      <c r="J3118" s="4" t="s">
        <v>23</v>
      </c>
      <c r="K3118" s="4" t="s">
        <v>611</v>
      </c>
      <c r="L3118" s="4">
        <v>13000000</v>
      </c>
      <c r="M3118" s="4">
        <v>1999</v>
      </c>
      <c r="N3118" s="4">
        <v>6.1</v>
      </c>
      <c r="O3118" s="4">
        <f ca="1">IFERROR(__xludf.DUMMYFUNCTION("IF(Cost_in_dollars!E3118=""USD"",Cost_in_dollars!B3118,Cost_in_dollars!B3118 * GOOGLEFINANCE(""CURRENCY:"" &amp; Cost_in_dollars!E3118 &amp; ""USD""))
"),14101620)</f>
        <v>14101620</v>
      </c>
      <c r="P3118" s="4">
        <f ca="1">IFERROR(__xludf.DUMMYFUNCTION("IF(Cost_in_dollars!E3118=""USD"",Cost_in_dollars!C3118,Cost_in_dollars!C3118 * GOOGLEFINANCE(""CURRENCY:"" &amp; Cost_in_dollars!E3118 &amp; ""USD""))
"),6770618.40378)</f>
        <v>6770618.4037800003</v>
      </c>
      <c r="Q3118" s="4">
        <f t="shared" ca="1" si="72"/>
        <v>-7331001.5962199997</v>
      </c>
      <c r="R3118" s="5" t="str">
        <f t="shared" si="73"/>
        <v>Dick</v>
      </c>
      <c r="S3118" s="43" t="str">
        <f t="shared" si="74"/>
        <v>Comedy</v>
      </c>
    </row>
    <row r="3119" spans="1:19" ht="15.75" customHeight="1" x14ac:dyDescent="0.25">
      <c r="A3119" s="6" t="s">
        <v>2633</v>
      </c>
      <c r="B3119" s="6">
        <v>78</v>
      </c>
      <c r="C3119" s="6">
        <v>22843047</v>
      </c>
      <c r="D3119" s="6" t="s">
        <v>9707</v>
      </c>
      <c r="E3119" s="6" t="s">
        <v>2823</v>
      </c>
      <c r="F3119" s="6" t="s">
        <v>9708</v>
      </c>
      <c r="G3119" s="6">
        <v>6082</v>
      </c>
      <c r="H3119" s="6" t="s">
        <v>9709</v>
      </c>
      <c r="I3119" s="6">
        <v>207</v>
      </c>
      <c r="J3119" s="6" t="s">
        <v>23</v>
      </c>
      <c r="K3119" s="6" t="s">
        <v>24</v>
      </c>
      <c r="L3119" s="6">
        <v>55000000</v>
      </c>
      <c r="M3119" s="6">
        <v>1998</v>
      </c>
      <c r="N3119" s="6">
        <v>5.9</v>
      </c>
      <c r="O3119" s="4">
        <f ca="1">IFERROR(__xludf.DUMMYFUNCTION("IF(Cost_in_dollars!E3119=""USD"",Cost_in_dollars!B3119,Cost_in_dollars!B3119 * GOOGLEFINANCE(""CURRENCY:"" &amp; Cost_in_dollars!E3119 &amp; ""USD""))
"),55000000)</f>
        <v>55000000</v>
      </c>
      <c r="P3119" s="4">
        <f ca="1">IFERROR(__xludf.DUMMYFUNCTION("IF(Cost_in_dollars!E3119=""USD"",Cost_in_dollars!C3119,Cost_in_dollars!C3119 * GOOGLEFINANCE(""CURRENCY:"" &amp; Cost_in_dollars!E3119 &amp; ""USD""))
"),22843047)</f>
        <v>22843047</v>
      </c>
      <c r="Q3119" s="6">
        <f t="shared" ca="1" si="72"/>
        <v>-32156953</v>
      </c>
      <c r="R3119" s="7" t="str">
        <f t="shared" si="73"/>
        <v>Beloved</v>
      </c>
      <c r="S3119" s="43" t="str">
        <f t="shared" si="74"/>
        <v>Drama</v>
      </c>
    </row>
    <row r="3120" spans="1:19" ht="15.75" customHeight="1" x14ac:dyDescent="0.25">
      <c r="A3120" s="4" t="s">
        <v>9710</v>
      </c>
      <c r="B3120" s="4">
        <v>197</v>
      </c>
      <c r="C3120" s="4">
        <v>13763130</v>
      </c>
      <c r="D3120" s="4" t="s">
        <v>774</v>
      </c>
      <c r="E3120" s="4" t="s">
        <v>3002</v>
      </c>
      <c r="F3120" s="4" t="s">
        <v>9711</v>
      </c>
      <c r="G3120" s="4">
        <v>87768</v>
      </c>
      <c r="H3120" s="4" t="s">
        <v>9712</v>
      </c>
      <c r="I3120" s="4">
        <v>187</v>
      </c>
      <c r="J3120" s="4" t="s">
        <v>23</v>
      </c>
      <c r="K3120" s="4" t="s">
        <v>24</v>
      </c>
      <c r="L3120" s="4">
        <v>32000000</v>
      </c>
      <c r="M3120" s="4">
        <v>2010</v>
      </c>
      <c r="N3120" s="4">
        <v>6.3</v>
      </c>
      <c r="O3120" s="4">
        <f ca="1">IFERROR(__xludf.DUMMYFUNCTION("IF(Cost_in_dollars!E3120=""USD"",Cost_in_dollars!B3120,Cost_in_dollars!B3120 * GOOGLEFINANCE(""CURRENCY:"" &amp; Cost_in_dollars!E3120 &amp; ""USD""))
"),32000000)</f>
        <v>32000000</v>
      </c>
      <c r="P3120" s="4">
        <f ca="1">IFERROR(__xludf.DUMMYFUNCTION("IF(Cost_in_dollars!E3120=""USD"",Cost_in_dollars!C3120,Cost_in_dollars!C3120 * GOOGLEFINANCE(""CURRENCY:"" &amp; Cost_in_dollars!E3120 &amp; ""USD""))
"),13763130)</f>
        <v>13763130</v>
      </c>
      <c r="Q3120" s="4">
        <f t="shared" ca="1" si="72"/>
        <v>-18236870</v>
      </c>
      <c r="R3120" s="5" t="str">
        <f t="shared" si="73"/>
        <v>Repo Men</v>
      </c>
      <c r="S3120" s="43" t="str">
        <f t="shared" si="74"/>
        <v>Action</v>
      </c>
    </row>
    <row r="3121" spans="1:19" ht="15.75" customHeight="1" x14ac:dyDescent="0.25">
      <c r="A3121" s="6" t="s">
        <v>9713</v>
      </c>
      <c r="B3121" s="6">
        <v>209</v>
      </c>
      <c r="C3121" s="6">
        <v>27667947</v>
      </c>
      <c r="D3121" s="6" t="s">
        <v>116</v>
      </c>
      <c r="E3121" s="6" t="s">
        <v>3981</v>
      </c>
      <c r="F3121" s="6" t="s">
        <v>9714</v>
      </c>
      <c r="G3121" s="6">
        <v>86374</v>
      </c>
      <c r="H3121" s="6" t="s">
        <v>9715</v>
      </c>
      <c r="I3121" s="6">
        <v>392</v>
      </c>
      <c r="J3121" s="6" t="s">
        <v>23</v>
      </c>
      <c r="K3121" s="6" t="s">
        <v>133</v>
      </c>
      <c r="L3121" s="6">
        <v>50000000</v>
      </c>
      <c r="M3121" s="6">
        <v>2007</v>
      </c>
      <c r="N3121" s="6">
        <v>6.2</v>
      </c>
      <c r="O3121" s="4">
        <f ca="1">IFERROR(__xludf.DUMMYFUNCTION("IF(Cost_in_dollars!E3121=""USD"",Cost_in_dollars!B3121,Cost_in_dollars!B3121 * GOOGLEFINANCE(""CURRENCY:"" &amp; Cost_in_dollars!E3121 &amp; ""USD""))
"),64269999.9999999)</f>
        <v>64269999.999999903</v>
      </c>
      <c r="P3121" s="4">
        <f ca="1">IFERROR(__xludf.DUMMYFUNCTION("IF(Cost_in_dollars!E3121=""USD"",Cost_in_dollars!C3121,Cost_in_dollars!C3121 * GOOGLEFINANCE(""CURRENCY:"" &amp; Cost_in_dollars!E3121 &amp; ""USD""))
"),35564379.0738)</f>
        <v>35564379.073799998</v>
      </c>
      <c r="Q3121" s="6">
        <f t="shared" ca="1" si="72"/>
        <v>-28705620.926199906</v>
      </c>
      <c r="R3121" s="7" t="str">
        <f t="shared" si="73"/>
        <v>Hannibal Rising</v>
      </c>
      <c r="S3121" s="43" t="str">
        <f t="shared" si="74"/>
        <v>Crime</v>
      </c>
    </row>
    <row r="3122" spans="1:19" ht="15.75" customHeight="1" x14ac:dyDescent="0.25">
      <c r="A3122" s="4" t="s">
        <v>7128</v>
      </c>
      <c r="B3122" s="4">
        <v>48</v>
      </c>
      <c r="C3122" s="4">
        <v>53854588</v>
      </c>
      <c r="D3122" s="4" t="s">
        <v>1041</v>
      </c>
      <c r="E3122" s="4" t="s">
        <v>2372</v>
      </c>
      <c r="F3122" s="4" t="s">
        <v>9716</v>
      </c>
      <c r="G3122" s="4">
        <v>37911</v>
      </c>
      <c r="H3122" s="4" t="s">
        <v>9717</v>
      </c>
      <c r="I3122" s="4">
        <v>73</v>
      </c>
      <c r="J3122" s="4" t="s">
        <v>23</v>
      </c>
      <c r="K3122" s="4" t="s">
        <v>24</v>
      </c>
      <c r="L3122" s="4">
        <v>45000000</v>
      </c>
      <c r="M3122" s="4">
        <v>1996</v>
      </c>
      <c r="N3122" s="4">
        <v>6.3</v>
      </c>
      <c r="O3122" s="4">
        <f ca="1">IFERROR(__xludf.DUMMYFUNCTION("IF(Cost_in_dollars!E3122=""USD"",Cost_in_dollars!B3122,Cost_in_dollars!B3122 * GOOGLEFINANCE(""CURRENCY:"" &amp; Cost_in_dollars!E3122 &amp; ""USD""))
"),45000000)</f>
        <v>45000000</v>
      </c>
      <c r="P3122" s="4">
        <f ca="1">IFERROR(__xludf.DUMMYFUNCTION("IF(Cost_in_dollars!E3122=""USD"",Cost_in_dollars!C3122,Cost_in_dollars!C3122 * GOOGLEFINANCE(""CURRENCY:"" &amp; Cost_in_dollars!E3122 &amp; ""USD""))
"),53854588)</f>
        <v>53854588</v>
      </c>
      <c r="Q3122" s="4">
        <f t="shared" ca="1" si="72"/>
        <v>8854588</v>
      </c>
      <c r="R3122" s="5" t="str">
        <f t="shared" si="73"/>
        <v>Tin Cup</v>
      </c>
      <c r="S3122" s="43" t="str">
        <f t="shared" si="74"/>
        <v>Comedy</v>
      </c>
    </row>
    <row r="3123" spans="1:19" ht="15.75" customHeight="1" x14ac:dyDescent="0.25">
      <c r="A3123" s="6" t="s">
        <v>1690</v>
      </c>
      <c r="B3123" s="6">
        <v>55</v>
      </c>
      <c r="C3123" s="6">
        <v>81022333</v>
      </c>
      <c r="D3123" s="6" t="s">
        <v>9718</v>
      </c>
      <c r="E3123" s="6" t="s">
        <v>9719</v>
      </c>
      <c r="F3123" s="6" t="s">
        <v>9720</v>
      </c>
      <c r="G3123" s="6">
        <v>34471</v>
      </c>
      <c r="H3123" s="6" t="s">
        <v>9721</v>
      </c>
      <c r="I3123" s="6">
        <v>147</v>
      </c>
      <c r="J3123" s="6" t="s">
        <v>23</v>
      </c>
      <c r="K3123" s="6" t="s">
        <v>24</v>
      </c>
      <c r="L3123" s="6">
        <v>50000000</v>
      </c>
      <c r="M3123" s="6">
        <v>1995</v>
      </c>
      <c r="N3123" s="6">
        <v>5</v>
      </c>
      <c r="O3123" s="4">
        <f ca="1">IFERROR(__xludf.DUMMYFUNCTION("IF(Cost_in_dollars!E3123=""USD"",Cost_in_dollars!B3123,Cost_in_dollars!B3123 * GOOGLEFINANCE(""CURRENCY:"" &amp; Cost_in_dollars!E3123 &amp; ""USD""))
"),50000000)</f>
        <v>50000000</v>
      </c>
      <c r="P3123" s="4">
        <f ca="1">IFERROR(__xludf.DUMMYFUNCTION("IF(Cost_in_dollars!E3123=""USD"",Cost_in_dollars!C3123,Cost_in_dollars!C3123 * GOOGLEFINANCE(""CURRENCY:"" &amp; Cost_in_dollars!E3123 &amp; ""USD""))
"),81022333)</f>
        <v>81022333</v>
      </c>
      <c r="Q3123" s="6">
        <f t="shared" ca="1" si="72"/>
        <v>31022333</v>
      </c>
      <c r="R3123" s="7" t="str">
        <f t="shared" si="73"/>
        <v>Congo</v>
      </c>
      <c r="S3123" s="43" t="str">
        <f t="shared" si="74"/>
        <v>Action</v>
      </c>
    </row>
    <row r="3124" spans="1:19" ht="15.75" customHeight="1" x14ac:dyDescent="0.25">
      <c r="A3124" s="4" t="s">
        <v>3430</v>
      </c>
      <c r="B3124" s="4">
        <v>222</v>
      </c>
      <c r="C3124" s="4">
        <v>127706877</v>
      </c>
      <c r="D3124" s="4" t="s">
        <v>9722</v>
      </c>
      <c r="E3124" s="4" t="s">
        <v>9723</v>
      </c>
      <c r="F3124" s="4" t="s">
        <v>9724</v>
      </c>
      <c r="G3124" s="4">
        <v>142496</v>
      </c>
      <c r="H3124" s="4" t="s">
        <v>9725</v>
      </c>
      <c r="I3124" s="4">
        <v>399</v>
      </c>
      <c r="J3124" s="4" t="s">
        <v>23</v>
      </c>
      <c r="K3124" s="4" t="s">
        <v>24</v>
      </c>
      <c r="L3124" s="4">
        <v>85000000</v>
      </c>
      <c r="M3124" s="4">
        <v>2007</v>
      </c>
      <c r="N3124" s="4">
        <v>7.1</v>
      </c>
      <c r="O3124" s="4">
        <f ca="1">IFERROR(__xludf.DUMMYFUNCTION("IF(Cost_in_dollars!E3124=""USD"",Cost_in_dollars!B3124,Cost_in_dollars!B3124 * GOOGLEFINANCE(""CURRENCY:"" &amp; Cost_in_dollars!E3124 &amp; ""USD""))
"),85000000)</f>
        <v>85000000</v>
      </c>
      <c r="P3124" s="4">
        <f ca="1">IFERROR(__xludf.DUMMYFUNCTION("IF(Cost_in_dollars!E3124=""USD"",Cost_in_dollars!C3124,Cost_in_dollars!C3124 * GOOGLEFINANCE(""CURRENCY:"" &amp; Cost_in_dollars!E3124 &amp; ""USD""))
"),127706877)</f>
        <v>127706877</v>
      </c>
      <c r="Q3124" s="4">
        <f t="shared" ca="1" si="72"/>
        <v>42706877</v>
      </c>
      <c r="R3124" s="5" t="str">
        <f t="shared" si="73"/>
        <v>Enchanted</v>
      </c>
      <c r="S3124" s="43" t="str">
        <f t="shared" si="74"/>
        <v>Animation</v>
      </c>
    </row>
    <row r="3125" spans="1:19" ht="15.75" customHeight="1" x14ac:dyDescent="0.25">
      <c r="A3125" s="6" t="s">
        <v>4743</v>
      </c>
      <c r="B3125" s="6">
        <v>350</v>
      </c>
      <c r="C3125" s="6">
        <v>5749134</v>
      </c>
      <c r="D3125" s="6" t="s">
        <v>504</v>
      </c>
      <c r="E3125" s="6" t="s">
        <v>3269</v>
      </c>
      <c r="F3125" s="6" t="s">
        <v>9726</v>
      </c>
      <c r="G3125" s="6">
        <v>45799</v>
      </c>
      <c r="H3125" s="6" t="s">
        <v>9727</v>
      </c>
      <c r="I3125" s="6">
        <v>180</v>
      </c>
      <c r="J3125" s="6" t="s">
        <v>23</v>
      </c>
      <c r="K3125" s="6" t="s">
        <v>24</v>
      </c>
      <c r="L3125" s="6">
        <v>20000000</v>
      </c>
      <c r="M3125" s="6">
        <v>2014</v>
      </c>
      <c r="N3125" s="6">
        <v>7</v>
      </c>
      <c r="O3125" s="4">
        <f ca="1">IFERROR(__xludf.DUMMYFUNCTION("IF(Cost_in_dollars!E3125=""USD"",Cost_in_dollars!B3125,Cost_in_dollars!B3125 * GOOGLEFINANCE(""CURRENCY:"" &amp; Cost_in_dollars!E3125 &amp; ""USD""))
"),20000000)</f>
        <v>20000000</v>
      </c>
      <c r="P3125" s="4">
        <f ca="1">IFERROR(__xludf.DUMMYFUNCTION("IF(Cost_in_dollars!E3125=""USD"",Cost_in_dollars!C3125,Cost_in_dollars!C3125 * GOOGLEFINANCE(""CURRENCY:"" &amp; Cost_in_dollars!E3125 &amp; ""USD""))
"),5749134)</f>
        <v>5749134</v>
      </c>
      <c r="Q3125" s="6">
        <f t="shared" ca="1" si="72"/>
        <v>-14250866</v>
      </c>
      <c r="R3125" s="7" t="str">
        <f t="shared" si="73"/>
        <v>A Most Violent Year</v>
      </c>
      <c r="S3125" s="43" t="str">
        <f t="shared" si="74"/>
        <v>Action</v>
      </c>
    </row>
    <row r="3126" spans="1:19" ht="15.75" customHeight="1" x14ac:dyDescent="0.25">
      <c r="A3126" s="4" t="s">
        <v>1468</v>
      </c>
      <c r="B3126" s="4">
        <v>124</v>
      </c>
      <c r="C3126" s="4">
        <v>42071069</v>
      </c>
      <c r="D3126" s="4" t="s">
        <v>1041</v>
      </c>
      <c r="E3126" s="4" t="s">
        <v>2258</v>
      </c>
      <c r="F3126" s="4" t="s">
        <v>9728</v>
      </c>
      <c r="G3126" s="4">
        <v>36223</v>
      </c>
      <c r="H3126" s="4" t="s">
        <v>9729</v>
      </c>
      <c r="I3126" s="4">
        <v>208</v>
      </c>
      <c r="J3126" s="4" t="s">
        <v>23</v>
      </c>
      <c r="K3126" s="4" t="s">
        <v>24</v>
      </c>
      <c r="L3126" s="4">
        <v>30000000</v>
      </c>
      <c r="M3126" s="4">
        <v>2005</v>
      </c>
      <c r="N3126" s="4">
        <v>6.2</v>
      </c>
      <c r="O3126" s="4">
        <f ca="1">IFERROR(__xludf.DUMMYFUNCTION("IF(Cost_in_dollars!E3126=""USD"",Cost_in_dollars!B3126,Cost_in_dollars!B3126 * GOOGLEFINANCE(""CURRENCY:"" &amp; Cost_in_dollars!E3126 &amp; ""USD""))
"),30000000)</f>
        <v>30000000</v>
      </c>
      <c r="P3126" s="4">
        <f ca="1">IFERROR(__xludf.DUMMYFUNCTION("IF(Cost_in_dollars!E3126=""USD"",Cost_in_dollars!C3126,Cost_in_dollars!C3126 * GOOGLEFINANCE(""CURRENCY:"" &amp; Cost_in_dollars!E3126 &amp; ""USD""))
"),42071069)</f>
        <v>42071069</v>
      </c>
      <c r="Q3126" s="4">
        <f t="shared" ca="1" si="72"/>
        <v>12071069</v>
      </c>
      <c r="R3126" s="5" t="str">
        <f t="shared" si="73"/>
        <v>Fever Pitch</v>
      </c>
      <c r="S3126" s="43" t="str">
        <f t="shared" si="74"/>
        <v>Comedy</v>
      </c>
    </row>
    <row r="3127" spans="1:19" ht="15.75" customHeight="1" x14ac:dyDescent="0.25">
      <c r="A3127" s="6" t="s">
        <v>9730</v>
      </c>
      <c r="B3127" s="6">
        <v>16</v>
      </c>
      <c r="C3127" s="6">
        <v>872643</v>
      </c>
      <c r="D3127" s="6" t="s">
        <v>292</v>
      </c>
      <c r="E3127" s="6" t="s">
        <v>9731</v>
      </c>
      <c r="F3127" s="6" t="s">
        <v>9732</v>
      </c>
      <c r="G3127" s="6">
        <v>2909</v>
      </c>
      <c r="H3127" s="6" t="s">
        <v>9733</v>
      </c>
      <c r="I3127" s="6">
        <v>37</v>
      </c>
      <c r="J3127" s="6" t="s">
        <v>673</v>
      </c>
      <c r="K3127" s="6" t="s">
        <v>24</v>
      </c>
      <c r="L3127" s="6">
        <v>6000000</v>
      </c>
      <c r="M3127" s="6">
        <v>2007</v>
      </c>
      <c r="N3127" s="6">
        <v>5.4</v>
      </c>
      <c r="O3127" s="4">
        <f ca="1">IFERROR(__xludf.DUMMYFUNCTION("IF(Cost_in_dollars!E3127=""USD"",Cost_in_dollars!B3127,Cost_in_dollars!B3127 * GOOGLEFINANCE(""CURRENCY:"" &amp; Cost_in_dollars!E3127 &amp; ""USD""))
"),6000000)</f>
        <v>6000000</v>
      </c>
      <c r="P3127" s="4">
        <f ca="1">IFERROR(__xludf.DUMMYFUNCTION("IF(Cost_in_dollars!E3127=""USD"",Cost_in_dollars!C3127,Cost_in_dollars!C3127 * GOOGLEFINANCE(""CURRENCY:"" &amp; Cost_in_dollars!E3127 &amp; ""USD""))
"),872643)</f>
        <v>872643</v>
      </c>
      <c r="Q3127" s="6">
        <f t="shared" ca="1" si="72"/>
        <v>-5127357</v>
      </c>
      <c r="R3127" s="7" t="str">
        <f t="shared" si="73"/>
        <v>Ta Ra Rum Pum</v>
      </c>
      <c r="S3127" s="43" t="str">
        <f t="shared" si="74"/>
        <v>Comedy</v>
      </c>
    </row>
    <row r="3128" spans="1:19" ht="15.75" customHeight="1" x14ac:dyDescent="0.25">
      <c r="A3128" s="4" t="s">
        <v>1683</v>
      </c>
      <c r="B3128" s="4">
        <v>252</v>
      </c>
      <c r="C3128" s="4">
        <v>20433940</v>
      </c>
      <c r="D3128" s="4" t="s">
        <v>151</v>
      </c>
      <c r="E3128" s="4" t="s">
        <v>9734</v>
      </c>
      <c r="F3128" s="4" t="s">
        <v>9735</v>
      </c>
      <c r="G3128" s="4">
        <v>78883</v>
      </c>
      <c r="H3128" s="4" t="s">
        <v>9736</v>
      </c>
      <c r="I3128" s="4">
        <v>662</v>
      </c>
      <c r="J3128" s="4" t="s">
        <v>23</v>
      </c>
      <c r="K3128" s="4" t="s">
        <v>627</v>
      </c>
      <c r="L3128" s="4">
        <v>15000000</v>
      </c>
      <c r="M3128" s="4">
        <v>2005</v>
      </c>
      <c r="N3128" s="4">
        <v>6.2</v>
      </c>
      <c r="O3128" s="4">
        <f ca="1">IFERROR(__xludf.DUMMYFUNCTION("IF(Cost_in_dollars!E3128=""USD"",Cost_in_dollars!B3128,Cost_in_dollars!B3128 * GOOGLEFINANCE(""CURRENCY:"" &amp; Cost_in_dollars!E3128 &amp; ""USD""))
"),10851075)</f>
        <v>10851075</v>
      </c>
      <c r="P3128" s="4">
        <f ca="1">IFERROR(__xludf.DUMMYFUNCTION("IF(Cost_in_dollars!E3128=""USD"",Cost_in_dollars!C3128,Cost_in_dollars!C3128 * GOOGLEFINANCE(""CURRENCY:"" &amp; Cost_in_dollars!E3128 &amp; ""USD""))
"),14782014.3656999)</f>
        <v>14782014.3656999</v>
      </c>
      <c r="Q3128" s="4">
        <f t="shared" ca="1" si="72"/>
        <v>3930939.3656999003</v>
      </c>
      <c r="R3128" s="5" t="str">
        <f t="shared" si="73"/>
        <v>Land of the Dead</v>
      </c>
      <c r="S3128" s="43" t="str">
        <f t="shared" si="74"/>
        <v>Horror</v>
      </c>
    </row>
    <row r="3129" spans="1:19" ht="15.75" customHeight="1" x14ac:dyDescent="0.25">
      <c r="A3129" s="6" t="s">
        <v>889</v>
      </c>
      <c r="B3129" s="6">
        <v>83</v>
      </c>
      <c r="C3129" s="6">
        <v>14060950</v>
      </c>
      <c r="D3129" s="6" t="s">
        <v>102</v>
      </c>
      <c r="E3129" s="6" t="s">
        <v>9737</v>
      </c>
      <c r="F3129" s="6" t="s">
        <v>9738</v>
      </c>
      <c r="G3129" s="6">
        <v>14354</v>
      </c>
      <c r="H3129" s="6" t="s">
        <v>9739</v>
      </c>
      <c r="I3129" s="6">
        <v>139</v>
      </c>
      <c r="J3129" s="6" t="s">
        <v>23</v>
      </c>
      <c r="K3129" s="6" t="s">
        <v>24</v>
      </c>
      <c r="L3129" s="6">
        <v>12500000</v>
      </c>
      <c r="M3129" s="6">
        <v>2002</v>
      </c>
      <c r="N3129" s="6">
        <v>6.9</v>
      </c>
      <c r="O3129" s="4">
        <f ca="1">IFERROR(__xludf.DUMMYFUNCTION("IF(Cost_in_dollars!E3129=""USD"",Cost_in_dollars!B3129,Cost_in_dollars!B3129 * GOOGLEFINANCE(""CURRENCY:"" &amp; Cost_in_dollars!E3129 &amp; ""USD""))
"),12500000)</f>
        <v>12500000</v>
      </c>
      <c r="P3129" s="4">
        <f ca="1">IFERROR(__xludf.DUMMYFUNCTION("IF(Cost_in_dollars!E3129=""USD"",Cost_in_dollars!C3129,Cost_in_dollars!C3129 * GOOGLEFINANCE(""CURRENCY:"" &amp; Cost_in_dollars!E3129 &amp; ""USD""))
"),14060950)</f>
        <v>14060950</v>
      </c>
      <c r="Q3129" s="6">
        <f t="shared" ca="1" si="72"/>
        <v>1560950</v>
      </c>
      <c r="R3129" s="7" t="str">
        <f t="shared" si="73"/>
        <v>The Emperor's Club</v>
      </c>
      <c r="S3129" s="43" t="str">
        <f t="shared" si="74"/>
        <v>Drama</v>
      </c>
    </row>
    <row r="3130" spans="1:19" ht="15.75" customHeight="1" x14ac:dyDescent="0.25">
      <c r="A3130" s="4" t="s">
        <v>1882</v>
      </c>
      <c r="B3130" s="4">
        <v>334</v>
      </c>
      <c r="C3130" s="4">
        <v>234360014</v>
      </c>
      <c r="D3130" s="4" t="s">
        <v>452</v>
      </c>
      <c r="E3130" s="4" t="s">
        <v>977</v>
      </c>
      <c r="F3130" s="4" t="s">
        <v>9740</v>
      </c>
      <c r="G3130" s="4">
        <v>383427</v>
      </c>
      <c r="H3130" s="4" t="s">
        <v>9741</v>
      </c>
      <c r="I3130" s="4">
        <v>1912</v>
      </c>
      <c r="J3130" s="4" t="s">
        <v>23</v>
      </c>
      <c r="K3130" s="4" t="s">
        <v>627</v>
      </c>
      <c r="L3130" s="4">
        <v>210000000</v>
      </c>
      <c r="M3130" s="4">
        <v>2006</v>
      </c>
      <c r="N3130" s="4">
        <v>6.8</v>
      </c>
      <c r="O3130" s="4">
        <f ca="1">IFERROR(__xludf.DUMMYFUNCTION("IF(Cost_in_dollars!E3130=""USD"",Cost_in_dollars!B3130,Cost_in_dollars!B3130 * GOOGLEFINANCE(""CURRENCY:"" &amp; Cost_in_dollars!E3130 &amp; ""USD""))
"),151915050)</f>
        <v>151915050</v>
      </c>
      <c r="P3130" s="4">
        <f ca="1">IFERROR(__xludf.DUMMYFUNCTION("IF(Cost_in_dollars!E3130=""USD"",Cost_in_dollars!C3130,Cost_in_dollars!C3130 * GOOGLEFINANCE(""CURRENCY:"" &amp; Cost_in_dollars!E3130 &amp; ""USD""))
"),169537205.92767)</f>
        <v>169537205.92767</v>
      </c>
      <c r="Q3130" s="4">
        <f t="shared" ca="1" si="72"/>
        <v>17622155.927670002</v>
      </c>
      <c r="R3130" s="5" t="str">
        <f t="shared" si="73"/>
        <v>X-Men: The Last Stand</v>
      </c>
      <c r="S3130" s="43" t="str">
        <f t="shared" si="74"/>
        <v>Action</v>
      </c>
    </row>
    <row r="3131" spans="1:19" ht="15.75" customHeight="1" x14ac:dyDescent="0.25">
      <c r="A3131" s="6" t="s">
        <v>3848</v>
      </c>
      <c r="B3131" s="6">
        <v>66</v>
      </c>
      <c r="C3131" s="6">
        <v>42877165</v>
      </c>
      <c r="D3131" s="6" t="s">
        <v>504</v>
      </c>
      <c r="E3131" s="6" t="s">
        <v>640</v>
      </c>
      <c r="F3131" s="6" t="s">
        <v>9742</v>
      </c>
      <c r="G3131" s="6">
        <v>45602</v>
      </c>
      <c r="H3131" s="6" t="s">
        <v>9743</v>
      </c>
      <c r="I3131" s="6">
        <v>114</v>
      </c>
      <c r="J3131" s="6" t="s">
        <v>23</v>
      </c>
      <c r="K3131" s="6" t="s">
        <v>24</v>
      </c>
      <c r="L3131" s="6">
        <v>86000000</v>
      </c>
      <c r="M3131" s="6">
        <v>1997</v>
      </c>
      <c r="N3131" s="6">
        <v>6.1</v>
      </c>
      <c r="O3131" s="4">
        <f ca="1">IFERROR(__xludf.DUMMYFUNCTION("IF(Cost_in_dollars!E3131=""USD"",Cost_in_dollars!B3131,Cost_in_dollars!B3131 * GOOGLEFINANCE(""CURRENCY:"" &amp; Cost_in_dollars!E3131 &amp; ""USD""))
"),86000000)</f>
        <v>86000000</v>
      </c>
      <c r="P3131" s="4">
        <f ca="1">IFERROR(__xludf.DUMMYFUNCTION("IF(Cost_in_dollars!E3131=""USD"",Cost_in_dollars!C3131,Cost_in_dollars!C3131 * GOOGLEFINANCE(""CURRENCY:"" &amp; Cost_in_dollars!E3131 &amp; ""USD""))
"),42877165)</f>
        <v>42877165</v>
      </c>
      <c r="Q3131" s="6">
        <f t="shared" ca="1" si="72"/>
        <v>-43122835</v>
      </c>
      <c r="R3131" s="7" t="str">
        <f t="shared" si="73"/>
        <v>The Devil's Own</v>
      </c>
      <c r="S3131" s="43" t="str">
        <f t="shared" si="74"/>
        <v>Action</v>
      </c>
    </row>
    <row r="3132" spans="1:19" ht="15.75" customHeight="1" x14ac:dyDescent="0.25">
      <c r="A3132" s="4" t="s">
        <v>516</v>
      </c>
      <c r="B3132" s="4">
        <v>142</v>
      </c>
      <c r="C3132" s="4">
        <v>48291624</v>
      </c>
      <c r="D3132" s="4" t="s">
        <v>1756</v>
      </c>
      <c r="E3132" s="4" t="s">
        <v>3085</v>
      </c>
      <c r="F3132" s="4" t="s">
        <v>9744</v>
      </c>
      <c r="G3132" s="4">
        <v>82819</v>
      </c>
      <c r="H3132" s="4" t="s">
        <v>9745</v>
      </c>
      <c r="I3132" s="4">
        <v>263</v>
      </c>
      <c r="J3132" s="4" t="s">
        <v>23</v>
      </c>
      <c r="K3132" s="4" t="s">
        <v>24</v>
      </c>
      <c r="L3132" s="4">
        <v>58000000</v>
      </c>
      <c r="M3132" s="4">
        <v>2005</v>
      </c>
      <c r="N3132" s="4">
        <v>6.7</v>
      </c>
      <c r="O3132" s="4">
        <f ca="1">IFERROR(__xludf.DUMMYFUNCTION("IF(Cost_in_dollars!E3132=""USD"",Cost_in_dollars!B3132,Cost_in_dollars!B3132 * GOOGLEFINANCE(""CURRENCY:"" &amp; Cost_in_dollars!E3132 &amp; ""USD""))
"),58000000)</f>
        <v>58000000</v>
      </c>
      <c r="P3132" s="4">
        <f ca="1">IFERROR(__xludf.DUMMYFUNCTION("IF(Cost_in_dollars!E3132=""USD"",Cost_in_dollars!C3132,Cost_in_dollars!C3132 * GOOGLEFINANCE(""CURRENCY:"" &amp; Cost_in_dollars!E3132 &amp; ""USD""))
"),48291624)</f>
        <v>48291624</v>
      </c>
      <c r="Q3132" s="4">
        <f t="shared" ca="1" si="72"/>
        <v>-9708376</v>
      </c>
      <c r="R3132" s="5" t="str">
        <f t="shared" si="73"/>
        <v>Just Like Heaven</v>
      </c>
      <c r="S3132" s="43" t="str">
        <f t="shared" si="74"/>
        <v>Comedy</v>
      </c>
    </row>
    <row r="3133" spans="1:19" ht="15.75" customHeight="1" x14ac:dyDescent="0.25">
      <c r="A3133" s="6" t="s">
        <v>2110</v>
      </c>
      <c r="B3133" s="6">
        <v>204</v>
      </c>
      <c r="C3133" s="6">
        <v>103028109</v>
      </c>
      <c r="D3133" s="6" t="s">
        <v>88</v>
      </c>
      <c r="E3133" s="6" t="s">
        <v>619</v>
      </c>
      <c r="F3133" s="6" t="s">
        <v>9746</v>
      </c>
      <c r="G3133" s="6">
        <v>172878</v>
      </c>
      <c r="H3133" s="6" t="s">
        <v>9747</v>
      </c>
      <c r="I3133" s="6">
        <v>203</v>
      </c>
      <c r="J3133" s="6" t="s">
        <v>23</v>
      </c>
      <c r="K3133" s="6" t="s">
        <v>24</v>
      </c>
      <c r="L3133" s="6">
        <v>80000000</v>
      </c>
      <c r="M3133" s="6">
        <v>2011</v>
      </c>
      <c r="N3133" s="6">
        <v>6.4</v>
      </c>
      <c r="O3133" s="4">
        <f ca="1">IFERROR(__xludf.DUMMYFUNCTION("IF(Cost_in_dollars!E3133=""USD"",Cost_in_dollars!B3133,Cost_in_dollars!B3133 * GOOGLEFINANCE(""CURRENCY:"" &amp; Cost_in_dollars!E3133 &amp; ""USD""))
"),80000000)</f>
        <v>80000000</v>
      </c>
      <c r="P3133" s="4">
        <f ca="1">IFERROR(__xludf.DUMMYFUNCTION("IF(Cost_in_dollars!E3133=""USD"",Cost_in_dollars!C3133,Cost_in_dollars!C3133 * GOOGLEFINANCE(""CURRENCY:"" &amp; Cost_in_dollars!E3133 &amp; ""USD""))
"),103028109)</f>
        <v>103028109</v>
      </c>
      <c r="Q3133" s="6">
        <f t="shared" ca="1" si="72"/>
        <v>23028109</v>
      </c>
      <c r="R3133" s="7" t="str">
        <f t="shared" si="73"/>
        <v>Just Go with It</v>
      </c>
      <c r="S3133" s="43" t="str">
        <f t="shared" si="74"/>
        <v>Comedy</v>
      </c>
    </row>
    <row r="3134" spans="1:19" ht="15.75" customHeight="1" x14ac:dyDescent="0.25">
      <c r="A3134" s="4" t="s">
        <v>6010</v>
      </c>
      <c r="B3134" s="4">
        <v>144</v>
      </c>
      <c r="C3134" s="4">
        <v>10824921</v>
      </c>
      <c r="D3134" s="4" t="s">
        <v>140</v>
      </c>
      <c r="E3134" s="4" t="s">
        <v>3710</v>
      </c>
      <c r="F3134" s="4" t="s">
        <v>9748</v>
      </c>
      <c r="G3134" s="4">
        <v>200293</v>
      </c>
      <c r="H3134" s="4" t="s">
        <v>9749</v>
      </c>
      <c r="I3134" s="4">
        <v>621</v>
      </c>
      <c r="J3134" s="4" t="s">
        <v>23</v>
      </c>
      <c r="K3134" s="4" t="s">
        <v>24</v>
      </c>
      <c r="L3134" s="4">
        <v>10000000</v>
      </c>
      <c r="M3134" s="4">
        <v>1999</v>
      </c>
      <c r="N3134" s="4">
        <v>7.8</v>
      </c>
      <c r="O3134" s="4">
        <f ca="1">IFERROR(__xludf.DUMMYFUNCTION("IF(Cost_in_dollars!E3134=""USD"",Cost_in_dollars!B3134,Cost_in_dollars!B3134 * GOOGLEFINANCE(""CURRENCY:"" &amp; Cost_in_dollars!E3134 &amp; ""USD""))
"),10000000)</f>
        <v>10000000</v>
      </c>
      <c r="P3134" s="4">
        <f ca="1">IFERROR(__xludf.DUMMYFUNCTION("IF(Cost_in_dollars!E3134=""USD"",Cost_in_dollars!C3134,Cost_in_dollars!C3134 * GOOGLEFINANCE(""CURRENCY:"" &amp; Cost_in_dollars!E3134 &amp; ""USD""))
"),10824921)</f>
        <v>10824921</v>
      </c>
      <c r="Q3134" s="4">
        <f t="shared" ca="1" si="72"/>
        <v>824921</v>
      </c>
      <c r="R3134" s="5" t="str">
        <f t="shared" si="73"/>
        <v>Office Space</v>
      </c>
      <c r="S3134" s="43" t="str">
        <f t="shared" si="74"/>
        <v>Comedy</v>
      </c>
    </row>
    <row r="3135" spans="1:19" ht="15.75" customHeight="1" x14ac:dyDescent="0.25">
      <c r="A3135" s="6" t="s">
        <v>9750</v>
      </c>
      <c r="B3135" s="6">
        <v>159</v>
      </c>
      <c r="C3135" s="6">
        <v>22201636</v>
      </c>
      <c r="D3135" s="6" t="s">
        <v>9751</v>
      </c>
      <c r="E3135" s="6" t="s">
        <v>9752</v>
      </c>
      <c r="F3135" s="6" t="s">
        <v>9753</v>
      </c>
      <c r="G3135" s="6">
        <v>33567</v>
      </c>
      <c r="H3135" s="6" t="s">
        <v>9754</v>
      </c>
      <c r="I3135" s="6">
        <v>206</v>
      </c>
      <c r="J3135" s="6" t="s">
        <v>23</v>
      </c>
      <c r="K3135" s="6" t="s">
        <v>24</v>
      </c>
      <c r="L3135" s="6">
        <v>8000000</v>
      </c>
      <c r="M3135" s="6">
        <v>2005</v>
      </c>
      <c r="N3135" s="6">
        <v>7.4</v>
      </c>
      <c r="O3135" s="4">
        <f ca="1">IFERROR(__xludf.DUMMYFUNCTION("IF(Cost_in_dollars!E3135=""USD"",Cost_in_dollars!B3135,Cost_in_dollars!B3135 * GOOGLEFINANCE(""CURRENCY:"" &amp; Cost_in_dollars!E3135 &amp; ""USD""))
"),8000000)</f>
        <v>8000000</v>
      </c>
      <c r="P3135" s="4">
        <f ca="1">IFERROR(__xludf.DUMMYFUNCTION("IF(Cost_in_dollars!E3135=""USD"",Cost_in_dollars!C3135,Cost_in_dollars!C3135 * GOOGLEFINANCE(""CURRENCY:"" &amp; Cost_in_dollars!E3135 &amp; ""USD""))
"),22201636)</f>
        <v>22201636</v>
      </c>
      <c r="Q3135" s="6">
        <f t="shared" ca="1" si="72"/>
        <v>14201636</v>
      </c>
      <c r="R3135" s="7" t="str">
        <f t="shared" si="73"/>
        <v>Hustle &amp; Flow</v>
      </c>
      <c r="S3135" s="43" t="str">
        <f t="shared" si="74"/>
        <v>Crime</v>
      </c>
    </row>
    <row r="3136" spans="1:19" ht="15.75" customHeight="1" x14ac:dyDescent="0.25">
      <c r="A3136" s="4" t="s">
        <v>9755</v>
      </c>
      <c r="B3136" s="4">
        <v>24</v>
      </c>
      <c r="C3136" s="4">
        <v>11144518</v>
      </c>
      <c r="D3136" s="4" t="s">
        <v>5713</v>
      </c>
      <c r="E3136" s="4" t="s">
        <v>9756</v>
      </c>
      <c r="F3136" s="4" t="s">
        <v>9757</v>
      </c>
      <c r="G3136" s="4">
        <v>2724</v>
      </c>
      <c r="H3136" s="4" t="s">
        <v>9758</v>
      </c>
      <c r="I3136" s="4">
        <v>53</v>
      </c>
      <c r="J3136" s="4" t="s">
        <v>23</v>
      </c>
      <c r="K3136" s="4" t="s">
        <v>627</v>
      </c>
      <c r="L3136" s="4">
        <v>15000000</v>
      </c>
      <c r="M3136" s="4">
        <v>1998</v>
      </c>
      <c r="N3136" s="4">
        <v>2.8</v>
      </c>
      <c r="O3136" s="4">
        <f ca="1">IFERROR(__xludf.DUMMYFUNCTION("IF(Cost_in_dollars!E3136=""USD"",Cost_in_dollars!B3136,Cost_in_dollars!B3136 * GOOGLEFINANCE(""CURRENCY:"" &amp; Cost_in_dollars!E3136 &amp; ""USD""))
"),10851075)</f>
        <v>10851075</v>
      </c>
      <c r="P3136" s="4">
        <f ca="1">IFERROR(__xludf.DUMMYFUNCTION("IF(Cost_in_dollars!E3136=""USD"",Cost_in_dollars!C3136,Cost_in_dollars!C3136 * GOOGLEFINANCE(""CURRENCY:"" &amp; Cost_in_dollars!E3136 &amp; ""USD""))
"),8062000.04379)</f>
        <v>8062000.0437899996</v>
      </c>
      <c r="Q3136" s="4">
        <f t="shared" ca="1" si="72"/>
        <v>-2789074.9562100004</v>
      </c>
      <c r="R3136" s="5" t="str">
        <f t="shared" si="73"/>
        <v>Barney's Great Adventure</v>
      </c>
      <c r="S3136" s="43" t="str">
        <f t="shared" si="74"/>
        <v>Adventure</v>
      </c>
    </row>
    <row r="3137" spans="1:19" ht="15.75" customHeight="1" x14ac:dyDescent="0.25">
      <c r="A3137" s="6" t="s">
        <v>9759</v>
      </c>
      <c r="B3137" s="6">
        <v>79</v>
      </c>
      <c r="C3137" s="6">
        <v>19819494</v>
      </c>
      <c r="D3137" s="6" t="s">
        <v>504</v>
      </c>
      <c r="E3137" s="6" t="s">
        <v>173</v>
      </c>
      <c r="F3137" s="6" t="s">
        <v>9760</v>
      </c>
      <c r="G3137" s="6">
        <v>26893</v>
      </c>
      <c r="H3137" s="6" t="s">
        <v>9761</v>
      </c>
      <c r="I3137" s="6">
        <v>126</v>
      </c>
      <c r="J3137" s="6" t="s">
        <v>23</v>
      </c>
      <c r="K3137" s="6" t="s">
        <v>24</v>
      </c>
      <c r="L3137" s="6">
        <v>70000000</v>
      </c>
      <c r="M3137" s="6">
        <v>1998</v>
      </c>
      <c r="N3137" s="6">
        <v>5.8</v>
      </c>
      <c r="O3137" s="4">
        <f ca="1">IFERROR(__xludf.DUMMYFUNCTION("IF(Cost_in_dollars!E3137=""USD"",Cost_in_dollars!B3137,Cost_in_dollars!B3137 * GOOGLEFINANCE(""CURRENCY:"" &amp; Cost_in_dollars!E3137 &amp; ""USD""))
"),70000000)</f>
        <v>70000000</v>
      </c>
      <c r="P3137" s="4">
        <f ca="1">IFERROR(__xludf.DUMMYFUNCTION("IF(Cost_in_dollars!E3137=""USD"",Cost_in_dollars!C3137,Cost_in_dollars!C3137 * GOOGLEFINANCE(""CURRENCY:"" &amp; Cost_in_dollars!E3137 &amp; ""USD""))
"),19819494)</f>
        <v>19819494</v>
      </c>
      <c r="Q3137" s="6">
        <f t="shared" ca="1" si="72"/>
        <v>-50180506</v>
      </c>
      <c r="R3137" s="7" t="str">
        <f t="shared" si="73"/>
        <v>Hard Rain</v>
      </c>
      <c r="S3137" s="43" t="str">
        <f t="shared" si="74"/>
        <v>Action</v>
      </c>
    </row>
    <row r="3138" spans="1:19" ht="15.75" customHeight="1" x14ac:dyDescent="0.25">
      <c r="A3138" s="4" t="s">
        <v>863</v>
      </c>
      <c r="B3138" s="4">
        <v>335</v>
      </c>
      <c r="C3138" s="4">
        <v>49874933</v>
      </c>
      <c r="D3138" s="4" t="s">
        <v>172</v>
      </c>
      <c r="E3138" s="4" t="s">
        <v>49</v>
      </c>
      <c r="F3138" s="4" t="s">
        <v>9762</v>
      </c>
      <c r="G3138" s="4">
        <v>161168</v>
      </c>
      <c r="H3138" s="4" t="s">
        <v>9763</v>
      </c>
      <c r="I3138" s="4">
        <v>287</v>
      </c>
      <c r="J3138" s="4" t="s">
        <v>23</v>
      </c>
      <c r="K3138" s="4" t="s">
        <v>24</v>
      </c>
      <c r="L3138" s="4">
        <v>26000000</v>
      </c>
      <c r="M3138" s="4">
        <v>2013</v>
      </c>
      <c r="N3138" s="4">
        <v>6.5</v>
      </c>
      <c r="O3138" s="4">
        <f ca="1">IFERROR(__xludf.DUMMYFUNCTION("IF(Cost_in_dollars!E3138=""USD"",Cost_in_dollars!B3138,Cost_in_dollars!B3138 * GOOGLEFINANCE(""CURRENCY:"" &amp; Cost_in_dollars!E3138 &amp; ""USD""))
"),26000000)</f>
        <v>26000000</v>
      </c>
      <c r="P3138" s="4">
        <f ca="1">IFERROR(__xludf.DUMMYFUNCTION("IF(Cost_in_dollars!E3138=""USD"",Cost_in_dollars!C3138,Cost_in_dollars!C3138 * GOOGLEFINANCE(""CURRENCY:"" &amp; Cost_in_dollars!E3138 &amp; ""USD""))
"),49874933)</f>
        <v>49874933</v>
      </c>
      <c r="Q3138" s="4">
        <f t="shared" ca="1" si="72"/>
        <v>23874933</v>
      </c>
      <c r="R3138" s="5" t="str">
        <f t="shared" si="73"/>
        <v>Pain &amp; Gain</v>
      </c>
      <c r="S3138" s="43" t="str">
        <f t="shared" ref="S3138:S3201" si="75">IF(ISNUMBER(FIND("|", D3138)), LEFT(D3138, FIND("|", D3138) - 1), D3138)</f>
        <v>Comedy</v>
      </c>
    </row>
    <row r="3139" spans="1:19" ht="15.75" customHeight="1" x14ac:dyDescent="0.25">
      <c r="A3139" s="6" t="s">
        <v>2487</v>
      </c>
      <c r="B3139" s="6">
        <v>66</v>
      </c>
      <c r="C3139" s="6">
        <v>35990505</v>
      </c>
      <c r="D3139" s="6" t="s">
        <v>2092</v>
      </c>
      <c r="E3139" s="6" t="s">
        <v>545</v>
      </c>
      <c r="F3139" s="6" t="s">
        <v>9764</v>
      </c>
      <c r="G3139" s="6">
        <v>48095</v>
      </c>
      <c r="H3139" s="6" t="s">
        <v>9765</v>
      </c>
      <c r="I3139" s="6">
        <v>194</v>
      </c>
      <c r="J3139" s="6" t="s">
        <v>23</v>
      </c>
      <c r="K3139" s="6" t="s">
        <v>24</v>
      </c>
      <c r="L3139" s="6">
        <v>20000000</v>
      </c>
      <c r="M3139" s="6">
        <v>2003</v>
      </c>
      <c r="N3139" s="6">
        <v>5.8</v>
      </c>
      <c r="O3139" s="4">
        <f ca="1">IFERROR(__xludf.DUMMYFUNCTION("IF(Cost_in_dollars!E3139=""USD"",Cost_in_dollars!B3139,Cost_in_dollars!B3139 * GOOGLEFINANCE(""CURRENCY:"" &amp; Cost_in_dollars!E3139 &amp; ""USD""))
"),20000000)</f>
        <v>20000000</v>
      </c>
      <c r="P3139" s="4">
        <f ca="1">IFERROR(__xludf.DUMMYFUNCTION("IF(Cost_in_dollars!E3139=""USD"",Cost_in_dollars!C3139,Cost_in_dollars!C3139 * GOOGLEFINANCE(""CURRENCY:"" &amp; Cost_in_dollars!E3139 &amp; ""USD""))
"),35990505)</f>
        <v>35990505</v>
      </c>
      <c r="Q3139" s="6">
        <f t="shared" ca="1" si="72"/>
        <v>15990505</v>
      </c>
      <c r="R3139" s="7" t="str">
        <f t="shared" si="73"/>
        <v>What a Girl Wants</v>
      </c>
      <c r="S3139" s="43" t="str">
        <f t="shared" si="75"/>
        <v>Comedy</v>
      </c>
    </row>
    <row r="3140" spans="1:19" ht="15.75" customHeight="1" x14ac:dyDescent="0.25">
      <c r="A3140" s="4" t="s">
        <v>9766</v>
      </c>
      <c r="B3140" s="4">
        <v>179</v>
      </c>
      <c r="C3140" s="4">
        <v>35918429</v>
      </c>
      <c r="D3140" s="4" t="s">
        <v>53</v>
      </c>
      <c r="E3140" s="4" t="s">
        <v>1503</v>
      </c>
      <c r="F3140" s="4" t="s">
        <v>9767</v>
      </c>
      <c r="G3140" s="4">
        <v>32415</v>
      </c>
      <c r="H3140" s="4" t="s">
        <v>9768</v>
      </c>
      <c r="I3140" s="4">
        <v>510</v>
      </c>
      <c r="J3140" s="4" t="s">
        <v>23</v>
      </c>
      <c r="K3140" s="4" t="s">
        <v>24</v>
      </c>
      <c r="L3140" s="4">
        <v>1700000</v>
      </c>
      <c r="M3140" s="4">
        <v>2001</v>
      </c>
      <c r="N3140" s="4">
        <v>7.5</v>
      </c>
      <c r="O3140" s="4">
        <f ca="1">IFERROR(__xludf.DUMMYFUNCTION("IF(Cost_in_dollars!E3140=""USD"",Cost_in_dollars!B3140,Cost_in_dollars!B3140 * GOOGLEFINANCE(""CURRENCY:"" &amp; Cost_in_dollars!E3140 &amp; ""USD""))
"),1700000)</f>
        <v>1700000</v>
      </c>
      <c r="P3140" s="4">
        <f ca="1">IFERROR(__xludf.DUMMYFUNCTION("IF(Cost_in_dollars!E3140=""USD"",Cost_in_dollars!C3140,Cost_in_dollars!C3140 * GOOGLEFINANCE(""CURRENCY:"" &amp; Cost_in_dollars!E3140 &amp; ""USD""))
"),35918429)</f>
        <v>35918429</v>
      </c>
      <c r="Q3140" s="4">
        <f t="shared" ca="1" si="72"/>
        <v>34218429</v>
      </c>
      <c r="R3140" s="5" t="str">
        <f t="shared" si="73"/>
        <v>In the Bedroom</v>
      </c>
      <c r="S3140" s="43" t="str">
        <f t="shared" si="75"/>
        <v>Crime</v>
      </c>
    </row>
    <row r="3141" spans="1:19" ht="15.75" customHeight="1" x14ac:dyDescent="0.25">
      <c r="A3141" s="6" t="s">
        <v>5751</v>
      </c>
      <c r="B3141" s="6">
        <v>149</v>
      </c>
      <c r="C3141" s="6">
        <v>41867960</v>
      </c>
      <c r="D3141" s="6" t="s">
        <v>151</v>
      </c>
      <c r="E3141" s="6" t="s">
        <v>4632</v>
      </c>
      <c r="F3141" s="6" t="s">
        <v>9769</v>
      </c>
      <c r="G3141" s="6">
        <v>65512</v>
      </c>
      <c r="H3141" s="6" t="s">
        <v>9770</v>
      </c>
      <c r="I3141" s="6">
        <v>478</v>
      </c>
      <c r="J3141" s="6" t="s">
        <v>23</v>
      </c>
      <c r="K3141" s="6" t="s">
        <v>24</v>
      </c>
      <c r="L3141" s="6">
        <v>20000000</v>
      </c>
      <c r="M3141" s="6">
        <v>2001</v>
      </c>
      <c r="N3141" s="6">
        <v>5.5</v>
      </c>
      <c r="O3141" s="4">
        <f ca="1">IFERROR(__xludf.DUMMYFUNCTION("IF(Cost_in_dollars!E3141=""USD"",Cost_in_dollars!B3141,Cost_in_dollars!B3141 * GOOGLEFINANCE(""CURRENCY:"" &amp; Cost_in_dollars!E3141 &amp; ""USD""))
"),20000000)</f>
        <v>20000000</v>
      </c>
      <c r="P3141" s="4">
        <f ca="1">IFERROR(__xludf.DUMMYFUNCTION("IF(Cost_in_dollars!E3141=""USD"",Cost_in_dollars!C3141,Cost_in_dollars!C3141 * GOOGLEFINANCE(""CURRENCY:"" &amp; Cost_in_dollars!E3141 &amp; ""USD""))
"),41867960)</f>
        <v>41867960</v>
      </c>
      <c r="Q3141" s="6">
        <f t="shared" ca="1" si="72"/>
        <v>21867960</v>
      </c>
      <c r="R3141" s="7" t="str">
        <f t="shared" si="73"/>
        <v>Thir13en Ghosts</v>
      </c>
      <c r="S3141" s="43" t="str">
        <f t="shared" si="75"/>
        <v>Horror</v>
      </c>
    </row>
    <row r="3142" spans="1:19" ht="15.75" customHeight="1" x14ac:dyDescent="0.25">
      <c r="A3142" s="4" t="s">
        <v>4093</v>
      </c>
      <c r="B3142" s="4">
        <v>283</v>
      </c>
      <c r="C3142" s="4">
        <v>50859889</v>
      </c>
      <c r="D3142" s="4" t="s">
        <v>928</v>
      </c>
      <c r="E3142" s="4" t="s">
        <v>9771</v>
      </c>
      <c r="F3142" s="4" t="s">
        <v>9772</v>
      </c>
      <c r="G3142" s="4">
        <v>236000</v>
      </c>
      <c r="H3142" s="4" t="s">
        <v>9773</v>
      </c>
      <c r="I3142" s="4">
        <v>1043</v>
      </c>
      <c r="J3142" s="4" t="s">
        <v>9774</v>
      </c>
      <c r="K3142" s="4" t="s">
        <v>24</v>
      </c>
      <c r="L3142" s="4">
        <v>40000000</v>
      </c>
      <c r="M3142" s="4">
        <v>2006</v>
      </c>
      <c r="N3142" s="4">
        <v>7.8</v>
      </c>
      <c r="O3142" s="4">
        <f ca="1">IFERROR(__xludf.DUMMYFUNCTION("IF(Cost_in_dollars!E3142=""USD"",Cost_in_dollars!B3142,Cost_in_dollars!B3142 * GOOGLEFINANCE(""CURRENCY:"" &amp; Cost_in_dollars!E3142 &amp; ""USD""))
"),40000000)</f>
        <v>40000000</v>
      </c>
      <c r="P3142" s="4">
        <f ca="1">IFERROR(__xludf.DUMMYFUNCTION("IF(Cost_in_dollars!E3142=""USD"",Cost_in_dollars!C3142,Cost_in_dollars!C3142 * GOOGLEFINANCE(""CURRENCY:"" &amp; Cost_in_dollars!E3142 &amp; ""USD""))
"),50859889)</f>
        <v>50859889</v>
      </c>
      <c r="Q3142" s="4">
        <f t="shared" ca="1" si="72"/>
        <v>10859889</v>
      </c>
      <c r="R3142" s="5" t="str">
        <f t="shared" si="73"/>
        <v>Apocalypto</v>
      </c>
      <c r="S3142" s="43" t="str">
        <f t="shared" si="75"/>
        <v>Action</v>
      </c>
    </row>
    <row r="3143" spans="1:19" ht="15.75" customHeight="1" x14ac:dyDescent="0.25">
      <c r="A3143" s="6" t="s">
        <v>7065</v>
      </c>
      <c r="B3143" s="6">
        <v>46</v>
      </c>
      <c r="C3143" s="6">
        <v>14108518</v>
      </c>
      <c r="D3143" s="6" t="s">
        <v>162</v>
      </c>
      <c r="E3143" s="6" t="s">
        <v>9775</v>
      </c>
      <c r="F3143" s="6" t="s">
        <v>9776</v>
      </c>
      <c r="G3143" s="6">
        <v>8215</v>
      </c>
      <c r="H3143" s="6" t="s">
        <v>9777</v>
      </c>
      <c r="I3143" s="6">
        <v>95</v>
      </c>
      <c r="J3143" s="6" t="s">
        <v>23</v>
      </c>
      <c r="K3143" s="6" t="s">
        <v>24</v>
      </c>
      <c r="L3143" s="6">
        <v>16000000</v>
      </c>
      <c r="M3143" s="6">
        <v>2003</v>
      </c>
      <c r="N3143" s="6">
        <v>5.7</v>
      </c>
      <c r="O3143" s="4">
        <f ca="1">IFERROR(__xludf.DUMMYFUNCTION("IF(Cost_in_dollars!E3143=""USD"",Cost_in_dollars!B3143,Cost_in_dollars!B3143 * GOOGLEFINANCE(""CURRENCY:"" &amp; Cost_in_dollars!E3143 &amp; ""USD""))
"),16000000)</f>
        <v>16000000</v>
      </c>
      <c r="P3143" s="4">
        <f ca="1">IFERROR(__xludf.DUMMYFUNCTION("IF(Cost_in_dollars!E3143=""USD"",Cost_in_dollars!C3143,Cost_in_dollars!C3143 * GOOGLEFINANCE(""CURRENCY:"" &amp; Cost_in_dollars!E3143 &amp; ""USD""))
"),14108518)</f>
        <v>14108518</v>
      </c>
      <c r="Q3143" s="6">
        <f t="shared" ca="1" si="72"/>
        <v>-1891482</v>
      </c>
      <c r="R3143" s="7" t="str">
        <f t="shared" si="73"/>
        <v>How to Deal</v>
      </c>
      <c r="S3143" s="43" t="str">
        <f t="shared" si="75"/>
        <v>Comedy</v>
      </c>
    </row>
    <row r="3144" spans="1:19" ht="15.75" customHeight="1" x14ac:dyDescent="0.25">
      <c r="A3144" s="4" t="s">
        <v>9778</v>
      </c>
      <c r="B3144" s="4">
        <v>63</v>
      </c>
      <c r="C3144" s="4">
        <v>127437</v>
      </c>
      <c r="D3144" s="4" t="s">
        <v>1492</v>
      </c>
      <c r="E3144" s="4" t="s">
        <v>217</v>
      </c>
      <c r="F3144" s="4" t="s">
        <v>9779</v>
      </c>
      <c r="G3144" s="4">
        <v>4670</v>
      </c>
      <c r="H3144" s="4" t="s">
        <v>9780</v>
      </c>
      <c r="I3144" s="4">
        <v>27</v>
      </c>
      <c r="J3144" s="4" t="s">
        <v>3279</v>
      </c>
      <c r="K3144" s="4" t="s">
        <v>220</v>
      </c>
      <c r="L3144" s="4">
        <v>18000000</v>
      </c>
      <c r="M3144" s="4">
        <v>2011</v>
      </c>
      <c r="N3144" s="4">
        <v>6</v>
      </c>
      <c r="O3144" s="4">
        <f ca="1">IFERROR(__xludf.DUMMYFUNCTION("IF(Cost_in_dollars!E3144=""USD"",Cost_in_dollars!B3144,Cost_in_dollars!B3144 * GOOGLEFINANCE(""CURRENCY:"" &amp; Cost_in_dollars!E3144 &amp; ""USD""))
"),2489110.19999999)</f>
        <v>2489110.1999999899</v>
      </c>
      <c r="P3144" s="4">
        <f ca="1">IFERROR(__xludf.DUMMYFUNCTION("IF(Cost_in_dollars!E3144=""USD"",Cost_in_dollars!C3144,Cost_in_dollars!C3144 * GOOGLEFINANCE(""CURRENCY:"" &amp; Cost_in_dollars!E3144 &amp; ""USD""))
"),17622.4853643)</f>
        <v>17622.485364299999</v>
      </c>
      <c r="Q3144" s="4">
        <f t="shared" ca="1" si="72"/>
        <v>-2471487.7146356897</v>
      </c>
      <c r="R3144" s="5" t="str">
        <f t="shared" si="73"/>
        <v>1911</v>
      </c>
      <c r="S3144" s="43" t="str">
        <f t="shared" si="75"/>
        <v>Action</v>
      </c>
    </row>
    <row r="3145" spans="1:19" ht="15.75" customHeight="1" x14ac:dyDescent="0.25">
      <c r="A3145" s="6" t="s">
        <v>9781</v>
      </c>
      <c r="B3145" s="6">
        <v>48</v>
      </c>
      <c r="C3145" s="6">
        <v>4142507</v>
      </c>
      <c r="D3145" s="6" t="s">
        <v>88</v>
      </c>
      <c r="E3145" s="6" t="s">
        <v>9782</v>
      </c>
      <c r="F3145" s="6" t="s">
        <v>9783</v>
      </c>
      <c r="G3145" s="6">
        <v>3665</v>
      </c>
      <c r="H3145" s="6" t="s">
        <v>9784</v>
      </c>
      <c r="I3145" s="6">
        <v>81</v>
      </c>
      <c r="J3145" s="6" t="s">
        <v>23</v>
      </c>
      <c r="K3145" s="6" t="s">
        <v>24</v>
      </c>
      <c r="L3145" s="6">
        <v>3000000</v>
      </c>
      <c r="M3145" s="6">
        <v>2000</v>
      </c>
      <c r="N3145" s="6">
        <v>4.4000000000000004</v>
      </c>
      <c r="O3145" s="4">
        <f ca="1">IFERROR(__xludf.DUMMYFUNCTION("IF(Cost_in_dollars!E3145=""USD"",Cost_in_dollars!B3145,Cost_in_dollars!B3145 * GOOGLEFINANCE(""CURRENCY:"" &amp; Cost_in_dollars!E3145 &amp; ""USD""))
"),3000000)</f>
        <v>3000000</v>
      </c>
      <c r="P3145" s="4">
        <f ca="1">IFERROR(__xludf.DUMMYFUNCTION("IF(Cost_in_dollars!E3145=""USD"",Cost_in_dollars!C3145,Cost_in_dollars!C3145 * GOOGLEFINANCE(""CURRENCY:"" &amp; Cost_in_dollars!E3145 &amp; ""USD""))
"),4142507)</f>
        <v>4142507</v>
      </c>
      <c r="Q3145" s="6">
        <f t="shared" ca="1" si="72"/>
        <v>1142507</v>
      </c>
      <c r="R3145" s="7" t="str">
        <f t="shared" si="73"/>
        <v>Whipped</v>
      </c>
      <c r="S3145" s="43" t="str">
        <f t="shared" si="75"/>
        <v>Comedy</v>
      </c>
    </row>
    <row r="3146" spans="1:19" ht="15.75" customHeight="1" x14ac:dyDescent="0.25">
      <c r="A3146" s="4" t="s">
        <v>9785</v>
      </c>
      <c r="B3146" s="4">
        <v>57</v>
      </c>
      <c r="C3146" s="4">
        <v>27052167</v>
      </c>
      <c r="D3146" s="4" t="s">
        <v>793</v>
      </c>
      <c r="E3146" s="4" t="s">
        <v>5495</v>
      </c>
      <c r="F3146" s="4" t="s">
        <v>9786</v>
      </c>
      <c r="G3146" s="4">
        <v>24834</v>
      </c>
      <c r="H3146" s="4" t="s">
        <v>9787</v>
      </c>
      <c r="I3146" s="4">
        <v>168</v>
      </c>
      <c r="J3146" s="4" t="s">
        <v>23</v>
      </c>
      <c r="K3146" s="4" t="s">
        <v>24</v>
      </c>
      <c r="L3146" s="4">
        <v>13000000</v>
      </c>
      <c r="M3146" s="4">
        <v>1998</v>
      </c>
      <c r="N3146" s="4">
        <v>6.1</v>
      </c>
      <c r="O3146" s="4">
        <f ca="1">IFERROR(__xludf.DUMMYFUNCTION("IF(Cost_in_dollars!E3146=""USD"",Cost_in_dollars!B3146,Cost_in_dollars!B3146 * GOOGLEFINANCE(""CURRENCY:"" &amp; Cost_in_dollars!E3146 &amp; ""USD""))
"),13000000)</f>
        <v>13000000</v>
      </c>
      <c r="P3146" s="4">
        <f ca="1">IFERROR(__xludf.DUMMYFUNCTION("IF(Cost_in_dollars!E3146=""USD"",Cost_in_dollars!C3146,Cost_in_dollars!C3146 * GOOGLEFINANCE(""CURRENCY:"" &amp; Cost_in_dollars!E3146 &amp; ""USD""))
"),27052167)</f>
        <v>27052167</v>
      </c>
      <c r="Q3146" s="4">
        <f t="shared" ca="1" si="72"/>
        <v>14052167</v>
      </c>
      <c r="R3146" s="5" t="str">
        <f t="shared" si="73"/>
        <v>The Big Hit</v>
      </c>
      <c r="S3146" s="43" t="str">
        <f t="shared" si="75"/>
        <v>Action</v>
      </c>
    </row>
    <row r="3147" spans="1:19" ht="15.75" customHeight="1" x14ac:dyDescent="0.25">
      <c r="A3147" s="6" t="s">
        <v>9788</v>
      </c>
      <c r="B3147" s="6">
        <v>192</v>
      </c>
      <c r="C3147" s="6">
        <v>18439082</v>
      </c>
      <c r="D3147" s="6" t="s">
        <v>1756</v>
      </c>
      <c r="E3147" s="6" t="s">
        <v>865</v>
      </c>
      <c r="F3147" s="6" t="s">
        <v>9789</v>
      </c>
      <c r="G3147" s="6">
        <v>94292</v>
      </c>
      <c r="H3147" s="6" t="s">
        <v>9790</v>
      </c>
      <c r="I3147" s="6">
        <v>287</v>
      </c>
      <c r="J3147" s="6" t="s">
        <v>23</v>
      </c>
      <c r="K3147" s="6" t="s">
        <v>24</v>
      </c>
      <c r="L3147" s="6">
        <v>18500000</v>
      </c>
      <c r="M3147" s="6">
        <v>2009</v>
      </c>
      <c r="N3147" s="6">
        <v>6.4</v>
      </c>
      <c r="O3147" s="4">
        <f ca="1">IFERROR(__xludf.DUMMYFUNCTION("IF(Cost_in_dollars!E3147=""USD"",Cost_in_dollars!B3147,Cost_in_dollars!B3147 * GOOGLEFINANCE(""CURRENCY:"" &amp; Cost_in_dollars!E3147 &amp; ""USD""))
"),18500000)</f>
        <v>18500000</v>
      </c>
      <c r="P3147" s="4">
        <f ca="1">IFERROR(__xludf.DUMMYFUNCTION("IF(Cost_in_dollars!E3147=""USD"",Cost_in_dollars!C3147,Cost_in_dollars!C3147 * GOOGLEFINANCE(""CURRENCY:"" &amp; Cost_in_dollars!E3147 &amp; ""USD""))
"),18439082)</f>
        <v>18439082</v>
      </c>
      <c r="Q3147" s="6">
        <f t="shared" ca="1" si="72"/>
        <v>-60918</v>
      </c>
      <c r="R3147" s="7" t="str">
        <f t="shared" si="73"/>
        <v>The Invention of Lying</v>
      </c>
      <c r="S3147" s="43" t="str">
        <f t="shared" si="75"/>
        <v>Comedy</v>
      </c>
    </row>
    <row r="3148" spans="1:19" ht="15.75" customHeight="1" x14ac:dyDescent="0.25">
      <c r="A3148" s="4" t="s">
        <v>1082</v>
      </c>
      <c r="B3148" s="4">
        <v>166</v>
      </c>
      <c r="C3148" s="4">
        <v>31487293</v>
      </c>
      <c r="D3148" s="4" t="s">
        <v>1012</v>
      </c>
      <c r="E3148" s="4" t="s">
        <v>9791</v>
      </c>
      <c r="F3148" s="4" t="s">
        <v>9792</v>
      </c>
      <c r="G3148" s="4">
        <v>74887</v>
      </c>
      <c r="H3148" s="4" t="s">
        <v>9793</v>
      </c>
      <c r="I3148" s="4">
        <v>129</v>
      </c>
      <c r="J3148" s="4" t="s">
        <v>23</v>
      </c>
      <c r="K3148" s="4" t="s">
        <v>24</v>
      </c>
      <c r="L3148" s="4">
        <v>9000000</v>
      </c>
      <c r="M3148" s="4">
        <v>2008</v>
      </c>
      <c r="N3148" s="4">
        <v>6.7</v>
      </c>
      <c r="O3148" s="4">
        <f ca="1">IFERROR(__xludf.DUMMYFUNCTION("IF(Cost_in_dollars!E3148=""USD"",Cost_in_dollars!B3148,Cost_in_dollars!B3148 * GOOGLEFINANCE(""CURRENCY:"" &amp; Cost_in_dollars!E3148 &amp; ""USD""))
"),9000000)</f>
        <v>9000000</v>
      </c>
      <c r="P3148" s="4">
        <f ca="1">IFERROR(__xludf.DUMMYFUNCTION("IF(Cost_in_dollars!E3148=""USD"",Cost_in_dollars!C3148,Cost_in_dollars!C3148 * GOOGLEFINANCE(""CURRENCY:"" &amp; Cost_in_dollars!E3148 &amp; ""USD""))
"),31487293)</f>
        <v>31487293</v>
      </c>
      <c r="Q3148" s="4">
        <f t="shared" ca="1" si="72"/>
        <v>22487293</v>
      </c>
      <c r="R3148" s="5" t="str">
        <f t="shared" si="73"/>
        <v>Nick and Norah's Infinite Playlist</v>
      </c>
      <c r="S3148" s="43" t="str">
        <f t="shared" si="75"/>
        <v>Comedy</v>
      </c>
    </row>
    <row r="3149" spans="1:19" ht="15.75" customHeight="1" x14ac:dyDescent="0.25">
      <c r="A3149" s="6" t="s">
        <v>4125</v>
      </c>
      <c r="B3149" s="6">
        <v>86</v>
      </c>
      <c r="C3149" s="6">
        <v>28563926</v>
      </c>
      <c r="D3149" s="6" t="s">
        <v>372</v>
      </c>
      <c r="E3149" s="6" t="s">
        <v>3101</v>
      </c>
      <c r="F3149" s="6" t="s">
        <v>9794</v>
      </c>
      <c r="G3149" s="6">
        <v>16300</v>
      </c>
      <c r="H3149" s="6" t="s">
        <v>9795</v>
      </c>
      <c r="I3149" s="6">
        <v>217</v>
      </c>
      <c r="J3149" s="6" t="s">
        <v>23</v>
      </c>
      <c r="K3149" s="6" t="s">
        <v>24</v>
      </c>
      <c r="L3149" s="6">
        <v>8500000</v>
      </c>
      <c r="M3149" s="6">
        <v>2002</v>
      </c>
      <c r="N3149" s="6">
        <v>5</v>
      </c>
      <c r="O3149" s="4">
        <f ca="1">IFERROR(__xludf.DUMMYFUNCTION("IF(Cost_in_dollars!E3149=""USD"",Cost_in_dollars!B3149,Cost_in_dollars!B3149 * GOOGLEFINANCE(""CURRENCY:"" &amp; Cost_in_dollars!E3149 &amp; ""USD""))
"),8500000)</f>
        <v>8500000</v>
      </c>
      <c r="P3149" s="4">
        <f ca="1">IFERROR(__xludf.DUMMYFUNCTION("IF(Cost_in_dollars!E3149=""USD"",Cost_in_dollars!C3149,Cost_in_dollars!C3149 * GOOGLEFINANCE(""CURRENCY:"" &amp; Cost_in_dollars!E3149 &amp; ""USD""))
"),28563926)</f>
        <v>28563926</v>
      </c>
      <c r="Q3149" s="6">
        <f t="shared" ca="1" si="72"/>
        <v>20063926</v>
      </c>
      <c r="R3149" s="7" t="str">
        <f t="shared" si="73"/>
        <v>Swimfan</v>
      </c>
      <c r="S3149" s="43" t="str">
        <f t="shared" si="75"/>
        <v>Drama</v>
      </c>
    </row>
    <row r="3150" spans="1:19" ht="15.75" customHeight="1" x14ac:dyDescent="0.25">
      <c r="A3150" s="4" t="s">
        <v>5568</v>
      </c>
      <c r="B3150" s="4">
        <v>212</v>
      </c>
      <c r="C3150" s="4">
        <v>31165421</v>
      </c>
      <c r="D3150" s="4" t="s">
        <v>9796</v>
      </c>
      <c r="E3150" s="4" t="s">
        <v>6502</v>
      </c>
      <c r="F3150" s="4" t="s">
        <v>9797</v>
      </c>
      <c r="G3150" s="4">
        <v>107028</v>
      </c>
      <c r="H3150" s="4" t="s">
        <v>9798</v>
      </c>
      <c r="I3150" s="4">
        <v>457</v>
      </c>
      <c r="J3150" s="4" t="s">
        <v>23</v>
      </c>
      <c r="K3150" s="4" t="s">
        <v>24</v>
      </c>
      <c r="L3150" s="4">
        <v>60000000</v>
      </c>
      <c r="M3150" s="4">
        <v>2013</v>
      </c>
      <c r="N3150" s="4">
        <v>6</v>
      </c>
      <c r="O3150" s="4">
        <f ca="1">IFERROR(__xludf.DUMMYFUNCTION("IF(Cost_in_dollars!E3150=""USD"",Cost_in_dollars!B3150,Cost_in_dollars!B3150 * GOOGLEFINANCE(""CURRENCY:"" &amp; Cost_in_dollars!E3150 &amp; ""USD""))
"),60000000)</f>
        <v>60000000</v>
      </c>
      <c r="P3150" s="4">
        <f ca="1">IFERROR(__xludf.DUMMYFUNCTION("IF(Cost_in_dollars!E3150=""USD"",Cost_in_dollars!C3150,Cost_in_dollars!C3150 * GOOGLEFINANCE(""CURRENCY:"" &amp; Cost_in_dollars!E3150 &amp; ""USD""))
"),31165421)</f>
        <v>31165421</v>
      </c>
      <c r="Q3150" s="4">
        <f t="shared" ca="1" si="72"/>
        <v>-28834579</v>
      </c>
      <c r="R3150" s="5" t="str">
        <f t="shared" si="73"/>
        <v>The Mortal Instruments: City of Bones</v>
      </c>
      <c r="S3150" s="43" t="str">
        <f t="shared" si="75"/>
        <v>Fantasy</v>
      </c>
    </row>
    <row r="3151" spans="1:19" ht="15.75" customHeight="1" x14ac:dyDescent="0.25">
      <c r="A3151" s="6" t="s">
        <v>7132</v>
      </c>
      <c r="B3151" s="6">
        <v>91</v>
      </c>
      <c r="C3151" s="6">
        <v>19179969</v>
      </c>
      <c r="D3151" s="6" t="s">
        <v>140</v>
      </c>
      <c r="E3151" s="6" t="s">
        <v>9799</v>
      </c>
      <c r="F3151" s="6" t="s">
        <v>9800</v>
      </c>
      <c r="G3151" s="6">
        <v>54710</v>
      </c>
      <c r="H3151" s="6" t="s">
        <v>9801</v>
      </c>
      <c r="I3151" s="6">
        <v>177</v>
      </c>
      <c r="J3151" s="6" t="s">
        <v>23</v>
      </c>
      <c r="K3151" s="6" t="s">
        <v>24</v>
      </c>
      <c r="L3151" s="6">
        <v>17500000</v>
      </c>
      <c r="M3151" s="6">
        <v>2006</v>
      </c>
      <c r="N3151" s="6">
        <v>6.3</v>
      </c>
      <c r="O3151" s="4">
        <f ca="1">IFERROR(__xludf.DUMMYFUNCTION("IF(Cost_in_dollars!E3151=""USD"",Cost_in_dollars!B3151,Cost_in_dollars!B3151 * GOOGLEFINANCE(""CURRENCY:"" &amp; Cost_in_dollars!E3151 &amp; ""USD""))
"),17500000)</f>
        <v>17500000</v>
      </c>
      <c r="P3151" s="4">
        <f ca="1">IFERROR(__xludf.DUMMYFUNCTION("IF(Cost_in_dollars!E3151=""USD"",Cost_in_dollars!C3151,Cost_in_dollars!C3151 * GOOGLEFINANCE(""CURRENCY:"" &amp; Cost_in_dollars!E3151 &amp; ""USD""))
"),19179969)</f>
        <v>19179969</v>
      </c>
      <c r="Q3151" s="6">
        <f t="shared" ca="1" si="72"/>
        <v>1679969</v>
      </c>
      <c r="R3151" s="7" t="str">
        <f t="shared" si="73"/>
        <v>Beerfest</v>
      </c>
      <c r="S3151" s="43" t="str">
        <f t="shared" si="75"/>
        <v>Comedy</v>
      </c>
    </row>
    <row r="3152" spans="1:19" ht="15.75" customHeight="1" x14ac:dyDescent="0.25">
      <c r="A3152" s="4" t="s">
        <v>67</v>
      </c>
      <c r="B3152" s="4">
        <v>103</v>
      </c>
      <c r="C3152" s="4">
        <v>27545445</v>
      </c>
      <c r="D3152" s="4" t="s">
        <v>102</v>
      </c>
      <c r="E3152" s="4" t="s">
        <v>9802</v>
      </c>
      <c r="F3152" s="4" t="s">
        <v>9803</v>
      </c>
      <c r="G3152" s="4">
        <v>59524</v>
      </c>
      <c r="H3152" s="4" t="s">
        <v>9804</v>
      </c>
      <c r="I3152" s="4">
        <v>418</v>
      </c>
      <c r="J3152" s="4" t="s">
        <v>23</v>
      </c>
      <c r="K3152" s="4" t="s">
        <v>24</v>
      </c>
      <c r="L3152" s="4">
        <v>6500000</v>
      </c>
      <c r="M3152" s="4">
        <v>1989</v>
      </c>
      <c r="N3152" s="4">
        <v>7.9</v>
      </c>
      <c r="O3152" s="4">
        <f ca="1">IFERROR(__xludf.DUMMYFUNCTION("IF(Cost_in_dollars!E3152=""USD"",Cost_in_dollars!B3152,Cost_in_dollars!B3152 * GOOGLEFINANCE(""CURRENCY:"" &amp; Cost_in_dollars!E3152 &amp; ""USD""))
"),6500000)</f>
        <v>6500000</v>
      </c>
      <c r="P3152" s="4">
        <f ca="1">IFERROR(__xludf.DUMMYFUNCTION("IF(Cost_in_dollars!E3152=""USD"",Cost_in_dollars!C3152,Cost_in_dollars!C3152 * GOOGLEFINANCE(""CURRENCY:"" &amp; Cost_in_dollars!E3152 &amp; ""USD""))
"),27545445)</f>
        <v>27545445</v>
      </c>
      <c r="Q3152" s="4">
        <f t="shared" ca="1" si="72"/>
        <v>21045445</v>
      </c>
      <c r="R3152" s="5" t="str">
        <f t="shared" si="73"/>
        <v>Do the Right Thing</v>
      </c>
      <c r="S3152" s="43" t="str">
        <f t="shared" si="75"/>
        <v>Drama</v>
      </c>
    </row>
    <row r="3153" spans="1:19" ht="15.75" customHeight="1" x14ac:dyDescent="0.25">
      <c r="A3153" s="6" t="s">
        <v>1285</v>
      </c>
      <c r="B3153" s="6">
        <v>136</v>
      </c>
      <c r="C3153" s="6">
        <v>35400000</v>
      </c>
      <c r="D3153" s="6" t="s">
        <v>477</v>
      </c>
      <c r="E3153" s="6" t="s">
        <v>9805</v>
      </c>
      <c r="F3153" s="6" t="s">
        <v>9806</v>
      </c>
      <c r="G3153" s="6">
        <v>74957</v>
      </c>
      <c r="H3153" s="6" t="s">
        <v>9807</v>
      </c>
      <c r="I3153" s="6">
        <v>251</v>
      </c>
      <c r="J3153" s="6" t="s">
        <v>23</v>
      </c>
      <c r="K3153" s="6" t="s">
        <v>133</v>
      </c>
      <c r="L3153" s="6">
        <v>7000000</v>
      </c>
      <c r="M3153" s="6">
        <v>1973</v>
      </c>
      <c r="N3153" s="6">
        <v>6.8</v>
      </c>
      <c r="O3153" s="4">
        <f ca="1">IFERROR(__xludf.DUMMYFUNCTION("IF(Cost_in_dollars!E3153=""USD"",Cost_in_dollars!B3153,Cost_in_dollars!B3153 * GOOGLEFINANCE(""CURRENCY:"" &amp; Cost_in_dollars!E3153 &amp; ""USD""))
"),8997800)</f>
        <v>8997800</v>
      </c>
      <c r="P3153" s="4">
        <f ca="1">IFERROR(__xludf.DUMMYFUNCTION("IF(Cost_in_dollars!E3153=""USD"",Cost_in_dollars!C3153,Cost_in_dollars!C3153 * GOOGLEFINANCE(""CURRENCY:"" &amp; Cost_in_dollars!E3153 &amp; ""USD""))
"),45503159.9999999)</f>
        <v>45503159.999999903</v>
      </c>
      <c r="Q3153" s="6">
        <f t="shared" ca="1" si="72"/>
        <v>36505359.999999903</v>
      </c>
      <c r="R3153" s="7" t="str">
        <f t="shared" si="73"/>
        <v>Live and Let Die</v>
      </c>
      <c r="S3153" s="43" t="str">
        <f t="shared" si="75"/>
        <v>Action</v>
      </c>
    </row>
    <row r="3154" spans="1:19" ht="15.75" customHeight="1" x14ac:dyDescent="0.25">
      <c r="A3154" s="4" t="s">
        <v>4260</v>
      </c>
      <c r="B3154" s="4">
        <v>99</v>
      </c>
      <c r="C3154" s="4">
        <v>76400000</v>
      </c>
      <c r="D3154" s="4" t="s">
        <v>4261</v>
      </c>
      <c r="E3154" s="4" t="s">
        <v>9808</v>
      </c>
      <c r="F3154" s="4" t="s">
        <v>9809</v>
      </c>
      <c r="G3154" s="4">
        <v>71321</v>
      </c>
      <c r="H3154" s="4" t="s">
        <v>9810</v>
      </c>
      <c r="I3154" s="4">
        <v>230</v>
      </c>
      <c r="J3154" s="4" t="s">
        <v>23</v>
      </c>
      <c r="K3154" s="4" t="s">
        <v>24</v>
      </c>
      <c r="L3154" s="4">
        <v>2280000</v>
      </c>
      <c r="M3154" s="4">
        <v>1940</v>
      </c>
      <c r="N3154" s="4">
        <v>7.8</v>
      </c>
      <c r="O3154" s="4">
        <f ca="1">IFERROR(__xludf.DUMMYFUNCTION("IF(Cost_in_dollars!E3154=""USD"",Cost_in_dollars!B3154,Cost_in_dollars!B3154 * GOOGLEFINANCE(""CURRENCY:"" &amp; Cost_in_dollars!E3154 &amp; ""USD""))
"),2280000)</f>
        <v>2280000</v>
      </c>
      <c r="P3154" s="4">
        <f ca="1">IFERROR(__xludf.DUMMYFUNCTION("IF(Cost_in_dollars!E3154=""USD"",Cost_in_dollars!C3154,Cost_in_dollars!C3154 * GOOGLEFINANCE(""CURRENCY:"" &amp; Cost_in_dollars!E3154 &amp; ""USD""))
"),76400000)</f>
        <v>76400000</v>
      </c>
      <c r="Q3154" s="4">
        <f t="shared" ca="1" si="72"/>
        <v>74120000</v>
      </c>
      <c r="R3154" s="5" t="str">
        <f t="shared" si="73"/>
        <v>Fantasia</v>
      </c>
      <c r="S3154" s="43" t="str">
        <f t="shared" si="75"/>
        <v>Animation</v>
      </c>
    </row>
    <row r="3155" spans="1:19" ht="15.75" customHeight="1" x14ac:dyDescent="0.25">
      <c r="A3155" s="6" t="s">
        <v>9811</v>
      </c>
      <c r="B3155" s="6">
        <v>64</v>
      </c>
      <c r="C3155" s="6">
        <v>146402</v>
      </c>
      <c r="D3155" s="6" t="s">
        <v>457</v>
      </c>
      <c r="E3155" s="6" t="s">
        <v>9812</v>
      </c>
      <c r="F3155" s="6" t="s">
        <v>9813</v>
      </c>
      <c r="G3155" s="6">
        <v>9913</v>
      </c>
      <c r="H3155" s="6" t="s">
        <v>9814</v>
      </c>
      <c r="I3155" s="6">
        <v>38</v>
      </c>
      <c r="J3155" s="6" t="s">
        <v>1569</v>
      </c>
      <c r="K3155" s="6" t="s">
        <v>1111</v>
      </c>
      <c r="L3155" s="6">
        <v>4000000</v>
      </c>
      <c r="M3155" s="6">
        <v>2002</v>
      </c>
      <c r="N3155" s="6">
        <v>7.7</v>
      </c>
      <c r="O3155" s="4">
        <f ca="1">IFERROR(__xludf.DUMMYFUNCTION("IF(Cost_in_dollars!E3155=""USD"",Cost_in_dollars!B3155,Cost_in_dollars!B3155 * GOOGLEFINANCE(""CURRENCY:"" &amp; Cost_in_dollars!E3155 &amp; ""USD""))
"),4338960)</f>
        <v>4338960</v>
      </c>
      <c r="P3155" s="4">
        <f ca="1">IFERROR(__xludf.DUMMYFUNCTION("IF(Cost_in_dollars!E3155=""USD"",Cost_in_dollars!C3155,Cost_in_dollars!C3155 * GOOGLEFINANCE(""CURRENCY:"" &amp; Cost_in_dollars!E3155 &amp; ""USD""))
"),158808.10548)</f>
        <v>158808.10548</v>
      </c>
      <c r="Q3155" s="6">
        <f t="shared" ca="1" si="72"/>
        <v>-4180151.8945200001</v>
      </c>
      <c r="R3155" s="7" t="str">
        <f t="shared" si="73"/>
        <v>Mondays in the Sun</v>
      </c>
      <c r="S3155" s="43" t="str">
        <f t="shared" si="75"/>
        <v>Comedy</v>
      </c>
    </row>
    <row r="3156" spans="1:19" ht="15.75" customHeight="1" x14ac:dyDescent="0.25">
      <c r="A3156" s="4" t="s">
        <v>9815</v>
      </c>
      <c r="B3156" s="4">
        <v>56</v>
      </c>
      <c r="C3156" s="4">
        <v>6719300</v>
      </c>
      <c r="D3156" s="4" t="s">
        <v>457</v>
      </c>
      <c r="E3156" s="4" t="s">
        <v>9816</v>
      </c>
      <c r="F3156" s="4" t="s">
        <v>9817</v>
      </c>
      <c r="G3156" s="4">
        <v>8224</v>
      </c>
      <c r="H3156" s="4" t="s">
        <v>9818</v>
      </c>
      <c r="I3156" s="4">
        <v>132</v>
      </c>
      <c r="J3156" s="4" t="s">
        <v>23</v>
      </c>
      <c r="K3156" s="4" t="s">
        <v>627</v>
      </c>
      <c r="L3156" s="4">
        <v>2000000</v>
      </c>
      <c r="M3156" s="4">
        <v>1998</v>
      </c>
      <c r="N3156" s="4">
        <v>7.2</v>
      </c>
      <c r="O3156" s="4">
        <f ca="1">IFERROR(__xludf.DUMMYFUNCTION("IF(Cost_in_dollars!E3156=""USD"",Cost_in_dollars!B3156,Cost_in_dollars!B3156 * GOOGLEFINANCE(""CURRENCY:"" &amp; Cost_in_dollars!E3156 &amp; ""USD""))
"),1446810)</f>
        <v>1446810</v>
      </c>
      <c r="P3156" s="4">
        <f ca="1">IFERROR(__xludf.DUMMYFUNCTION("IF(Cost_in_dollars!E3156=""USD"",Cost_in_dollars!C3156,Cost_in_dollars!C3156 * GOOGLEFINANCE(""CURRENCY:"" &amp; Cost_in_dollars!E3156 &amp; ""USD""))
"),4860775.2165)</f>
        <v>4860775.2165000001</v>
      </c>
      <c r="Q3156" s="4">
        <f t="shared" ca="1" si="72"/>
        <v>3413965.2165000001</v>
      </c>
      <c r="R3156" s="5" t="str">
        <f t="shared" si="73"/>
        <v>Smoke Signals</v>
      </c>
      <c r="S3156" s="43" t="str">
        <f t="shared" si="75"/>
        <v>Comedy</v>
      </c>
    </row>
    <row r="3157" spans="1:19" ht="15.75" customHeight="1" x14ac:dyDescent="0.25">
      <c r="A3157" s="6" t="s">
        <v>7378</v>
      </c>
      <c r="B3157" s="6">
        <v>278</v>
      </c>
      <c r="C3157" s="6">
        <v>12574715</v>
      </c>
      <c r="D3157" s="6" t="s">
        <v>102</v>
      </c>
      <c r="E3157" s="6" t="s">
        <v>2493</v>
      </c>
      <c r="F3157" s="6" t="s">
        <v>9819</v>
      </c>
      <c r="G3157" s="6">
        <v>112138</v>
      </c>
      <c r="H3157" s="6" t="s">
        <v>9820</v>
      </c>
      <c r="I3157" s="6">
        <v>237</v>
      </c>
      <c r="J3157" s="6" t="s">
        <v>23</v>
      </c>
      <c r="K3157" s="6" t="s">
        <v>133</v>
      </c>
      <c r="L3157" s="6">
        <v>4500000</v>
      </c>
      <c r="M3157" s="6">
        <v>2009</v>
      </c>
      <c r="N3157" s="6">
        <v>7.3</v>
      </c>
      <c r="O3157" s="4">
        <f ca="1">IFERROR(__xludf.DUMMYFUNCTION("IF(Cost_in_dollars!E3157=""USD"",Cost_in_dollars!B3157,Cost_in_dollars!B3157 * GOOGLEFINANCE(""CURRENCY:"" &amp; Cost_in_dollars!E3157 &amp; ""USD""))
"),5784299.99999999)</f>
        <v>5784299.9999999898</v>
      </c>
      <c r="P3157" s="4">
        <f ca="1">IFERROR(__xludf.DUMMYFUNCTION("IF(Cost_in_dollars!E3157=""USD"",Cost_in_dollars!C3157,Cost_in_dollars!C3157 * GOOGLEFINANCE(""CURRENCY:"" &amp; Cost_in_dollars!E3157 &amp; ""USD""))
"),16163538.6609999)</f>
        <v>16163538.6609999</v>
      </c>
      <c r="Q3157" s="6">
        <f t="shared" ca="1" si="72"/>
        <v>10379238.660999909</v>
      </c>
      <c r="R3157" s="7" t="str">
        <f t="shared" si="73"/>
        <v>An Education</v>
      </c>
      <c r="S3157" s="43" t="str">
        <f t="shared" si="75"/>
        <v>Drama</v>
      </c>
    </row>
    <row r="3158" spans="1:19" ht="15.75" customHeight="1" x14ac:dyDescent="0.25">
      <c r="A3158" s="4" t="s">
        <v>7949</v>
      </c>
      <c r="B3158" s="4">
        <v>305</v>
      </c>
      <c r="C3158" s="4">
        <v>2181290</v>
      </c>
      <c r="D3158" s="4" t="s">
        <v>314</v>
      </c>
      <c r="E3158" s="4" t="s">
        <v>7889</v>
      </c>
      <c r="F3158" s="4" t="s">
        <v>9821</v>
      </c>
      <c r="G3158" s="4">
        <v>356181</v>
      </c>
      <c r="H3158" s="4" t="s">
        <v>9822</v>
      </c>
      <c r="I3158" s="4">
        <v>809</v>
      </c>
      <c r="J3158" s="4" t="s">
        <v>1780</v>
      </c>
      <c r="K3158" s="4" t="s">
        <v>1491</v>
      </c>
      <c r="L3158" s="4">
        <v>3000000</v>
      </c>
      <c r="M3158" s="4">
        <v>2003</v>
      </c>
      <c r="N3158" s="4">
        <v>8.4</v>
      </c>
      <c r="O3158" s="4">
        <f ca="1">IFERROR(__xludf.DUMMYFUNCTION("IF(Cost_in_dollars!E3158=""USD"",Cost_in_dollars!B3158,Cost_in_dollars!B3158 * GOOGLEFINANCE(""CURRENCY:"" &amp; Cost_in_dollars!E3158 &amp; ""USD""))
"),2171.601)</f>
        <v>2171.6010000000001</v>
      </c>
      <c r="P3158" s="4">
        <f ca="1">IFERROR(__xludf.DUMMYFUNCTION("IF(Cost_in_dollars!E3158=""USD"",Cost_in_dollars!C3158,Cost_in_dollars!C3158 * GOOGLEFINANCE(""CURRENCY:"" &amp; Cost_in_dollars!E3158 &amp; ""USD""))
"),1578.96384843)</f>
        <v>1578.9638484300001</v>
      </c>
      <c r="Q3158" s="4">
        <f t="shared" ca="1" si="72"/>
        <v>-592.63715157000001</v>
      </c>
      <c r="R3158" s="5" t="str">
        <f t="shared" si="73"/>
        <v>Oldboy</v>
      </c>
      <c r="S3158" s="43" t="str">
        <f t="shared" si="75"/>
        <v>Drama</v>
      </c>
    </row>
    <row r="3159" spans="1:19" ht="15.75" customHeight="1" x14ac:dyDescent="0.25">
      <c r="A3159" s="6" t="s">
        <v>6010</v>
      </c>
      <c r="B3159" s="6">
        <v>192</v>
      </c>
      <c r="C3159" s="6">
        <v>10814185</v>
      </c>
      <c r="D3159" s="6" t="s">
        <v>244</v>
      </c>
      <c r="E3159" s="6" t="s">
        <v>881</v>
      </c>
      <c r="F3159" s="6" t="s">
        <v>9823</v>
      </c>
      <c r="G3159" s="6">
        <v>37530</v>
      </c>
      <c r="H3159" s="6" t="s">
        <v>9824</v>
      </c>
      <c r="I3159" s="6">
        <v>106</v>
      </c>
      <c r="J3159" s="6" t="s">
        <v>23</v>
      </c>
      <c r="K3159" s="6" t="s">
        <v>24</v>
      </c>
      <c r="L3159" s="6">
        <v>8000000</v>
      </c>
      <c r="M3159" s="6">
        <v>2009</v>
      </c>
      <c r="N3159" s="6">
        <v>6.2</v>
      </c>
      <c r="O3159" s="4">
        <f ca="1">IFERROR(__xludf.DUMMYFUNCTION("IF(Cost_in_dollars!E3159=""USD"",Cost_in_dollars!B3159,Cost_in_dollars!B3159 * GOOGLEFINANCE(""CURRENCY:"" &amp; Cost_in_dollars!E3159 &amp; ""USD""))
"),8000000)</f>
        <v>8000000</v>
      </c>
      <c r="P3159" s="4">
        <f ca="1">IFERROR(__xludf.DUMMYFUNCTION("IF(Cost_in_dollars!E3159=""USD"",Cost_in_dollars!C3159,Cost_in_dollars!C3159 * GOOGLEFINANCE(""CURRENCY:"" &amp; Cost_in_dollars!E3159 &amp; ""USD""))
"),10814185)</f>
        <v>10814185</v>
      </c>
      <c r="Q3159" s="6">
        <f t="shared" ca="1" si="72"/>
        <v>2814185</v>
      </c>
      <c r="R3159" s="7" t="str">
        <f t="shared" si="73"/>
        <v>Extract</v>
      </c>
      <c r="S3159" s="43" t="str">
        <f t="shared" si="75"/>
        <v>Comedy</v>
      </c>
    </row>
    <row r="3160" spans="1:19" ht="15.75" customHeight="1" x14ac:dyDescent="0.25">
      <c r="A3160" s="4" t="s">
        <v>2033</v>
      </c>
      <c r="B3160" s="4">
        <v>138</v>
      </c>
      <c r="C3160" s="4">
        <v>3216970</v>
      </c>
      <c r="D3160" s="4" t="s">
        <v>314</v>
      </c>
      <c r="E3160" s="4" t="s">
        <v>5201</v>
      </c>
      <c r="F3160" s="4" t="s">
        <v>9825</v>
      </c>
      <c r="G3160" s="4">
        <v>142619</v>
      </c>
      <c r="H3160" s="4" t="s">
        <v>9826</v>
      </c>
      <c r="I3160" s="4">
        <v>586</v>
      </c>
      <c r="J3160" s="4" t="s">
        <v>23</v>
      </c>
      <c r="K3160" s="4" t="s">
        <v>24</v>
      </c>
      <c r="L3160" s="4">
        <v>60000</v>
      </c>
      <c r="M3160" s="4">
        <v>1998</v>
      </c>
      <c r="N3160" s="4">
        <v>7.5</v>
      </c>
      <c r="O3160" s="4">
        <f ca="1">IFERROR(__xludf.DUMMYFUNCTION("IF(Cost_in_dollars!E3160=""USD"",Cost_in_dollars!B3160,Cost_in_dollars!B3160 * GOOGLEFINANCE(""CURRENCY:"" &amp; Cost_in_dollars!E3160 &amp; ""USD""))
"),60000)</f>
        <v>60000</v>
      </c>
      <c r="P3160" s="4">
        <f ca="1">IFERROR(__xludf.DUMMYFUNCTION("IF(Cost_in_dollars!E3160=""USD"",Cost_in_dollars!C3160,Cost_in_dollars!C3160 * GOOGLEFINANCE(""CURRENCY:"" &amp; Cost_in_dollars!E3160 &amp; ""USD""))
"),3216970)</f>
        <v>3216970</v>
      </c>
      <c r="Q3160" s="4">
        <f t="shared" ca="1" si="72"/>
        <v>3156970</v>
      </c>
      <c r="R3160" s="5" t="str">
        <f t="shared" si="73"/>
        <v>Pi</v>
      </c>
      <c r="S3160" s="43" t="str">
        <f t="shared" si="75"/>
        <v>Drama</v>
      </c>
    </row>
    <row r="3161" spans="1:19" ht="15.75" customHeight="1" x14ac:dyDescent="0.25">
      <c r="A3161" s="6" t="s">
        <v>1528</v>
      </c>
      <c r="B3161" s="6">
        <v>201</v>
      </c>
      <c r="C3161" s="6">
        <v>15797907</v>
      </c>
      <c r="D3161" s="6" t="s">
        <v>102</v>
      </c>
      <c r="E3161" s="6" t="s">
        <v>9827</v>
      </c>
      <c r="F3161" s="6" t="s">
        <v>9828</v>
      </c>
      <c r="G3161" s="6">
        <v>68119</v>
      </c>
      <c r="H3161" s="6" t="s">
        <v>9829</v>
      </c>
      <c r="I3161" s="6">
        <v>230</v>
      </c>
      <c r="J3161" s="6" t="s">
        <v>7489</v>
      </c>
      <c r="K3161" s="6" t="s">
        <v>24</v>
      </c>
      <c r="L3161" s="6">
        <v>20000000</v>
      </c>
      <c r="M3161" s="6">
        <v>2007</v>
      </c>
      <c r="N3161" s="6">
        <v>7.6</v>
      </c>
      <c r="O3161" s="4">
        <f ca="1">IFERROR(__xludf.DUMMYFUNCTION("IF(Cost_in_dollars!E3161=""USD"",Cost_in_dollars!B3161,Cost_in_dollars!B3161 * GOOGLEFINANCE(""CURRENCY:"" &amp; Cost_in_dollars!E3161 &amp; ""USD""))
"),20000000)</f>
        <v>20000000</v>
      </c>
      <c r="P3161" s="4">
        <f ca="1">IFERROR(__xludf.DUMMYFUNCTION("IF(Cost_in_dollars!E3161=""USD"",Cost_in_dollars!C3161,Cost_in_dollars!C3161 * GOOGLEFINANCE(""CURRENCY:"" &amp; Cost_in_dollars!E3161 &amp; ""USD""))
"),15797907)</f>
        <v>15797907</v>
      </c>
      <c r="Q3161" s="6">
        <f t="shared" ca="1" si="72"/>
        <v>-4202093</v>
      </c>
      <c r="R3161" s="7" t="str">
        <f t="shared" si="73"/>
        <v>The Kite Runner</v>
      </c>
      <c r="S3161" s="43" t="str">
        <f t="shared" si="75"/>
        <v>Drama</v>
      </c>
    </row>
    <row r="3162" spans="1:19" ht="15.75" customHeight="1" x14ac:dyDescent="0.25">
      <c r="A3162" s="4" t="s">
        <v>6474</v>
      </c>
      <c r="B3162" s="4">
        <v>110</v>
      </c>
      <c r="C3162" s="4">
        <v>76400000</v>
      </c>
      <c r="D3162" s="4" t="s">
        <v>188</v>
      </c>
      <c r="E3162" s="4" t="s">
        <v>6474</v>
      </c>
      <c r="F3162" s="4" t="s">
        <v>9830</v>
      </c>
      <c r="G3162" s="4">
        <v>58743</v>
      </c>
      <c r="H3162" s="4" t="s">
        <v>9831</v>
      </c>
      <c r="I3162" s="4">
        <v>192</v>
      </c>
      <c r="J3162" s="4" t="s">
        <v>23</v>
      </c>
      <c r="K3162" s="4" t="s">
        <v>24</v>
      </c>
      <c r="L3162" s="4">
        <v>17000000</v>
      </c>
      <c r="M3162" s="4">
        <v>1984</v>
      </c>
      <c r="N3162" s="4">
        <v>6.6</v>
      </c>
      <c r="O3162" s="4">
        <f ca="1">IFERROR(__xludf.DUMMYFUNCTION("IF(Cost_in_dollars!E3162=""USD"",Cost_in_dollars!B3162,Cost_in_dollars!B3162 * GOOGLEFINANCE(""CURRENCY:"" &amp; Cost_in_dollars!E3162 &amp; ""USD""))
"),17000000)</f>
        <v>17000000</v>
      </c>
      <c r="P3162" s="4">
        <f ca="1">IFERROR(__xludf.DUMMYFUNCTION("IF(Cost_in_dollars!E3162=""USD"",Cost_in_dollars!C3162,Cost_in_dollars!C3162 * GOOGLEFINANCE(""CURRENCY:"" &amp; Cost_in_dollars!E3162 &amp; ""USD""))
"),76400000)</f>
        <v>76400000</v>
      </c>
      <c r="Q3162" s="4">
        <f t="shared" ca="1" si="72"/>
        <v>59400000</v>
      </c>
      <c r="R3162" s="5" t="str">
        <f t="shared" si="73"/>
        <v>Star Trek III: The Search for Spock</v>
      </c>
      <c r="S3162" s="43" t="str">
        <f t="shared" si="75"/>
        <v>Action</v>
      </c>
    </row>
    <row r="3163" spans="1:19" ht="15.75" customHeight="1" x14ac:dyDescent="0.25">
      <c r="A3163" s="6" t="s">
        <v>4603</v>
      </c>
      <c r="B3163" s="6">
        <v>208</v>
      </c>
      <c r="C3163" s="6">
        <v>21557240</v>
      </c>
      <c r="D3163" s="6" t="s">
        <v>2671</v>
      </c>
      <c r="E3163" s="6" t="s">
        <v>1091</v>
      </c>
      <c r="F3163" s="6" t="s">
        <v>9832</v>
      </c>
      <c r="G3163" s="6">
        <v>85237</v>
      </c>
      <c r="H3163" s="6" t="s">
        <v>9833</v>
      </c>
      <c r="I3163" s="6">
        <v>274</v>
      </c>
      <c r="J3163" s="6" t="s">
        <v>23</v>
      </c>
      <c r="K3163" s="6" t="s">
        <v>24</v>
      </c>
      <c r="L3163" s="6">
        <v>49900000</v>
      </c>
      <c r="M3163" s="6">
        <v>2011</v>
      </c>
      <c r="N3163" s="6">
        <v>5.6</v>
      </c>
      <c r="O3163" s="4">
        <f ca="1">IFERROR(__xludf.DUMMYFUNCTION("IF(Cost_in_dollars!E3163=""USD"",Cost_in_dollars!B3163,Cost_in_dollars!B3163 * GOOGLEFINANCE(""CURRENCY:"" &amp; Cost_in_dollars!E3163 &amp; ""USD""))
"),49900000)</f>
        <v>49900000</v>
      </c>
      <c r="P3163" s="4">
        <f ca="1">IFERROR(__xludf.DUMMYFUNCTION("IF(Cost_in_dollars!E3163=""USD"",Cost_in_dollars!C3163,Cost_in_dollars!C3163 * GOOGLEFINANCE(""CURRENCY:"" &amp; Cost_in_dollars!E3163 &amp; ""USD""))
"),21557240)</f>
        <v>21557240</v>
      </c>
      <c r="Q3163" s="6">
        <f t="shared" ca="1" si="72"/>
        <v>-28342760</v>
      </c>
      <c r="R3163" s="7" t="str">
        <f t="shared" si="73"/>
        <v>Your Highness</v>
      </c>
      <c r="S3163" s="43" t="str">
        <f t="shared" si="75"/>
        <v>Adventure</v>
      </c>
    </row>
    <row r="3164" spans="1:19" ht="15.75" customHeight="1" x14ac:dyDescent="0.25">
      <c r="A3164" s="4" t="s">
        <v>9834</v>
      </c>
      <c r="B3164" s="4">
        <v>28</v>
      </c>
      <c r="C3164" s="4">
        <v>4756</v>
      </c>
      <c r="D3164" s="4" t="s">
        <v>1259</v>
      </c>
      <c r="E3164" s="4" t="s">
        <v>74</v>
      </c>
      <c r="F3164" s="4" t="s">
        <v>9835</v>
      </c>
      <c r="G3164" s="4">
        <v>4191</v>
      </c>
      <c r="H3164" s="4" t="s">
        <v>9836</v>
      </c>
      <c r="I3164" s="4">
        <v>32</v>
      </c>
      <c r="J3164" s="4" t="s">
        <v>23</v>
      </c>
      <c r="K3164" s="4" t="s">
        <v>133</v>
      </c>
      <c r="L3164" s="4">
        <v>25000000</v>
      </c>
      <c r="M3164" s="4">
        <v>2013</v>
      </c>
      <c r="N3164" s="4">
        <v>5.4</v>
      </c>
      <c r="O3164" s="4">
        <f ca="1">IFERROR(__xludf.DUMMYFUNCTION("IF(Cost_in_dollars!E3164=""USD"",Cost_in_dollars!B3164,Cost_in_dollars!B3164 * GOOGLEFINANCE(""CURRENCY:"" &amp; Cost_in_dollars!E3164 &amp; ""USD""))
"),32134999.9999999)</f>
        <v>32134999.999999899</v>
      </c>
      <c r="P3164" s="4">
        <f ca="1">IFERROR(__xludf.DUMMYFUNCTION("IF(Cost_in_dollars!E3164=""USD"",Cost_in_dollars!C3164,Cost_in_dollars!C3164 * GOOGLEFINANCE(""CURRENCY:"" &amp; Cost_in_dollars!E3164 &amp; ""USD""))
"),6113.36239999999)</f>
        <v>6113.36239999999</v>
      </c>
      <c r="Q3164" s="4">
        <f t="shared" ca="1" si="72"/>
        <v>-32128886.6375999</v>
      </c>
      <c r="R3164" s="5" t="str">
        <f t="shared" si="73"/>
        <v>The Adventurer: The Curse of the Midas Box</v>
      </c>
      <c r="S3164" s="43" t="str">
        <f t="shared" si="75"/>
        <v>Adventure</v>
      </c>
    </row>
    <row r="3165" spans="1:19" ht="15.75" customHeight="1" x14ac:dyDescent="0.25">
      <c r="A3165" s="6" t="s">
        <v>1781</v>
      </c>
      <c r="B3165" s="6">
        <v>130</v>
      </c>
      <c r="C3165" s="6">
        <v>43022524</v>
      </c>
      <c r="D3165" s="6" t="s">
        <v>457</v>
      </c>
      <c r="E3165" s="6" t="s">
        <v>886</v>
      </c>
      <c r="F3165" s="6" t="s">
        <v>9837</v>
      </c>
      <c r="G3165" s="6">
        <v>67604</v>
      </c>
      <c r="H3165" s="6" t="s">
        <v>9838</v>
      </c>
      <c r="I3165" s="6">
        <v>218</v>
      </c>
      <c r="J3165" s="6" t="s">
        <v>23</v>
      </c>
      <c r="K3165" s="6" t="s">
        <v>24</v>
      </c>
      <c r="L3165" s="6">
        <v>15000000</v>
      </c>
      <c r="M3165" s="6">
        <v>1997</v>
      </c>
      <c r="N3165" s="6">
        <v>7.1</v>
      </c>
      <c r="O3165" s="4">
        <f ca="1">IFERROR(__xludf.DUMMYFUNCTION("IF(Cost_in_dollars!E3165=""USD"",Cost_in_dollars!B3165,Cost_in_dollars!B3165 * GOOGLEFINANCE(""CURRENCY:"" &amp; Cost_in_dollars!E3165 &amp; ""USD""))
"),15000000)</f>
        <v>15000000</v>
      </c>
      <c r="P3165" s="4">
        <f ca="1">IFERROR(__xludf.DUMMYFUNCTION("IF(Cost_in_dollars!E3165=""USD"",Cost_in_dollars!C3165,Cost_in_dollars!C3165 * GOOGLEFINANCE(""CURRENCY:"" &amp; Cost_in_dollars!E3165 &amp; ""USD""))
"),43022524)</f>
        <v>43022524</v>
      </c>
      <c r="Q3165" s="6">
        <f t="shared" ca="1" si="72"/>
        <v>28022524</v>
      </c>
      <c r="R3165" s="7" t="str">
        <f t="shared" si="73"/>
        <v>Wag the Dog</v>
      </c>
      <c r="S3165" s="43" t="str">
        <f t="shared" si="75"/>
        <v>Comedy</v>
      </c>
    </row>
    <row r="3166" spans="1:19" ht="15.75" customHeight="1" x14ac:dyDescent="0.25">
      <c r="A3166" s="4" t="s">
        <v>2960</v>
      </c>
      <c r="B3166" s="4">
        <v>175</v>
      </c>
      <c r="C3166" s="4">
        <v>120147445</v>
      </c>
      <c r="D3166" s="4" t="s">
        <v>8089</v>
      </c>
      <c r="E3166" s="4" t="s">
        <v>1410</v>
      </c>
      <c r="F3166" s="4" t="s">
        <v>9839</v>
      </c>
      <c r="G3166" s="4">
        <v>57661</v>
      </c>
      <c r="H3166" s="4" t="s">
        <v>9840</v>
      </c>
      <c r="I3166" s="4">
        <v>455</v>
      </c>
      <c r="J3166" s="4" t="s">
        <v>23</v>
      </c>
      <c r="K3166" s="4" t="s">
        <v>24</v>
      </c>
      <c r="L3166" s="4">
        <v>87000000</v>
      </c>
      <c r="M3166" s="4">
        <v>2003</v>
      </c>
      <c r="N3166" s="4">
        <v>7.3</v>
      </c>
      <c r="O3166" s="4">
        <f ca="1">IFERROR(__xludf.DUMMYFUNCTION("IF(Cost_in_dollars!E3166=""USD"",Cost_in_dollars!B3166,Cost_in_dollars!B3166 * GOOGLEFINANCE(""CURRENCY:"" &amp; Cost_in_dollars!E3166 &amp; ""USD""))
"),87000000)</f>
        <v>87000000</v>
      </c>
      <c r="P3166" s="4">
        <f ca="1">IFERROR(__xludf.DUMMYFUNCTION("IF(Cost_in_dollars!E3166=""USD"",Cost_in_dollars!C3166,Cost_in_dollars!C3166 * GOOGLEFINANCE(""CURRENCY:"" &amp; Cost_in_dollars!E3166 &amp; ""USD""))
"),120147445)</f>
        <v>120147445</v>
      </c>
      <c r="Q3166" s="4">
        <f t="shared" ca="1" si="72"/>
        <v>33147445</v>
      </c>
      <c r="R3166" s="5" t="str">
        <f t="shared" si="73"/>
        <v>Seabiscuit</v>
      </c>
      <c r="S3166" s="43" t="str">
        <f t="shared" si="75"/>
        <v>Drama</v>
      </c>
    </row>
    <row r="3167" spans="1:19" ht="15.75" customHeight="1" x14ac:dyDescent="0.25">
      <c r="A3167" s="6" t="s">
        <v>375</v>
      </c>
      <c r="B3167" s="6">
        <v>134</v>
      </c>
      <c r="C3167" s="6">
        <v>82300000</v>
      </c>
      <c r="D3167" s="6" t="s">
        <v>779</v>
      </c>
      <c r="E3167" s="6" t="s">
        <v>6474</v>
      </c>
      <c r="F3167" s="6" t="s">
        <v>9841</v>
      </c>
      <c r="G3167" s="6">
        <v>63330</v>
      </c>
      <c r="H3167" s="6" t="s">
        <v>9842</v>
      </c>
      <c r="I3167" s="6">
        <v>405</v>
      </c>
      <c r="J3167" s="6" t="s">
        <v>23</v>
      </c>
      <c r="K3167" s="6" t="s">
        <v>24</v>
      </c>
      <c r="L3167" s="6">
        <v>35000000</v>
      </c>
      <c r="M3167" s="6">
        <v>1979</v>
      </c>
      <c r="N3167" s="6">
        <v>6.4</v>
      </c>
      <c r="O3167" s="4">
        <f ca="1">IFERROR(__xludf.DUMMYFUNCTION("IF(Cost_in_dollars!E3167=""USD"",Cost_in_dollars!B3167,Cost_in_dollars!B3167 * GOOGLEFINANCE(""CURRENCY:"" &amp; Cost_in_dollars!E3167 &amp; ""USD""))
"),35000000)</f>
        <v>35000000</v>
      </c>
      <c r="P3167" s="4">
        <f ca="1">IFERROR(__xludf.DUMMYFUNCTION("IF(Cost_in_dollars!E3167=""USD"",Cost_in_dollars!C3167,Cost_in_dollars!C3167 * GOOGLEFINANCE(""CURRENCY:"" &amp; Cost_in_dollars!E3167 &amp; ""USD""))
"),82300000)</f>
        <v>82300000</v>
      </c>
      <c r="Q3167" s="6">
        <f t="shared" ca="1" si="72"/>
        <v>47300000</v>
      </c>
      <c r="R3167" s="7" t="str">
        <f t="shared" si="73"/>
        <v>Star Trek: The Motion Picture</v>
      </c>
      <c r="S3167" s="43" t="str">
        <f t="shared" si="75"/>
        <v>Adventure</v>
      </c>
    </row>
    <row r="3168" spans="1:19" ht="15.75" customHeight="1" x14ac:dyDescent="0.25">
      <c r="A3168" s="4" t="s">
        <v>9843</v>
      </c>
      <c r="B3168" s="4">
        <v>223</v>
      </c>
      <c r="C3168" s="4">
        <v>64998368</v>
      </c>
      <c r="D3168" s="4" t="s">
        <v>2060</v>
      </c>
      <c r="E3168" s="4" t="s">
        <v>2905</v>
      </c>
      <c r="F3168" s="4" t="s">
        <v>9844</v>
      </c>
      <c r="G3168" s="4">
        <v>213898</v>
      </c>
      <c r="H3168" s="4" t="s">
        <v>9845</v>
      </c>
      <c r="I3168" s="4">
        <v>250</v>
      </c>
      <c r="J3168" s="4" t="s">
        <v>23</v>
      </c>
      <c r="K3168" s="4" t="s">
        <v>24</v>
      </c>
      <c r="L3168" s="4">
        <v>17000000</v>
      </c>
      <c r="M3168" s="4">
        <v>2012</v>
      </c>
      <c r="N3168" s="4">
        <v>7.2</v>
      </c>
      <c r="O3168" s="4">
        <f ca="1">IFERROR(__xludf.DUMMYFUNCTION("IF(Cost_in_dollars!E3168=""USD"",Cost_in_dollars!B3168,Cost_in_dollars!B3168 * GOOGLEFINANCE(""CURRENCY:"" &amp; Cost_in_dollars!E3168 &amp; ""USD""))
"),17000000)</f>
        <v>17000000</v>
      </c>
      <c r="P3168" s="4">
        <f ca="1">IFERROR(__xludf.DUMMYFUNCTION("IF(Cost_in_dollars!E3168=""USD"",Cost_in_dollars!C3168,Cost_in_dollars!C3168 * GOOGLEFINANCE(""CURRENCY:"" &amp; Cost_in_dollars!E3168 &amp; ""USD""))
"),64998368)</f>
        <v>64998368</v>
      </c>
      <c r="Q3168" s="4">
        <f t="shared" ca="1" si="72"/>
        <v>47998368</v>
      </c>
      <c r="R3168" s="5" t="str">
        <f t="shared" si="73"/>
        <v>Pitch Perfect</v>
      </c>
      <c r="S3168" s="43" t="str">
        <f t="shared" si="75"/>
        <v>Comedy</v>
      </c>
    </row>
    <row r="3169" spans="1:19" ht="15.75" customHeight="1" x14ac:dyDescent="0.25">
      <c r="A3169" s="6" t="s">
        <v>9846</v>
      </c>
      <c r="B3169" s="6">
        <v>129</v>
      </c>
      <c r="C3169" s="6">
        <v>14343976</v>
      </c>
      <c r="D3169" s="6" t="s">
        <v>8263</v>
      </c>
      <c r="E3169" s="6" t="s">
        <v>959</v>
      </c>
      <c r="F3169" s="6" t="s">
        <v>9847</v>
      </c>
      <c r="G3169" s="6">
        <v>22961</v>
      </c>
      <c r="H3169" s="6" t="s">
        <v>9848</v>
      </c>
      <c r="I3169" s="6">
        <v>291</v>
      </c>
      <c r="J3169" s="6" t="s">
        <v>23</v>
      </c>
      <c r="K3169" s="6" t="s">
        <v>24</v>
      </c>
      <c r="L3169" s="6">
        <v>5000000</v>
      </c>
      <c r="M3169" s="6">
        <v>1989</v>
      </c>
      <c r="N3169" s="6">
        <v>4.5</v>
      </c>
      <c r="O3169" s="4">
        <f ca="1">IFERROR(__xludf.DUMMYFUNCTION("IF(Cost_in_dollars!E3169=""USD"",Cost_in_dollars!B3169,Cost_in_dollars!B3169 * GOOGLEFINANCE(""CURRENCY:"" &amp; Cost_in_dollars!E3169 &amp; ""USD""))
"),5000000)</f>
        <v>5000000</v>
      </c>
      <c r="P3169" s="4">
        <f ca="1">IFERROR(__xludf.DUMMYFUNCTION("IF(Cost_in_dollars!E3169=""USD"",Cost_in_dollars!C3169,Cost_in_dollars!C3169 * GOOGLEFINANCE(""CURRENCY:"" &amp; Cost_in_dollars!E3169 &amp; ""USD""))
"),14343976)</f>
        <v>14343976</v>
      </c>
      <c r="Q3169" s="6">
        <f t="shared" ca="1" si="72"/>
        <v>9343976</v>
      </c>
      <c r="R3169" s="7" t="str">
        <f t="shared" si="73"/>
        <v>Friday the 13th Part VIII: Jason Takes Manhattan</v>
      </c>
      <c r="S3169" s="43" t="str">
        <f t="shared" si="75"/>
        <v>Adventure</v>
      </c>
    </row>
    <row r="3170" spans="1:19" ht="15.75" customHeight="1" x14ac:dyDescent="0.25">
      <c r="A3170" s="4" t="s">
        <v>9849</v>
      </c>
      <c r="B3170" s="4">
        <v>2</v>
      </c>
      <c r="C3170" s="4">
        <v>1000000</v>
      </c>
      <c r="D3170" s="4" t="s">
        <v>3290</v>
      </c>
      <c r="E3170" s="4" t="s">
        <v>1033</v>
      </c>
      <c r="F3170" s="4" t="s">
        <v>9850</v>
      </c>
      <c r="G3170" s="4">
        <v>524</v>
      </c>
      <c r="H3170" s="4" t="s">
        <v>9851</v>
      </c>
      <c r="I3170" s="4">
        <v>8</v>
      </c>
      <c r="J3170" s="4" t="s">
        <v>23</v>
      </c>
      <c r="K3170" s="4" t="s">
        <v>2546</v>
      </c>
      <c r="L3170" s="4">
        <v>14000000</v>
      </c>
      <c r="M3170" s="4">
        <v>1978</v>
      </c>
      <c r="N3170" s="4">
        <v>6.5</v>
      </c>
      <c r="O3170" s="4">
        <f ca="1">IFERROR(__xludf.DUMMYFUNCTION("IF(Cost_in_dollars!E3170=""USD"",Cost_in_dollars!B3170,Cost_in_dollars!B3170 * GOOGLEFINANCE(""CURRENCY:"" &amp; Cost_in_dollars!E3170 &amp; ""USD""))
"),332.502072)</f>
        <v>332.502072</v>
      </c>
      <c r="P3170" s="4">
        <f ca="1">IFERROR(__xludf.DUMMYFUNCTION("IF(Cost_in_dollars!E3170=""USD"",Cost_in_dollars!C3170,Cost_in_dollars!C3170 * GOOGLEFINANCE(""CURRENCY:"" &amp; Cost_in_dollars!E3170 &amp; ""USD""))
"),23.750148)</f>
        <v>23.750147999999999</v>
      </c>
      <c r="Q3170" s="4">
        <f t="shared" ca="1" si="72"/>
        <v>-308.75192399999997</v>
      </c>
      <c r="R3170" s="5" t="str">
        <f t="shared" si="73"/>
        <v>Caravans</v>
      </c>
      <c r="S3170" s="43" t="str">
        <f t="shared" si="75"/>
        <v>Action</v>
      </c>
    </row>
    <row r="3171" spans="1:19" ht="15.75" customHeight="1" x14ac:dyDescent="0.25">
      <c r="A3171" s="6" t="s">
        <v>5137</v>
      </c>
      <c r="B3171" s="6">
        <v>377</v>
      </c>
      <c r="C3171" s="6">
        <v>9701559</v>
      </c>
      <c r="D3171" s="6" t="s">
        <v>235</v>
      </c>
      <c r="E3171" s="6" t="s">
        <v>227</v>
      </c>
      <c r="F3171" s="6" t="s">
        <v>9852</v>
      </c>
      <c r="G3171" s="6">
        <v>141425</v>
      </c>
      <c r="H3171" s="6" t="s">
        <v>9853</v>
      </c>
      <c r="I3171" s="6">
        <v>283</v>
      </c>
      <c r="J3171" s="6" t="s">
        <v>23</v>
      </c>
      <c r="K3171" s="6" t="s">
        <v>24</v>
      </c>
      <c r="L3171" s="6">
        <v>3500000</v>
      </c>
      <c r="M3171" s="6">
        <v>2010</v>
      </c>
      <c r="N3171" s="6">
        <v>7.4</v>
      </c>
      <c r="O3171" s="4">
        <f ca="1">IFERROR(__xludf.DUMMYFUNCTION("IF(Cost_in_dollars!E3171=""USD"",Cost_in_dollars!B3171,Cost_in_dollars!B3171 * GOOGLEFINANCE(""CURRENCY:"" &amp; Cost_in_dollars!E3171 &amp; ""USD""))
"),3500000)</f>
        <v>3500000</v>
      </c>
      <c r="P3171" s="4">
        <f ca="1">IFERROR(__xludf.DUMMYFUNCTION("IF(Cost_in_dollars!E3171=""USD"",Cost_in_dollars!C3171,Cost_in_dollars!C3171 * GOOGLEFINANCE(""CURRENCY:"" &amp; Cost_in_dollars!E3171 &amp; ""USD""))
"),9701559)</f>
        <v>9701559</v>
      </c>
      <c r="Q3171" s="6">
        <f t="shared" ca="1" si="72"/>
        <v>6201559</v>
      </c>
      <c r="R3171" s="7" t="str">
        <f t="shared" si="73"/>
        <v>Blue Valentine</v>
      </c>
      <c r="S3171" s="43" t="str">
        <f t="shared" si="75"/>
        <v>Drama</v>
      </c>
    </row>
    <row r="3172" spans="1:19" ht="15.75" customHeight="1" x14ac:dyDescent="0.25">
      <c r="A3172" s="4" t="s">
        <v>5880</v>
      </c>
      <c r="B3172" s="4">
        <v>125</v>
      </c>
      <c r="C3172" s="4">
        <v>54200000</v>
      </c>
      <c r="D3172" s="4" t="s">
        <v>9854</v>
      </c>
      <c r="E3172" s="4" t="s">
        <v>8460</v>
      </c>
      <c r="F3172" s="4" t="s">
        <v>9855</v>
      </c>
      <c r="G3172" s="4">
        <v>142448</v>
      </c>
      <c r="H3172" s="4" t="s">
        <v>9856</v>
      </c>
      <c r="I3172" s="4">
        <v>319</v>
      </c>
      <c r="J3172" s="4" t="s">
        <v>23</v>
      </c>
      <c r="K3172" s="4" t="s">
        <v>24</v>
      </c>
      <c r="L3172" s="4">
        <v>27000000</v>
      </c>
      <c r="M3172" s="4">
        <v>1980</v>
      </c>
      <c r="N3172" s="4">
        <v>7.9</v>
      </c>
      <c r="O3172" s="4">
        <f ca="1">IFERROR(__xludf.DUMMYFUNCTION("IF(Cost_in_dollars!E3172=""USD"",Cost_in_dollars!B3172,Cost_in_dollars!B3172 * GOOGLEFINANCE(""CURRENCY:"" &amp; Cost_in_dollars!E3172 &amp; ""USD""))
"),27000000)</f>
        <v>27000000</v>
      </c>
      <c r="P3172" s="4">
        <f ca="1">IFERROR(__xludf.DUMMYFUNCTION("IF(Cost_in_dollars!E3172=""USD"",Cost_in_dollars!C3172,Cost_in_dollars!C3172 * GOOGLEFINANCE(""CURRENCY:"" &amp; Cost_in_dollars!E3172 &amp; ""USD""))
"),54200000)</f>
        <v>54200000</v>
      </c>
      <c r="Q3172" s="4">
        <f t="shared" ca="1" si="72"/>
        <v>27200000</v>
      </c>
      <c r="R3172" s="5" t="str">
        <f t="shared" si="73"/>
        <v>The Blues Brothers</v>
      </c>
      <c r="S3172" s="43" t="str">
        <f t="shared" si="75"/>
        <v>Action</v>
      </c>
    </row>
    <row r="3173" spans="1:19" ht="15.75" customHeight="1" x14ac:dyDescent="0.25">
      <c r="A3173" s="6" t="s">
        <v>7142</v>
      </c>
      <c r="B3173" s="6">
        <v>178</v>
      </c>
      <c r="C3173" s="6">
        <v>12276810</v>
      </c>
      <c r="D3173" s="6" t="s">
        <v>412</v>
      </c>
      <c r="E3173" s="6" t="s">
        <v>2466</v>
      </c>
      <c r="F3173" s="6" t="s">
        <v>9857</v>
      </c>
      <c r="G3173" s="6">
        <v>57674</v>
      </c>
      <c r="H3173" s="6" t="s">
        <v>9858</v>
      </c>
      <c r="I3173" s="6">
        <v>126</v>
      </c>
      <c r="J3173" s="6" t="s">
        <v>23</v>
      </c>
      <c r="K3173" s="6" t="s">
        <v>24</v>
      </c>
      <c r="L3173" s="6">
        <v>26000000</v>
      </c>
      <c r="M3173" s="6">
        <v>2015</v>
      </c>
      <c r="N3173" s="6">
        <v>6.5</v>
      </c>
      <c r="O3173" s="4">
        <f ca="1">IFERROR(__xludf.DUMMYFUNCTION("IF(Cost_in_dollars!E3173=""USD"",Cost_in_dollars!B3173,Cost_in_dollars!B3173 * GOOGLEFINANCE(""CURRENCY:"" &amp; Cost_in_dollars!E3173 &amp; ""USD""))
"),26000000)</f>
        <v>26000000</v>
      </c>
      <c r="P3173" s="4">
        <f ca="1">IFERROR(__xludf.DUMMYFUNCTION("IF(Cost_in_dollars!E3173=""USD"",Cost_in_dollars!C3173,Cost_in_dollars!C3173 * GOOGLEFINANCE(""CURRENCY:"" &amp; Cost_in_dollars!E3173 &amp; ""USD""))
"),12276810)</f>
        <v>12276810</v>
      </c>
      <c r="Q3173" s="6">
        <f t="shared" ca="1" si="72"/>
        <v>-13723190</v>
      </c>
      <c r="R3173" s="7" t="str">
        <f t="shared" si="73"/>
        <v>Self/less</v>
      </c>
      <c r="S3173" s="43" t="str">
        <f t="shared" si="75"/>
        <v>Action</v>
      </c>
    </row>
    <row r="3174" spans="1:19" ht="15.75" customHeight="1" x14ac:dyDescent="0.25">
      <c r="A3174" s="4" t="s">
        <v>9859</v>
      </c>
      <c r="B3174" s="4">
        <v>38</v>
      </c>
      <c r="C3174" s="4">
        <v>6482195</v>
      </c>
      <c r="D3174" s="4" t="s">
        <v>578</v>
      </c>
      <c r="E3174" s="4" t="s">
        <v>9860</v>
      </c>
      <c r="F3174" s="4" t="s">
        <v>9861</v>
      </c>
      <c r="G3174" s="4">
        <v>9740</v>
      </c>
      <c r="H3174" s="4" t="s">
        <v>9862</v>
      </c>
      <c r="I3174" s="4">
        <v>81</v>
      </c>
      <c r="J3174" s="4" t="s">
        <v>23</v>
      </c>
      <c r="K3174" s="4" t="s">
        <v>24</v>
      </c>
      <c r="L3174" s="4">
        <v>37000000</v>
      </c>
      <c r="M3174" s="4">
        <v>1997</v>
      </c>
      <c r="N3174" s="4">
        <v>6.4</v>
      </c>
      <c r="O3174" s="4">
        <f ca="1">IFERROR(__xludf.DUMMYFUNCTION("IF(Cost_in_dollars!E3174=""USD"",Cost_in_dollars!B3174,Cost_in_dollars!B3174 * GOOGLEFINANCE(""CURRENCY:"" &amp; Cost_in_dollars!E3174 &amp; ""USD""))
"),37000000)</f>
        <v>37000000</v>
      </c>
      <c r="P3174" s="4">
        <f ca="1">IFERROR(__xludf.DUMMYFUNCTION("IF(Cost_in_dollars!E3174=""USD"",Cost_in_dollars!C3174,Cost_in_dollars!C3174 * GOOGLEFINANCE(""CURRENCY:"" &amp; Cost_in_dollars!E3174 &amp; ""USD""))
"),6482195)</f>
        <v>6482195</v>
      </c>
      <c r="Q3174" s="4">
        <f t="shared" ca="1" si="72"/>
        <v>-30517805</v>
      </c>
      <c r="R3174" s="5" t="str">
        <f t="shared" si="73"/>
        <v>Switchback</v>
      </c>
      <c r="S3174" s="43" t="str">
        <f t="shared" si="75"/>
        <v>Crime</v>
      </c>
    </row>
    <row r="3175" spans="1:19" ht="15.75" customHeight="1" x14ac:dyDescent="0.25">
      <c r="A3175" s="6" t="s">
        <v>1723</v>
      </c>
      <c r="B3175" s="6">
        <v>71</v>
      </c>
      <c r="C3175" s="6">
        <v>64736114</v>
      </c>
      <c r="D3175" s="6" t="s">
        <v>304</v>
      </c>
      <c r="E3175" s="6" t="s">
        <v>6459</v>
      </c>
      <c r="F3175" s="6" t="s">
        <v>9863</v>
      </c>
      <c r="G3175" s="6">
        <v>36471</v>
      </c>
      <c r="H3175" s="6" t="s">
        <v>9864</v>
      </c>
      <c r="I3175" s="6">
        <v>69</v>
      </c>
      <c r="J3175" s="6" t="s">
        <v>23</v>
      </c>
      <c r="K3175" s="6" t="s">
        <v>24</v>
      </c>
      <c r="L3175" s="6">
        <v>120000000</v>
      </c>
      <c r="M3175" s="6">
        <v>2002</v>
      </c>
      <c r="N3175" s="6">
        <v>5.4</v>
      </c>
      <c r="O3175" s="4">
        <f ca="1">IFERROR(__xludf.DUMMYFUNCTION("IF(Cost_in_dollars!E3175=""USD"",Cost_in_dollars!B3175,Cost_in_dollars!B3175 * GOOGLEFINANCE(""CURRENCY:"" &amp; Cost_in_dollars!E3175 &amp; ""USD""))
"),120000000)</f>
        <v>120000000</v>
      </c>
      <c r="P3175" s="4">
        <f ca="1">IFERROR(__xludf.DUMMYFUNCTION("IF(Cost_in_dollars!E3175=""USD"",Cost_in_dollars!C3175,Cost_in_dollars!C3175 * GOOGLEFINANCE(""CURRENCY:"" &amp; Cost_in_dollars!E3175 &amp; ""USD""))
"),64736114)</f>
        <v>64736114</v>
      </c>
      <c r="Q3175" s="6">
        <f t="shared" ca="1" si="72"/>
        <v>-55263886</v>
      </c>
      <c r="R3175" s="7" t="str">
        <f t="shared" si="73"/>
        <v>Stuart Little 2</v>
      </c>
      <c r="S3175" s="43" t="str">
        <f t="shared" si="75"/>
        <v>Adventure</v>
      </c>
    </row>
    <row r="3176" spans="1:19" ht="15.75" customHeight="1" x14ac:dyDescent="0.25">
      <c r="A3176" s="4" t="s">
        <v>567</v>
      </c>
      <c r="B3176" s="4">
        <v>276</v>
      </c>
      <c r="C3176" s="4">
        <v>79363785</v>
      </c>
      <c r="D3176" s="4" t="s">
        <v>1238</v>
      </c>
      <c r="E3176" s="4" t="s">
        <v>1173</v>
      </c>
      <c r="F3176" s="4" t="s">
        <v>3993</v>
      </c>
      <c r="G3176" s="4">
        <v>139423</v>
      </c>
      <c r="H3176" s="4" t="s">
        <v>3994</v>
      </c>
      <c r="I3176" s="4">
        <v>698</v>
      </c>
      <c r="J3176" s="4" t="s">
        <v>23</v>
      </c>
      <c r="K3176" s="4" t="s">
        <v>24</v>
      </c>
      <c r="L3176" s="4">
        <v>80000000</v>
      </c>
      <c r="M3176" s="4">
        <v>2008</v>
      </c>
      <c r="N3176" s="4">
        <v>5.5</v>
      </c>
      <c r="O3176" s="4">
        <f ca="1">IFERROR(__xludf.DUMMYFUNCTION("IF(Cost_in_dollars!E3176=""USD"",Cost_in_dollars!B3176,Cost_in_dollars!B3176 * GOOGLEFINANCE(""CURRENCY:"" &amp; Cost_in_dollars!E3176 &amp; ""USD""))
"),80000000)</f>
        <v>80000000</v>
      </c>
      <c r="P3176" s="4">
        <f ca="1">IFERROR(__xludf.DUMMYFUNCTION("IF(Cost_in_dollars!E3176=""USD"",Cost_in_dollars!C3176,Cost_in_dollars!C3176 * GOOGLEFINANCE(""CURRENCY:"" &amp; Cost_in_dollars!E3176 &amp; ""USD""))
"),79363785)</f>
        <v>79363785</v>
      </c>
      <c r="Q3176" s="4">
        <f t="shared" ca="1" si="72"/>
        <v>-636215</v>
      </c>
      <c r="R3176" s="5" t="str">
        <f t="shared" si="73"/>
        <v>The Day the Earth Stood Still</v>
      </c>
      <c r="S3176" s="43" t="str">
        <f t="shared" si="75"/>
        <v>Drama</v>
      </c>
    </row>
    <row r="3177" spans="1:19" ht="15.75" customHeight="1" x14ac:dyDescent="0.25">
      <c r="A3177" s="6" t="s">
        <v>5343</v>
      </c>
      <c r="B3177" s="6">
        <v>676</v>
      </c>
      <c r="C3177" s="6">
        <v>35054909</v>
      </c>
      <c r="D3177" s="6" t="s">
        <v>53</v>
      </c>
      <c r="E3177" s="6" t="s">
        <v>227</v>
      </c>
      <c r="F3177" s="6" t="s">
        <v>9865</v>
      </c>
      <c r="G3177" s="6">
        <v>431578</v>
      </c>
      <c r="H3177" s="6" t="s">
        <v>9866</v>
      </c>
      <c r="I3177" s="6">
        <v>1264</v>
      </c>
      <c r="J3177" s="6" t="s">
        <v>23</v>
      </c>
      <c r="K3177" s="6" t="s">
        <v>24</v>
      </c>
      <c r="L3177" s="6">
        <v>15000000</v>
      </c>
      <c r="M3177" s="6">
        <v>2011</v>
      </c>
      <c r="N3177" s="6">
        <v>7.8</v>
      </c>
      <c r="O3177" s="4">
        <f ca="1">IFERROR(__xludf.DUMMYFUNCTION("IF(Cost_in_dollars!E3177=""USD"",Cost_in_dollars!B3177,Cost_in_dollars!B3177 * GOOGLEFINANCE(""CURRENCY:"" &amp; Cost_in_dollars!E3177 &amp; ""USD""))
"),15000000)</f>
        <v>15000000</v>
      </c>
      <c r="P3177" s="4">
        <f ca="1">IFERROR(__xludf.DUMMYFUNCTION("IF(Cost_in_dollars!E3177=""USD"",Cost_in_dollars!C3177,Cost_in_dollars!C3177 * GOOGLEFINANCE(""CURRENCY:"" &amp; Cost_in_dollars!E3177 &amp; ""USD""))
"),35054909)</f>
        <v>35054909</v>
      </c>
      <c r="Q3177" s="6">
        <f t="shared" ca="1" si="72"/>
        <v>20054909</v>
      </c>
      <c r="R3177" s="7" t="str">
        <f t="shared" si="73"/>
        <v>Drive</v>
      </c>
      <c r="S3177" s="43" t="str">
        <f t="shared" si="75"/>
        <v>Crime</v>
      </c>
    </row>
    <row r="3178" spans="1:19" ht="15.75" customHeight="1" x14ac:dyDescent="0.25">
      <c r="A3178" s="4" t="s">
        <v>9867</v>
      </c>
      <c r="B3178" s="4">
        <v>99</v>
      </c>
      <c r="C3178" s="4">
        <v>617228</v>
      </c>
      <c r="D3178" s="4" t="s">
        <v>9868</v>
      </c>
      <c r="E3178" s="4" t="s">
        <v>9869</v>
      </c>
      <c r="F3178" s="4" t="s">
        <v>9870</v>
      </c>
      <c r="G3178" s="4">
        <v>6183</v>
      </c>
      <c r="H3178" s="4" t="s">
        <v>9871</v>
      </c>
      <c r="I3178" s="4">
        <v>27</v>
      </c>
      <c r="J3178" s="4" t="s">
        <v>9872</v>
      </c>
      <c r="K3178" s="4" t="s">
        <v>7191</v>
      </c>
      <c r="L3178" s="4">
        <v>84450000</v>
      </c>
      <c r="M3178" s="4">
        <v>2006</v>
      </c>
      <c r="N3178" s="4">
        <v>7.4</v>
      </c>
      <c r="O3178" s="4">
        <f ca="1">IFERROR(__xludf.DUMMYFUNCTION("IF(Cost_in_dollars!E3178=""USD"",Cost_in_dollars!B3178,Cost_in_dollars!B3178 * GOOGLEFINANCE(""CURRENCY:"" &amp; Cost_in_dollars!E3178 &amp; ""USD""))
"),3610120.1145)</f>
        <v>3610120.1145000001</v>
      </c>
      <c r="P3178" s="4">
        <f ca="1">IFERROR(__xludf.DUMMYFUNCTION("IF(Cost_in_dollars!E3178=""USD"",Cost_in_dollars!C3178,Cost_in_dollars!C3178 * GOOGLEFINANCE(""CURRENCY:"" &amp; Cost_in_dollars!E3178 &amp; ""USD""))
"),26385.6390530799)</f>
        <v>26385.6390530799</v>
      </c>
      <c r="Q3178" s="4">
        <f t="shared" ca="1" si="72"/>
        <v>-3583734.4754469204</v>
      </c>
      <c r="R3178" s="5" t="str">
        <f t="shared" si="73"/>
        <v>I Served the King of England</v>
      </c>
      <c r="S3178" s="43" t="str">
        <f t="shared" si="75"/>
        <v>Comedy</v>
      </c>
    </row>
    <row r="3179" spans="1:19" ht="15.75" customHeight="1" x14ac:dyDescent="0.25">
      <c r="A3179" s="6" t="s">
        <v>532</v>
      </c>
      <c r="B3179" s="6">
        <v>106</v>
      </c>
      <c r="C3179" s="6">
        <v>1569918</v>
      </c>
      <c r="D3179" s="6" t="s">
        <v>5517</v>
      </c>
      <c r="E3179" s="6" t="s">
        <v>9873</v>
      </c>
      <c r="F3179" s="6" t="s">
        <v>9874</v>
      </c>
      <c r="G3179" s="6">
        <v>16234</v>
      </c>
      <c r="H3179" s="6" t="s">
        <v>9875</v>
      </c>
      <c r="I3179" s="6">
        <v>113</v>
      </c>
      <c r="J3179" s="6" t="s">
        <v>23</v>
      </c>
      <c r="K3179" s="6" t="s">
        <v>596</v>
      </c>
      <c r="L3179" s="6">
        <v>17000000</v>
      </c>
      <c r="M3179" s="6">
        <v>2003</v>
      </c>
      <c r="N3179" s="6">
        <v>6.9</v>
      </c>
      <c r="O3179" s="4">
        <f ca="1">IFERROR(__xludf.DUMMYFUNCTION("IF(Cost_in_dollars!E3179=""USD"",Cost_in_dollars!B3179,Cost_in_dollars!B3179 * GOOGLEFINANCE(""CURRENCY:"" &amp; Cost_in_dollars!E3179 &amp; ""USD""))
"),18440580)</f>
        <v>18440580</v>
      </c>
      <c r="P3179" s="4">
        <f ca="1">IFERROR(__xludf.DUMMYFUNCTION("IF(Cost_in_dollars!E3179=""USD"",Cost_in_dollars!C3179,Cost_in_dollars!C3179 * GOOGLEFINANCE(""CURRENCY:"" &amp; Cost_in_dollars!E3179 &amp; ""USD""))
"),1702952.85132)</f>
        <v>1702952.8513199999</v>
      </c>
      <c r="Q3179" s="6">
        <f t="shared" ca="1" si="72"/>
        <v>-16737627.14868</v>
      </c>
      <c r="R3179" s="7" t="str">
        <f t="shared" si="73"/>
        <v>Veronica Guerin</v>
      </c>
      <c r="S3179" s="43" t="str">
        <f t="shared" si="75"/>
        <v>Biography</v>
      </c>
    </row>
    <row r="3180" spans="1:19" ht="15.75" customHeight="1" x14ac:dyDescent="0.25">
      <c r="A3180" s="4" t="s">
        <v>5600</v>
      </c>
      <c r="B3180" s="4">
        <v>124</v>
      </c>
      <c r="C3180" s="4">
        <v>217350219</v>
      </c>
      <c r="D3180" s="4" t="s">
        <v>8702</v>
      </c>
      <c r="E3180" s="4" t="s">
        <v>676</v>
      </c>
      <c r="F3180" s="4" t="s">
        <v>9876</v>
      </c>
      <c r="G3180" s="4">
        <v>260939</v>
      </c>
      <c r="H3180" s="4" t="s">
        <v>9877</v>
      </c>
      <c r="I3180" s="4">
        <v>244</v>
      </c>
      <c r="J3180" s="4" t="s">
        <v>23</v>
      </c>
      <c r="K3180" s="4" t="s">
        <v>24</v>
      </c>
      <c r="L3180" s="4">
        <v>28000000</v>
      </c>
      <c r="M3180" s="4">
        <v>1992</v>
      </c>
      <c r="N3180" s="4">
        <v>8</v>
      </c>
      <c r="O3180" s="4">
        <f ca="1">IFERROR(__xludf.DUMMYFUNCTION("IF(Cost_in_dollars!E3180=""USD"",Cost_in_dollars!B3180,Cost_in_dollars!B3180 * GOOGLEFINANCE(""CURRENCY:"" &amp; Cost_in_dollars!E3180 &amp; ""USD""))
"),28000000)</f>
        <v>28000000</v>
      </c>
      <c r="P3180" s="4">
        <f ca="1">IFERROR(__xludf.DUMMYFUNCTION("IF(Cost_in_dollars!E3180=""USD"",Cost_in_dollars!C3180,Cost_in_dollars!C3180 * GOOGLEFINANCE(""CURRENCY:"" &amp; Cost_in_dollars!E3180 &amp; ""USD""))
"),217350219)</f>
        <v>217350219</v>
      </c>
      <c r="Q3180" s="4">
        <f t="shared" ca="1" si="72"/>
        <v>189350219</v>
      </c>
      <c r="R3180" s="5" t="str">
        <f t="shared" si="73"/>
        <v>Aladdin</v>
      </c>
      <c r="S3180" s="43" t="str">
        <f t="shared" si="75"/>
        <v>Adventure</v>
      </c>
    </row>
    <row r="3181" spans="1:19" ht="15.75" customHeight="1" x14ac:dyDescent="0.25">
      <c r="A3181" s="6" t="s">
        <v>2556</v>
      </c>
      <c r="B3181" s="6">
        <v>107</v>
      </c>
      <c r="C3181" s="6">
        <v>15988876</v>
      </c>
      <c r="D3181" s="6" t="s">
        <v>155</v>
      </c>
      <c r="E3181" s="6" t="s">
        <v>1021</v>
      </c>
      <c r="F3181" s="6" t="s">
        <v>9878</v>
      </c>
      <c r="G3181" s="6">
        <v>26236</v>
      </c>
      <c r="H3181" s="6" t="s">
        <v>9879</v>
      </c>
      <c r="I3181" s="6">
        <v>110</v>
      </c>
      <c r="J3181" s="6" t="s">
        <v>23</v>
      </c>
      <c r="K3181" s="6" t="s">
        <v>24</v>
      </c>
      <c r="L3181" s="6">
        <v>27000000</v>
      </c>
      <c r="M3181" s="6">
        <v>2009</v>
      </c>
      <c r="N3181" s="6">
        <v>5.7</v>
      </c>
      <c r="O3181" s="4">
        <f ca="1">IFERROR(__xludf.DUMMYFUNCTION("IF(Cost_in_dollars!E3181=""USD"",Cost_in_dollars!B3181,Cost_in_dollars!B3181 * GOOGLEFINANCE(""CURRENCY:"" &amp; Cost_in_dollars!E3181 &amp; ""USD""))
"),27000000)</f>
        <v>27000000</v>
      </c>
      <c r="P3181" s="4">
        <f ca="1">IFERROR(__xludf.DUMMYFUNCTION("IF(Cost_in_dollars!E3181=""USD"",Cost_in_dollars!C3181,Cost_in_dollars!C3181 * GOOGLEFINANCE(""CURRENCY:"" &amp; Cost_in_dollars!E3181 &amp; ""USD""))
"),15988876)</f>
        <v>15988876</v>
      </c>
      <c r="Q3181" s="6">
        <f t="shared" ca="1" si="72"/>
        <v>-11011124</v>
      </c>
      <c r="R3181" s="7" t="str">
        <f t="shared" si="73"/>
        <v>Armored</v>
      </c>
      <c r="S3181" s="43" t="str">
        <f t="shared" si="75"/>
        <v>Action</v>
      </c>
    </row>
    <row r="3182" spans="1:19" ht="15.75" customHeight="1" x14ac:dyDescent="0.25">
      <c r="A3182" s="4" t="s">
        <v>9880</v>
      </c>
      <c r="B3182" s="4">
        <v>40</v>
      </c>
      <c r="C3182" s="4">
        <v>81525</v>
      </c>
      <c r="D3182" s="4" t="s">
        <v>2190</v>
      </c>
      <c r="E3182" s="4" t="s">
        <v>9881</v>
      </c>
      <c r="F3182" s="4" t="s">
        <v>9882</v>
      </c>
      <c r="G3182" s="4">
        <v>29392</v>
      </c>
      <c r="H3182" s="4" t="s">
        <v>9883</v>
      </c>
      <c r="I3182" s="4">
        <v>91</v>
      </c>
      <c r="J3182" s="4" t="s">
        <v>661</v>
      </c>
      <c r="K3182" s="4" t="s">
        <v>611</v>
      </c>
      <c r="L3182" s="4">
        <v>15300000</v>
      </c>
      <c r="M3182" s="4">
        <v>2001</v>
      </c>
      <c r="N3182" s="4">
        <v>6.6</v>
      </c>
      <c r="O3182" s="4">
        <f ca="1">IFERROR(__xludf.DUMMYFUNCTION("IF(Cost_in_dollars!E3182=""USD"",Cost_in_dollars!B3182,Cost_in_dollars!B3182 * GOOGLEFINANCE(""CURRENCY:"" &amp; Cost_in_dollars!E3182 &amp; ""USD""))
"),16596522)</f>
        <v>16596522</v>
      </c>
      <c r="P3182" s="4">
        <f ca="1">IFERROR(__xludf.DUMMYFUNCTION("IF(Cost_in_dollars!E3182=""USD"",Cost_in_dollars!C3182,Cost_in_dollars!C3182 * GOOGLEFINANCE(""CURRENCY:"" &amp; Cost_in_dollars!E3182 &amp; ""USD""))
"),88433.4285)</f>
        <v>88433.428499999995</v>
      </c>
      <c r="Q3182" s="4">
        <f t="shared" ca="1" si="72"/>
        <v>-16508088.5715</v>
      </c>
      <c r="R3182" s="5" t="str">
        <f t="shared" si="73"/>
        <v>Wasabi</v>
      </c>
      <c r="S3182" s="43" t="str">
        <f t="shared" si="75"/>
        <v>Action</v>
      </c>
    </row>
    <row r="3183" spans="1:19" ht="15.75" customHeight="1" x14ac:dyDescent="0.25">
      <c r="A3183" s="6" t="s">
        <v>182</v>
      </c>
      <c r="B3183" s="6">
        <v>111</v>
      </c>
      <c r="C3183" s="6">
        <v>56362352</v>
      </c>
      <c r="D3183" s="6" t="s">
        <v>9884</v>
      </c>
      <c r="E3183" s="6" t="s">
        <v>84</v>
      </c>
      <c r="F3183" s="6" t="s">
        <v>9885</v>
      </c>
      <c r="G3183" s="6">
        <v>357581</v>
      </c>
      <c r="H3183" s="6" t="s">
        <v>9886</v>
      </c>
      <c r="I3183" s="6">
        <v>588</v>
      </c>
      <c r="J3183" s="6" t="s">
        <v>23</v>
      </c>
      <c r="K3183" s="6" t="s">
        <v>24</v>
      </c>
      <c r="L3183" s="6">
        <v>20000000</v>
      </c>
      <c r="M3183" s="6">
        <v>1990</v>
      </c>
      <c r="N3183" s="6">
        <v>7.9</v>
      </c>
      <c r="O3183" s="4">
        <f ca="1">IFERROR(__xludf.DUMMYFUNCTION("IF(Cost_in_dollars!E3183=""USD"",Cost_in_dollars!B3183,Cost_in_dollars!B3183 * GOOGLEFINANCE(""CURRENCY:"" &amp; Cost_in_dollars!E3183 &amp; ""USD""))
"),20000000)</f>
        <v>20000000</v>
      </c>
      <c r="P3183" s="4">
        <f ca="1">IFERROR(__xludf.DUMMYFUNCTION("IF(Cost_in_dollars!E3183=""USD"",Cost_in_dollars!C3183,Cost_in_dollars!C3183 * GOOGLEFINANCE(""CURRENCY:"" &amp; Cost_in_dollars!E3183 &amp; ""USD""))
"),56362352)</f>
        <v>56362352</v>
      </c>
      <c r="Q3183" s="6">
        <f t="shared" ca="1" si="72"/>
        <v>36362352</v>
      </c>
      <c r="R3183" s="7" t="str">
        <f t="shared" si="73"/>
        <v>Edward Scissorhands</v>
      </c>
      <c r="S3183" s="43" t="str">
        <f t="shared" si="75"/>
        <v>Fantasy</v>
      </c>
    </row>
    <row r="3184" spans="1:19" ht="15.75" customHeight="1" x14ac:dyDescent="0.25">
      <c r="A3184" s="4" t="s">
        <v>2067</v>
      </c>
      <c r="B3184" s="4">
        <v>79</v>
      </c>
      <c r="C3184" s="4">
        <v>17593391</v>
      </c>
      <c r="D3184" s="4" t="s">
        <v>8009</v>
      </c>
      <c r="E3184" s="4" t="s">
        <v>6953</v>
      </c>
      <c r="F3184" s="4" t="s">
        <v>9887</v>
      </c>
      <c r="G3184" s="4">
        <v>56403</v>
      </c>
      <c r="H3184" s="4" t="s">
        <v>9888</v>
      </c>
      <c r="I3184" s="4">
        <v>376</v>
      </c>
      <c r="J3184" s="4" t="s">
        <v>23</v>
      </c>
      <c r="K3184" s="4" t="s">
        <v>24</v>
      </c>
      <c r="L3184" s="4">
        <v>80000000</v>
      </c>
      <c r="M3184" s="4">
        <v>1997</v>
      </c>
      <c r="N3184" s="4">
        <v>6</v>
      </c>
      <c r="O3184" s="4">
        <f ca="1">IFERROR(__xludf.DUMMYFUNCTION("IF(Cost_in_dollars!E3184=""USD"",Cost_in_dollars!B3184,Cost_in_dollars!B3184 * GOOGLEFINANCE(""CURRENCY:"" &amp; Cost_in_dollars!E3184 &amp; ""USD""))
"),80000000)</f>
        <v>80000000</v>
      </c>
      <c r="P3184" s="4">
        <f ca="1">IFERROR(__xludf.DUMMYFUNCTION("IF(Cost_in_dollars!E3184=""USD"",Cost_in_dollars!C3184,Cost_in_dollars!C3184 * GOOGLEFINANCE(""CURRENCY:"" &amp; Cost_in_dollars!E3184 &amp; ""USD""))
"),17593391)</f>
        <v>17593391</v>
      </c>
      <c r="Q3184" s="4">
        <f t="shared" ca="1" si="72"/>
        <v>-62406609</v>
      </c>
      <c r="R3184" s="5" t="str">
        <f t="shared" si="73"/>
        <v>The Postman</v>
      </c>
      <c r="S3184" s="43" t="str">
        <f t="shared" si="75"/>
        <v>Action</v>
      </c>
    </row>
    <row r="3185" spans="1:19" ht="15.75" customHeight="1" x14ac:dyDescent="0.25">
      <c r="A3185" s="6" t="s">
        <v>9889</v>
      </c>
      <c r="B3185" s="6">
        <v>47</v>
      </c>
      <c r="C3185" s="6">
        <v>5002310</v>
      </c>
      <c r="D3185" s="6" t="s">
        <v>9890</v>
      </c>
      <c r="E3185" s="6" t="s">
        <v>2524</v>
      </c>
      <c r="F3185" s="6" t="s">
        <v>9891</v>
      </c>
      <c r="G3185" s="6">
        <v>25541</v>
      </c>
      <c r="H3185" s="6" t="s">
        <v>9892</v>
      </c>
      <c r="I3185" s="6">
        <v>181</v>
      </c>
      <c r="J3185" s="6" t="s">
        <v>23</v>
      </c>
      <c r="K3185" s="6" t="s">
        <v>24</v>
      </c>
      <c r="L3185" s="6">
        <v>13000000</v>
      </c>
      <c r="M3185" s="6">
        <v>2001</v>
      </c>
      <c r="N3185" s="6">
        <v>5.6</v>
      </c>
      <c r="O3185" s="4">
        <f ca="1">IFERROR(__xludf.DUMMYFUNCTION("IF(Cost_in_dollars!E3185=""USD"",Cost_in_dollars!B3185,Cost_in_dollars!B3185 * GOOGLEFINANCE(""CURRENCY:"" &amp; Cost_in_dollars!E3185 &amp; ""USD""))
"),13000000)</f>
        <v>13000000</v>
      </c>
      <c r="P3185" s="4">
        <f ca="1">IFERROR(__xludf.DUMMYFUNCTION("IF(Cost_in_dollars!E3185=""USD"",Cost_in_dollars!C3185,Cost_in_dollars!C3185 * GOOGLEFINANCE(""CURRENCY:"" &amp; Cost_in_dollars!E3185 &amp; ""USD""))
"),5002310)</f>
        <v>5002310</v>
      </c>
      <c r="Q3185" s="6">
        <f t="shared" ca="1" si="72"/>
        <v>-7997690</v>
      </c>
      <c r="R3185" s="7" t="str">
        <f t="shared" si="73"/>
        <v>Bubble Boy</v>
      </c>
      <c r="S3185" s="43" t="str">
        <f t="shared" si="75"/>
        <v>Adventure</v>
      </c>
    </row>
    <row r="3186" spans="1:19" ht="15.75" customHeight="1" x14ac:dyDescent="0.25">
      <c r="A3186" s="4" t="s">
        <v>3854</v>
      </c>
      <c r="B3186" s="4">
        <v>233</v>
      </c>
      <c r="C3186" s="4">
        <v>186336103</v>
      </c>
      <c r="D3186" s="4" t="s">
        <v>1309</v>
      </c>
      <c r="E3186" s="4" t="s">
        <v>1436</v>
      </c>
      <c r="F3186" s="4" t="s">
        <v>9893</v>
      </c>
      <c r="G3186" s="4">
        <v>348861</v>
      </c>
      <c r="H3186" s="4" t="s">
        <v>9894</v>
      </c>
      <c r="I3186" s="4">
        <v>798</v>
      </c>
      <c r="J3186" s="4" t="s">
        <v>23</v>
      </c>
      <c r="K3186" s="4" t="s">
        <v>24</v>
      </c>
      <c r="L3186" s="4">
        <v>120000000</v>
      </c>
      <c r="M3186" s="4">
        <v>2005</v>
      </c>
      <c r="N3186" s="4">
        <v>6.5</v>
      </c>
      <c r="O3186" s="4">
        <f ca="1">IFERROR(__xludf.DUMMYFUNCTION("IF(Cost_in_dollars!E3186=""USD"",Cost_in_dollars!B3186,Cost_in_dollars!B3186 * GOOGLEFINANCE(""CURRENCY:"" &amp; Cost_in_dollars!E3186 &amp; ""USD""))
"),120000000)</f>
        <v>120000000</v>
      </c>
      <c r="P3186" s="4">
        <f ca="1">IFERROR(__xludf.DUMMYFUNCTION("IF(Cost_in_dollars!E3186=""USD"",Cost_in_dollars!C3186,Cost_in_dollars!C3186 * GOOGLEFINANCE(""CURRENCY:"" &amp; Cost_in_dollars!E3186 &amp; ""USD""))
"),186336103)</f>
        <v>186336103</v>
      </c>
      <c r="Q3186" s="4">
        <f t="shared" ca="1" si="72"/>
        <v>66336103</v>
      </c>
      <c r="R3186" s="5" t="str">
        <f t="shared" si="73"/>
        <v>Mr. &amp; Mrs. Smith</v>
      </c>
      <c r="S3186" s="43" t="str">
        <f t="shared" si="75"/>
        <v>Action</v>
      </c>
    </row>
    <row r="3187" spans="1:19" ht="15.75" customHeight="1" x14ac:dyDescent="0.25">
      <c r="A3187" s="6" t="s">
        <v>9895</v>
      </c>
      <c r="B3187" s="6">
        <v>292</v>
      </c>
      <c r="C3187" s="6">
        <v>29975979</v>
      </c>
      <c r="D3187" s="6" t="s">
        <v>63</v>
      </c>
      <c r="E3187" s="6" t="s">
        <v>9896</v>
      </c>
      <c r="F3187" s="6" t="s">
        <v>9897</v>
      </c>
      <c r="G3187" s="6">
        <v>105797</v>
      </c>
      <c r="H3187" s="6" t="s">
        <v>9898</v>
      </c>
      <c r="I3187" s="6">
        <v>281</v>
      </c>
      <c r="J3187" s="6" t="s">
        <v>23</v>
      </c>
      <c r="K3187" s="6" t="s">
        <v>149</v>
      </c>
      <c r="L3187" s="6">
        <v>20000000</v>
      </c>
      <c r="M3187" s="6">
        <v>2009</v>
      </c>
      <c r="N3187" s="6">
        <v>6.5</v>
      </c>
      <c r="O3187" s="4">
        <f ca="1">IFERROR(__xludf.DUMMYFUNCTION("IF(Cost_in_dollars!E3187=""USD"",Cost_in_dollars!B3187,Cost_in_dollars!B3187 * GOOGLEFINANCE(""CURRENCY:"" &amp; Cost_in_dollars!E3187 &amp; ""USD""))
"),13077600)</f>
        <v>13077600</v>
      </c>
      <c r="P3187" s="4">
        <f ca="1">IFERROR(__xludf.DUMMYFUNCTION("IF(Cost_in_dollars!E3187=""USD"",Cost_in_dollars!C3187,Cost_in_dollars!C3187 * GOOGLEFINANCE(""CURRENCY:"" &amp; Cost_in_dollars!E3187 &amp; ""USD""))
"),19600693.14852)</f>
        <v>19600693.14852</v>
      </c>
      <c r="Q3187" s="6">
        <f t="shared" ca="1" si="72"/>
        <v>6523093.1485200003</v>
      </c>
      <c r="R3187" s="7" t="str">
        <f t="shared" si="73"/>
        <v>Daybreakers</v>
      </c>
      <c r="S3187" s="43" t="str">
        <f t="shared" si="75"/>
        <v>Action</v>
      </c>
    </row>
    <row r="3188" spans="1:19" ht="15.75" customHeight="1" x14ac:dyDescent="0.25">
      <c r="A3188" s="4" t="s">
        <v>9899</v>
      </c>
      <c r="B3188" s="4">
        <v>260</v>
      </c>
      <c r="C3188" s="4">
        <v>26435</v>
      </c>
      <c r="D3188" s="4" t="s">
        <v>885</v>
      </c>
      <c r="E3188" s="4" t="s">
        <v>9900</v>
      </c>
      <c r="F3188" s="4" t="s">
        <v>9901</v>
      </c>
      <c r="G3188" s="4">
        <v>111841</v>
      </c>
      <c r="H3188" s="4" t="s">
        <v>9902</v>
      </c>
      <c r="I3188" s="4">
        <v>413</v>
      </c>
      <c r="J3188" s="4" t="s">
        <v>1045</v>
      </c>
      <c r="K3188" s="4" t="s">
        <v>176</v>
      </c>
      <c r="L3188" s="4">
        <v>6000000</v>
      </c>
      <c r="M3188" s="4">
        <v>1927</v>
      </c>
      <c r="N3188" s="4">
        <v>8.3000000000000007</v>
      </c>
      <c r="O3188" s="4">
        <f ca="1">IFERROR(__xludf.DUMMYFUNCTION("IF(Cost_in_dollars!E3188=""USD"",Cost_in_dollars!B3188,Cost_in_dollars!B3188 * GOOGLEFINANCE(""CURRENCY:"" &amp; Cost_in_dollars!E3188 &amp; ""USD""))
"),6508440)</f>
        <v>6508440</v>
      </c>
      <c r="P3188" s="4">
        <f ca="1">IFERROR(__xludf.DUMMYFUNCTION("IF(Cost_in_dollars!E3188=""USD"",Cost_in_dollars!C3188,Cost_in_dollars!C3188 * GOOGLEFINANCE(""CURRENCY:"" &amp; Cost_in_dollars!E3188 &amp; ""USD""))
"),28675.1019)</f>
        <v>28675.101900000001</v>
      </c>
      <c r="Q3188" s="4">
        <f t="shared" ca="1" si="72"/>
        <v>-6479764.8980999999</v>
      </c>
      <c r="R3188" s="5" t="str">
        <f t="shared" si="73"/>
        <v>Metropolis</v>
      </c>
      <c r="S3188" s="43" t="str">
        <f t="shared" si="75"/>
        <v>Drama</v>
      </c>
    </row>
    <row r="3189" spans="1:19" ht="15.75" customHeight="1" x14ac:dyDescent="0.25">
      <c r="A3189" s="6" t="s">
        <v>9903</v>
      </c>
      <c r="B3189" s="6">
        <v>300</v>
      </c>
      <c r="C3189" s="6">
        <v>7159147</v>
      </c>
      <c r="D3189" s="6" t="s">
        <v>314</v>
      </c>
      <c r="E3189" s="6" t="s">
        <v>9904</v>
      </c>
      <c r="F3189" s="6" t="s">
        <v>9905</v>
      </c>
      <c r="G3189" s="6">
        <v>120189</v>
      </c>
      <c r="H3189" s="6" t="s">
        <v>9906</v>
      </c>
      <c r="I3189" s="6">
        <v>308</v>
      </c>
      <c r="J3189" s="6" t="s">
        <v>1569</v>
      </c>
      <c r="K3189" s="6" t="s">
        <v>1111</v>
      </c>
      <c r="L3189" s="6">
        <v>3400000</v>
      </c>
      <c r="M3189" s="6">
        <v>2007</v>
      </c>
      <c r="N3189" s="6">
        <v>7.5</v>
      </c>
      <c r="O3189" s="4">
        <f ca="1">IFERROR(__xludf.DUMMYFUNCTION("IF(Cost_in_dollars!E3189=""USD"",Cost_in_dollars!B3189,Cost_in_dollars!B3189 * GOOGLEFINANCE(""CURRENCY:"" &amp; Cost_in_dollars!E3189 &amp; ""USD""))
"),3688116)</f>
        <v>3688116</v>
      </c>
      <c r="P3189" s="4">
        <f ca="1">IFERROR(__xludf.DUMMYFUNCTION("IF(Cost_in_dollars!E3189=""USD"",Cost_in_dollars!C3189,Cost_in_dollars!C3189 * GOOGLEFINANCE(""CURRENCY:"" &amp; Cost_in_dollars!E3189 &amp; ""USD""))
"),7765813.11678)</f>
        <v>7765813.1167799998</v>
      </c>
      <c r="Q3189" s="6">
        <f t="shared" ca="1" si="72"/>
        <v>4077697.1167799998</v>
      </c>
      <c r="R3189" s="7" t="str">
        <f t="shared" si="73"/>
        <v>The Orphanage</v>
      </c>
      <c r="S3189" s="43" t="str">
        <f t="shared" si="75"/>
        <v>Drama</v>
      </c>
    </row>
    <row r="3190" spans="1:19" ht="15.75" customHeight="1" x14ac:dyDescent="0.25">
      <c r="A3190" s="4" t="s">
        <v>177</v>
      </c>
      <c r="B3190" s="4">
        <v>239</v>
      </c>
      <c r="C3190" s="4">
        <v>186739919</v>
      </c>
      <c r="D3190" s="4" t="s">
        <v>797</v>
      </c>
      <c r="E3190" s="4" t="s">
        <v>2524</v>
      </c>
      <c r="F3190" s="4" t="s">
        <v>9907</v>
      </c>
      <c r="G3190" s="4">
        <v>333248</v>
      </c>
      <c r="H3190" s="4" t="s">
        <v>9908</v>
      </c>
      <c r="I3190" s="4">
        <v>1159</v>
      </c>
      <c r="J3190" s="4" t="s">
        <v>23</v>
      </c>
      <c r="K3190" s="4" t="s">
        <v>24</v>
      </c>
      <c r="L3190" s="4">
        <v>125000000</v>
      </c>
      <c r="M3190" s="4">
        <v>2004</v>
      </c>
      <c r="N3190" s="4">
        <v>6.4</v>
      </c>
      <c r="O3190" s="4">
        <f ca="1">IFERROR(__xludf.DUMMYFUNCTION("IF(Cost_in_dollars!E3190=""USD"",Cost_in_dollars!B3190,Cost_in_dollars!B3190 * GOOGLEFINANCE(""CURRENCY:"" &amp; Cost_in_dollars!E3190 &amp; ""USD""))
"),125000000)</f>
        <v>125000000</v>
      </c>
      <c r="P3190" s="4">
        <f ca="1">IFERROR(__xludf.DUMMYFUNCTION("IF(Cost_in_dollars!E3190=""USD"",Cost_in_dollars!C3190,Cost_in_dollars!C3190 * GOOGLEFINANCE(""CURRENCY:"" &amp; Cost_in_dollars!E3190 &amp; ""USD""))
"),186739919)</f>
        <v>186739919</v>
      </c>
      <c r="Q3190" s="4">
        <f t="shared" ca="1" si="72"/>
        <v>61739919</v>
      </c>
      <c r="R3190" s="5" t="str">
        <f t="shared" si="73"/>
        <v>The Day After Tomorrow</v>
      </c>
      <c r="S3190" s="43" t="str">
        <f t="shared" si="75"/>
        <v>Action</v>
      </c>
    </row>
    <row r="3191" spans="1:19" ht="15.75" customHeight="1" x14ac:dyDescent="0.25">
      <c r="A3191" s="6" t="s">
        <v>9909</v>
      </c>
      <c r="B3191" s="6">
        <v>141</v>
      </c>
      <c r="C3191" s="6">
        <v>50461335</v>
      </c>
      <c r="D3191" s="6" t="s">
        <v>9910</v>
      </c>
      <c r="E3191" s="6" t="s">
        <v>2272</v>
      </c>
      <c r="F3191" s="6" t="s">
        <v>9911</v>
      </c>
      <c r="G3191" s="6">
        <v>83893</v>
      </c>
      <c r="H3191" s="6" t="s">
        <v>9912</v>
      </c>
      <c r="I3191" s="6">
        <v>132</v>
      </c>
      <c r="J3191" s="6" t="s">
        <v>23</v>
      </c>
      <c r="K3191" s="6" t="s">
        <v>24</v>
      </c>
      <c r="L3191" s="6">
        <v>11000000</v>
      </c>
      <c r="M3191" s="6">
        <v>2014</v>
      </c>
      <c r="N3191" s="6">
        <v>6.8</v>
      </c>
      <c r="O3191" s="4">
        <f ca="1">IFERROR(__xludf.DUMMYFUNCTION("IF(Cost_in_dollars!E3191=""USD"",Cost_in_dollars!B3191,Cost_in_dollars!B3191 * GOOGLEFINANCE(""CURRENCY:"" &amp; Cost_in_dollars!E3191 &amp; ""USD""))
"),11000000)</f>
        <v>11000000</v>
      </c>
      <c r="P3191" s="4">
        <f ca="1">IFERROR(__xludf.DUMMYFUNCTION("IF(Cost_in_dollars!E3191=""USD"",Cost_in_dollars!C3191,Cost_in_dollars!C3191 * GOOGLEFINANCE(""CURRENCY:"" &amp; Cost_in_dollars!E3191 &amp; ""USD""))
"),50461335)</f>
        <v>50461335</v>
      </c>
      <c r="Q3191" s="6">
        <f t="shared" ca="1" si="72"/>
        <v>39461335</v>
      </c>
      <c r="R3191" s="7" t="str">
        <f t="shared" si="73"/>
        <v>If I Stay</v>
      </c>
      <c r="S3191" s="43" t="str">
        <f t="shared" si="75"/>
        <v>Drama</v>
      </c>
    </row>
    <row r="3192" spans="1:19" ht="15.75" customHeight="1" x14ac:dyDescent="0.25">
      <c r="A3192" s="4" t="s">
        <v>9913</v>
      </c>
      <c r="B3192" s="4">
        <v>246</v>
      </c>
      <c r="C3192" s="4">
        <v>488872</v>
      </c>
      <c r="D3192" s="4" t="s">
        <v>5298</v>
      </c>
      <c r="E3192" s="4" t="s">
        <v>9914</v>
      </c>
      <c r="F3192" s="4" t="s">
        <v>9915</v>
      </c>
      <c r="G3192" s="4">
        <v>56923</v>
      </c>
      <c r="H3192" s="4" t="s">
        <v>9916</v>
      </c>
      <c r="I3192" s="4">
        <v>243</v>
      </c>
      <c r="J3192" s="4" t="s">
        <v>159</v>
      </c>
      <c r="K3192" s="4" t="s">
        <v>160</v>
      </c>
      <c r="L3192" s="4">
        <v>10000000</v>
      </c>
      <c r="M3192" s="4">
        <v>2001</v>
      </c>
      <c r="N3192" s="4">
        <v>7.3</v>
      </c>
      <c r="O3192" s="4">
        <f ca="1">IFERROR(__xludf.DUMMYFUNCTION("IF(Cost_in_dollars!E3192=""USD"",Cost_in_dollars!B3192,Cost_in_dollars!B3192 * GOOGLEFINANCE(""CURRENCY:"" &amp; Cost_in_dollars!E3192 &amp; ""USD""))
"),1280943)</f>
        <v>1280943</v>
      </c>
      <c r="P3192" s="4">
        <f ca="1">IFERROR(__xludf.DUMMYFUNCTION("IF(Cost_in_dollars!E3192=""USD"",Cost_in_dollars!C3192,Cost_in_dollars!C3192 * GOOGLEFINANCE(""CURRENCY:"" &amp; Cost_in_dollars!E3192 &amp; ""USD""))
"),62621.7166296)</f>
        <v>62621.7166296</v>
      </c>
      <c r="Q3192" s="4">
        <f t="shared" ca="1" si="72"/>
        <v>-1218321.2833704001</v>
      </c>
      <c r="R3192" s="5" t="str">
        <f t="shared" si="73"/>
        <v>Shaolin Soccer</v>
      </c>
      <c r="S3192" s="43" t="str">
        <f t="shared" si="75"/>
        <v>Action</v>
      </c>
    </row>
    <row r="3193" spans="1:19" ht="15.75" customHeight="1" x14ac:dyDescent="0.25">
      <c r="A3193" s="6" t="s">
        <v>2375</v>
      </c>
      <c r="B3193" s="6">
        <v>250</v>
      </c>
      <c r="C3193" s="6">
        <v>150167630</v>
      </c>
      <c r="D3193" s="6" t="s">
        <v>797</v>
      </c>
      <c r="E3193" s="6" t="s">
        <v>767</v>
      </c>
      <c r="F3193" s="6" t="s">
        <v>9917</v>
      </c>
      <c r="G3193" s="6">
        <v>174578</v>
      </c>
      <c r="H3193" s="6" t="s">
        <v>9918</v>
      </c>
      <c r="I3193" s="6">
        <v>534</v>
      </c>
      <c r="J3193" s="6" t="s">
        <v>23</v>
      </c>
      <c r="K3193" s="6" t="s">
        <v>24</v>
      </c>
      <c r="L3193" s="6">
        <v>175000000</v>
      </c>
      <c r="M3193" s="6">
        <v>2009</v>
      </c>
      <c r="N3193" s="6">
        <v>5.8</v>
      </c>
      <c r="O3193" s="4">
        <f ca="1">IFERROR(__xludf.DUMMYFUNCTION("IF(Cost_in_dollars!E3193=""USD"",Cost_in_dollars!B3193,Cost_in_dollars!B3193 * GOOGLEFINANCE(""CURRENCY:"" &amp; Cost_in_dollars!E3193 &amp; ""USD""))
"),175000000)</f>
        <v>175000000</v>
      </c>
      <c r="P3193" s="4">
        <f ca="1">IFERROR(__xludf.DUMMYFUNCTION("IF(Cost_in_dollars!E3193=""USD"",Cost_in_dollars!C3193,Cost_in_dollars!C3193 * GOOGLEFINANCE(""CURRENCY:"" &amp; Cost_in_dollars!E3193 &amp; ""USD""))
"),150167630)</f>
        <v>150167630</v>
      </c>
      <c r="Q3193" s="6">
        <f t="shared" ca="1" si="72"/>
        <v>-24832370</v>
      </c>
      <c r="R3193" s="7" t="str">
        <f t="shared" si="73"/>
        <v>G.I. Joe: The Rise of Cobra</v>
      </c>
      <c r="S3193" s="43" t="str">
        <f t="shared" si="75"/>
        <v>Action</v>
      </c>
    </row>
    <row r="3194" spans="1:19" ht="15.75" customHeight="1" x14ac:dyDescent="0.25">
      <c r="A3194" s="4" t="s">
        <v>1350</v>
      </c>
      <c r="B3194" s="4">
        <v>72</v>
      </c>
      <c r="C3194" s="4">
        <v>11702090</v>
      </c>
      <c r="D3194" s="4" t="s">
        <v>88</v>
      </c>
      <c r="E3194" s="4" t="s">
        <v>9919</v>
      </c>
      <c r="F3194" s="4" t="s">
        <v>9920</v>
      </c>
      <c r="G3194" s="4">
        <v>37700</v>
      </c>
      <c r="H3194" s="4" t="s">
        <v>9921</v>
      </c>
      <c r="I3194" s="4">
        <v>50</v>
      </c>
      <c r="J3194" s="4" t="s">
        <v>23</v>
      </c>
      <c r="K3194" s="4" t="s">
        <v>24</v>
      </c>
      <c r="L3194" s="4">
        <v>16500000</v>
      </c>
      <c r="M3194" s="4">
        <v>2007</v>
      </c>
      <c r="N3194" s="4">
        <v>6.3</v>
      </c>
      <c r="O3194" s="4">
        <f ca="1">IFERROR(__xludf.DUMMYFUNCTION("IF(Cost_in_dollars!E3194=""USD"",Cost_in_dollars!B3194,Cost_in_dollars!B3194 * GOOGLEFINANCE(""CURRENCY:"" &amp; Cost_in_dollars!E3194 &amp; ""USD""))
"),16500000)</f>
        <v>16500000</v>
      </c>
      <c r="P3194" s="4">
        <f ca="1">IFERROR(__xludf.DUMMYFUNCTION("IF(Cost_in_dollars!E3194=""USD"",Cost_in_dollars!C3194,Cost_in_dollars!C3194 * GOOGLEFINANCE(""CURRENCY:"" &amp; Cost_in_dollars!E3194 &amp; ""USD""))
"),11702090)</f>
        <v>11702090</v>
      </c>
      <c r="Q3194" s="4">
        <f t="shared" ca="1" si="72"/>
        <v>-4797910</v>
      </c>
      <c r="R3194" s="5" t="str">
        <f t="shared" si="73"/>
        <v>Sydney White</v>
      </c>
      <c r="S3194" s="43" t="str">
        <f t="shared" si="75"/>
        <v>Comedy</v>
      </c>
    </row>
    <row r="3195" spans="1:19" ht="15.75" customHeight="1" x14ac:dyDescent="0.25">
      <c r="A3195" s="6" t="s">
        <v>5067</v>
      </c>
      <c r="B3195" s="6">
        <v>12</v>
      </c>
      <c r="C3195" s="6">
        <v>12836</v>
      </c>
      <c r="D3195" s="6" t="s">
        <v>362</v>
      </c>
      <c r="E3195" s="6" t="s">
        <v>1173</v>
      </c>
      <c r="F3195" s="6" t="s">
        <v>9922</v>
      </c>
      <c r="G3195" s="6">
        <v>1686</v>
      </c>
      <c r="H3195" s="6" t="s">
        <v>9923</v>
      </c>
      <c r="I3195" s="6">
        <v>28</v>
      </c>
      <c r="J3195" s="6" t="s">
        <v>23</v>
      </c>
      <c r="K3195" s="6" t="s">
        <v>24</v>
      </c>
      <c r="L3195" s="6">
        <v>4000000</v>
      </c>
      <c r="M3195" s="6">
        <v>1997</v>
      </c>
      <c r="N3195" s="6">
        <v>5.8</v>
      </c>
      <c r="O3195" s="4">
        <f ca="1">IFERROR(__xludf.DUMMYFUNCTION("IF(Cost_in_dollars!E3195=""USD"",Cost_in_dollars!B3195,Cost_in_dollars!B3195 * GOOGLEFINANCE(""CURRENCY:"" &amp; Cost_in_dollars!E3195 &amp; ""USD""))
"),4000000)</f>
        <v>4000000</v>
      </c>
      <c r="P3195" s="4">
        <f ca="1">IFERROR(__xludf.DUMMYFUNCTION("IF(Cost_in_dollars!E3195=""USD"",Cost_in_dollars!C3195,Cost_in_dollars!C3195 * GOOGLEFINANCE(""CURRENCY:"" &amp; Cost_in_dollars!E3195 &amp; ""USD""))
"),12836)</f>
        <v>12836</v>
      </c>
      <c r="Q3195" s="6">
        <f t="shared" ca="1" si="72"/>
        <v>-3987164</v>
      </c>
      <c r="R3195" s="7" t="str">
        <f t="shared" si="73"/>
        <v>The Last Time I Committed Suicide</v>
      </c>
      <c r="S3195" s="43" t="str">
        <f t="shared" si="75"/>
        <v>Biography</v>
      </c>
    </row>
    <row r="3196" spans="1:19" ht="15.75" customHeight="1" x14ac:dyDescent="0.25">
      <c r="A3196" s="4" t="s">
        <v>9924</v>
      </c>
      <c r="B3196" s="4">
        <v>354</v>
      </c>
      <c r="C3196" s="4">
        <v>7098492</v>
      </c>
      <c r="D3196" s="4" t="s">
        <v>78</v>
      </c>
      <c r="E3196" s="4" t="s">
        <v>9925</v>
      </c>
      <c r="F3196" s="4" t="s">
        <v>9926</v>
      </c>
      <c r="G3196" s="4">
        <v>151812</v>
      </c>
      <c r="H3196" s="4" t="s">
        <v>9927</v>
      </c>
      <c r="I3196" s="4">
        <v>264</v>
      </c>
      <c r="J3196" s="4" t="s">
        <v>2545</v>
      </c>
      <c r="K3196" s="4" t="s">
        <v>2546</v>
      </c>
      <c r="L3196" s="4">
        <v>500000</v>
      </c>
      <c r="M3196" s="4">
        <v>2011</v>
      </c>
      <c r="N3196" s="4">
        <v>8.4</v>
      </c>
      <c r="O3196" s="4">
        <f ca="1">IFERROR(__xludf.DUMMYFUNCTION("IF(Cost_in_dollars!E3196=""USD"",Cost_in_dollars!B3196,Cost_in_dollars!B3196 * GOOGLEFINANCE(""CURRENCY:"" &amp; Cost_in_dollars!E3196 &amp; ""USD""))
"),11.875074)</f>
        <v>11.875074</v>
      </c>
      <c r="P3196" s="4">
        <f ca="1">IFERROR(__xludf.DUMMYFUNCTION("IF(Cost_in_dollars!E3196=""USD"",Cost_in_dollars!C3196,Cost_in_dollars!C3196 * GOOGLEFINANCE(""CURRENCY:"" &amp; Cost_in_dollars!E3196 &amp; ""USD""))
"),168.590235576815)</f>
        <v>168.59023557681499</v>
      </c>
      <c r="Q3196" s="4">
        <f t="shared" ca="1" si="72"/>
        <v>156.71516157681498</v>
      </c>
      <c r="R3196" s="5" t="str">
        <f t="shared" si="73"/>
        <v>A Separation</v>
      </c>
      <c r="S3196" s="43" t="str">
        <f t="shared" si="75"/>
        <v>Drama</v>
      </c>
    </row>
    <row r="3197" spans="1:19" ht="15.75" customHeight="1" x14ac:dyDescent="0.25">
      <c r="A3197" s="6" t="s">
        <v>4358</v>
      </c>
      <c r="B3197" s="6">
        <v>122</v>
      </c>
      <c r="C3197" s="6">
        <v>36658108</v>
      </c>
      <c r="D3197" s="6" t="s">
        <v>140</v>
      </c>
      <c r="E3197" s="6" t="s">
        <v>3245</v>
      </c>
      <c r="F3197" s="6" t="s">
        <v>9928</v>
      </c>
      <c r="G3197" s="6">
        <v>39095</v>
      </c>
      <c r="H3197" s="6" t="s">
        <v>9929</v>
      </c>
      <c r="I3197" s="6">
        <v>187</v>
      </c>
      <c r="J3197" s="6" t="s">
        <v>23</v>
      </c>
      <c r="K3197" s="6" t="s">
        <v>24</v>
      </c>
      <c r="L3197" s="6">
        <v>20000000</v>
      </c>
      <c r="M3197" s="6">
        <v>2010</v>
      </c>
      <c r="N3197" s="6">
        <v>3.5</v>
      </c>
      <c r="O3197" s="4">
        <f ca="1">IFERROR(__xludf.DUMMYFUNCTION("IF(Cost_in_dollars!E3197=""USD"",Cost_in_dollars!B3197,Cost_in_dollars!B3197 * GOOGLEFINANCE(""CURRENCY:"" &amp; Cost_in_dollars!E3197 &amp; ""USD""))
"),20000000)</f>
        <v>20000000</v>
      </c>
      <c r="P3197" s="4">
        <f ca="1">IFERROR(__xludf.DUMMYFUNCTION("IF(Cost_in_dollars!E3197=""USD"",Cost_in_dollars!C3197,Cost_in_dollars!C3197 * GOOGLEFINANCE(""CURRENCY:"" &amp; Cost_in_dollars!E3197 &amp; ""USD""))
"),36658108)</f>
        <v>36658108</v>
      </c>
      <c r="Q3197" s="6">
        <f t="shared" ca="1" si="72"/>
        <v>16658108</v>
      </c>
      <c r="R3197" s="7" t="str">
        <f t="shared" si="73"/>
        <v>Vampires Suck</v>
      </c>
      <c r="S3197" s="43" t="str">
        <f t="shared" si="75"/>
        <v>Comedy</v>
      </c>
    </row>
    <row r="3198" spans="1:19" ht="15.75" customHeight="1" x14ac:dyDescent="0.25">
      <c r="A3198" s="4" t="s">
        <v>9930</v>
      </c>
      <c r="B3198" s="4">
        <v>82</v>
      </c>
      <c r="C3198" s="4">
        <v>5518918</v>
      </c>
      <c r="D3198" s="4" t="s">
        <v>9931</v>
      </c>
      <c r="E3198" s="4" t="s">
        <v>3386</v>
      </c>
      <c r="F3198" s="4" t="s">
        <v>9932</v>
      </c>
      <c r="G3198" s="4">
        <v>12160</v>
      </c>
      <c r="H3198" s="4" t="s">
        <v>9933</v>
      </c>
      <c r="I3198" s="4">
        <v>73</v>
      </c>
      <c r="J3198" s="4" t="s">
        <v>23</v>
      </c>
      <c r="K3198" s="4" t="s">
        <v>24</v>
      </c>
      <c r="L3198" s="4">
        <v>750000</v>
      </c>
      <c r="M3198" s="4">
        <v>2007</v>
      </c>
      <c r="N3198" s="4">
        <v>6.9</v>
      </c>
      <c r="O3198" s="4">
        <f ca="1">IFERROR(__xludf.DUMMYFUNCTION("IF(Cost_in_dollars!E3198=""USD"",Cost_in_dollars!B3198,Cost_in_dollars!B3198 * GOOGLEFINANCE(""CURRENCY:"" &amp; Cost_in_dollars!E3198 &amp; ""USD""))
"),750000)</f>
        <v>750000</v>
      </c>
      <c r="P3198" s="4">
        <f ca="1">IFERROR(__xludf.DUMMYFUNCTION("IF(Cost_in_dollars!E3198=""USD"",Cost_in_dollars!C3198,Cost_in_dollars!C3198 * GOOGLEFINANCE(""CURRENCY:"" &amp; Cost_in_dollars!E3198 &amp; ""USD""))
"),5518918)</f>
        <v>5518918</v>
      </c>
      <c r="Q3198" s="4">
        <f t="shared" ca="1" si="72"/>
        <v>4768918</v>
      </c>
      <c r="R3198" s="5" t="str">
        <f t="shared" si="73"/>
        <v>Aqua Teen Hunger Force Colon Movie Film for Theaters</v>
      </c>
      <c r="S3198" s="43" t="str">
        <f t="shared" si="75"/>
        <v>Action</v>
      </c>
    </row>
    <row r="3199" spans="1:19" ht="15.75" customHeight="1" x14ac:dyDescent="0.25">
      <c r="A3199" s="6" t="s">
        <v>3306</v>
      </c>
      <c r="B3199" s="6">
        <v>219</v>
      </c>
      <c r="C3199" s="6">
        <v>198332128</v>
      </c>
      <c r="D3199" s="6" t="s">
        <v>7467</v>
      </c>
      <c r="E3199" s="6" t="s">
        <v>2668</v>
      </c>
      <c r="F3199" s="6" t="s">
        <v>9934</v>
      </c>
      <c r="G3199" s="6">
        <v>114553</v>
      </c>
      <c r="H3199" s="6" t="s">
        <v>9935</v>
      </c>
      <c r="I3199" s="6">
        <v>187</v>
      </c>
      <c r="J3199" s="6" t="s">
        <v>23</v>
      </c>
      <c r="K3199" s="6" t="s">
        <v>24</v>
      </c>
      <c r="L3199" s="6">
        <v>175000000</v>
      </c>
      <c r="M3199" s="6">
        <v>2009</v>
      </c>
      <c r="N3199" s="6">
        <v>6.5</v>
      </c>
      <c r="O3199" s="4">
        <f ca="1">IFERROR(__xludf.DUMMYFUNCTION("IF(Cost_in_dollars!E3199=""USD"",Cost_in_dollars!B3199,Cost_in_dollars!B3199 * GOOGLEFINANCE(""CURRENCY:"" &amp; Cost_in_dollars!E3199 &amp; ""USD""))
"),175000000)</f>
        <v>175000000</v>
      </c>
      <c r="P3199" s="4">
        <f ca="1">IFERROR(__xludf.DUMMYFUNCTION("IF(Cost_in_dollars!E3199=""USD"",Cost_in_dollars!C3199,Cost_in_dollars!C3199 * GOOGLEFINANCE(""CURRENCY:"" &amp; Cost_in_dollars!E3199 &amp; ""USD""))
"),198332128)</f>
        <v>198332128</v>
      </c>
      <c r="Q3199" s="6">
        <f t="shared" ca="1" si="72"/>
        <v>23332128</v>
      </c>
      <c r="R3199" s="7" t="str">
        <f t="shared" si="73"/>
        <v>Monsters vs. Aliens</v>
      </c>
      <c r="S3199" s="43" t="str">
        <f t="shared" si="75"/>
        <v>Action</v>
      </c>
    </row>
    <row r="3200" spans="1:19" ht="15.75" customHeight="1" x14ac:dyDescent="0.25">
      <c r="A3200" s="4" t="s">
        <v>7184</v>
      </c>
      <c r="B3200" s="4">
        <v>76</v>
      </c>
      <c r="C3200" s="4">
        <v>8054280</v>
      </c>
      <c r="D3200" s="4" t="s">
        <v>6556</v>
      </c>
      <c r="E3200" s="4" t="s">
        <v>9936</v>
      </c>
      <c r="F3200" s="4" t="s">
        <v>9937</v>
      </c>
      <c r="G3200" s="4">
        <v>6838</v>
      </c>
      <c r="H3200" s="4" t="s">
        <v>9938</v>
      </c>
      <c r="I3200" s="4">
        <v>117</v>
      </c>
      <c r="J3200" s="4" t="s">
        <v>23</v>
      </c>
      <c r="K3200" s="4" t="s">
        <v>24</v>
      </c>
      <c r="L3200" s="4">
        <v>20000000</v>
      </c>
      <c r="M3200" s="4">
        <v>2004</v>
      </c>
      <c r="N3200" s="4">
        <v>6.3</v>
      </c>
      <c r="O3200" s="4">
        <f ca="1">IFERROR(__xludf.DUMMYFUNCTION("IF(Cost_in_dollars!E3200=""USD"",Cost_in_dollars!B3200,Cost_in_dollars!B3200 * GOOGLEFINANCE(""CURRENCY:"" &amp; Cost_in_dollars!E3200 &amp; ""USD""))
"),20000000)</f>
        <v>20000000</v>
      </c>
      <c r="P3200" s="4">
        <f ca="1">IFERROR(__xludf.DUMMYFUNCTION("IF(Cost_in_dollars!E3200=""USD"",Cost_in_dollars!C3200,Cost_in_dollars!C3200 * GOOGLEFINANCE(""CURRENCY:"" &amp; Cost_in_dollars!E3200 &amp; ""USD""))
"),8054280)</f>
        <v>8054280</v>
      </c>
      <c r="Q3200" s="4">
        <f t="shared" ca="1" si="72"/>
        <v>-11945720</v>
      </c>
      <c r="R3200" s="5" t="str">
        <f t="shared" si="73"/>
        <v>Connie and Carla</v>
      </c>
      <c r="S3200" s="43" t="str">
        <f t="shared" si="75"/>
        <v>Comedy</v>
      </c>
    </row>
    <row r="3201" spans="1:19" ht="15.75" customHeight="1" x14ac:dyDescent="0.25">
      <c r="A3201" s="6" t="s">
        <v>1396</v>
      </c>
      <c r="B3201" s="6">
        <v>140</v>
      </c>
      <c r="C3201" s="6">
        <v>32131483</v>
      </c>
      <c r="D3201" s="6" t="s">
        <v>93</v>
      </c>
      <c r="E3201" s="6" t="s">
        <v>9939</v>
      </c>
      <c r="F3201" s="6" t="s">
        <v>9940</v>
      </c>
      <c r="G3201" s="6">
        <v>25870</v>
      </c>
      <c r="H3201" s="6" t="s">
        <v>9941</v>
      </c>
      <c r="I3201" s="6">
        <v>369</v>
      </c>
      <c r="J3201" s="6" t="s">
        <v>23</v>
      </c>
      <c r="K3201" s="6" t="s">
        <v>24</v>
      </c>
      <c r="L3201" s="6">
        <v>11000000</v>
      </c>
      <c r="M3201" s="6">
        <v>2003</v>
      </c>
      <c r="N3201" s="6">
        <v>4.9000000000000004</v>
      </c>
      <c r="O3201" s="4">
        <f ca="1">IFERROR(__xludf.DUMMYFUNCTION("IF(Cost_in_dollars!E3201=""USD"",Cost_in_dollars!B3201,Cost_in_dollars!B3201 * GOOGLEFINANCE(""CURRENCY:"" &amp; Cost_in_dollars!E3201 &amp; ""USD""))
"),11000000)</f>
        <v>11000000</v>
      </c>
      <c r="P3201" s="4">
        <f ca="1">IFERROR(__xludf.DUMMYFUNCTION("IF(Cost_in_dollars!E3201=""USD"",Cost_in_dollars!C3201,Cost_in_dollars!C3201 * GOOGLEFINANCE(""CURRENCY:"" &amp; Cost_in_dollars!E3201 &amp; ""USD""))
"),32131483)</f>
        <v>32131483</v>
      </c>
      <c r="Q3201" s="6">
        <f t="shared" ca="1" si="72"/>
        <v>21131483</v>
      </c>
      <c r="R3201" s="7" t="str">
        <f t="shared" si="73"/>
        <v>Darkness Falls</v>
      </c>
      <c r="S3201" s="43" t="str">
        <f t="shared" si="75"/>
        <v>Horror</v>
      </c>
    </row>
    <row r="3202" spans="1:19" ht="15.75" customHeight="1" x14ac:dyDescent="0.25">
      <c r="A3202" s="4" t="s">
        <v>9942</v>
      </c>
      <c r="B3202" s="4">
        <v>9</v>
      </c>
      <c r="C3202" s="4">
        <v>4239767</v>
      </c>
      <c r="D3202" s="4" t="s">
        <v>1041</v>
      </c>
      <c r="E3202" s="4" t="s">
        <v>9943</v>
      </c>
      <c r="F3202" s="4" t="s">
        <v>9944</v>
      </c>
      <c r="G3202" s="4">
        <v>3709</v>
      </c>
      <c r="H3202" s="4" t="s">
        <v>9945</v>
      </c>
      <c r="I3202" s="4">
        <v>83</v>
      </c>
      <c r="J3202" s="4" t="s">
        <v>23</v>
      </c>
      <c r="K3202" s="4" t="s">
        <v>627</v>
      </c>
      <c r="L3202" s="4">
        <v>7500000</v>
      </c>
      <c r="M3202" s="4">
        <v>2002</v>
      </c>
      <c r="N3202" s="4">
        <v>6</v>
      </c>
      <c r="O3202" s="4">
        <f ca="1">IFERROR(__xludf.DUMMYFUNCTION("IF(Cost_in_dollars!E3202=""USD"",Cost_in_dollars!B3202,Cost_in_dollars!B3202 * GOOGLEFINANCE(""CURRENCY:"" &amp; Cost_in_dollars!E3202 &amp; ""USD""))
"),5425537.5)</f>
        <v>5425537.5</v>
      </c>
      <c r="P3202" s="4">
        <f ca="1">IFERROR(__xludf.DUMMYFUNCTION("IF(Cost_in_dollars!E3202=""USD"",Cost_in_dollars!C3202,Cost_in_dollars!C3202 * GOOGLEFINANCE(""CURRENCY:"" &amp; Cost_in_dollars!E3202 &amp; ""USD""))
"),3067068.64663499)</f>
        <v>3067068.6466349899</v>
      </c>
      <c r="Q3202" s="4">
        <f t="shared" ca="1" si="72"/>
        <v>-2358468.8533650101</v>
      </c>
      <c r="R3202" s="5" t="str">
        <f t="shared" si="73"/>
        <v>Men with Brooms</v>
      </c>
      <c r="S3202" s="43" t="str">
        <f t="shared" ref="S3202:S3265" si="76">IF(ISNUMBER(FIND("|", D3202)), LEFT(D3202, FIND("|", D3202) - 1), D3202)</f>
        <v>Comedy</v>
      </c>
    </row>
    <row r="3203" spans="1:19" ht="15.75" customHeight="1" x14ac:dyDescent="0.25">
      <c r="A3203" s="6" t="s">
        <v>9069</v>
      </c>
      <c r="B3203" s="6">
        <v>328</v>
      </c>
      <c r="C3203" s="6">
        <v>2412045</v>
      </c>
      <c r="D3203" s="6" t="s">
        <v>3980</v>
      </c>
      <c r="E3203" s="6" t="s">
        <v>5145</v>
      </c>
      <c r="F3203" s="6" t="s">
        <v>9946</v>
      </c>
      <c r="G3203" s="6">
        <v>109873</v>
      </c>
      <c r="H3203" s="6" t="s">
        <v>9947</v>
      </c>
      <c r="I3203" s="6">
        <v>320</v>
      </c>
      <c r="J3203" s="6" t="s">
        <v>23</v>
      </c>
      <c r="K3203" s="6" t="s">
        <v>133</v>
      </c>
      <c r="L3203" s="6">
        <v>15000000</v>
      </c>
      <c r="M3203" s="6">
        <v>2010</v>
      </c>
      <c r="N3203" s="6">
        <v>7.2</v>
      </c>
      <c r="O3203" s="4">
        <f ca="1">IFERROR(__xludf.DUMMYFUNCTION("IF(Cost_in_dollars!E3203=""USD"",Cost_in_dollars!B3203,Cost_in_dollars!B3203 * GOOGLEFINANCE(""CURRENCY:"" &amp; Cost_in_dollars!E3203 &amp; ""USD""))
"),19281000)</f>
        <v>19281000</v>
      </c>
      <c r="P3203" s="4">
        <f ca="1">IFERROR(__xludf.DUMMYFUNCTION("IF(Cost_in_dollars!E3203=""USD"",Cost_in_dollars!C3203,Cost_in_dollars!C3203 * GOOGLEFINANCE(""CURRENCY:"" &amp; Cost_in_dollars!E3203 &amp; ""USD""))
"),3100442.64299999)</f>
        <v>3100442.6429999899</v>
      </c>
      <c r="Q3203" s="6">
        <f t="shared" ca="1" si="72"/>
        <v>-16180557.35700001</v>
      </c>
      <c r="R3203" s="7" t="str">
        <f t="shared" si="73"/>
        <v>Never Let Me Go</v>
      </c>
      <c r="S3203" s="43" t="str">
        <f t="shared" si="76"/>
        <v>Drama</v>
      </c>
    </row>
    <row r="3204" spans="1:19" ht="15.75" customHeight="1" x14ac:dyDescent="0.25">
      <c r="A3204" s="4" t="s">
        <v>1697</v>
      </c>
      <c r="B3204" s="4">
        <v>247</v>
      </c>
      <c r="C3204" s="4">
        <v>80281096</v>
      </c>
      <c r="D3204" s="4" t="s">
        <v>63</v>
      </c>
      <c r="E3204" s="4" t="s">
        <v>8614</v>
      </c>
      <c r="F3204" s="4" t="s">
        <v>9948</v>
      </c>
      <c r="G3204" s="4">
        <v>143628</v>
      </c>
      <c r="H3204" s="4" t="s">
        <v>9949</v>
      </c>
      <c r="I3204" s="4">
        <v>1283</v>
      </c>
      <c r="J3204" s="4" t="s">
        <v>23</v>
      </c>
      <c r="K3204" s="4" t="s">
        <v>24</v>
      </c>
      <c r="L3204" s="4">
        <v>60000000</v>
      </c>
      <c r="M3204" s="4">
        <v>2004</v>
      </c>
      <c r="N3204" s="4">
        <v>5.6</v>
      </c>
      <c r="O3204" s="4">
        <f ca="1">IFERROR(__xludf.DUMMYFUNCTION("IF(Cost_in_dollars!E3204=""USD"",Cost_in_dollars!B3204,Cost_in_dollars!B3204 * GOOGLEFINANCE(""CURRENCY:"" &amp; Cost_in_dollars!E3204 &amp; ""USD""))
"),60000000)</f>
        <v>60000000</v>
      </c>
      <c r="P3204" s="4">
        <f ca="1">IFERROR(__xludf.DUMMYFUNCTION("IF(Cost_in_dollars!E3204=""USD"",Cost_in_dollars!C3204,Cost_in_dollars!C3204 * GOOGLEFINANCE(""CURRENCY:"" &amp; Cost_in_dollars!E3204 &amp; ""USD""))
"),80281096)</f>
        <v>80281096</v>
      </c>
      <c r="Q3204" s="4">
        <f t="shared" ca="1" si="72"/>
        <v>20281096</v>
      </c>
      <c r="R3204" s="5" t="str">
        <f t="shared" si="73"/>
        <v>AVP: Alien vs. Predator</v>
      </c>
      <c r="S3204" s="43" t="str">
        <f t="shared" si="76"/>
        <v>Action</v>
      </c>
    </row>
    <row r="3205" spans="1:19" ht="15.75" customHeight="1" x14ac:dyDescent="0.25">
      <c r="A3205" s="6" t="s">
        <v>9950</v>
      </c>
      <c r="B3205" s="6">
        <v>222</v>
      </c>
      <c r="C3205" s="6">
        <v>4440055</v>
      </c>
      <c r="D3205" s="6" t="s">
        <v>890</v>
      </c>
      <c r="E3205" s="6" t="s">
        <v>2040</v>
      </c>
      <c r="F3205" s="6" t="s">
        <v>9951</v>
      </c>
      <c r="G3205" s="6">
        <v>21360</v>
      </c>
      <c r="H3205" s="6" t="s">
        <v>9952</v>
      </c>
      <c r="I3205" s="6">
        <v>110</v>
      </c>
      <c r="J3205" s="6" t="s">
        <v>23</v>
      </c>
      <c r="K3205" s="6" t="s">
        <v>133</v>
      </c>
      <c r="L3205" s="6">
        <v>8500000</v>
      </c>
      <c r="M3205" s="6">
        <v>2009</v>
      </c>
      <c r="N3205" s="6">
        <v>7</v>
      </c>
      <c r="O3205" s="4">
        <f ca="1">IFERROR(__xludf.DUMMYFUNCTION("IF(Cost_in_dollars!E3205=""USD"",Cost_in_dollars!B3205,Cost_in_dollars!B3205 * GOOGLEFINANCE(""CURRENCY:"" &amp; Cost_in_dollars!E3205 &amp; ""USD""))
"),10925899.9999999)</f>
        <v>10925899.999999899</v>
      </c>
      <c r="P3205" s="4">
        <f ca="1">IFERROR(__xludf.DUMMYFUNCTION("IF(Cost_in_dollars!E3205=""USD"",Cost_in_dollars!C3205,Cost_in_dollars!C3205 * GOOGLEFINANCE(""CURRENCY:"" &amp; Cost_in_dollars!E3205 &amp; ""USD""))
"),5707246.697)</f>
        <v>5707246.6969999997</v>
      </c>
      <c r="Q3205" s="6">
        <f t="shared" ca="1" si="72"/>
        <v>-5218653.3029998997</v>
      </c>
      <c r="R3205" s="7" t="str">
        <f t="shared" si="73"/>
        <v>Bright Star</v>
      </c>
      <c r="S3205" s="43" t="str">
        <f t="shared" si="76"/>
        <v>Biography</v>
      </c>
    </row>
    <row r="3206" spans="1:19" ht="15.75" customHeight="1" x14ac:dyDescent="0.25">
      <c r="A3206" s="4" t="s">
        <v>938</v>
      </c>
      <c r="B3206" s="4">
        <v>116</v>
      </c>
      <c r="C3206" s="4">
        <v>37035515</v>
      </c>
      <c r="D3206" s="4" t="s">
        <v>457</v>
      </c>
      <c r="E3206" s="4" t="s">
        <v>456</v>
      </c>
      <c r="F3206" s="4" t="s">
        <v>9953</v>
      </c>
      <c r="G3206" s="4">
        <v>34597</v>
      </c>
      <c r="H3206" s="4" t="s">
        <v>9954</v>
      </c>
      <c r="I3206" s="4">
        <v>194</v>
      </c>
      <c r="J3206" s="4" t="s">
        <v>23</v>
      </c>
      <c r="K3206" s="4" t="s">
        <v>24</v>
      </c>
      <c r="L3206" s="4">
        <v>43000000</v>
      </c>
      <c r="M3206" s="4">
        <v>2000</v>
      </c>
      <c r="N3206" s="4">
        <v>6</v>
      </c>
      <c r="O3206" s="4">
        <f ca="1">IFERROR(__xludf.DUMMYFUNCTION("IF(Cost_in_dollars!E3206=""USD"",Cost_in_dollars!B3206,Cost_in_dollars!B3206 * GOOGLEFINANCE(""CURRENCY:"" &amp; Cost_in_dollars!E3206 &amp; ""USD""))
"),43000000)</f>
        <v>43000000</v>
      </c>
      <c r="P3206" s="4">
        <f ca="1">IFERROR(__xludf.DUMMYFUNCTION("IF(Cost_in_dollars!E3206=""USD"",Cost_in_dollars!C3206,Cost_in_dollars!C3206 * GOOGLEFINANCE(""CURRENCY:"" &amp; Cost_in_dollars!E3206 &amp; ""USD""))
"),37035515)</f>
        <v>37035515</v>
      </c>
      <c r="Q3206" s="4">
        <f t="shared" ca="1" si="72"/>
        <v>-5964485</v>
      </c>
      <c r="R3206" s="5" t="str">
        <f t="shared" si="73"/>
        <v>28 Days</v>
      </c>
      <c r="S3206" s="43" t="str">
        <f t="shared" si="76"/>
        <v>Comedy</v>
      </c>
    </row>
    <row r="3207" spans="1:19" ht="15.75" customHeight="1" x14ac:dyDescent="0.25">
      <c r="A3207" s="6" t="s">
        <v>9408</v>
      </c>
      <c r="B3207" s="6">
        <v>300</v>
      </c>
      <c r="C3207" s="6">
        <v>16204793</v>
      </c>
      <c r="D3207" s="6" t="s">
        <v>1102</v>
      </c>
      <c r="E3207" s="6" t="s">
        <v>881</v>
      </c>
      <c r="F3207" s="6" t="s">
        <v>9955</v>
      </c>
      <c r="G3207" s="6">
        <v>92712</v>
      </c>
      <c r="H3207" s="6" t="s">
        <v>9956</v>
      </c>
      <c r="I3207" s="6">
        <v>294</v>
      </c>
      <c r="J3207" s="6" t="s">
        <v>23</v>
      </c>
      <c r="K3207" s="6" t="s">
        <v>24</v>
      </c>
      <c r="L3207" s="6">
        <v>16000000</v>
      </c>
      <c r="M3207" s="6">
        <v>2009</v>
      </c>
      <c r="N3207" s="6">
        <v>5.0999999999999996</v>
      </c>
      <c r="O3207" s="4">
        <f ca="1">IFERROR(__xludf.DUMMYFUNCTION("IF(Cost_in_dollars!E3207=""USD"",Cost_in_dollars!B3207,Cost_in_dollars!B3207 * GOOGLEFINANCE(""CURRENCY:"" &amp; Cost_in_dollars!E3207 &amp; ""USD""))
"),16000000)</f>
        <v>16000000</v>
      </c>
      <c r="P3207" s="4">
        <f ca="1">IFERROR(__xludf.DUMMYFUNCTION("IF(Cost_in_dollars!E3207=""USD"",Cost_in_dollars!C3207,Cost_in_dollars!C3207 * GOOGLEFINANCE(""CURRENCY:"" &amp; Cost_in_dollars!E3207 &amp; ""USD""))
"),16204793)</f>
        <v>16204793</v>
      </c>
      <c r="Q3207" s="6">
        <f t="shared" ca="1" si="72"/>
        <v>204793</v>
      </c>
      <c r="R3207" s="7" t="str">
        <f t="shared" si="73"/>
        <v>Jennifer's Body</v>
      </c>
      <c r="S3207" s="43" t="str">
        <f t="shared" si="76"/>
        <v>Comedy</v>
      </c>
    </row>
    <row r="3208" spans="1:19" ht="15.75" customHeight="1" x14ac:dyDescent="0.25">
      <c r="A3208" s="4" t="s">
        <v>2200</v>
      </c>
      <c r="B3208" s="4">
        <v>138</v>
      </c>
      <c r="C3208" s="4">
        <v>153288182</v>
      </c>
      <c r="D3208" s="4" t="s">
        <v>9533</v>
      </c>
      <c r="E3208" s="4" t="s">
        <v>3508</v>
      </c>
      <c r="F3208" s="4" t="s">
        <v>9957</v>
      </c>
      <c r="G3208" s="4">
        <v>71424</v>
      </c>
      <c r="H3208" s="4" t="s">
        <v>9958</v>
      </c>
      <c r="I3208" s="4">
        <v>521</v>
      </c>
      <c r="J3208" s="4" t="s">
        <v>23</v>
      </c>
      <c r="K3208" s="4" t="s">
        <v>24</v>
      </c>
      <c r="L3208" s="4">
        <v>84000000</v>
      </c>
      <c r="M3208" s="4">
        <v>2002</v>
      </c>
      <c r="N3208" s="4">
        <v>4.9000000000000004</v>
      </c>
      <c r="O3208" s="4">
        <f ca="1">IFERROR(__xludf.DUMMYFUNCTION("IF(Cost_in_dollars!E3208=""USD"",Cost_in_dollars!B3208,Cost_in_dollars!B3208 * GOOGLEFINANCE(""CURRENCY:"" &amp; Cost_in_dollars!E3208 &amp; ""USD""))
"),84000000)</f>
        <v>84000000</v>
      </c>
      <c r="P3208" s="4">
        <f ca="1">IFERROR(__xludf.DUMMYFUNCTION("IF(Cost_in_dollars!E3208=""USD"",Cost_in_dollars!C3208,Cost_in_dollars!C3208 * GOOGLEFINANCE(""CURRENCY:"" &amp; Cost_in_dollars!E3208 &amp; ""USD""))
"),153288182)</f>
        <v>153288182</v>
      </c>
      <c r="Q3208" s="4">
        <f t="shared" ca="1" si="72"/>
        <v>69288182</v>
      </c>
      <c r="R3208" s="5" t="str">
        <f t="shared" si="73"/>
        <v>Scooby-Doo</v>
      </c>
      <c r="S3208" s="43" t="str">
        <f t="shared" si="76"/>
        <v>Adventure</v>
      </c>
    </row>
    <row r="3209" spans="1:19" ht="15.75" customHeight="1" x14ac:dyDescent="0.25">
      <c r="A3209" s="6" t="s">
        <v>9959</v>
      </c>
      <c r="B3209" s="6">
        <v>121</v>
      </c>
      <c r="C3209" s="6">
        <v>64238770</v>
      </c>
      <c r="D3209" s="6" t="s">
        <v>1827</v>
      </c>
      <c r="E3209" s="6" t="s">
        <v>608</v>
      </c>
      <c r="F3209" s="6" t="s">
        <v>9960</v>
      </c>
      <c r="G3209" s="6">
        <v>19547</v>
      </c>
      <c r="H3209" s="6" t="s">
        <v>9961</v>
      </c>
      <c r="I3209" s="6">
        <v>64</v>
      </c>
      <c r="J3209" s="6" t="s">
        <v>23</v>
      </c>
      <c r="K3209" s="6" t="s">
        <v>627</v>
      </c>
      <c r="L3209" s="6">
        <v>42000000</v>
      </c>
      <c r="M3209" s="6">
        <v>2014</v>
      </c>
      <c r="N3209" s="6">
        <v>5.8</v>
      </c>
      <c r="O3209" s="4">
        <f ca="1">IFERROR(__xludf.DUMMYFUNCTION("IF(Cost_in_dollars!E3209=""USD"",Cost_in_dollars!B3209,Cost_in_dollars!B3209 * GOOGLEFINANCE(""CURRENCY:"" &amp; Cost_in_dollars!E3209 &amp; ""USD""))
"),30383010)</f>
        <v>30383010</v>
      </c>
      <c r="P3209" s="4">
        <f ca="1">IFERROR(__xludf.DUMMYFUNCTION("IF(Cost_in_dollars!E3209=""USD"",Cost_in_dollars!C3209,Cost_in_dollars!C3209 * GOOGLEFINANCE(""CURRENCY:"" &amp; Cost_in_dollars!E3209 &amp; ""USD""))
"),46470647.41185)</f>
        <v>46470647.411849998</v>
      </c>
      <c r="Q3209" s="6">
        <f t="shared" ca="1" si="72"/>
        <v>16087637.411849998</v>
      </c>
      <c r="R3209" s="7" t="str">
        <f t="shared" si="73"/>
        <v>The Nut Job</v>
      </c>
      <c r="S3209" s="43" t="str">
        <f t="shared" si="76"/>
        <v>Adventure</v>
      </c>
    </row>
    <row r="3210" spans="1:19" ht="15.75" customHeight="1" x14ac:dyDescent="0.25">
      <c r="A3210" s="4" t="s">
        <v>6479</v>
      </c>
      <c r="B3210" s="4">
        <v>363</v>
      </c>
      <c r="C3210" s="4">
        <v>2201412</v>
      </c>
      <c r="D3210" s="4" t="s">
        <v>1806</v>
      </c>
      <c r="E3210" s="4" t="s">
        <v>9962</v>
      </c>
      <c r="F3210" s="4" t="s">
        <v>8829</v>
      </c>
      <c r="G3210" s="4">
        <v>68883</v>
      </c>
      <c r="H3210" s="4" t="s">
        <v>9963</v>
      </c>
      <c r="I3210" s="4">
        <v>279</v>
      </c>
      <c r="J3210" s="4" t="s">
        <v>1780</v>
      </c>
      <c r="K3210" s="4" t="s">
        <v>1491</v>
      </c>
      <c r="L3210" s="4">
        <v>12215500000</v>
      </c>
      <c r="M3210" s="4">
        <v>2006</v>
      </c>
      <c r="N3210" s="4">
        <v>7</v>
      </c>
      <c r="O3210" s="4">
        <f ca="1">IFERROR(__xludf.DUMMYFUNCTION("IF(Cost_in_dollars!E3210=""USD"",Cost_in_dollars!B3210,Cost_in_dollars!B3210 * GOOGLEFINANCE(""CURRENCY:"" &amp; Cost_in_dollars!E3210 &amp; ""USD""))
"),8842397.3385)</f>
        <v>8842397.3385000005</v>
      </c>
      <c r="P3210" s="4">
        <f ca="1">IFERROR(__xludf.DUMMYFUNCTION("IF(Cost_in_dollars!E3210=""USD"",Cost_in_dollars!C3210,Cost_in_dollars!C3210 * GOOGLEFINANCE(""CURRENCY:"" &amp; Cost_in_dollars!E3210 &amp; ""USD""))
"),1593.529500204)</f>
        <v>1593.529500204</v>
      </c>
      <c r="Q3210" s="4">
        <f t="shared" ca="1" si="72"/>
        <v>-8840803.8089997973</v>
      </c>
      <c r="R3210" s="5" t="str">
        <f t="shared" si="73"/>
        <v>The Host</v>
      </c>
      <c r="S3210" s="43" t="str">
        <f t="shared" si="76"/>
        <v>Comedy</v>
      </c>
    </row>
    <row r="3211" spans="1:19" ht="15.75" customHeight="1" x14ac:dyDescent="0.25">
      <c r="A3211" s="6" t="s">
        <v>4179</v>
      </c>
      <c r="B3211" s="6">
        <v>357</v>
      </c>
      <c r="C3211" s="6">
        <v>61937495</v>
      </c>
      <c r="D3211" s="6" t="s">
        <v>2403</v>
      </c>
      <c r="E3211" s="6" t="s">
        <v>240</v>
      </c>
      <c r="F3211" s="6" t="s">
        <v>9964</v>
      </c>
      <c r="G3211" s="6">
        <v>89442</v>
      </c>
      <c r="H3211" s="6" t="s">
        <v>9965</v>
      </c>
      <c r="I3211" s="6">
        <v>432</v>
      </c>
      <c r="J3211" s="6" t="s">
        <v>23</v>
      </c>
      <c r="K3211" s="6" t="s">
        <v>24</v>
      </c>
      <c r="L3211" s="6">
        <v>150000000</v>
      </c>
      <c r="M3211" s="6">
        <v>2010</v>
      </c>
      <c r="N3211" s="6">
        <v>5.8</v>
      </c>
      <c r="O3211" s="4">
        <f ca="1">IFERROR(__xludf.DUMMYFUNCTION("IF(Cost_in_dollars!E3211=""USD"",Cost_in_dollars!B3211,Cost_in_dollars!B3211 * GOOGLEFINANCE(""CURRENCY:"" &amp; Cost_in_dollars!E3211 &amp; ""USD""))
"),150000000)</f>
        <v>150000000</v>
      </c>
      <c r="P3211" s="4">
        <f ca="1">IFERROR(__xludf.DUMMYFUNCTION("IF(Cost_in_dollars!E3211=""USD"",Cost_in_dollars!C3211,Cost_in_dollars!C3211 * GOOGLEFINANCE(""CURRENCY:"" &amp; Cost_in_dollars!E3211 &amp; ""USD""))
"),61937495)</f>
        <v>61937495</v>
      </c>
      <c r="Q3211" s="6">
        <f t="shared" ca="1" si="72"/>
        <v>-88062505</v>
      </c>
      <c r="R3211" s="7" t="str">
        <f t="shared" si="73"/>
        <v>The Wolfman</v>
      </c>
      <c r="S3211" s="43" t="str">
        <f t="shared" si="76"/>
        <v>Drama</v>
      </c>
    </row>
    <row r="3212" spans="1:19" ht="15.75" customHeight="1" x14ac:dyDescent="0.25">
      <c r="A3212" s="4" t="s">
        <v>2288</v>
      </c>
      <c r="B3212" s="4">
        <v>256</v>
      </c>
      <c r="C3212" s="4">
        <v>244052771</v>
      </c>
      <c r="D3212" s="4" t="s">
        <v>2409</v>
      </c>
      <c r="E3212" s="4" t="s">
        <v>2443</v>
      </c>
      <c r="F3212" s="4" t="s">
        <v>9966</v>
      </c>
      <c r="G3212" s="4">
        <v>263853</v>
      </c>
      <c r="H3212" s="4" t="s">
        <v>9967</v>
      </c>
      <c r="I3212" s="4">
        <v>584</v>
      </c>
      <c r="J3212" s="4" t="s">
        <v>23</v>
      </c>
      <c r="K3212" s="4" t="s">
        <v>24</v>
      </c>
      <c r="L3212" s="4">
        <v>120000000</v>
      </c>
      <c r="M3212" s="4">
        <v>2006</v>
      </c>
      <c r="N3212" s="4">
        <v>7.2</v>
      </c>
      <c r="O3212" s="4">
        <f ca="1">IFERROR(__xludf.DUMMYFUNCTION("IF(Cost_in_dollars!E3212=""USD"",Cost_in_dollars!B3212,Cost_in_dollars!B3212 * GOOGLEFINANCE(""CURRENCY:"" &amp; Cost_in_dollars!E3212 &amp; ""USD""))
"),120000000)</f>
        <v>120000000</v>
      </c>
      <c r="P3212" s="4">
        <f ca="1">IFERROR(__xludf.DUMMYFUNCTION("IF(Cost_in_dollars!E3212=""USD"",Cost_in_dollars!C3212,Cost_in_dollars!C3212 * GOOGLEFINANCE(""CURRENCY:"" &amp; Cost_in_dollars!E3212 &amp; ""USD""))
"),244052771)</f>
        <v>244052771</v>
      </c>
      <c r="Q3212" s="4">
        <f t="shared" ca="1" si="72"/>
        <v>124052771</v>
      </c>
      <c r="R3212" s="5" t="str">
        <f t="shared" si="73"/>
        <v>Cars</v>
      </c>
      <c r="S3212" s="43" t="str">
        <f t="shared" si="76"/>
        <v>Adventure</v>
      </c>
    </row>
    <row r="3213" spans="1:19" ht="15.75" customHeight="1" x14ac:dyDescent="0.25">
      <c r="A3213" s="6" t="s">
        <v>1484</v>
      </c>
      <c r="B3213" s="6">
        <v>224</v>
      </c>
      <c r="C3213" s="6">
        <v>81645152</v>
      </c>
      <c r="D3213" s="6" t="s">
        <v>63</v>
      </c>
      <c r="E3213" s="6" t="s">
        <v>1680</v>
      </c>
      <c r="F3213" s="6" t="s">
        <v>9968</v>
      </c>
      <c r="G3213" s="6">
        <v>158267</v>
      </c>
      <c r="H3213" s="6" t="s">
        <v>9969</v>
      </c>
      <c r="I3213" s="6">
        <v>559</v>
      </c>
      <c r="J3213" s="6" t="s">
        <v>23</v>
      </c>
      <c r="K3213" s="6" t="s">
        <v>24</v>
      </c>
      <c r="L3213" s="6">
        <v>54000000</v>
      </c>
      <c r="M3213" s="6">
        <v>2002</v>
      </c>
      <c r="N3213" s="6">
        <v>6.7</v>
      </c>
      <c r="O3213" s="4">
        <f ca="1">IFERROR(__xludf.DUMMYFUNCTION("IF(Cost_in_dollars!E3213=""USD"",Cost_in_dollars!B3213,Cost_in_dollars!B3213 * GOOGLEFINANCE(""CURRENCY:"" &amp; Cost_in_dollars!E3213 &amp; ""USD""))
"),54000000)</f>
        <v>54000000</v>
      </c>
      <c r="P3213" s="4">
        <f ca="1">IFERROR(__xludf.DUMMYFUNCTION("IF(Cost_in_dollars!E3213=""USD"",Cost_in_dollars!C3213,Cost_in_dollars!C3213 * GOOGLEFINANCE(""CURRENCY:"" &amp; Cost_in_dollars!E3213 &amp; ""USD""))
"),81645152)</f>
        <v>81645152</v>
      </c>
      <c r="Q3213" s="6">
        <f t="shared" ca="1" si="72"/>
        <v>27645152</v>
      </c>
      <c r="R3213" s="7" t="str">
        <f t="shared" si="73"/>
        <v>Blade II</v>
      </c>
      <c r="S3213" s="43" t="str">
        <f t="shared" si="76"/>
        <v>Action</v>
      </c>
    </row>
    <row r="3214" spans="1:19" ht="15.75" customHeight="1" x14ac:dyDescent="0.25">
      <c r="A3214" s="4" t="s">
        <v>9970</v>
      </c>
      <c r="B3214" s="4">
        <v>53</v>
      </c>
      <c r="C3214" s="4">
        <v>36500000</v>
      </c>
      <c r="D3214" s="4" t="s">
        <v>1788</v>
      </c>
      <c r="E3214" s="4" t="s">
        <v>37</v>
      </c>
      <c r="F3214" s="4" t="s">
        <v>9971</v>
      </c>
      <c r="G3214" s="4">
        <v>87090</v>
      </c>
      <c r="H3214" s="4" t="s">
        <v>9972</v>
      </c>
      <c r="I3214" s="4">
        <v>142</v>
      </c>
      <c r="J3214" s="4" t="s">
        <v>23</v>
      </c>
      <c r="K3214" s="4" t="s">
        <v>24</v>
      </c>
      <c r="L3214" s="4">
        <v>8000000</v>
      </c>
      <c r="M3214" s="4">
        <v>1979</v>
      </c>
      <c r="N3214" s="4">
        <v>7.6</v>
      </c>
      <c r="O3214" s="4">
        <f ca="1">IFERROR(__xludf.DUMMYFUNCTION("IF(Cost_in_dollars!E3214=""USD"",Cost_in_dollars!B3214,Cost_in_dollars!B3214 * GOOGLEFINANCE(""CURRENCY:"" &amp; Cost_in_dollars!E3214 &amp; ""USD""))
"),8000000)</f>
        <v>8000000</v>
      </c>
      <c r="P3214" s="4">
        <f ca="1">IFERROR(__xludf.DUMMYFUNCTION("IF(Cost_in_dollars!E3214=""USD"",Cost_in_dollars!C3214,Cost_in_dollars!C3214 * GOOGLEFINANCE(""CURRENCY:"" &amp; Cost_in_dollars!E3214 &amp; ""USD""))
"),36500000)</f>
        <v>36500000</v>
      </c>
      <c r="Q3214" s="4">
        <f t="shared" ca="1" si="72"/>
        <v>28500000</v>
      </c>
      <c r="R3214" s="5" t="str">
        <f t="shared" si="73"/>
        <v>Escape from Alcatraz</v>
      </c>
      <c r="S3214" s="43" t="str">
        <f t="shared" si="76"/>
        <v>Biography</v>
      </c>
    </row>
    <row r="3215" spans="1:19" ht="15.75" customHeight="1" x14ac:dyDescent="0.25">
      <c r="A3215" s="6" t="s">
        <v>9973</v>
      </c>
      <c r="B3215" s="6">
        <v>233</v>
      </c>
      <c r="C3215" s="6">
        <v>148337537</v>
      </c>
      <c r="D3215" s="6" t="s">
        <v>2174</v>
      </c>
      <c r="E3215" s="6" t="s">
        <v>881</v>
      </c>
      <c r="F3215" s="6" t="s">
        <v>9974</v>
      </c>
      <c r="G3215" s="6">
        <v>172754</v>
      </c>
      <c r="H3215" s="6" t="s">
        <v>9975</v>
      </c>
      <c r="I3215" s="6">
        <v>187</v>
      </c>
      <c r="J3215" s="6" t="s">
        <v>23</v>
      </c>
      <c r="K3215" s="6" t="s">
        <v>24</v>
      </c>
      <c r="L3215" s="6">
        <v>130000000</v>
      </c>
      <c r="M3215" s="6">
        <v>2010</v>
      </c>
      <c r="N3215" s="6">
        <v>7.3</v>
      </c>
      <c r="O3215" s="4">
        <f ca="1">IFERROR(__xludf.DUMMYFUNCTION("IF(Cost_in_dollars!E3215=""USD"",Cost_in_dollars!B3215,Cost_in_dollars!B3215 * GOOGLEFINANCE(""CURRENCY:"" &amp; Cost_in_dollars!E3215 &amp; ""USD""))
"),130000000)</f>
        <v>130000000</v>
      </c>
      <c r="P3215" s="4">
        <f ca="1">IFERROR(__xludf.DUMMYFUNCTION("IF(Cost_in_dollars!E3215=""USD"",Cost_in_dollars!C3215,Cost_in_dollars!C3215 * GOOGLEFINANCE(""CURRENCY:"" &amp; Cost_in_dollars!E3215 &amp; ""USD""))
"),148337537)</f>
        <v>148337537</v>
      </c>
      <c r="Q3215" s="6">
        <f t="shared" ca="1" si="72"/>
        <v>18337537</v>
      </c>
      <c r="R3215" s="7" t="str">
        <f t="shared" si="73"/>
        <v>Megamind</v>
      </c>
      <c r="S3215" s="43" t="str">
        <f t="shared" si="76"/>
        <v>Action</v>
      </c>
    </row>
    <row r="3216" spans="1:19" ht="15.75" customHeight="1" x14ac:dyDescent="0.25">
      <c r="A3216" s="4" t="s">
        <v>2018</v>
      </c>
      <c r="B3216" s="4">
        <v>175</v>
      </c>
      <c r="C3216" s="4">
        <v>33631221</v>
      </c>
      <c r="D3216" s="4" t="s">
        <v>116</v>
      </c>
      <c r="E3216" s="4" t="s">
        <v>2019</v>
      </c>
      <c r="F3216" s="4" t="s">
        <v>2020</v>
      </c>
      <c r="G3216" s="4">
        <v>48559</v>
      </c>
      <c r="H3216" s="4" t="s">
        <v>2021</v>
      </c>
      <c r="I3216" s="4">
        <v>145</v>
      </c>
      <c r="J3216" s="4" t="s">
        <v>23</v>
      </c>
      <c r="K3216" s="4" t="s">
        <v>24</v>
      </c>
      <c r="L3216" s="4">
        <v>25000000</v>
      </c>
      <c r="M3216" s="4">
        <v>2014</v>
      </c>
      <c r="N3216" s="4">
        <v>6</v>
      </c>
      <c r="O3216" s="4">
        <f ca="1">IFERROR(__xludf.DUMMYFUNCTION("IF(Cost_in_dollars!E3216=""USD"",Cost_in_dollars!B3216,Cost_in_dollars!B3216 * GOOGLEFINANCE(""CURRENCY:"" &amp; Cost_in_dollars!E3216 &amp; ""USD""))
"),25000000)</f>
        <v>25000000</v>
      </c>
      <c r="P3216" s="4">
        <f ca="1">IFERROR(__xludf.DUMMYFUNCTION("IF(Cost_in_dollars!E3216=""USD"",Cost_in_dollars!C3216,Cost_in_dollars!C3216 * GOOGLEFINANCE(""CURRENCY:"" &amp; Cost_in_dollars!E3216 &amp; ""USD""))
"),33631221)</f>
        <v>33631221</v>
      </c>
      <c r="Q3216" s="4">
        <f t="shared" ca="1" si="72"/>
        <v>8631221</v>
      </c>
      <c r="R3216" s="5" t="str">
        <f t="shared" si="73"/>
        <v>The Gambler</v>
      </c>
      <c r="S3216" s="43" t="str">
        <f t="shared" si="76"/>
        <v>Crime</v>
      </c>
    </row>
    <row r="3217" spans="1:19" ht="15.75" customHeight="1" x14ac:dyDescent="0.25">
      <c r="A3217" s="6" t="s">
        <v>9976</v>
      </c>
      <c r="B3217" s="6">
        <v>159</v>
      </c>
      <c r="C3217" s="6">
        <v>22757819</v>
      </c>
      <c r="D3217" s="6" t="s">
        <v>309</v>
      </c>
      <c r="E3217" s="6" t="s">
        <v>9977</v>
      </c>
      <c r="F3217" s="6" t="s">
        <v>9978</v>
      </c>
      <c r="G3217" s="6">
        <v>13521</v>
      </c>
      <c r="H3217" s="6" t="s">
        <v>9979</v>
      </c>
      <c r="I3217" s="6">
        <v>150</v>
      </c>
      <c r="J3217" s="6" t="s">
        <v>23</v>
      </c>
      <c r="K3217" s="6" t="s">
        <v>24</v>
      </c>
      <c r="L3217" s="6">
        <v>100000</v>
      </c>
      <c r="M3217" s="6">
        <v>2015</v>
      </c>
      <c r="N3217" s="6">
        <v>4.2</v>
      </c>
      <c r="O3217" s="4">
        <f ca="1">IFERROR(__xludf.DUMMYFUNCTION("IF(Cost_in_dollars!E3217=""USD"",Cost_in_dollars!B3217,Cost_in_dollars!B3217 * GOOGLEFINANCE(""CURRENCY:"" &amp; Cost_in_dollars!E3217 &amp; ""USD""))
"),100000)</f>
        <v>100000</v>
      </c>
      <c r="P3217" s="4">
        <f ca="1">IFERROR(__xludf.DUMMYFUNCTION("IF(Cost_in_dollars!E3217=""USD"",Cost_in_dollars!C3217,Cost_in_dollars!C3217 * GOOGLEFINANCE(""CURRENCY:"" &amp; Cost_in_dollars!E3217 &amp; ""USD""))
"),22757819)</f>
        <v>22757819</v>
      </c>
      <c r="Q3217" s="6">
        <f t="shared" ca="1" si="72"/>
        <v>22657819</v>
      </c>
      <c r="R3217" s="7" t="str">
        <f t="shared" si="73"/>
        <v>The Gallows</v>
      </c>
      <c r="S3217" s="43" t="str">
        <f t="shared" si="76"/>
        <v>Horror</v>
      </c>
    </row>
    <row r="3218" spans="1:19" ht="15.75" customHeight="1" x14ac:dyDescent="0.25">
      <c r="A3218" s="4" t="s">
        <v>9980</v>
      </c>
      <c r="B3218" s="4">
        <v>139</v>
      </c>
      <c r="C3218" s="4">
        <v>48006503</v>
      </c>
      <c r="D3218" s="4" t="s">
        <v>1888</v>
      </c>
      <c r="E3218" s="4" t="s">
        <v>833</v>
      </c>
      <c r="F3218" s="4" t="s">
        <v>9981</v>
      </c>
      <c r="G3218" s="4">
        <v>28109</v>
      </c>
      <c r="H3218" s="4" t="s">
        <v>9982</v>
      </c>
      <c r="I3218" s="4">
        <v>110</v>
      </c>
      <c r="J3218" s="4" t="s">
        <v>23</v>
      </c>
      <c r="K3218" s="4" t="s">
        <v>24</v>
      </c>
      <c r="L3218" s="4">
        <v>37000000</v>
      </c>
      <c r="M3218" s="4">
        <v>2008</v>
      </c>
      <c r="N3218" s="4">
        <v>6</v>
      </c>
      <c r="O3218" s="4">
        <f ca="1">IFERROR(__xludf.DUMMYFUNCTION("IF(Cost_in_dollars!E3218=""USD"",Cost_in_dollars!B3218,Cost_in_dollars!B3218 * GOOGLEFINANCE(""CURRENCY:"" &amp; Cost_in_dollars!E3218 &amp; ""USD""))
"),37000000)</f>
        <v>37000000</v>
      </c>
      <c r="P3218" s="4">
        <f ca="1">IFERROR(__xludf.DUMMYFUNCTION("IF(Cost_in_dollars!E3218=""USD"",Cost_in_dollars!C3218,Cost_in_dollars!C3218 * GOOGLEFINANCE(""CURRENCY:"" &amp; Cost_in_dollars!E3218 &amp; ""USD""))
"),48006503)</f>
        <v>48006503</v>
      </c>
      <c r="Q3218" s="4">
        <f t="shared" ca="1" si="72"/>
        <v>11006503</v>
      </c>
      <c r="R3218" s="5" t="str">
        <f t="shared" si="73"/>
        <v>Nim's Island</v>
      </c>
      <c r="S3218" s="43" t="str">
        <f t="shared" si="76"/>
        <v>Adventure</v>
      </c>
    </row>
    <row r="3219" spans="1:19" ht="15.75" customHeight="1" x14ac:dyDescent="0.25">
      <c r="A3219" s="6" t="s">
        <v>2614</v>
      </c>
      <c r="B3219" s="6">
        <v>121</v>
      </c>
      <c r="C3219" s="6">
        <v>5400000</v>
      </c>
      <c r="D3219" s="6" t="s">
        <v>235</v>
      </c>
      <c r="E3219" s="6" t="s">
        <v>9983</v>
      </c>
      <c r="F3219" s="6" t="s">
        <v>9984</v>
      </c>
      <c r="G3219" s="6">
        <v>183288</v>
      </c>
      <c r="H3219" s="6" t="s">
        <v>9985</v>
      </c>
      <c r="I3219" s="6">
        <v>395</v>
      </c>
      <c r="J3219" s="6" t="s">
        <v>23</v>
      </c>
      <c r="K3219" s="6" t="s">
        <v>24</v>
      </c>
      <c r="L3219" s="6">
        <v>2500000</v>
      </c>
      <c r="M3219" s="6">
        <v>1995</v>
      </c>
      <c r="N3219" s="6">
        <v>8.1</v>
      </c>
      <c r="O3219" s="4">
        <f ca="1">IFERROR(__xludf.DUMMYFUNCTION("IF(Cost_in_dollars!E3219=""USD"",Cost_in_dollars!B3219,Cost_in_dollars!B3219 * GOOGLEFINANCE(""CURRENCY:"" &amp; Cost_in_dollars!E3219 &amp; ""USD""))
"),2500000)</f>
        <v>2500000</v>
      </c>
      <c r="P3219" s="4">
        <f ca="1">IFERROR(__xludf.DUMMYFUNCTION("IF(Cost_in_dollars!E3219=""USD"",Cost_in_dollars!C3219,Cost_in_dollars!C3219 * GOOGLEFINANCE(""CURRENCY:"" &amp; Cost_in_dollars!E3219 &amp; ""USD""))
"),5400000)</f>
        <v>5400000</v>
      </c>
      <c r="Q3219" s="6">
        <f t="shared" ca="1" si="72"/>
        <v>2900000</v>
      </c>
      <c r="R3219" s="7" t="str">
        <f t="shared" si="73"/>
        <v>Before Sunrise</v>
      </c>
      <c r="S3219" s="43" t="str">
        <f t="shared" si="76"/>
        <v>Drama</v>
      </c>
    </row>
    <row r="3220" spans="1:19" ht="15.75" customHeight="1" x14ac:dyDescent="0.25">
      <c r="A3220" s="4" t="s">
        <v>1464</v>
      </c>
      <c r="B3220" s="4">
        <v>55</v>
      </c>
      <c r="C3220" s="4">
        <v>135014968</v>
      </c>
      <c r="D3220" s="4" t="s">
        <v>9986</v>
      </c>
      <c r="E3220" s="4" t="s">
        <v>676</v>
      </c>
      <c r="F3220" s="4" t="s">
        <v>9987</v>
      </c>
      <c r="G3220" s="4">
        <v>80580</v>
      </c>
      <c r="H3220" s="4" t="s">
        <v>9988</v>
      </c>
      <c r="I3220" s="4">
        <v>375</v>
      </c>
      <c r="J3220" s="4" t="s">
        <v>23</v>
      </c>
      <c r="K3220" s="4" t="s">
        <v>24</v>
      </c>
      <c r="L3220" s="4">
        <v>50000000</v>
      </c>
      <c r="M3220" s="4">
        <v>1998</v>
      </c>
      <c r="N3220" s="4">
        <v>6.7</v>
      </c>
      <c r="O3220" s="4">
        <f ca="1">IFERROR(__xludf.DUMMYFUNCTION("IF(Cost_in_dollars!E3220=""USD"",Cost_in_dollars!B3220,Cost_in_dollars!B3220 * GOOGLEFINANCE(""CURRENCY:"" &amp; Cost_in_dollars!E3220 &amp; ""USD""))
"),50000000)</f>
        <v>50000000</v>
      </c>
      <c r="P3220" s="4">
        <f ca="1">IFERROR(__xludf.DUMMYFUNCTION("IF(Cost_in_dollars!E3220=""USD"",Cost_in_dollars!C3220,Cost_in_dollars!C3220 * GOOGLEFINANCE(""CURRENCY:"" &amp; Cost_in_dollars!E3220 &amp; ""USD""))
"),135014968)</f>
        <v>135014968</v>
      </c>
      <c r="Q3220" s="4">
        <f t="shared" ca="1" si="72"/>
        <v>85014968</v>
      </c>
      <c r="R3220" s="5" t="str">
        <f t="shared" si="73"/>
        <v>Patch Adams</v>
      </c>
      <c r="S3220" s="43" t="str">
        <f t="shared" si="76"/>
        <v>Biography</v>
      </c>
    </row>
    <row r="3221" spans="1:19" ht="15.75" customHeight="1" x14ac:dyDescent="0.25">
      <c r="A3221" s="6" t="s">
        <v>9989</v>
      </c>
      <c r="B3221" s="6">
        <v>133</v>
      </c>
      <c r="C3221" s="6">
        <v>5895238</v>
      </c>
      <c r="D3221" s="6" t="s">
        <v>8191</v>
      </c>
      <c r="E3221" s="6" t="s">
        <v>444</v>
      </c>
      <c r="F3221" s="6" t="s">
        <v>9990</v>
      </c>
      <c r="G3221" s="6">
        <v>17169</v>
      </c>
      <c r="H3221" s="6" t="s">
        <v>9991</v>
      </c>
      <c r="I3221" s="6">
        <v>70</v>
      </c>
      <c r="J3221" s="6" t="s">
        <v>1569</v>
      </c>
      <c r="K3221" s="6" t="s">
        <v>24</v>
      </c>
      <c r="L3221" s="6">
        <v>6000000</v>
      </c>
      <c r="M3221" s="6">
        <v>2012</v>
      </c>
      <c r="N3221" s="6">
        <v>5.5</v>
      </c>
      <c r="O3221" s="4">
        <f ca="1">IFERROR(__xludf.DUMMYFUNCTION("IF(Cost_in_dollars!E3221=""USD"",Cost_in_dollars!B3221,Cost_in_dollars!B3221 * GOOGLEFINANCE(""CURRENCY:"" &amp; Cost_in_dollars!E3221 &amp; ""USD""))
"),6000000)</f>
        <v>6000000</v>
      </c>
      <c r="P3221" s="4">
        <f ca="1">IFERROR(__xludf.DUMMYFUNCTION("IF(Cost_in_dollars!E3221=""USD"",Cost_in_dollars!C3221,Cost_in_dollars!C3221 * GOOGLEFINANCE(""CURRENCY:"" &amp; Cost_in_dollars!E3221 &amp; ""USD""))
"),5895238)</f>
        <v>5895238</v>
      </c>
      <c r="Q3221" s="6">
        <f t="shared" ca="1" si="72"/>
        <v>-104762</v>
      </c>
      <c r="R3221" s="7" t="str">
        <f t="shared" si="73"/>
        <v>Casa de mi Padre</v>
      </c>
      <c r="S3221" s="43" t="str">
        <f t="shared" si="76"/>
        <v>Comedy</v>
      </c>
    </row>
    <row r="3222" spans="1:19" ht="15.75" customHeight="1" x14ac:dyDescent="0.25">
      <c r="A3222" s="4" t="s">
        <v>1836</v>
      </c>
      <c r="B3222" s="4">
        <v>53</v>
      </c>
      <c r="C3222" s="4">
        <v>5132222</v>
      </c>
      <c r="D3222" s="4" t="s">
        <v>3436</v>
      </c>
      <c r="E3222" s="4" t="s">
        <v>3574</v>
      </c>
      <c r="F3222" s="4" t="s">
        <v>9992</v>
      </c>
      <c r="G3222" s="4">
        <v>14112</v>
      </c>
      <c r="H3222" s="4" t="s">
        <v>9993</v>
      </c>
      <c r="I3222" s="4">
        <v>83</v>
      </c>
      <c r="J3222" s="4" t="s">
        <v>23</v>
      </c>
      <c r="K3222" s="4" t="s">
        <v>627</v>
      </c>
      <c r="L3222" s="4">
        <v>2000000</v>
      </c>
      <c r="M3222" s="4">
        <v>1994</v>
      </c>
      <c r="N3222" s="4">
        <v>7.2</v>
      </c>
      <c r="O3222" s="4">
        <f ca="1">IFERROR(__xludf.DUMMYFUNCTION("IF(Cost_in_dollars!E3222=""USD"",Cost_in_dollars!B3222,Cost_in_dollars!B3222 * GOOGLEFINANCE(""CURRENCY:"" &amp; Cost_in_dollars!E3222 &amp; ""USD""))
"),1446810)</f>
        <v>1446810</v>
      </c>
      <c r="P3222" s="4">
        <f ca="1">IFERROR(__xludf.DUMMYFUNCTION("IF(Cost_in_dollars!E3222=""USD"",Cost_in_dollars!C3222,Cost_in_dollars!C3222 * GOOGLEFINANCE(""CURRENCY:"" &amp; Cost_in_dollars!E3222 &amp; ""USD""))
"),3712675.05590999)</f>
        <v>3712675.0559099899</v>
      </c>
      <c r="Q3222" s="4">
        <f t="shared" ca="1" si="72"/>
        <v>2265865.0559099899</v>
      </c>
      <c r="R3222" s="5" t="str">
        <f t="shared" si="73"/>
        <v>Exotica</v>
      </c>
      <c r="S3222" s="43" t="str">
        <f t="shared" si="76"/>
        <v>Drama</v>
      </c>
    </row>
    <row r="3223" spans="1:19" ht="15.75" customHeight="1" x14ac:dyDescent="0.25">
      <c r="A3223" s="6" t="s">
        <v>7132</v>
      </c>
      <c r="B3223" s="6">
        <v>100</v>
      </c>
      <c r="C3223" s="6">
        <v>18488314</v>
      </c>
      <c r="D3223" s="6" t="s">
        <v>904</v>
      </c>
      <c r="E3223" s="6" t="s">
        <v>9994</v>
      </c>
      <c r="F3223" s="6" t="s">
        <v>9995</v>
      </c>
      <c r="G3223" s="6">
        <v>76151</v>
      </c>
      <c r="H3223" s="6" t="s">
        <v>9996</v>
      </c>
      <c r="I3223" s="6">
        <v>333</v>
      </c>
      <c r="J3223" s="6" t="s">
        <v>23</v>
      </c>
      <c r="K3223" s="6" t="s">
        <v>24</v>
      </c>
      <c r="L3223" s="6">
        <v>1200000</v>
      </c>
      <c r="M3223" s="6">
        <v>2001</v>
      </c>
      <c r="N3223" s="6">
        <v>7.1</v>
      </c>
      <c r="O3223" s="4">
        <f ca="1">IFERROR(__xludf.DUMMYFUNCTION("IF(Cost_in_dollars!E3223=""USD"",Cost_in_dollars!B3223,Cost_in_dollars!B3223 * GOOGLEFINANCE(""CURRENCY:"" &amp; Cost_in_dollars!E3223 &amp; ""USD""))
"),1200000)</f>
        <v>1200000</v>
      </c>
      <c r="P3223" s="4">
        <f ca="1">IFERROR(__xludf.DUMMYFUNCTION("IF(Cost_in_dollars!E3223=""USD"",Cost_in_dollars!C3223,Cost_in_dollars!C3223 * GOOGLEFINANCE(""CURRENCY:"" &amp; Cost_in_dollars!E3223 &amp; ""USD""))
"),18488314)</f>
        <v>18488314</v>
      </c>
      <c r="Q3223" s="6">
        <f t="shared" ca="1" si="72"/>
        <v>17288314</v>
      </c>
      <c r="R3223" s="7" t="str">
        <f t="shared" si="73"/>
        <v>Super Troopers</v>
      </c>
      <c r="S3223" s="43" t="str">
        <f t="shared" si="76"/>
        <v>Comedy</v>
      </c>
    </row>
    <row r="3224" spans="1:19" ht="15.75" customHeight="1" x14ac:dyDescent="0.25">
      <c r="A3224" s="4" t="s">
        <v>405</v>
      </c>
      <c r="B3224" s="4">
        <v>121</v>
      </c>
      <c r="C3224" s="4">
        <v>2426851</v>
      </c>
      <c r="D3224" s="4" t="s">
        <v>6118</v>
      </c>
      <c r="E3224" s="4" t="s">
        <v>1855</v>
      </c>
      <c r="F3224" s="4" t="s">
        <v>9997</v>
      </c>
      <c r="G3224" s="4">
        <v>16224</v>
      </c>
      <c r="H3224" s="4" t="s">
        <v>9998</v>
      </c>
      <c r="I3224" s="4">
        <v>76</v>
      </c>
      <c r="J3224" s="4" t="s">
        <v>23</v>
      </c>
      <c r="K3224" s="4" t="s">
        <v>24</v>
      </c>
      <c r="L3224" s="4">
        <v>4000000</v>
      </c>
      <c r="M3224" s="4">
        <v>2007</v>
      </c>
      <c r="N3224" s="4">
        <v>6.5</v>
      </c>
      <c r="O3224" s="4">
        <f ca="1">IFERROR(__xludf.DUMMYFUNCTION("IF(Cost_in_dollars!E3224=""USD"",Cost_in_dollars!B3224,Cost_in_dollars!B3224 * GOOGLEFINANCE(""CURRENCY:"" &amp; Cost_in_dollars!E3224 &amp; ""USD""))
"),4000000)</f>
        <v>4000000</v>
      </c>
      <c r="P3224" s="4">
        <f ca="1">IFERROR(__xludf.DUMMYFUNCTION("IF(Cost_in_dollars!E3224=""USD"",Cost_in_dollars!C3224,Cost_in_dollars!C3224 * GOOGLEFINANCE(""CURRENCY:"" &amp; Cost_in_dollars!E3224 &amp; ""USD""))
"),2426851)</f>
        <v>2426851</v>
      </c>
      <c r="Q3224" s="4">
        <f t="shared" ca="1" si="72"/>
        <v>-1573149</v>
      </c>
      <c r="R3224" s="5" t="str">
        <f t="shared" si="73"/>
        <v>You Kill Me</v>
      </c>
      <c r="S3224" s="43" t="str">
        <f t="shared" si="76"/>
        <v>Comedy</v>
      </c>
    </row>
    <row r="3225" spans="1:19" ht="15.75" customHeight="1" x14ac:dyDescent="0.25">
      <c r="A3225" s="6" t="s">
        <v>9666</v>
      </c>
      <c r="B3225" s="6">
        <v>94</v>
      </c>
      <c r="C3225" s="6">
        <v>31526393</v>
      </c>
      <c r="D3225" s="6" t="s">
        <v>9694</v>
      </c>
      <c r="E3225" s="6" t="s">
        <v>9999</v>
      </c>
      <c r="F3225" s="6" t="s">
        <v>10000</v>
      </c>
      <c r="G3225" s="6">
        <v>22243</v>
      </c>
      <c r="H3225" s="6" t="s">
        <v>10001</v>
      </c>
      <c r="I3225" s="6">
        <v>144</v>
      </c>
      <c r="J3225" s="6" t="s">
        <v>23</v>
      </c>
      <c r="K3225" s="6" t="s">
        <v>24</v>
      </c>
      <c r="L3225" s="6">
        <v>25000000</v>
      </c>
      <c r="M3225" s="6">
        <v>2004</v>
      </c>
      <c r="N3225" s="6">
        <v>4.5999999999999996</v>
      </c>
      <c r="O3225" s="4">
        <f ca="1">IFERROR(__xludf.DUMMYFUNCTION("IF(Cost_in_dollars!E3225=""USD"",Cost_in_dollars!B3225,Cost_in_dollars!B3225 * GOOGLEFINANCE(""CURRENCY:"" &amp; Cost_in_dollars!E3225 &amp; ""USD""))
"),25000000)</f>
        <v>25000000</v>
      </c>
      <c r="P3225" s="4">
        <f ca="1">IFERROR(__xludf.DUMMYFUNCTION("IF(Cost_in_dollars!E3225=""USD"",Cost_in_dollars!C3225,Cost_in_dollars!C3225 * GOOGLEFINANCE(""CURRENCY:"" &amp; Cost_in_dollars!E3225 &amp; ""USD""))
"),31526393)</f>
        <v>31526393</v>
      </c>
      <c r="Q3225" s="6">
        <f t="shared" ca="1" si="72"/>
        <v>6526393</v>
      </c>
      <c r="R3225" s="7" t="str">
        <f t="shared" si="73"/>
        <v>Anacondas: The Hunt for the Blood Orchid</v>
      </c>
      <c r="S3225" s="43" t="str">
        <f t="shared" si="76"/>
        <v>Action</v>
      </c>
    </row>
    <row r="3226" spans="1:19" ht="15.75" customHeight="1" x14ac:dyDescent="0.25">
      <c r="A3226" s="4" t="s">
        <v>952</v>
      </c>
      <c r="B3226" s="4">
        <v>131</v>
      </c>
      <c r="C3226" s="4">
        <v>22751979</v>
      </c>
      <c r="D3226" s="4" t="s">
        <v>7715</v>
      </c>
      <c r="E3226" s="4" t="s">
        <v>588</v>
      </c>
      <c r="F3226" s="4" t="s">
        <v>10002</v>
      </c>
      <c r="G3226" s="4">
        <v>52244</v>
      </c>
      <c r="H3226" s="4" t="s">
        <v>10003</v>
      </c>
      <c r="I3226" s="4">
        <v>377</v>
      </c>
      <c r="J3226" s="4" t="s">
        <v>23</v>
      </c>
      <c r="K3226" s="4" t="s">
        <v>24</v>
      </c>
      <c r="L3226" s="4">
        <v>75000000</v>
      </c>
      <c r="M3226" s="4">
        <v>2000</v>
      </c>
      <c r="N3226" s="4">
        <v>6.6</v>
      </c>
      <c r="O3226" s="4">
        <f ca="1">IFERROR(__xludf.DUMMYFUNCTION("IF(Cost_in_dollars!E3226=""USD"",Cost_in_dollars!B3226,Cost_in_dollars!B3226 * GOOGLEFINANCE(""CURRENCY:"" &amp; Cost_in_dollars!E3226 &amp; ""USD""))
"),75000000)</f>
        <v>75000000</v>
      </c>
      <c r="P3226" s="4">
        <f ca="1">IFERROR(__xludf.DUMMYFUNCTION("IF(Cost_in_dollars!E3226=""USD"",Cost_in_dollars!C3226,Cost_in_dollars!C3226 * GOOGLEFINANCE(""CURRENCY:"" &amp; Cost_in_dollars!E3226 &amp; ""USD""))
"),22751979)</f>
        <v>22751979</v>
      </c>
      <c r="Q3226" s="4">
        <f t="shared" ca="1" si="72"/>
        <v>-52248021</v>
      </c>
      <c r="R3226" s="5" t="str">
        <f t="shared" si="73"/>
        <v>Titan A.E.</v>
      </c>
      <c r="S3226" s="43" t="str">
        <f t="shared" si="76"/>
        <v>Action</v>
      </c>
    </row>
    <row r="3227" spans="1:19" ht="15.75" customHeight="1" x14ac:dyDescent="0.25">
      <c r="A3227" s="6" t="s">
        <v>993</v>
      </c>
      <c r="B3227" s="6">
        <v>56</v>
      </c>
      <c r="C3227" s="6">
        <v>70492685</v>
      </c>
      <c r="D3227" s="6" t="s">
        <v>457</v>
      </c>
      <c r="E3227" s="6" t="s">
        <v>3261</v>
      </c>
      <c r="F3227" s="6" t="s">
        <v>10004</v>
      </c>
      <c r="G3227" s="6">
        <v>11600</v>
      </c>
      <c r="H3227" s="6" t="s">
        <v>10005</v>
      </c>
      <c r="I3227" s="6">
        <v>64</v>
      </c>
      <c r="J3227" s="6" t="s">
        <v>23</v>
      </c>
      <c r="K3227" s="6" t="s">
        <v>24</v>
      </c>
      <c r="L3227" s="6">
        <v>17000000</v>
      </c>
      <c r="M3227" s="6">
        <v>2013</v>
      </c>
      <c r="N3227" s="6">
        <v>6.7</v>
      </c>
      <c r="O3227" s="4">
        <f ca="1">IFERROR(__xludf.DUMMYFUNCTION("IF(Cost_in_dollars!E3227=""USD"",Cost_in_dollars!B3227,Cost_in_dollars!B3227 * GOOGLEFINANCE(""CURRENCY:"" &amp; Cost_in_dollars!E3227 &amp; ""USD""))
"),17000000)</f>
        <v>17000000</v>
      </c>
      <c r="P3227" s="4">
        <f ca="1">IFERROR(__xludf.DUMMYFUNCTION("IF(Cost_in_dollars!E3227=""USD"",Cost_in_dollars!C3227,Cost_in_dollars!C3227 * GOOGLEFINANCE(""CURRENCY:"" &amp; Cost_in_dollars!E3227 &amp; ""USD""))
"),70492685)</f>
        <v>70492685</v>
      </c>
      <c r="Q3227" s="6">
        <f t="shared" ca="1" si="72"/>
        <v>53492685</v>
      </c>
      <c r="R3227" s="7" t="str">
        <f t="shared" si="73"/>
        <v>The Best Man Holiday</v>
      </c>
      <c r="S3227" s="43" t="str">
        <f t="shared" si="76"/>
        <v>Comedy</v>
      </c>
    </row>
    <row r="3228" spans="1:19" ht="15.75" customHeight="1" x14ac:dyDescent="0.25">
      <c r="A3228" s="4" t="s">
        <v>10006</v>
      </c>
      <c r="B3228" s="4">
        <v>32</v>
      </c>
      <c r="C3228" s="4">
        <v>20400000</v>
      </c>
      <c r="D3228" s="4" t="s">
        <v>448</v>
      </c>
      <c r="E3228" s="4" t="s">
        <v>2661</v>
      </c>
      <c r="F3228" s="4" t="s">
        <v>10007</v>
      </c>
      <c r="G3228" s="4">
        <v>6304</v>
      </c>
      <c r="H3228" s="4" t="s">
        <v>10008</v>
      </c>
      <c r="I3228" s="4">
        <v>87</v>
      </c>
      <c r="J3228" s="4" t="s">
        <v>23</v>
      </c>
      <c r="K3228" s="4" t="s">
        <v>24</v>
      </c>
      <c r="L3228" s="4">
        <v>8000000</v>
      </c>
      <c r="M3228" s="4">
        <v>1946</v>
      </c>
      <c r="N3228" s="4">
        <v>6.9</v>
      </c>
      <c r="O3228" s="4">
        <f ca="1">IFERROR(__xludf.DUMMYFUNCTION("IF(Cost_in_dollars!E3228=""USD"",Cost_in_dollars!B3228,Cost_in_dollars!B3228 * GOOGLEFINANCE(""CURRENCY:"" &amp; Cost_in_dollars!E3228 &amp; ""USD""))
"),8000000)</f>
        <v>8000000</v>
      </c>
      <c r="P3228" s="4">
        <f ca="1">IFERROR(__xludf.DUMMYFUNCTION("IF(Cost_in_dollars!E3228=""USD"",Cost_in_dollars!C3228,Cost_in_dollars!C3228 * GOOGLEFINANCE(""CURRENCY:"" &amp; Cost_in_dollars!E3228 &amp; ""USD""))
"),20400000)</f>
        <v>20400000</v>
      </c>
      <c r="Q3228" s="4">
        <f t="shared" ca="1" si="72"/>
        <v>12400000</v>
      </c>
      <c r="R3228" s="5" t="str">
        <f t="shared" si="73"/>
        <v>Duel in the Sun</v>
      </c>
      <c r="S3228" s="43" t="str">
        <f t="shared" si="76"/>
        <v>Drama</v>
      </c>
    </row>
    <row r="3229" spans="1:19" ht="15.75" customHeight="1" x14ac:dyDescent="0.25">
      <c r="A3229" s="6" t="s">
        <v>10009</v>
      </c>
      <c r="B3229" s="6">
        <v>168</v>
      </c>
      <c r="C3229" s="6">
        <v>71500556</v>
      </c>
      <c r="D3229" s="6" t="s">
        <v>162</v>
      </c>
      <c r="E3229" s="6" t="s">
        <v>545</v>
      </c>
      <c r="F3229" s="6" t="s">
        <v>10010</v>
      </c>
      <c r="G3229" s="6">
        <v>171568</v>
      </c>
      <c r="H3229" s="6" t="s">
        <v>10011</v>
      </c>
      <c r="I3229" s="6">
        <v>571</v>
      </c>
      <c r="J3229" s="6" t="s">
        <v>23</v>
      </c>
      <c r="K3229" s="6" t="s">
        <v>133</v>
      </c>
      <c r="L3229" s="6">
        <v>26000000</v>
      </c>
      <c r="M3229" s="6">
        <v>2001</v>
      </c>
      <c r="N3229" s="6">
        <v>6.7</v>
      </c>
      <c r="O3229" s="4">
        <f ca="1">IFERROR(__xludf.DUMMYFUNCTION("IF(Cost_in_dollars!E3229=""USD"",Cost_in_dollars!B3229,Cost_in_dollars!B3229 * GOOGLEFINANCE(""CURRENCY:"" &amp; Cost_in_dollars!E3229 &amp; ""USD""))
"),33420399.9999999)</f>
        <v>33420399.999999899</v>
      </c>
      <c r="P3229" s="4">
        <f ca="1">IFERROR(__xludf.DUMMYFUNCTION("IF(Cost_in_dollars!E3229=""USD"",Cost_in_dollars!C3229,Cost_in_dollars!C3229 * GOOGLEFINANCE(""CURRENCY:"" &amp; Cost_in_dollars!E3229 &amp; ""USD""))
"),91906814.6823999)</f>
        <v>91906814.682399899</v>
      </c>
      <c r="Q3229" s="6">
        <f t="shared" ca="1" si="72"/>
        <v>58486414.682400003</v>
      </c>
      <c r="R3229" s="7" t="str">
        <f t="shared" si="73"/>
        <v>Bridget Jones's Diary</v>
      </c>
      <c r="S3229" s="43" t="str">
        <f t="shared" si="76"/>
        <v>Comedy</v>
      </c>
    </row>
    <row r="3230" spans="1:19" ht="15.75" customHeight="1" x14ac:dyDescent="0.25">
      <c r="A3230" s="4" t="s">
        <v>539</v>
      </c>
      <c r="B3230" s="4">
        <v>198</v>
      </c>
      <c r="C3230" s="4">
        <v>210609762</v>
      </c>
      <c r="D3230" s="4" t="s">
        <v>649</v>
      </c>
      <c r="E3230" s="4" t="s">
        <v>3594</v>
      </c>
      <c r="F3230" s="4" t="s">
        <v>10012</v>
      </c>
      <c r="G3230" s="4">
        <v>732212</v>
      </c>
      <c r="H3230" s="4" t="s">
        <v>10013</v>
      </c>
      <c r="I3230" s="4">
        <v>809</v>
      </c>
      <c r="J3230" s="4" t="s">
        <v>23</v>
      </c>
      <c r="K3230" s="4" t="s">
        <v>24</v>
      </c>
      <c r="L3230" s="4">
        <v>19000000</v>
      </c>
      <c r="M3230" s="4">
        <v>1985</v>
      </c>
      <c r="N3230" s="4">
        <v>8.5</v>
      </c>
      <c r="O3230" s="4">
        <f ca="1">IFERROR(__xludf.DUMMYFUNCTION("IF(Cost_in_dollars!E3230=""USD"",Cost_in_dollars!B3230,Cost_in_dollars!B3230 * GOOGLEFINANCE(""CURRENCY:"" &amp; Cost_in_dollars!E3230 &amp; ""USD""))
"),19000000)</f>
        <v>19000000</v>
      </c>
      <c r="P3230" s="4">
        <f ca="1">IFERROR(__xludf.DUMMYFUNCTION("IF(Cost_in_dollars!E3230=""USD"",Cost_in_dollars!C3230,Cost_in_dollars!C3230 * GOOGLEFINANCE(""CURRENCY:"" &amp; Cost_in_dollars!E3230 &amp; ""USD""))
"),210609762)</f>
        <v>210609762</v>
      </c>
      <c r="Q3230" s="4">
        <f t="shared" ca="1" si="72"/>
        <v>191609762</v>
      </c>
      <c r="R3230" s="5" t="str">
        <f t="shared" si="73"/>
        <v>Back to the Future</v>
      </c>
      <c r="S3230" s="43" t="str">
        <f t="shared" si="76"/>
        <v>Adventure</v>
      </c>
    </row>
    <row r="3231" spans="1:19" ht="15.75" customHeight="1" x14ac:dyDescent="0.25">
      <c r="A3231" s="6" t="s">
        <v>10014</v>
      </c>
      <c r="B3231" s="6">
        <v>27</v>
      </c>
      <c r="C3231" s="6">
        <v>124720</v>
      </c>
      <c r="D3231" s="6" t="s">
        <v>235</v>
      </c>
      <c r="E3231" s="6" t="s">
        <v>2682</v>
      </c>
      <c r="F3231" s="6" t="s">
        <v>10015</v>
      </c>
      <c r="G3231" s="6">
        <v>1560</v>
      </c>
      <c r="H3231" s="6" t="s">
        <v>10016</v>
      </c>
      <c r="I3231" s="6">
        <v>15</v>
      </c>
      <c r="J3231" s="6" t="s">
        <v>23</v>
      </c>
      <c r="K3231" s="6" t="s">
        <v>24</v>
      </c>
      <c r="L3231" s="6">
        <v>5000000</v>
      </c>
      <c r="M3231" s="6">
        <v>2008</v>
      </c>
      <c r="N3231" s="6">
        <v>7.3</v>
      </c>
      <c r="O3231" s="4">
        <f ca="1">IFERROR(__xludf.DUMMYFUNCTION("IF(Cost_in_dollars!E3231=""USD"",Cost_in_dollars!B3231,Cost_in_dollars!B3231 * GOOGLEFINANCE(""CURRENCY:"" &amp; Cost_in_dollars!E3231 &amp; ""USD""))
"),5000000)</f>
        <v>5000000</v>
      </c>
      <c r="P3231" s="4">
        <f ca="1">IFERROR(__xludf.DUMMYFUNCTION("IF(Cost_in_dollars!E3231=""USD"",Cost_in_dollars!C3231,Cost_in_dollars!C3231 * GOOGLEFINANCE(""CURRENCY:"" &amp; Cost_in_dollars!E3231 &amp; ""USD""))
"),124720)</f>
        <v>124720</v>
      </c>
      <c r="Q3231" s="6">
        <f t="shared" ca="1" si="72"/>
        <v>-4875280</v>
      </c>
      <c r="R3231" s="7" t="str">
        <f t="shared" si="73"/>
        <v>Lovely, Still</v>
      </c>
      <c r="S3231" s="43" t="str">
        <f t="shared" si="76"/>
        <v>Drama</v>
      </c>
    </row>
    <row r="3232" spans="1:19" ht="15.75" customHeight="1" x14ac:dyDescent="0.25">
      <c r="A3232" s="4" t="s">
        <v>10017</v>
      </c>
      <c r="B3232" s="4">
        <v>147</v>
      </c>
      <c r="C3232" s="4">
        <v>162495848</v>
      </c>
      <c r="D3232" s="4" t="s">
        <v>304</v>
      </c>
      <c r="E3232" s="4" t="s">
        <v>10018</v>
      </c>
      <c r="F3232" s="4" t="s">
        <v>10019</v>
      </c>
      <c r="G3232" s="4">
        <v>34359</v>
      </c>
      <c r="H3232" s="4" t="s">
        <v>10020</v>
      </c>
      <c r="I3232" s="4">
        <v>133</v>
      </c>
      <c r="J3232" s="4" t="s">
        <v>23</v>
      </c>
      <c r="K3232" s="4" t="s">
        <v>24</v>
      </c>
      <c r="L3232" s="4">
        <v>74000000</v>
      </c>
      <c r="M3232" s="4">
        <v>2015</v>
      </c>
      <c r="N3232" s="4">
        <v>6</v>
      </c>
      <c r="O3232" s="4">
        <f ca="1">IFERROR(__xludf.DUMMYFUNCTION("IF(Cost_in_dollars!E3232=""USD"",Cost_in_dollars!B3232,Cost_in_dollars!B3232 * GOOGLEFINANCE(""CURRENCY:"" &amp; Cost_in_dollars!E3232 &amp; ""USD""))
"),74000000)</f>
        <v>74000000</v>
      </c>
      <c r="P3232" s="4">
        <f ca="1">IFERROR(__xludf.DUMMYFUNCTION("IF(Cost_in_dollars!E3232=""USD"",Cost_in_dollars!C3232,Cost_in_dollars!C3232 * GOOGLEFINANCE(""CURRENCY:"" &amp; Cost_in_dollars!E3232 &amp; ""USD""))
"),162495848)</f>
        <v>162495848</v>
      </c>
      <c r="Q3232" s="4">
        <f t="shared" ca="1" si="72"/>
        <v>88495848</v>
      </c>
      <c r="R3232" s="5" t="str">
        <f t="shared" si="73"/>
        <v>The SpongeBob Movie: Sponge Out of Water</v>
      </c>
      <c r="S3232" s="43" t="str">
        <f t="shared" si="76"/>
        <v>Adventure</v>
      </c>
    </row>
    <row r="3233" spans="1:19" ht="15.75" customHeight="1" x14ac:dyDescent="0.25">
      <c r="A3233" s="6" t="s">
        <v>10021</v>
      </c>
      <c r="B3233" s="6">
        <v>148</v>
      </c>
      <c r="C3233" s="6">
        <v>17016190</v>
      </c>
      <c r="D3233" s="6" t="s">
        <v>2340</v>
      </c>
      <c r="E3233" s="6" t="s">
        <v>6484</v>
      </c>
      <c r="F3233" s="6" t="s">
        <v>10022</v>
      </c>
      <c r="G3233" s="6">
        <v>28632</v>
      </c>
      <c r="H3233" s="6" t="s">
        <v>10023</v>
      </c>
      <c r="I3233" s="6">
        <v>214</v>
      </c>
      <c r="J3233" s="6" t="s">
        <v>23</v>
      </c>
      <c r="K3233" s="6" t="s">
        <v>10024</v>
      </c>
      <c r="L3233" s="6">
        <v>12000000</v>
      </c>
      <c r="M3233" s="6">
        <v>2004</v>
      </c>
      <c r="N3233" s="6">
        <v>4.9000000000000004</v>
      </c>
      <c r="O3233" s="4">
        <f ca="1">IFERROR(__xludf.DUMMYFUNCTION("IF(Cost_in_dollars!E3233=""USD"",Cost_in_dollars!B3233,Cost_in_dollars!B3233 * GOOGLEFINANCE(""CURRENCY:"" &amp; Cost_in_dollars!E3233 &amp; ""USD""))
"),2619690)</f>
        <v>2619690</v>
      </c>
      <c r="P3233" s="4">
        <f ca="1">IFERROR(__xludf.DUMMYFUNCTION("IF(Cost_in_dollars!E3233=""USD"",Cost_in_dollars!C3233,Cost_in_dollars!C3233 * GOOGLEFINANCE(""CURRENCY:"" &amp; Cost_in_dollars!E3233 &amp; ""USD""))
"),3714761.898425)</f>
        <v>3714761.8984249998</v>
      </c>
      <c r="Q3233" s="6">
        <f t="shared" ca="1" si="72"/>
        <v>1095071.8984249998</v>
      </c>
      <c r="R3233" s="7" t="str">
        <f t="shared" si="73"/>
        <v>Seed of Chucky</v>
      </c>
      <c r="S3233" s="43" t="str">
        <f t="shared" si="76"/>
        <v>Comedy</v>
      </c>
    </row>
    <row r="3234" spans="1:19" ht="15.75" customHeight="1" x14ac:dyDescent="0.25">
      <c r="A3234" s="4" t="s">
        <v>5078</v>
      </c>
      <c r="B3234" s="4">
        <v>45</v>
      </c>
      <c r="C3234" s="4">
        <v>2275557</v>
      </c>
      <c r="D3234" s="4" t="s">
        <v>793</v>
      </c>
      <c r="E3234" s="4" t="s">
        <v>146</v>
      </c>
      <c r="F3234" s="4" t="s">
        <v>10025</v>
      </c>
      <c r="G3234" s="4">
        <v>12561</v>
      </c>
      <c r="H3234" s="4" t="s">
        <v>10026</v>
      </c>
      <c r="I3234" s="4">
        <v>102</v>
      </c>
      <c r="J3234" s="4" t="s">
        <v>23</v>
      </c>
      <c r="K3234" s="4" t="s">
        <v>24</v>
      </c>
      <c r="L3234" s="4">
        <v>8000000</v>
      </c>
      <c r="M3234" s="4">
        <v>1991</v>
      </c>
      <c r="N3234" s="4">
        <v>6</v>
      </c>
      <c r="O3234" s="4">
        <f ca="1">IFERROR(__xludf.DUMMYFUNCTION("IF(Cost_in_dollars!E3234=""USD"",Cost_in_dollars!B3234,Cost_in_dollars!B3234 * GOOGLEFINANCE(""CURRENCY:"" &amp; Cost_in_dollars!E3234 &amp; ""USD""))
"),8000000)</f>
        <v>8000000</v>
      </c>
      <c r="P3234" s="4">
        <f ca="1">IFERROR(__xludf.DUMMYFUNCTION("IF(Cost_in_dollars!E3234=""USD"",Cost_in_dollars!C3234,Cost_in_dollars!C3234 * GOOGLEFINANCE(""CURRENCY:"" &amp; Cost_in_dollars!E3234 &amp; ""USD""))
"),2275557)</f>
        <v>2275557</v>
      </c>
      <c r="Q3234" s="4">
        <f t="shared" ca="1" si="72"/>
        <v>-5724443</v>
      </c>
      <c r="R3234" s="5" t="str">
        <f t="shared" si="73"/>
        <v>Showdown in Little Tokyo</v>
      </c>
      <c r="S3234" s="43" t="str">
        <f t="shared" si="76"/>
        <v>Action</v>
      </c>
    </row>
    <row r="3235" spans="1:19" ht="15.75" customHeight="1" x14ac:dyDescent="0.25">
      <c r="A3235" s="6" t="s">
        <v>2350</v>
      </c>
      <c r="B3235" s="6">
        <v>160</v>
      </c>
      <c r="C3235" s="6">
        <v>70117571</v>
      </c>
      <c r="D3235" s="6" t="s">
        <v>797</v>
      </c>
      <c r="E3235" s="6" t="s">
        <v>6876</v>
      </c>
      <c r="F3235" s="6" t="s">
        <v>10027</v>
      </c>
      <c r="G3235" s="6">
        <v>56741</v>
      </c>
      <c r="H3235" s="6" t="s">
        <v>10028</v>
      </c>
      <c r="I3235" s="6">
        <v>515</v>
      </c>
      <c r="J3235" s="6" t="s">
        <v>23</v>
      </c>
      <c r="K3235" s="6" t="s">
        <v>24</v>
      </c>
      <c r="L3235" s="6">
        <v>58000000</v>
      </c>
      <c r="M3235" s="6">
        <v>1998</v>
      </c>
      <c r="N3235" s="6">
        <v>6.4</v>
      </c>
      <c r="O3235" s="4">
        <f ca="1">IFERROR(__xludf.DUMMYFUNCTION("IF(Cost_in_dollars!E3235=""USD"",Cost_in_dollars!B3235,Cost_in_dollars!B3235 * GOOGLEFINANCE(""CURRENCY:"" &amp; Cost_in_dollars!E3235 &amp; ""USD""))
"),58000000)</f>
        <v>58000000</v>
      </c>
      <c r="P3235" s="4">
        <f ca="1">IFERROR(__xludf.DUMMYFUNCTION("IF(Cost_in_dollars!E3235=""USD"",Cost_in_dollars!C3235,Cost_in_dollars!C3235 * GOOGLEFINANCE(""CURRENCY:"" &amp; Cost_in_dollars!E3235 &amp; ""USD""))
"),70117571)</f>
        <v>70117571</v>
      </c>
      <c r="Q3235" s="6">
        <f t="shared" ca="1" si="72"/>
        <v>12117571</v>
      </c>
      <c r="R3235" s="7" t="str">
        <f t="shared" si="73"/>
        <v>Star Trek: Insurrection</v>
      </c>
      <c r="S3235" s="43" t="str">
        <f t="shared" si="76"/>
        <v>Action</v>
      </c>
    </row>
    <row r="3236" spans="1:19" ht="15.75" customHeight="1" x14ac:dyDescent="0.25">
      <c r="A3236" s="4" t="s">
        <v>5644</v>
      </c>
      <c r="B3236" s="4">
        <v>116</v>
      </c>
      <c r="C3236" s="4">
        <v>36020063</v>
      </c>
      <c r="D3236" s="4" t="s">
        <v>372</v>
      </c>
      <c r="E3236" s="4" t="s">
        <v>10029</v>
      </c>
      <c r="F3236" s="4" t="s">
        <v>10030</v>
      </c>
      <c r="G3236" s="4">
        <v>62584</v>
      </c>
      <c r="H3236" s="4" t="s">
        <v>10031</v>
      </c>
      <c r="I3236" s="4">
        <v>375</v>
      </c>
      <c r="J3236" s="4" t="s">
        <v>23</v>
      </c>
      <c r="K3236" s="4" t="s">
        <v>24</v>
      </c>
      <c r="L3236" s="4">
        <v>22000000</v>
      </c>
      <c r="M3236" s="4">
        <v>2005</v>
      </c>
      <c r="N3236" s="4">
        <v>6.6</v>
      </c>
      <c r="O3236" s="4">
        <f ca="1">IFERROR(__xludf.DUMMYFUNCTION("IF(Cost_in_dollars!E3236=""USD"",Cost_in_dollars!B3236,Cost_in_dollars!B3236 * GOOGLEFINANCE(""CURRENCY:"" &amp; Cost_in_dollars!E3236 &amp; ""USD""))
"),22000000)</f>
        <v>22000000</v>
      </c>
      <c r="P3236" s="4">
        <f ca="1">IFERROR(__xludf.DUMMYFUNCTION("IF(Cost_in_dollars!E3236=""USD"",Cost_in_dollars!C3236,Cost_in_dollars!C3236 * GOOGLEFINANCE(""CURRENCY:"" &amp; Cost_in_dollars!E3236 &amp; ""USD""))
"),36020063)</f>
        <v>36020063</v>
      </c>
      <c r="Q3236" s="4">
        <f t="shared" ca="1" si="72"/>
        <v>14020063</v>
      </c>
      <c r="R3236" s="5" t="str">
        <f t="shared" si="73"/>
        <v>Derailed</v>
      </c>
      <c r="S3236" s="43" t="str">
        <f t="shared" si="76"/>
        <v>Drama</v>
      </c>
    </row>
    <row r="3237" spans="1:19" ht="15.75" customHeight="1" x14ac:dyDescent="0.25">
      <c r="A3237" s="6" t="s">
        <v>10032</v>
      </c>
      <c r="B3237" s="6">
        <v>59</v>
      </c>
      <c r="C3237" s="6">
        <v>28501605</v>
      </c>
      <c r="D3237" s="6" t="s">
        <v>1242</v>
      </c>
      <c r="E3237" s="6" t="s">
        <v>10033</v>
      </c>
      <c r="F3237" s="6" t="s">
        <v>10034</v>
      </c>
      <c r="G3237" s="6">
        <v>31371</v>
      </c>
      <c r="H3237" s="6" t="s">
        <v>10035</v>
      </c>
      <c r="I3237" s="6">
        <v>166</v>
      </c>
      <c r="J3237" s="6" t="s">
        <v>23</v>
      </c>
      <c r="K3237" s="6" t="s">
        <v>24</v>
      </c>
      <c r="L3237" s="6">
        <v>13000000</v>
      </c>
      <c r="M3237" s="6">
        <v>1990</v>
      </c>
      <c r="N3237" s="6">
        <v>5.7</v>
      </c>
      <c r="O3237" s="4">
        <f ca="1">IFERROR(__xludf.DUMMYFUNCTION("IF(Cost_in_dollars!E3237=""USD"",Cost_in_dollars!B3237,Cost_in_dollars!B3237 * GOOGLEFINANCE(""CURRENCY:"" &amp; Cost_in_dollars!E3237 &amp; ""USD""))
"),13000000)</f>
        <v>13000000</v>
      </c>
      <c r="P3237" s="4">
        <f ca="1">IFERROR(__xludf.DUMMYFUNCTION("IF(Cost_in_dollars!E3237=""USD"",Cost_in_dollars!C3237,Cost_in_dollars!C3237 * GOOGLEFINANCE(""CURRENCY:"" &amp; Cost_in_dollars!E3237 &amp; ""USD""))
"),28501605)</f>
        <v>28501605</v>
      </c>
      <c r="Q3237" s="6">
        <f t="shared" ca="1" si="72"/>
        <v>15501605</v>
      </c>
      <c r="R3237" s="7" t="str">
        <f t="shared" si="73"/>
        <v>Child's Play 2</v>
      </c>
      <c r="S3237" s="43" t="str">
        <f t="shared" si="76"/>
        <v>Fantasy</v>
      </c>
    </row>
    <row r="3238" spans="1:19" ht="15.75" customHeight="1" x14ac:dyDescent="0.25">
      <c r="A3238" s="4" t="s">
        <v>1357</v>
      </c>
      <c r="B3238" s="4">
        <v>341</v>
      </c>
      <c r="C3238" s="4">
        <v>53082743</v>
      </c>
      <c r="D3238" s="4" t="s">
        <v>1608</v>
      </c>
      <c r="E3238" s="4" t="s">
        <v>1595</v>
      </c>
      <c r="F3238" s="4" t="s">
        <v>10036</v>
      </c>
      <c r="G3238" s="4">
        <v>844052</v>
      </c>
      <c r="H3238" s="4" t="s">
        <v>10037</v>
      </c>
      <c r="I3238" s="4">
        <v>1100</v>
      </c>
      <c r="J3238" s="4" t="s">
        <v>23</v>
      </c>
      <c r="K3238" s="4" t="s">
        <v>24</v>
      </c>
      <c r="L3238" s="4">
        <v>40000000</v>
      </c>
      <c r="M3238" s="4">
        <v>2006</v>
      </c>
      <c r="N3238" s="4">
        <v>8.5</v>
      </c>
      <c r="O3238" s="4">
        <f ca="1">IFERROR(__xludf.DUMMYFUNCTION("IF(Cost_in_dollars!E3238=""USD"",Cost_in_dollars!B3238,Cost_in_dollars!B3238 * GOOGLEFINANCE(""CURRENCY:"" &amp; Cost_in_dollars!E3238 &amp; ""USD""))
"),40000000)</f>
        <v>40000000</v>
      </c>
      <c r="P3238" s="4">
        <f ca="1">IFERROR(__xludf.DUMMYFUNCTION("IF(Cost_in_dollars!E3238=""USD"",Cost_in_dollars!C3238,Cost_in_dollars!C3238 * GOOGLEFINANCE(""CURRENCY:"" &amp; Cost_in_dollars!E3238 &amp; ""USD""))
"),53082743)</f>
        <v>53082743</v>
      </c>
      <c r="Q3238" s="4">
        <f t="shared" ca="1" si="72"/>
        <v>13082743</v>
      </c>
      <c r="R3238" s="5" t="str">
        <f t="shared" si="73"/>
        <v>The Prestige</v>
      </c>
      <c r="S3238" s="43" t="str">
        <f t="shared" si="76"/>
        <v>Drama</v>
      </c>
    </row>
    <row r="3239" spans="1:19" ht="15.75" customHeight="1" x14ac:dyDescent="0.25">
      <c r="A3239" s="6" t="s">
        <v>4278</v>
      </c>
      <c r="B3239" s="6">
        <v>151</v>
      </c>
      <c r="C3239" s="6">
        <v>47592825</v>
      </c>
      <c r="D3239" s="6" t="s">
        <v>1210</v>
      </c>
      <c r="E3239" s="6" t="s">
        <v>49</v>
      </c>
      <c r="F3239" s="6" t="s">
        <v>10038</v>
      </c>
      <c r="G3239" s="6">
        <v>82731</v>
      </c>
      <c r="H3239" s="6" t="s">
        <v>10039</v>
      </c>
      <c r="I3239" s="6">
        <v>255</v>
      </c>
      <c r="J3239" s="6" t="s">
        <v>23</v>
      </c>
      <c r="K3239" s="6" t="s">
        <v>24</v>
      </c>
      <c r="L3239" s="6">
        <v>85000000</v>
      </c>
      <c r="M3239" s="6">
        <v>2003</v>
      </c>
      <c r="N3239" s="6">
        <v>6.7</v>
      </c>
      <c r="O3239" s="4">
        <f ca="1">IFERROR(__xludf.DUMMYFUNCTION("IF(Cost_in_dollars!E3239=""USD"",Cost_in_dollars!B3239,Cost_in_dollars!B3239 * GOOGLEFINANCE(""CURRENCY:"" &amp; Cost_in_dollars!E3239 &amp; ""USD""))
"),85000000)</f>
        <v>85000000</v>
      </c>
      <c r="P3239" s="4">
        <f ca="1">IFERROR(__xludf.DUMMYFUNCTION("IF(Cost_in_dollars!E3239=""USD"",Cost_in_dollars!C3239,Cost_in_dollars!C3239 * GOOGLEFINANCE(""CURRENCY:"" &amp; Cost_in_dollars!E3239 &amp; ""USD""))
"),47592825)</f>
        <v>47592825</v>
      </c>
      <c r="Q3239" s="6">
        <f t="shared" ca="1" si="72"/>
        <v>-37407175</v>
      </c>
      <c r="R3239" s="7" t="str">
        <f t="shared" si="73"/>
        <v>The Rundown</v>
      </c>
      <c r="S3239" s="43" t="str">
        <f t="shared" si="76"/>
        <v>Action</v>
      </c>
    </row>
    <row r="3240" spans="1:19" ht="15.75" customHeight="1" x14ac:dyDescent="0.25">
      <c r="A3240" s="4" t="s">
        <v>10040</v>
      </c>
      <c r="B3240" s="4">
        <v>35</v>
      </c>
      <c r="C3240" s="4">
        <v>3123749</v>
      </c>
      <c r="D3240" s="4" t="s">
        <v>88</v>
      </c>
      <c r="E3240" s="4" t="s">
        <v>10041</v>
      </c>
      <c r="F3240" s="4" t="s">
        <v>10042</v>
      </c>
      <c r="G3240" s="4">
        <v>746</v>
      </c>
      <c r="H3240" s="4" t="s">
        <v>10043</v>
      </c>
      <c r="I3240" s="4">
        <v>27</v>
      </c>
      <c r="J3240" s="4" t="s">
        <v>23</v>
      </c>
      <c r="K3240" s="4" t="s">
        <v>24</v>
      </c>
      <c r="L3240" s="4">
        <v>1500000</v>
      </c>
      <c r="M3240" s="4">
        <v>2005</v>
      </c>
      <c r="N3240" s="4">
        <v>6.5</v>
      </c>
      <c r="O3240" s="4">
        <f ca="1">IFERROR(__xludf.DUMMYFUNCTION("IF(Cost_in_dollars!E3240=""USD"",Cost_in_dollars!B3240,Cost_in_dollars!B3240 * GOOGLEFINANCE(""CURRENCY:"" &amp; Cost_in_dollars!E3240 &amp; ""USD""))
"),1500000)</f>
        <v>1500000</v>
      </c>
      <c r="P3240" s="4">
        <f ca="1">IFERROR(__xludf.DUMMYFUNCTION("IF(Cost_in_dollars!E3240=""USD"",Cost_in_dollars!C3240,Cost_in_dollars!C3240 * GOOGLEFINANCE(""CURRENCY:"" &amp; Cost_in_dollars!E3240 &amp; ""USD""))
"),3123749)</f>
        <v>3123749</v>
      </c>
      <c r="Q3240" s="4">
        <f t="shared" ca="1" si="72"/>
        <v>1623749</v>
      </c>
      <c r="R3240" s="5" t="str">
        <f t="shared" si="73"/>
        <v>Boynton Beach Club</v>
      </c>
      <c r="S3240" s="43" t="str">
        <f t="shared" si="76"/>
        <v>Comedy</v>
      </c>
    </row>
    <row r="3241" spans="1:19" ht="15.75" customHeight="1" x14ac:dyDescent="0.25">
      <c r="A3241" s="6" t="s">
        <v>1528</v>
      </c>
      <c r="B3241" s="6">
        <v>134</v>
      </c>
      <c r="C3241" s="6">
        <v>537580</v>
      </c>
      <c r="D3241" s="6" t="s">
        <v>6850</v>
      </c>
      <c r="E3241" s="6" t="s">
        <v>833</v>
      </c>
      <c r="F3241" s="6" t="s">
        <v>10044</v>
      </c>
      <c r="G3241" s="6">
        <v>52972</v>
      </c>
      <c r="H3241" s="6" t="s">
        <v>10045</v>
      </c>
      <c r="I3241" s="6">
        <v>124</v>
      </c>
      <c r="J3241" s="6" t="s">
        <v>23</v>
      </c>
      <c r="K3241" s="6" t="s">
        <v>24</v>
      </c>
      <c r="L3241" s="6">
        <v>30000000</v>
      </c>
      <c r="M3241" s="6">
        <v>2011</v>
      </c>
      <c r="N3241" s="6">
        <v>6.8</v>
      </c>
      <c r="O3241" s="4">
        <f ca="1">IFERROR(__xludf.DUMMYFUNCTION("IF(Cost_in_dollars!E3241=""USD"",Cost_in_dollars!B3241,Cost_in_dollars!B3241 * GOOGLEFINANCE(""CURRENCY:"" &amp; Cost_in_dollars!E3241 &amp; ""USD""))
"),30000000)</f>
        <v>30000000</v>
      </c>
      <c r="P3241" s="4">
        <f ca="1">IFERROR(__xludf.DUMMYFUNCTION("IF(Cost_in_dollars!E3241=""USD"",Cost_in_dollars!C3241,Cost_in_dollars!C3241 * GOOGLEFINANCE(""CURRENCY:"" &amp; Cost_in_dollars!E3241 &amp; ""USD""))
"),537580)</f>
        <v>537580</v>
      </c>
      <c r="Q3241" s="6">
        <f t="shared" ca="1" si="72"/>
        <v>-29462420</v>
      </c>
      <c r="R3241" s="7" t="str">
        <f t="shared" si="73"/>
        <v>Machine Gun Preacher</v>
      </c>
      <c r="S3241" s="43" t="str">
        <f t="shared" si="76"/>
        <v>Action</v>
      </c>
    </row>
    <row r="3242" spans="1:19" ht="15.75" customHeight="1" x14ac:dyDescent="0.25">
      <c r="A3242" s="4" t="s">
        <v>5658</v>
      </c>
      <c r="B3242" s="4">
        <v>112</v>
      </c>
      <c r="C3242" s="4">
        <v>90636983</v>
      </c>
      <c r="D3242" s="4" t="s">
        <v>10046</v>
      </c>
      <c r="E3242" s="4" t="s">
        <v>49</v>
      </c>
      <c r="F3242" s="4" t="s">
        <v>10047</v>
      </c>
      <c r="G3242" s="4">
        <v>44021</v>
      </c>
      <c r="H3242" s="4" t="s">
        <v>10048</v>
      </c>
      <c r="I3242" s="4">
        <v>83</v>
      </c>
      <c r="J3242" s="4" t="s">
        <v>23</v>
      </c>
      <c r="K3242" s="4" t="s">
        <v>24</v>
      </c>
      <c r="L3242" s="4">
        <v>22000000</v>
      </c>
      <c r="M3242" s="4">
        <v>2007</v>
      </c>
      <c r="N3242" s="4">
        <v>6.2</v>
      </c>
      <c r="O3242" s="4">
        <f ca="1">IFERROR(__xludf.DUMMYFUNCTION("IF(Cost_in_dollars!E3242=""USD"",Cost_in_dollars!B3242,Cost_in_dollars!B3242 * GOOGLEFINANCE(""CURRENCY:"" &amp; Cost_in_dollars!E3242 &amp; ""USD""))
"),22000000)</f>
        <v>22000000</v>
      </c>
      <c r="P3242" s="4">
        <f ca="1">IFERROR(__xludf.DUMMYFUNCTION("IF(Cost_in_dollars!E3242=""USD"",Cost_in_dollars!C3242,Cost_in_dollars!C3242 * GOOGLEFINANCE(""CURRENCY:"" &amp; Cost_in_dollars!E3242 &amp; ""USD""))
"),90636983)</f>
        <v>90636983</v>
      </c>
      <c r="Q3242" s="4">
        <f t="shared" ca="1" si="72"/>
        <v>68636983</v>
      </c>
      <c r="R3242" s="5" t="str">
        <f t="shared" si="73"/>
        <v>The Game Plan</v>
      </c>
      <c r="S3242" s="43" t="str">
        <f t="shared" si="76"/>
        <v>Comedy</v>
      </c>
    </row>
    <row r="3243" spans="1:19" ht="15.75" customHeight="1" x14ac:dyDescent="0.25">
      <c r="A3243" s="6" t="s">
        <v>280</v>
      </c>
      <c r="B3243" s="6">
        <v>191</v>
      </c>
      <c r="C3243" s="6">
        <v>141204016</v>
      </c>
      <c r="D3243" s="6" t="s">
        <v>477</v>
      </c>
      <c r="E3243" s="6" t="s">
        <v>920</v>
      </c>
      <c r="F3243" s="6" t="s">
        <v>10049</v>
      </c>
      <c r="G3243" s="6">
        <v>142569</v>
      </c>
      <c r="H3243" s="6" t="s">
        <v>10050</v>
      </c>
      <c r="I3243" s="6">
        <v>737</v>
      </c>
      <c r="J3243" s="6" t="s">
        <v>23</v>
      </c>
      <c r="K3243" s="6" t="s">
        <v>24</v>
      </c>
      <c r="L3243" s="6">
        <v>70000000</v>
      </c>
      <c r="M3243" s="6">
        <v>2002</v>
      </c>
      <c r="N3243" s="6">
        <v>5.8</v>
      </c>
      <c r="O3243" s="4">
        <f ca="1">IFERROR(__xludf.DUMMYFUNCTION("IF(Cost_in_dollars!E3243=""USD"",Cost_in_dollars!B3243,Cost_in_dollars!B3243 * GOOGLEFINANCE(""CURRENCY:"" &amp; Cost_in_dollars!E3243 &amp; ""USD""))
"),70000000)</f>
        <v>70000000</v>
      </c>
      <c r="P3243" s="4">
        <f ca="1">IFERROR(__xludf.DUMMYFUNCTION("IF(Cost_in_dollars!E3243=""USD"",Cost_in_dollars!C3243,Cost_in_dollars!C3243 * GOOGLEFINANCE(""CURRENCY:"" &amp; Cost_in_dollars!E3243 &amp; ""USD""))
"),141204016)</f>
        <v>141204016</v>
      </c>
      <c r="Q3243" s="6">
        <f t="shared" ca="1" si="72"/>
        <v>71204016</v>
      </c>
      <c r="R3243" s="7" t="str">
        <f t="shared" si="73"/>
        <v>xXx</v>
      </c>
      <c r="S3243" s="43" t="str">
        <f t="shared" si="76"/>
        <v>Action</v>
      </c>
    </row>
    <row r="3244" spans="1:19" ht="15.75" customHeight="1" x14ac:dyDescent="0.25">
      <c r="A3244" s="4" t="s">
        <v>10051</v>
      </c>
      <c r="B3244" s="4">
        <v>274</v>
      </c>
      <c r="C3244" s="4">
        <v>28637507</v>
      </c>
      <c r="D3244" s="4" t="s">
        <v>4905</v>
      </c>
      <c r="E3244" s="4" t="s">
        <v>483</v>
      </c>
      <c r="F3244" s="4" t="s">
        <v>10052</v>
      </c>
      <c r="G3244" s="4">
        <v>212167</v>
      </c>
      <c r="H3244" s="4" t="s">
        <v>10053</v>
      </c>
      <c r="I3244" s="4">
        <v>713</v>
      </c>
      <c r="J3244" s="4" t="s">
        <v>23</v>
      </c>
      <c r="K3244" s="4" t="s">
        <v>133</v>
      </c>
      <c r="L3244" s="4">
        <v>15000000</v>
      </c>
      <c r="M3244" s="4">
        <v>2007</v>
      </c>
      <c r="N3244" s="4">
        <v>7</v>
      </c>
      <c r="O3244" s="4">
        <f ca="1">IFERROR(__xludf.DUMMYFUNCTION("IF(Cost_in_dollars!E3244=""USD"",Cost_in_dollars!B3244,Cost_in_dollars!B3244 * GOOGLEFINANCE(""CURRENCY:"" &amp; Cost_in_dollars!E3244 &amp; ""USD""))
"),19281000)</f>
        <v>19281000</v>
      </c>
      <c r="P3244" s="4">
        <f ca="1">IFERROR(__xludf.DUMMYFUNCTION("IF(Cost_in_dollars!E3244=""USD"",Cost_in_dollars!C3244,Cost_in_dollars!C3244 * GOOGLEFINANCE(""CURRENCY:"" &amp; Cost_in_dollars!E3244 &amp; ""USD""))
"),36810651.4978)</f>
        <v>36810651.4978</v>
      </c>
      <c r="Q3244" s="4">
        <f t="shared" ca="1" si="72"/>
        <v>17529651.4978</v>
      </c>
      <c r="R3244" s="5" t="str">
        <f t="shared" si="73"/>
        <v>28 Weeks Later</v>
      </c>
      <c r="S3244" s="43" t="str">
        <f t="shared" si="76"/>
        <v>Drama</v>
      </c>
    </row>
    <row r="3245" spans="1:19" ht="15.75" customHeight="1" x14ac:dyDescent="0.25">
      <c r="A3245" s="6" t="s">
        <v>3127</v>
      </c>
      <c r="B3245" s="6">
        <v>44</v>
      </c>
      <c r="C3245" s="6">
        <v>1055654</v>
      </c>
      <c r="D3245" s="6" t="s">
        <v>6115</v>
      </c>
      <c r="E3245" s="6" t="s">
        <v>10054</v>
      </c>
      <c r="F3245" s="6" t="s">
        <v>10055</v>
      </c>
      <c r="G3245" s="6">
        <v>20426</v>
      </c>
      <c r="H3245" s="6" t="s">
        <v>10056</v>
      </c>
      <c r="I3245" s="6">
        <v>175</v>
      </c>
      <c r="J3245" s="6" t="s">
        <v>23</v>
      </c>
      <c r="K3245" s="6" t="s">
        <v>176</v>
      </c>
      <c r="L3245" s="6">
        <v>10000000</v>
      </c>
      <c r="M3245" s="6">
        <v>2006</v>
      </c>
      <c r="N3245" s="6">
        <v>7.3</v>
      </c>
      <c r="O3245" s="4">
        <f ca="1">IFERROR(__xludf.DUMMYFUNCTION("IF(Cost_in_dollars!E3245=""USD"",Cost_in_dollars!B3245,Cost_in_dollars!B3245 * GOOGLEFINANCE(""CURRENCY:"" &amp; Cost_in_dollars!E3245 &amp; ""USD""))
"),10847400)</f>
        <v>10847400</v>
      </c>
      <c r="P3245" s="4">
        <f ca="1">IFERROR(__xludf.DUMMYFUNCTION("IF(Cost_in_dollars!E3245=""USD"",Cost_in_dollars!C3245,Cost_in_dollars!C3245 * GOOGLEFINANCE(""CURRENCY:"" &amp; Cost_in_dollars!E3245 &amp; ""USD""))
"),1145110.11996)</f>
        <v>1145110.11996</v>
      </c>
      <c r="Q3245" s="6">
        <f t="shared" ca="1" si="72"/>
        <v>-9702289.8800399993</v>
      </c>
      <c r="R3245" s="7" t="str">
        <f t="shared" si="73"/>
        <v>Peaceful Warrior</v>
      </c>
      <c r="S3245" s="43" t="str">
        <f t="shared" si="76"/>
        <v>Drama</v>
      </c>
    </row>
    <row r="3246" spans="1:19" ht="15.75" customHeight="1" x14ac:dyDescent="0.25">
      <c r="A3246" s="4" t="s">
        <v>10057</v>
      </c>
      <c r="B3246" s="4">
        <v>109</v>
      </c>
      <c r="C3246" s="4">
        <v>58214</v>
      </c>
      <c r="D3246" s="4" t="s">
        <v>116</v>
      </c>
      <c r="E3246" s="4" t="s">
        <v>10058</v>
      </c>
      <c r="F3246" s="4" t="s">
        <v>10059</v>
      </c>
      <c r="G3246" s="4">
        <v>34224</v>
      </c>
      <c r="H3246" s="4" t="s">
        <v>10060</v>
      </c>
      <c r="I3246" s="4">
        <v>137</v>
      </c>
      <c r="J3246" s="4" t="s">
        <v>23</v>
      </c>
      <c r="K3246" s="4" t="s">
        <v>24</v>
      </c>
      <c r="L3246" s="4">
        <v>9500000</v>
      </c>
      <c r="M3246" s="4">
        <v>2010</v>
      </c>
      <c r="N3246" s="4">
        <v>7</v>
      </c>
      <c r="O3246" s="4">
        <f ca="1">IFERROR(__xludf.DUMMYFUNCTION("IF(Cost_in_dollars!E3246=""USD"",Cost_in_dollars!B3246,Cost_in_dollars!B3246 * GOOGLEFINANCE(""CURRENCY:"" &amp; Cost_in_dollars!E3246 &amp; ""USD""))
"),9500000)</f>
        <v>9500000</v>
      </c>
      <c r="P3246" s="4">
        <f ca="1">IFERROR(__xludf.DUMMYFUNCTION("IF(Cost_in_dollars!E3246=""USD"",Cost_in_dollars!C3246,Cost_in_dollars!C3246 * GOOGLEFINANCE(""CURRENCY:"" &amp; Cost_in_dollars!E3246 &amp; ""USD""))
"),58214)</f>
        <v>58214</v>
      </c>
      <c r="Q3246" s="4">
        <f t="shared" ca="1" si="72"/>
        <v>-9441786</v>
      </c>
      <c r="R3246" s="5" t="str">
        <f t="shared" si="73"/>
        <v>Trust</v>
      </c>
      <c r="S3246" s="43" t="str">
        <f t="shared" si="76"/>
        <v>Crime</v>
      </c>
    </row>
    <row r="3247" spans="1:19" ht="15.75" customHeight="1" x14ac:dyDescent="0.25">
      <c r="A3247" s="6" t="s">
        <v>221</v>
      </c>
      <c r="B3247" s="6">
        <v>131</v>
      </c>
      <c r="C3247" s="6">
        <v>44886089</v>
      </c>
      <c r="D3247" s="6" t="s">
        <v>116</v>
      </c>
      <c r="E3247" s="6" t="s">
        <v>886</v>
      </c>
      <c r="F3247" s="6" t="s">
        <v>10061</v>
      </c>
      <c r="G3247" s="6">
        <v>69576</v>
      </c>
      <c r="H3247" s="6" t="s">
        <v>10062</v>
      </c>
      <c r="I3247" s="6">
        <v>207</v>
      </c>
      <c r="J3247" s="6" t="s">
        <v>23</v>
      </c>
      <c r="K3247" s="6" t="s">
        <v>24</v>
      </c>
      <c r="L3247" s="6">
        <v>10000000</v>
      </c>
      <c r="M3247" s="6">
        <v>1997</v>
      </c>
      <c r="N3247" s="6">
        <v>6.9</v>
      </c>
      <c r="O3247" s="4">
        <f ca="1">IFERROR(__xludf.DUMMYFUNCTION("IF(Cost_in_dollars!E3247=""USD"",Cost_in_dollars!B3247,Cost_in_dollars!B3247 * GOOGLEFINANCE(""CURRENCY:"" &amp; Cost_in_dollars!E3247 &amp; ""USD""))
"),10000000)</f>
        <v>10000000</v>
      </c>
      <c r="P3247" s="4">
        <f ca="1">IFERROR(__xludf.DUMMYFUNCTION("IF(Cost_in_dollars!E3247=""USD"",Cost_in_dollars!C3247,Cost_in_dollars!C3247 * GOOGLEFINANCE(""CURRENCY:"" &amp; Cost_in_dollars!E3247 &amp; ""USD""))
"),44886089)</f>
        <v>44886089</v>
      </c>
      <c r="Q3247" s="6">
        <f t="shared" ca="1" si="72"/>
        <v>34886089</v>
      </c>
      <c r="R3247" s="7" t="str">
        <f t="shared" si="73"/>
        <v>Cop Land</v>
      </c>
      <c r="S3247" s="43" t="str">
        <f t="shared" si="76"/>
        <v>Crime</v>
      </c>
    </row>
    <row r="3248" spans="1:19" ht="15.75" customHeight="1" x14ac:dyDescent="0.25">
      <c r="A3248" s="4" t="s">
        <v>2203</v>
      </c>
      <c r="B3248" s="4">
        <v>308</v>
      </c>
      <c r="C3248" s="4">
        <v>110416702</v>
      </c>
      <c r="D3248" s="4" t="s">
        <v>971</v>
      </c>
      <c r="E3248" s="4" t="s">
        <v>330</v>
      </c>
      <c r="F3248" s="4" t="s">
        <v>10063</v>
      </c>
      <c r="G3248" s="4">
        <v>307539</v>
      </c>
      <c r="H3248" s="4" t="s">
        <v>10064</v>
      </c>
      <c r="I3248" s="4">
        <v>577</v>
      </c>
      <c r="J3248" s="4" t="s">
        <v>23</v>
      </c>
      <c r="K3248" s="4" t="s">
        <v>24</v>
      </c>
      <c r="L3248" s="4">
        <v>92000000</v>
      </c>
      <c r="M3248" s="4">
        <v>2008</v>
      </c>
      <c r="N3248" s="4">
        <v>7</v>
      </c>
      <c r="O3248" s="4">
        <f ca="1">IFERROR(__xludf.DUMMYFUNCTION("IF(Cost_in_dollars!E3248=""USD"",Cost_in_dollars!B3248,Cost_in_dollars!B3248 * GOOGLEFINANCE(""CURRENCY:"" &amp; Cost_in_dollars!E3248 &amp; ""USD""))
"),92000000)</f>
        <v>92000000</v>
      </c>
      <c r="P3248" s="4">
        <f ca="1">IFERROR(__xludf.DUMMYFUNCTION("IF(Cost_in_dollars!E3248=""USD"",Cost_in_dollars!C3248,Cost_in_dollars!C3248 * GOOGLEFINANCE(""CURRENCY:"" &amp; Cost_in_dollars!E3248 &amp; ""USD""))
"),110416702)</f>
        <v>110416702</v>
      </c>
      <c r="Q3248" s="4">
        <f t="shared" ca="1" si="72"/>
        <v>18416702</v>
      </c>
      <c r="R3248" s="5" t="str">
        <f t="shared" si="73"/>
        <v>Tropic Thunder</v>
      </c>
      <c r="S3248" s="43" t="str">
        <f t="shared" si="76"/>
        <v>Action</v>
      </c>
    </row>
    <row r="3249" spans="1:19" ht="15.75" customHeight="1" x14ac:dyDescent="0.25">
      <c r="A3249" s="6" t="s">
        <v>3014</v>
      </c>
      <c r="B3249" s="6">
        <v>37</v>
      </c>
      <c r="C3249" s="6">
        <v>173585516</v>
      </c>
      <c r="D3249" s="6" t="s">
        <v>2722</v>
      </c>
      <c r="E3249" s="6" t="s">
        <v>2093</v>
      </c>
      <c r="F3249" s="6" t="s">
        <v>10065</v>
      </c>
      <c r="G3249" s="6">
        <v>200077</v>
      </c>
      <c r="H3249" s="6" t="s">
        <v>10066</v>
      </c>
      <c r="I3249" s="6">
        <v>189</v>
      </c>
      <c r="J3249" s="6" t="s">
        <v>23</v>
      </c>
      <c r="K3249" s="6" t="s">
        <v>24</v>
      </c>
      <c r="L3249" s="6">
        <v>18000000</v>
      </c>
      <c r="M3249" s="6">
        <v>1992</v>
      </c>
      <c r="N3249" s="6">
        <v>6.6</v>
      </c>
      <c r="O3249" s="4">
        <f ca="1">IFERROR(__xludf.DUMMYFUNCTION("IF(Cost_in_dollars!E3249=""USD"",Cost_in_dollars!B3249,Cost_in_dollars!B3249 * GOOGLEFINANCE(""CURRENCY:"" &amp; Cost_in_dollars!E3249 &amp; ""USD""))
"),18000000)</f>
        <v>18000000</v>
      </c>
      <c r="P3249" s="4">
        <f ca="1">IFERROR(__xludf.DUMMYFUNCTION("IF(Cost_in_dollars!E3249=""USD"",Cost_in_dollars!C3249,Cost_in_dollars!C3249 * GOOGLEFINANCE(""CURRENCY:"" &amp; Cost_in_dollars!E3249 &amp; ""USD""))
"),173585516)</f>
        <v>173585516</v>
      </c>
      <c r="Q3249" s="6">
        <f t="shared" ca="1" si="72"/>
        <v>155585516</v>
      </c>
      <c r="R3249" s="7" t="str">
        <f t="shared" si="73"/>
        <v>Home Alone 2: Lost in New York</v>
      </c>
      <c r="S3249" s="43" t="str">
        <f t="shared" si="76"/>
        <v>Adventure</v>
      </c>
    </row>
    <row r="3250" spans="1:19" ht="15.75" customHeight="1" x14ac:dyDescent="0.25">
      <c r="A3250" s="4" t="s">
        <v>4225</v>
      </c>
      <c r="B3250" s="4">
        <v>121</v>
      </c>
      <c r="C3250" s="4">
        <v>119500000</v>
      </c>
      <c r="D3250" s="4" t="s">
        <v>8191</v>
      </c>
      <c r="E3250" s="4" t="s">
        <v>4226</v>
      </c>
      <c r="F3250" s="4" t="s">
        <v>10067</v>
      </c>
      <c r="G3250" s="4">
        <v>95294</v>
      </c>
      <c r="H3250" s="4" t="s">
        <v>10068</v>
      </c>
      <c r="I3250" s="4">
        <v>363</v>
      </c>
      <c r="J3250" s="4" t="s">
        <v>23</v>
      </c>
      <c r="K3250" s="4" t="s">
        <v>24</v>
      </c>
      <c r="L3250" s="4">
        <v>2600000</v>
      </c>
      <c r="M3250" s="4">
        <v>1974</v>
      </c>
      <c r="N3250" s="4">
        <v>7.8</v>
      </c>
      <c r="O3250" s="4">
        <f ca="1">IFERROR(__xludf.DUMMYFUNCTION("IF(Cost_in_dollars!E3250=""USD"",Cost_in_dollars!B3250,Cost_in_dollars!B3250 * GOOGLEFINANCE(""CURRENCY:"" &amp; Cost_in_dollars!E3250 &amp; ""USD""))
"),2600000)</f>
        <v>2600000</v>
      </c>
      <c r="P3250" s="4">
        <f ca="1">IFERROR(__xludf.DUMMYFUNCTION("IF(Cost_in_dollars!E3250=""USD"",Cost_in_dollars!C3250,Cost_in_dollars!C3250 * GOOGLEFINANCE(""CURRENCY:"" &amp; Cost_in_dollars!E3250 &amp; ""USD""))
"),119500000)</f>
        <v>119500000</v>
      </c>
      <c r="Q3250" s="4">
        <f t="shared" ca="1" si="72"/>
        <v>116900000</v>
      </c>
      <c r="R3250" s="5" t="str">
        <f t="shared" si="73"/>
        <v>Blazing Saddles</v>
      </c>
      <c r="S3250" s="43" t="str">
        <f t="shared" si="76"/>
        <v>Comedy</v>
      </c>
    </row>
    <row r="3251" spans="1:19" ht="15.75" customHeight="1" x14ac:dyDescent="0.25">
      <c r="A3251" s="6" t="s">
        <v>2730</v>
      </c>
      <c r="B3251" s="6">
        <v>208</v>
      </c>
      <c r="C3251" s="6">
        <v>190418803</v>
      </c>
      <c r="D3251" s="6" t="s">
        <v>10069</v>
      </c>
      <c r="E3251" s="6" t="s">
        <v>2732</v>
      </c>
      <c r="F3251" s="6" t="s">
        <v>10070</v>
      </c>
      <c r="G3251" s="6">
        <v>270207</v>
      </c>
      <c r="H3251" s="6" t="s">
        <v>10071</v>
      </c>
      <c r="I3251" s="6">
        <v>606</v>
      </c>
      <c r="J3251" s="6" t="s">
        <v>23</v>
      </c>
      <c r="K3251" s="6" t="s">
        <v>24</v>
      </c>
      <c r="L3251" s="6">
        <v>140000000</v>
      </c>
      <c r="M3251" s="6">
        <v>2002</v>
      </c>
      <c r="N3251" s="6">
        <v>6.1</v>
      </c>
      <c r="O3251" s="4">
        <f ca="1">IFERROR(__xludf.DUMMYFUNCTION("IF(Cost_in_dollars!E3251=""USD"",Cost_in_dollars!B3251,Cost_in_dollars!B3251 * GOOGLEFINANCE(""CURRENCY:"" &amp; Cost_in_dollars!E3251 &amp; ""USD""))
"),140000000)</f>
        <v>140000000</v>
      </c>
      <c r="P3251" s="4">
        <f ca="1">IFERROR(__xludf.DUMMYFUNCTION("IF(Cost_in_dollars!E3251=""USD"",Cost_in_dollars!C3251,Cost_in_dollars!C3251 * GOOGLEFINANCE(""CURRENCY:"" &amp; Cost_in_dollars!E3251 &amp; ""USD""))
"),190418803)</f>
        <v>190418803</v>
      </c>
      <c r="Q3251" s="6">
        <f t="shared" ca="1" si="72"/>
        <v>50418803</v>
      </c>
      <c r="R3251" s="7" t="str">
        <f t="shared" si="73"/>
        <v>Men in Black II</v>
      </c>
      <c r="S3251" s="43" t="str">
        <f t="shared" si="76"/>
        <v>Action</v>
      </c>
    </row>
    <row r="3252" spans="1:19" ht="15.75" customHeight="1" x14ac:dyDescent="0.25">
      <c r="A3252" s="4" t="s">
        <v>9088</v>
      </c>
      <c r="B3252" s="4">
        <v>85</v>
      </c>
      <c r="C3252" s="4">
        <v>52799004</v>
      </c>
      <c r="D3252" s="4" t="s">
        <v>235</v>
      </c>
      <c r="E3252" s="4" t="s">
        <v>236</v>
      </c>
      <c r="F3252" s="4" t="s">
        <v>10072</v>
      </c>
      <c r="G3252" s="4">
        <v>28942</v>
      </c>
      <c r="H3252" s="4" t="s">
        <v>10073</v>
      </c>
      <c r="I3252" s="4">
        <v>223</v>
      </c>
      <c r="J3252" s="4" t="s">
        <v>23</v>
      </c>
      <c r="K3252" s="4" t="s">
        <v>24</v>
      </c>
      <c r="L3252" s="4">
        <v>55000000</v>
      </c>
      <c r="M3252" s="4">
        <v>1999</v>
      </c>
      <c r="N3252" s="4">
        <v>6.1</v>
      </c>
      <c r="O3252" s="4">
        <f ca="1">IFERROR(__xludf.DUMMYFUNCTION("IF(Cost_in_dollars!E3252=""USD"",Cost_in_dollars!B3252,Cost_in_dollars!B3252 * GOOGLEFINANCE(""CURRENCY:"" &amp; Cost_in_dollars!E3252 &amp; ""USD""))
"),55000000)</f>
        <v>55000000</v>
      </c>
      <c r="P3252" s="4">
        <f ca="1">IFERROR(__xludf.DUMMYFUNCTION("IF(Cost_in_dollars!E3252=""USD"",Cost_in_dollars!C3252,Cost_in_dollars!C3252 * GOOGLEFINANCE(""CURRENCY:"" &amp; Cost_in_dollars!E3252 &amp; ""USD""))
"),52799004)</f>
        <v>52799004</v>
      </c>
      <c r="Q3252" s="4">
        <f t="shared" ca="1" si="72"/>
        <v>-2200996</v>
      </c>
      <c r="R3252" s="5" t="str">
        <f t="shared" si="73"/>
        <v>Message in a Bottle</v>
      </c>
      <c r="S3252" s="43" t="str">
        <f t="shared" si="76"/>
        <v>Drama</v>
      </c>
    </row>
    <row r="3253" spans="1:19" ht="15.75" customHeight="1" x14ac:dyDescent="0.25">
      <c r="A3253" s="6" t="s">
        <v>10074</v>
      </c>
      <c r="B3253" s="6">
        <v>176</v>
      </c>
      <c r="C3253" s="6">
        <v>13746550</v>
      </c>
      <c r="D3253" s="6" t="s">
        <v>222</v>
      </c>
      <c r="E3253" s="6" t="s">
        <v>1916</v>
      </c>
      <c r="F3253" s="6" t="s">
        <v>10075</v>
      </c>
      <c r="G3253" s="6">
        <v>29322</v>
      </c>
      <c r="H3253" s="6" t="s">
        <v>10076</v>
      </c>
      <c r="I3253" s="6">
        <v>104</v>
      </c>
      <c r="J3253" s="6" t="s">
        <v>23</v>
      </c>
      <c r="K3253" s="6" t="s">
        <v>24</v>
      </c>
      <c r="L3253" s="6">
        <v>2000000</v>
      </c>
      <c r="M3253" s="6">
        <v>2012</v>
      </c>
      <c r="N3253" s="6">
        <v>6.1</v>
      </c>
      <c r="O3253" s="4">
        <f ca="1">IFERROR(__xludf.DUMMYFUNCTION("IF(Cost_in_dollars!E3253=""USD"",Cost_in_dollars!B3253,Cost_in_dollars!B3253 * GOOGLEFINANCE(""CURRENCY:"" &amp; Cost_in_dollars!E3253 &amp; ""USD""))
"),2000000)</f>
        <v>2000000</v>
      </c>
      <c r="P3253" s="4">
        <f ca="1">IFERROR(__xludf.DUMMYFUNCTION("IF(Cost_in_dollars!E3253=""USD"",Cost_in_dollars!C3253,Cost_in_dollars!C3253 * GOOGLEFINANCE(""CURRENCY:"" &amp; Cost_in_dollars!E3253 &amp; ""USD""))
"),13746550)</f>
        <v>13746550</v>
      </c>
      <c r="Q3253" s="6">
        <f t="shared" ca="1" si="72"/>
        <v>11746550</v>
      </c>
      <c r="R3253" s="7" t="str">
        <f t="shared" si="73"/>
        <v>Hit and Run</v>
      </c>
      <c r="S3253" s="43" t="str">
        <f t="shared" si="76"/>
        <v>Action</v>
      </c>
    </row>
    <row r="3254" spans="1:19" ht="15.75" customHeight="1" x14ac:dyDescent="0.25">
      <c r="A3254" s="4" t="s">
        <v>3825</v>
      </c>
      <c r="B3254" s="4">
        <v>308</v>
      </c>
      <c r="C3254" s="4">
        <v>3675072</v>
      </c>
      <c r="D3254" s="4" t="s">
        <v>1324</v>
      </c>
      <c r="E3254" s="4" t="s">
        <v>986</v>
      </c>
      <c r="F3254" s="4" t="s">
        <v>10077</v>
      </c>
      <c r="G3254" s="4">
        <v>190132</v>
      </c>
      <c r="H3254" s="4" t="s">
        <v>10078</v>
      </c>
      <c r="I3254" s="4">
        <v>801</v>
      </c>
      <c r="J3254" s="4" t="s">
        <v>23</v>
      </c>
      <c r="K3254" s="4" t="s">
        <v>133</v>
      </c>
      <c r="L3254" s="4">
        <v>26000000</v>
      </c>
      <c r="M3254" s="4">
        <v>2007</v>
      </c>
      <c r="N3254" s="4">
        <v>7.3</v>
      </c>
      <c r="O3254" s="4">
        <f ca="1">IFERROR(__xludf.DUMMYFUNCTION("IF(Cost_in_dollars!E3254=""USD"",Cost_in_dollars!B3254,Cost_in_dollars!B3254 * GOOGLEFINANCE(""CURRENCY:"" &amp; Cost_in_dollars!E3254 &amp; ""USD""))
"),33420399.9999999)</f>
        <v>33420399.999999899</v>
      </c>
      <c r="P3254" s="4">
        <f ca="1">IFERROR(__xludf.DUMMYFUNCTION("IF(Cost_in_dollars!E3254=""USD"",Cost_in_dollars!C3254,Cost_in_dollars!C3254 * GOOGLEFINANCE(""CURRENCY:"" &amp; Cost_in_dollars!E3254 &amp; ""USD""))
"),4723937.5488)</f>
        <v>4723937.5488</v>
      </c>
      <c r="Q3254" s="4">
        <f t="shared" ca="1" si="72"/>
        <v>-28696462.4511999</v>
      </c>
      <c r="R3254" s="5" t="str">
        <f t="shared" si="73"/>
        <v>Sunshine</v>
      </c>
      <c r="S3254" s="43" t="str">
        <f t="shared" si="76"/>
        <v>Adventure</v>
      </c>
    </row>
    <row r="3255" spans="1:19" ht="15.75" customHeight="1" x14ac:dyDescent="0.25">
      <c r="A3255" s="6" t="s">
        <v>4234</v>
      </c>
      <c r="B3255" s="6">
        <v>156</v>
      </c>
      <c r="C3255" s="6">
        <v>27669413</v>
      </c>
      <c r="D3255" s="6" t="s">
        <v>568</v>
      </c>
      <c r="E3255" s="6" t="s">
        <v>3477</v>
      </c>
      <c r="F3255" s="6" t="s">
        <v>10079</v>
      </c>
      <c r="G3255" s="6">
        <v>76207</v>
      </c>
      <c r="H3255" s="6" t="s">
        <v>10080</v>
      </c>
      <c r="I3255" s="6">
        <v>194</v>
      </c>
      <c r="J3255" s="6" t="s">
        <v>23</v>
      </c>
      <c r="K3255" s="6" t="s">
        <v>627</v>
      </c>
      <c r="L3255" s="6">
        <v>11000000</v>
      </c>
      <c r="M3255" s="6">
        <v>2009</v>
      </c>
      <c r="N3255" s="6">
        <v>6</v>
      </c>
      <c r="O3255" s="4">
        <f ca="1">IFERROR(__xludf.DUMMYFUNCTION("IF(Cost_in_dollars!E3255=""USD"",Cost_in_dollars!B3255,Cost_in_dollars!B3255 * GOOGLEFINANCE(""CURRENCY:"" &amp; Cost_in_dollars!E3255 &amp; ""USD""))
"),7957455)</f>
        <v>7957455</v>
      </c>
      <c r="P3255" s="4">
        <f ca="1">IFERROR(__xludf.DUMMYFUNCTION("IF(Cost_in_dollars!E3255=""USD"",Cost_in_dollars!C3255,Cost_in_dollars!C3255 * GOOGLEFINANCE(""CURRENCY:"" &amp; Cost_in_dollars!E3255 &amp; ""USD""))
"),20016191.7112649)</f>
        <v>20016191.711264901</v>
      </c>
      <c r="Q3255" s="6">
        <f t="shared" ca="1" si="72"/>
        <v>12058736.711264901</v>
      </c>
      <c r="R3255" s="7" t="str">
        <f t="shared" si="73"/>
        <v>Saw VI</v>
      </c>
      <c r="S3255" s="43" t="str">
        <f t="shared" si="76"/>
        <v>Horror</v>
      </c>
    </row>
    <row r="3256" spans="1:19" ht="15.75" customHeight="1" x14ac:dyDescent="0.25">
      <c r="A3256" s="4" t="s">
        <v>10081</v>
      </c>
      <c r="B3256" s="4">
        <v>145</v>
      </c>
      <c r="C3256" s="4">
        <v>17473245</v>
      </c>
      <c r="D3256" s="4" t="s">
        <v>1749</v>
      </c>
      <c r="E3256" s="4" t="s">
        <v>10082</v>
      </c>
      <c r="F3256" s="4" t="s">
        <v>10083</v>
      </c>
      <c r="G3256" s="4">
        <v>47612</v>
      </c>
      <c r="H3256" s="4" t="s">
        <v>10084</v>
      </c>
      <c r="I3256" s="4">
        <v>348</v>
      </c>
      <c r="J3256" s="4" t="s">
        <v>23</v>
      </c>
      <c r="K3256" s="4" t="s">
        <v>24</v>
      </c>
      <c r="L3256" s="4">
        <v>70000000</v>
      </c>
      <c r="M3256" s="4">
        <v>2000</v>
      </c>
      <c r="N3256" s="4">
        <v>5.7</v>
      </c>
      <c r="O3256" s="4">
        <f ca="1">IFERROR(__xludf.DUMMYFUNCTION("IF(Cost_in_dollars!E3256=""USD"",Cost_in_dollars!B3256,Cost_in_dollars!B3256 * GOOGLEFINANCE(""CURRENCY:"" &amp; Cost_in_dollars!E3256 &amp; ""USD""))
"),70000000)</f>
        <v>70000000</v>
      </c>
      <c r="P3256" s="4">
        <f ca="1">IFERROR(__xludf.DUMMYFUNCTION("IF(Cost_in_dollars!E3256=""USD"",Cost_in_dollars!C3256,Cost_in_dollars!C3256 * GOOGLEFINANCE(""CURRENCY:"" &amp; Cost_in_dollars!E3256 &amp; ""USD""))
"),17473245)</f>
        <v>17473245</v>
      </c>
      <c r="Q3256" s="4">
        <f t="shared" ca="1" si="72"/>
        <v>-52526755</v>
      </c>
      <c r="R3256" s="5" t="str">
        <f t="shared" si="73"/>
        <v>Red Planet</v>
      </c>
      <c r="S3256" s="43" t="str">
        <f t="shared" si="76"/>
        <v>Action</v>
      </c>
    </row>
    <row r="3257" spans="1:19" ht="15.75" customHeight="1" x14ac:dyDescent="0.25">
      <c r="A3257" s="6" t="s">
        <v>1882</v>
      </c>
      <c r="B3257" s="6">
        <v>162</v>
      </c>
      <c r="C3257" s="6">
        <v>140080850</v>
      </c>
      <c r="D3257" s="6" t="s">
        <v>793</v>
      </c>
      <c r="E3257" s="6" t="s">
        <v>10085</v>
      </c>
      <c r="F3257" s="6" t="s">
        <v>10086</v>
      </c>
      <c r="G3257" s="6">
        <v>121084</v>
      </c>
      <c r="H3257" s="6" t="s">
        <v>10087</v>
      </c>
      <c r="I3257" s="6">
        <v>221</v>
      </c>
      <c r="J3257" s="6" t="s">
        <v>23</v>
      </c>
      <c r="K3257" s="6" t="s">
        <v>24</v>
      </c>
      <c r="L3257" s="6">
        <v>140000000</v>
      </c>
      <c r="M3257" s="6">
        <v>2007</v>
      </c>
      <c r="N3257" s="6">
        <v>6.2</v>
      </c>
      <c r="O3257" s="4">
        <f ca="1">IFERROR(__xludf.DUMMYFUNCTION("IF(Cost_in_dollars!E3257=""USD"",Cost_in_dollars!B3257,Cost_in_dollars!B3257 * GOOGLEFINANCE(""CURRENCY:"" &amp; Cost_in_dollars!E3257 &amp; ""USD""))
"),140000000)</f>
        <v>140000000</v>
      </c>
      <c r="P3257" s="4">
        <f ca="1">IFERROR(__xludf.DUMMYFUNCTION("IF(Cost_in_dollars!E3257=""USD"",Cost_in_dollars!C3257,Cost_in_dollars!C3257 * GOOGLEFINANCE(""CURRENCY:"" &amp; Cost_in_dollars!E3257 &amp; ""USD""))
"),140080850)</f>
        <v>140080850</v>
      </c>
      <c r="Q3257" s="6">
        <f t="shared" ca="1" si="72"/>
        <v>80850</v>
      </c>
      <c r="R3257" s="7" t="str">
        <f t="shared" si="73"/>
        <v>Rush Hour 3</v>
      </c>
      <c r="S3257" s="43" t="str">
        <f t="shared" si="76"/>
        <v>Action</v>
      </c>
    </row>
    <row r="3258" spans="1:19" ht="15.75" customHeight="1" x14ac:dyDescent="0.25">
      <c r="A3258" s="4" t="s">
        <v>6882</v>
      </c>
      <c r="B3258" s="4">
        <v>119</v>
      </c>
      <c r="C3258" s="4">
        <v>90835030</v>
      </c>
      <c r="D3258" s="4" t="s">
        <v>971</v>
      </c>
      <c r="E3258" s="4" t="s">
        <v>5733</v>
      </c>
      <c r="F3258" s="4" t="s">
        <v>10088</v>
      </c>
      <c r="G3258" s="4">
        <v>28621</v>
      </c>
      <c r="H3258" s="4" t="s">
        <v>10089</v>
      </c>
      <c r="I3258" s="4">
        <v>58</v>
      </c>
      <c r="J3258" s="4" t="s">
        <v>23</v>
      </c>
      <c r="K3258" s="4" t="s">
        <v>24</v>
      </c>
      <c r="L3258" s="4">
        <v>40000000</v>
      </c>
      <c r="M3258" s="4">
        <v>2016</v>
      </c>
      <c r="N3258" s="4">
        <v>5.9</v>
      </c>
      <c r="O3258" s="4">
        <f ca="1">IFERROR(__xludf.DUMMYFUNCTION("IF(Cost_in_dollars!E3258=""USD"",Cost_in_dollars!B3258,Cost_in_dollars!B3258 * GOOGLEFINANCE(""CURRENCY:"" &amp; Cost_in_dollars!E3258 &amp; ""USD""))
"),40000000)</f>
        <v>40000000</v>
      </c>
      <c r="P3258" s="4">
        <f ca="1">IFERROR(__xludf.DUMMYFUNCTION("IF(Cost_in_dollars!E3258=""USD"",Cost_in_dollars!C3258,Cost_in_dollars!C3258 * GOOGLEFINANCE(""CURRENCY:"" &amp; Cost_in_dollars!E3258 &amp; ""USD""))
"),90835030)</f>
        <v>90835030</v>
      </c>
      <c r="Q3258" s="4">
        <f t="shared" ca="1" si="72"/>
        <v>50835030</v>
      </c>
      <c r="R3258" s="5" t="str">
        <f t="shared" si="73"/>
        <v>Ride Along 2</v>
      </c>
      <c r="S3258" s="43" t="str">
        <f t="shared" si="76"/>
        <v>Action</v>
      </c>
    </row>
    <row r="3259" spans="1:19" ht="15.75" customHeight="1" x14ac:dyDescent="0.25">
      <c r="A3259" s="6" t="s">
        <v>3938</v>
      </c>
      <c r="B3259" s="6">
        <v>283</v>
      </c>
      <c r="C3259" s="6">
        <v>261437578</v>
      </c>
      <c r="D3259" s="6" t="s">
        <v>10090</v>
      </c>
      <c r="E3259" s="6" t="s">
        <v>2985</v>
      </c>
      <c r="F3259" s="6" t="s">
        <v>10091</v>
      </c>
      <c r="G3259" s="6">
        <v>479166</v>
      </c>
      <c r="H3259" s="6" t="s">
        <v>10092</v>
      </c>
      <c r="I3259" s="6">
        <v>815</v>
      </c>
      <c r="J3259" s="6" t="s">
        <v>23</v>
      </c>
      <c r="K3259" s="6" t="s">
        <v>24</v>
      </c>
      <c r="L3259" s="6">
        <v>92000000</v>
      </c>
      <c r="M3259" s="6">
        <v>2004</v>
      </c>
      <c r="N3259" s="6">
        <v>8</v>
      </c>
      <c r="O3259" s="4">
        <f ca="1">IFERROR(__xludf.DUMMYFUNCTION("IF(Cost_in_dollars!E3259=""USD"",Cost_in_dollars!B3259,Cost_in_dollars!B3259 * GOOGLEFINANCE(""CURRENCY:"" &amp; Cost_in_dollars!E3259 &amp; ""USD""))
"),92000000)</f>
        <v>92000000</v>
      </c>
      <c r="P3259" s="4">
        <f ca="1">IFERROR(__xludf.DUMMYFUNCTION("IF(Cost_in_dollars!E3259=""USD"",Cost_in_dollars!C3259,Cost_in_dollars!C3259 * GOOGLEFINANCE(""CURRENCY:"" &amp; Cost_in_dollars!E3259 &amp; ""USD""))
"),261437578)</f>
        <v>261437578</v>
      </c>
      <c r="Q3259" s="6">
        <f t="shared" ca="1" si="72"/>
        <v>169437578</v>
      </c>
      <c r="R3259" s="7" t="str">
        <f t="shared" si="73"/>
        <v>The Incredibles</v>
      </c>
      <c r="S3259" s="43" t="str">
        <f t="shared" si="76"/>
        <v>Action</v>
      </c>
    </row>
    <row r="3260" spans="1:19" ht="15.75" customHeight="1" x14ac:dyDescent="0.25">
      <c r="A3260" s="4" t="s">
        <v>1237</v>
      </c>
      <c r="B3260" s="4">
        <v>107</v>
      </c>
      <c r="C3260" s="4">
        <v>10654581</v>
      </c>
      <c r="D3260" s="4" t="s">
        <v>1238</v>
      </c>
      <c r="E3260" s="4" t="s">
        <v>84</v>
      </c>
      <c r="F3260" s="4" t="s">
        <v>1239</v>
      </c>
      <c r="G3260" s="4">
        <v>45500</v>
      </c>
      <c r="H3260" s="4" t="s">
        <v>1240</v>
      </c>
      <c r="I3260" s="4">
        <v>260</v>
      </c>
      <c r="J3260" s="4" t="s">
        <v>23</v>
      </c>
      <c r="K3260" s="4" t="s">
        <v>24</v>
      </c>
      <c r="L3260" s="4">
        <v>34000000</v>
      </c>
      <c r="M3260" s="4">
        <v>1999</v>
      </c>
      <c r="N3260" s="4">
        <v>5.3</v>
      </c>
      <c r="O3260" s="4">
        <f ca="1">IFERROR(__xludf.DUMMYFUNCTION("IF(Cost_in_dollars!E3260=""USD"",Cost_in_dollars!B3260,Cost_in_dollars!B3260 * GOOGLEFINANCE(""CURRENCY:"" &amp; Cost_in_dollars!E3260 &amp; ""USD""))
"),34000000)</f>
        <v>34000000</v>
      </c>
      <c r="P3260" s="4">
        <f ca="1">IFERROR(__xludf.DUMMYFUNCTION("IF(Cost_in_dollars!E3260=""USD"",Cost_in_dollars!C3260,Cost_in_dollars!C3260 * GOOGLEFINANCE(""CURRENCY:"" &amp; Cost_in_dollars!E3260 &amp; ""USD""))
"),10654581)</f>
        <v>10654581</v>
      </c>
      <c r="Q3260" s="4">
        <f t="shared" ca="1" si="72"/>
        <v>-23345419</v>
      </c>
      <c r="R3260" s="5" t="str">
        <f t="shared" si="73"/>
        <v>The Astronaut's Wife</v>
      </c>
      <c r="S3260" s="43" t="str">
        <f t="shared" si="76"/>
        <v>Drama</v>
      </c>
    </row>
    <row r="3261" spans="1:19" ht="15.75" customHeight="1" x14ac:dyDescent="0.25">
      <c r="A3261" s="6" t="s">
        <v>4075</v>
      </c>
      <c r="B3261" s="6">
        <v>173</v>
      </c>
      <c r="C3261" s="6">
        <v>13622333</v>
      </c>
      <c r="D3261" s="6" t="s">
        <v>4783</v>
      </c>
      <c r="E3261" s="6" t="s">
        <v>10093</v>
      </c>
      <c r="F3261" s="6" t="s">
        <v>10094</v>
      </c>
      <c r="G3261" s="6">
        <v>91377</v>
      </c>
      <c r="H3261" s="6" t="s">
        <v>10095</v>
      </c>
      <c r="I3261" s="6">
        <v>385</v>
      </c>
      <c r="J3261" s="6" t="s">
        <v>1569</v>
      </c>
      <c r="K3261" s="6" t="s">
        <v>1220</v>
      </c>
      <c r="L3261" s="6">
        <v>2000000</v>
      </c>
      <c r="M3261" s="6">
        <v>2001</v>
      </c>
      <c r="N3261" s="6">
        <v>7.7</v>
      </c>
      <c r="O3261" s="4">
        <f ca="1">IFERROR(__xludf.DUMMYFUNCTION("IF(Cost_in_dollars!E3261=""USD"",Cost_in_dollars!B3261,Cost_in_dollars!B3261 * GOOGLEFINANCE(""CURRENCY:"" &amp; Cost_in_dollars!E3261 &amp; ""USD""))
"),108409.38)</f>
        <v>108409.38</v>
      </c>
      <c r="P3261" s="4">
        <f ca="1">IFERROR(__xludf.DUMMYFUNCTION("IF(Cost_in_dollars!E3261=""USD"",Cost_in_dollars!C3261,Cost_in_dollars!C3261 * GOOGLEFINANCE(""CURRENCY:"" &amp; Cost_in_dollars!E3261 &amp; ""USD""))
"),738394.33734177)</f>
        <v>738394.33734176995</v>
      </c>
      <c r="Q3261" s="6">
        <f t="shared" ca="1" si="72"/>
        <v>629984.95734176994</v>
      </c>
      <c r="R3261" s="7" t="str">
        <f t="shared" si="73"/>
        <v>Y Tu MamÃ¡ TambiÃ©n</v>
      </c>
      <c r="S3261" s="43" t="str">
        <f t="shared" si="76"/>
        <v>Adventure</v>
      </c>
    </row>
    <row r="3262" spans="1:19" ht="15.75" customHeight="1" x14ac:dyDescent="0.25">
      <c r="A3262" s="4" t="s">
        <v>308</v>
      </c>
      <c r="B3262" s="4">
        <v>349</v>
      </c>
      <c r="C3262" s="4">
        <v>60522097</v>
      </c>
      <c r="D3262" s="4" t="s">
        <v>188</v>
      </c>
      <c r="E3262" s="4" t="s">
        <v>2732</v>
      </c>
      <c r="F3262" s="4" t="s">
        <v>10096</v>
      </c>
      <c r="G3262" s="4">
        <v>158720</v>
      </c>
      <c r="H3262" s="4" t="s">
        <v>10097</v>
      </c>
      <c r="I3262" s="4">
        <v>744</v>
      </c>
      <c r="J3262" s="4" t="s">
        <v>23</v>
      </c>
      <c r="K3262" s="4" t="s">
        <v>24</v>
      </c>
      <c r="L3262" s="4">
        <v>130000000</v>
      </c>
      <c r="M3262" s="4">
        <v>2013</v>
      </c>
      <c r="N3262" s="4">
        <v>4.9000000000000004</v>
      </c>
      <c r="O3262" s="4">
        <f ca="1">IFERROR(__xludf.DUMMYFUNCTION("IF(Cost_in_dollars!E3262=""USD"",Cost_in_dollars!B3262,Cost_in_dollars!B3262 * GOOGLEFINANCE(""CURRENCY:"" &amp; Cost_in_dollars!E3262 &amp; ""USD""))
"),130000000)</f>
        <v>130000000</v>
      </c>
      <c r="P3262" s="4">
        <f ca="1">IFERROR(__xludf.DUMMYFUNCTION("IF(Cost_in_dollars!E3262=""USD"",Cost_in_dollars!C3262,Cost_in_dollars!C3262 * GOOGLEFINANCE(""CURRENCY:"" &amp; Cost_in_dollars!E3262 &amp; ""USD""))
"),60522097)</f>
        <v>60522097</v>
      </c>
      <c r="Q3262" s="4">
        <f t="shared" ca="1" si="72"/>
        <v>-69477903</v>
      </c>
      <c r="R3262" s="5" t="str">
        <f t="shared" si="73"/>
        <v>After Earth</v>
      </c>
      <c r="S3262" s="43" t="str">
        <f t="shared" si="76"/>
        <v>Action</v>
      </c>
    </row>
    <row r="3263" spans="1:19" ht="15.75" customHeight="1" x14ac:dyDescent="0.25">
      <c r="A3263" s="6" t="s">
        <v>1694</v>
      </c>
      <c r="B3263" s="6">
        <v>33</v>
      </c>
      <c r="C3263" s="6">
        <v>21210</v>
      </c>
      <c r="D3263" s="6" t="s">
        <v>443</v>
      </c>
      <c r="E3263" s="6" t="s">
        <v>10098</v>
      </c>
      <c r="F3263" s="6" t="s">
        <v>10099</v>
      </c>
      <c r="G3263" s="6">
        <v>2735</v>
      </c>
      <c r="H3263" s="6" t="s">
        <v>10100</v>
      </c>
      <c r="I3263" s="6">
        <v>52</v>
      </c>
      <c r="J3263" s="6" t="s">
        <v>23</v>
      </c>
      <c r="K3263" s="6" t="s">
        <v>24</v>
      </c>
      <c r="L3263" s="6">
        <v>1000000</v>
      </c>
      <c r="M3263" s="6">
        <v>1998</v>
      </c>
      <c r="N3263" s="6">
        <v>6.1</v>
      </c>
      <c r="O3263" s="4">
        <f ca="1">IFERROR(__xludf.DUMMYFUNCTION("IF(Cost_in_dollars!E3263=""USD"",Cost_in_dollars!B3263,Cost_in_dollars!B3263 * GOOGLEFINANCE(""CURRENCY:"" &amp; Cost_in_dollars!E3263 &amp; ""USD""))
"),1000000)</f>
        <v>1000000</v>
      </c>
      <c r="P3263" s="4">
        <f ca="1">IFERROR(__xludf.DUMMYFUNCTION("IF(Cost_in_dollars!E3263=""USD"",Cost_in_dollars!C3263,Cost_in_dollars!C3263 * GOOGLEFINANCE(""CURRENCY:"" &amp; Cost_in_dollars!E3263 &amp; ""USD""))
"),21210)</f>
        <v>21210</v>
      </c>
      <c r="Q3263" s="6">
        <f t="shared" ca="1" si="72"/>
        <v>-978790</v>
      </c>
      <c r="R3263" s="7" t="str">
        <f t="shared" si="73"/>
        <v>Safe Men</v>
      </c>
      <c r="S3263" s="43" t="str">
        <f t="shared" si="76"/>
        <v>Comedy</v>
      </c>
    </row>
    <row r="3264" spans="1:19" ht="15.75" customHeight="1" x14ac:dyDescent="0.25">
      <c r="A3264" s="4" t="s">
        <v>3177</v>
      </c>
      <c r="B3264" s="4">
        <v>389</v>
      </c>
      <c r="C3264" s="4">
        <v>281666058</v>
      </c>
      <c r="D3264" s="4" t="s">
        <v>10101</v>
      </c>
      <c r="E3264" s="4" t="s">
        <v>1507</v>
      </c>
      <c r="F3264" s="4" t="s">
        <v>10102</v>
      </c>
      <c r="G3264" s="4">
        <v>166137</v>
      </c>
      <c r="H3264" s="4" t="s">
        <v>10103</v>
      </c>
      <c r="I3264" s="4">
        <v>383</v>
      </c>
      <c r="J3264" s="4" t="s">
        <v>23</v>
      </c>
      <c r="K3264" s="4" t="s">
        <v>24</v>
      </c>
      <c r="L3264" s="4">
        <v>160000000</v>
      </c>
      <c r="M3264" s="4">
        <v>2015</v>
      </c>
      <c r="N3264" s="4">
        <v>6.6</v>
      </c>
      <c r="O3264" s="4">
        <f ca="1">IFERROR(__xludf.DUMMYFUNCTION("IF(Cost_in_dollars!E3264=""USD"",Cost_in_dollars!B3264,Cost_in_dollars!B3264 * GOOGLEFINANCE(""CURRENCY:"" &amp; Cost_in_dollars!E3264 &amp; ""USD""))
"),160000000)</f>
        <v>160000000</v>
      </c>
      <c r="P3264" s="4">
        <f ca="1">IFERROR(__xludf.DUMMYFUNCTION("IF(Cost_in_dollars!E3264=""USD"",Cost_in_dollars!C3264,Cost_in_dollars!C3264 * GOOGLEFINANCE(""CURRENCY:"" &amp; Cost_in_dollars!E3264 &amp; ""USD""))
"),281666058)</f>
        <v>281666058</v>
      </c>
      <c r="Q3264" s="4">
        <f t="shared" ca="1" si="72"/>
        <v>121666058</v>
      </c>
      <c r="R3264" s="5" t="str">
        <f t="shared" si="73"/>
        <v>The Hunger Games: Mockingjay - Part 2</v>
      </c>
      <c r="S3264" s="43" t="str">
        <f t="shared" si="76"/>
        <v>Adventure</v>
      </c>
    </row>
    <row r="3265" spans="1:19" ht="15.75" customHeight="1" x14ac:dyDescent="0.25">
      <c r="A3265" s="6" t="s">
        <v>6938</v>
      </c>
      <c r="B3265" s="6">
        <v>93</v>
      </c>
      <c r="C3265" s="6">
        <v>69586544</v>
      </c>
      <c r="D3265" s="6" t="s">
        <v>102</v>
      </c>
      <c r="E3265" s="6" t="s">
        <v>136</v>
      </c>
      <c r="F3265" s="6" t="s">
        <v>10104</v>
      </c>
      <c r="G3265" s="6">
        <v>15352</v>
      </c>
      <c r="H3265" s="6" t="s">
        <v>10105</v>
      </c>
      <c r="I3265" s="6">
        <v>199</v>
      </c>
      <c r="J3265" s="6" t="s">
        <v>23</v>
      </c>
      <c r="K3265" s="6" t="s">
        <v>24</v>
      </c>
      <c r="L3265" s="6">
        <v>27000000</v>
      </c>
      <c r="M3265" s="6">
        <v>2002</v>
      </c>
      <c r="N3265" s="6">
        <v>6</v>
      </c>
      <c r="O3265" s="4">
        <f ca="1">IFERROR(__xludf.DUMMYFUNCTION("IF(Cost_in_dollars!E3265=""USD"",Cost_in_dollars!B3265,Cost_in_dollars!B3265 * GOOGLEFINANCE(""CURRENCY:"" &amp; Cost_in_dollars!E3265 &amp; ""USD""))
"),27000000)</f>
        <v>27000000</v>
      </c>
      <c r="P3265" s="4">
        <f ca="1">IFERROR(__xludf.DUMMYFUNCTION("IF(Cost_in_dollars!E3265=""USD"",Cost_in_dollars!C3265,Cost_in_dollars!C3265 * GOOGLEFINANCE(""CURRENCY:"" &amp; Cost_in_dollars!E3265 &amp; ""USD""))
"),69586544)</f>
        <v>69586544</v>
      </c>
      <c r="Q3265" s="6">
        <f t="shared" ca="1" si="72"/>
        <v>42586544</v>
      </c>
      <c r="R3265" s="7" t="str">
        <f t="shared" si="73"/>
        <v>Divine Secrets of the Ya-Ya Sisterhood</v>
      </c>
      <c r="S3265" s="43" t="str">
        <f t="shared" si="76"/>
        <v>Drama</v>
      </c>
    </row>
    <row r="3266" spans="1:19" ht="15.75" customHeight="1" x14ac:dyDescent="0.25">
      <c r="A3266" s="4" t="s">
        <v>1589</v>
      </c>
      <c r="B3266" s="4">
        <v>341</v>
      </c>
      <c r="C3266" s="4">
        <v>9190525</v>
      </c>
      <c r="D3266" s="4" t="s">
        <v>457</v>
      </c>
      <c r="E3266" s="4" t="s">
        <v>10106</v>
      </c>
      <c r="F3266" s="4" t="s">
        <v>10107</v>
      </c>
      <c r="G3266" s="4">
        <v>102125</v>
      </c>
      <c r="H3266" s="4" t="s">
        <v>10108</v>
      </c>
      <c r="I3266" s="4">
        <v>324</v>
      </c>
      <c r="J3266" s="4" t="s">
        <v>23</v>
      </c>
      <c r="K3266" s="4" t="s">
        <v>24</v>
      </c>
      <c r="L3266" s="4">
        <v>7000000</v>
      </c>
      <c r="M3266" s="4">
        <v>2009</v>
      </c>
      <c r="N3266" s="4">
        <v>7</v>
      </c>
      <c r="O3266" s="4">
        <f ca="1">IFERROR(__xludf.DUMMYFUNCTION("IF(Cost_in_dollars!E3266=""USD"",Cost_in_dollars!B3266,Cost_in_dollars!B3266 * GOOGLEFINANCE(""CURRENCY:"" &amp; Cost_in_dollars!E3266 &amp; ""USD""))
"),7000000)</f>
        <v>7000000</v>
      </c>
      <c r="P3266" s="4">
        <f ca="1">IFERROR(__xludf.DUMMYFUNCTION("IF(Cost_in_dollars!E3266=""USD"",Cost_in_dollars!C3266,Cost_in_dollars!C3266 * GOOGLEFINANCE(""CURRENCY:"" &amp; Cost_in_dollars!E3266 &amp; ""USD""))
"),9190525)</f>
        <v>9190525</v>
      </c>
      <c r="Q3266" s="4">
        <f t="shared" ca="1" si="72"/>
        <v>2190525</v>
      </c>
      <c r="R3266" s="5" t="str">
        <f t="shared" si="73"/>
        <v>A Serious Man</v>
      </c>
      <c r="S3266" s="43" t="str">
        <f t="shared" ref="S3266:S3329" si="77">IF(ISNUMBER(FIND("|", D3266)), LEFT(D3266, FIND("|", D3266) - 1), D3266)</f>
        <v>Comedy</v>
      </c>
    </row>
    <row r="3267" spans="1:19" ht="15.75" customHeight="1" x14ac:dyDescent="0.25">
      <c r="A3267" s="6" t="s">
        <v>9027</v>
      </c>
      <c r="B3267" s="6">
        <v>46</v>
      </c>
      <c r="C3267" s="6">
        <v>10411980</v>
      </c>
      <c r="D3267" s="6" t="s">
        <v>10109</v>
      </c>
      <c r="E3267" s="6" t="s">
        <v>10110</v>
      </c>
      <c r="F3267" s="6" t="s">
        <v>10111</v>
      </c>
      <c r="G3267" s="6">
        <v>22649</v>
      </c>
      <c r="H3267" s="6" t="s">
        <v>10112</v>
      </c>
      <c r="I3267" s="6">
        <v>212</v>
      </c>
      <c r="J3267" s="6" t="s">
        <v>23</v>
      </c>
      <c r="K3267" s="6" t="s">
        <v>24</v>
      </c>
      <c r="L3267" s="6">
        <v>15000000</v>
      </c>
      <c r="M3267" s="6">
        <v>2004</v>
      </c>
      <c r="N3267" s="6">
        <v>5.9</v>
      </c>
      <c r="O3267" s="4">
        <f ca="1">IFERROR(__xludf.DUMMYFUNCTION("IF(Cost_in_dollars!E3267=""USD"",Cost_in_dollars!B3267,Cost_in_dollars!B3267 * GOOGLEFINANCE(""CURRENCY:"" &amp; Cost_in_dollars!E3267 &amp; ""USD""))
"),15000000)</f>
        <v>15000000</v>
      </c>
      <c r="P3267" s="4">
        <f ca="1">IFERROR(__xludf.DUMMYFUNCTION("IF(Cost_in_dollars!E3267=""USD"",Cost_in_dollars!C3267,Cost_in_dollars!C3267 * GOOGLEFINANCE(""CURRENCY:"" &amp; Cost_in_dollars!E3267 &amp; ""USD""))
"),10411980)</f>
        <v>10411980</v>
      </c>
      <c r="Q3267" s="6">
        <f t="shared" ca="1" si="72"/>
        <v>-4588020</v>
      </c>
      <c r="R3267" s="7" t="str">
        <f t="shared" si="73"/>
        <v>Raise Your Voice</v>
      </c>
      <c r="S3267" s="43" t="str">
        <f t="shared" si="77"/>
        <v>Family</v>
      </c>
    </row>
    <row r="3268" spans="1:19" ht="15.75" customHeight="1" x14ac:dyDescent="0.25">
      <c r="A3268" s="4" t="s">
        <v>10113</v>
      </c>
      <c r="B3268" s="4">
        <v>118</v>
      </c>
      <c r="C3268" s="4">
        <v>7486906</v>
      </c>
      <c r="D3268" s="4" t="s">
        <v>1499</v>
      </c>
      <c r="E3268" s="4" t="s">
        <v>112</v>
      </c>
      <c r="F3268" s="4" t="s">
        <v>10114</v>
      </c>
      <c r="G3268" s="4">
        <v>17436</v>
      </c>
      <c r="H3268" s="4" t="s">
        <v>10115</v>
      </c>
      <c r="I3268" s="4">
        <v>71</v>
      </c>
      <c r="J3268" s="4" t="s">
        <v>23</v>
      </c>
      <c r="K3268" s="4" t="s">
        <v>24</v>
      </c>
      <c r="L3268" s="4">
        <v>27000000</v>
      </c>
      <c r="M3268" s="4">
        <v>2007</v>
      </c>
      <c r="N3268" s="4">
        <v>6.8</v>
      </c>
      <c r="O3268" s="4">
        <f ca="1">IFERROR(__xludf.DUMMYFUNCTION("IF(Cost_in_dollars!E3268=""USD"",Cost_in_dollars!B3268,Cost_in_dollars!B3268 * GOOGLEFINANCE(""CURRENCY:"" &amp; Cost_in_dollars!E3268 &amp; ""USD""))
"),27000000)</f>
        <v>27000000</v>
      </c>
      <c r="P3268" s="4">
        <f ca="1">IFERROR(__xludf.DUMMYFUNCTION("IF(Cost_in_dollars!E3268=""USD"",Cost_in_dollars!C3268,Cost_in_dollars!C3268 * GOOGLEFINANCE(""CURRENCY:"" &amp; Cost_in_dollars!E3268 &amp; ""USD""))
"),7486906)</f>
        <v>7486906</v>
      </c>
      <c r="Q3268" s="4">
        <f t="shared" ca="1" si="72"/>
        <v>-19513094</v>
      </c>
      <c r="R3268" s="5" t="str">
        <f t="shared" si="73"/>
        <v>Martian Child</v>
      </c>
      <c r="S3268" s="43" t="str">
        <f t="shared" si="77"/>
        <v>Comedy</v>
      </c>
    </row>
    <row r="3269" spans="1:19" ht="15.75" customHeight="1" x14ac:dyDescent="0.25">
      <c r="A3269" s="6" t="s">
        <v>3106</v>
      </c>
      <c r="B3269" s="6">
        <v>271</v>
      </c>
      <c r="C3269" s="6">
        <v>84263837</v>
      </c>
      <c r="D3269" s="6" t="s">
        <v>568</v>
      </c>
      <c r="E3269" s="6" t="s">
        <v>3382</v>
      </c>
      <c r="F3269" s="6" t="s">
        <v>10116</v>
      </c>
      <c r="G3269" s="6">
        <v>81699</v>
      </c>
      <c r="H3269" s="6" t="s">
        <v>10117</v>
      </c>
      <c r="I3269" s="6">
        <v>291</v>
      </c>
      <c r="J3269" s="6" t="s">
        <v>23</v>
      </c>
      <c r="K3269" s="6" t="s">
        <v>24</v>
      </c>
      <c r="L3269" s="6">
        <v>6500000</v>
      </c>
      <c r="M3269" s="6">
        <v>2014</v>
      </c>
      <c r="N3269" s="6">
        <v>5.4</v>
      </c>
      <c r="O3269" s="4">
        <f ca="1">IFERROR(__xludf.DUMMYFUNCTION("IF(Cost_in_dollars!E3269=""USD"",Cost_in_dollars!B3269,Cost_in_dollars!B3269 * GOOGLEFINANCE(""CURRENCY:"" &amp; Cost_in_dollars!E3269 &amp; ""USD""))
"),6500000)</f>
        <v>6500000</v>
      </c>
      <c r="P3269" s="4">
        <f ca="1">IFERROR(__xludf.DUMMYFUNCTION("IF(Cost_in_dollars!E3269=""USD"",Cost_in_dollars!C3269,Cost_in_dollars!C3269 * GOOGLEFINANCE(""CURRENCY:"" &amp; Cost_in_dollars!E3269 &amp; ""USD""))
"),84263837)</f>
        <v>84263837</v>
      </c>
      <c r="Q3269" s="6">
        <f t="shared" ca="1" si="72"/>
        <v>77763837</v>
      </c>
      <c r="R3269" s="7" t="str">
        <f t="shared" si="73"/>
        <v>Annabelle</v>
      </c>
      <c r="S3269" s="43" t="str">
        <f t="shared" si="77"/>
        <v>Horror</v>
      </c>
    </row>
    <row r="3270" spans="1:19" ht="15.75" customHeight="1" x14ac:dyDescent="0.25">
      <c r="A3270" s="4" t="s">
        <v>3218</v>
      </c>
      <c r="B3270" s="4">
        <v>85</v>
      </c>
      <c r="C3270" s="4">
        <v>4414535</v>
      </c>
      <c r="D3270" s="4" t="s">
        <v>102</v>
      </c>
      <c r="E3270" s="4" t="s">
        <v>10118</v>
      </c>
      <c r="F3270" s="4" t="s">
        <v>10119</v>
      </c>
      <c r="G3270" s="4">
        <v>30618</v>
      </c>
      <c r="H3270" s="4" t="s">
        <v>10120</v>
      </c>
      <c r="I3270" s="4">
        <v>224</v>
      </c>
      <c r="J3270" s="4" t="s">
        <v>23</v>
      </c>
      <c r="K3270" s="4" t="s">
        <v>133</v>
      </c>
      <c r="L3270" s="4">
        <v>18000000</v>
      </c>
      <c r="M3270" s="4">
        <v>1996</v>
      </c>
      <c r="N3270" s="4">
        <v>7.8</v>
      </c>
      <c r="O3270" s="4">
        <f ca="1">IFERROR(__xludf.DUMMYFUNCTION("IF(Cost_in_dollars!E3270=""USD"",Cost_in_dollars!B3270,Cost_in_dollars!B3270 * GOOGLEFINANCE(""CURRENCY:"" &amp; Cost_in_dollars!E3270 &amp; ""USD""))
"),23137199.9999999)</f>
        <v>23137199.999999899</v>
      </c>
      <c r="P3270" s="4">
        <f ca="1">IFERROR(__xludf.DUMMYFUNCTION("IF(Cost_in_dollars!E3270=""USD"",Cost_in_dollars!C3270,Cost_in_dollars!C3270 * GOOGLEFINANCE(""CURRENCY:"" &amp; Cost_in_dollars!E3270 &amp; ""USD""))
"),5674443.289)</f>
        <v>5674443.2889999999</v>
      </c>
      <c r="Q3270" s="4">
        <f t="shared" ca="1" si="72"/>
        <v>-17462756.710999899</v>
      </c>
      <c r="R3270" s="5" t="str">
        <f t="shared" si="73"/>
        <v>Hamlet</v>
      </c>
      <c r="S3270" s="43" t="str">
        <f t="shared" si="77"/>
        <v>Drama</v>
      </c>
    </row>
    <row r="3271" spans="1:19" ht="15.75" customHeight="1" x14ac:dyDescent="0.25">
      <c r="A3271" s="6" t="s">
        <v>4010</v>
      </c>
      <c r="B3271" s="6">
        <v>107</v>
      </c>
      <c r="C3271" s="6">
        <v>15155772</v>
      </c>
      <c r="D3271" s="6" t="s">
        <v>162</v>
      </c>
      <c r="E3271" s="6" t="s">
        <v>10121</v>
      </c>
      <c r="F3271" s="6" t="s">
        <v>10122</v>
      </c>
      <c r="G3271" s="6">
        <v>8895</v>
      </c>
      <c r="H3271" s="6" t="s">
        <v>10123</v>
      </c>
      <c r="I3271" s="6">
        <v>48</v>
      </c>
      <c r="J3271" s="6" t="s">
        <v>23</v>
      </c>
      <c r="K3271" s="6" t="s">
        <v>24</v>
      </c>
      <c r="L3271" s="6">
        <v>18000000</v>
      </c>
      <c r="M3271" s="6">
        <v>2014</v>
      </c>
      <c r="N3271" s="6">
        <v>5.7</v>
      </c>
      <c r="O3271" s="4">
        <f ca="1">IFERROR(__xludf.DUMMYFUNCTION("IF(Cost_in_dollars!E3271=""USD"",Cost_in_dollars!B3271,Cost_in_dollars!B3271 * GOOGLEFINANCE(""CURRENCY:"" &amp; Cost_in_dollars!E3271 &amp; ""USD""))
"),18000000)</f>
        <v>18000000</v>
      </c>
      <c r="P3271" s="4">
        <f ca="1">IFERROR(__xludf.DUMMYFUNCTION("IF(Cost_in_dollars!E3271=""USD"",Cost_in_dollars!C3271,Cost_in_dollars!C3271 * GOOGLEFINANCE(""CURRENCY:"" &amp; Cost_in_dollars!E3271 &amp; ""USD""))
"),15155772)</f>
        <v>15155772</v>
      </c>
      <c r="Q3271" s="6">
        <f t="shared" ca="1" si="72"/>
        <v>-2844228</v>
      </c>
      <c r="R3271" s="7" t="str">
        <f t="shared" si="73"/>
        <v>And So It Goes</v>
      </c>
      <c r="S3271" s="43" t="str">
        <f t="shared" si="77"/>
        <v>Comedy</v>
      </c>
    </row>
    <row r="3272" spans="1:19" ht="15.75" customHeight="1" x14ac:dyDescent="0.25">
      <c r="A3272" s="4" t="s">
        <v>1731</v>
      </c>
      <c r="B3272" s="4">
        <v>167</v>
      </c>
      <c r="C3272" s="4">
        <v>66790248</v>
      </c>
      <c r="D3272" s="4" t="s">
        <v>372</v>
      </c>
      <c r="E3272" s="4" t="s">
        <v>2383</v>
      </c>
      <c r="F3272" s="4" t="s">
        <v>10124</v>
      </c>
      <c r="G3272" s="4">
        <v>57281</v>
      </c>
      <c r="H3272" s="4" t="s">
        <v>10125</v>
      </c>
      <c r="I3272" s="4">
        <v>350</v>
      </c>
      <c r="J3272" s="4" t="s">
        <v>23</v>
      </c>
      <c r="K3272" s="4" t="s">
        <v>24</v>
      </c>
      <c r="L3272" s="4">
        <v>45000000</v>
      </c>
      <c r="M3272" s="4">
        <v>2002</v>
      </c>
      <c r="N3272" s="4">
        <v>6.5</v>
      </c>
      <c r="O3272" s="4">
        <f ca="1">IFERROR(__xludf.DUMMYFUNCTION("IF(Cost_in_dollars!E3272=""USD"",Cost_in_dollars!B3272,Cost_in_dollars!B3272 * GOOGLEFINANCE(""CURRENCY:"" &amp; Cost_in_dollars!E3272 &amp; ""USD""))
"),45000000)</f>
        <v>45000000</v>
      </c>
      <c r="P3272" s="4">
        <f ca="1">IFERROR(__xludf.DUMMYFUNCTION("IF(Cost_in_dollars!E3272=""USD"",Cost_in_dollars!C3272,Cost_in_dollars!C3272 * GOOGLEFINANCE(""CURRENCY:"" &amp; Cost_in_dollars!E3272 &amp; ""USD""))
"),66790248)</f>
        <v>66790248</v>
      </c>
      <c r="Q3272" s="4">
        <f t="shared" ca="1" si="72"/>
        <v>21790248</v>
      </c>
      <c r="R3272" s="5" t="str">
        <f t="shared" si="73"/>
        <v>Changing Lanes</v>
      </c>
      <c r="S3272" s="43" t="str">
        <f t="shared" si="77"/>
        <v>Drama</v>
      </c>
    </row>
    <row r="3273" spans="1:19" ht="15.75" customHeight="1" x14ac:dyDescent="0.25">
      <c r="A3273" s="6" t="s">
        <v>10126</v>
      </c>
      <c r="B3273" s="6">
        <v>84</v>
      </c>
      <c r="C3273" s="6">
        <v>25077977</v>
      </c>
      <c r="D3273" s="6" t="s">
        <v>4674</v>
      </c>
      <c r="E3273" s="6" t="s">
        <v>10127</v>
      </c>
      <c r="F3273" s="6" t="s">
        <v>10128</v>
      </c>
      <c r="G3273" s="6">
        <v>10986</v>
      </c>
      <c r="H3273" s="6" t="s">
        <v>10129</v>
      </c>
      <c r="I3273" s="6">
        <v>84</v>
      </c>
      <c r="J3273" s="6" t="s">
        <v>23</v>
      </c>
      <c r="K3273" s="6" t="s">
        <v>24</v>
      </c>
      <c r="L3273" s="6">
        <v>20000000</v>
      </c>
      <c r="M3273" s="6">
        <v>2010</v>
      </c>
      <c r="N3273" s="6">
        <v>5.3</v>
      </c>
      <c r="O3273" s="4">
        <f ca="1">IFERROR(__xludf.DUMMYFUNCTION("IF(Cost_in_dollars!E3273=""USD"",Cost_in_dollars!B3273,Cost_in_dollars!B3273 * GOOGLEFINANCE(""CURRENCY:"" &amp; Cost_in_dollars!E3273 &amp; ""USD""))
"),20000000)</f>
        <v>20000000</v>
      </c>
      <c r="P3273" s="4">
        <f ca="1">IFERROR(__xludf.DUMMYFUNCTION("IF(Cost_in_dollars!E3273=""USD"",Cost_in_dollars!C3273,Cost_in_dollars!C3273 * GOOGLEFINANCE(""CURRENCY:"" &amp; Cost_in_dollars!E3273 &amp; ""USD""))
"),25077977)</f>
        <v>25077977</v>
      </c>
      <c r="Q3273" s="6">
        <f t="shared" ca="1" si="72"/>
        <v>5077977</v>
      </c>
      <c r="R3273" s="7" t="str">
        <f t="shared" si="73"/>
        <v>Alpha and Omega</v>
      </c>
      <c r="S3273" s="43" t="str">
        <f t="shared" si="77"/>
        <v>Adventure</v>
      </c>
    </row>
    <row r="3274" spans="1:19" ht="15.75" customHeight="1" x14ac:dyDescent="0.25">
      <c r="A3274" s="4" t="s">
        <v>10130</v>
      </c>
      <c r="B3274" s="4">
        <v>29</v>
      </c>
      <c r="C3274" s="4">
        <v>7888703</v>
      </c>
      <c r="D3274" s="4" t="s">
        <v>618</v>
      </c>
      <c r="E3274" s="4" t="s">
        <v>10131</v>
      </c>
      <c r="F3274" s="4" t="s">
        <v>10132</v>
      </c>
      <c r="G3274" s="4">
        <v>8465</v>
      </c>
      <c r="H3274" s="4" t="s">
        <v>10133</v>
      </c>
      <c r="I3274" s="4">
        <v>65</v>
      </c>
      <c r="J3274" s="4" t="s">
        <v>23</v>
      </c>
      <c r="K3274" s="4" t="s">
        <v>24</v>
      </c>
      <c r="L3274" s="4">
        <v>3000000</v>
      </c>
      <c r="M3274" s="4">
        <v>1987</v>
      </c>
      <c r="N3274" s="4">
        <v>3.2</v>
      </c>
      <c r="O3274" s="4">
        <f ca="1">IFERROR(__xludf.DUMMYFUNCTION("IF(Cost_in_dollars!E3274=""USD"",Cost_in_dollars!B3274,Cost_in_dollars!B3274 * GOOGLEFINANCE(""CURRENCY:"" &amp; Cost_in_dollars!E3274 &amp; ""USD""))
"),3000000)</f>
        <v>3000000</v>
      </c>
      <c r="P3274" s="4">
        <f ca="1">IFERROR(__xludf.DUMMYFUNCTION("IF(Cost_in_dollars!E3274=""USD"",Cost_in_dollars!C3274,Cost_in_dollars!C3274 * GOOGLEFINANCE(""CURRENCY:"" &amp; Cost_in_dollars!E3274 &amp; ""USD""))
"),7888703)</f>
        <v>7888703</v>
      </c>
      <c r="Q3274" s="4">
        <f t="shared" ca="1" si="72"/>
        <v>4888703</v>
      </c>
      <c r="R3274" s="5" t="str">
        <f t="shared" si="73"/>
        <v>Teen Wolf Too</v>
      </c>
      <c r="S3274" s="43" t="str">
        <f t="shared" si="77"/>
        <v>Comedy</v>
      </c>
    </row>
    <row r="3275" spans="1:19" ht="15.75" customHeight="1" x14ac:dyDescent="0.25">
      <c r="A3275" s="6" t="s">
        <v>10134</v>
      </c>
      <c r="B3275" s="6">
        <v>121</v>
      </c>
      <c r="C3275" s="6">
        <v>1506998</v>
      </c>
      <c r="D3275" s="6" t="s">
        <v>4992</v>
      </c>
      <c r="E3275" s="6" t="s">
        <v>10135</v>
      </c>
      <c r="F3275" s="6" t="s">
        <v>10136</v>
      </c>
      <c r="G3275" s="6">
        <v>8014</v>
      </c>
      <c r="H3275" s="6" t="s">
        <v>10137</v>
      </c>
      <c r="I3275" s="6">
        <v>50</v>
      </c>
      <c r="J3275" s="6" t="s">
        <v>23</v>
      </c>
      <c r="K3275" s="6" t="s">
        <v>24</v>
      </c>
      <c r="L3275" s="6">
        <v>12000000</v>
      </c>
      <c r="M3275" s="6">
        <v>2007</v>
      </c>
      <c r="N3275" s="6">
        <v>6.3</v>
      </c>
      <c r="O3275" s="4">
        <f ca="1">IFERROR(__xludf.DUMMYFUNCTION("IF(Cost_in_dollars!E3275=""USD"",Cost_in_dollars!B3275,Cost_in_dollars!B3275 * GOOGLEFINANCE(""CURRENCY:"" &amp; Cost_in_dollars!E3275 &amp; ""USD""))
"),12000000)</f>
        <v>12000000</v>
      </c>
      <c r="P3275" s="4">
        <f ca="1">IFERROR(__xludf.DUMMYFUNCTION("IF(Cost_in_dollars!E3275=""USD"",Cost_in_dollars!C3275,Cost_in_dollars!C3275 * GOOGLEFINANCE(""CURRENCY:"" &amp; Cost_in_dollars!E3275 &amp; ""USD""))
"),1506998)</f>
        <v>1506998</v>
      </c>
      <c r="Q3275" s="6">
        <f t="shared" ca="1" si="72"/>
        <v>-10493002</v>
      </c>
      <c r="R3275" s="7" t="str">
        <f t="shared" si="73"/>
        <v>Married Life</v>
      </c>
      <c r="S3275" s="43" t="str">
        <f t="shared" si="77"/>
        <v>Crime</v>
      </c>
    </row>
    <row r="3276" spans="1:19" ht="15.75" customHeight="1" x14ac:dyDescent="0.25">
      <c r="A3276" s="4" t="s">
        <v>10138</v>
      </c>
      <c r="B3276" s="4">
        <v>421</v>
      </c>
      <c r="C3276" s="4">
        <v>14677654</v>
      </c>
      <c r="D3276" s="4" t="s">
        <v>102</v>
      </c>
      <c r="E3276" s="4" t="s">
        <v>2226</v>
      </c>
      <c r="F3276" s="4" t="s">
        <v>10139</v>
      </c>
      <c r="G3276" s="4">
        <v>161288</v>
      </c>
      <c r="H3276" s="4" t="s">
        <v>10140</v>
      </c>
      <c r="I3276" s="4">
        <v>351</v>
      </c>
      <c r="J3276" s="4" t="s">
        <v>23</v>
      </c>
      <c r="K3276" s="4" t="s">
        <v>596</v>
      </c>
      <c r="L3276" s="4">
        <v>13000000</v>
      </c>
      <c r="M3276" s="4">
        <v>2015</v>
      </c>
      <c r="N3276" s="4">
        <v>8.3000000000000007</v>
      </c>
      <c r="O3276" s="4">
        <f ca="1">IFERROR(__xludf.DUMMYFUNCTION("IF(Cost_in_dollars!E3276=""USD"",Cost_in_dollars!B3276,Cost_in_dollars!B3276 * GOOGLEFINANCE(""CURRENCY:"" &amp; Cost_in_dollars!E3276 &amp; ""USD""))
"),14101620)</f>
        <v>14101620</v>
      </c>
      <c r="P3276" s="4">
        <f ca="1">IFERROR(__xludf.DUMMYFUNCTION("IF(Cost_in_dollars!E3276=""USD"",Cost_in_dollars!C3276,Cost_in_dollars!C3276 * GOOGLEFINANCE(""CURRENCY:"" &amp; Cost_in_dollars!E3276 &amp; ""USD""))
"),15921438.39996)</f>
        <v>15921438.39996</v>
      </c>
      <c r="Q3276" s="4">
        <f t="shared" ca="1" si="72"/>
        <v>1819818.3999600001</v>
      </c>
      <c r="R3276" s="5" t="str">
        <f t="shared" si="73"/>
        <v>Room</v>
      </c>
      <c r="S3276" s="43" t="str">
        <f t="shared" si="77"/>
        <v>Drama</v>
      </c>
    </row>
    <row r="3277" spans="1:19" ht="15.75" customHeight="1" x14ac:dyDescent="0.25">
      <c r="A3277" s="6" t="s">
        <v>5789</v>
      </c>
      <c r="B3277" s="6">
        <v>132</v>
      </c>
      <c r="C3277" s="6">
        <v>7060876</v>
      </c>
      <c r="D3277" s="6" t="s">
        <v>362</v>
      </c>
      <c r="E3277" s="6" t="s">
        <v>780</v>
      </c>
      <c r="F3277" s="6" t="s">
        <v>10141</v>
      </c>
      <c r="G3277" s="6">
        <v>44795</v>
      </c>
      <c r="H3277" s="6" t="s">
        <v>10142</v>
      </c>
      <c r="I3277" s="6">
        <v>314</v>
      </c>
      <c r="J3277" s="6" t="s">
        <v>23</v>
      </c>
      <c r="K3277" s="6" t="s">
        <v>133</v>
      </c>
      <c r="L3277" s="6">
        <v>13500000</v>
      </c>
      <c r="M3277" s="6">
        <v>2000</v>
      </c>
      <c r="N3277" s="6">
        <v>7.4</v>
      </c>
      <c r="O3277" s="4">
        <f ca="1">IFERROR(__xludf.DUMMYFUNCTION("IF(Cost_in_dollars!E3277=""USD"",Cost_in_dollars!B3277,Cost_in_dollars!B3277 * GOOGLEFINANCE(""CURRENCY:"" &amp; Cost_in_dollars!E3277 &amp; ""USD""))
"),17352900)</f>
        <v>17352900</v>
      </c>
      <c r="P3277" s="4">
        <f ca="1">IFERROR(__xludf.DUMMYFUNCTION("IF(Cost_in_dollars!E3277=""USD"",Cost_in_dollars!C3277,Cost_in_dollars!C3277 * GOOGLEFINANCE(""CURRENCY:"" &amp; Cost_in_dollars!E3277 &amp; ""USD""))
"),9076050.0104)</f>
        <v>9076050.0103999991</v>
      </c>
      <c r="Q3277" s="6">
        <f t="shared" ca="1" si="72"/>
        <v>-8276849.9896000009</v>
      </c>
      <c r="R3277" s="7" t="str">
        <f t="shared" si="73"/>
        <v>Quills</v>
      </c>
      <c r="S3277" s="43" t="str">
        <f t="shared" si="77"/>
        <v>Biography</v>
      </c>
    </row>
    <row r="3278" spans="1:19" ht="15.75" customHeight="1" x14ac:dyDescent="0.25">
      <c r="A3278" s="4" t="s">
        <v>10143</v>
      </c>
      <c r="B3278" s="4">
        <v>206</v>
      </c>
      <c r="C3278" s="4">
        <v>3388210</v>
      </c>
      <c r="D3278" s="4" t="s">
        <v>235</v>
      </c>
      <c r="E3278" s="4" t="s">
        <v>1507</v>
      </c>
      <c r="F3278" s="4" t="s">
        <v>10144</v>
      </c>
      <c r="G3278" s="4">
        <v>46813</v>
      </c>
      <c r="H3278" s="4" t="s">
        <v>10145</v>
      </c>
      <c r="I3278" s="4">
        <v>150</v>
      </c>
      <c r="J3278" s="4" t="s">
        <v>23</v>
      </c>
      <c r="K3278" s="4" t="s">
        <v>24</v>
      </c>
      <c r="L3278" s="4">
        <v>250000</v>
      </c>
      <c r="M3278" s="4">
        <v>2011</v>
      </c>
      <c r="N3278" s="4">
        <v>6.7</v>
      </c>
      <c r="O3278" s="4">
        <f ca="1">IFERROR(__xludf.DUMMYFUNCTION("IF(Cost_in_dollars!E3278=""USD"",Cost_in_dollars!B3278,Cost_in_dollars!B3278 * GOOGLEFINANCE(""CURRENCY:"" &amp; Cost_in_dollars!E3278 &amp; ""USD""))
"),250000)</f>
        <v>250000</v>
      </c>
      <c r="P3278" s="4">
        <f ca="1">IFERROR(__xludf.DUMMYFUNCTION("IF(Cost_in_dollars!E3278=""USD"",Cost_in_dollars!C3278,Cost_in_dollars!C3278 * GOOGLEFINANCE(""CURRENCY:"" &amp; Cost_in_dollars!E3278 &amp; ""USD""))
"),3388210)</f>
        <v>3388210</v>
      </c>
      <c r="Q3278" s="4">
        <f t="shared" ca="1" si="72"/>
        <v>3138210</v>
      </c>
      <c r="R3278" s="5" t="str">
        <f t="shared" si="73"/>
        <v>Like Crazy</v>
      </c>
      <c r="S3278" s="43" t="str">
        <f t="shared" si="77"/>
        <v>Drama</v>
      </c>
    </row>
    <row r="3279" spans="1:19" ht="15.75" customHeight="1" x14ac:dyDescent="0.25">
      <c r="A3279" s="6" t="s">
        <v>10146</v>
      </c>
      <c r="B3279" s="6">
        <v>156</v>
      </c>
      <c r="C3279" s="6">
        <v>42194060</v>
      </c>
      <c r="D3279" s="6" t="s">
        <v>19</v>
      </c>
      <c r="E3279" s="6" t="s">
        <v>49</v>
      </c>
      <c r="F3279" s="6" t="s">
        <v>10147</v>
      </c>
      <c r="G3279" s="6">
        <v>41259</v>
      </c>
      <c r="H3279" s="6" t="s">
        <v>10148</v>
      </c>
      <c r="I3279" s="6">
        <v>72</v>
      </c>
      <c r="J3279" s="6" t="s">
        <v>23</v>
      </c>
      <c r="K3279" s="6" t="s">
        <v>1111</v>
      </c>
      <c r="L3279" s="6">
        <v>70000000</v>
      </c>
      <c r="M3279" s="6">
        <v>2009</v>
      </c>
      <c r="N3279" s="6">
        <v>6.1</v>
      </c>
      <c r="O3279" s="4">
        <f ca="1">IFERROR(__xludf.DUMMYFUNCTION("IF(Cost_in_dollars!E3279=""USD"",Cost_in_dollars!B3279,Cost_in_dollars!B3279 * GOOGLEFINANCE(""CURRENCY:"" &amp; Cost_in_dollars!E3279 &amp; ""USD""))
"),75931800)</f>
        <v>75931800</v>
      </c>
      <c r="P3279" s="4">
        <f ca="1">IFERROR(__xludf.DUMMYFUNCTION("IF(Cost_in_dollars!E3279=""USD"",Cost_in_dollars!C3279,Cost_in_dollars!C3279 * GOOGLEFINANCE(""CURRENCY:"" &amp; Cost_in_dollars!E3279 &amp; ""USD""))
"),45769584.6444)</f>
        <v>45769584.644400001</v>
      </c>
      <c r="Q3279" s="6">
        <f t="shared" ca="1" si="72"/>
        <v>-30162215.355599999</v>
      </c>
      <c r="R3279" s="7" t="str">
        <f t="shared" si="73"/>
        <v>Planet 51</v>
      </c>
      <c r="S3279" s="43" t="str">
        <f t="shared" si="77"/>
        <v>Adventure</v>
      </c>
    </row>
    <row r="3280" spans="1:19" ht="15.75" customHeight="1" x14ac:dyDescent="0.25">
      <c r="A3280" s="4" t="s">
        <v>863</v>
      </c>
      <c r="B3280" s="4">
        <v>257</v>
      </c>
      <c r="C3280" s="4">
        <v>35799026</v>
      </c>
      <c r="D3280" s="4" t="s">
        <v>4916</v>
      </c>
      <c r="E3280" s="4" t="s">
        <v>439</v>
      </c>
      <c r="F3280" s="4" t="s">
        <v>4917</v>
      </c>
      <c r="G3280" s="4">
        <v>263336</v>
      </c>
      <c r="H3280" s="4" t="s">
        <v>4918</v>
      </c>
      <c r="I3280" s="4">
        <v>899</v>
      </c>
      <c r="J3280" s="4" t="s">
        <v>23</v>
      </c>
      <c r="K3280" s="4" t="s">
        <v>24</v>
      </c>
      <c r="L3280" s="4">
        <v>126000000</v>
      </c>
      <c r="M3280" s="4">
        <v>2005</v>
      </c>
      <c r="N3280" s="4">
        <v>6.9</v>
      </c>
      <c r="O3280" s="4">
        <f ca="1">IFERROR(__xludf.DUMMYFUNCTION("IF(Cost_in_dollars!E3280=""USD"",Cost_in_dollars!B3280,Cost_in_dollars!B3280 * GOOGLEFINANCE(""CURRENCY:"" &amp; Cost_in_dollars!E3280 &amp; ""USD""))
"),126000000)</f>
        <v>126000000</v>
      </c>
      <c r="P3280" s="4">
        <f ca="1">IFERROR(__xludf.DUMMYFUNCTION("IF(Cost_in_dollars!E3280=""USD"",Cost_in_dollars!C3280,Cost_in_dollars!C3280 * GOOGLEFINANCE(""CURRENCY:"" &amp; Cost_in_dollars!E3280 &amp; ""USD""))
"),35799026)</f>
        <v>35799026</v>
      </c>
      <c r="Q3280" s="4">
        <f t="shared" ca="1" si="72"/>
        <v>-90200974</v>
      </c>
      <c r="R3280" s="5" t="str">
        <f t="shared" si="73"/>
        <v>The Island</v>
      </c>
      <c r="S3280" s="43" t="str">
        <f t="shared" si="77"/>
        <v>Action</v>
      </c>
    </row>
    <row r="3281" spans="1:19" ht="15.75" customHeight="1" x14ac:dyDescent="0.25">
      <c r="A3281" s="6" t="s">
        <v>182</v>
      </c>
      <c r="B3281" s="6">
        <v>230</v>
      </c>
      <c r="C3281" s="6">
        <v>180011740</v>
      </c>
      <c r="D3281" s="6" t="s">
        <v>797</v>
      </c>
      <c r="E3281" s="6" t="s">
        <v>146</v>
      </c>
      <c r="F3281" s="6" t="s">
        <v>3639</v>
      </c>
      <c r="G3281" s="6">
        <v>177725</v>
      </c>
      <c r="H3281" s="6" t="s">
        <v>3640</v>
      </c>
      <c r="I3281" s="6">
        <v>1368</v>
      </c>
      <c r="J3281" s="6" t="s">
        <v>23</v>
      </c>
      <c r="K3281" s="6" t="s">
        <v>24</v>
      </c>
      <c r="L3281" s="6">
        <v>100000000</v>
      </c>
      <c r="M3281" s="6">
        <v>2001</v>
      </c>
      <c r="N3281" s="6">
        <v>5.7</v>
      </c>
      <c r="O3281" s="4">
        <f ca="1">IFERROR(__xludf.DUMMYFUNCTION("IF(Cost_in_dollars!E3281=""USD"",Cost_in_dollars!B3281,Cost_in_dollars!B3281 * GOOGLEFINANCE(""CURRENCY:"" &amp; Cost_in_dollars!E3281 &amp; ""USD""))
"),100000000)</f>
        <v>100000000</v>
      </c>
      <c r="P3281" s="4">
        <f ca="1">IFERROR(__xludf.DUMMYFUNCTION("IF(Cost_in_dollars!E3281=""USD"",Cost_in_dollars!C3281,Cost_in_dollars!C3281 * GOOGLEFINANCE(""CURRENCY:"" &amp; Cost_in_dollars!E3281 &amp; ""USD""))
"),180011740)</f>
        <v>180011740</v>
      </c>
      <c r="Q3281" s="6">
        <f t="shared" ca="1" si="72"/>
        <v>80011740</v>
      </c>
      <c r="R3281" s="7" t="str">
        <f t="shared" si="73"/>
        <v>Planet of the Apes</v>
      </c>
      <c r="S3281" s="43" t="str">
        <f t="shared" si="77"/>
        <v>Action</v>
      </c>
    </row>
    <row r="3282" spans="1:19" ht="15.75" customHeight="1" x14ac:dyDescent="0.25">
      <c r="A3282" s="4" t="s">
        <v>763</v>
      </c>
      <c r="B3282" s="4">
        <v>114</v>
      </c>
      <c r="C3282" s="4">
        <v>8373585</v>
      </c>
      <c r="D3282" s="4" t="s">
        <v>102</v>
      </c>
      <c r="E3282" s="4" t="s">
        <v>9337</v>
      </c>
      <c r="F3282" s="4" t="s">
        <v>10149</v>
      </c>
      <c r="G3282" s="4">
        <v>39680</v>
      </c>
      <c r="H3282" s="4" t="s">
        <v>10150</v>
      </c>
      <c r="I3282" s="4">
        <v>308</v>
      </c>
      <c r="J3282" s="4" t="s">
        <v>23</v>
      </c>
      <c r="K3282" s="4" t="s">
        <v>24</v>
      </c>
      <c r="L3282" s="4">
        <v>7000000</v>
      </c>
      <c r="M3282" s="4">
        <v>1988</v>
      </c>
      <c r="N3282" s="4">
        <v>7.6</v>
      </c>
      <c r="O3282" s="4">
        <f ca="1">IFERROR(__xludf.DUMMYFUNCTION("IF(Cost_in_dollars!E3282=""USD"",Cost_in_dollars!B3282,Cost_in_dollars!B3282 * GOOGLEFINANCE(""CURRENCY:"" &amp; Cost_in_dollars!E3282 &amp; ""USD""))
"),7000000)</f>
        <v>7000000</v>
      </c>
      <c r="P3282" s="4">
        <f ca="1">IFERROR(__xludf.DUMMYFUNCTION("IF(Cost_in_dollars!E3282=""USD"",Cost_in_dollars!C3282,Cost_in_dollars!C3282 * GOOGLEFINANCE(""CURRENCY:"" &amp; Cost_in_dollars!E3282 &amp; ""USD""))
"),8373585)</f>
        <v>8373585</v>
      </c>
      <c r="Q3282" s="4">
        <f t="shared" ca="1" si="72"/>
        <v>1373585</v>
      </c>
      <c r="R3282" s="5" t="str">
        <f t="shared" si="73"/>
        <v>The Last Temptation of Christ</v>
      </c>
      <c r="S3282" s="43" t="str">
        <f t="shared" si="77"/>
        <v>Drama</v>
      </c>
    </row>
    <row r="3283" spans="1:19" ht="15.75" customHeight="1" x14ac:dyDescent="0.25">
      <c r="A3283" s="6" t="s">
        <v>5463</v>
      </c>
      <c r="B3283" s="6">
        <v>221</v>
      </c>
      <c r="C3283" s="6">
        <v>1939441</v>
      </c>
      <c r="D3283" s="6" t="s">
        <v>1788</v>
      </c>
      <c r="E3283" s="6" t="s">
        <v>986</v>
      </c>
      <c r="F3283" s="6" t="s">
        <v>10151</v>
      </c>
      <c r="G3283" s="6">
        <v>55567</v>
      </c>
      <c r="H3283" s="6" t="s">
        <v>10152</v>
      </c>
      <c r="I3283" s="6">
        <v>144</v>
      </c>
      <c r="J3283" s="6" t="s">
        <v>23</v>
      </c>
      <c r="K3283" s="6" t="s">
        <v>24</v>
      </c>
      <c r="L3283" s="6">
        <v>10000000</v>
      </c>
      <c r="M3283" s="6">
        <v>2012</v>
      </c>
      <c r="N3283" s="6">
        <v>6.9</v>
      </c>
      <c r="O3283" s="4">
        <f ca="1">IFERROR(__xludf.DUMMYFUNCTION("IF(Cost_in_dollars!E3283=""USD"",Cost_in_dollars!B3283,Cost_in_dollars!B3283 * GOOGLEFINANCE(""CURRENCY:"" &amp; Cost_in_dollars!E3283 &amp; ""USD""))
"),10000000)</f>
        <v>10000000</v>
      </c>
      <c r="P3283" s="4">
        <f ca="1">IFERROR(__xludf.DUMMYFUNCTION("IF(Cost_in_dollars!E3283=""USD"",Cost_in_dollars!C3283,Cost_in_dollars!C3283 * GOOGLEFINANCE(""CURRENCY:"" &amp; Cost_in_dollars!E3283 &amp; ""USD""))
"),1939441)</f>
        <v>1939441</v>
      </c>
      <c r="Q3283" s="6">
        <f t="shared" ca="1" si="72"/>
        <v>-8060559</v>
      </c>
      <c r="R3283" s="7" t="str">
        <f t="shared" si="73"/>
        <v>The Iceman</v>
      </c>
      <c r="S3283" s="43" t="str">
        <f t="shared" si="77"/>
        <v>Biography</v>
      </c>
    </row>
    <row r="3284" spans="1:19" ht="15.75" customHeight="1" x14ac:dyDescent="0.25">
      <c r="A3284" s="4" t="s">
        <v>1667</v>
      </c>
      <c r="B3284" s="4">
        <v>104</v>
      </c>
      <c r="C3284" s="4">
        <v>25407250</v>
      </c>
      <c r="D3284" s="4" t="s">
        <v>797</v>
      </c>
      <c r="E3284" s="4" t="s">
        <v>456</v>
      </c>
      <c r="F3284" s="4" t="s">
        <v>10153</v>
      </c>
      <c r="G3284" s="4">
        <v>54021</v>
      </c>
      <c r="H3284" s="4" t="s">
        <v>10154</v>
      </c>
      <c r="I3284" s="4">
        <v>227</v>
      </c>
      <c r="J3284" s="4" t="s">
        <v>23</v>
      </c>
      <c r="K3284" s="4" t="s">
        <v>24</v>
      </c>
      <c r="L3284" s="4">
        <v>50000000</v>
      </c>
      <c r="M3284" s="4">
        <v>1996</v>
      </c>
      <c r="N3284" s="4">
        <v>5.7</v>
      </c>
      <c r="O3284" s="4">
        <f ca="1">IFERROR(__xludf.DUMMYFUNCTION("IF(Cost_in_dollars!E3284=""USD"",Cost_in_dollars!B3284,Cost_in_dollars!B3284 * GOOGLEFINANCE(""CURRENCY:"" &amp; Cost_in_dollars!E3284 &amp; ""USD""))
"),50000000)</f>
        <v>50000000</v>
      </c>
      <c r="P3284" s="4">
        <f ca="1">IFERROR(__xludf.DUMMYFUNCTION("IF(Cost_in_dollars!E3284=""USD"",Cost_in_dollars!C3284,Cost_in_dollars!C3284 * GOOGLEFINANCE(""CURRENCY:"" &amp; Cost_in_dollars!E3284 &amp; ""USD""))
"),25407250)</f>
        <v>25407250</v>
      </c>
      <c r="Q3284" s="4">
        <f t="shared" ca="1" si="72"/>
        <v>-24592750</v>
      </c>
      <c r="R3284" s="5" t="str">
        <f t="shared" si="73"/>
        <v>Escape from L.A.</v>
      </c>
      <c r="S3284" s="43" t="str">
        <f t="shared" si="77"/>
        <v>Action</v>
      </c>
    </row>
    <row r="3285" spans="1:19" ht="15.75" customHeight="1" x14ac:dyDescent="0.25">
      <c r="A3285" s="6" t="s">
        <v>535</v>
      </c>
      <c r="B3285" s="6">
        <v>98</v>
      </c>
      <c r="C3285" s="6">
        <v>17324744</v>
      </c>
      <c r="D3285" s="6" t="s">
        <v>1756</v>
      </c>
      <c r="E3285" s="6" t="s">
        <v>10155</v>
      </c>
      <c r="F3285" s="6" t="s">
        <v>10156</v>
      </c>
      <c r="G3285" s="6">
        <v>44103</v>
      </c>
      <c r="H3285" s="6" t="s">
        <v>10157</v>
      </c>
      <c r="I3285" s="6">
        <v>149</v>
      </c>
      <c r="J3285" s="6" t="s">
        <v>23</v>
      </c>
      <c r="K3285" s="6" t="s">
        <v>24</v>
      </c>
      <c r="L3285" s="6">
        <v>28000000</v>
      </c>
      <c r="M3285" s="6">
        <v>2006</v>
      </c>
      <c r="N3285" s="6">
        <v>5.3</v>
      </c>
      <c r="O3285" s="4">
        <f ca="1">IFERROR(__xludf.DUMMYFUNCTION("IF(Cost_in_dollars!E3285=""USD"",Cost_in_dollars!B3285,Cost_in_dollars!B3285 * GOOGLEFINANCE(""CURRENCY:"" &amp; Cost_in_dollars!E3285 &amp; ""USD""))
"),28000000)</f>
        <v>28000000</v>
      </c>
      <c r="P3285" s="4">
        <f ca="1">IFERROR(__xludf.DUMMYFUNCTION("IF(Cost_in_dollars!E3285=""USD"",Cost_in_dollars!C3285,Cost_in_dollars!C3285 * GOOGLEFINANCE(""CURRENCY:"" &amp; Cost_in_dollars!E3285 &amp; ""USD""))
"),17324744)</f>
        <v>17324744</v>
      </c>
      <c r="Q3285" s="6">
        <f t="shared" ca="1" si="72"/>
        <v>-10675256</v>
      </c>
      <c r="R3285" s="7" t="str">
        <f t="shared" si="73"/>
        <v>Just My Luck</v>
      </c>
      <c r="S3285" s="43" t="str">
        <f t="shared" si="77"/>
        <v>Comedy</v>
      </c>
    </row>
    <row r="3286" spans="1:19" ht="15.75" customHeight="1" x14ac:dyDescent="0.25">
      <c r="A3286" s="4" t="s">
        <v>77</v>
      </c>
      <c r="B3286" s="4">
        <v>35</v>
      </c>
      <c r="C3286" s="4">
        <v>183490</v>
      </c>
      <c r="D3286" s="4" t="s">
        <v>682</v>
      </c>
      <c r="E3286" s="4" t="s">
        <v>10158</v>
      </c>
      <c r="F3286" s="4" t="s">
        <v>10159</v>
      </c>
      <c r="G3286" s="4">
        <v>463</v>
      </c>
      <c r="H3286" s="4" t="s">
        <v>10160</v>
      </c>
      <c r="I3286" s="4">
        <v>8</v>
      </c>
      <c r="J3286" s="4" t="s">
        <v>23</v>
      </c>
      <c r="K3286" s="4" t="s">
        <v>24</v>
      </c>
      <c r="L3286" s="4">
        <v>1700000</v>
      </c>
      <c r="M3286" s="4">
        <v>2010</v>
      </c>
      <c r="N3286" s="4">
        <v>5.8</v>
      </c>
      <c r="O3286" s="4">
        <f ca="1">IFERROR(__xludf.DUMMYFUNCTION("IF(Cost_in_dollars!E3286=""USD"",Cost_in_dollars!B3286,Cost_in_dollars!B3286 * GOOGLEFINANCE(""CURRENCY:"" &amp; Cost_in_dollars!E3286 &amp; ""USD""))
"),1700000)</f>
        <v>1700000</v>
      </c>
      <c r="P3286" s="4">
        <f ca="1">IFERROR(__xludf.DUMMYFUNCTION("IF(Cost_in_dollars!E3286=""USD"",Cost_in_dollars!C3286,Cost_in_dollars!C3286 * GOOGLEFINANCE(""CURRENCY:"" &amp; Cost_in_dollars!E3286 &amp; ""USD""))
"),183490)</f>
        <v>183490</v>
      </c>
      <c r="Q3286" s="4">
        <f t="shared" ca="1" si="72"/>
        <v>-1516510</v>
      </c>
      <c r="R3286" s="5" t="str">
        <f t="shared" si="73"/>
        <v>Amigo</v>
      </c>
      <c r="S3286" s="43" t="str">
        <f t="shared" si="77"/>
        <v>Drama</v>
      </c>
    </row>
    <row r="3287" spans="1:19" ht="15.75" customHeight="1" x14ac:dyDescent="0.25">
      <c r="A3287" s="6" t="s">
        <v>7478</v>
      </c>
      <c r="B3287" s="6">
        <v>63</v>
      </c>
      <c r="C3287" s="6">
        <v>2954405</v>
      </c>
      <c r="D3287" s="6" t="s">
        <v>7115</v>
      </c>
      <c r="E3287" s="6" t="s">
        <v>5994</v>
      </c>
      <c r="F3287" s="6" t="s">
        <v>10161</v>
      </c>
      <c r="G3287" s="6">
        <v>1977</v>
      </c>
      <c r="H3287" s="6" t="s">
        <v>10162</v>
      </c>
      <c r="I3287" s="6">
        <v>64</v>
      </c>
      <c r="J3287" s="6" t="s">
        <v>23</v>
      </c>
      <c r="K3287" s="6" t="s">
        <v>24</v>
      </c>
      <c r="L3287" s="6">
        <v>36000000</v>
      </c>
      <c r="M3287" s="6">
        <v>2000</v>
      </c>
      <c r="N3287" s="6">
        <v>5.3</v>
      </c>
      <c r="O3287" s="4">
        <f ca="1">IFERROR(__xludf.DUMMYFUNCTION("IF(Cost_in_dollars!E3287=""USD"",Cost_in_dollars!B3287,Cost_in_dollars!B3287 * GOOGLEFINANCE(""CURRENCY:"" &amp; Cost_in_dollars!E3287 &amp; ""USD""))
"),36000000)</f>
        <v>36000000</v>
      </c>
      <c r="P3287" s="4">
        <f ca="1">IFERROR(__xludf.DUMMYFUNCTION("IF(Cost_in_dollars!E3287=""USD"",Cost_in_dollars!C3287,Cost_in_dollars!C3287 * GOOGLEFINANCE(""CURRENCY:"" &amp; Cost_in_dollars!E3287 &amp; ""USD""))
"),2954405)</f>
        <v>2954405</v>
      </c>
      <c r="Q3287" s="6">
        <f t="shared" ca="1" si="72"/>
        <v>-33045595</v>
      </c>
      <c r="R3287" s="7" t="str">
        <f t="shared" si="73"/>
        <v>Isn't She Great</v>
      </c>
      <c r="S3287" s="43" t="str">
        <f t="shared" si="77"/>
        <v>Biography</v>
      </c>
    </row>
    <row r="3288" spans="1:19" ht="15.75" customHeight="1" x14ac:dyDescent="0.25">
      <c r="A3288" s="4" t="s">
        <v>10163</v>
      </c>
      <c r="B3288" s="4">
        <v>61</v>
      </c>
      <c r="C3288" s="4">
        <v>121697350</v>
      </c>
      <c r="D3288" s="4" t="s">
        <v>324</v>
      </c>
      <c r="E3288" s="4" t="s">
        <v>3035</v>
      </c>
      <c r="F3288" s="4" t="s">
        <v>10164</v>
      </c>
      <c r="G3288" s="4">
        <v>114610</v>
      </c>
      <c r="H3288" s="4" t="s">
        <v>10165</v>
      </c>
      <c r="I3288" s="4">
        <v>176</v>
      </c>
      <c r="J3288" s="4" t="s">
        <v>23</v>
      </c>
      <c r="K3288" s="4" t="s">
        <v>24</v>
      </c>
      <c r="L3288" s="4">
        <v>20000000</v>
      </c>
      <c r="M3288" s="4">
        <v>1992</v>
      </c>
      <c r="N3288" s="4">
        <v>7</v>
      </c>
      <c r="O3288" s="4">
        <f ca="1">IFERROR(__xludf.DUMMYFUNCTION("IF(Cost_in_dollars!E3288=""USD"",Cost_in_dollars!B3288,Cost_in_dollars!B3288 * GOOGLEFINANCE(""CURRENCY:"" &amp; Cost_in_dollars!E3288 &amp; ""USD""))
"),20000000)</f>
        <v>20000000</v>
      </c>
      <c r="P3288" s="4">
        <f ca="1">IFERROR(__xludf.DUMMYFUNCTION("IF(Cost_in_dollars!E3288=""USD"",Cost_in_dollars!C3288,Cost_in_dollars!C3288 * GOOGLEFINANCE(""CURRENCY:"" &amp; Cost_in_dollars!E3288 &amp; ""USD""))
"),121697350)</f>
        <v>121697350</v>
      </c>
      <c r="Q3288" s="4">
        <f t="shared" ca="1" si="72"/>
        <v>101697350</v>
      </c>
      <c r="R3288" s="5" t="str">
        <f t="shared" si="73"/>
        <v>Wayne's World</v>
      </c>
      <c r="S3288" s="43" t="str">
        <f t="shared" si="77"/>
        <v>Comedy</v>
      </c>
    </row>
    <row r="3289" spans="1:19" ht="15.75" customHeight="1" x14ac:dyDescent="0.25">
      <c r="A3289" s="6" t="s">
        <v>4731</v>
      </c>
      <c r="B3289" s="6">
        <v>390</v>
      </c>
      <c r="C3289" s="6">
        <v>12134420</v>
      </c>
      <c r="D3289" s="6" t="s">
        <v>10166</v>
      </c>
      <c r="E3289" s="6" t="s">
        <v>2272</v>
      </c>
      <c r="F3289" s="6" t="s">
        <v>10167</v>
      </c>
      <c r="G3289" s="6">
        <v>92237</v>
      </c>
      <c r="H3289" s="6" t="s">
        <v>10168</v>
      </c>
      <c r="I3289" s="6">
        <v>366</v>
      </c>
      <c r="J3289" s="6" t="s">
        <v>23</v>
      </c>
      <c r="K3289" s="6" t="s">
        <v>133</v>
      </c>
      <c r="L3289" s="6">
        <v>20000000</v>
      </c>
      <c r="M3289" s="6">
        <v>2010</v>
      </c>
      <c r="N3289" s="6">
        <v>7.2</v>
      </c>
      <c r="O3289" s="4">
        <f ca="1">IFERROR(__xludf.DUMMYFUNCTION("IF(Cost_in_dollars!E3289=""USD"",Cost_in_dollars!B3289,Cost_in_dollars!B3289 * GOOGLEFINANCE(""CURRENCY:"" &amp; Cost_in_dollars!E3289 &amp; ""USD""))
"),25707999.9999999)</f>
        <v>25707999.999999899</v>
      </c>
      <c r="P3289" s="4">
        <f ca="1">IFERROR(__xludf.DUMMYFUNCTION("IF(Cost_in_dollars!E3289=""USD"",Cost_in_dollars!C3289,Cost_in_dollars!C3289 * GOOGLEFINANCE(""CURRENCY:"" &amp; Cost_in_dollars!E3289 &amp; ""USD""))
"),15597583.4679999)</f>
        <v>15597583.4679999</v>
      </c>
      <c r="Q3289" s="6">
        <f t="shared" ca="1" si="72"/>
        <v>-10110416.532</v>
      </c>
      <c r="R3289" s="7" t="str">
        <f t="shared" si="73"/>
        <v>Let Me In</v>
      </c>
      <c r="S3289" s="43" t="str">
        <f t="shared" si="77"/>
        <v>Drama</v>
      </c>
    </row>
    <row r="3290" spans="1:19" ht="15.75" customHeight="1" x14ac:dyDescent="0.25">
      <c r="A3290" s="4" t="s">
        <v>7157</v>
      </c>
      <c r="B3290" s="4">
        <v>3</v>
      </c>
      <c r="C3290" s="4">
        <v>1111615</v>
      </c>
      <c r="D3290" s="4" t="s">
        <v>4048</v>
      </c>
      <c r="E3290" s="4" t="s">
        <v>7158</v>
      </c>
      <c r="F3290" s="4" t="s">
        <v>10169</v>
      </c>
      <c r="G3290" s="4">
        <v>651</v>
      </c>
      <c r="H3290" s="4" t="s">
        <v>10170</v>
      </c>
      <c r="I3290" s="4">
        <v>34</v>
      </c>
      <c r="J3290" s="4" t="s">
        <v>23</v>
      </c>
      <c r="K3290" s="4" t="s">
        <v>24</v>
      </c>
      <c r="L3290" s="4">
        <v>500000</v>
      </c>
      <c r="M3290" s="4">
        <v>2003</v>
      </c>
      <c r="N3290" s="4">
        <v>6</v>
      </c>
      <c r="O3290" s="4">
        <f ca="1">IFERROR(__xludf.DUMMYFUNCTION("IF(Cost_in_dollars!E3290=""USD"",Cost_in_dollars!B3290,Cost_in_dollars!B3290 * GOOGLEFINANCE(""CURRENCY:"" &amp; Cost_in_dollars!E3290 &amp; ""USD""))
"),500000)</f>
        <v>500000</v>
      </c>
      <c r="P3290" s="4">
        <f ca="1">IFERROR(__xludf.DUMMYFUNCTION("IF(Cost_in_dollars!E3290=""USD"",Cost_in_dollars!C3290,Cost_in_dollars!C3290 * GOOGLEFINANCE(""CURRENCY:"" &amp; Cost_in_dollars!E3290 &amp; ""USD""))
"),1111615)</f>
        <v>1111615</v>
      </c>
      <c r="Q3290" s="4">
        <f t="shared" ca="1" si="72"/>
        <v>611615</v>
      </c>
      <c r="R3290" s="5" t="str">
        <f t="shared" si="73"/>
        <v>The R.M.</v>
      </c>
      <c r="S3290" s="43" t="str">
        <f t="shared" si="77"/>
        <v>Comedy</v>
      </c>
    </row>
    <row r="3291" spans="1:19" ht="15.75" customHeight="1" x14ac:dyDescent="0.25">
      <c r="A3291" s="6" t="s">
        <v>10171</v>
      </c>
      <c r="B3291" s="6">
        <v>161</v>
      </c>
      <c r="C3291" s="6">
        <v>35033759</v>
      </c>
      <c r="D3291" s="6" t="s">
        <v>696</v>
      </c>
      <c r="E3291" s="6" t="s">
        <v>5460</v>
      </c>
      <c r="F3291" s="6" t="s">
        <v>10172</v>
      </c>
      <c r="G3291" s="6">
        <v>55008</v>
      </c>
      <c r="H3291" s="6" t="s">
        <v>10173</v>
      </c>
      <c r="I3291" s="6">
        <v>93</v>
      </c>
      <c r="J3291" s="6" t="s">
        <v>23</v>
      </c>
      <c r="K3291" s="6" t="s">
        <v>24</v>
      </c>
      <c r="L3291" s="6">
        <v>19000000</v>
      </c>
      <c r="M3291" s="6">
        <v>2011</v>
      </c>
      <c r="N3291" s="6">
        <v>6.3</v>
      </c>
      <c r="O3291" s="4">
        <f ca="1">IFERROR(__xludf.DUMMYFUNCTION("IF(Cost_in_dollars!E3291=""USD"",Cost_in_dollars!B3291,Cost_in_dollars!B3291 * GOOGLEFINANCE(""CURRENCY:"" &amp; Cost_in_dollars!E3291 &amp; ""USD""))
"),19000000)</f>
        <v>19000000</v>
      </c>
      <c r="P3291" s="4">
        <f ca="1">IFERROR(__xludf.DUMMYFUNCTION("IF(Cost_in_dollars!E3291=""USD"",Cost_in_dollars!C3291,Cost_in_dollars!C3291 * GOOGLEFINANCE(""CURRENCY:"" &amp; Cost_in_dollars!E3291 &amp; ""USD""))
"),35033759)</f>
        <v>35033759</v>
      </c>
      <c r="Q3291" s="6">
        <f t="shared" ca="1" si="72"/>
        <v>16033759</v>
      </c>
      <c r="R3291" s="7" t="str">
        <f t="shared" si="73"/>
        <v>A Very Harold &amp; Kumar 3D Christmas</v>
      </c>
      <c r="S3291" s="43" t="str">
        <f t="shared" si="77"/>
        <v>Adventure</v>
      </c>
    </row>
    <row r="3292" spans="1:19" ht="15.75" customHeight="1" x14ac:dyDescent="0.25">
      <c r="A3292" s="4" t="s">
        <v>1967</v>
      </c>
      <c r="B3292" s="4">
        <v>175</v>
      </c>
      <c r="C3292" s="4">
        <v>46455802</v>
      </c>
      <c r="D3292" s="4" t="s">
        <v>309</v>
      </c>
      <c r="E3292" s="4" t="s">
        <v>10174</v>
      </c>
      <c r="F3292" s="4" t="s">
        <v>10175</v>
      </c>
      <c r="G3292" s="4">
        <v>120786</v>
      </c>
      <c r="H3292" s="4" t="s">
        <v>10176</v>
      </c>
      <c r="I3292" s="4">
        <v>472</v>
      </c>
      <c r="J3292" s="4" t="s">
        <v>23</v>
      </c>
      <c r="K3292" s="4" t="s">
        <v>24</v>
      </c>
      <c r="L3292" s="4">
        <v>26000000</v>
      </c>
      <c r="M3292" s="4">
        <v>2003</v>
      </c>
      <c r="N3292" s="4">
        <v>6.2</v>
      </c>
      <c r="O3292" s="4">
        <f ca="1">IFERROR(__xludf.DUMMYFUNCTION("IF(Cost_in_dollars!E3292=""USD"",Cost_in_dollars!B3292,Cost_in_dollars!B3292 * GOOGLEFINANCE(""CURRENCY:"" &amp; Cost_in_dollars!E3292 &amp; ""USD""))
"),26000000)</f>
        <v>26000000</v>
      </c>
      <c r="P3292" s="4">
        <f ca="1">IFERROR(__xludf.DUMMYFUNCTION("IF(Cost_in_dollars!E3292=""USD"",Cost_in_dollars!C3292,Cost_in_dollars!C3292 * GOOGLEFINANCE(""CURRENCY:"" &amp; Cost_in_dollars!E3292 &amp; ""USD""))
"),46455802)</f>
        <v>46455802</v>
      </c>
      <c r="Q3292" s="4">
        <f t="shared" ca="1" si="72"/>
        <v>20455802</v>
      </c>
      <c r="R3292" s="5" t="str">
        <f t="shared" si="73"/>
        <v>Final Destination 2</v>
      </c>
      <c r="S3292" s="43" t="str">
        <f t="shared" si="77"/>
        <v>Horror</v>
      </c>
    </row>
    <row r="3293" spans="1:19" ht="15.75" customHeight="1" x14ac:dyDescent="0.25">
      <c r="A3293" s="6" t="s">
        <v>10177</v>
      </c>
      <c r="B3293" s="6">
        <v>44</v>
      </c>
      <c r="C3293" s="6">
        <v>36000000</v>
      </c>
      <c r="D3293" s="6" t="s">
        <v>1594</v>
      </c>
      <c r="E3293" s="6" t="s">
        <v>10178</v>
      </c>
      <c r="F3293" s="6" t="s">
        <v>10179</v>
      </c>
      <c r="G3293" s="6">
        <v>9456</v>
      </c>
      <c r="H3293" s="6" t="s">
        <v>10180</v>
      </c>
      <c r="I3293" s="6">
        <v>107</v>
      </c>
      <c r="J3293" s="6" t="s">
        <v>23</v>
      </c>
      <c r="K3293" s="6" t="s">
        <v>24</v>
      </c>
      <c r="L3293" s="6">
        <v>4000000</v>
      </c>
      <c r="M3293" s="6">
        <v>1952</v>
      </c>
      <c r="N3293" s="6">
        <v>6.7</v>
      </c>
      <c r="O3293" s="4">
        <f ca="1">IFERROR(__xludf.DUMMYFUNCTION("IF(Cost_in_dollars!E3293=""USD"",Cost_in_dollars!B3293,Cost_in_dollars!B3293 * GOOGLEFINANCE(""CURRENCY:"" &amp; Cost_in_dollars!E3293 &amp; ""USD""))
"),4000000)</f>
        <v>4000000</v>
      </c>
      <c r="P3293" s="4">
        <f ca="1">IFERROR(__xludf.DUMMYFUNCTION("IF(Cost_in_dollars!E3293=""USD"",Cost_in_dollars!C3293,Cost_in_dollars!C3293 * GOOGLEFINANCE(""CURRENCY:"" &amp; Cost_in_dollars!E3293 &amp; ""USD""))
"),36000000)</f>
        <v>36000000</v>
      </c>
      <c r="Q3293" s="6">
        <f t="shared" ca="1" si="72"/>
        <v>32000000</v>
      </c>
      <c r="R3293" s="7" t="str">
        <f t="shared" si="73"/>
        <v>The Greatest Show on Earth</v>
      </c>
      <c r="S3293" s="43" t="str">
        <f t="shared" si="77"/>
        <v>Drama</v>
      </c>
    </row>
    <row r="3294" spans="1:19" ht="15.75" customHeight="1" x14ac:dyDescent="0.25">
      <c r="A3294" s="4" t="s">
        <v>1289</v>
      </c>
      <c r="B3294" s="4">
        <v>100</v>
      </c>
      <c r="C3294" s="4">
        <v>115000000</v>
      </c>
      <c r="D3294" s="4" t="s">
        <v>465</v>
      </c>
      <c r="E3294" s="4" t="s">
        <v>640</v>
      </c>
      <c r="F3294" s="4" t="s">
        <v>10181</v>
      </c>
      <c r="G3294" s="4">
        <v>63839</v>
      </c>
      <c r="H3294" s="4" t="s">
        <v>10182</v>
      </c>
      <c r="I3294" s="4">
        <v>238</v>
      </c>
      <c r="J3294" s="4" t="s">
        <v>23</v>
      </c>
      <c r="K3294" s="4" t="s">
        <v>24</v>
      </c>
      <c r="L3294" s="4">
        <v>777000</v>
      </c>
      <c r="M3294" s="4">
        <v>1973</v>
      </c>
      <c r="N3294" s="4">
        <v>7.5</v>
      </c>
      <c r="O3294" s="4">
        <f ca="1">IFERROR(__xludf.DUMMYFUNCTION("IF(Cost_in_dollars!E3294=""USD"",Cost_in_dollars!B3294,Cost_in_dollars!B3294 * GOOGLEFINANCE(""CURRENCY:"" &amp; Cost_in_dollars!E3294 &amp; ""USD""))
"),777000)</f>
        <v>777000</v>
      </c>
      <c r="P3294" s="4">
        <f ca="1">IFERROR(__xludf.DUMMYFUNCTION("IF(Cost_in_dollars!E3294=""USD"",Cost_in_dollars!C3294,Cost_in_dollars!C3294 * GOOGLEFINANCE(""CURRENCY:"" &amp; Cost_in_dollars!E3294 &amp; ""USD""))
"),115000000)</f>
        <v>115000000</v>
      </c>
      <c r="Q3294" s="4">
        <f t="shared" ca="1" si="72"/>
        <v>114223000</v>
      </c>
      <c r="R3294" s="5" t="str">
        <f t="shared" si="73"/>
        <v>American Graffiti</v>
      </c>
      <c r="S3294" s="43" t="str">
        <f t="shared" si="77"/>
        <v>Comedy</v>
      </c>
    </row>
    <row r="3295" spans="1:19" ht="15.75" customHeight="1" x14ac:dyDescent="0.25">
      <c r="A3295" s="6" t="s">
        <v>2492</v>
      </c>
      <c r="B3295" s="6">
        <v>522</v>
      </c>
      <c r="C3295" s="6">
        <v>54696902</v>
      </c>
      <c r="D3295" s="6" t="s">
        <v>5580</v>
      </c>
      <c r="E3295" s="6" t="s">
        <v>2524</v>
      </c>
      <c r="F3295" s="6" t="s">
        <v>10183</v>
      </c>
      <c r="G3295" s="6">
        <v>379462</v>
      </c>
      <c r="H3295" s="6" t="s">
        <v>10184</v>
      </c>
      <c r="I3295" s="6">
        <v>571</v>
      </c>
      <c r="J3295" s="6" t="s">
        <v>23</v>
      </c>
      <c r="K3295" s="6" t="s">
        <v>24</v>
      </c>
      <c r="L3295" s="6">
        <v>32000000</v>
      </c>
      <c r="M3295" s="6">
        <v>2011</v>
      </c>
      <c r="N3295" s="6">
        <v>7.5</v>
      </c>
      <c r="O3295" s="4">
        <f ca="1">IFERROR(__xludf.DUMMYFUNCTION("IF(Cost_in_dollars!E3295=""USD"",Cost_in_dollars!B3295,Cost_in_dollars!B3295 * GOOGLEFINANCE(""CURRENCY:"" &amp; Cost_in_dollars!E3295 &amp; ""USD""))
"),32000000)</f>
        <v>32000000</v>
      </c>
      <c r="P3295" s="4">
        <f ca="1">IFERROR(__xludf.DUMMYFUNCTION("IF(Cost_in_dollars!E3295=""USD"",Cost_in_dollars!C3295,Cost_in_dollars!C3295 * GOOGLEFINANCE(""CURRENCY:"" &amp; Cost_in_dollars!E3295 &amp; ""USD""))
"),54696902)</f>
        <v>54696902</v>
      </c>
      <c r="Q3295" s="6">
        <f t="shared" ca="1" si="72"/>
        <v>22696902</v>
      </c>
      <c r="R3295" s="7" t="str">
        <f t="shared" si="73"/>
        <v>Source Code</v>
      </c>
      <c r="S3295" s="43" t="str">
        <f t="shared" si="77"/>
        <v>Mystery</v>
      </c>
    </row>
    <row r="3296" spans="1:19" ht="15.75" customHeight="1" x14ac:dyDescent="0.25">
      <c r="A3296" s="4" t="s">
        <v>313</v>
      </c>
      <c r="B3296" s="4">
        <v>253</v>
      </c>
      <c r="C3296" s="4">
        <v>80050171</v>
      </c>
      <c r="D3296" s="4" t="s">
        <v>314</v>
      </c>
      <c r="E3296" s="4" t="s">
        <v>315</v>
      </c>
      <c r="F3296" s="4" t="s">
        <v>316</v>
      </c>
      <c r="G3296" s="4">
        <v>186982</v>
      </c>
      <c r="H3296" s="4" t="s">
        <v>317</v>
      </c>
      <c r="I3296" s="4">
        <v>491</v>
      </c>
      <c r="J3296" s="4" t="s">
        <v>23</v>
      </c>
      <c r="K3296" s="4" t="s">
        <v>24</v>
      </c>
      <c r="L3296" s="4">
        <v>20000000</v>
      </c>
      <c r="M3296" s="4">
        <v>2007</v>
      </c>
      <c r="N3296" s="4">
        <v>6.9</v>
      </c>
      <c r="O3296" s="4">
        <f ca="1">IFERROR(__xludf.DUMMYFUNCTION("IF(Cost_in_dollars!E3296=""USD"",Cost_in_dollars!B3296,Cost_in_dollars!B3296 * GOOGLEFINANCE(""CURRENCY:"" &amp; Cost_in_dollars!E3296 &amp; ""USD""))
"),20000000)</f>
        <v>20000000</v>
      </c>
      <c r="P3296" s="4">
        <f ca="1">IFERROR(__xludf.DUMMYFUNCTION("IF(Cost_in_dollars!E3296=""USD"",Cost_in_dollars!C3296,Cost_in_dollars!C3296 * GOOGLEFINANCE(""CURRENCY:"" &amp; Cost_in_dollars!E3296 &amp; ""USD""))
"),80050171)</f>
        <v>80050171</v>
      </c>
      <c r="Q3296" s="4">
        <f t="shared" ca="1" si="72"/>
        <v>60050171</v>
      </c>
      <c r="R3296" s="5" t="str">
        <f t="shared" si="73"/>
        <v>Disturbia</v>
      </c>
      <c r="S3296" s="43" t="str">
        <f t="shared" si="77"/>
        <v>Drama</v>
      </c>
    </row>
    <row r="3297" spans="1:19" ht="15.75" customHeight="1" x14ac:dyDescent="0.25">
      <c r="A3297" s="6" t="s">
        <v>1755</v>
      </c>
      <c r="B3297" s="6">
        <v>67</v>
      </c>
      <c r="C3297" s="6">
        <v>13383737</v>
      </c>
      <c r="D3297" s="6" t="s">
        <v>443</v>
      </c>
      <c r="E3297" s="6" t="s">
        <v>1860</v>
      </c>
      <c r="F3297" s="6" t="s">
        <v>10185</v>
      </c>
      <c r="G3297" s="6">
        <v>29385</v>
      </c>
      <c r="H3297" s="6" t="s">
        <v>10186</v>
      </c>
      <c r="I3297" s="6">
        <v>86</v>
      </c>
      <c r="J3297" s="6" t="s">
        <v>23</v>
      </c>
      <c r="K3297" s="6" t="s">
        <v>24</v>
      </c>
      <c r="L3297" s="6">
        <v>20000000</v>
      </c>
      <c r="M3297" s="6">
        <v>1994</v>
      </c>
      <c r="N3297" s="6">
        <v>7.5</v>
      </c>
      <c r="O3297" s="4">
        <f ca="1">IFERROR(__xludf.DUMMYFUNCTION("IF(Cost_in_dollars!E3297=""USD"",Cost_in_dollars!B3297,Cost_in_dollars!B3297 * GOOGLEFINANCE(""CURRENCY:"" &amp; Cost_in_dollars!E3297 &amp; ""USD""))
"),20000000)</f>
        <v>20000000</v>
      </c>
      <c r="P3297" s="4">
        <f ca="1">IFERROR(__xludf.DUMMYFUNCTION("IF(Cost_in_dollars!E3297=""USD"",Cost_in_dollars!C3297,Cost_in_dollars!C3297 * GOOGLEFINANCE(""CURRENCY:"" &amp; Cost_in_dollars!E3297 &amp; ""USD""))
"),13383737)</f>
        <v>13383737</v>
      </c>
      <c r="Q3297" s="6">
        <f t="shared" ca="1" si="72"/>
        <v>-6616263</v>
      </c>
      <c r="R3297" s="7" t="str">
        <f t="shared" si="73"/>
        <v>Bullets Over Broadway</v>
      </c>
      <c r="S3297" s="43" t="str">
        <f t="shared" si="77"/>
        <v>Comedy</v>
      </c>
    </row>
    <row r="3298" spans="1:19" ht="15.75" customHeight="1" x14ac:dyDescent="0.25">
      <c r="A3298" s="4" t="s">
        <v>10187</v>
      </c>
      <c r="B3298" s="4">
        <v>224</v>
      </c>
      <c r="C3298" s="4">
        <v>76137505</v>
      </c>
      <c r="D3298" s="4" t="s">
        <v>2771</v>
      </c>
      <c r="E3298" s="4" t="s">
        <v>7359</v>
      </c>
      <c r="F3298" s="4" t="s">
        <v>10188</v>
      </c>
      <c r="G3298" s="4">
        <v>49207</v>
      </c>
      <c r="H3298" s="4" t="s">
        <v>10189</v>
      </c>
      <c r="I3298" s="4">
        <v>174</v>
      </c>
      <c r="J3298" s="4" t="s">
        <v>23</v>
      </c>
      <c r="K3298" s="4" t="s">
        <v>133</v>
      </c>
      <c r="L3298" s="4">
        <v>55000000</v>
      </c>
      <c r="M3298" s="4">
        <v>2014</v>
      </c>
      <c r="N3298" s="4">
        <v>7.2</v>
      </c>
      <c r="O3298" s="4">
        <f ca="1">IFERROR(__xludf.DUMMYFUNCTION("IF(Cost_in_dollars!E3298=""USD"",Cost_in_dollars!B3298,Cost_in_dollars!B3298 * GOOGLEFINANCE(""CURRENCY:"" &amp; Cost_in_dollars!E3298 &amp; ""USD""))
"),70697000)</f>
        <v>70697000</v>
      </c>
      <c r="P3298" s="4">
        <f ca="1">IFERROR(__xludf.DUMMYFUNCTION("IF(Cost_in_dollars!E3298=""USD"",Cost_in_dollars!C3298,Cost_in_dollars!C3298 * GOOGLEFINANCE(""CURRENCY:"" &amp; Cost_in_dollars!E3298 &amp; ""USD""))
"),97867148.9269999)</f>
        <v>97867148.926999897</v>
      </c>
      <c r="Q3298" s="4">
        <f t="shared" ca="1" si="72"/>
        <v>27170148.926999897</v>
      </c>
      <c r="R3298" s="5" t="str">
        <f t="shared" si="73"/>
        <v>Paddington</v>
      </c>
      <c r="S3298" s="43" t="str">
        <f t="shared" si="77"/>
        <v>Animation</v>
      </c>
    </row>
    <row r="3299" spans="1:19" ht="15.75" customHeight="1" x14ac:dyDescent="0.25">
      <c r="A3299" s="6" t="s">
        <v>10190</v>
      </c>
      <c r="B3299" s="6">
        <v>80</v>
      </c>
      <c r="C3299" s="6">
        <v>145109</v>
      </c>
      <c r="D3299" s="6" t="s">
        <v>5492</v>
      </c>
      <c r="E3299" s="6" t="s">
        <v>10191</v>
      </c>
      <c r="F3299" s="6" t="s">
        <v>10192</v>
      </c>
      <c r="G3299" s="6">
        <v>14247</v>
      </c>
      <c r="H3299" s="6" t="s">
        <v>10193</v>
      </c>
      <c r="I3299" s="6">
        <v>44</v>
      </c>
      <c r="J3299" s="6" t="s">
        <v>4277</v>
      </c>
      <c r="K3299" s="6" t="s">
        <v>4041</v>
      </c>
      <c r="L3299" s="6">
        <v>45000000</v>
      </c>
      <c r="M3299" s="6">
        <v>2008</v>
      </c>
      <c r="N3299" s="6">
        <v>7.3</v>
      </c>
      <c r="O3299" s="4">
        <f ca="1">IFERROR(__xludf.DUMMYFUNCTION("IF(Cost_in_dollars!E3299=""USD"",Cost_in_dollars!B3299,Cost_in_dollars!B3299 * GOOGLEFINANCE(""CURRENCY:"" &amp; Cost_in_dollars!E3299 &amp; ""USD""))
"),6540412.49999999)</f>
        <v>6540412.4999999898</v>
      </c>
      <c r="P3299" s="4">
        <f ca="1">IFERROR(__xludf.DUMMYFUNCTION("IF(Cost_in_dollars!E3299=""USD"",Cost_in_dollars!C3299,Cost_in_dollars!C3299 * GOOGLEFINANCE(""CURRENCY:"" &amp; Cost_in_dollars!E3299 &amp; ""USD""))
"),21090.5048325)</f>
        <v>21090.504832499999</v>
      </c>
      <c r="Q3299" s="6">
        <f t="shared" ca="1" si="72"/>
        <v>-6519321.9951674901</v>
      </c>
      <c r="R3299" s="7" t="str">
        <f t="shared" si="73"/>
        <v>Flame and Citron</v>
      </c>
      <c r="S3299" s="43" t="str">
        <f t="shared" si="77"/>
        <v>Drama</v>
      </c>
    </row>
    <row r="3300" spans="1:19" ht="15.75" customHeight="1" x14ac:dyDescent="0.25">
      <c r="A3300" s="4" t="s">
        <v>7755</v>
      </c>
      <c r="B3300" s="4">
        <v>81</v>
      </c>
      <c r="C3300" s="4">
        <v>26161406</v>
      </c>
      <c r="D3300" s="4" t="s">
        <v>1888</v>
      </c>
      <c r="E3300" s="4" t="s">
        <v>10194</v>
      </c>
      <c r="F3300" s="4" t="s">
        <v>10195</v>
      </c>
      <c r="G3300" s="4">
        <v>13874</v>
      </c>
      <c r="H3300" s="4" t="s">
        <v>10196</v>
      </c>
      <c r="I3300" s="4">
        <v>52</v>
      </c>
      <c r="J3300" s="4" t="s">
        <v>23</v>
      </c>
      <c r="K3300" s="4" t="s">
        <v>24</v>
      </c>
      <c r="L3300" s="4">
        <v>15000000</v>
      </c>
      <c r="M3300" s="4">
        <v>2010</v>
      </c>
      <c r="N3300" s="4">
        <v>6.7</v>
      </c>
      <c r="O3300" s="4">
        <f ca="1">IFERROR(__xludf.DUMMYFUNCTION("IF(Cost_in_dollars!E3300=""USD"",Cost_in_dollars!B3300,Cost_in_dollars!B3300 * GOOGLEFINANCE(""CURRENCY:"" &amp; Cost_in_dollars!E3300 &amp; ""USD""))
"),15000000)</f>
        <v>15000000</v>
      </c>
      <c r="P3300" s="4">
        <f ca="1">IFERROR(__xludf.DUMMYFUNCTION("IF(Cost_in_dollars!E3300=""USD"",Cost_in_dollars!C3300,Cost_in_dollars!C3300 * GOOGLEFINANCE(""CURRENCY:"" &amp; Cost_in_dollars!E3300 &amp; ""USD""))
"),26161406)</f>
        <v>26161406</v>
      </c>
      <c r="Q3300" s="4">
        <f t="shared" ca="1" si="72"/>
        <v>11161406</v>
      </c>
      <c r="R3300" s="5" t="str">
        <f t="shared" si="73"/>
        <v>Ramona and Beezus</v>
      </c>
      <c r="S3300" s="43" t="str">
        <f t="shared" si="77"/>
        <v>Adventure</v>
      </c>
    </row>
    <row r="3301" spans="1:19" ht="15.75" customHeight="1" x14ac:dyDescent="0.25">
      <c r="A3301" s="6" t="s">
        <v>863</v>
      </c>
      <c r="B3301" s="6">
        <v>94</v>
      </c>
      <c r="C3301" s="6">
        <v>138396624</v>
      </c>
      <c r="D3301" s="6" t="s">
        <v>793</v>
      </c>
      <c r="E3301" s="6" t="s">
        <v>2732</v>
      </c>
      <c r="F3301" s="6" t="s">
        <v>10197</v>
      </c>
      <c r="G3301" s="6">
        <v>178126</v>
      </c>
      <c r="H3301" s="6" t="s">
        <v>10198</v>
      </c>
      <c r="I3301" s="6">
        <v>511</v>
      </c>
      <c r="J3301" s="6" t="s">
        <v>23</v>
      </c>
      <c r="K3301" s="6" t="s">
        <v>24</v>
      </c>
      <c r="L3301" s="6">
        <v>130000000</v>
      </c>
      <c r="M3301" s="6">
        <v>2003</v>
      </c>
      <c r="N3301" s="6">
        <v>6.6</v>
      </c>
      <c r="O3301" s="4">
        <f ca="1">IFERROR(__xludf.DUMMYFUNCTION("IF(Cost_in_dollars!E3301=""USD"",Cost_in_dollars!B3301,Cost_in_dollars!B3301 * GOOGLEFINANCE(""CURRENCY:"" &amp; Cost_in_dollars!E3301 &amp; ""USD""))
"),130000000)</f>
        <v>130000000</v>
      </c>
      <c r="P3301" s="4">
        <f ca="1">IFERROR(__xludf.DUMMYFUNCTION("IF(Cost_in_dollars!E3301=""USD"",Cost_in_dollars!C3301,Cost_in_dollars!C3301 * GOOGLEFINANCE(""CURRENCY:"" &amp; Cost_in_dollars!E3301 &amp; ""USD""))
"),138396624)</f>
        <v>138396624</v>
      </c>
      <c r="Q3301" s="6">
        <f t="shared" ca="1" si="72"/>
        <v>8396624</v>
      </c>
      <c r="R3301" s="7" t="str">
        <f t="shared" si="73"/>
        <v>Bad Boys II</v>
      </c>
      <c r="S3301" s="43" t="str">
        <f t="shared" si="77"/>
        <v>Action</v>
      </c>
    </row>
    <row r="3302" spans="1:19" ht="15.75" customHeight="1" x14ac:dyDescent="0.25">
      <c r="A3302" s="4" t="s">
        <v>3999</v>
      </c>
      <c r="B3302" s="4">
        <v>89</v>
      </c>
      <c r="C3302" s="4">
        <v>111722000</v>
      </c>
      <c r="D3302" s="4" t="s">
        <v>3446</v>
      </c>
      <c r="E3302" s="4" t="s">
        <v>10118</v>
      </c>
      <c r="F3302" s="4" t="s">
        <v>10199</v>
      </c>
      <c r="G3302" s="4">
        <v>55816</v>
      </c>
      <c r="H3302" s="4" t="s">
        <v>10200</v>
      </c>
      <c r="I3302" s="4">
        <v>255</v>
      </c>
      <c r="J3302" s="4" t="s">
        <v>23</v>
      </c>
      <c r="K3302" s="4" t="s">
        <v>24</v>
      </c>
      <c r="L3302" s="4">
        <v>11000000</v>
      </c>
      <c r="M3302" s="4">
        <v>1965</v>
      </c>
      <c r="N3302" s="4">
        <v>8</v>
      </c>
      <c r="O3302" s="4">
        <f ca="1">IFERROR(__xludf.DUMMYFUNCTION("IF(Cost_in_dollars!E3302=""USD"",Cost_in_dollars!B3302,Cost_in_dollars!B3302 * GOOGLEFINANCE(""CURRENCY:"" &amp; Cost_in_dollars!E3302 &amp; ""USD""))
"),11000000)</f>
        <v>11000000</v>
      </c>
      <c r="P3302" s="4">
        <f ca="1">IFERROR(__xludf.DUMMYFUNCTION("IF(Cost_in_dollars!E3302=""USD"",Cost_in_dollars!C3302,Cost_in_dollars!C3302 * GOOGLEFINANCE(""CURRENCY:"" &amp; Cost_in_dollars!E3302 &amp; ""USD""))
"),111722000)</f>
        <v>111722000</v>
      </c>
      <c r="Q3302" s="4">
        <f t="shared" ca="1" si="72"/>
        <v>100722000</v>
      </c>
      <c r="R3302" s="5" t="str">
        <f t="shared" si="73"/>
        <v>Doctor Zhivago</v>
      </c>
      <c r="S3302" s="43" t="str">
        <f t="shared" si="77"/>
        <v>Drama</v>
      </c>
    </row>
    <row r="3303" spans="1:19" ht="15.75" customHeight="1" x14ac:dyDescent="0.25">
      <c r="A3303" s="6" t="s">
        <v>2421</v>
      </c>
      <c r="B3303" s="6">
        <v>137</v>
      </c>
      <c r="C3303" s="6">
        <v>11034436</v>
      </c>
      <c r="D3303" s="6" t="s">
        <v>10201</v>
      </c>
      <c r="E3303" s="6" t="s">
        <v>600</v>
      </c>
      <c r="F3303" s="6" t="s">
        <v>10202</v>
      </c>
      <c r="G3303" s="6">
        <v>13505</v>
      </c>
      <c r="H3303" s="6" t="s">
        <v>10203</v>
      </c>
      <c r="I3303" s="6">
        <v>180</v>
      </c>
      <c r="J3303" s="6" t="s">
        <v>23</v>
      </c>
      <c r="K3303" s="6" t="s">
        <v>133</v>
      </c>
      <c r="L3303" s="6">
        <v>20000000</v>
      </c>
      <c r="M3303" s="6">
        <v>2005</v>
      </c>
      <c r="N3303" s="6">
        <v>7.1</v>
      </c>
      <c r="O3303" s="4">
        <f ca="1">IFERROR(__xludf.DUMMYFUNCTION("IF(Cost_in_dollars!E3303=""USD"",Cost_in_dollars!B3303,Cost_in_dollars!B3303 * GOOGLEFINANCE(""CURRENCY:"" &amp; Cost_in_dollars!E3303 &amp; ""USD""))
"),25707999.9999999)</f>
        <v>25707999.999999899</v>
      </c>
      <c r="P3303" s="4">
        <f ca="1">IFERROR(__xludf.DUMMYFUNCTION("IF(Cost_in_dollars!E3303=""USD"",Cost_in_dollars!C3303,Cost_in_dollars!C3303 * GOOGLEFINANCE(""CURRENCY:"" &amp; Cost_in_dollars!E3303 &amp; ""USD""))
"),14183664.0344)</f>
        <v>14183664.034399999</v>
      </c>
      <c r="Q3303" s="6">
        <f t="shared" ca="1" si="72"/>
        <v>-11524335.9655999</v>
      </c>
      <c r="R3303" s="7" t="str">
        <f t="shared" si="73"/>
        <v>Mrs Henderson Presents</v>
      </c>
      <c r="S3303" s="43" t="str">
        <f t="shared" si="77"/>
        <v>Comedy</v>
      </c>
    </row>
    <row r="3304" spans="1:19" ht="15.75" customHeight="1" x14ac:dyDescent="0.25">
      <c r="A3304" s="4" t="s">
        <v>10204</v>
      </c>
      <c r="B3304" s="4">
        <v>65</v>
      </c>
      <c r="C3304" s="4">
        <v>129115</v>
      </c>
      <c r="D3304" s="4" t="s">
        <v>211</v>
      </c>
      <c r="E3304" s="4" t="s">
        <v>10205</v>
      </c>
      <c r="F3304" s="4" t="s">
        <v>10206</v>
      </c>
      <c r="G3304" s="4">
        <v>5900</v>
      </c>
      <c r="H3304" s="4" t="s">
        <v>10207</v>
      </c>
      <c r="I3304" s="4">
        <v>26</v>
      </c>
      <c r="J3304" s="4" t="s">
        <v>159</v>
      </c>
      <c r="K3304" s="4" t="s">
        <v>220</v>
      </c>
      <c r="L3304" s="4">
        <v>25000000</v>
      </c>
      <c r="M3304" s="4">
        <v>2014</v>
      </c>
      <c r="N3304" s="4">
        <v>6.5</v>
      </c>
      <c r="O3304" s="4">
        <f ca="1">IFERROR(__xludf.DUMMYFUNCTION("IF(Cost_in_dollars!E3304=""USD"",Cost_in_dollars!B3304,Cost_in_dollars!B3304 * GOOGLEFINANCE(""CURRENCY:"" &amp; Cost_in_dollars!E3304 &amp; ""USD""))
"),3457097.49999999)</f>
        <v>3457097.4999999902</v>
      </c>
      <c r="P3304" s="4">
        <f ca="1">IFERROR(__xludf.DUMMYFUNCTION("IF(Cost_in_dollars!E3304=""USD"",Cost_in_dollars!C3304,Cost_in_dollars!C3304 * GOOGLEFINANCE(""CURRENCY:"" &amp; Cost_in_dollars!E3304 &amp; ""USD""))
"),17854.5257484999)</f>
        <v>17854.525748499898</v>
      </c>
      <c r="Q3304" s="4">
        <f t="shared" ca="1" si="72"/>
        <v>-3439242.9742514906</v>
      </c>
      <c r="R3304" s="5" t="str">
        <f t="shared" si="73"/>
        <v>Kung Fu Killer</v>
      </c>
      <c r="S3304" s="43" t="str">
        <f t="shared" si="77"/>
        <v>Action</v>
      </c>
    </row>
    <row r="3305" spans="1:19" ht="15.75" customHeight="1" x14ac:dyDescent="0.25">
      <c r="A3305" s="6" t="s">
        <v>4278</v>
      </c>
      <c r="B3305" s="6">
        <v>100</v>
      </c>
      <c r="C3305" s="6">
        <v>9801782</v>
      </c>
      <c r="D3305" s="6" t="s">
        <v>592</v>
      </c>
      <c r="E3305" s="6" t="s">
        <v>508</v>
      </c>
      <c r="F3305" s="6" t="s">
        <v>10208</v>
      </c>
      <c r="G3305" s="6">
        <v>39331</v>
      </c>
      <c r="H3305" s="6" t="s">
        <v>10209</v>
      </c>
      <c r="I3305" s="6">
        <v>481</v>
      </c>
      <c r="J3305" s="6" t="s">
        <v>23</v>
      </c>
      <c r="K3305" s="6" t="s">
        <v>24</v>
      </c>
      <c r="L3305" s="6">
        <v>10000000</v>
      </c>
      <c r="M3305" s="6">
        <v>1998</v>
      </c>
      <c r="N3305" s="6">
        <v>6.3</v>
      </c>
      <c r="O3305" s="4">
        <f ca="1">IFERROR(__xludf.DUMMYFUNCTION("IF(Cost_in_dollars!E3305=""USD"",Cost_in_dollars!B3305,Cost_in_dollars!B3305 * GOOGLEFINANCE(""CURRENCY:"" &amp; Cost_in_dollars!E3305 &amp; ""USD""))
"),10000000)</f>
        <v>10000000</v>
      </c>
      <c r="P3305" s="4">
        <f ca="1">IFERROR(__xludf.DUMMYFUNCTION("IF(Cost_in_dollars!E3305=""USD"",Cost_in_dollars!C3305,Cost_in_dollars!C3305 * GOOGLEFINANCE(""CURRENCY:"" &amp; Cost_in_dollars!E3305 &amp; ""USD""))
"),9801782)</f>
        <v>9801782</v>
      </c>
      <c r="Q3305" s="6">
        <f t="shared" ca="1" si="72"/>
        <v>-198218</v>
      </c>
      <c r="R3305" s="7" t="str">
        <f t="shared" si="73"/>
        <v>Very Bad Things</v>
      </c>
      <c r="S3305" s="43" t="str">
        <f t="shared" si="77"/>
        <v>Comedy</v>
      </c>
    </row>
    <row r="3306" spans="1:19" ht="15.75" customHeight="1" x14ac:dyDescent="0.25">
      <c r="A3306" s="4" t="s">
        <v>4364</v>
      </c>
      <c r="B3306" s="4">
        <v>173</v>
      </c>
      <c r="C3306" s="4">
        <v>55865715</v>
      </c>
      <c r="D3306" s="4" t="s">
        <v>2396</v>
      </c>
      <c r="E3306" s="4" t="s">
        <v>9214</v>
      </c>
      <c r="F3306" s="4" t="s">
        <v>10210</v>
      </c>
      <c r="G3306" s="4">
        <v>41763</v>
      </c>
      <c r="H3306" s="4" t="s">
        <v>10211</v>
      </c>
      <c r="I3306" s="4">
        <v>403</v>
      </c>
      <c r="J3306" s="4" t="s">
        <v>23</v>
      </c>
      <c r="K3306" s="4" t="s">
        <v>133</v>
      </c>
      <c r="L3306" s="4">
        <v>10000000</v>
      </c>
      <c r="M3306" s="4">
        <v>2005</v>
      </c>
      <c r="N3306" s="4">
        <v>5.5</v>
      </c>
      <c r="O3306" s="4">
        <f ca="1">IFERROR(__xludf.DUMMYFUNCTION("IF(Cost_in_dollars!E3306=""USD"",Cost_in_dollars!B3306,Cost_in_dollars!B3306 * GOOGLEFINANCE(""CURRENCY:"" &amp; Cost_in_dollars!E3306 &amp; ""USD""))
"),12853999.9999999)</f>
        <v>12853999.999999899</v>
      </c>
      <c r="P3306" s="4">
        <f ca="1">IFERROR(__xludf.DUMMYFUNCTION("IF(Cost_in_dollars!E3306=""USD"",Cost_in_dollars!C3306,Cost_in_dollars!C3306 * GOOGLEFINANCE(""CURRENCY:"" &amp; Cost_in_dollars!E3306 &amp; ""USD""))
"),71809790.0609999)</f>
        <v>71809790.0609999</v>
      </c>
      <c r="Q3306" s="4">
        <f t="shared" ca="1" si="72"/>
        <v>58955790.061000004</v>
      </c>
      <c r="R3306" s="5" t="str">
        <f t="shared" si="73"/>
        <v>White Noise</v>
      </c>
      <c r="S3306" s="43" t="str">
        <f t="shared" si="77"/>
        <v>Drama</v>
      </c>
    </row>
    <row r="3307" spans="1:19" ht="15.75" customHeight="1" x14ac:dyDescent="0.25">
      <c r="A3307" s="6" t="s">
        <v>67</v>
      </c>
      <c r="B3307" s="6">
        <v>158</v>
      </c>
      <c r="C3307" s="6">
        <v>7916887</v>
      </c>
      <c r="D3307" s="6" t="s">
        <v>10212</v>
      </c>
      <c r="E3307" s="6" t="s">
        <v>767</v>
      </c>
      <c r="F3307" s="6" t="s">
        <v>10213</v>
      </c>
      <c r="G3307" s="6">
        <v>15697</v>
      </c>
      <c r="H3307" s="6" t="s">
        <v>10214</v>
      </c>
      <c r="I3307" s="6">
        <v>182</v>
      </c>
      <c r="J3307" s="6" t="s">
        <v>23</v>
      </c>
      <c r="K3307" s="6" t="s">
        <v>24</v>
      </c>
      <c r="L3307" s="6">
        <v>45000000</v>
      </c>
      <c r="M3307" s="6">
        <v>2008</v>
      </c>
      <c r="N3307" s="6">
        <v>6</v>
      </c>
      <c r="O3307" s="4">
        <f ca="1">IFERROR(__xludf.DUMMYFUNCTION("IF(Cost_in_dollars!E3307=""USD"",Cost_in_dollars!B3307,Cost_in_dollars!B3307 * GOOGLEFINANCE(""CURRENCY:"" &amp; Cost_in_dollars!E3307 &amp; ""USD""))
"),45000000)</f>
        <v>45000000</v>
      </c>
      <c r="P3307" s="4">
        <f ca="1">IFERROR(__xludf.DUMMYFUNCTION("IF(Cost_in_dollars!E3307=""USD"",Cost_in_dollars!C3307,Cost_in_dollars!C3307 * GOOGLEFINANCE(""CURRENCY:"" &amp; Cost_in_dollars!E3307 &amp; ""USD""))
"),7916887)</f>
        <v>7916887</v>
      </c>
      <c r="Q3307" s="6">
        <f t="shared" ca="1" si="72"/>
        <v>-37083113</v>
      </c>
      <c r="R3307" s="7" t="str">
        <f t="shared" si="73"/>
        <v>Miracle at St. Anna</v>
      </c>
      <c r="S3307" s="43" t="str">
        <f t="shared" si="77"/>
        <v>Action</v>
      </c>
    </row>
    <row r="3308" spans="1:19" ht="15.75" customHeight="1" x14ac:dyDescent="0.25">
      <c r="A3308" s="4" t="s">
        <v>2072</v>
      </c>
      <c r="B3308" s="4">
        <v>111</v>
      </c>
      <c r="C3308" s="4">
        <v>48472213</v>
      </c>
      <c r="D3308" s="4" t="s">
        <v>268</v>
      </c>
      <c r="E3308" s="4" t="s">
        <v>2064</v>
      </c>
      <c r="F3308" s="4" t="s">
        <v>10215</v>
      </c>
      <c r="G3308" s="4">
        <v>51252</v>
      </c>
      <c r="H3308" s="4" t="s">
        <v>10216</v>
      </c>
      <c r="I3308" s="4">
        <v>156</v>
      </c>
      <c r="J3308" s="4" t="s">
        <v>23</v>
      </c>
      <c r="K3308" s="4" t="s">
        <v>24</v>
      </c>
      <c r="L3308" s="4">
        <v>45000000</v>
      </c>
      <c r="M3308" s="4">
        <v>2005</v>
      </c>
      <c r="N3308" s="4">
        <v>5</v>
      </c>
      <c r="O3308" s="4">
        <f ca="1">IFERROR(__xludf.DUMMYFUNCTION("IF(Cost_in_dollars!E3308=""USD"",Cost_in_dollars!B3308,Cost_in_dollars!B3308 * GOOGLEFINANCE(""CURRENCY:"" &amp; Cost_in_dollars!E3308 &amp; ""USD""))
"),45000000)</f>
        <v>45000000</v>
      </c>
      <c r="P3308" s="4">
        <f ca="1">IFERROR(__xludf.DUMMYFUNCTION("IF(Cost_in_dollars!E3308=""USD"",Cost_in_dollars!C3308,Cost_in_dollars!C3308 * GOOGLEFINANCE(""CURRENCY:"" &amp; Cost_in_dollars!E3308 &amp; ""USD""))
"),48472213)</f>
        <v>48472213</v>
      </c>
      <c r="Q3308" s="4">
        <f t="shared" ca="1" si="72"/>
        <v>3472213</v>
      </c>
      <c r="R3308" s="5" t="str">
        <f t="shared" si="73"/>
        <v>Miss Congeniality 2: Armed and Fabulous</v>
      </c>
      <c r="S3308" s="43" t="str">
        <f t="shared" si="77"/>
        <v>Action</v>
      </c>
    </row>
    <row r="3309" spans="1:19" ht="15.75" customHeight="1" x14ac:dyDescent="0.25">
      <c r="A3309" s="6" t="s">
        <v>3507</v>
      </c>
      <c r="B3309" s="6">
        <v>131</v>
      </c>
      <c r="C3309" s="6">
        <v>39143839</v>
      </c>
      <c r="D3309" s="6" t="s">
        <v>309</v>
      </c>
      <c r="E3309" s="6" t="s">
        <v>3508</v>
      </c>
      <c r="F3309" s="6" t="s">
        <v>10217</v>
      </c>
      <c r="G3309" s="6">
        <v>38658</v>
      </c>
      <c r="H3309" s="6" t="s">
        <v>10218</v>
      </c>
      <c r="I3309" s="6">
        <v>284</v>
      </c>
      <c r="J3309" s="6" t="s">
        <v>23</v>
      </c>
      <c r="K3309" s="6" t="s">
        <v>24</v>
      </c>
      <c r="L3309" s="6">
        <v>20000000</v>
      </c>
      <c r="M3309" s="6">
        <v>2006</v>
      </c>
      <c r="N3309" s="6">
        <v>5</v>
      </c>
      <c r="O3309" s="4">
        <f ca="1">IFERROR(__xludf.DUMMYFUNCTION("IF(Cost_in_dollars!E3309=""USD"",Cost_in_dollars!B3309,Cost_in_dollars!B3309 * GOOGLEFINANCE(""CURRENCY:"" &amp; Cost_in_dollars!E3309 &amp; ""USD""))
"),20000000)</f>
        <v>20000000</v>
      </c>
      <c r="P3309" s="4">
        <f ca="1">IFERROR(__xludf.DUMMYFUNCTION("IF(Cost_in_dollars!E3309=""USD"",Cost_in_dollars!C3309,Cost_in_dollars!C3309 * GOOGLEFINANCE(""CURRENCY:"" &amp; Cost_in_dollars!E3309 &amp; ""USD""))
"),39143839)</f>
        <v>39143839</v>
      </c>
      <c r="Q3309" s="6">
        <f t="shared" ca="1" si="72"/>
        <v>19143839</v>
      </c>
      <c r="R3309" s="7" t="str">
        <f t="shared" si="73"/>
        <v>The Grudge 2</v>
      </c>
      <c r="S3309" s="43" t="str">
        <f t="shared" si="77"/>
        <v>Horror</v>
      </c>
    </row>
    <row r="3310" spans="1:19" ht="15.75" customHeight="1" x14ac:dyDescent="0.25">
      <c r="A3310" s="4" t="s">
        <v>258</v>
      </c>
      <c r="B3310" s="4">
        <v>131</v>
      </c>
      <c r="C3310" s="4">
        <v>90646554</v>
      </c>
      <c r="D3310" s="4" t="s">
        <v>1827</v>
      </c>
      <c r="E3310" s="4" t="s">
        <v>2547</v>
      </c>
      <c r="F3310" s="4" t="s">
        <v>10219</v>
      </c>
      <c r="G3310" s="4">
        <v>124641</v>
      </c>
      <c r="H3310" s="4" t="s">
        <v>10220</v>
      </c>
      <c r="I3310" s="4">
        <v>289</v>
      </c>
      <c r="J3310" s="4" t="s">
        <v>23</v>
      </c>
      <c r="K3310" s="4" t="s">
        <v>24</v>
      </c>
      <c r="L3310" s="4">
        <v>105000000</v>
      </c>
      <c r="M3310" s="4">
        <v>1998</v>
      </c>
      <c r="N3310" s="4">
        <v>6.6</v>
      </c>
      <c r="O3310" s="4">
        <f ca="1">IFERROR(__xludf.DUMMYFUNCTION("IF(Cost_in_dollars!E3310=""USD"",Cost_in_dollars!B3310,Cost_in_dollars!B3310 * GOOGLEFINANCE(""CURRENCY:"" &amp; Cost_in_dollars!E3310 &amp; ""USD""))
"),105000000)</f>
        <v>105000000</v>
      </c>
      <c r="P3310" s="4">
        <f ca="1">IFERROR(__xludf.DUMMYFUNCTION("IF(Cost_in_dollars!E3310=""USD"",Cost_in_dollars!C3310,Cost_in_dollars!C3310 * GOOGLEFINANCE(""CURRENCY:"" &amp; Cost_in_dollars!E3310 &amp; ""USD""))
"),90646554)</f>
        <v>90646554</v>
      </c>
      <c r="Q3310" s="4">
        <f t="shared" ca="1" si="72"/>
        <v>-14353446</v>
      </c>
      <c r="R3310" s="5" t="str">
        <f t="shared" si="73"/>
        <v>Antz</v>
      </c>
      <c r="S3310" s="43" t="str">
        <f t="shared" si="77"/>
        <v>Adventure</v>
      </c>
    </row>
    <row r="3311" spans="1:19" ht="15.75" customHeight="1" x14ac:dyDescent="0.25">
      <c r="A3311" s="6" t="s">
        <v>10221</v>
      </c>
      <c r="B3311" s="6">
        <v>36</v>
      </c>
      <c r="C3311" s="6">
        <v>2808000</v>
      </c>
      <c r="D3311" s="6" t="s">
        <v>6180</v>
      </c>
      <c r="E3311" s="6" t="s">
        <v>10222</v>
      </c>
      <c r="F3311" s="6" t="s">
        <v>10223</v>
      </c>
      <c r="G3311" s="6">
        <v>4546</v>
      </c>
      <c r="H3311" s="6" t="s">
        <v>10224</v>
      </c>
      <c r="I3311" s="6">
        <v>71</v>
      </c>
      <c r="J3311" s="6" t="s">
        <v>23</v>
      </c>
      <c r="K3311" s="6" t="s">
        <v>24</v>
      </c>
      <c r="L3311" s="6">
        <v>379000</v>
      </c>
      <c r="M3311" s="6">
        <v>1929</v>
      </c>
      <c r="N3311" s="6">
        <v>6.3</v>
      </c>
      <c r="O3311" s="4">
        <f ca="1">IFERROR(__xludf.DUMMYFUNCTION("IF(Cost_in_dollars!E3311=""USD"",Cost_in_dollars!B3311,Cost_in_dollars!B3311 * GOOGLEFINANCE(""CURRENCY:"" &amp; Cost_in_dollars!E3311 &amp; ""USD""))
"),379000)</f>
        <v>379000</v>
      </c>
      <c r="P3311" s="4">
        <f ca="1">IFERROR(__xludf.DUMMYFUNCTION("IF(Cost_in_dollars!E3311=""USD"",Cost_in_dollars!C3311,Cost_in_dollars!C3311 * GOOGLEFINANCE(""CURRENCY:"" &amp; Cost_in_dollars!E3311 &amp; ""USD""))
"),2808000)</f>
        <v>2808000</v>
      </c>
      <c r="Q3311" s="6">
        <f t="shared" ca="1" si="72"/>
        <v>2429000</v>
      </c>
      <c r="R3311" s="7" t="str">
        <f t="shared" si="73"/>
        <v>The Broadway Melody</v>
      </c>
      <c r="S3311" s="43" t="str">
        <f t="shared" si="77"/>
        <v>Musical</v>
      </c>
    </row>
    <row r="3312" spans="1:19" ht="15.75" customHeight="1" x14ac:dyDescent="0.25">
      <c r="A3312" s="4" t="s">
        <v>1321</v>
      </c>
      <c r="B3312" s="4">
        <v>269</v>
      </c>
      <c r="C3312" s="4">
        <v>83077470</v>
      </c>
      <c r="D3312" s="4" t="s">
        <v>5492</v>
      </c>
      <c r="E3312" s="4" t="s">
        <v>223</v>
      </c>
      <c r="F3312" s="4" t="s">
        <v>10225</v>
      </c>
      <c r="G3312" s="4">
        <v>183247</v>
      </c>
      <c r="H3312" s="4" t="s">
        <v>10226</v>
      </c>
      <c r="I3312" s="4">
        <v>440</v>
      </c>
      <c r="J3312" s="4" t="s">
        <v>23</v>
      </c>
      <c r="K3312" s="4" t="s">
        <v>24</v>
      </c>
      <c r="L3312" s="4">
        <v>75000000</v>
      </c>
      <c r="M3312" s="4">
        <v>2008</v>
      </c>
      <c r="N3312" s="4">
        <v>7.1</v>
      </c>
      <c r="O3312" s="4">
        <f ca="1">IFERROR(__xludf.DUMMYFUNCTION("IF(Cost_in_dollars!E3312=""USD"",Cost_in_dollars!B3312,Cost_in_dollars!B3312 * GOOGLEFINANCE(""CURRENCY:"" &amp; Cost_in_dollars!E3312 &amp; ""USD""))
"),75000000)</f>
        <v>75000000</v>
      </c>
      <c r="P3312" s="4">
        <f ca="1">IFERROR(__xludf.DUMMYFUNCTION("IF(Cost_in_dollars!E3312=""USD"",Cost_in_dollars!C3312,Cost_in_dollars!C3312 * GOOGLEFINANCE(""CURRENCY:"" &amp; Cost_in_dollars!E3312 &amp; ""USD""))
"),83077470)</f>
        <v>83077470</v>
      </c>
      <c r="Q3312" s="4">
        <f t="shared" ca="1" si="72"/>
        <v>8077470</v>
      </c>
      <c r="R3312" s="5" t="str">
        <f t="shared" si="73"/>
        <v>Valkyrie</v>
      </c>
      <c r="S3312" s="43" t="str">
        <f t="shared" si="77"/>
        <v>Drama</v>
      </c>
    </row>
    <row r="3313" spans="1:19" ht="15.75" customHeight="1" x14ac:dyDescent="0.25">
      <c r="A3313" s="6" t="s">
        <v>10227</v>
      </c>
      <c r="B3313" s="6">
        <v>60</v>
      </c>
      <c r="C3313" s="6">
        <v>5480318</v>
      </c>
      <c r="D3313" s="6" t="s">
        <v>457</v>
      </c>
      <c r="E3313" s="6" t="s">
        <v>8157</v>
      </c>
      <c r="F3313" s="6" t="s">
        <v>10228</v>
      </c>
      <c r="G3313" s="6">
        <v>9427</v>
      </c>
      <c r="H3313" s="6" t="s">
        <v>10229</v>
      </c>
      <c r="I3313" s="6">
        <v>79</v>
      </c>
      <c r="J3313" s="6" t="s">
        <v>23</v>
      </c>
      <c r="K3313" s="6" t="s">
        <v>24</v>
      </c>
      <c r="L3313" s="6">
        <v>5000000</v>
      </c>
      <c r="M3313" s="6">
        <v>1998</v>
      </c>
      <c r="N3313" s="6">
        <v>6.6</v>
      </c>
      <c r="O3313" s="4">
        <f ca="1">IFERROR(__xludf.DUMMYFUNCTION("IF(Cost_in_dollars!E3313=""USD"",Cost_in_dollars!B3313,Cost_in_dollars!B3313 * GOOGLEFINANCE(""CURRENCY:"" &amp; Cost_in_dollars!E3313 &amp; ""USD""))
"),5000000)</f>
        <v>5000000</v>
      </c>
      <c r="P3313" s="4">
        <f ca="1">IFERROR(__xludf.DUMMYFUNCTION("IF(Cost_in_dollars!E3313=""USD"",Cost_in_dollars!C3313,Cost_in_dollars!C3313 * GOOGLEFINANCE(""CURRENCY:"" &amp; Cost_in_dollars!E3313 &amp; ""USD""))
"),5480318)</f>
        <v>5480318</v>
      </c>
      <c r="Q3313" s="6">
        <f t="shared" ca="1" si="72"/>
        <v>480318</v>
      </c>
      <c r="R3313" s="7" t="str">
        <f t="shared" si="73"/>
        <v>Slums of Beverly Hills</v>
      </c>
      <c r="S3313" s="43" t="str">
        <f t="shared" si="77"/>
        <v>Comedy</v>
      </c>
    </row>
    <row r="3314" spans="1:19" ht="15.75" customHeight="1" x14ac:dyDescent="0.25">
      <c r="A3314" s="4" t="s">
        <v>1298</v>
      </c>
      <c r="B3314" s="4">
        <v>65</v>
      </c>
      <c r="C3314" s="4">
        <v>70163652</v>
      </c>
      <c r="D3314" s="4" t="s">
        <v>443</v>
      </c>
      <c r="E3314" s="4" t="s">
        <v>2272</v>
      </c>
      <c r="F3314" s="4" t="s">
        <v>10230</v>
      </c>
      <c r="G3314" s="4">
        <v>31968</v>
      </c>
      <c r="H3314" s="4" t="s">
        <v>10231</v>
      </c>
      <c r="I3314" s="4">
        <v>82</v>
      </c>
      <c r="J3314" s="4" t="s">
        <v>23</v>
      </c>
      <c r="K3314" s="4" t="s">
        <v>24</v>
      </c>
      <c r="L3314" s="4">
        <v>40000000</v>
      </c>
      <c r="M3314" s="4">
        <v>2006</v>
      </c>
      <c r="N3314" s="4">
        <v>4.5999999999999996</v>
      </c>
      <c r="O3314" s="4">
        <f ca="1">IFERROR(__xludf.DUMMYFUNCTION("IF(Cost_in_dollars!E3314=""USD"",Cost_in_dollars!B3314,Cost_in_dollars!B3314 * GOOGLEFINANCE(""CURRENCY:"" &amp; Cost_in_dollars!E3314 &amp; ""USD""))
"),40000000)</f>
        <v>40000000</v>
      </c>
      <c r="P3314" s="4">
        <f ca="1">IFERROR(__xludf.DUMMYFUNCTION("IF(Cost_in_dollars!E3314=""USD"",Cost_in_dollars!C3314,Cost_in_dollars!C3314 * GOOGLEFINANCE(""CURRENCY:"" &amp; Cost_in_dollars!E3314 &amp; ""USD""))
"),70163652)</f>
        <v>70163652</v>
      </c>
      <c r="Q3314" s="4">
        <f t="shared" ca="1" si="72"/>
        <v>30163652</v>
      </c>
      <c r="R3314" s="5" t="str">
        <f t="shared" si="73"/>
        <v>Big Momma's House 2</v>
      </c>
      <c r="S3314" s="43" t="str">
        <f t="shared" si="77"/>
        <v>Comedy</v>
      </c>
    </row>
    <row r="3315" spans="1:19" ht="15.75" customHeight="1" x14ac:dyDescent="0.25">
      <c r="A3315" s="6" t="s">
        <v>7923</v>
      </c>
      <c r="B3315" s="6">
        <v>141</v>
      </c>
      <c r="C3315" s="6">
        <v>19593740</v>
      </c>
      <c r="D3315" s="6" t="s">
        <v>116</v>
      </c>
      <c r="E3315" s="6" t="s">
        <v>486</v>
      </c>
      <c r="F3315" s="6" t="s">
        <v>10232</v>
      </c>
      <c r="G3315" s="6">
        <v>88270</v>
      </c>
      <c r="H3315" s="6" t="s">
        <v>10233</v>
      </c>
      <c r="I3315" s="6">
        <v>420</v>
      </c>
      <c r="J3315" s="6" t="s">
        <v>23</v>
      </c>
      <c r="K3315" s="6" t="s">
        <v>24</v>
      </c>
      <c r="L3315" s="6">
        <v>50000000</v>
      </c>
      <c r="M3315" s="6">
        <v>2003</v>
      </c>
      <c r="N3315" s="6">
        <v>7.5</v>
      </c>
      <c r="O3315" s="4">
        <f ca="1">IFERROR(__xludf.DUMMYFUNCTION("IF(Cost_in_dollars!E3315=""USD"",Cost_in_dollars!B3315,Cost_in_dollars!B3315 * GOOGLEFINANCE(""CURRENCY:"" &amp; Cost_in_dollars!E3315 &amp; ""USD""))
"),50000000)</f>
        <v>50000000</v>
      </c>
      <c r="P3315" s="4">
        <f ca="1">IFERROR(__xludf.DUMMYFUNCTION("IF(Cost_in_dollars!E3315=""USD"",Cost_in_dollars!C3315,Cost_in_dollars!C3315 * GOOGLEFINANCE(""CURRENCY:"" &amp; Cost_in_dollars!E3315 &amp; ""USD""))
"),19593740)</f>
        <v>19593740</v>
      </c>
      <c r="Q3315" s="6">
        <f t="shared" ca="1" si="72"/>
        <v>-30406260</v>
      </c>
      <c r="R3315" s="7" t="str">
        <f t="shared" si="73"/>
        <v>The Life of David Gale</v>
      </c>
      <c r="S3315" s="43" t="str">
        <f t="shared" si="77"/>
        <v>Crime</v>
      </c>
    </row>
    <row r="3316" spans="1:19" ht="15.75" customHeight="1" x14ac:dyDescent="0.25">
      <c r="A3316" s="4" t="s">
        <v>1190</v>
      </c>
      <c r="B3316" s="4">
        <v>552</v>
      </c>
      <c r="C3316" s="4">
        <v>124976634</v>
      </c>
      <c r="D3316" s="4" t="s">
        <v>751</v>
      </c>
      <c r="E3316" s="4" t="s">
        <v>10234</v>
      </c>
      <c r="F3316" s="4" t="s">
        <v>10235</v>
      </c>
      <c r="G3316" s="4">
        <v>440084</v>
      </c>
      <c r="H3316" s="4" t="s">
        <v>10236</v>
      </c>
      <c r="I3316" s="4">
        <v>755</v>
      </c>
      <c r="J3316" s="4" t="s">
        <v>23</v>
      </c>
      <c r="K3316" s="4" t="s">
        <v>24</v>
      </c>
      <c r="L3316" s="4">
        <v>120000000</v>
      </c>
      <c r="M3316" s="4">
        <v>2012</v>
      </c>
      <c r="N3316" s="4">
        <v>8</v>
      </c>
      <c r="O3316" s="4">
        <f ca="1">IFERROR(__xludf.DUMMYFUNCTION("IF(Cost_in_dollars!E3316=""USD"",Cost_in_dollars!B3316,Cost_in_dollars!B3316 * GOOGLEFINANCE(""CURRENCY:"" &amp; Cost_in_dollars!E3316 &amp; ""USD""))
"),120000000)</f>
        <v>120000000</v>
      </c>
      <c r="P3316" s="4">
        <f ca="1">IFERROR(__xludf.DUMMYFUNCTION("IF(Cost_in_dollars!E3316=""USD"",Cost_in_dollars!C3316,Cost_in_dollars!C3316 * GOOGLEFINANCE(""CURRENCY:"" &amp; Cost_in_dollars!E3316 &amp; ""USD""))
"),124976634)</f>
        <v>124976634</v>
      </c>
      <c r="Q3316" s="4">
        <f t="shared" ca="1" si="72"/>
        <v>4976634</v>
      </c>
      <c r="R3316" s="5" t="str">
        <f t="shared" si="73"/>
        <v>Life of Pi</v>
      </c>
      <c r="S3316" s="43" t="str">
        <f t="shared" si="77"/>
        <v>Adventure</v>
      </c>
    </row>
    <row r="3317" spans="1:19" ht="15.75" customHeight="1" x14ac:dyDescent="0.25">
      <c r="A3317" s="6" t="s">
        <v>10237</v>
      </c>
      <c r="B3317" s="6">
        <v>213</v>
      </c>
      <c r="C3317" s="6">
        <v>80574010</v>
      </c>
      <c r="D3317" s="6" t="s">
        <v>235</v>
      </c>
      <c r="E3317" s="6" t="s">
        <v>407</v>
      </c>
      <c r="F3317" s="6" t="s">
        <v>10238</v>
      </c>
      <c r="G3317" s="6">
        <v>63493</v>
      </c>
      <c r="H3317" s="6" t="s">
        <v>10239</v>
      </c>
      <c r="I3317" s="6">
        <v>302</v>
      </c>
      <c r="J3317" s="6" t="s">
        <v>23</v>
      </c>
      <c r="K3317" s="6" t="s">
        <v>24</v>
      </c>
      <c r="L3317" s="6">
        <v>60000000</v>
      </c>
      <c r="M3317" s="6">
        <v>2010</v>
      </c>
      <c r="N3317" s="6">
        <v>5.7</v>
      </c>
      <c r="O3317" s="4">
        <f ca="1">IFERROR(__xludf.DUMMYFUNCTION("IF(Cost_in_dollars!E3317=""USD"",Cost_in_dollars!B3317,Cost_in_dollars!B3317 * GOOGLEFINANCE(""CURRENCY:"" &amp; Cost_in_dollars!E3317 &amp; ""USD""))
"),60000000)</f>
        <v>60000000</v>
      </c>
      <c r="P3317" s="4">
        <f ca="1">IFERROR(__xludf.DUMMYFUNCTION("IF(Cost_in_dollars!E3317=""USD"",Cost_in_dollars!C3317,Cost_in_dollars!C3317 * GOOGLEFINANCE(""CURRENCY:"" &amp; Cost_in_dollars!E3317 &amp; ""USD""))
"),80574010)</f>
        <v>80574010</v>
      </c>
      <c r="Q3317" s="6">
        <f t="shared" ref="Q3317:Q3571" ca="1" si="78">P3317-O3317</f>
        <v>20574010</v>
      </c>
      <c r="R3317" s="7" t="str">
        <f t="shared" ref="R3317:R3571" si="79">LEFT(F3317,LEN(F3317)-2)</f>
        <v>Eat Pray Love</v>
      </c>
      <c r="S3317" s="43" t="str">
        <f t="shared" si="77"/>
        <v>Drama</v>
      </c>
    </row>
    <row r="3318" spans="1:19" ht="15.75" customHeight="1" x14ac:dyDescent="0.25">
      <c r="A3318" s="4" t="s">
        <v>7142</v>
      </c>
      <c r="B3318" s="4">
        <v>225</v>
      </c>
      <c r="C3318" s="4">
        <v>61280963</v>
      </c>
      <c r="D3318" s="4" t="s">
        <v>1020</v>
      </c>
      <c r="E3318" s="4" t="s">
        <v>9775</v>
      </c>
      <c r="F3318" s="4" t="s">
        <v>10240</v>
      </c>
      <c r="G3318" s="4">
        <v>79877</v>
      </c>
      <c r="H3318" s="4" t="s">
        <v>10241</v>
      </c>
      <c r="I3318" s="4">
        <v>677</v>
      </c>
      <c r="J3318" s="4" t="s">
        <v>23</v>
      </c>
      <c r="K3318" s="4" t="s">
        <v>24</v>
      </c>
      <c r="L3318" s="4">
        <v>33000000</v>
      </c>
      <c r="M3318" s="4">
        <v>2000</v>
      </c>
      <c r="N3318" s="4">
        <v>6.3</v>
      </c>
      <c r="O3318" s="4">
        <f ca="1">IFERROR(__xludf.DUMMYFUNCTION("IF(Cost_in_dollars!E3318=""USD"",Cost_in_dollars!B3318,Cost_in_dollars!B3318 * GOOGLEFINANCE(""CURRENCY:"" &amp; Cost_in_dollars!E3318 &amp; ""USD""))
"),33000000)</f>
        <v>33000000</v>
      </c>
      <c r="P3318" s="4">
        <f ca="1">IFERROR(__xludf.DUMMYFUNCTION("IF(Cost_in_dollars!E3318=""USD"",Cost_in_dollars!C3318,Cost_in_dollars!C3318 * GOOGLEFINANCE(""CURRENCY:"" &amp; Cost_in_dollars!E3318 &amp; ""USD""))
"),61280963)</f>
        <v>61280963</v>
      </c>
      <c r="Q3318" s="4">
        <f t="shared" ca="1" si="78"/>
        <v>28280963</v>
      </c>
      <c r="R3318" s="5" t="str">
        <f t="shared" si="79"/>
        <v>The Cell</v>
      </c>
      <c r="S3318" s="43" t="str">
        <f t="shared" si="77"/>
        <v>Horror</v>
      </c>
    </row>
    <row r="3319" spans="1:19" ht="15.75" customHeight="1" x14ac:dyDescent="0.25">
      <c r="A3319" s="6" t="s">
        <v>2442</v>
      </c>
      <c r="B3319" s="6">
        <v>250</v>
      </c>
      <c r="C3319" s="6">
        <v>289907418</v>
      </c>
      <c r="D3319" s="6" t="s">
        <v>304</v>
      </c>
      <c r="E3319" s="6" t="s">
        <v>456</v>
      </c>
      <c r="F3319" s="6" t="s">
        <v>10242</v>
      </c>
      <c r="G3319" s="6">
        <v>585659</v>
      </c>
      <c r="H3319" s="6" t="s">
        <v>10243</v>
      </c>
      <c r="I3319" s="6">
        <v>593</v>
      </c>
      <c r="J3319" s="6" t="s">
        <v>23</v>
      </c>
      <c r="K3319" s="6" t="s">
        <v>24</v>
      </c>
      <c r="L3319" s="6">
        <v>115000000</v>
      </c>
      <c r="M3319" s="6">
        <v>2001</v>
      </c>
      <c r="N3319" s="6">
        <v>8.1</v>
      </c>
      <c r="O3319" s="4">
        <f ca="1">IFERROR(__xludf.DUMMYFUNCTION("IF(Cost_in_dollars!E3319=""USD"",Cost_in_dollars!B3319,Cost_in_dollars!B3319 * GOOGLEFINANCE(""CURRENCY:"" &amp; Cost_in_dollars!E3319 &amp; ""USD""))
"),115000000)</f>
        <v>115000000</v>
      </c>
      <c r="P3319" s="4">
        <f ca="1">IFERROR(__xludf.DUMMYFUNCTION("IF(Cost_in_dollars!E3319=""USD"",Cost_in_dollars!C3319,Cost_in_dollars!C3319 * GOOGLEFINANCE(""CURRENCY:"" &amp; Cost_in_dollars!E3319 &amp; ""USD""))
"),289907418)</f>
        <v>289907418</v>
      </c>
      <c r="Q3319" s="6">
        <f t="shared" ca="1" si="78"/>
        <v>174907418</v>
      </c>
      <c r="R3319" s="7" t="str">
        <f t="shared" si="79"/>
        <v>Monsters, Inc.</v>
      </c>
      <c r="S3319" s="43" t="str">
        <f t="shared" si="77"/>
        <v>Adventure</v>
      </c>
    </row>
    <row r="3320" spans="1:19" ht="15.75" customHeight="1" x14ac:dyDescent="0.25">
      <c r="A3320" s="4" t="s">
        <v>2242</v>
      </c>
      <c r="B3320" s="4">
        <v>79</v>
      </c>
      <c r="C3320" s="4">
        <v>32940507</v>
      </c>
      <c r="D3320" s="4" t="s">
        <v>504</v>
      </c>
      <c r="E3320" s="4" t="s">
        <v>54</v>
      </c>
      <c r="F3320" s="4" t="s">
        <v>9072</v>
      </c>
      <c r="G3320" s="4">
        <v>54316</v>
      </c>
      <c r="H3320" s="4" t="s">
        <v>9073</v>
      </c>
      <c r="I3320" s="4">
        <v>127</v>
      </c>
      <c r="J3320" s="4" t="s">
        <v>23</v>
      </c>
      <c r="K3320" s="4" t="s">
        <v>24</v>
      </c>
      <c r="L3320" s="4">
        <v>60000000</v>
      </c>
      <c r="M3320" s="4">
        <v>1998</v>
      </c>
      <c r="N3320" s="4">
        <v>6.1</v>
      </c>
      <c r="O3320" s="4">
        <f ca="1">IFERROR(__xludf.DUMMYFUNCTION("IF(Cost_in_dollars!E3320=""USD"",Cost_in_dollars!B3320,Cost_in_dollars!B3320 * GOOGLEFINANCE(""CURRENCY:"" &amp; Cost_in_dollars!E3320 &amp; ""USD""))
"),60000000)</f>
        <v>60000000</v>
      </c>
      <c r="P3320" s="4">
        <f ca="1">IFERROR(__xludf.DUMMYFUNCTION("IF(Cost_in_dollars!E3320=""USD"",Cost_in_dollars!C3320,Cost_in_dollars!C3320 * GOOGLEFINANCE(""CURRENCY:"" &amp; Cost_in_dollars!E3320 &amp; ""USD""))
"),32940507)</f>
        <v>32940507</v>
      </c>
      <c r="Q3320" s="4">
        <f t="shared" ca="1" si="78"/>
        <v>-27059493</v>
      </c>
      <c r="R3320" s="5" t="str">
        <f t="shared" si="79"/>
        <v>Mercury Rising</v>
      </c>
      <c r="S3320" s="43" t="str">
        <f t="shared" si="77"/>
        <v>Action</v>
      </c>
    </row>
    <row r="3321" spans="1:19" ht="15.75" customHeight="1" x14ac:dyDescent="0.25">
      <c r="A3321" s="6" t="s">
        <v>703</v>
      </c>
      <c r="B3321" s="6">
        <v>25</v>
      </c>
      <c r="C3321" s="6">
        <v>5694308</v>
      </c>
      <c r="D3321" s="6" t="s">
        <v>3417</v>
      </c>
      <c r="E3321" s="6" t="s">
        <v>4538</v>
      </c>
      <c r="F3321" s="6" t="s">
        <v>10244</v>
      </c>
      <c r="G3321" s="6">
        <v>13815</v>
      </c>
      <c r="H3321" s="6" t="s">
        <v>10245</v>
      </c>
      <c r="I3321" s="6">
        <v>46</v>
      </c>
      <c r="J3321" s="6" t="s">
        <v>23</v>
      </c>
      <c r="K3321" s="6" t="s">
        <v>24</v>
      </c>
      <c r="L3321" s="6">
        <v>7000000</v>
      </c>
      <c r="M3321" s="6">
        <v>2007</v>
      </c>
      <c r="N3321" s="6">
        <v>2</v>
      </c>
      <c r="O3321" s="4">
        <f ca="1">IFERROR(__xludf.DUMMYFUNCTION("IF(Cost_in_dollars!E3321=""USD"",Cost_in_dollars!B3321,Cost_in_dollars!B3321 * GOOGLEFINANCE(""CURRENCY:"" &amp; Cost_in_dollars!E3321 &amp; ""USD""))
"),7000000)</f>
        <v>7000000</v>
      </c>
      <c r="P3321" s="4">
        <f ca="1">IFERROR(__xludf.DUMMYFUNCTION("IF(Cost_in_dollars!E3321=""USD"",Cost_in_dollars!C3321,Cost_in_dollars!C3321 * GOOGLEFINANCE(""CURRENCY:"" &amp; Cost_in_dollars!E3321 &amp; ""USD""))
"),5694308)</f>
        <v>5694308</v>
      </c>
      <c r="Q3321" s="6">
        <f t="shared" ca="1" si="78"/>
        <v>-1305692</v>
      </c>
      <c r="R3321" s="7" t="str">
        <f t="shared" si="79"/>
        <v>Who's Your Caddy?</v>
      </c>
      <c r="S3321" s="43" t="str">
        <f t="shared" si="77"/>
        <v>Comedy</v>
      </c>
    </row>
    <row r="3322" spans="1:19" ht="15.75" customHeight="1" x14ac:dyDescent="0.25">
      <c r="A3322" s="4" t="s">
        <v>2421</v>
      </c>
      <c r="B3322" s="4">
        <v>137</v>
      </c>
      <c r="C3322" s="4">
        <v>8111360</v>
      </c>
      <c r="D3322" s="4" t="s">
        <v>116</v>
      </c>
      <c r="E3322" s="4" t="s">
        <v>10246</v>
      </c>
      <c r="F3322" s="4" t="s">
        <v>10247</v>
      </c>
      <c r="G3322" s="4">
        <v>34848</v>
      </c>
      <c r="H3322" s="4" t="s">
        <v>10248</v>
      </c>
      <c r="I3322" s="4">
        <v>203</v>
      </c>
      <c r="J3322" s="4" t="s">
        <v>23</v>
      </c>
      <c r="K3322" s="4" t="s">
        <v>133</v>
      </c>
      <c r="L3322" s="4">
        <v>10000000</v>
      </c>
      <c r="M3322" s="4">
        <v>2002</v>
      </c>
      <c r="N3322" s="4">
        <v>7.4</v>
      </c>
      <c r="O3322" s="4">
        <f ca="1">IFERROR(__xludf.DUMMYFUNCTION("IF(Cost_in_dollars!E3322=""USD"",Cost_in_dollars!B3322,Cost_in_dollars!B3322 * GOOGLEFINANCE(""CURRENCY:"" &amp; Cost_in_dollars!E3322 &amp; ""USD""))
"),12853999.9999999)</f>
        <v>12853999.999999899</v>
      </c>
      <c r="P3322" s="4">
        <f ca="1">IFERROR(__xludf.DUMMYFUNCTION("IF(Cost_in_dollars!E3322=""USD"",Cost_in_dollars!C3322,Cost_in_dollars!C3322 * GOOGLEFINANCE(""CURRENCY:"" &amp; Cost_in_dollars!E3322 &amp; ""USD""))
"),10426342.144)</f>
        <v>10426342.143999999</v>
      </c>
      <c r="Q3322" s="4">
        <f t="shared" ca="1" si="78"/>
        <v>-2427657.8559999</v>
      </c>
      <c r="R3322" s="5" t="str">
        <f t="shared" si="79"/>
        <v>Dirty Pretty Things</v>
      </c>
      <c r="S3322" s="43" t="str">
        <f t="shared" si="77"/>
        <v>Crime</v>
      </c>
    </row>
    <row r="3323" spans="1:19" ht="15.75" customHeight="1" x14ac:dyDescent="0.25">
      <c r="A3323" s="6" t="s">
        <v>5608</v>
      </c>
      <c r="B3323" s="6">
        <v>140</v>
      </c>
      <c r="C3323" s="6">
        <v>24848292</v>
      </c>
      <c r="D3323" s="6" t="s">
        <v>5432</v>
      </c>
      <c r="E3323" s="6" t="s">
        <v>2800</v>
      </c>
      <c r="F3323" s="6" t="s">
        <v>10249</v>
      </c>
      <c r="G3323" s="6">
        <v>80556</v>
      </c>
      <c r="H3323" s="6" t="s">
        <v>10250</v>
      </c>
      <c r="I3323" s="6">
        <v>184</v>
      </c>
      <c r="J3323" s="6" t="s">
        <v>23</v>
      </c>
      <c r="K3323" s="6" t="s">
        <v>24</v>
      </c>
      <c r="L3323" s="6">
        <v>20000000</v>
      </c>
      <c r="M3323" s="6">
        <v>2008</v>
      </c>
      <c r="N3323" s="6">
        <v>6.6</v>
      </c>
      <c r="O3323" s="4">
        <f ca="1">IFERROR(__xludf.DUMMYFUNCTION("IF(Cost_in_dollars!E3323=""USD"",Cost_in_dollars!B3323,Cost_in_dollars!B3323 * GOOGLEFINANCE(""CURRENCY:"" &amp; Cost_in_dollars!E3323 &amp; ""USD""))
"),20000000)</f>
        <v>20000000</v>
      </c>
      <c r="P3323" s="4">
        <f ca="1">IFERROR(__xludf.DUMMYFUNCTION("IF(Cost_in_dollars!E3323=""USD"",Cost_in_dollars!C3323,Cost_in_dollars!C3323 * GOOGLEFINANCE(""CURRENCY:"" &amp; Cost_in_dollars!E3323 &amp; ""USD""))
"),24848292)</f>
        <v>24848292</v>
      </c>
      <c r="Q3323" s="6">
        <f t="shared" ca="1" si="78"/>
        <v>4848292</v>
      </c>
      <c r="R3323" s="7" t="str">
        <f t="shared" si="79"/>
        <v>Never Back Down</v>
      </c>
      <c r="S3323" s="43" t="str">
        <f t="shared" si="77"/>
        <v>Action</v>
      </c>
    </row>
    <row r="3324" spans="1:19" ht="15.75" customHeight="1" x14ac:dyDescent="0.25">
      <c r="A3324" s="4" t="s">
        <v>37</v>
      </c>
      <c r="B3324" s="4">
        <v>69</v>
      </c>
      <c r="C3324" s="4">
        <v>70960517</v>
      </c>
      <c r="D3324" s="4" t="s">
        <v>235</v>
      </c>
      <c r="E3324" s="4" t="s">
        <v>37</v>
      </c>
      <c r="F3324" s="4" t="s">
        <v>10251</v>
      </c>
      <c r="G3324" s="4">
        <v>54631</v>
      </c>
      <c r="H3324" s="4" t="s">
        <v>10252</v>
      </c>
      <c r="I3324" s="4">
        <v>192</v>
      </c>
      <c r="J3324" s="4" t="s">
        <v>23</v>
      </c>
      <c r="K3324" s="4" t="s">
        <v>24</v>
      </c>
      <c r="L3324" s="4">
        <v>35000000</v>
      </c>
      <c r="M3324" s="4">
        <v>1995</v>
      </c>
      <c r="N3324" s="4">
        <v>7.5</v>
      </c>
      <c r="O3324" s="4">
        <f ca="1">IFERROR(__xludf.DUMMYFUNCTION("IF(Cost_in_dollars!E3324=""USD"",Cost_in_dollars!B3324,Cost_in_dollars!B3324 * GOOGLEFINANCE(""CURRENCY:"" &amp; Cost_in_dollars!E3324 &amp; ""USD""))
"),35000000)</f>
        <v>35000000</v>
      </c>
      <c r="P3324" s="4">
        <f ca="1">IFERROR(__xludf.DUMMYFUNCTION("IF(Cost_in_dollars!E3324=""USD"",Cost_in_dollars!C3324,Cost_in_dollars!C3324 * GOOGLEFINANCE(""CURRENCY:"" &amp; Cost_in_dollars!E3324 &amp; ""USD""))
"),70960517)</f>
        <v>70960517</v>
      </c>
      <c r="Q3324" s="4">
        <f t="shared" ca="1" si="78"/>
        <v>35960517</v>
      </c>
      <c r="R3324" s="5" t="str">
        <f t="shared" si="79"/>
        <v>The Bridges of Madison County</v>
      </c>
      <c r="S3324" s="43" t="str">
        <f t="shared" si="77"/>
        <v>Drama</v>
      </c>
    </row>
    <row r="3325" spans="1:19" ht="15.75" customHeight="1" x14ac:dyDescent="0.25">
      <c r="A3325" s="6" t="s">
        <v>10253</v>
      </c>
      <c r="B3325" s="6">
        <v>360</v>
      </c>
      <c r="C3325" s="6">
        <v>140530114</v>
      </c>
      <c r="D3325" s="6" t="s">
        <v>151</v>
      </c>
      <c r="E3325" s="6" t="s">
        <v>10254</v>
      </c>
      <c r="F3325" s="6" t="s">
        <v>10255</v>
      </c>
      <c r="G3325" s="6">
        <v>186786</v>
      </c>
      <c r="H3325" s="6" t="s">
        <v>10256</v>
      </c>
      <c r="I3325" s="6">
        <v>3400</v>
      </c>
      <c r="J3325" s="6" t="s">
        <v>23</v>
      </c>
      <c r="K3325" s="6" t="s">
        <v>24</v>
      </c>
      <c r="L3325" s="6">
        <v>60000</v>
      </c>
      <c r="M3325" s="6">
        <v>1999</v>
      </c>
      <c r="N3325" s="6">
        <v>6.4</v>
      </c>
      <c r="O3325" s="4">
        <f ca="1">IFERROR(__xludf.DUMMYFUNCTION("IF(Cost_in_dollars!E3325=""USD"",Cost_in_dollars!B3325,Cost_in_dollars!B3325 * GOOGLEFINANCE(""CURRENCY:"" &amp; Cost_in_dollars!E3325 &amp; ""USD""))
"),60000)</f>
        <v>60000</v>
      </c>
      <c r="P3325" s="4">
        <f ca="1">IFERROR(__xludf.DUMMYFUNCTION("IF(Cost_in_dollars!E3325=""USD"",Cost_in_dollars!C3325,Cost_in_dollars!C3325 * GOOGLEFINANCE(""CURRENCY:"" &amp; Cost_in_dollars!E3325 &amp; ""USD""))
"),140530114)</f>
        <v>140530114</v>
      </c>
      <c r="Q3325" s="6">
        <f t="shared" ca="1" si="78"/>
        <v>140470114</v>
      </c>
      <c r="R3325" s="7" t="str">
        <f t="shared" si="79"/>
        <v>The Blair Witch Project</v>
      </c>
      <c r="S3325" s="43" t="str">
        <f t="shared" si="77"/>
        <v>Horror</v>
      </c>
    </row>
    <row r="3326" spans="1:19" ht="15.75" customHeight="1" x14ac:dyDescent="0.25">
      <c r="A3326" s="4" t="s">
        <v>1114</v>
      </c>
      <c r="B3326" s="4">
        <v>157</v>
      </c>
      <c r="C3326" s="4">
        <v>65653758</v>
      </c>
      <c r="D3326" s="4" t="s">
        <v>281</v>
      </c>
      <c r="E3326" s="4" t="s">
        <v>833</v>
      </c>
      <c r="F3326" s="4" t="s">
        <v>10257</v>
      </c>
      <c r="G3326" s="4">
        <v>102747</v>
      </c>
      <c r="H3326" s="4" t="s">
        <v>10258</v>
      </c>
      <c r="I3326" s="4">
        <v>316</v>
      </c>
      <c r="J3326" s="4" t="s">
        <v>23</v>
      </c>
      <c r="K3326" s="4" t="s">
        <v>24</v>
      </c>
      <c r="L3326" s="4">
        <v>95000000</v>
      </c>
      <c r="M3326" s="4">
        <v>2003</v>
      </c>
      <c r="N3326" s="4">
        <v>5.5</v>
      </c>
      <c r="O3326" s="4">
        <f ca="1">IFERROR(__xludf.DUMMYFUNCTION("IF(Cost_in_dollars!E3326=""USD"",Cost_in_dollars!B3326,Cost_in_dollars!B3326 * GOOGLEFINANCE(""CURRENCY:"" &amp; Cost_in_dollars!E3326 &amp; ""USD""))
"),95000000)</f>
        <v>95000000</v>
      </c>
      <c r="P3326" s="4">
        <f ca="1">IFERROR(__xludf.DUMMYFUNCTION("IF(Cost_in_dollars!E3326=""USD"",Cost_in_dollars!C3326,Cost_in_dollars!C3326 * GOOGLEFINANCE(""CURRENCY:"" &amp; Cost_in_dollars!E3326 &amp; ""USD""))
"),65653758)</f>
        <v>65653758</v>
      </c>
      <c r="Q3326" s="4">
        <f t="shared" ca="1" si="78"/>
        <v>-29346242</v>
      </c>
      <c r="R3326" s="5" t="str">
        <f t="shared" si="79"/>
        <v>Lara Croft Tomb Raider: The Cradle of Life</v>
      </c>
      <c r="S3326" s="43" t="str">
        <f t="shared" si="77"/>
        <v>Action</v>
      </c>
    </row>
    <row r="3327" spans="1:19" ht="15.75" customHeight="1" x14ac:dyDescent="0.25">
      <c r="A3327" s="6" t="s">
        <v>4213</v>
      </c>
      <c r="B3327" s="6">
        <v>102</v>
      </c>
      <c r="C3327" s="6">
        <v>69102910</v>
      </c>
      <c r="D3327" s="6" t="s">
        <v>10259</v>
      </c>
      <c r="E3327" s="6" t="s">
        <v>775</v>
      </c>
      <c r="F3327" s="6" t="s">
        <v>10260</v>
      </c>
      <c r="G3327" s="6">
        <v>58402</v>
      </c>
      <c r="H3327" s="6" t="s">
        <v>10261</v>
      </c>
      <c r="I3327" s="6">
        <v>370</v>
      </c>
      <c r="J3327" s="6" t="s">
        <v>23</v>
      </c>
      <c r="K3327" s="6" t="s">
        <v>24</v>
      </c>
      <c r="L3327" s="6">
        <v>80000000</v>
      </c>
      <c r="M3327" s="6">
        <v>1998</v>
      </c>
      <c r="N3327" s="6">
        <v>5.0999999999999996</v>
      </c>
      <c r="O3327" s="4">
        <f ca="1">IFERROR(__xludf.DUMMYFUNCTION("IF(Cost_in_dollars!E3327=""USD"",Cost_in_dollars!B3327,Cost_in_dollars!B3327 * GOOGLEFINANCE(""CURRENCY:"" &amp; Cost_in_dollars!E3327 &amp; ""USD""))
"),80000000)</f>
        <v>80000000</v>
      </c>
      <c r="P3327" s="4">
        <f ca="1">IFERROR(__xludf.DUMMYFUNCTION("IF(Cost_in_dollars!E3327=""USD"",Cost_in_dollars!C3327,Cost_in_dollars!C3327 * GOOGLEFINANCE(""CURRENCY:"" &amp; Cost_in_dollars!E3327 &amp; ""USD""))
"),69102910)</f>
        <v>69102910</v>
      </c>
      <c r="Q3327" s="6">
        <f t="shared" ca="1" si="78"/>
        <v>-10897090</v>
      </c>
      <c r="R3327" s="7" t="str">
        <f t="shared" si="79"/>
        <v>Lost in Space</v>
      </c>
      <c r="S3327" s="43" t="str">
        <f t="shared" si="77"/>
        <v>Action</v>
      </c>
    </row>
    <row r="3328" spans="1:19" ht="15.75" customHeight="1" x14ac:dyDescent="0.25">
      <c r="A3328" s="4" t="s">
        <v>10262</v>
      </c>
      <c r="B3328" s="4">
        <v>40</v>
      </c>
      <c r="C3328" s="4">
        <v>1181197</v>
      </c>
      <c r="D3328" s="4" t="s">
        <v>314</v>
      </c>
      <c r="E3328" s="4" t="s">
        <v>3195</v>
      </c>
      <c r="F3328" s="4" t="s">
        <v>10263</v>
      </c>
      <c r="G3328" s="4">
        <v>3299</v>
      </c>
      <c r="H3328" s="4" t="s">
        <v>10264</v>
      </c>
      <c r="I3328" s="4">
        <v>24</v>
      </c>
      <c r="J3328" s="4" t="s">
        <v>23</v>
      </c>
      <c r="K3328" s="4" t="s">
        <v>24</v>
      </c>
      <c r="L3328" s="4">
        <v>15500000</v>
      </c>
      <c r="M3328" s="4">
        <v>2005</v>
      </c>
      <c r="N3328" s="4">
        <v>5.9</v>
      </c>
      <c r="O3328" s="4">
        <f ca="1">IFERROR(__xludf.DUMMYFUNCTION("IF(Cost_in_dollars!E3328=""USD"",Cost_in_dollars!B3328,Cost_in_dollars!B3328 * GOOGLEFINANCE(""CURRENCY:"" &amp; Cost_in_dollars!E3328 &amp; ""USD""))
"),15500000)</f>
        <v>15500000</v>
      </c>
      <c r="P3328" s="4">
        <f ca="1">IFERROR(__xludf.DUMMYFUNCTION("IF(Cost_in_dollars!E3328=""USD"",Cost_in_dollars!C3328,Cost_in_dollars!C3328 * GOOGLEFINANCE(""CURRENCY:"" &amp; Cost_in_dollars!E3328 &amp; ""USD""))
"),1181197)</f>
        <v>1181197</v>
      </c>
      <c r="Q3328" s="4">
        <f t="shared" ca="1" si="78"/>
        <v>-14318803</v>
      </c>
      <c r="R3328" s="5" t="str">
        <f t="shared" si="79"/>
        <v>Slow Burn</v>
      </c>
      <c r="S3328" s="43" t="str">
        <f t="shared" si="77"/>
        <v>Drama</v>
      </c>
    </row>
    <row r="3329" spans="1:19" ht="15.75" customHeight="1" x14ac:dyDescent="0.25">
      <c r="A3329" s="6" t="s">
        <v>1001</v>
      </c>
      <c r="B3329" s="6">
        <v>446</v>
      </c>
      <c r="C3329" s="6">
        <v>218051260</v>
      </c>
      <c r="D3329" s="6" t="s">
        <v>1002</v>
      </c>
      <c r="E3329" s="6" t="s">
        <v>877</v>
      </c>
      <c r="F3329" s="6" t="s">
        <v>1003</v>
      </c>
      <c r="G3329" s="6">
        <v>316020</v>
      </c>
      <c r="H3329" s="6" t="s">
        <v>1004</v>
      </c>
      <c r="I3329" s="6">
        <v>2618</v>
      </c>
      <c r="J3329" s="6" t="s">
        <v>23</v>
      </c>
      <c r="K3329" s="6" t="s">
        <v>1005</v>
      </c>
      <c r="L3329" s="6">
        <v>207000000</v>
      </c>
      <c r="M3329" s="6">
        <v>2005</v>
      </c>
      <c r="N3329" s="6">
        <v>7.2</v>
      </c>
      <c r="O3329" s="4">
        <f ca="1">IFERROR(__xludf.DUMMYFUNCTION("IF(Cost_in_dollars!E3329=""USD"",Cost_in_dollars!B3329,Cost_in_dollars!B3329 * GOOGLEFINANCE(""CURRENCY:"" &amp; Cost_in_dollars!E3329 &amp; ""USD""))
"),121870214.999999)</f>
        <v>121870214.999999</v>
      </c>
      <c r="P3329" s="4">
        <f ca="1">IFERROR(__xludf.DUMMYFUNCTION("IF(Cost_in_dollars!E3329=""USD"",Cost_in_dollars!C3329,Cost_in_dollars!C3329 * GOOGLEFINANCE(""CURRENCY:"" &amp; Cost_in_dollars!E3329 &amp; ""USD""))
"),128376589.068699)</f>
        <v>128376589.068699</v>
      </c>
      <c r="Q3329" s="6">
        <f t="shared" ca="1" si="78"/>
        <v>6506374.0687000006</v>
      </c>
      <c r="R3329" s="7" t="str">
        <f t="shared" si="79"/>
        <v>King Kong</v>
      </c>
      <c r="S3329" s="43" t="str">
        <f t="shared" si="77"/>
        <v>Action</v>
      </c>
    </row>
    <row r="3330" spans="1:19" ht="15.75" customHeight="1" x14ac:dyDescent="0.25">
      <c r="A3330" s="4" t="s">
        <v>7579</v>
      </c>
      <c r="B3330" s="4">
        <v>306</v>
      </c>
      <c r="C3330" s="4">
        <v>368049635</v>
      </c>
      <c r="D3330" s="4" t="s">
        <v>9016</v>
      </c>
      <c r="E3330" s="4" t="s">
        <v>1083</v>
      </c>
      <c r="F3330" s="4" t="s">
        <v>10265</v>
      </c>
      <c r="G3330" s="4">
        <v>286877</v>
      </c>
      <c r="H3330" s="4" t="s">
        <v>10266</v>
      </c>
      <c r="I3330" s="4">
        <v>284</v>
      </c>
      <c r="J3330" s="4" t="s">
        <v>23</v>
      </c>
      <c r="K3330" s="4" t="s">
        <v>24</v>
      </c>
      <c r="L3330" s="4">
        <v>76000000</v>
      </c>
      <c r="M3330" s="4">
        <v>2013</v>
      </c>
      <c r="N3330" s="4">
        <v>7.5</v>
      </c>
      <c r="O3330" s="4">
        <f ca="1">IFERROR(__xludf.DUMMYFUNCTION("IF(Cost_in_dollars!E3330=""USD"",Cost_in_dollars!B3330,Cost_in_dollars!B3330 * GOOGLEFINANCE(""CURRENCY:"" &amp; Cost_in_dollars!E3330 &amp; ""USD""))
"),76000000)</f>
        <v>76000000</v>
      </c>
      <c r="P3330" s="4">
        <f ca="1">IFERROR(__xludf.DUMMYFUNCTION("IF(Cost_in_dollars!E3330=""USD"",Cost_in_dollars!C3330,Cost_in_dollars!C3330 * GOOGLEFINANCE(""CURRENCY:"" &amp; Cost_in_dollars!E3330 &amp; ""USD""))
"),368049635)</f>
        <v>368049635</v>
      </c>
      <c r="Q3330" s="4">
        <f t="shared" ca="1" si="78"/>
        <v>292049635</v>
      </c>
      <c r="R3330" s="5" t="str">
        <f t="shared" si="79"/>
        <v>Despicable Me 2</v>
      </c>
      <c r="S3330" s="43" t="str">
        <f t="shared" ref="S3330:S3393" si="80">IF(ISNUMBER(FIND("|", D3330)), LEFT(D3330, FIND("|", D3330) - 1), D3330)</f>
        <v>Animation</v>
      </c>
    </row>
    <row r="3331" spans="1:19" ht="15.75" customHeight="1" x14ac:dyDescent="0.25">
      <c r="A3331" s="6" t="s">
        <v>690</v>
      </c>
      <c r="B3331" s="6">
        <v>412</v>
      </c>
      <c r="C3331" s="6">
        <v>67344392</v>
      </c>
      <c r="D3331" s="6" t="s">
        <v>1099</v>
      </c>
      <c r="E3331" s="6" t="s">
        <v>54</v>
      </c>
      <c r="F3331" s="6" t="s">
        <v>10267</v>
      </c>
      <c r="G3331" s="6">
        <v>165618</v>
      </c>
      <c r="H3331" s="6" t="s">
        <v>10268</v>
      </c>
      <c r="I3331" s="6">
        <v>503</v>
      </c>
      <c r="J3331" s="6" t="s">
        <v>23</v>
      </c>
      <c r="K3331" s="6" t="s">
        <v>24</v>
      </c>
      <c r="L3331" s="6">
        <v>92000000</v>
      </c>
      <c r="M3331" s="6">
        <v>2013</v>
      </c>
      <c r="N3331" s="6">
        <v>5.3</v>
      </c>
      <c r="O3331" s="4">
        <f ca="1">IFERROR(__xludf.DUMMYFUNCTION("IF(Cost_in_dollars!E3331=""USD"",Cost_in_dollars!B3331,Cost_in_dollars!B3331 * GOOGLEFINANCE(""CURRENCY:"" &amp; Cost_in_dollars!E3331 &amp; ""USD""))
"),92000000)</f>
        <v>92000000</v>
      </c>
      <c r="P3331" s="4">
        <f ca="1">IFERROR(__xludf.DUMMYFUNCTION("IF(Cost_in_dollars!E3331=""USD"",Cost_in_dollars!C3331,Cost_in_dollars!C3331 * GOOGLEFINANCE(""CURRENCY:"" &amp; Cost_in_dollars!E3331 &amp; ""USD""))
"),67344392)</f>
        <v>67344392</v>
      </c>
      <c r="Q3331" s="6">
        <f t="shared" ca="1" si="78"/>
        <v>-24655608</v>
      </c>
      <c r="R3331" s="7" t="str">
        <f t="shared" si="79"/>
        <v>A Good Day to Die Hard</v>
      </c>
      <c r="S3331" s="43" t="str">
        <f t="shared" si="80"/>
        <v>Action</v>
      </c>
    </row>
    <row r="3332" spans="1:19" ht="15.75" customHeight="1" x14ac:dyDescent="0.25">
      <c r="A3332" s="4" t="s">
        <v>272</v>
      </c>
      <c r="B3332" s="4">
        <v>264</v>
      </c>
      <c r="C3332" s="4">
        <v>160201106</v>
      </c>
      <c r="D3332" s="4" t="s">
        <v>477</v>
      </c>
      <c r="E3332" s="4" t="s">
        <v>6451</v>
      </c>
      <c r="F3332" s="4" t="s">
        <v>10269</v>
      </c>
      <c r="G3332" s="4">
        <v>169914</v>
      </c>
      <c r="H3332" s="4" t="s">
        <v>10270</v>
      </c>
      <c r="I3332" s="4">
        <v>1185</v>
      </c>
      <c r="J3332" s="4" t="s">
        <v>23</v>
      </c>
      <c r="K3332" s="4" t="s">
        <v>133</v>
      </c>
      <c r="L3332" s="4">
        <v>142000000</v>
      </c>
      <c r="M3332" s="4">
        <v>2002</v>
      </c>
      <c r="N3332" s="4">
        <v>6.1</v>
      </c>
      <c r="O3332" s="4">
        <f ca="1">IFERROR(__xludf.DUMMYFUNCTION("IF(Cost_in_dollars!E3332=""USD"",Cost_in_dollars!B3332,Cost_in_dollars!B3332 * GOOGLEFINANCE(""CURRENCY:"" &amp; Cost_in_dollars!E3332 &amp; ""USD""))
"),182526799.999999)</f>
        <v>182526799.99999899</v>
      </c>
      <c r="P3332" s="4">
        <f ca="1">IFERROR(__xludf.DUMMYFUNCTION("IF(Cost_in_dollars!E3332=""USD"",Cost_in_dollars!C3332,Cost_in_dollars!C3332 * GOOGLEFINANCE(""CURRENCY:"" &amp; Cost_in_dollars!E3332 &amp; ""USD""))
"),205922501.6524)</f>
        <v>205922501.65239999</v>
      </c>
      <c r="Q3332" s="4">
        <f t="shared" ca="1" si="78"/>
        <v>23395701.652401</v>
      </c>
      <c r="R3332" s="5" t="str">
        <f t="shared" si="79"/>
        <v>Die Another Day</v>
      </c>
      <c r="S3332" s="43" t="str">
        <f t="shared" si="80"/>
        <v>Action</v>
      </c>
    </row>
    <row r="3333" spans="1:19" ht="15.75" customHeight="1" x14ac:dyDescent="0.25">
      <c r="A3333" s="6" t="s">
        <v>3084</v>
      </c>
      <c r="B3333" s="6">
        <v>173</v>
      </c>
      <c r="C3333" s="6">
        <v>88200225</v>
      </c>
      <c r="D3333" s="6" t="s">
        <v>443</v>
      </c>
      <c r="E3333" s="6" t="s">
        <v>10271</v>
      </c>
      <c r="F3333" s="6" t="s">
        <v>10272</v>
      </c>
      <c r="G3333" s="6">
        <v>120795</v>
      </c>
      <c r="H3333" s="6" t="s">
        <v>10273</v>
      </c>
      <c r="I3333" s="6">
        <v>308</v>
      </c>
      <c r="J3333" s="6" t="s">
        <v>23</v>
      </c>
      <c r="K3333" s="6" t="s">
        <v>24</v>
      </c>
      <c r="L3333" s="6">
        <v>60000000</v>
      </c>
      <c r="M3333" s="6">
        <v>2004</v>
      </c>
      <c r="N3333" s="6">
        <v>6.1</v>
      </c>
      <c r="O3333" s="4">
        <f ca="1">IFERROR(__xludf.DUMMYFUNCTION("IF(Cost_in_dollars!E3333=""USD"",Cost_in_dollars!B3333,Cost_in_dollars!B3333 * GOOGLEFINANCE(""CURRENCY:"" &amp; Cost_in_dollars!E3333 &amp; ""USD""))
"),60000000)</f>
        <v>60000000</v>
      </c>
      <c r="P3333" s="4">
        <f ca="1">IFERROR(__xludf.DUMMYFUNCTION("IF(Cost_in_dollars!E3333=""USD"",Cost_in_dollars!C3333,Cost_in_dollars!C3333 * GOOGLEFINANCE(""CURRENCY:"" &amp; Cost_in_dollars!E3333 &amp; ""USD""))
"),88200225)</f>
        <v>88200225</v>
      </c>
      <c r="Q3333" s="6">
        <f t="shared" ca="1" si="78"/>
        <v>28200225</v>
      </c>
      <c r="R3333" s="7" t="str">
        <f t="shared" si="79"/>
        <v>Starsky &amp; Hutch</v>
      </c>
      <c r="S3333" s="43" t="str">
        <f t="shared" si="80"/>
        <v>Comedy</v>
      </c>
    </row>
    <row r="3334" spans="1:19" ht="15.75" customHeight="1" x14ac:dyDescent="0.25">
      <c r="A3334" s="4" t="s">
        <v>1471</v>
      </c>
      <c r="B3334" s="4">
        <v>19</v>
      </c>
      <c r="C3334" s="4">
        <v>22723</v>
      </c>
      <c r="D3334" s="4" t="s">
        <v>10274</v>
      </c>
      <c r="E3334" s="4" t="s">
        <v>1477</v>
      </c>
      <c r="F3334" s="4" t="s">
        <v>10275</v>
      </c>
      <c r="G3334" s="4">
        <v>2236</v>
      </c>
      <c r="H3334" s="4" t="s">
        <v>10276</v>
      </c>
      <c r="I3334" s="4">
        <v>40</v>
      </c>
      <c r="J3334" s="4" t="s">
        <v>23</v>
      </c>
      <c r="K3334" s="4" t="s">
        <v>176</v>
      </c>
      <c r="L3334" s="4">
        <v>25000000</v>
      </c>
      <c r="M3334" s="4">
        <v>2001</v>
      </c>
      <c r="N3334" s="4">
        <v>4.5</v>
      </c>
      <c r="O3334" s="4">
        <f ca="1">IFERROR(__xludf.DUMMYFUNCTION("IF(Cost_in_dollars!E3334=""USD"",Cost_in_dollars!B3334,Cost_in_dollars!B3334 * GOOGLEFINANCE(""CURRENCY:"" &amp; Cost_in_dollars!E3334 &amp; ""USD""))
"),27118500)</f>
        <v>27118500</v>
      </c>
      <c r="P3334" s="4">
        <f ca="1">IFERROR(__xludf.DUMMYFUNCTION("IF(Cost_in_dollars!E3334=""USD"",Cost_in_dollars!C3334,Cost_in_dollars!C3334 * GOOGLEFINANCE(""CURRENCY:"" &amp; Cost_in_dollars!E3334 &amp; ""USD""))
"),24648.54702)</f>
        <v>24648.547020000002</v>
      </c>
      <c r="Q3334" s="4">
        <f t="shared" ca="1" si="78"/>
        <v>-27093851.452980001</v>
      </c>
      <c r="R3334" s="5" t="str">
        <f t="shared" si="79"/>
        <v>All the Queen's Men</v>
      </c>
      <c r="S3334" s="43" t="str">
        <f t="shared" si="80"/>
        <v>Action</v>
      </c>
    </row>
    <row r="3335" spans="1:19" ht="15.75" customHeight="1" x14ac:dyDescent="0.25">
      <c r="A3335" s="6" t="s">
        <v>6361</v>
      </c>
      <c r="B3335" s="6">
        <v>193</v>
      </c>
      <c r="C3335" s="6">
        <v>32519322</v>
      </c>
      <c r="D3335" s="6" t="s">
        <v>6923</v>
      </c>
      <c r="E3335" s="6" t="s">
        <v>10277</v>
      </c>
      <c r="F3335" s="6" t="s">
        <v>10278</v>
      </c>
      <c r="G3335" s="6">
        <v>497946</v>
      </c>
      <c r="H3335" s="6" t="s">
        <v>10279</v>
      </c>
      <c r="I3335" s="6">
        <v>761</v>
      </c>
      <c r="J3335" s="6" t="s">
        <v>23</v>
      </c>
      <c r="K3335" s="6" t="s">
        <v>611</v>
      </c>
      <c r="L3335" s="6">
        <v>35000000</v>
      </c>
      <c r="M3335" s="6">
        <v>2002</v>
      </c>
      <c r="N3335" s="6">
        <v>8.5</v>
      </c>
      <c r="O3335" s="4">
        <f ca="1">IFERROR(__xludf.DUMMYFUNCTION("IF(Cost_in_dollars!E3335=""USD"",Cost_in_dollars!B3335,Cost_in_dollars!B3335 * GOOGLEFINANCE(""CURRENCY:"" &amp; Cost_in_dollars!E3335 &amp; ""USD""))
"),37965900)</f>
        <v>37965900</v>
      </c>
      <c r="P3335" s="4">
        <f ca="1">IFERROR(__xludf.DUMMYFUNCTION("IF(Cost_in_dollars!E3335=""USD"",Cost_in_dollars!C3335,Cost_in_dollars!C3335 * GOOGLEFINANCE(""CURRENCY:"" &amp; Cost_in_dollars!E3335 &amp; ""USD""))
"),35275009.34628)</f>
        <v>35275009.346280001</v>
      </c>
      <c r="Q3335" s="6">
        <f t="shared" ca="1" si="78"/>
        <v>-2690890.6537199989</v>
      </c>
      <c r="R3335" s="7" t="str">
        <f t="shared" si="79"/>
        <v>The Pianist</v>
      </c>
      <c r="S3335" s="43" t="str">
        <f t="shared" si="80"/>
        <v>Biography</v>
      </c>
    </row>
    <row r="3336" spans="1:19" ht="15.75" customHeight="1" x14ac:dyDescent="0.25">
      <c r="A3336" s="4" t="s">
        <v>10280</v>
      </c>
      <c r="B3336" s="4">
        <v>116</v>
      </c>
      <c r="C3336" s="4">
        <v>864959</v>
      </c>
      <c r="D3336" s="4" t="s">
        <v>3118</v>
      </c>
      <c r="E3336" s="4" t="s">
        <v>10281</v>
      </c>
      <c r="F3336" s="4" t="s">
        <v>10282</v>
      </c>
      <c r="G3336" s="4">
        <v>20275</v>
      </c>
      <c r="H3336" s="4" t="s">
        <v>10283</v>
      </c>
      <c r="I3336" s="4">
        <v>151</v>
      </c>
      <c r="J3336" s="4" t="s">
        <v>23</v>
      </c>
      <c r="K3336" s="4" t="s">
        <v>133</v>
      </c>
      <c r="L3336" s="4">
        <v>4000000</v>
      </c>
      <c r="M3336" s="4">
        <v>2005</v>
      </c>
      <c r="N3336" s="4">
        <v>6.9</v>
      </c>
      <c r="O3336" s="4">
        <f ca="1">IFERROR(__xludf.DUMMYFUNCTION("IF(Cost_in_dollars!E3336=""USD"",Cost_in_dollars!B3336,Cost_in_dollars!B3336 * GOOGLEFINANCE(""CURRENCY:"" &amp; Cost_in_dollars!E3336 &amp; ""USD""))
"),5141599.99999999)</f>
        <v>5141599.9999999898</v>
      </c>
      <c r="P3336" s="4">
        <f ca="1">IFERROR(__xludf.DUMMYFUNCTION("IF(Cost_in_dollars!E3336=""USD"",Cost_in_dollars!C3336,Cost_in_dollars!C3336 * GOOGLEFINANCE(""CURRENCY:"" &amp; Cost_in_dollars!E3336 &amp; ""USD""))
"),1111818.29859999)</f>
        <v>1111818.2985999901</v>
      </c>
      <c r="Q3336" s="4">
        <f t="shared" ca="1" si="78"/>
        <v>-4029781.7013999997</v>
      </c>
      <c r="R3336" s="5" t="str">
        <f t="shared" si="79"/>
        <v>Mirrormask</v>
      </c>
      <c r="S3336" s="43" t="str">
        <f t="shared" si="80"/>
        <v>Adventure</v>
      </c>
    </row>
    <row r="3337" spans="1:19" ht="15.75" customHeight="1" x14ac:dyDescent="0.25">
      <c r="A3337" s="6" t="s">
        <v>10284</v>
      </c>
      <c r="B3337" s="6">
        <v>38</v>
      </c>
      <c r="C3337" s="6">
        <v>325491</v>
      </c>
      <c r="D3337" s="6" t="s">
        <v>116</v>
      </c>
      <c r="E3337" s="6" t="s">
        <v>10285</v>
      </c>
      <c r="F3337" s="6" t="s">
        <v>10286</v>
      </c>
      <c r="G3337" s="6">
        <v>4387</v>
      </c>
      <c r="H3337" s="6" t="s">
        <v>10287</v>
      </c>
      <c r="I3337" s="6">
        <v>67</v>
      </c>
      <c r="J3337" s="6" t="s">
        <v>23</v>
      </c>
      <c r="K3337" s="6" t="s">
        <v>24</v>
      </c>
      <c r="L3337" s="6">
        <v>17500000</v>
      </c>
      <c r="M3337" s="6">
        <v>2002</v>
      </c>
      <c r="N3337" s="6">
        <v>6</v>
      </c>
      <c r="O3337" s="4">
        <f ca="1">IFERROR(__xludf.DUMMYFUNCTION("IF(Cost_in_dollars!E3337=""USD"",Cost_in_dollars!B3337,Cost_in_dollars!B3337 * GOOGLEFINANCE(""CURRENCY:"" &amp; Cost_in_dollars!E3337 &amp; ""USD""))
"),17500000)</f>
        <v>17500000</v>
      </c>
      <c r="P3337" s="4">
        <f ca="1">IFERROR(__xludf.DUMMYFUNCTION("IF(Cost_in_dollars!E3337=""USD"",Cost_in_dollars!C3337,Cost_in_dollars!C3337 * GOOGLEFINANCE(""CURRENCY:"" &amp; Cost_in_dollars!E3337 &amp; ""USD""))
"),325491)</f>
        <v>325491</v>
      </c>
      <c r="Q3337" s="6">
        <f t="shared" ca="1" si="78"/>
        <v>-17174509</v>
      </c>
      <c r="R3337" s="7" t="str">
        <f t="shared" si="79"/>
        <v>City of Ghosts</v>
      </c>
      <c r="S3337" s="43" t="str">
        <f t="shared" si="80"/>
        <v>Crime</v>
      </c>
    </row>
    <row r="3338" spans="1:19" ht="15.75" customHeight="1" x14ac:dyDescent="0.25">
      <c r="A3338" s="4" t="s">
        <v>2730</v>
      </c>
      <c r="B3338" s="4">
        <v>55</v>
      </c>
      <c r="C3338" s="4">
        <v>113502246</v>
      </c>
      <c r="D3338" s="4" t="s">
        <v>618</v>
      </c>
      <c r="E3338" s="4" t="s">
        <v>1617</v>
      </c>
      <c r="F3338" s="4" t="s">
        <v>10288</v>
      </c>
      <c r="G3338" s="4">
        <v>96607</v>
      </c>
      <c r="H3338" s="4" t="s">
        <v>10289</v>
      </c>
      <c r="I3338" s="4">
        <v>125</v>
      </c>
      <c r="J3338" s="4" t="s">
        <v>23</v>
      </c>
      <c r="K3338" s="4" t="s">
        <v>24</v>
      </c>
      <c r="L3338" s="4">
        <v>38000000</v>
      </c>
      <c r="M3338" s="4">
        <v>1991</v>
      </c>
      <c r="N3338" s="4">
        <v>6.8</v>
      </c>
      <c r="O3338" s="4">
        <f ca="1">IFERROR(__xludf.DUMMYFUNCTION("IF(Cost_in_dollars!E3338=""USD"",Cost_in_dollars!B3338,Cost_in_dollars!B3338 * GOOGLEFINANCE(""CURRENCY:"" &amp; Cost_in_dollars!E3338 &amp; ""USD""))
"),38000000)</f>
        <v>38000000</v>
      </c>
      <c r="P3338" s="4">
        <f ca="1">IFERROR(__xludf.DUMMYFUNCTION("IF(Cost_in_dollars!E3338=""USD"",Cost_in_dollars!C3338,Cost_in_dollars!C3338 * GOOGLEFINANCE(""CURRENCY:"" &amp; Cost_in_dollars!E3338 &amp; ""USD""))
"),113502246)</f>
        <v>113502246</v>
      </c>
      <c r="Q3338" s="4">
        <f t="shared" ca="1" si="78"/>
        <v>75502246</v>
      </c>
      <c r="R3338" s="5" t="str">
        <f t="shared" si="79"/>
        <v>The Addams Family</v>
      </c>
      <c r="S3338" s="43" t="str">
        <f t="shared" si="80"/>
        <v>Comedy</v>
      </c>
    </row>
    <row r="3339" spans="1:19" ht="15.75" customHeight="1" x14ac:dyDescent="0.25">
      <c r="A3339" s="6" t="s">
        <v>10290</v>
      </c>
      <c r="B3339" s="6">
        <v>125</v>
      </c>
      <c r="C3339" s="6">
        <v>29655590</v>
      </c>
      <c r="D3339" s="6" t="s">
        <v>249</v>
      </c>
      <c r="E3339" s="6" t="s">
        <v>2587</v>
      </c>
      <c r="F3339" s="6" t="s">
        <v>10291</v>
      </c>
      <c r="G3339" s="6">
        <v>53970</v>
      </c>
      <c r="H3339" s="6" t="s">
        <v>10292</v>
      </c>
      <c r="I3339" s="6">
        <v>435</v>
      </c>
      <c r="J3339" s="6" t="s">
        <v>23</v>
      </c>
      <c r="K3339" s="6" t="s">
        <v>24</v>
      </c>
      <c r="L3339" s="6">
        <v>65000000</v>
      </c>
      <c r="M3339" s="6">
        <v>1999</v>
      </c>
      <c r="N3339" s="6">
        <v>6</v>
      </c>
      <c r="O3339" s="4">
        <f ca="1">IFERROR(__xludf.DUMMYFUNCTION("IF(Cost_in_dollars!E3339=""USD"",Cost_in_dollars!B3339,Cost_in_dollars!B3339 * GOOGLEFINANCE(""CURRENCY:"" &amp; Cost_in_dollars!E3339 &amp; ""USD""))
"),65000000)</f>
        <v>65000000</v>
      </c>
      <c r="P3339" s="4">
        <f ca="1">IFERROR(__xludf.DUMMYFUNCTION("IF(Cost_in_dollars!E3339=""USD"",Cost_in_dollars!C3339,Cost_in_dollars!C3339 * GOOGLEFINANCE(""CURRENCY:"" &amp; Cost_in_dollars!E3339 &amp; ""USD""))
"),29655590)</f>
        <v>29655590</v>
      </c>
      <c r="Q3339" s="6">
        <f t="shared" ca="1" si="78"/>
        <v>-35344410</v>
      </c>
      <c r="R3339" s="7" t="str">
        <f t="shared" si="79"/>
        <v>Mystery Men</v>
      </c>
      <c r="S3339" s="43" t="str">
        <f t="shared" si="80"/>
        <v>Action</v>
      </c>
    </row>
    <row r="3340" spans="1:19" ht="15.75" customHeight="1" x14ac:dyDescent="0.25">
      <c r="A3340" s="4" t="s">
        <v>318</v>
      </c>
      <c r="B3340" s="4">
        <v>223</v>
      </c>
      <c r="C3340" s="4">
        <v>124107476</v>
      </c>
      <c r="D3340" s="4" t="s">
        <v>116</v>
      </c>
      <c r="E3340" s="4" t="s">
        <v>10293</v>
      </c>
      <c r="F3340" s="4" t="s">
        <v>10294</v>
      </c>
      <c r="G3340" s="4">
        <v>170684</v>
      </c>
      <c r="H3340" s="4" t="s">
        <v>10295</v>
      </c>
      <c r="I3340" s="4">
        <v>867</v>
      </c>
      <c r="J3340" s="4" t="s">
        <v>23</v>
      </c>
      <c r="K3340" s="4" t="s">
        <v>24</v>
      </c>
      <c r="L3340" s="4">
        <v>48000000</v>
      </c>
      <c r="M3340" s="4">
        <v>2000</v>
      </c>
      <c r="N3340" s="4">
        <v>7.6</v>
      </c>
      <c r="O3340" s="4">
        <f ca="1">IFERROR(__xludf.DUMMYFUNCTION("IF(Cost_in_dollars!E3340=""USD"",Cost_in_dollars!B3340,Cost_in_dollars!B3340 * GOOGLEFINANCE(""CURRENCY:"" &amp; Cost_in_dollars!E3340 &amp; ""USD""))
"),48000000)</f>
        <v>48000000</v>
      </c>
      <c r="P3340" s="4">
        <f ca="1">IFERROR(__xludf.DUMMYFUNCTION("IF(Cost_in_dollars!E3340=""USD"",Cost_in_dollars!C3340,Cost_in_dollars!C3340 * GOOGLEFINANCE(""CURRENCY:"" &amp; Cost_in_dollars!E3340 &amp; ""USD""))
"),124107476)</f>
        <v>124107476</v>
      </c>
      <c r="Q3340" s="4">
        <f t="shared" ca="1" si="78"/>
        <v>76107476</v>
      </c>
      <c r="R3340" s="5" t="str">
        <f t="shared" si="79"/>
        <v>Traffic</v>
      </c>
      <c r="S3340" s="43" t="str">
        <f t="shared" si="80"/>
        <v>Crime</v>
      </c>
    </row>
    <row r="3341" spans="1:19" ht="15.75" customHeight="1" x14ac:dyDescent="0.25">
      <c r="A3341" s="6" t="s">
        <v>10296</v>
      </c>
      <c r="B3341" s="6">
        <v>284</v>
      </c>
      <c r="C3341" s="6">
        <v>165230261</v>
      </c>
      <c r="D3341" s="6" t="s">
        <v>259</v>
      </c>
      <c r="E3341" s="6" t="s">
        <v>847</v>
      </c>
      <c r="F3341" s="6" t="s">
        <v>10297</v>
      </c>
      <c r="G3341" s="6">
        <v>182718</v>
      </c>
      <c r="H3341" s="6" t="s">
        <v>10298</v>
      </c>
      <c r="I3341" s="6">
        <v>209</v>
      </c>
      <c r="J3341" s="6" t="s">
        <v>23</v>
      </c>
      <c r="K3341" s="6" t="s">
        <v>24</v>
      </c>
      <c r="L3341" s="6">
        <v>150000000</v>
      </c>
      <c r="M3341" s="6">
        <v>2011</v>
      </c>
      <c r="N3341" s="6">
        <v>7.3</v>
      </c>
      <c r="O3341" s="4">
        <f ca="1">IFERROR(__xludf.DUMMYFUNCTION("IF(Cost_in_dollars!E3341=""USD"",Cost_in_dollars!B3341,Cost_in_dollars!B3341 * GOOGLEFINANCE(""CURRENCY:"" &amp; Cost_in_dollars!E3341 &amp; ""USD""))
"),150000000)</f>
        <v>150000000</v>
      </c>
      <c r="P3341" s="4">
        <f ca="1">IFERROR(__xludf.DUMMYFUNCTION("IF(Cost_in_dollars!E3341=""USD"",Cost_in_dollars!C3341,Cost_in_dollars!C3341 * GOOGLEFINANCE(""CURRENCY:"" &amp; Cost_in_dollars!E3341 &amp; ""USD""))
"),165230261)</f>
        <v>165230261</v>
      </c>
      <c r="Q3341" s="6">
        <f t="shared" ca="1" si="78"/>
        <v>15230261</v>
      </c>
      <c r="R3341" s="7" t="str">
        <f t="shared" si="79"/>
        <v>Kung Fu Panda 2</v>
      </c>
      <c r="S3341" s="43" t="str">
        <f t="shared" si="80"/>
        <v>Action</v>
      </c>
    </row>
    <row r="3342" spans="1:19" ht="15.75" customHeight="1" x14ac:dyDescent="0.25">
      <c r="A3342" s="4" t="s">
        <v>9147</v>
      </c>
      <c r="B3342" s="4">
        <v>11</v>
      </c>
      <c r="C3342" s="4">
        <v>1001437</v>
      </c>
      <c r="D3342" s="4" t="s">
        <v>235</v>
      </c>
      <c r="E3342" s="4" t="s">
        <v>10299</v>
      </c>
      <c r="F3342" s="4" t="s">
        <v>10300</v>
      </c>
      <c r="G3342" s="4">
        <v>2039</v>
      </c>
      <c r="H3342" s="4" t="s">
        <v>10301</v>
      </c>
      <c r="I3342" s="4">
        <v>28</v>
      </c>
      <c r="J3342" s="4" t="s">
        <v>23</v>
      </c>
      <c r="K3342" s="4" t="s">
        <v>24</v>
      </c>
      <c r="L3342" s="4">
        <v>800000</v>
      </c>
      <c r="M3342" s="4">
        <v>1993</v>
      </c>
      <c r="N3342" s="4">
        <v>7.2</v>
      </c>
      <c r="O3342" s="4">
        <f ca="1">IFERROR(__xludf.DUMMYFUNCTION("IF(Cost_in_dollars!E3342=""USD"",Cost_in_dollars!B3342,Cost_in_dollars!B3342 * GOOGLEFINANCE(""CURRENCY:"" &amp; Cost_in_dollars!E3342 &amp; ""USD""))
"),800000)</f>
        <v>800000</v>
      </c>
      <c r="P3342" s="4">
        <f ca="1">IFERROR(__xludf.DUMMYFUNCTION("IF(Cost_in_dollars!E3342=""USD"",Cost_in_dollars!C3342,Cost_in_dollars!C3342 * GOOGLEFINANCE(""CURRENCY:"" &amp; Cost_in_dollars!E3342 &amp; ""USD""))
"),1001437)</f>
        <v>1001437</v>
      </c>
      <c r="Q3342" s="4">
        <f t="shared" ca="1" si="78"/>
        <v>201437</v>
      </c>
      <c r="R3342" s="5" t="str">
        <f t="shared" si="79"/>
        <v>Ruby in Paradise</v>
      </c>
      <c r="S3342" s="43" t="str">
        <f t="shared" si="80"/>
        <v>Drama</v>
      </c>
    </row>
    <row r="3343" spans="1:19" ht="15.75" customHeight="1" x14ac:dyDescent="0.25">
      <c r="A3343" s="6" t="s">
        <v>508</v>
      </c>
      <c r="B3343" s="6">
        <v>370</v>
      </c>
      <c r="C3343" s="6">
        <v>362645141</v>
      </c>
      <c r="D3343" s="6" t="s">
        <v>509</v>
      </c>
      <c r="E3343" s="6" t="s">
        <v>439</v>
      </c>
      <c r="F3343" s="6" t="s">
        <v>510</v>
      </c>
      <c r="G3343" s="6">
        <v>106072</v>
      </c>
      <c r="H3343" s="6" t="s">
        <v>511</v>
      </c>
      <c r="I3343" s="6">
        <v>398</v>
      </c>
      <c r="J3343" s="6" t="s">
        <v>23</v>
      </c>
      <c r="K3343" s="6" t="s">
        <v>133</v>
      </c>
      <c r="L3343" s="6">
        <v>175000000</v>
      </c>
      <c r="M3343" s="6">
        <v>2016</v>
      </c>
      <c r="N3343" s="6">
        <v>7.8</v>
      </c>
      <c r="O3343" s="4">
        <f ca="1">IFERROR(__xludf.DUMMYFUNCTION("IF(Cost_in_dollars!E3343=""USD"",Cost_in_dollars!B3343,Cost_in_dollars!B3343 * GOOGLEFINANCE(""CURRENCY:"" &amp; Cost_in_dollars!E3343 &amp; ""USD""))
"),224944999.999999)</f>
        <v>224944999.99999899</v>
      </c>
      <c r="P3343" s="4">
        <f ca="1">IFERROR(__xludf.DUMMYFUNCTION("IF(Cost_in_dollars!E3343=""USD"",Cost_in_dollars!C3343,Cost_in_dollars!C3343 * GOOGLEFINANCE(""CURRENCY:"" &amp; Cost_in_dollars!E3343 &amp; ""USD""))
"),466144064.241399)</f>
        <v>466144064.24139899</v>
      </c>
      <c r="Q3343" s="6">
        <f t="shared" ca="1" si="78"/>
        <v>241199064.2414</v>
      </c>
      <c r="R3343" s="7" t="str">
        <f t="shared" si="79"/>
        <v>The Jungle Book</v>
      </c>
      <c r="S3343" s="43" t="str">
        <f t="shared" si="80"/>
        <v>Adventure</v>
      </c>
    </row>
    <row r="3344" spans="1:19" ht="15.75" customHeight="1" x14ac:dyDescent="0.25">
      <c r="A3344" s="4" t="s">
        <v>182</v>
      </c>
      <c r="B3344" s="4">
        <v>235</v>
      </c>
      <c r="C3344" s="4">
        <v>66257002</v>
      </c>
      <c r="D3344" s="4" t="s">
        <v>751</v>
      </c>
      <c r="E3344" s="4" t="s">
        <v>456</v>
      </c>
      <c r="F3344" s="4" t="s">
        <v>10302</v>
      </c>
      <c r="G3344" s="4">
        <v>350698</v>
      </c>
      <c r="H3344" s="4" t="s">
        <v>10303</v>
      </c>
      <c r="I3344" s="4">
        <v>816</v>
      </c>
      <c r="J3344" s="4" t="s">
        <v>23</v>
      </c>
      <c r="K3344" s="4" t="s">
        <v>24</v>
      </c>
      <c r="L3344" s="4">
        <v>70000000</v>
      </c>
      <c r="M3344" s="4">
        <v>2003</v>
      </c>
      <c r="N3344" s="4">
        <v>8</v>
      </c>
      <c r="O3344" s="4">
        <f ca="1">IFERROR(__xludf.DUMMYFUNCTION("IF(Cost_in_dollars!E3344=""USD"",Cost_in_dollars!B3344,Cost_in_dollars!B3344 * GOOGLEFINANCE(""CURRENCY:"" &amp; Cost_in_dollars!E3344 &amp; ""USD""))
"),70000000)</f>
        <v>70000000</v>
      </c>
      <c r="P3344" s="4">
        <f ca="1">IFERROR(__xludf.DUMMYFUNCTION("IF(Cost_in_dollars!E3344=""USD"",Cost_in_dollars!C3344,Cost_in_dollars!C3344 * GOOGLEFINANCE(""CURRENCY:"" &amp; Cost_in_dollars!E3344 &amp; ""USD""))
"),66257002)</f>
        <v>66257002</v>
      </c>
      <c r="Q3344" s="4">
        <f t="shared" ca="1" si="78"/>
        <v>-3742998</v>
      </c>
      <c r="R3344" s="5" t="str">
        <f t="shared" si="79"/>
        <v>Big Fish</v>
      </c>
      <c r="S3344" s="43" t="str">
        <f t="shared" si="80"/>
        <v>Adventure</v>
      </c>
    </row>
    <row r="3345" spans="1:19" ht="15.75" customHeight="1" x14ac:dyDescent="0.25">
      <c r="A3345" s="6" t="s">
        <v>1767</v>
      </c>
      <c r="B3345" s="6">
        <v>169</v>
      </c>
      <c r="C3345" s="6">
        <v>9639242</v>
      </c>
      <c r="D3345" s="6" t="s">
        <v>88</v>
      </c>
      <c r="E3345" s="6" t="s">
        <v>5733</v>
      </c>
      <c r="F3345" s="6" t="s">
        <v>10304</v>
      </c>
      <c r="G3345" s="6">
        <v>16437</v>
      </c>
      <c r="H3345" s="6" t="s">
        <v>10305</v>
      </c>
      <c r="I3345" s="6">
        <v>68</v>
      </c>
      <c r="J3345" s="6" t="s">
        <v>23</v>
      </c>
      <c r="K3345" s="6" t="s">
        <v>24</v>
      </c>
      <c r="L3345" s="6">
        <v>24000000</v>
      </c>
      <c r="M3345" s="6">
        <v>2011</v>
      </c>
      <c r="N3345" s="6">
        <v>4.9000000000000004</v>
      </c>
      <c r="O3345" s="4">
        <f ca="1">IFERROR(__xludf.DUMMYFUNCTION("IF(Cost_in_dollars!E3345=""USD"",Cost_in_dollars!B3345,Cost_in_dollars!B3345 * GOOGLEFINANCE(""CURRENCY:"" &amp; Cost_in_dollars!E3345 &amp; ""USD""))
"),24000000)</f>
        <v>24000000</v>
      </c>
      <c r="P3345" s="4">
        <f ca="1">IFERROR(__xludf.DUMMYFUNCTION("IF(Cost_in_dollars!E3345=""USD"",Cost_in_dollars!C3345,Cost_in_dollars!C3345 * GOOGLEFINANCE(""CURRENCY:"" &amp; Cost_in_dollars!E3345 &amp; ""USD""))
"),9639242)</f>
        <v>9639242</v>
      </c>
      <c r="Q3345" s="6">
        <f t="shared" ca="1" si="78"/>
        <v>-14360758</v>
      </c>
      <c r="R3345" s="7" t="str">
        <f t="shared" si="79"/>
        <v>I Don't Know How She Does It</v>
      </c>
      <c r="S3345" s="43" t="str">
        <f t="shared" si="80"/>
        <v>Comedy</v>
      </c>
    </row>
    <row r="3346" spans="1:19" ht="15.75" customHeight="1" x14ac:dyDescent="0.25">
      <c r="A3346" s="4" t="s">
        <v>10237</v>
      </c>
      <c r="B3346" s="4">
        <v>132</v>
      </c>
      <c r="C3346" s="4">
        <v>6754898</v>
      </c>
      <c r="D3346" s="4" t="s">
        <v>457</v>
      </c>
      <c r="E3346" s="4" t="s">
        <v>10306</v>
      </c>
      <c r="F3346" s="4" t="s">
        <v>10307</v>
      </c>
      <c r="G3346" s="4">
        <v>20000</v>
      </c>
      <c r="H3346" s="4" t="s">
        <v>10308</v>
      </c>
      <c r="I3346" s="4">
        <v>188</v>
      </c>
      <c r="J3346" s="4" t="s">
        <v>23</v>
      </c>
      <c r="K3346" s="4" t="s">
        <v>24</v>
      </c>
      <c r="L3346" s="4">
        <v>12000000</v>
      </c>
      <c r="M3346" s="4">
        <v>2006</v>
      </c>
      <c r="N3346" s="4">
        <v>6.2</v>
      </c>
      <c r="O3346" s="4">
        <f ca="1">IFERROR(__xludf.DUMMYFUNCTION("IF(Cost_in_dollars!E3346=""USD"",Cost_in_dollars!B3346,Cost_in_dollars!B3346 * GOOGLEFINANCE(""CURRENCY:"" &amp; Cost_in_dollars!E3346 &amp; ""USD""))
"),12000000)</f>
        <v>12000000</v>
      </c>
      <c r="P3346" s="4">
        <f ca="1">IFERROR(__xludf.DUMMYFUNCTION("IF(Cost_in_dollars!E3346=""USD"",Cost_in_dollars!C3346,Cost_in_dollars!C3346 * GOOGLEFINANCE(""CURRENCY:"" &amp; Cost_in_dollars!E3346 &amp; ""USD""))
"),6754898)</f>
        <v>6754898</v>
      </c>
      <c r="Q3346" s="4">
        <f t="shared" ca="1" si="78"/>
        <v>-5245102</v>
      </c>
      <c r="R3346" s="5" t="str">
        <f t="shared" si="79"/>
        <v>Running with Scissors</v>
      </c>
      <c r="S3346" s="43" t="str">
        <f t="shared" si="80"/>
        <v>Comedy</v>
      </c>
    </row>
    <row r="3347" spans="1:19" ht="15.75" customHeight="1" x14ac:dyDescent="0.25">
      <c r="A3347" s="6" t="s">
        <v>10309</v>
      </c>
      <c r="B3347" s="6">
        <v>210</v>
      </c>
      <c r="C3347" s="6">
        <v>143523463</v>
      </c>
      <c r="D3347" s="6" t="s">
        <v>259</v>
      </c>
      <c r="E3347" s="6" t="s">
        <v>881</v>
      </c>
      <c r="F3347" s="6" t="s">
        <v>10310</v>
      </c>
      <c r="G3347" s="6">
        <v>64322</v>
      </c>
      <c r="H3347" s="6" t="s">
        <v>10311</v>
      </c>
      <c r="I3347" s="6">
        <v>145</v>
      </c>
      <c r="J3347" s="6" t="s">
        <v>23</v>
      </c>
      <c r="K3347" s="6" t="s">
        <v>24</v>
      </c>
      <c r="L3347" s="6">
        <v>145000000</v>
      </c>
      <c r="M3347" s="6">
        <v>2016</v>
      </c>
      <c r="N3347" s="6">
        <v>7.2</v>
      </c>
      <c r="O3347" s="4">
        <f ca="1">IFERROR(__xludf.DUMMYFUNCTION("IF(Cost_in_dollars!E3347=""USD"",Cost_in_dollars!B3347,Cost_in_dollars!B3347 * GOOGLEFINANCE(""CURRENCY:"" &amp; Cost_in_dollars!E3347 &amp; ""USD""))
"),145000000)</f>
        <v>145000000</v>
      </c>
      <c r="P3347" s="4">
        <f ca="1">IFERROR(__xludf.DUMMYFUNCTION("IF(Cost_in_dollars!E3347=""USD"",Cost_in_dollars!C3347,Cost_in_dollars!C3347 * GOOGLEFINANCE(""CURRENCY:"" &amp; Cost_in_dollars!E3347 &amp; ""USD""))
"),143523463)</f>
        <v>143523463</v>
      </c>
      <c r="Q3347" s="6">
        <f t="shared" ca="1" si="78"/>
        <v>-1476537</v>
      </c>
      <c r="R3347" s="7" t="str">
        <f t="shared" si="79"/>
        <v>Kung Fu Panda 3</v>
      </c>
      <c r="S3347" s="43" t="str">
        <f t="shared" si="80"/>
        <v>Action</v>
      </c>
    </row>
    <row r="3348" spans="1:19" ht="15.75" customHeight="1" x14ac:dyDescent="0.25">
      <c r="A3348" s="4" t="s">
        <v>3167</v>
      </c>
      <c r="B3348" s="4">
        <v>101</v>
      </c>
      <c r="C3348" s="4">
        <v>17596256</v>
      </c>
      <c r="D3348" s="4" t="s">
        <v>860</v>
      </c>
      <c r="E3348" s="4" t="s">
        <v>20</v>
      </c>
      <c r="F3348" s="4" t="s">
        <v>10312</v>
      </c>
      <c r="G3348" s="4">
        <v>12399</v>
      </c>
      <c r="H3348" s="4" t="s">
        <v>10313</v>
      </c>
      <c r="I3348" s="4">
        <v>84</v>
      </c>
      <c r="J3348" s="4" t="s">
        <v>23</v>
      </c>
      <c r="K3348" s="4" t="s">
        <v>24</v>
      </c>
      <c r="L3348" s="4">
        <v>35000000</v>
      </c>
      <c r="M3348" s="4">
        <v>2010</v>
      </c>
      <c r="N3348" s="4">
        <v>3.8</v>
      </c>
      <c r="O3348" s="4">
        <f ca="1">IFERROR(__xludf.DUMMYFUNCTION("IF(Cost_in_dollars!E3348=""USD"",Cost_in_dollars!B3348,Cost_in_dollars!B3348 * GOOGLEFINANCE(""CURRENCY:"" &amp; Cost_in_dollars!E3348 &amp; ""USD""))
"),35000000)</f>
        <v>35000000</v>
      </c>
      <c r="P3348" s="4">
        <f ca="1">IFERROR(__xludf.DUMMYFUNCTION("IF(Cost_in_dollars!E3348=""USD"",Cost_in_dollars!C3348,Cost_in_dollars!C3348 * GOOGLEFINANCE(""CURRENCY:"" &amp; Cost_in_dollars!E3348 &amp; ""USD""))
"),17596256)</f>
        <v>17596256</v>
      </c>
      <c r="Q3348" s="4">
        <f t="shared" ca="1" si="78"/>
        <v>-17403744</v>
      </c>
      <c r="R3348" s="5" t="str">
        <f t="shared" si="79"/>
        <v>Furry Vengeance</v>
      </c>
      <c r="S3348" s="43" t="str">
        <f t="shared" si="80"/>
        <v>Comedy</v>
      </c>
    </row>
    <row r="3349" spans="1:19" ht="15.75" customHeight="1" x14ac:dyDescent="0.25">
      <c r="A3349" s="6" t="s">
        <v>2689</v>
      </c>
      <c r="B3349" s="6">
        <v>261</v>
      </c>
      <c r="C3349" s="6">
        <v>7097125</v>
      </c>
      <c r="D3349" s="6" t="s">
        <v>613</v>
      </c>
      <c r="E3349" s="6" t="s">
        <v>1449</v>
      </c>
      <c r="F3349" s="6" t="s">
        <v>10314</v>
      </c>
      <c r="G3349" s="6">
        <v>38983</v>
      </c>
      <c r="H3349" s="6" t="s">
        <v>10315</v>
      </c>
      <c r="I3349" s="6">
        <v>207</v>
      </c>
      <c r="J3349" s="6" t="s">
        <v>23</v>
      </c>
      <c r="K3349" s="6" t="s">
        <v>24</v>
      </c>
      <c r="L3349" s="6">
        <v>70000000</v>
      </c>
      <c r="M3349" s="6">
        <v>2015</v>
      </c>
      <c r="N3349" s="6">
        <v>5.4</v>
      </c>
      <c r="O3349" s="4">
        <f ca="1">IFERROR(__xludf.DUMMYFUNCTION("IF(Cost_in_dollars!E3349=""USD"",Cost_in_dollars!B3349,Cost_in_dollars!B3349 * GOOGLEFINANCE(""CURRENCY:"" &amp; Cost_in_dollars!E3349 &amp; ""USD""))
"),70000000)</f>
        <v>70000000</v>
      </c>
      <c r="P3349" s="4">
        <f ca="1">IFERROR(__xludf.DUMMYFUNCTION("IF(Cost_in_dollars!E3349=""USD"",Cost_in_dollars!C3349,Cost_in_dollars!C3349 * GOOGLEFINANCE(""CURRENCY:"" &amp; Cost_in_dollars!E3349 &amp; ""USD""))
"),7097125)</f>
        <v>7097125</v>
      </c>
      <c r="Q3349" s="6">
        <f t="shared" ca="1" si="78"/>
        <v>-62902875</v>
      </c>
      <c r="R3349" s="7" t="str">
        <f t="shared" si="79"/>
        <v>Blackhat</v>
      </c>
      <c r="S3349" s="43" t="str">
        <f t="shared" si="80"/>
        <v>Action</v>
      </c>
    </row>
    <row r="3350" spans="1:19" ht="15.75" customHeight="1" x14ac:dyDescent="0.25">
      <c r="A3350" s="4" t="s">
        <v>5059</v>
      </c>
      <c r="B3350" s="4">
        <v>293</v>
      </c>
      <c r="C3350" s="4">
        <v>6105175</v>
      </c>
      <c r="D3350" s="4" t="s">
        <v>140</v>
      </c>
      <c r="E3350" s="4" t="s">
        <v>407</v>
      </c>
      <c r="F3350" s="4" t="s">
        <v>10316</v>
      </c>
      <c r="G3350" s="4">
        <v>247020</v>
      </c>
      <c r="H3350" s="4" t="s">
        <v>10317</v>
      </c>
      <c r="I3350" s="4">
        <v>835</v>
      </c>
      <c r="J3350" s="4" t="s">
        <v>23</v>
      </c>
      <c r="K3350" s="4" t="s">
        <v>24</v>
      </c>
      <c r="L3350" s="4">
        <v>44000000</v>
      </c>
      <c r="M3350" s="4">
        <v>2014</v>
      </c>
      <c r="N3350" s="4">
        <v>6.6</v>
      </c>
      <c r="O3350" s="4">
        <f ca="1">IFERROR(__xludf.DUMMYFUNCTION("IF(Cost_in_dollars!E3350=""USD"",Cost_in_dollars!B3350,Cost_in_dollars!B3350 * GOOGLEFINANCE(""CURRENCY:"" &amp; Cost_in_dollars!E3350 &amp; ""USD""))
"),44000000)</f>
        <v>44000000</v>
      </c>
      <c r="P3350" s="4">
        <f ca="1">IFERROR(__xludf.DUMMYFUNCTION("IF(Cost_in_dollars!E3350=""USD"",Cost_in_dollars!C3350,Cost_in_dollars!C3350 * GOOGLEFINANCE(""CURRENCY:"" &amp; Cost_in_dollars!E3350 &amp; ""USD""))
"),6105175)</f>
        <v>6105175</v>
      </c>
      <c r="Q3350" s="4">
        <f t="shared" ca="1" si="78"/>
        <v>-37894825</v>
      </c>
      <c r="R3350" s="5" t="str">
        <f t="shared" si="79"/>
        <v>The Interview</v>
      </c>
      <c r="S3350" s="43" t="str">
        <f t="shared" si="80"/>
        <v>Comedy</v>
      </c>
    </row>
    <row r="3351" spans="1:19" ht="15.75" customHeight="1" x14ac:dyDescent="0.25">
      <c r="A3351" s="6" t="s">
        <v>1858</v>
      </c>
      <c r="B3351" s="6">
        <v>169</v>
      </c>
      <c r="C3351" s="6">
        <v>3753806</v>
      </c>
      <c r="D3351" s="6" t="s">
        <v>53</v>
      </c>
      <c r="E3351" s="6" t="s">
        <v>5480</v>
      </c>
      <c r="F3351" s="6" t="s">
        <v>10318</v>
      </c>
      <c r="G3351" s="6">
        <v>20307</v>
      </c>
      <c r="H3351" s="6" t="s">
        <v>10319</v>
      </c>
      <c r="I3351" s="6">
        <v>165</v>
      </c>
      <c r="J3351" s="6" t="s">
        <v>23</v>
      </c>
      <c r="K3351" s="6" t="s">
        <v>133</v>
      </c>
      <c r="L3351" s="6">
        <v>11000000</v>
      </c>
      <c r="M3351" s="6">
        <v>2004</v>
      </c>
      <c r="N3351" s="6">
        <v>7.7</v>
      </c>
      <c r="O3351" s="4">
        <f ca="1">IFERROR(__xludf.DUMMYFUNCTION("IF(Cost_in_dollars!E3351=""USD"",Cost_in_dollars!B3351,Cost_in_dollars!B3351 * GOOGLEFINANCE(""CURRENCY:"" &amp; Cost_in_dollars!E3351 &amp; ""USD""))
"),14139399.9999999)</f>
        <v>14139399.999999899</v>
      </c>
      <c r="P3351" s="4">
        <f ca="1">IFERROR(__xludf.DUMMYFUNCTION("IF(Cost_in_dollars!E3351=""USD"",Cost_in_dollars!C3351,Cost_in_dollars!C3351 * GOOGLEFINANCE(""CURRENCY:"" &amp; Cost_in_dollars!E3351 &amp; ""USD""))
"),4825142.23239999)</f>
        <v>4825142.2323999899</v>
      </c>
      <c r="Q3351" s="6">
        <f t="shared" ca="1" si="78"/>
        <v>-9314257.7675999105</v>
      </c>
      <c r="R3351" s="7" t="str">
        <f t="shared" si="79"/>
        <v>Vera Drake</v>
      </c>
      <c r="S3351" s="43" t="str">
        <f t="shared" si="80"/>
        <v>Crime</v>
      </c>
    </row>
    <row r="3352" spans="1:19" ht="15.75" customHeight="1" x14ac:dyDescent="0.25">
      <c r="A3352" s="4" t="s">
        <v>612</v>
      </c>
      <c r="B3352" s="4">
        <v>258</v>
      </c>
      <c r="C3352" s="4">
        <v>38542418</v>
      </c>
      <c r="D3352" s="4" t="s">
        <v>1749</v>
      </c>
      <c r="E3352" s="4" t="s">
        <v>54</v>
      </c>
      <c r="F3352" s="4" t="s">
        <v>10320</v>
      </c>
      <c r="G3352" s="4">
        <v>151424</v>
      </c>
      <c r="H3352" s="4" t="s">
        <v>10321</v>
      </c>
      <c r="I3352" s="4">
        <v>252</v>
      </c>
      <c r="J3352" s="4" t="s">
        <v>23</v>
      </c>
      <c r="K3352" s="4" t="s">
        <v>24</v>
      </c>
      <c r="L3352" s="4">
        <v>80000000</v>
      </c>
      <c r="M3352" s="4">
        <v>2009</v>
      </c>
      <c r="N3352" s="4">
        <v>6.3</v>
      </c>
      <c r="O3352" s="4">
        <f ca="1">IFERROR(__xludf.DUMMYFUNCTION("IF(Cost_in_dollars!E3352=""USD"",Cost_in_dollars!B3352,Cost_in_dollars!B3352 * GOOGLEFINANCE(""CURRENCY:"" &amp; Cost_in_dollars!E3352 &amp; ""USD""))
"),80000000)</f>
        <v>80000000</v>
      </c>
      <c r="P3352" s="4">
        <f ca="1">IFERROR(__xludf.DUMMYFUNCTION("IF(Cost_in_dollars!E3352=""USD"",Cost_in_dollars!C3352,Cost_in_dollars!C3352 * GOOGLEFINANCE(""CURRENCY:"" &amp; Cost_in_dollars!E3352 &amp; ""USD""))
"),38542418)</f>
        <v>38542418</v>
      </c>
      <c r="Q3352" s="4">
        <f t="shared" ca="1" si="78"/>
        <v>-41457582</v>
      </c>
      <c r="R3352" s="5" t="str">
        <f t="shared" si="79"/>
        <v>Surrogates</v>
      </c>
      <c r="S3352" s="43" t="str">
        <f t="shared" si="80"/>
        <v>Action</v>
      </c>
    </row>
    <row r="3353" spans="1:19" ht="15.75" customHeight="1" x14ac:dyDescent="0.25">
      <c r="A3353" s="6" t="s">
        <v>10322</v>
      </c>
      <c r="B3353" s="6">
        <v>106</v>
      </c>
      <c r="C3353" s="6">
        <v>73215310</v>
      </c>
      <c r="D3353" s="6" t="s">
        <v>10323</v>
      </c>
      <c r="E3353" s="6" t="s">
        <v>588</v>
      </c>
      <c r="F3353" s="6" t="s">
        <v>10324</v>
      </c>
      <c r="G3353" s="6">
        <v>44143</v>
      </c>
      <c r="H3353" s="6" t="s">
        <v>10325</v>
      </c>
      <c r="I3353" s="6">
        <v>216</v>
      </c>
      <c r="J3353" s="6" t="s">
        <v>23</v>
      </c>
      <c r="K3353" s="6" t="s">
        <v>24</v>
      </c>
      <c r="L3353" s="6">
        <v>80000000</v>
      </c>
      <c r="M3353" s="6">
        <v>2002</v>
      </c>
      <c r="N3353" s="6">
        <v>7</v>
      </c>
      <c r="O3353" s="4">
        <f ca="1">IFERROR(__xludf.DUMMYFUNCTION("IF(Cost_in_dollars!E3353=""USD"",Cost_in_dollars!B3353,Cost_in_dollars!B3353 * GOOGLEFINANCE(""CURRENCY:"" &amp; Cost_in_dollars!E3353 &amp; ""USD""))
"),80000000)</f>
        <v>80000000</v>
      </c>
      <c r="P3353" s="4">
        <f ca="1">IFERROR(__xludf.DUMMYFUNCTION("IF(Cost_in_dollars!E3353=""USD"",Cost_in_dollars!C3353,Cost_in_dollars!C3353 * GOOGLEFINANCE(""CURRENCY:"" &amp; Cost_in_dollars!E3353 &amp; ""USD""))
"),73215310)</f>
        <v>73215310</v>
      </c>
      <c r="Q3353" s="6">
        <f t="shared" ca="1" si="78"/>
        <v>-6784690</v>
      </c>
      <c r="R3353" s="7" t="str">
        <f t="shared" si="79"/>
        <v>Spirit: Stallion of the Cimarron</v>
      </c>
      <c r="S3353" s="43" t="str">
        <f t="shared" si="80"/>
        <v>Adventure</v>
      </c>
    </row>
    <row r="3354" spans="1:19" ht="15.75" customHeight="1" x14ac:dyDescent="0.25">
      <c r="A3354" s="4" t="s">
        <v>1006</v>
      </c>
      <c r="B3354" s="4">
        <v>83</v>
      </c>
      <c r="C3354" s="4">
        <v>28873374</v>
      </c>
      <c r="D3354" s="4" t="s">
        <v>718</v>
      </c>
      <c r="E3354" s="4" t="s">
        <v>10326</v>
      </c>
      <c r="F3354" s="4" t="s">
        <v>10327</v>
      </c>
      <c r="G3354" s="4">
        <v>22161</v>
      </c>
      <c r="H3354" s="4" t="s">
        <v>10328</v>
      </c>
      <c r="I3354" s="4">
        <v>68</v>
      </c>
      <c r="J3354" s="4" t="s">
        <v>23</v>
      </c>
      <c r="K3354" s="4" t="s">
        <v>24</v>
      </c>
      <c r="L3354" s="4">
        <v>10000000</v>
      </c>
      <c r="M3354" s="4">
        <v>2013</v>
      </c>
      <c r="N3354" s="4">
        <v>4.0999999999999996</v>
      </c>
      <c r="O3354" s="4">
        <f ca="1">IFERROR(__xludf.DUMMYFUNCTION("IF(Cost_in_dollars!E3354=""USD"",Cost_in_dollars!B3354,Cost_in_dollars!B3354 * GOOGLEFINANCE(""CURRENCY:"" &amp; Cost_in_dollars!E3354 &amp; ""USD""))
"),10000000)</f>
        <v>10000000</v>
      </c>
      <c r="P3354" s="4">
        <f ca="1">IFERROR(__xludf.DUMMYFUNCTION("IF(Cost_in_dollars!E3354=""USD"",Cost_in_dollars!C3354,Cost_in_dollars!C3354 * GOOGLEFINANCE(""CURRENCY:"" &amp; Cost_in_dollars!E3354 &amp; ""USD""))
"),28873374)</f>
        <v>28873374</v>
      </c>
      <c r="Q3354" s="4">
        <f t="shared" ca="1" si="78"/>
        <v>18873374</v>
      </c>
      <c r="R3354" s="5" t="str">
        <f t="shared" si="79"/>
        <v>One Direction: This Is Us</v>
      </c>
      <c r="S3354" s="43" t="str">
        <f t="shared" si="80"/>
        <v>Documentary</v>
      </c>
    </row>
    <row r="3355" spans="1:19" ht="15.75" customHeight="1" x14ac:dyDescent="0.25">
      <c r="A3355" s="6" t="s">
        <v>1683</v>
      </c>
      <c r="B3355" s="6">
        <v>280</v>
      </c>
      <c r="C3355" s="6">
        <v>952620</v>
      </c>
      <c r="D3355" s="6" t="s">
        <v>151</v>
      </c>
      <c r="E3355" s="6" t="s">
        <v>10329</v>
      </c>
      <c r="F3355" s="6" t="s">
        <v>10330</v>
      </c>
      <c r="G3355" s="6">
        <v>40800</v>
      </c>
      <c r="H3355" s="6" t="s">
        <v>10331</v>
      </c>
      <c r="I3355" s="6">
        <v>332</v>
      </c>
      <c r="J3355" s="6" t="s">
        <v>23</v>
      </c>
      <c r="K3355" s="6" t="s">
        <v>24</v>
      </c>
      <c r="L3355" s="6">
        <v>2000000</v>
      </c>
      <c r="M3355" s="6">
        <v>2007</v>
      </c>
      <c r="N3355" s="6">
        <v>5.7</v>
      </c>
      <c r="O3355" s="4">
        <f ca="1">IFERROR(__xludf.DUMMYFUNCTION("IF(Cost_in_dollars!E3355=""USD"",Cost_in_dollars!B3355,Cost_in_dollars!B3355 * GOOGLEFINANCE(""CURRENCY:"" &amp; Cost_in_dollars!E3355 &amp; ""USD""))
"),2000000)</f>
        <v>2000000</v>
      </c>
      <c r="P3355" s="4">
        <f ca="1">IFERROR(__xludf.DUMMYFUNCTION("IF(Cost_in_dollars!E3355=""USD"",Cost_in_dollars!C3355,Cost_in_dollars!C3355 * GOOGLEFINANCE(""CURRENCY:"" &amp; Cost_in_dollars!E3355 &amp; ""USD""))
"),952620)</f>
        <v>952620</v>
      </c>
      <c r="Q3355" s="6">
        <f t="shared" ca="1" si="78"/>
        <v>-1047380</v>
      </c>
      <c r="R3355" s="7" t="str">
        <f t="shared" si="79"/>
        <v>Diary of the Dead</v>
      </c>
      <c r="S3355" s="43" t="str">
        <f t="shared" si="80"/>
        <v>Horror</v>
      </c>
    </row>
    <row r="3356" spans="1:19" ht="15.75" customHeight="1" x14ac:dyDescent="0.25">
      <c r="A3356" s="4" t="s">
        <v>1781</v>
      </c>
      <c r="B3356" s="4">
        <v>100</v>
      </c>
      <c r="C3356" s="4">
        <v>172825435</v>
      </c>
      <c r="D3356" s="4" t="s">
        <v>102</v>
      </c>
      <c r="E3356" s="4" t="s">
        <v>223</v>
      </c>
      <c r="F3356" s="4" t="s">
        <v>10332</v>
      </c>
      <c r="G3356" s="4">
        <v>383784</v>
      </c>
      <c r="H3356" s="4" t="s">
        <v>10333</v>
      </c>
      <c r="I3356" s="4">
        <v>331</v>
      </c>
      <c r="J3356" s="4" t="s">
        <v>23</v>
      </c>
      <c r="K3356" s="4" t="s">
        <v>24</v>
      </c>
      <c r="L3356" s="4">
        <v>25000000</v>
      </c>
      <c r="M3356" s="4">
        <v>1988</v>
      </c>
      <c r="N3356" s="4">
        <v>8</v>
      </c>
      <c r="O3356" s="4">
        <f ca="1">IFERROR(__xludf.DUMMYFUNCTION("IF(Cost_in_dollars!E3356=""USD"",Cost_in_dollars!B3356,Cost_in_dollars!B3356 * GOOGLEFINANCE(""CURRENCY:"" &amp; Cost_in_dollars!E3356 &amp; ""USD""))
"),25000000)</f>
        <v>25000000</v>
      </c>
      <c r="P3356" s="4">
        <f ca="1">IFERROR(__xludf.DUMMYFUNCTION("IF(Cost_in_dollars!E3356=""USD"",Cost_in_dollars!C3356,Cost_in_dollars!C3356 * GOOGLEFINANCE(""CURRENCY:"" &amp; Cost_in_dollars!E3356 &amp; ""USD""))
"),172825435)</f>
        <v>172825435</v>
      </c>
      <c r="Q3356" s="4">
        <f t="shared" ca="1" si="78"/>
        <v>147825435</v>
      </c>
      <c r="R3356" s="5" t="str">
        <f t="shared" si="79"/>
        <v>Rain Man</v>
      </c>
      <c r="S3356" s="43" t="str">
        <f t="shared" si="80"/>
        <v>Drama</v>
      </c>
    </row>
    <row r="3357" spans="1:19" ht="15.75" customHeight="1" x14ac:dyDescent="0.25">
      <c r="A3357" s="6" t="s">
        <v>1098</v>
      </c>
      <c r="B3357" s="6">
        <v>48</v>
      </c>
      <c r="C3357" s="6">
        <v>21413502</v>
      </c>
      <c r="D3357" s="6" t="s">
        <v>10334</v>
      </c>
      <c r="E3357" s="6" t="s">
        <v>1206</v>
      </c>
      <c r="F3357" s="6" t="s">
        <v>10335</v>
      </c>
      <c r="G3357" s="6">
        <v>14429</v>
      </c>
      <c r="H3357" s="6" t="s">
        <v>10336</v>
      </c>
      <c r="I3357" s="6">
        <v>113</v>
      </c>
      <c r="J3357" s="6" t="s">
        <v>23</v>
      </c>
      <c r="K3357" s="6" t="s">
        <v>24</v>
      </c>
      <c r="L3357" s="6">
        <v>40000000</v>
      </c>
      <c r="M3357" s="6">
        <v>1990</v>
      </c>
      <c r="N3357" s="6">
        <v>6.3</v>
      </c>
      <c r="O3357" s="4">
        <f ca="1">IFERROR(__xludf.DUMMYFUNCTION("IF(Cost_in_dollars!E3357=""USD"",Cost_in_dollars!B3357,Cost_in_dollars!B3357 * GOOGLEFINANCE(""CURRENCY:"" &amp; Cost_in_dollars!E3357 &amp; ""USD""))
"),40000000)</f>
        <v>40000000</v>
      </c>
      <c r="P3357" s="4">
        <f ca="1">IFERROR(__xludf.DUMMYFUNCTION("IF(Cost_in_dollars!E3357=""USD"",Cost_in_dollars!C3357,Cost_in_dollars!C3357 * GOOGLEFINANCE(""CURRENCY:"" &amp; Cost_in_dollars!E3357 &amp; ""USD""))
"),21413502)</f>
        <v>21413502</v>
      </c>
      <c r="Q3357" s="6">
        <f t="shared" ca="1" si="78"/>
        <v>-18586498</v>
      </c>
      <c r="R3357" s="7" t="str">
        <f t="shared" si="79"/>
        <v>The Adventures of Ford Fairlane</v>
      </c>
      <c r="S3357" s="43" t="str">
        <f t="shared" si="80"/>
        <v>Action</v>
      </c>
    </row>
    <row r="3358" spans="1:19" ht="15.75" customHeight="1" x14ac:dyDescent="0.25">
      <c r="A3358" s="4" t="s">
        <v>10337</v>
      </c>
      <c r="B3358" s="4">
        <v>134</v>
      </c>
      <c r="C3358" s="4">
        <v>9600000</v>
      </c>
      <c r="D3358" s="4" t="s">
        <v>4992</v>
      </c>
      <c r="E3358" s="4" t="s">
        <v>1943</v>
      </c>
      <c r="F3358" s="4" t="s">
        <v>10338</v>
      </c>
      <c r="G3358" s="4">
        <v>100890</v>
      </c>
      <c r="H3358" s="4" t="s">
        <v>10339</v>
      </c>
      <c r="I3358" s="4">
        <v>281</v>
      </c>
      <c r="J3358" s="4" t="s">
        <v>23</v>
      </c>
      <c r="K3358" s="4" t="s">
        <v>24</v>
      </c>
      <c r="L3358" s="4">
        <v>910000</v>
      </c>
      <c r="M3358" s="4">
        <v>1954</v>
      </c>
      <c r="N3358" s="4">
        <v>8.1999999999999993</v>
      </c>
      <c r="O3358" s="4">
        <f ca="1">IFERROR(__xludf.DUMMYFUNCTION("IF(Cost_in_dollars!E3358=""USD"",Cost_in_dollars!B3358,Cost_in_dollars!B3358 * GOOGLEFINANCE(""CURRENCY:"" &amp; Cost_in_dollars!E3358 &amp; ""USD""))
"),910000)</f>
        <v>910000</v>
      </c>
      <c r="P3358" s="4">
        <f ca="1">IFERROR(__xludf.DUMMYFUNCTION("IF(Cost_in_dollars!E3358=""USD"",Cost_in_dollars!C3358,Cost_in_dollars!C3358 * GOOGLEFINANCE(""CURRENCY:"" &amp; Cost_in_dollars!E3358 &amp; ""USD""))
"),9600000)</f>
        <v>9600000</v>
      </c>
      <c r="Q3358" s="4">
        <f t="shared" ca="1" si="78"/>
        <v>8690000</v>
      </c>
      <c r="R3358" s="5" t="str">
        <f t="shared" si="79"/>
        <v>On the Waterfront</v>
      </c>
      <c r="S3358" s="43" t="str">
        <f t="shared" si="80"/>
        <v>Crime</v>
      </c>
    </row>
    <row r="3359" spans="1:19" ht="15.75" customHeight="1" x14ac:dyDescent="0.25">
      <c r="A3359" s="6" t="s">
        <v>826</v>
      </c>
      <c r="B3359" s="6">
        <v>34</v>
      </c>
      <c r="C3359" s="6">
        <v>13801755</v>
      </c>
      <c r="D3359" s="6" t="s">
        <v>793</v>
      </c>
      <c r="E3359" s="6" t="s">
        <v>473</v>
      </c>
      <c r="F3359" s="6" t="s">
        <v>10340</v>
      </c>
      <c r="G3359" s="6">
        <v>23928</v>
      </c>
      <c r="H3359" s="6" t="s">
        <v>10341</v>
      </c>
      <c r="I3359" s="6">
        <v>100</v>
      </c>
      <c r="J3359" s="6" t="s">
        <v>23</v>
      </c>
      <c r="K3359" s="6" t="s">
        <v>24</v>
      </c>
      <c r="L3359" s="6">
        <v>20000000</v>
      </c>
      <c r="M3359" s="6">
        <v>1997</v>
      </c>
      <c r="N3359" s="6">
        <v>6.6</v>
      </c>
      <c r="O3359" s="4">
        <f ca="1">IFERROR(__xludf.DUMMYFUNCTION("IF(Cost_in_dollars!E3359=""USD"",Cost_in_dollars!B3359,Cost_in_dollars!B3359 * GOOGLEFINANCE(""CURRENCY:"" &amp; Cost_in_dollars!E3359 &amp; ""USD""))
"),20000000)</f>
        <v>20000000</v>
      </c>
      <c r="P3359" s="4">
        <f ca="1">IFERROR(__xludf.DUMMYFUNCTION("IF(Cost_in_dollars!E3359=""USD"",Cost_in_dollars!C3359,Cost_in_dollars!C3359 * GOOGLEFINANCE(""CURRENCY:"" &amp; Cost_in_dollars!E3359 &amp; ""USD""))
"),13801755)</f>
        <v>13801755</v>
      </c>
      <c r="Q3359" s="6">
        <f t="shared" ca="1" si="78"/>
        <v>-6198245</v>
      </c>
      <c r="R3359" s="7" t="str">
        <f t="shared" si="79"/>
        <v>The Man Who Knew Too Little</v>
      </c>
      <c r="S3359" s="43" t="str">
        <f t="shared" si="80"/>
        <v>Action</v>
      </c>
    </row>
    <row r="3360" spans="1:19" ht="15.75" customHeight="1" x14ac:dyDescent="0.25">
      <c r="A3360" s="4" t="s">
        <v>10342</v>
      </c>
      <c r="B3360" s="4">
        <v>156</v>
      </c>
      <c r="C3360" s="4">
        <v>50150619</v>
      </c>
      <c r="D3360" s="4" t="s">
        <v>548</v>
      </c>
      <c r="E3360" s="4" t="s">
        <v>179</v>
      </c>
      <c r="F3360" s="4" t="s">
        <v>10343</v>
      </c>
      <c r="G3360" s="4">
        <v>45580</v>
      </c>
      <c r="H3360" s="4" t="s">
        <v>10344</v>
      </c>
      <c r="I3360" s="4">
        <v>102</v>
      </c>
      <c r="J3360" s="4" t="s">
        <v>23</v>
      </c>
      <c r="K3360" s="4" t="s">
        <v>24</v>
      </c>
      <c r="L3360" s="4">
        <v>50000000</v>
      </c>
      <c r="M3360" s="4">
        <v>2014</v>
      </c>
      <c r="N3360" s="4">
        <v>7.3</v>
      </c>
      <c r="O3360" s="4">
        <f ca="1">IFERROR(__xludf.DUMMYFUNCTION("IF(Cost_in_dollars!E3360=""USD"",Cost_in_dollars!B3360,Cost_in_dollars!B3360 * GOOGLEFINANCE(""CURRENCY:"" &amp; Cost_in_dollars!E3360 &amp; ""USD""))
"),50000000)</f>
        <v>50000000</v>
      </c>
      <c r="P3360" s="4">
        <f ca="1">IFERROR(__xludf.DUMMYFUNCTION("IF(Cost_in_dollars!E3360=""USD"",Cost_in_dollars!C3360,Cost_in_dollars!C3360 * GOOGLEFINANCE(""CURRENCY:"" &amp; Cost_in_dollars!E3360 &amp; ""USD""))
"),50150619)</f>
        <v>50150619</v>
      </c>
      <c r="Q3360" s="4">
        <f t="shared" ca="1" si="78"/>
        <v>150619</v>
      </c>
      <c r="R3360" s="5" t="str">
        <f t="shared" si="79"/>
        <v>The Book of Life</v>
      </c>
      <c r="S3360" s="43" t="str">
        <f t="shared" si="80"/>
        <v>Adventure</v>
      </c>
    </row>
    <row r="3361" spans="1:19" ht="15.75" customHeight="1" x14ac:dyDescent="0.25">
      <c r="A3361" s="6" t="s">
        <v>10345</v>
      </c>
      <c r="B3361" s="6">
        <v>189</v>
      </c>
      <c r="C3361" s="6">
        <v>856942</v>
      </c>
      <c r="D3361" s="6" t="s">
        <v>102</v>
      </c>
      <c r="E3361" s="6" t="s">
        <v>10346</v>
      </c>
      <c r="F3361" s="6" t="s">
        <v>10347</v>
      </c>
      <c r="G3361" s="6">
        <v>12241</v>
      </c>
      <c r="H3361" s="6" t="s">
        <v>10348</v>
      </c>
      <c r="I3361" s="6">
        <v>112</v>
      </c>
      <c r="J3361" s="6" t="s">
        <v>23</v>
      </c>
      <c r="K3361" s="6" t="s">
        <v>24</v>
      </c>
      <c r="L3361" s="6">
        <v>200000</v>
      </c>
      <c r="M3361" s="6">
        <v>2008</v>
      </c>
      <c r="N3361" s="6">
        <v>7.1</v>
      </c>
      <c r="O3361" s="4">
        <f ca="1">IFERROR(__xludf.DUMMYFUNCTION("IF(Cost_in_dollars!E3361=""USD"",Cost_in_dollars!B3361,Cost_in_dollars!B3361 * GOOGLEFINANCE(""CURRENCY:"" &amp; Cost_in_dollars!E3361 &amp; ""USD""))
"),200000)</f>
        <v>200000</v>
      </c>
      <c r="P3361" s="4">
        <f ca="1">IFERROR(__xludf.DUMMYFUNCTION("IF(Cost_in_dollars!E3361=""USD"",Cost_in_dollars!C3361,Cost_in_dollars!C3361 * GOOGLEFINANCE(""CURRENCY:"" &amp; Cost_in_dollars!E3361 &amp; ""USD""))
"),856942)</f>
        <v>856942</v>
      </c>
      <c r="Q3361" s="6">
        <f t="shared" ca="1" si="78"/>
        <v>656942</v>
      </c>
      <c r="R3361" s="7" t="str">
        <f t="shared" si="79"/>
        <v>Wendy and Lucy</v>
      </c>
      <c r="S3361" s="43" t="str">
        <f t="shared" si="80"/>
        <v>Drama</v>
      </c>
    </row>
    <row r="3362" spans="1:19" ht="15.75" customHeight="1" x14ac:dyDescent="0.25">
      <c r="A3362" s="4" t="s">
        <v>3762</v>
      </c>
      <c r="B3362" s="4">
        <v>602</v>
      </c>
      <c r="C3362" s="4">
        <v>200074175</v>
      </c>
      <c r="D3362" s="4" t="s">
        <v>477</v>
      </c>
      <c r="E3362" s="4" t="s">
        <v>3822</v>
      </c>
      <c r="F3362" s="4" t="s">
        <v>10349</v>
      </c>
      <c r="G3362" s="4">
        <v>275868</v>
      </c>
      <c r="H3362" s="4" t="s">
        <v>10350</v>
      </c>
      <c r="I3362" s="4">
        <v>994</v>
      </c>
      <c r="J3362" s="4" t="s">
        <v>23</v>
      </c>
      <c r="K3362" s="4" t="s">
        <v>133</v>
      </c>
      <c r="L3362" s="4">
        <v>245000000</v>
      </c>
      <c r="M3362" s="4">
        <v>2015</v>
      </c>
      <c r="N3362" s="4">
        <v>6.8</v>
      </c>
      <c r="O3362" s="4">
        <f ca="1">IFERROR(__xludf.DUMMYFUNCTION("IF(Cost_in_dollars!E3362=""USD"",Cost_in_dollars!B3362,Cost_in_dollars!B3362 * GOOGLEFINANCE(""CURRENCY:"" &amp; Cost_in_dollars!E3362 &amp; ""USD""))
"),314922999.999999)</f>
        <v>314922999.99999899</v>
      </c>
      <c r="P3362" s="4">
        <f ca="1">IFERROR(__xludf.DUMMYFUNCTION("IF(Cost_in_dollars!E3362=""USD"",Cost_in_dollars!C3362,Cost_in_dollars!C3362 * GOOGLEFINANCE(""CURRENCY:"" &amp; Cost_in_dollars!E3362 &amp; ""USD""))
"),257175344.545)</f>
        <v>257175344.54499999</v>
      </c>
      <c r="Q3362" s="4">
        <f t="shared" ca="1" si="78"/>
        <v>-57747655.454999</v>
      </c>
      <c r="R3362" s="5" t="str">
        <f t="shared" si="79"/>
        <v>Spectr</v>
      </c>
      <c r="S3362" s="43" t="str">
        <f t="shared" si="80"/>
        <v>Action</v>
      </c>
    </row>
    <row r="3363" spans="1:19" ht="15.75" customHeight="1" x14ac:dyDescent="0.25">
      <c r="A3363" s="6" t="s">
        <v>763</v>
      </c>
      <c r="B3363" s="6">
        <v>112</v>
      </c>
      <c r="C3363" s="6">
        <v>32645</v>
      </c>
      <c r="D3363" s="6" t="s">
        <v>813</v>
      </c>
      <c r="E3363" s="6" t="s">
        <v>886</v>
      </c>
      <c r="F3363" s="6" t="s">
        <v>10351</v>
      </c>
      <c r="G3363" s="6">
        <v>67797</v>
      </c>
      <c r="H3363" s="6" t="s">
        <v>10352</v>
      </c>
      <c r="I3363" s="6">
        <v>223</v>
      </c>
      <c r="J3363" s="6" t="s">
        <v>23</v>
      </c>
      <c r="K3363" s="6" t="s">
        <v>24</v>
      </c>
      <c r="L3363" s="6">
        <v>500000</v>
      </c>
      <c r="M3363" s="6">
        <v>1973</v>
      </c>
      <c r="N3363" s="6">
        <v>7.4</v>
      </c>
      <c r="O3363" s="4">
        <f ca="1">IFERROR(__xludf.DUMMYFUNCTION("IF(Cost_in_dollars!E3363=""USD"",Cost_in_dollars!B3363,Cost_in_dollars!B3363 * GOOGLEFINANCE(""CURRENCY:"" &amp; Cost_in_dollars!E3363 &amp; ""USD""))
"),500000)</f>
        <v>500000</v>
      </c>
      <c r="P3363" s="4">
        <f ca="1">IFERROR(__xludf.DUMMYFUNCTION("IF(Cost_in_dollars!E3363=""USD"",Cost_in_dollars!C3363,Cost_in_dollars!C3363 * GOOGLEFINANCE(""CURRENCY:"" &amp; Cost_in_dollars!E3363 &amp; ""USD""))
"),32645)</f>
        <v>32645</v>
      </c>
      <c r="Q3363" s="6">
        <f t="shared" ca="1" si="78"/>
        <v>-467355</v>
      </c>
      <c r="R3363" s="7" t="str">
        <f t="shared" si="79"/>
        <v>Mean Streets</v>
      </c>
      <c r="S3363" s="43" t="str">
        <f t="shared" si="80"/>
        <v>Crime</v>
      </c>
    </row>
    <row r="3364" spans="1:19" ht="15.75" customHeight="1" x14ac:dyDescent="0.25">
      <c r="A3364" s="4" t="s">
        <v>35</v>
      </c>
      <c r="B3364" s="4">
        <v>111</v>
      </c>
      <c r="C3364" s="4">
        <v>5300000</v>
      </c>
      <c r="D3364" s="4" t="s">
        <v>53</v>
      </c>
      <c r="E3364" s="4" t="s">
        <v>886</v>
      </c>
      <c r="F3364" s="4" t="s">
        <v>10353</v>
      </c>
      <c r="G3364" s="4">
        <v>221000</v>
      </c>
      <c r="H3364" s="4" t="s">
        <v>10354</v>
      </c>
      <c r="I3364" s="4">
        <v>495</v>
      </c>
      <c r="J3364" s="4" t="s">
        <v>23</v>
      </c>
      <c r="K3364" s="4" t="s">
        <v>41</v>
      </c>
      <c r="L3364" s="4">
        <v>30000000</v>
      </c>
      <c r="M3364" s="4">
        <v>1984</v>
      </c>
      <c r="N3364" s="4">
        <v>8.4</v>
      </c>
      <c r="O3364" s="4">
        <f ca="1">IFERROR(__xludf.DUMMYFUNCTION("IF(Cost_in_dollars!E3364=""USD"",Cost_in_dollars!B3364,Cost_in_dollars!B3364 * GOOGLEFINANCE(""CURRENCY:"" &amp; Cost_in_dollars!E3364 &amp; ""USD""))
"),32542200)</f>
        <v>32542200</v>
      </c>
      <c r="P3364" s="4">
        <f ca="1">IFERROR(__xludf.DUMMYFUNCTION("IF(Cost_in_dollars!E3364=""USD"",Cost_in_dollars!C3364,Cost_in_dollars!C3364 * GOOGLEFINANCE(""CURRENCY:"" &amp; Cost_in_dollars!E3364 &amp; ""USD""))
"),5749122)</f>
        <v>5749122</v>
      </c>
      <c r="Q3364" s="4">
        <f t="shared" ca="1" si="78"/>
        <v>-26793078</v>
      </c>
      <c r="R3364" s="5" t="str">
        <f t="shared" si="79"/>
        <v>Once Upon a Time in America</v>
      </c>
      <c r="S3364" s="43" t="str">
        <f t="shared" si="80"/>
        <v>Crime</v>
      </c>
    </row>
    <row r="3365" spans="1:19" ht="15.75" customHeight="1" x14ac:dyDescent="0.25">
      <c r="A3365" s="6" t="s">
        <v>1353</v>
      </c>
      <c r="B3365" s="6">
        <v>392</v>
      </c>
      <c r="C3365" s="6">
        <v>336530303</v>
      </c>
      <c r="D3365" s="6" t="s">
        <v>1354</v>
      </c>
      <c r="E3365" s="6" t="s">
        <v>881</v>
      </c>
      <c r="F3365" s="6" t="s">
        <v>1355</v>
      </c>
      <c r="G3365" s="6">
        <v>383056</v>
      </c>
      <c r="H3365" s="6" t="s">
        <v>1356</v>
      </c>
      <c r="I3365" s="6">
        <v>1902</v>
      </c>
      <c r="J3365" s="6" t="s">
        <v>23</v>
      </c>
      <c r="K3365" s="6" t="s">
        <v>24</v>
      </c>
      <c r="L3365" s="6">
        <v>258000000</v>
      </c>
      <c r="M3365" s="6">
        <v>2007</v>
      </c>
      <c r="N3365" s="6">
        <v>6.2</v>
      </c>
      <c r="O3365" s="4">
        <f ca="1">IFERROR(__xludf.DUMMYFUNCTION("IF(Cost_in_dollars!E3365=""USD"",Cost_in_dollars!B3365,Cost_in_dollars!B3365 * GOOGLEFINANCE(""CURRENCY:"" &amp; Cost_in_dollars!E3365 &amp; ""USD""))
"),258000000)</f>
        <v>258000000</v>
      </c>
      <c r="P3365" s="4">
        <f ca="1">IFERROR(__xludf.DUMMYFUNCTION("IF(Cost_in_dollars!E3365=""USD"",Cost_in_dollars!C3365,Cost_in_dollars!C3365 * GOOGLEFINANCE(""CURRENCY:"" &amp; Cost_in_dollars!E3365 &amp; ""USD""))
"),336530303)</f>
        <v>336530303</v>
      </c>
      <c r="Q3365" s="6">
        <f t="shared" ca="1" si="78"/>
        <v>78530303</v>
      </c>
      <c r="R3365" s="7" t="str">
        <f t="shared" si="79"/>
        <v>Spider-Man 3</v>
      </c>
      <c r="S3365" s="43" t="str">
        <f t="shared" si="80"/>
        <v>Action</v>
      </c>
    </row>
    <row r="3366" spans="1:19" ht="15.75" customHeight="1" x14ac:dyDescent="0.25">
      <c r="A3366" s="4" t="s">
        <v>3214</v>
      </c>
      <c r="B3366" s="4">
        <v>285</v>
      </c>
      <c r="C3366" s="4">
        <v>71519230</v>
      </c>
      <c r="D3366" s="4" t="s">
        <v>63</v>
      </c>
      <c r="E3366" s="4" t="s">
        <v>4607</v>
      </c>
      <c r="F3366" s="4" t="s">
        <v>10355</v>
      </c>
      <c r="G3366" s="4">
        <v>92364</v>
      </c>
      <c r="H3366" s="4" t="s">
        <v>10356</v>
      </c>
      <c r="I3366" s="4">
        <v>244</v>
      </c>
      <c r="J3366" s="4" t="s">
        <v>23</v>
      </c>
      <c r="K3366" s="4" t="s">
        <v>24</v>
      </c>
      <c r="L3366" s="4">
        <v>9000000</v>
      </c>
      <c r="M3366" s="4">
        <v>2014</v>
      </c>
      <c r="N3366" s="4">
        <v>6.5</v>
      </c>
      <c r="O3366" s="4">
        <f ca="1">IFERROR(__xludf.DUMMYFUNCTION("IF(Cost_in_dollars!E3366=""USD"",Cost_in_dollars!B3366,Cost_in_dollars!B3366 * GOOGLEFINANCE(""CURRENCY:"" &amp; Cost_in_dollars!E3366 &amp; ""USD""))
"),9000000)</f>
        <v>9000000</v>
      </c>
      <c r="P3366" s="4">
        <f ca="1">IFERROR(__xludf.DUMMYFUNCTION("IF(Cost_in_dollars!E3366=""USD"",Cost_in_dollars!C3366,Cost_in_dollars!C3366 * GOOGLEFINANCE(""CURRENCY:"" &amp; Cost_in_dollars!E3366 &amp; ""USD""))
"),71519230)</f>
        <v>71519230</v>
      </c>
      <c r="Q3366" s="4">
        <f t="shared" ca="1" si="78"/>
        <v>62519230</v>
      </c>
      <c r="R3366" s="5" t="str">
        <f t="shared" si="79"/>
        <v>The Purge: Anarchy</v>
      </c>
      <c r="S3366" s="43" t="str">
        <f t="shared" si="80"/>
        <v>Action</v>
      </c>
    </row>
    <row r="3367" spans="1:19" ht="15.75" customHeight="1" x14ac:dyDescent="0.25">
      <c r="A3367" s="6" t="s">
        <v>10357</v>
      </c>
      <c r="B3367" s="6">
        <v>267</v>
      </c>
      <c r="C3367" s="6">
        <v>46982632</v>
      </c>
      <c r="D3367" s="6" t="s">
        <v>10358</v>
      </c>
      <c r="E3367" s="6" t="s">
        <v>4122</v>
      </c>
      <c r="F3367" s="6" t="s">
        <v>10359</v>
      </c>
      <c r="G3367" s="6">
        <v>172792</v>
      </c>
      <c r="H3367" s="6" t="s">
        <v>10360</v>
      </c>
      <c r="I3367" s="6">
        <v>1740</v>
      </c>
      <c r="J3367" s="6" t="s">
        <v>23</v>
      </c>
      <c r="K3367" s="6" t="s">
        <v>627</v>
      </c>
      <c r="L3367" s="6">
        <v>50000000</v>
      </c>
      <c r="M3367" s="6">
        <v>2006</v>
      </c>
      <c r="N3367" s="6">
        <v>6.6</v>
      </c>
      <c r="O3367" s="4">
        <f ca="1">IFERROR(__xludf.DUMMYFUNCTION("IF(Cost_in_dollars!E3367=""USD"",Cost_in_dollars!B3367,Cost_in_dollars!B3367 * GOOGLEFINANCE(""CURRENCY:"" &amp; Cost_in_dollars!E3367 &amp; ""USD""))
"),36170250)</f>
        <v>36170250</v>
      </c>
      <c r="P3367" s="4">
        <f ca="1">IFERROR(__xludf.DUMMYFUNCTION("IF(Cost_in_dollars!E3367=""USD"",Cost_in_dollars!C3367,Cost_in_dollars!C3367 * GOOGLEFINANCE(""CURRENCY:"" &amp; Cost_in_dollars!E3367 &amp; ""USD""))
"),33987470.90196)</f>
        <v>33987470.90196</v>
      </c>
      <c r="Q3367" s="6">
        <f t="shared" ca="1" si="78"/>
        <v>-2182779.0980399996</v>
      </c>
      <c r="R3367" s="7" t="str">
        <f t="shared" si="79"/>
        <v>Silent Hill</v>
      </c>
      <c r="S3367" s="43" t="str">
        <f t="shared" si="80"/>
        <v>Adventure</v>
      </c>
    </row>
    <row r="3368" spans="1:19" ht="15.75" customHeight="1" x14ac:dyDescent="0.25">
      <c r="A3368" s="4" t="s">
        <v>10361</v>
      </c>
      <c r="B3368" s="4">
        <v>453</v>
      </c>
      <c r="C3368" s="4">
        <v>414984497</v>
      </c>
      <c r="D3368" s="4" t="s">
        <v>304</v>
      </c>
      <c r="E3368" s="4" t="s">
        <v>464</v>
      </c>
      <c r="F3368" s="4" t="s">
        <v>10362</v>
      </c>
      <c r="G3368" s="4">
        <v>544884</v>
      </c>
      <c r="H3368" s="4" t="s">
        <v>10363</v>
      </c>
      <c r="I3368" s="4">
        <v>733</v>
      </c>
      <c r="J3368" s="4" t="s">
        <v>23</v>
      </c>
      <c r="K3368" s="4" t="s">
        <v>24</v>
      </c>
      <c r="L3368" s="4">
        <v>200000000</v>
      </c>
      <c r="M3368" s="4">
        <v>2010</v>
      </c>
      <c r="N3368" s="4">
        <v>8.3000000000000007</v>
      </c>
      <c r="O3368" s="4">
        <f ca="1">IFERROR(__xludf.DUMMYFUNCTION("IF(Cost_in_dollars!E3368=""USD"",Cost_in_dollars!B3368,Cost_in_dollars!B3368 * GOOGLEFINANCE(""CURRENCY:"" &amp; Cost_in_dollars!E3368 &amp; ""USD""))
"),200000000)</f>
        <v>200000000</v>
      </c>
      <c r="P3368" s="4">
        <f ca="1">IFERROR(__xludf.DUMMYFUNCTION("IF(Cost_in_dollars!E3368=""USD"",Cost_in_dollars!C3368,Cost_in_dollars!C3368 * GOOGLEFINANCE(""CURRENCY:"" &amp; Cost_in_dollars!E3368 &amp; ""USD""))
"),414984497)</f>
        <v>414984497</v>
      </c>
      <c r="Q3368" s="4">
        <f t="shared" ca="1" si="78"/>
        <v>214984497</v>
      </c>
      <c r="R3368" s="5" t="str">
        <f t="shared" si="79"/>
        <v>Toy Story 3</v>
      </c>
      <c r="S3368" s="43" t="str">
        <f t="shared" si="80"/>
        <v>Adventure</v>
      </c>
    </row>
    <row r="3369" spans="1:19" ht="15.75" customHeight="1" x14ac:dyDescent="0.25">
      <c r="A3369" s="6" t="s">
        <v>8160</v>
      </c>
      <c r="B3369" s="6">
        <v>171</v>
      </c>
      <c r="C3369" s="6">
        <v>43097652</v>
      </c>
      <c r="D3369" s="6" t="s">
        <v>162</v>
      </c>
      <c r="E3369" s="6" t="s">
        <v>1055</v>
      </c>
      <c r="F3369" s="6" t="s">
        <v>10364</v>
      </c>
      <c r="G3369" s="6">
        <v>59068</v>
      </c>
      <c r="H3369" s="6" t="s">
        <v>10365</v>
      </c>
      <c r="I3369" s="6">
        <v>128</v>
      </c>
      <c r="J3369" s="6" t="s">
        <v>23</v>
      </c>
      <c r="K3369" s="6" t="s">
        <v>24</v>
      </c>
      <c r="L3369" s="6">
        <v>28000000</v>
      </c>
      <c r="M3369" s="6">
        <v>2007</v>
      </c>
      <c r="N3369" s="6">
        <v>6.3</v>
      </c>
      <c r="O3369" s="4">
        <f ca="1">IFERROR(__xludf.DUMMYFUNCTION("IF(Cost_in_dollars!E3369=""USD"",Cost_in_dollars!B3369,Cost_in_dollars!B3369 * GOOGLEFINANCE(""CURRENCY:"" &amp; Cost_in_dollars!E3369 &amp; ""USD""))
"),28000000)</f>
        <v>28000000</v>
      </c>
      <c r="P3369" s="4">
        <f ca="1">IFERROR(__xludf.DUMMYFUNCTION("IF(Cost_in_dollars!E3369=""USD"",Cost_in_dollars!C3369,Cost_in_dollars!C3369 * GOOGLEFINANCE(""CURRENCY:"" &amp; Cost_in_dollars!E3369 &amp; ""USD""))
"),43097652)</f>
        <v>43097652</v>
      </c>
      <c r="Q3369" s="6">
        <f t="shared" ca="1" si="78"/>
        <v>15097652</v>
      </c>
      <c r="R3369" s="7" t="str">
        <f t="shared" si="79"/>
        <v>No Reservations</v>
      </c>
      <c r="S3369" s="43" t="str">
        <f t="shared" si="80"/>
        <v>Comedy</v>
      </c>
    </row>
    <row r="3370" spans="1:19" ht="15.75" customHeight="1" x14ac:dyDescent="0.25">
      <c r="A3370" s="4" t="s">
        <v>10366</v>
      </c>
      <c r="B3370" s="4">
        <v>75</v>
      </c>
      <c r="C3370" s="4">
        <v>102922376</v>
      </c>
      <c r="D3370" s="4" t="s">
        <v>2049</v>
      </c>
      <c r="E3370" s="4" t="s">
        <v>3114</v>
      </c>
      <c r="F3370" s="4" t="s">
        <v>10367</v>
      </c>
      <c r="G3370" s="4">
        <v>51314</v>
      </c>
      <c r="H3370" s="4" t="s">
        <v>10368</v>
      </c>
      <c r="I3370" s="4">
        <v>265</v>
      </c>
      <c r="J3370" s="4" t="s">
        <v>23</v>
      </c>
      <c r="K3370" s="4" t="s">
        <v>24</v>
      </c>
      <c r="L3370" s="4">
        <v>20000000</v>
      </c>
      <c r="M3370" s="4">
        <v>1978</v>
      </c>
      <c r="N3370" s="4">
        <v>5.7</v>
      </c>
      <c r="O3370" s="4">
        <f ca="1">IFERROR(__xludf.DUMMYFUNCTION("IF(Cost_in_dollars!E3370=""USD"",Cost_in_dollars!B3370,Cost_in_dollars!B3370 * GOOGLEFINANCE(""CURRENCY:"" &amp; Cost_in_dollars!E3370 &amp; ""USD""))
"),20000000)</f>
        <v>20000000</v>
      </c>
      <c r="P3370" s="4">
        <f ca="1">IFERROR(__xludf.DUMMYFUNCTION("IF(Cost_in_dollars!E3370=""USD"",Cost_in_dollars!C3370,Cost_in_dollars!C3370 * GOOGLEFINANCE(""CURRENCY:"" &amp; Cost_in_dollars!E3370 &amp; ""USD""))
"),102922376)</f>
        <v>102922376</v>
      </c>
      <c r="Q3370" s="4">
        <f t="shared" ca="1" si="78"/>
        <v>82922376</v>
      </c>
      <c r="R3370" s="5" t="str">
        <f t="shared" si="79"/>
        <v>Jaws 2</v>
      </c>
      <c r="S3370" s="43" t="str">
        <f t="shared" si="80"/>
        <v>Adventure</v>
      </c>
    </row>
    <row r="3371" spans="1:19" ht="15.75" customHeight="1" x14ac:dyDescent="0.25">
      <c r="A3371" s="6" t="s">
        <v>3673</v>
      </c>
      <c r="B3371" s="6">
        <v>143</v>
      </c>
      <c r="C3371" s="6">
        <v>1550000</v>
      </c>
      <c r="D3371" s="6" t="s">
        <v>10369</v>
      </c>
      <c r="E3371" s="6" t="s">
        <v>5684</v>
      </c>
      <c r="F3371" s="6" t="s">
        <v>10370</v>
      </c>
      <c r="G3371" s="6">
        <v>30628</v>
      </c>
      <c r="H3371" s="6" t="s">
        <v>10371</v>
      </c>
      <c r="I3371" s="6">
        <v>471</v>
      </c>
      <c r="J3371" s="6" t="s">
        <v>23</v>
      </c>
      <c r="K3371" s="6" t="s">
        <v>24</v>
      </c>
      <c r="L3371" s="6">
        <v>25000000</v>
      </c>
      <c r="M3371" s="6">
        <v>2005</v>
      </c>
      <c r="N3371" s="6">
        <v>2.9</v>
      </c>
      <c r="O3371" s="4">
        <f ca="1">IFERROR(__xludf.DUMMYFUNCTION("IF(Cost_in_dollars!E3371=""USD"",Cost_in_dollars!B3371,Cost_in_dollars!B3371 * GOOGLEFINANCE(""CURRENCY:"" &amp; Cost_in_dollars!E3371 &amp; ""USD""))
"),25000000)</f>
        <v>25000000</v>
      </c>
      <c r="P3371" s="4">
        <f ca="1">IFERROR(__xludf.DUMMYFUNCTION("IF(Cost_in_dollars!E3371=""USD"",Cost_in_dollars!C3371,Cost_in_dollars!C3371 * GOOGLEFINANCE(""CURRENCY:"" &amp; Cost_in_dollars!E3371 &amp; ""USD""))
"),1550000)</f>
        <v>1550000</v>
      </c>
      <c r="Q3371" s="6">
        <f t="shared" ca="1" si="78"/>
        <v>-23450000</v>
      </c>
      <c r="R3371" s="7" t="str">
        <f t="shared" si="79"/>
        <v>BloodRayne</v>
      </c>
      <c r="S3371" s="43" t="str">
        <f t="shared" si="80"/>
        <v>Action</v>
      </c>
    </row>
    <row r="3372" spans="1:19" ht="15.75" customHeight="1" x14ac:dyDescent="0.25">
      <c r="A3372" s="4" t="s">
        <v>10372</v>
      </c>
      <c r="B3372" s="4">
        <v>66</v>
      </c>
      <c r="C3372" s="4">
        <v>42672630</v>
      </c>
      <c r="D3372" s="4" t="s">
        <v>10373</v>
      </c>
      <c r="E3372" s="4" t="s">
        <v>10374</v>
      </c>
      <c r="F3372" s="4" t="s">
        <v>10375</v>
      </c>
      <c r="G3372" s="4">
        <v>27580</v>
      </c>
      <c r="H3372" s="4" t="s">
        <v>10376</v>
      </c>
      <c r="I3372" s="4">
        <v>172</v>
      </c>
      <c r="J3372" s="4" t="s">
        <v>23</v>
      </c>
      <c r="K3372" s="4" t="s">
        <v>24</v>
      </c>
      <c r="L3372" s="4">
        <v>17000000</v>
      </c>
      <c r="M3372" s="4">
        <v>2003</v>
      </c>
      <c r="N3372" s="4">
        <v>5.3</v>
      </c>
      <c r="O3372" s="4">
        <f ca="1">IFERROR(__xludf.DUMMYFUNCTION("IF(Cost_in_dollars!E3372=""USD"",Cost_in_dollars!B3372,Cost_in_dollars!B3372 * GOOGLEFINANCE(""CURRENCY:"" &amp; Cost_in_dollars!E3372 &amp; ""USD""))
"),17000000)</f>
        <v>17000000</v>
      </c>
      <c r="P3372" s="4">
        <f ca="1">IFERROR(__xludf.DUMMYFUNCTION("IF(Cost_in_dollars!E3372=""USD"",Cost_in_dollars!C3372,Cost_in_dollars!C3372 * GOOGLEFINANCE(""CURRENCY:"" &amp; Cost_in_dollars!E3372 &amp; ""USD""))
"),42672630)</f>
        <v>42672630</v>
      </c>
      <c r="Q3372" s="4">
        <f t="shared" ca="1" si="78"/>
        <v>25672630</v>
      </c>
      <c r="R3372" s="5" t="str">
        <f t="shared" si="79"/>
        <v>The Lizzie McGuire Movie</v>
      </c>
      <c r="S3372" s="43" t="str">
        <f t="shared" si="80"/>
        <v>Adventure</v>
      </c>
    </row>
    <row r="3373" spans="1:19" ht="15.75" customHeight="1" x14ac:dyDescent="0.25">
      <c r="A3373" s="6" t="s">
        <v>2877</v>
      </c>
      <c r="B3373" s="6">
        <v>384</v>
      </c>
      <c r="C3373" s="6">
        <v>117698894</v>
      </c>
      <c r="D3373" s="6" t="s">
        <v>578</v>
      </c>
      <c r="E3373" s="6" t="s">
        <v>173</v>
      </c>
      <c r="F3373" s="6" t="s">
        <v>10377</v>
      </c>
      <c r="G3373" s="6">
        <v>447979</v>
      </c>
      <c r="H3373" s="6" t="s">
        <v>10378</v>
      </c>
      <c r="I3373" s="6">
        <v>629</v>
      </c>
      <c r="J3373" s="6" t="s">
        <v>23</v>
      </c>
      <c r="K3373" s="6" t="s">
        <v>24</v>
      </c>
      <c r="L3373" s="6">
        <v>75000000</v>
      </c>
      <c r="M3373" s="6">
        <v>2013</v>
      </c>
      <c r="N3373" s="6">
        <v>7.3</v>
      </c>
      <c r="O3373" s="4">
        <f ca="1">IFERROR(__xludf.DUMMYFUNCTION("IF(Cost_in_dollars!E3373=""USD"",Cost_in_dollars!B3373,Cost_in_dollars!B3373 * GOOGLEFINANCE(""CURRENCY:"" &amp; Cost_in_dollars!E3373 &amp; ""USD""))
"),75000000)</f>
        <v>75000000</v>
      </c>
      <c r="P3373" s="4">
        <f ca="1">IFERROR(__xludf.DUMMYFUNCTION("IF(Cost_in_dollars!E3373=""USD"",Cost_in_dollars!C3373,Cost_in_dollars!C3373 * GOOGLEFINANCE(""CURRENCY:"" &amp; Cost_in_dollars!E3373 &amp; ""USD""))
"),117698894)</f>
        <v>117698894</v>
      </c>
      <c r="Q3373" s="6">
        <f t="shared" ca="1" si="78"/>
        <v>42698894</v>
      </c>
      <c r="R3373" s="7" t="str">
        <f t="shared" si="79"/>
        <v>Now You See Me</v>
      </c>
      <c r="S3373" s="43" t="str">
        <f t="shared" si="80"/>
        <v>Crime</v>
      </c>
    </row>
    <row r="3374" spans="1:19" ht="15.75" customHeight="1" x14ac:dyDescent="0.25">
      <c r="A3374" s="4" t="s">
        <v>503</v>
      </c>
      <c r="B3374" s="4">
        <v>216</v>
      </c>
      <c r="C3374" s="4">
        <v>95001343</v>
      </c>
      <c r="D3374" s="4" t="s">
        <v>1127</v>
      </c>
      <c r="E3374" s="4" t="s">
        <v>640</v>
      </c>
      <c r="F3374" s="4" t="s">
        <v>10379</v>
      </c>
      <c r="G3374" s="4">
        <v>66511</v>
      </c>
      <c r="H3374" s="4" t="s">
        <v>10380</v>
      </c>
      <c r="I3374" s="4">
        <v>200</v>
      </c>
      <c r="J3374" s="4" t="s">
        <v>23</v>
      </c>
      <c r="K3374" s="4" t="s">
        <v>24</v>
      </c>
      <c r="L3374" s="4">
        <v>40000000</v>
      </c>
      <c r="M3374" s="4">
        <v>2013</v>
      </c>
      <c r="N3374" s="4">
        <v>7.5</v>
      </c>
      <c r="O3374" s="4">
        <f ca="1">IFERROR(__xludf.DUMMYFUNCTION("IF(Cost_in_dollars!E3374=""USD"",Cost_in_dollars!B3374,Cost_in_dollars!B3374 * GOOGLEFINANCE(""CURRENCY:"" &amp; Cost_in_dollars!E3374 &amp; ""USD""))
"),40000000)</f>
        <v>40000000</v>
      </c>
      <c r="P3374" s="4">
        <f ca="1">IFERROR(__xludf.DUMMYFUNCTION("IF(Cost_in_dollars!E3374=""USD"",Cost_in_dollars!C3374,Cost_in_dollars!C3374 * GOOGLEFINANCE(""CURRENCY:"" &amp; Cost_in_dollars!E3374 &amp; ""USD""))
"),95001343)</f>
        <v>95001343</v>
      </c>
      <c r="Q3374" s="4">
        <f t="shared" ca="1" si="78"/>
        <v>55001343</v>
      </c>
      <c r="R3374" s="5" t="str">
        <f t="shared" si="79"/>
        <v>42</v>
      </c>
      <c r="S3374" s="43" t="str">
        <f t="shared" si="80"/>
        <v>Biography</v>
      </c>
    </row>
    <row r="3375" spans="1:19" ht="15.75" customHeight="1" x14ac:dyDescent="0.25">
      <c r="A3375" s="6" t="s">
        <v>7427</v>
      </c>
      <c r="B3375" s="6">
        <v>24</v>
      </c>
      <c r="C3375" s="6">
        <v>2154540</v>
      </c>
      <c r="D3375" s="6" t="s">
        <v>1099</v>
      </c>
      <c r="E3375" s="6" t="s">
        <v>10381</v>
      </c>
      <c r="F3375" s="6" t="s">
        <v>10382</v>
      </c>
      <c r="G3375" s="6">
        <v>3803</v>
      </c>
      <c r="H3375" s="6" t="s">
        <v>10383</v>
      </c>
      <c r="I3375" s="6">
        <v>41</v>
      </c>
      <c r="J3375" s="6" t="s">
        <v>23</v>
      </c>
      <c r="K3375" s="6" t="s">
        <v>24</v>
      </c>
      <c r="L3375" s="6">
        <v>45000000</v>
      </c>
      <c r="M3375" s="6">
        <v>1997</v>
      </c>
      <c r="N3375" s="6">
        <v>4.9000000000000004</v>
      </c>
      <c r="O3375" s="4">
        <f ca="1">IFERROR(__xludf.DUMMYFUNCTION("IF(Cost_in_dollars!E3375=""USD"",Cost_in_dollars!B3375,Cost_in_dollars!B3375 * GOOGLEFINANCE(""CURRENCY:"" &amp; Cost_in_dollars!E3375 &amp; ""USD""))
"),45000000)</f>
        <v>45000000</v>
      </c>
      <c r="P3375" s="4">
        <f ca="1">IFERROR(__xludf.DUMMYFUNCTION("IF(Cost_in_dollars!E3375=""USD"",Cost_in_dollars!C3375,Cost_in_dollars!C3375 * GOOGLEFINANCE(""CURRENCY:"" &amp; Cost_in_dollars!E3375 &amp; ""USD""))
"),2154540)</f>
        <v>2154540</v>
      </c>
      <c r="Q3375" s="6">
        <f t="shared" ca="1" si="78"/>
        <v>-42845460</v>
      </c>
      <c r="R3375" s="7" t="str">
        <f t="shared" si="79"/>
        <v>Shadow Conspiracy</v>
      </c>
      <c r="S3375" s="43" t="str">
        <f t="shared" si="80"/>
        <v>Action</v>
      </c>
    </row>
    <row r="3376" spans="1:19" ht="15.75" customHeight="1" x14ac:dyDescent="0.25">
      <c r="A3376" s="4" t="s">
        <v>10384</v>
      </c>
      <c r="B3376" s="4">
        <v>245</v>
      </c>
      <c r="C3376" s="4">
        <v>3081925</v>
      </c>
      <c r="D3376" s="4" t="s">
        <v>162</v>
      </c>
      <c r="E3376" s="4" t="s">
        <v>1347</v>
      </c>
      <c r="F3376" s="4" t="s">
        <v>10385</v>
      </c>
      <c r="G3376" s="4">
        <v>55842</v>
      </c>
      <c r="H3376" s="4" t="s">
        <v>10386</v>
      </c>
      <c r="I3376" s="4">
        <v>274</v>
      </c>
      <c r="J3376" s="4" t="s">
        <v>23</v>
      </c>
      <c r="K3376" s="4" t="s">
        <v>24</v>
      </c>
      <c r="L3376" s="4">
        <v>21000000</v>
      </c>
      <c r="M3376" s="4">
        <v>2008</v>
      </c>
      <c r="N3376" s="4">
        <v>7.5</v>
      </c>
      <c r="O3376" s="4">
        <f ca="1">IFERROR(__xludf.DUMMYFUNCTION("IF(Cost_in_dollars!E3376=""USD"",Cost_in_dollars!B3376,Cost_in_dollars!B3376 * GOOGLEFINANCE(""CURRENCY:"" &amp; Cost_in_dollars!E3376 &amp; ""USD""))
"),21000000)</f>
        <v>21000000</v>
      </c>
      <c r="P3376" s="4">
        <f ca="1">IFERROR(__xludf.DUMMYFUNCTION("IF(Cost_in_dollars!E3376=""USD"",Cost_in_dollars!C3376,Cost_in_dollars!C3376 * GOOGLEFINANCE(""CURRENCY:"" &amp; Cost_in_dollars!E3376 &amp; ""USD""))
"),3081925)</f>
        <v>3081925</v>
      </c>
      <c r="Q3376" s="4">
        <f t="shared" ca="1" si="78"/>
        <v>-17918075</v>
      </c>
      <c r="R3376" s="5" t="str">
        <f t="shared" si="79"/>
        <v>Synecdoche, New York</v>
      </c>
      <c r="S3376" s="43" t="str">
        <f t="shared" si="80"/>
        <v>Comedy</v>
      </c>
    </row>
    <row r="3377" spans="1:19" ht="15.75" customHeight="1" x14ac:dyDescent="0.25">
      <c r="A3377" s="6" t="s">
        <v>10387</v>
      </c>
      <c r="B3377" s="6">
        <v>151</v>
      </c>
      <c r="C3377" s="6">
        <v>56154094</v>
      </c>
      <c r="D3377" s="6" t="s">
        <v>235</v>
      </c>
      <c r="E3377" s="6" t="s">
        <v>10388</v>
      </c>
      <c r="F3377" s="6" t="s">
        <v>10389</v>
      </c>
      <c r="G3377" s="6">
        <v>44723</v>
      </c>
      <c r="H3377" s="6" t="s">
        <v>10390</v>
      </c>
      <c r="I3377" s="6">
        <v>130</v>
      </c>
      <c r="J3377" s="6" t="s">
        <v>23</v>
      </c>
      <c r="K3377" s="6" t="s">
        <v>133</v>
      </c>
      <c r="L3377" s="6">
        <v>20000000</v>
      </c>
      <c r="M3377" s="6">
        <v>2016</v>
      </c>
      <c r="N3377" s="6">
        <v>7.6</v>
      </c>
      <c r="O3377" s="4">
        <f ca="1">IFERROR(__xludf.DUMMYFUNCTION("IF(Cost_in_dollars!E3377=""USD"",Cost_in_dollars!B3377,Cost_in_dollars!B3377 * GOOGLEFINANCE(""CURRENCY:"" &amp; Cost_in_dollars!E3377 &amp; ""USD""))
"),25707999.9999999)</f>
        <v>25707999.999999899</v>
      </c>
      <c r="P3377" s="4">
        <f ca="1">IFERROR(__xludf.DUMMYFUNCTION("IF(Cost_in_dollars!E3377=""USD"",Cost_in_dollars!C3377,Cost_in_dollars!C3377 * GOOGLEFINANCE(""CURRENCY:"" &amp; Cost_in_dollars!E3377 &amp; ""USD""))
"),72180472.4276)</f>
        <v>72180472.427599996</v>
      </c>
      <c r="Q3377" s="6">
        <f t="shared" ca="1" si="78"/>
        <v>46472472.427600101</v>
      </c>
      <c r="R3377" s="7" t="str">
        <f t="shared" si="79"/>
        <v>Me Before You</v>
      </c>
      <c r="S3377" s="43" t="str">
        <f t="shared" si="80"/>
        <v>Drama</v>
      </c>
    </row>
    <row r="3378" spans="1:19" ht="15.75" customHeight="1" x14ac:dyDescent="0.25">
      <c r="A3378" s="4" t="s">
        <v>6190</v>
      </c>
      <c r="B3378" s="4">
        <v>163</v>
      </c>
      <c r="C3378" s="4">
        <v>80197993</v>
      </c>
      <c r="D3378" s="4" t="s">
        <v>10046</v>
      </c>
      <c r="E3378" s="4" t="s">
        <v>10391</v>
      </c>
      <c r="F3378" s="4" t="s">
        <v>10392</v>
      </c>
      <c r="G3378" s="4">
        <v>65551</v>
      </c>
      <c r="H3378" s="4" t="s">
        <v>10393</v>
      </c>
      <c r="I3378" s="4">
        <v>441</v>
      </c>
      <c r="J3378" s="4" t="s">
        <v>23</v>
      </c>
      <c r="K3378" s="4" t="s">
        <v>176</v>
      </c>
      <c r="L3378" s="4">
        <v>32000000</v>
      </c>
      <c r="M3378" s="4">
        <v>2006</v>
      </c>
      <c r="N3378" s="4">
        <v>5.7</v>
      </c>
      <c r="O3378" s="4">
        <f ca="1">IFERROR(__xludf.DUMMYFUNCTION("IF(Cost_in_dollars!E3378=""USD"",Cost_in_dollars!B3378,Cost_in_dollars!B3378 * GOOGLEFINANCE(""CURRENCY:"" &amp; Cost_in_dollars!E3378 &amp; ""USD""))
"),34711680)</f>
        <v>34711680</v>
      </c>
      <c r="P3378" s="4">
        <f ca="1">IFERROR(__xludf.DUMMYFUNCTION("IF(Cost_in_dollars!E3378=""USD"",Cost_in_dollars!C3378,Cost_in_dollars!C3378 * GOOGLEFINANCE(""CURRENCY:"" &amp; Cost_in_dollars!E3378 &amp; ""USD""))
"),86993970.92682)</f>
        <v>86993970.926819995</v>
      </c>
      <c r="Q3378" s="4">
        <f t="shared" ca="1" si="78"/>
        <v>52282290.926819995</v>
      </c>
      <c r="R3378" s="5" t="str">
        <f t="shared" si="79"/>
        <v>Nacho Libre</v>
      </c>
      <c r="S3378" s="43" t="str">
        <f t="shared" si="80"/>
        <v>Comedy</v>
      </c>
    </row>
    <row r="3379" spans="1:19" ht="15.75" customHeight="1" x14ac:dyDescent="0.25">
      <c r="A3379" s="6" t="s">
        <v>1697</v>
      </c>
      <c r="B3379" s="6">
        <v>239</v>
      </c>
      <c r="C3379" s="6">
        <v>42345531</v>
      </c>
      <c r="D3379" s="6" t="s">
        <v>63</v>
      </c>
      <c r="E3379" s="6" t="s">
        <v>64</v>
      </c>
      <c r="F3379" s="6" t="s">
        <v>10394</v>
      </c>
      <c r="G3379" s="6">
        <v>104831</v>
      </c>
      <c r="H3379" s="6" t="s">
        <v>10395</v>
      </c>
      <c r="I3379" s="6">
        <v>423</v>
      </c>
      <c r="J3379" s="6" t="s">
        <v>23</v>
      </c>
      <c r="K3379" s="6" t="s">
        <v>176</v>
      </c>
      <c r="L3379" s="6">
        <v>65000000</v>
      </c>
      <c r="M3379" s="6">
        <v>2012</v>
      </c>
      <c r="N3379" s="6">
        <v>5.4</v>
      </c>
      <c r="O3379" s="4">
        <f ca="1">IFERROR(__xludf.DUMMYFUNCTION("IF(Cost_in_dollars!E3379=""USD"",Cost_in_dollars!B3379,Cost_in_dollars!B3379 * GOOGLEFINANCE(""CURRENCY:"" &amp; Cost_in_dollars!E3379 &amp; ""USD""))
"),70508100)</f>
        <v>70508100</v>
      </c>
      <c r="P3379" s="4">
        <f ca="1">IFERROR(__xludf.DUMMYFUNCTION("IF(Cost_in_dollars!E3379=""USD"",Cost_in_dollars!C3379,Cost_in_dollars!C3379 * GOOGLEFINANCE(""CURRENCY:"" &amp; Cost_in_dollars!E3379 &amp; ""USD""))
"),45933891.29694)</f>
        <v>45933891.296939999</v>
      </c>
      <c r="Q3379" s="6">
        <f t="shared" ca="1" si="78"/>
        <v>-24574208.703060001</v>
      </c>
      <c r="R3379" s="7" t="str">
        <f t="shared" si="79"/>
        <v>Resident Evil: Retribution</v>
      </c>
      <c r="S3379" s="43" t="str">
        <f t="shared" si="80"/>
        <v>Action</v>
      </c>
    </row>
    <row r="3380" spans="1:19" ht="15.75" customHeight="1" x14ac:dyDescent="0.25">
      <c r="A3380" s="4" t="s">
        <v>1574</v>
      </c>
      <c r="B3380" s="4">
        <v>422</v>
      </c>
      <c r="C3380" s="4">
        <v>125320003</v>
      </c>
      <c r="D3380" s="4" t="s">
        <v>188</v>
      </c>
      <c r="E3380" s="4" t="s">
        <v>1595</v>
      </c>
      <c r="F3380" s="4" t="s">
        <v>10396</v>
      </c>
      <c r="G3380" s="4">
        <v>286095</v>
      </c>
      <c r="H3380" s="4" t="s">
        <v>10397</v>
      </c>
      <c r="I3380" s="4">
        <v>974</v>
      </c>
      <c r="J3380" s="4" t="s">
        <v>23</v>
      </c>
      <c r="K3380" s="4" t="s">
        <v>24</v>
      </c>
      <c r="L3380" s="4">
        <v>200000000</v>
      </c>
      <c r="M3380" s="4">
        <v>2009</v>
      </c>
      <c r="N3380" s="4">
        <v>6.6</v>
      </c>
      <c r="O3380" s="4">
        <f ca="1">IFERROR(__xludf.DUMMYFUNCTION("IF(Cost_in_dollars!E3380=""USD"",Cost_in_dollars!B3380,Cost_in_dollars!B3380 * GOOGLEFINANCE(""CURRENCY:"" &amp; Cost_in_dollars!E3380 &amp; ""USD""))
"),200000000)</f>
        <v>200000000</v>
      </c>
      <c r="P3380" s="4">
        <f ca="1">IFERROR(__xludf.DUMMYFUNCTION("IF(Cost_in_dollars!E3380=""USD"",Cost_in_dollars!C3380,Cost_in_dollars!C3380 * GOOGLEFINANCE(""CURRENCY:"" &amp; Cost_in_dollars!E3380 &amp; ""USD""))
"),125320003)</f>
        <v>125320003</v>
      </c>
      <c r="Q3380" s="4">
        <f t="shared" ca="1" si="78"/>
        <v>-74679997</v>
      </c>
      <c r="R3380" s="5" t="str">
        <f t="shared" si="79"/>
        <v>Terminator Salvation</v>
      </c>
      <c r="S3380" s="43" t="str">
        <f t="shared" si="80"/>
        <v>Action</v>
      </c>
    </row>
    <row r="3381" spans="1:19" ht="15.75" customHeight="1" x14ac:dyDescent="0.25">
      <c r="A3381" s="6" t="s">
        <v>3030</v>
      </c>
      <c r="B3381" s="6">
        <v>188</v>
      </c>
      <c r="C3381" s="6">
        <v>10991381</v>
      </c>
      <c r="D3381" s="6" t="s">
        <v>68</v>
      </c>
      <c r="E3381" s="6" t="s">
        <v>5350</v>
      </c>
      <c r="F3381" s="6" t="s">
        <v>10398</v>
      </c>
      <c r="G3381" s="6">
        <v>44931</v>
      </c>
      <c r="H3381" s="6" t="s">
        <v>10399</v>
      </c>
      <c r="I3381" s="6">
        <v>100</v>
      </c>
      <c r="J3381" s="6" t="s">
        <v>23</v>
      </c>
      <c r="K3381" s="6" t="s">
        <v>133</v>
      </c>
      <c r="L3381" s="6">
        <v>35000000</v>
      </c>
      <c r="M3381" s="6">
        <v>2009</v>
      </c>
      <c r="N3381" s="6">
        <v>7.3</v>
      </c>
      <c r="O3381" s="4">
        <f ca="1">IFERROR(__xludf.DUMMYFUNCTION("IF(Cost_in_dollars!E3381=""USD"",Cost_in_dollars!B3381,Cost_in_dollars!B3381 * GOOGLEFINANCE(""CURRENCY:"" &amp; Cost_in_dollars!E3381 &amp; ""USD""))
"),44988999.9999999)</f>
        <v>44988999.999999903</v>
      </c>
      <c r="P3381" s="4">
        <f ca="1">IFERROR(__xludf.DUMMYFUNCTION("IF(Cost_in_dollars!E3381=""USD"",Cost_in_dollars!C3381,Cost_in_dollars!C3381 * GOOGLEFINANCE(""CURRENCY:"" &amp; Cost_in_dollars!E3381 &amp; ""USD""))
"),14128321.1374)</f>
        <v>14128321.137399999</v>
      </c>
      <c r="Q3381" s="6">
        <f t="shared" ca="1" si="78"/>
        <v>-30860678.862599902</v>
      </c>
      <c r="R3381" s="7" t="str">
        <f t="shared" si="79"/>
        <v>The Young Victoria</v>
      </c>
      <c r="S3381" s="43" t="str">
        <f t="shared" si="80"/>
        <v>Biography</v>
      </c>
    </row>
    <row r="3382" spans="1:19" ht="15.75" customHeight="1" x14ac:dyDescent="0.25">
      <c r="A3382" s="4" t="s">
        <v>10400</v>
      </c>
      <c r="B3382" s="4">
        <v>19</v>
      </c>
      <c r="C3382" s="4">
        <v>1100000</v>
      </c>
      <c r="D3382" s="4" t="s">
        <v>53</v>
      </c>
      <c r="E3382" s="4" t="s">
        <v>10401</v>
      </c>
      <c r="F3382" s="4" t="s">
        <v>10402</v>
      </c>
      <c r="G3382" s="4">
        <v>3665</v>
      </c>
      <c r="H3382" s="4" t="s">
        <v>10403</v>
      </c>
      <c r="I3382" s="4">
        <v>39</v>
      </c>
      <c r="J3382" s="4" t="s">
        <v>23</v>
      </c>
      <c r="K3382" s="4" t="s">
        <v>24</v>
      </c>
      <c r="L3382" s="4">
        <v>5000000</v>
      </c>
      <c r="M3382" s="4">
        <v>1992</v>
      </c>
      <c r="N3382" s="4">
        <v>6.8</v>
      </c>
      <c r="O3382" s="4">
        <f ca="1">IFERROR(__xludf.DUMMYFUNCTION("IF(Cost_in_dollars!E3382=""USD"",Cost_in_dollars!B3382,Cost_in_dollars!B3382 * GOOGLEFINANCE(""CURRENCY:"" &amp; Cost_in_dollars!E3382 &amp; ""USD""))
"),5000000)</f>
        <v>5000000</v>
      </c>
      <c r="P3382" s="4">
        <f ca="1">IFERROR(__xludf.DUMMYFUNCTION("IF(Cost_in_dollars!E3382=""USD"",Cost_in_dollars!C3382,Cost_in_dollars!C3382 * GOOGLEFINANCE(""CURRENCY:"" &amp; Cost_in_dollars!E3382 &amp; ""USD""))
"),1100000)</f>
        <v>1100000</v>
      </c>
      <c r="Q3382" s="4">
        <f t="shared" ca="1" si="78"/>
        <v>-3900000</v>
      </c>
      <c r="R3382" s="5" t="str">
        <f t="shared" si="79"/>
        <v>Light Sleeper</v>
      </c>
      <c r="S3382" s="43" t="str">
        <f t="shared" si="80"/>
        <v>Crime</v>
      </c>
    </row>
    <row r="3383" spans="1:19" ht="15.75" customHeight="1" x14ac:dyDescent="0.25">
      <c r="A3383" s="6" t="s">
        <v>308</v>
      </c>
      <c r="B3383" s="6">
        <v>294</v>
      </c>
      <c r="C3383" s="6">
        <v>94999143</v>
      </c>
      <c r="D3383" s="6" t="s">
        <v>1608</v>
      </c>
      <c r="E3383" s="6" t="s">
        <v>236</v>
      </c>
      <c r="F3383" s="6" t="s">
        <v>10404</v>
      </c>
      <c r="G3383" s="6">
        <v>245152</v>
      </c>
      <c r="H3383" s="6" t="s">
        <v>10405</v>
      </c>
      <c r="I3383" s="6">
        <v>1344</v>
      </c>
      <c r="J3383" s="6" t="s">
        <v>23</v>
      </c>
      <c r="K3383" s="6" t="s">
        <v>24</v>
      </c>
      <c r="L3383" s="6">
        <v>75000000</v>
      </c>
      <c r="M3383" s="6">
        <v>2000</v>
      </c>
      <c r="N3383" s="6">
        <v>7.2</v>
      </c>
      <c r="O3383" s="4">
        <f ca="1">IFERROR(__xludf.DUMMYFUNCTION("IF(Cost_in_dollars!E3383=""USD"",Cost_in_dollars!B3383,Cost_in_dollars!B3383 * GOOGLEFINANCE(""CURRENCY:"" &amp; Cost_in_dollars!E3383 &amp; ""USD""))
"),75000000)</f>
        <v>75000000</v>
      </c>
      <c r="P3383" s="4">
        <f ca="1">IFERROR(__xludf.DUMMYFUNCTION("IF(Cost_in_dollars!E3383=""USD"",Cost_in_dollars!C3383,Cost_in_dollars!C3383 * GOOGLEFINANCE(""CURRENCY:"" &amp; Cost_in_dollars!E3383 &amp; ""USD""))
"),94999143)</f>
        <v>94999143</v>
      </c>
      <c r="Q3383" s="6">
        <f t="shared" ca="1" si="78"/>
        <v>19999143</v>
      </c>
      <c r="R3383" s="7" t="str">
        <f t="shared" si="79"/>
        <v>Unbreakable</v>
      </c>
      <c r="S3383" s="43" t="str">
        <f t="shared" si="80"/>
        <v>Drama</v>
      </c>
    </row>
    <row r="3384" spans="1:19" ht="15.75" customHeight="1" x14ac:dyDescent="0.25">
      <c r="A3384" s="4" t="s">
        <v>980</v>
      </c>
      <c r="B3384" s="4">
        <v>11</v>
      </c>
      <c r="C3384" s="4">
        <v>12985267</v>
      </c>
      <c r="D3384" s="4" t="s">
        <v>102</v>
      </c>
      <c r="E3384" s="4" t="s">
        <v>2392</v>
      </c>
      <c r="F3384" s="4" t="s">
        <v>10406</v>
      </c>
      <c r="G3384" s="4">
        <v>4977</v>
      </c>
      <c r="H3384" s="4" t="s">
        <v>10407</v>
      </c>
      <c r="I3384" s="4">
        <v>63</v>
      </c>
      <c r="J3384" s="4" t="s">
        <v>23</v>
      </c>
      <c r="K3384" s="4" t="s">
        <v>24</v>
      </c>
      <c r="L3384" s="4">
        <v>2300000</v>
      </c>
      <c r="M3384" s="4">
        <v>2015</v>
      </c>
      <c r="N3384" s="4">
        <v>5.9</v>
      </c>
      <c r="O3384" s="4">
        <f ca="1">IFERROR(__xludf.DUMMYFUNCTION("IF(Cost_in_dollars!E3384=""USD"",Cost_in_dollars!B3384,Cost_in_dollars!B3384 * GOOGLEFINANCE(""CURRENCY:"" &amp; Cost_in_dollars!E3384 &amp; ""USD""))
"),2300000)</f>
        <v>2300000</v>
      </c>
      <c r="P3384" s="4">
        <f ca="1">IFERROR(__xludf.DUMMYFUNCTION("IF(Cost_in_dollars!E3384=""USD"",Cost_in_dollars!C3384,Cost_in_dollars!C3384 * GOOGLEFINANCE(""CURRENCY:"" &amp; Cost_in_dollars!E3384 &amp; ""USD""))
"),12985267)</f>
        <v>12985267</v>
      </c>
      <c r="Q3384" s="4">
        <f t="shared" ca="1" si="78"/>
        <v>10685267</v>
      </c>
      <c r="R3384" s="5" t="str">
        <f t="shared" si="79"/>
        <v>Do You Believe?</v>
      </c>
      <c r="S3384" s="43" t="str">
        <f t="shared" si="80"/>
        <v>Drama</v>
      </c>
    </row>
    <row r="3385" spans="1:19" ht="15.75" customHeight="1" x14ac:dyDescent="0.25">
      <c r="A3385" s="6" t="s">
        <v>10408</v>
      </c>
      <c r="B3385" s="6">
        <v>46</v>
      </c>
      <c r="C3385" s="6">
        <v>52166</v>
      </c>
      <c r="D3385" s="6" t="s">
        <v>102</v>
      </c>
      <c r="E3385" s="6" t="s">
        <v>469</v>
      </c>
      <c r="F3385" s="6" t="s">
        <v>10409</v>
      </c>
      <c r="G3385" s="6">
        <v>2792</v>
      </c>
      <c r="H3385" s="6" t="s">
        <v>10410</v>
      </c>
      <c r="I3385" s="6">
        <v>22</v>
      </c>
      <c r="J3385" s="6" t="s">
        <v>23</v>
      </c>
      <c r="K3385" s="6" t="s">
        <v>24</v>
      </c>
      <c r="L3385" s="6">
        <v>2000000</v>
      </c>
      <c r="M3385" s="6">
        <v>2008</v>
      </c>
      <c r="N3385" s="6">
        <v>6.7</v>
      </c>
      <c r="O3385" s="4">
        <f ca="1">IFERROR(__xludf.DUMMYFUNCTION("IF(Cost_in_dollars!E3385=""USD"",Cost_in_dollars!B3385,Cost_in_dollars!B3385 * GOOGLEFINANCE(""CURRENCY:"" &amp; Cost_in_dollars!E3385 &amp; ""USD""))
"),2000000)</f>
        <v>2000000</v>
      </c>
      <c r="P3385" s="4">
        <f ca="1">IFERROR(__xludf.DUMMYFUNCTION("IF(Cost_in_dollars!E3385=""USD"",Cost_in_dollars!C3385,Cost_in_dollars!C3385 * GOOGLEFINANCE(""CURRENCY:"" &amp; Cost_in_dollars!E3385 &amp; ""USD""))
"),52166)</f>
        <v>52166</v>
      </c>
      <c r="Q3385" s="6">
        <f t="shared" ca="1" si="78"/>
        <v>-1947834</v>
      </c>
      <c r="R3385" s="7" t="str">
        <f t="shared" si="79"/>
        <v>Trucker</v>
      </c>
      <c r="S3385" s="43" t="str">
        <f t="shared" si="80"/>
        <v>Drama</v>
      </c>
    </row>
    <row r="3386" spans="1:19" ht="15.75" customHeight="1" x14ac:dyDescent="0.25">
      <c r="A3386" s="4" t="s">
        <v>4457</v>
      </c>
      <c r="B3386" s="4">
        <v>35</v>
      </c>
      <c r="C3386" s="4">
        <v>24629916</v>
      </c>
      <c r="D3386" s="4" t="s">
        <v>2478</v>
      </c>
      <c r="E3386" s="4" t="s">
        <v>3468</v>
      </c>
      <c r="F3386" s="4" t="s">
        <v>10411</v>
      </c>
      <c r="G3386" s="4">
        <v>12942</v>
      </c>
      <c r="H3386" s="4" t="s">
        <v>10412</v>
      </c>
      <c r="I3386" s="4">
        <v>34</v>
      </c>
      <c r="J3386" s="4" t="s">
        <v>23</v>
      </c>
      <c r="K3386" s="4" t="s">
        <v>24</v>
      </c>
      <c r="L3386" s="4">
        <v>3000000</v>
      </c>
      <c r="M3386" s="4">
        <v>1997</v>
      </c>
      <c r="N3386" s="4">
        <v>5.0999999999999996</v>
      </c>
      <c r="O3386" s="4">
        <f ca="1">IFERROR(__xludf.DUMMYFUNCTION("IF(Cost_in_dollars!E3386=""USD"",Cost_in_dollars!B3386,Cost_in_dollars!B3386 * GOOGLEFINANCE(""CURRENCY:"" &amp; Cost_in_dollars!E3386 &amp; ""USD""))
"),3000000)</f>
        <v>3000000</v>
      </c>
      <c r="P3386" s="4">
        <f ca="1">IFERROR(__xludf.DUMMYFUNCTION("IF(Cost_in_dollars!E3386=""USD"",Cost_in_dollars!C3386,Cost_in_dollars!C3386 * GOOGLEFINANCE(""CURRENCY:"" &amp; Cost_in_dollars!E3386 &amp; ""USD""))
"),24629916)</f>
        <v>24629916</v>
      </c>
      <c r="Q3386" s="4">
        <f t="shared" ca="1" si="78"/>
        <v>21629916</v>
      </c>
      <c r="R3386" s="5" t="str">
        <f t="shared" si="79"/>
        <v>Air Bud</v>
      </c>
      <c r="S3386" s="43" t="str">
        <f t="shared" si="80"/>
        <v>Comedy</v>
      </c>
    </row>
    <row r="3387" spans="1:19" ht="15.75" customHeight="1" x14ac:dyDescent="0.25">
      <c r="A3387" s="6" t="s">
        <v>643</v>
      </c>
      <c r="B3387" s="6">
        <v>539</v>
      </c>
      <c r="C3387" s="6">
        <v>132088910</v>
      </c>
      <c r="D3387" s="6" t="s">
        <v>162</v>
      </c>
      <c r="E3387" s="6" t="s">
        <v>1507</v>
      </c>
      <c r="F3387" s="6" t="s">
        <v>10413</v>
      </c>
      <c r="G3387" s="6">
        <v>533607</v>
      </c>
      <c r="H3387" s="6" t="s">
        <v>10414</v>
      </c>
      <c r="I3387" s="6">
        <v>692</v>
      </c>
      <c r="J3387" s="6" t="s">
        <v>23</v>
      </c>
      <c r="K3387" s="6" t="s">
        <v>24</v>
      </c>
      <c r="L3387" s="6">
        <v>21000000</v>
      </c>
      <c r="M3387" s="6">
        <v>2012</v>
      </c>
      <c r="N3387" s="6">
        <v>7.8</v>
      </c>
      <c r="O3387" s="4">
        <f ca="1">IFERROR(__xludf.DUMMYFUNCTION("IF(Cost_in_dollars!E3387=""USD"",Cost_in_dollars!B3387,Cost_in_dollars!B3387 * GOOGLEFINANCE(""CURRENCY:"" &amp; Cost_in_dollars!E3387 &amp; ""USD""))
"),21000000)</f>
        <v>21000000</v>
      </c>
      <c r="P3387" s="4">
        <f ca="1">IFERROR(__xludf.DUMMYFUNCTION("IF(Cost_in_dollars!E3387=""USD"",Cost_in_dollars!C3387,Cost_in_dollars!C3387 * GOOGLEFINANCE(""CURRENCY:"" &amp; Cost_in_dollars!E3387 &amp; ""USD""))
"),132088910)</f>
        <v>132088910</v>
      </c>
      <c r="Q3387" s="6">
        <f t="shared" ca="1" si="78"/>
        <v>111088910</v>
      </c>
      <c r="R3387" s="7" t="str">
        <f t="shared" si="79"/>
        <v>Silver Linings Playbook</v>
      </c>
      <c r="S3387" s="43" t="str">
        <f t="shared" si="80"/>
        <v>Comedy</v>
      </c>
    </row>
    <row r="3388" spans="1:19" ht="15.75" customHeight="1" x14ac:dyDescent="0.25">
      <c r="A3388" s="4" t="s">
        <v>10415</v>
      </c>
      <c r="B3388" s="4">
        <v>120</v>
      </c>
      <c r="C3388" s="4">
        <v>38122105</v>
      </c>
      <c r="D3388" s="4" t="s">
        <v>774</v>
      </c>
      <c r="E3388" s="4" t="s">
        <v>9805</v>
      </c>
      <c r="F3388" s="4" t="s">
        <v>10416</v>
      </c>
      <c r="G3388" s="4">
        <v>112669</v>
      </c>
      <c r="H3388" s="4" t="s">
        <v>10417</v>
      </c>
      <c r="I3388" s="4">
        <v>226</v>
      </c>
      <c r="J3388" s="4" t="s">
        <v>23</v>
      </c>
      <c r="K3388" s="4" t="s">
        <v>24</v>
      </c>
      <c r="L3388" s="4">
        <v>27000000</v>
      </c>
      <c r="M3388" s="4">
        <v>1987</v>
      </c>
      <c r="N3388" s="4">
        <v>6.6</v>
      </c>
      <c r="O3388" s="4">
        <f ca="1">IFERROR(__xludf.DUMMYFUNCTION("IF(Cost_in_dollars!E3388=""USD"",Cost_in_dollars!B3388,Cost_in_dollars!B3388 * GOOGLEFINANCE(""CURRENCY:"" &amp; Cost_in_dollars!E3388 &amp; ""USD""))
"),27000000)</f>
        <v>27000000</v>
      </c>
      <c r="P3388" s="4">
        <f ca="1">IFERROR(__xludf.DUMMYFUNCTION("IF(Cost_in_dollars!E3388=""USD"",Cost_in_dollars!C3388,Cost_in_dollars!C3388 * GOOGLEFINANCE(""CURRENCY:"" &amp; Cost_in_dollars!E3388 &amp; ""USD""))
"),38122105)</f>
        <v>38122105</v>
      </c>
      <c r="Q3388" s="4">
        <f t="shared" ca="1" si="78"/>
        <v>11122105</v>
      </c>
      <c r="R3388" s="5" t="str">
        <f t="shared" si="79"/>
        <v>The Running Man</v>
      </c>
      <c r="S3388" s="43" t="str">
        <f t="shared" si="80"/>
        <v>Action</v>
      </c>
    </row>
    <row r="3389" spans="1:19" ht="15.75" customHeight="1" x14ac:dyDescent="0.25">
      <c r="A3389" s="6" t="s">
        <v>2617</v>
      </c>
      <c r="B3389" s="6">
        <v>64</v>
      </c>
      <c r="C3389" s="6">
        <v>12398628</v>
      </c>
      <c r="D3389" s="6" t="s">
        <v>10418</v>
      </c>
      <c r="E3389" s="6" t="s">
        <v>1310</v>
      </c>
      <c r="F3389" s="6" t="s">
        <v>10419</v>
      </c>
      <c r="G3389" s="6">
        <v>21542</v>
      </c>
      <c r="H3389" s="6" t="s">
        <v>10420</v>
      </c>
      <c r="I3389" s="6">
        <v>88</v>
      </c>
      <c r="J3389" s="6" t="s">
        <v>23</v>
      </c>
      <c r="K3389" s="6" t="s">
        <v>24</v>
      </c>
      <c r="L3389" s="6">
        <v>20000000</v>
      </c>
      <c r="M3389" s="6">
        <v>2002</v>
      </c>
      <c r="N3389" s="6">
        <v>6.1</v>
      </c>
      <c r="O3389" s="4">
        <f ca="1">IFERROR(__xludf.DUMMYFUNCTION("IF(Cost_in_dollars!E3389=""USD"",Cost_in_dollars!B3389,Cost_in_dollars!B3389 * GOOGLEFINANCE(""CURRENCY:"" &amp; Cost_in_dollars!E3389 &amp; ""USD""))
"),20000000)</f>
        <v>20000000</v>
      </c>
      <c r="P3389" s="4">
        <f ca="1">IFERROR(__xludf.DUMMYFUNCTION("IF(Cost_in_dollars!E3389=""USD"",Cost_in_dollars!C3389,Cost_in_dollars!C3389 * GOOGLEFINANCE(""CURRENCY:"" &amp; Cost_in_dollars!E3389 &amp; ""USD""))
"),12398628)</f>
        <v>12398628</v>
      </c>
      <c r="Q3389" s="6">
        <f t="shared" ca="1" si="78"/>
        <v>-7601372</v>
      </c>
      <c r="R3389" s="7" t="str">
        <f t="shared" si="79"/>
        <v>Undisputed</v>
      </c>
      <c r="S3389" s="43" t="str">
        <f t="shared" si="80"/>
        <v>Action</v>
      </c>
    </row>
    <row r="3390" spans="1:19" ht="15.75" customHeight="1" x14ac:dyDescent="0.25">
      <c r="A3390" s="4" t="s">
        <v>355</v>
      </c>
      <c r="B3390" s="4">
        <v>50</v>
      </c>
      <c r="C3390" s="4">
        <v>33451479</v>
      </c>
      <c r="D3390" s="4" t="s">
        <v>235</v>
      </c>
      <c r="E3390" s="4" t="s">
        <v>10421</v>
      </c>
      <c r="F3390" s="4" t="s">
        <v>10422</v>
      </c>
      <c r="G3390" s="4">
        <v>17068</v>
      </c>
      <c r="H3390" s="4" t="s">
        <v>10423</v>
      </c>
      <c r="I3390" s="4">
        <v>215</v>
      </c>
      <c r="J3390" s="4" t="s">
        <v>23</v>
      </c>
      <c r="K3390" s="4" t="s">
        <v>24</v>
      </c>
      <c r="L3390" s="4">
        <v>500000</v>
      </c>
      <c r="M3390" s="4">
        <v>2008</v>
      </c>
      <c r="N3390" s="4">
        <v>6.5</v>
      </c>
      <c r="O3390" s="4">
        <f ca="1">IFERROR(__xludf.DUMMYFUNCTION("IF(Cost_in_dollars!E3390=""USD"",Cost_in_dollars!B3390,Cost_in_dollars!B3390 * GOOGLEFINANCE(""CURRENCY:"" &amp; Cost_in_dollars!E3390 &amp; ""USD""))
"),500000)</f>
        <v>500000</v>
      </c>
      <c r="P3390" s="4">
        <f ca="1">IFERROR(__xludf.DUMMYFUNCTION("IF(Cost_in_dollars!E3390=""USD"",Cost_in_dollars!C3390,Cost_in_dollars!C3390 * GOOGLEFINANCE(""CURRENCY:"" &amp; Cost_in_dollars!E3390 &amp; ""USD""))
"),33451479)</f>
        <v>33451479</v>
      </c>
      <c r="Q3390" s="4">
        <f t="shared" ca="1" si="78"/>
        <v>32951479</v>
      </c>
      <c r="R3390" s="5" t="str">
        <f t="shared" si="79"/>
        <v>Fireproof</v>
      </c>
      <c r="S3390" s="43" t="str">
        <f t="shared" si="80"/>
        <v>Drama</v>
      </c>
    </row>
    <row r="3391" spans="1:19" ht="15.75" customHeight="1" x14ac:dyDescent="0.25">
      <c r="A3391" s="6" t="s">
        <v>1836</v>
      </c>
      <c r="B3391" s="6">
        <v>120</v>
      </c>
      <c r="C3391" s="6">
        <v>4306697</v>
      </c>
      <c r="D3391" s="6" t="s">
        <v>102</v>
      </c>
      <c r="E3391" s="6" t="s">
        <v>3574</v>
      </c>
      <c r="F3391" s="6" t="s">
        <v>10424</v>
      </c>
      <c r="G3391" s="6">
        <v>26720</v>
      </c>
      <c r="H3391" s="6" t="s">
        <v>10425</v>
      </c>
      <c r="I3391" s="6">
        <v>196</v>
      </c>
      <c r="J3391" s="6" t="s">
        <v>23</v>
      </c>
      <c r="K3391" s="6" t="s">
        <v>627</v>
      </c>
      <c r="L3391" s="6">
        <v>5000000</v>
      </c>
      <c r="M3391" s="6">
        <v>1997</v>
      </c>
      <c r="N3391" s="6">
        <v>7.7</v>
      </c>
      <c r="O3391" s="4">
        <f ca="1">IFERROR(__xludf.DUMMYFUNCTION("IF(Cost_in_dollars!E3391=""USD"",Cost_in_dollars!B3391,Cost_in_dollars!B3391 * GOOGLEFINANCE(""CURRENCY:"" &amp; Cost_in_dollars!E3391 &amp; ""USD""))
"),3617025)</f>
        <v>3617025</v>
      </c>
      <c r="P3391" s="4">
        <f ca="1">IFERROR(__xludf.DUMMYFUNCTION("IF(Cost_in_dollars!E3391=""USD"",Cost_in_dollars!C3391,Cost_in_dollars!C3391 * GOOGLEFINANCE(""CURRENCY:"" &amp; Cost_in_dollars!E3391 &amp; ""USD""))
"),3115486.14328499)</f>
        <v>3115486.14328499</v>
      </c>
      <c r="Q3391" s="6">
        <f t="shared" ca="1" si="78"/>
        <v>-501538.85671501001</v>
      </c>
      <c r="R3391" s="7" t="str">
        <f t="shared" si="79"/>
        <v>The Sweet Hereafter</v>
      </c>
      <c r="S3391" s="43" t="str">
        <f t="shared" si="80"/>
        <v>Drama</v>
      </c>
    </row>
    <row r="3392" spans="1:19" ht="15.75" customHeight="1" x14ac:dyDescent="0.25">
      <c r="A3392" s="4" t="s">
        <v>4490</v>
      </c>
      <c r="B3392" s="4">
        <v>251</v>
      </c>
      <c r="C3392" s="4">
        <v>3645438</v>
      </c>
      <c r="D3392" s="4" t="s">
        <v>151</v>
      </c>
      <c r="E3392" s="4" t="s">
        <v>10426</v>
      </c>
      <c r="F3392" s="4" t="s">
        <v>10427</v>
      </c>
      <c r="G3392" s="4">
        <v>55040</v>
      </c>
      <c r="H3392" s="4" t="s">
        <v>10428</v>
      </c>
      <c r="I3392" s="4">
        <v>539</v>
      </c>
      <c r="J3392" s="4" t="s">
        <v>661</v>
      </c>
      <c r="K3392" s="4" t="s">
        <v>611</v>
      </c>
      <c r="L3392" s="4">
        <v>2200000</v>
      </c>
      <c r="M3392" s="4">
        <v>2003</v>
      </c>
      <c r="N3392" s="4">
        <v>6.8</v>
      </c>
      <c r="O3392" s="4">
        <f ca="1">IFERROR(__xludf.DUMMYFUNCTION("IF(Cost_in_dollars!E3392=""USD"",Cost_in_dollars!B3392,Cost_in_dollars!B3392 * GOOGLEFINANCE(""CURRENCY:"" &amp; Cost_in_dollars!E3392 &amp; ""USD""))
"),2386428)</f>
        <v>2386428</v>
      </c>
      <c r="P3392" s="4">
        <f ca="1">IFERROR(__xludf.DUMMYFUNCTION("IF(Cost_in_dollars!E3392=""USD"",Cost_in_dollars!C3392,Cost_in_dollars!C3392 * GOOGLEFINANCE(""CURRENCY:"" &amp; Cost_in_dollars!E3392 &amp; ""USD""))
"),3954352.41612)</f>
        <v>3954352.4161200002</v>
      </c>
      <c r="Q3392" s="4">
        <f t="shared" ca="1" si="78"/>
        <v>1567924.4161200002</v>
      </c>
      <c r="R3392" s="5" t="str">
        <f t="shared" si="79"/>
        <v>High Tension</v>
      </c>
      <c r="S3392" s="43" t="str">
        <f t="shared" si="80"/>
        <v>Horror</v>
      </c>
    </row>
    <row r="3393" spans="1:19" ht="15.75" customHeight="1" x14ac:dyDescent="0.25">
      <c r="A3393" s="6" t="s">
        <v>10429</v>
      </c>
      <c r="B3393" s="6">
        <v>15</v>
      </c>
      <c r="C3393" s="6">
        <v>638951</v>
      </c>
      <c r="D3393" s="6" t="s">
        <v>102</v>
      </c>
      <c r="E3393" s="6" t="s">
        <v>10430</v>
      </c>
      <c r="F3393" s="6" t="s">
        <v>10431</v>
      </c>
      <c r="G3393" s="6">
        <v>775</v>
      </c>
      <c r="H3393" s="6" t="s">
        <v>10432</v>
      </c>
      <c r="I3393" s="6">
        <v>19</v>
      </c>
      <c r="J3393" s="6" t="s">
        <v>10433</v>
      </c>
      <c r="K3393" s="6" t="s">
        <v>24</v>
      </c>
      <c r="L3393" s="6">
        <v>1592000</v>
      </c>
      <c r="M3393" s="6">
        <v>2006</v>
      </c>
      <c r="N3393" s="6">
        <v>7.4</v>
      </c>
      <c r="O3393" s="4">
        <f ca="1">IFERROR(__xludf.DUMMYFUNCTION("IF(Cost_in_dollars!E3393=""USD"",Cost_in_dollars!B3393,Cost_in_dollars!B3393 * GOOGLEFINANCE(""CURRENCY:"" &amp; Cost_in_dollars!E3393 &amp; ""USD""))
"),1592000)</f>
        <v>1592000</v>
      </c>
      <c r="P3393" s="4">
        <f ca="1">IFERROR(__xludf.DUMMYFUNCTION("IF(Cost_in_dollars!E3393=""USD"",Cost_in_dollars!C3393,Cost_in_dollars!C3393 * GOOGLEFINANCE(""CURRENCY:"" &amp; Cost_in_dollars!E3393 &amp; ""USD""))
"),638951)</f>
        <v>638951</v>
      </c>
      <c r="Q3393" s="6">
        <f t="shared" ca="1" si="78"/>
        <v>-953049</v>
      </c>
      <c r="R3393" s="7" t="str">
        <f t="shared" si="79"/>
        <v>Journey from the Fall</v>
      </c>
      <c r="S3393" s="43" t="str">
        <f t="shared" si="80"/>
        <v>Drama</v>
      </c>
    </row>
    <row r="3394" spans="1:19" ht="15.75" customHeight="1" x14ac:dyDescent="0.25">
      <c r="A3394" s="4" t="s">
        <v>4047</v>
      </c>
      <c r="B3394" s="4">
        <v>131</v>
      </c>
      <c r="C3394" s="4">
        <v>217326336</v>
      </c>
      <c r="D3394" s="4" t="s">
        <v>2667</v>
      </c>
      <c r="E3394" s="4" t="s">
        <v>6659</v>
      </c>
      <c r="F3394" s="4" t="s">
        <v>10434</v>
      </c>
      <c r="G3394" s="4">
        <v>57276</v>
      </c>
      <c r="H3394" s="4" t="s">
        <v>10435</v>
      </c>
      <c r="I3394" s="4">
        <v>146</v>
      </c>
      <c r="J3394" s="4" t="s">
        <v>23</v>
      </c>
      <c r="K3394" s="4" t="s">
        <v>24</v>
      </c>
      <c r="L3394" s="4">
        <v>60000000</v>
      </c>
      <c r="M3394" s="4">
        <v>2007</v>
      </c>
      <c r="N3394" s="4">
        <v>5.2</v>
      </c>
      <c r="O3394" s="4">
        <f ca="1">IFERROR(__xludf.DUMMYFUNCTION("IF(Cost_in_dollars!E3394=""USD"",Cost_in_dollars!B3394,Cost_in_dollars!B3394 * GOOGLEFINANCE(""CURRENCY:"" &amp; Cost_in_dollars!E3394 &amp; ""USD""))
"),60000000)</f>
        <v>60000000</v>
      </c>
      <c r="P3394" s="4">
        <f ca="1">IFERROR(__xludf.DUMMYFUNCTION("IF(Cost_in_dollars!E3394=""USD"",Cost_in_dollars!C3394,Cost_in_dollars!C3394 * GOOGLEFINANCE(""CURRENCY:"" &amp; Cost_in_dollars!E3394 &amp; ""USD""))
"),217326336)</f>
        <v>217326336</v>
      </c>
      <c r="Q3394" s="4">
        <f t="shared" ca="1" si="78"/>
        <v>157326336</v>
      </c>
      <c r="R3394" s="5" t="str">
        <f t="shared" si="79"/>
        <v>Alvin and the Chipmunks</v>
      </c>
      <c r="S3394" s="43" t="str">
        <f t="shared" ref="S3394:S3457" si="81">IF(ISNUMBER(FIND("|", D3394)), LEFT(D3394, FIND("|", D3394) - 1), D3394)</f>
        <v>Animation</v>
      </c>
    </row>
    <row r="3395" spans="1:19" ht="15.75" customHeight="1" x14ac:dyDescent="0.25">
      <c r="A3395" s="6" t="s">
        <v>2547</v>
      </c>
      <c r="B3395" s="6">
        <v>424</v>
      </c>
      <c r="C3395" s="6">
        <v>102981571</v>
      </c>
      <c r="D3395" s="6" t="s">
        <v>477</v>
      </c>
      <c r="E3395" s="6" t="s">
        <v>818</v>
      </c>
      <c r="F3395" s="6" t="s">
        <v>10436</v>
      </c>
      <c r="G3395" s="6">
        <v>270226</v>
      </c>
      <c r="H3395" s="6" t="s">
        <v>10437</v>
      </c>
      <c r="I3395" s="6">
        <v>741</v>
      </c>
      <c r="J3395" s="6" t="s">
        <v>23</v>
      </c>
      <c r="K3395" s="6" t="s">
        <v>24</v>
      </c>
      <c r="L3395" s="6">
        <v>80000000</v>
      </c>
      <c r="M3395" s="6">
        <v>2010</v>
      </c>
      <c r="N3395" s="6">
        <v>6.5</v>
      </c>
      <c r="O3395" s="4">
        <f ca="1">IFERROR(__xludf.DUMMYFUNCTION("IF(Cost_in_dollars!E3395=""USD"",Cost_in_dollars!B3395,Cost_in_dollars!B3395 * GOOGLEFINANCE(""CURRENCY:"" &amp; Cost_in_dollars!E3395 &amp; ""USD""))
"),80000000)</f>
        <v>80000000</v>
      </c>
      <c r="P3395" s="4">
        <f ca="1">IFERROR(__xludf.DUMMYFUNCTION("IF(Cost_in_dollars!E3395=""USD"",Cost_in_dollars!C3395,Cost_in_dollars!C3395 * GOOGLEFINANCE(""CURRENCY:"" &amp; Cost_in_dollars!E3395 &amp; ""USD""))
"),102981571)</f>
        <v>102981571</v>
      </c>
      <c r="Q3395" s="6">
        <f t="shared" ca="1" si="78"/>
        <v>22981571</v>
      </c>
      <c r="R3395" s="7" t="str">
        <f t="shared" si="79"/>
        <v>The Expendables</v>
      </c>
      <c r="S3395" s="43" t="str">
        <f t="shared" si="81"/>
        <v>Action</v>
      </c>
    </row>
    <row r="3396" spans="1:19" ht="15.75" customHeight="1" x14ac:dyDescent="0.25">
      <c r="A3396" s="4" t="s">
        <v>700</v>
      </c>
      <c r="B3396" s="4">
        <v>135</v>
      </c>
      <c r="C3396" s="4">
        <v>34238611</v>
      </c>
      <c r="D3396" s="4" t="s">
        <v>504</v>
      </c>
      <c r="E3396" s="4" t="s">
        <v>2433</v>
      </c>
      <c r="F3396" s="4" t="s">
        <v>10438</v>
      </c>
      <c r="G3396" s="4">
        <v>35830</v>
      </c>
      <c r="H3396" s="4" t="s">
        <v>10439</v>
      </c>
      <c r="I3396" s="4">
        <v>321</v>
      </c>
      <c r="J3396" s="4" t="s">
        <v>23</v>
      </c>
      <c r="K3396" s="4" t="s">
        <v>24</v>
      </c>
      <c r="L3396" s="4">
        <v>55000000</v>
      </c>
      <c r="M3396" s="4">
        <v>2003</v>
      </c>
      <c r="N3396" s="4">
        <v>6</v>
      </c>
      <c r="O3396" s="4">
        <f ca="1">IFERROR(__xludf.DUMMYFUNCTION("IF(Cost_in_dollars!E3396=""USD"",Cost_in_dollars!B3396,Cost_in_dollars!B3396 * GOOGLEFINANCE(""CURRENCY:"" &amp; Cost_in_dollars!E3396 &amp; ""USD""))
"),55000000)</f>
        <v>55000000</v>
      </c>
      <c r="P3396" s="4">
        <f ca="1">IFERROR(__xludf.DUMMYFUNCTION("IF(Cost_in_dollars!E3396=""USD"",Cost_in_dollars!C3396,Cost_in_dollars!C3396 * GOOGLEFINANCE(""CURRENCY:"" &amp; Cost_in_dollars!E3396 &amp; ""USD""))
"),34238611)</f>
        <v>34238611</v>
      </c>
      <c r="Q3396" s="4">
        <f t="shared" ca="1" si="78"/>
        <v>-20761389</v>
      </c>
      <c r="R3396" s="5" t="str">
        <f t="shared" si="79"/>
        <v>The Hunted</v>
      </c>
      <c r="S3396" s="43" t="str">
        <f t="shared" si="81"/>
        <v>Action</v>
      </c>
    </row>
    <row r="3397" spans="1:19" ht="15.75" customHeight="1" x14ac:dyDescent="0.25">
      <c r="A3397" s="6" t="s">
        <v>166</v>
      </c>
      <c r="B3397" s="6">
        <v>68</v>
      </c>
      <c r="C3397" s="6">
        <v>44484065</v>
      </c>
      <c r="D3397" s="6" t="s">
        <v>613</v>
      </c>
      <c r="E3397" s="6" t="s">
        <v>486</v>
      </c>
      <c r="F3397" s="6" t="s">
        <v>10440</v>
      </c>
      <c r="G3397" s="6">
        <v>107227</v>
      </c>
      <c r="H3397" s="6" t="s">
        <v>10441</v>
      </c>
      <c r="I3397" s="6">
        <v>279</v>
      </c>
      <c r="J3397" s="6" t="s">
        <v>23</v>
      </c>
      <c r="K3397" s="6" t="s">
        <v>176</v>
      </c>
      <c r="L3397" s="6">
        <v>50000000</v>
      </c>
      <c r="M3397" s="6">
        <v>1998</v>
      </c>
      <c r="N3397" s="6">
        <v>7.3</v>
      </c>
      <c r="O3397" s="4">
        <f ca="1">IFERROR(__xludf.DUMMYFUNCTION("IF(Cost_in_dollars!E3397=""USD"",Cost_in_dollars!B3397,Cost_in_dollars!B3397 * GOOGLEFINANCE(""CURRENCY:"" &amp; Cost_in_dollars!E3397 &amp; ""USD""))
"),54237000)</f>
        <v>54237000</v>
      </c>
      <c r="P3397" s="4">
        <f ca="1">IFERROR(__xludf.DUMMYFUNCTION("IF(Cost_in_dollars!E3397=""USD"",Cost_in_dollars!C3397,Cost_in_dollars!C3397 * GOOGLEFINANCE(""CURRENCY:"" &amp; Cost_in_dollars!E3397 &amp; ""USD""))
"),48253644.6681)</f>
        <v>48253644.668099999</v>
      </c>
      <c r="Q3397" s="6">
        <f t="shared" ca="1" si="78"/>
        <v>-5983355.3319000006</v>
      </c>
      <c r="R3397" s="7" t="str">
        <f t="shared" si="79"/>
        <v>The Negotiator</v>
      </c>
      <c r="S3397" s="43" t="str">
        <f t="shared" si="81"/>
        <v>Action</v>
      </c>
    </row>
    <row r="3398" spans="1:19" ht="15.75" customHeight="1" x14ac:dyDescent="0.25">
      <c r="A3398" s="4" t="s">
        <v>4696</v>
      </c>
      <c r="B3398" s="4">
        <v>398</v>
      </c>
      <c r="C3398" s="4">
        <v>40218903</v>
      </c>
      <c r="D3398" s="4" t="s">
        <v>102</v>
      </c>
      <c r="E3398" s="4" t="s">
        <v>10442</v>
      </c>
      <c r="F3398" s="4" t="s">
        <v>10443</v>
      </c>
      <c r="G3398" s="4">
        <v>372990</v>
      </c>
      <c r="H3398" s="4" t="s">
        <v>10444</v>
      </c>
      <c r="I3398" s="4">
        <v>1107</v>
      </c>
      <c r="J3398" s="4" t="s">
        <v>23</v>
      </c>
      <c r="K3398" s="4" t="s">
        <v>24</v>
      </c>
      <c r="L3398" s="4">
        <v>25000000</v>
      </c>
      <c r="M3398" s="4">
        <v>2007</v>
      </c>
      <c r="N3398" s="4">
        <v>8.1</v>
      </c>
      <c r="O3398" s="4">
        <f ca="1">IFERROR(__xludf.DUMMYFUNCTION("IF(Cost_in_dollars!E3398=""USD"",Cost_in_dollars!B3398,Cost_in_dollars!B3398 * GOOGLEFINANCE(""CURRENCY:"" &amp; Cost_in_dollars!E3398 &amp; ""USD""))
"),25000000)</f>
        <v>25000000</v>
      </c>
      <c r="P3398" s="4">
        <f ca="1">IFERROR(__xludf.DUMMYFUNCTION("IF(Cost_in_dollars!E3398=""USD"",Cost_in_dollars!C3398,Cost_in_dollars!C3398 * GOOGLEFINANCE(""CURRENCY:"" &amp; Cost_in_dollars!E3398 &amp; ""USD""))
"),40218903)</f>
        <v>40218903</v>
      </c>
      <c r="Q3398" s="4">
        <f t="shared" ca="1" si="78"/>
        <v>15218903</v>
      </c>
      <c r="R3398" s="5" t="str">
        <f t="shared" si="79"/>
        <v>There Will Be Blood</v>
      </c>
      <c r="S3398" s="43" t="str">
        <f t="shared" si="81"/>
        <v>Drama</v>
      </c>
    </row>
    <row r="3399" spans="1:19" ht="15.75" customHeight="1" x14ac:dyDescent="0.25">
      <c r="A3399" s="6" t="s">
        <v>6415</v>
      </c>
      <c r="B3399" s="6">
        <v>67</v>
      </c>
      <c r="C3399" s="6">
        <v>52885587</v>
      </c>
      <c r="D3399" s="6" t="s">
        <v>1041</v>
      </c>
      <c r="E3399" s="6" t="s">
        <v>805</v>
      </c>
      <c r="F3399" s="6" t="s">
        <v>10445</v>
      </c>
      <c r="G3399" s="6">
        <v>35312</v>
      </c>
      <c r="H3399" s="6" t="s">
        <v>10446</v>
      </c>
      <c r="I3399" s="6">
        <v>267</v>
      </c>
      <c r="J3399" s="6" t="s">
        <v>23</v>
      </c>
      <c r="K3399" s="6" t="s">
        <v>24</v>
      </c>
      <c r="L3399" s="6">
        <v>16000000</v>
      </c>
      <c r="M3399" s="6">
        <v>1999</v>
      </c>
      <c r="N3399" s="6">
        <v>6.4</v>
      </c>
      <c r="O3399" s="4">
        <f ca="1">IFERROR(__xludf.DUMMYFUNCTION("IF(Cost_in_dollars!E3399=""USD"",Cost_in_dollars!B3399,Cost_in_dollars!B3399 * GOOGLEFINANCE(""CURRENCY:"" &amp; Cost_in_dollars!E3399 &amp; ""USD""))
"),16000000)</f>
        <v>16000000</v>
      </c>
      <c r="P3399" s="4">
        <f ca="1">IFERROR(__xludf.DUMMYFUNCTION("IF(Cost_in_dollars!E3399=""USD"",Cost_in_dollars!C3399,Cost_in_dollars!C3399 * GOOGLEFINANCE(""CURRENCY:"" &amp; Cost_in_dollars!E3399 &amp; ""USD""))
"),52885587)</f>
        <v>52885587</v>
      </c>
      <c r="Q3399" s="6">
        <f t="shared" ca="1" si="78"/>
        <v>36885587</v>
      </c>
      <c r="R3399" s="7" t="str">
        <f t="shared" si="79"/>
        <v>Varsity Blues</v>
      </c>
      <c r="S3399" s="43" t="str">
        <f t="shared" si="81"/>
        <v>Comedy</v>
      </c>
    </row>
    <row r="3400" spans="1:19" ht="15.75" customHeight="1" x14ac:dyDescent="0.25">
      <c r="A3400" s="4" t="s">
        <v>966</v>
      </c>
      <c r="B3400" s="4">
        <v>279</v>
      </c>
      <c r="C3400" s="4">
        <v>53846915</v>
      </c>
      <c r="D3400" s="4" t="s">
        <v>1616</v>
      </c>
      <c r="E3400" s="4" t="s">
        <v>2732</v>
      </c>
      <c r="F3400" s="4" t="s">
        <v>10447</v>
      </c>
      <c r="G3400" s="4">
        <v>149337</v>
      </c>
      <c r="H3400" s="4" t="s">
        <v>10448</v>
      </c>
      <c r="I3400" s="4">
        <v>221</v>
      </c>
      <c r="J3400" s="4" t="s">
        <v>23</v>
      </c>
      <c r="K3400" s="4" t="s">
        <v>24</v>
      </c>
      <c r="L3400" s="4">
        <v>50100000</v>
      </c>
      <c r="M3400" s="4">
        <v>2015</v>
      </c>
      <c r="N3400" s="4">
        <v>6.6</v>
      </c>
      <c r="O3400" s="4">
        <f ca="1">IFERROR(__xludf.DUMMYFUNCTION("IF(Cost_in_dollars!E3400=""USD"",Cost_in_dollars!B3400,Cost_in_dollars!B3400 * GOOGLEFINANCE(""CURRENCY:"" &amp; Cost_in_dollars!E3400 &amp; ""USD""))
"),50100000)</f>
        <v>50100000</v>
      </c>
      <c r="P3400" s="4">
        <f ca="1">IFERROR(__xludf.DUMMYFUNCTION("IF(Cost_in_dollars!E3400=""USD"",Cost_in_dollars!C3400,Cost_in_dollars!C3400 * GOOGLEFINANCE(""CURRENCY:"" &amp; Cost_in_dollars!E3400 &amp; ""USD""))
"),53846915)</f>
        <v>53846915</v>
      </c>
      <c r="Q3400" s="4">
        <f t="shared" ca="1" si="78"/>
        <v>3746915</v>
      </c>
      <c r="R3400" s="5" t="str">
        <f t="shared" si="79"/>
        <v>Focus</v>
      </c>
      <c r="S3400" s="43" t="str">
        <f t="shared" si="81"/>
        <v>Comedy</v>
      </c>
    </row>
    <row r="3401" spans="1:19" ht="15.75" customHeight="1" x14ac:dyDescent="0.25">
      <c r="A3401" s="6" t="s">
        <v>2005</v>
      </c>
      <c r="B3401" s="6">
        <v>452</v>
      </c>
      <c r="C3401" s="6">
        <v>66359959</v>
      </c>
      <c r="D3401" s="6" t="s">
        <v>7648</v>
      </c>
      <c r="E3401" s="6" t="s">
        <v>10449</v>
      </c>
      <c r="F3401" s="6" t="s">
        <v>10450</v>
      </c>
      <c r="G3401" s="6">
        <v>184641</v>
      </c>
      <c r="H3401" s="6" t="s">
        <v>10451</v>
      </c>
      <c r="I3401" s="6">
        <v>326</v>
      </c>
      <c r="J3401" s="6" t="s">
        <v>23</v>
      </c>
      <c r="K3401" s="6" t="s">
        <v>24</v>
      </c>
      <c r="L3401" s="6">
        <v>35000000</v>
      </c>
      <c r="M3401" s="6">
        <v>2013</v>
      </c>
      <c r="N3401" s="6">
        <v>6.9</v>
      </c>
      <c r="O3401" s="4">
        <f ca="1">IFERROR(__xludf.DUMMYFUNCTION("IF(Cost_in_dollars!E3401=""USD"",Cost_in_dollars!B3401,Cost_in_dollars!B3401 * GOOGLEFINANCE(""CURRENCY:"" &amp; Cost_in_dollars!E3401 &amp; ""USD""))
"),35000000)</f>
        <v>35000000</v>
      </c>
      <c r="P3401" s="4">
        <f ca="1">IFERROR(__xludf.DUMMYFUNCTION("IF(Cost_in_dollars!E3401=""USD"",Cost_in_dollars!C3401,Cost_in_dollars!C3401 * GOOGLEFINANCE(""CURRENCY:"" &amp; Cost_in_dollars!E3401 &amp; ""USD""))
"),66359959)</f>
        <v>66359959</v>
      </c>
      <c r="Q3401" s="6">
        <f t="shared" ca="1" si="78"/>
        <v>31359959</v>
      </c>
      <c r="R3401" s="7" t="str">
        <f t="shared" si="79"/>
        <v>Warm Bodies</v>
      </c>
      <c r="S3401" s="43" t="str">
        <f t="shared" si="81"/>
        <v>Comedy</v>
      </c>
    </row>
    <row r="3402" spans="1:19" ht="15.75" customHeight="1" x14ac:dyDescent="0.25">
      <c r="A3402" s="4" t="s">
        <v>10452</v>
      </c>
      <c r="B3402" s="4">
        <v>134</v>
      </c>
      <c r="C3402" s="4">
        <v>83400000</v>
      </c>
      <c r="D3402" s="4" t="s">
        <v>140</v>
      </c>
      <c r="E3402" s="4" t="s">
        <v>10453</v>
      </c>
      <c r="F3402" s="4" t="s">
        <v>10454</v>
      </c>
      <c r="G3402" s="4">
        <v>160281</v>
      </c>
      <c r="H3402" s="4" t="s">
        <v>10455</v>
      </c>
      <c r="I3402" s="4">
        <v>427</v>
      </c>
      <c r="J3402" s="4" t="s">
        <v>23</v>
      </c>
      <c r="K3402" s="4" t="s">
        <v>24</v>
      </c>
      <c r="L3402" s="4">
        <v>3500000</v>
      </c>
      <c r="M3402" s="4">
        <v>1980</v>
      </c>
      <c r="N3402" s="4">
        <v>7.8</v>
      </c>
      <c r="O3402" s="4">
        <f ca="1">IFERROR(__xludf.DUMMYFUNCTION("IF(Cost_in_dollars!E3402=""USD"",Cost_in_dollars!B3402,Cost_in_dollars!B3402 * GOOGLEFINANCE(""CURRENCY:"" &amp; Cost_in_dollars!E3402 &amp; ""USD""))
"),3500000)</f>
        <v>3500000</v>
      </c>
      <c r="P3402" s="4">
        <f ca="1">IFERROR(__xludf.DUMMYFUNCTION("IF(Cost_in_dollars!E3402=""USD"",Cost_in_dollars!C3402,Cost_in_dollars!C3402 * GOOGLEFINANCE(""CURRENCY:"" &amp; Cost_in_dollars!E3402 &amp; ""USD""))
"),83400000)</f>
        <v>83400000</v>
      </c>
      <c r="Q3402" s="4">
        <f t="shared" ca="1" si="78"/>
        <v>79900000</v>
      </c>
      <c r="R3402" s="5" t="str">
        <f t="shared" si="79"/>
        <v>Airplane!</v>
      </c>
      <c r="S3402" s="43" t="str">
        <f t="shared" si="81"/>
        <v>Comedy</v>
      </c>
    </row>
    <row r="3403" spans="1:19" ht="15.75" customHeight="1" x14ac:dyDescent="0.25">
      <c r="A3403" s="6" t="s">
        <v>1114</v>
      </c>
      <c r="B3403" s="6">
        <v>114</v>
      </c>
      <c r="C3403" s="6">
        <v>241688385</v>
      </c>
      <c r="D3403" s="6" t="s">
        <v>928</v>
      </c>
      <c r="E3403" s="6" t="s">
        <v>1347</v>
      </c>
      <c r="F3403" s="6" t="s">
        <v>10456</v>
      </c>
      <c r="G3403" s="6">
        <v>144053</v>
      </c>
      <c r="H3403" s="6" t="s">
        <v>10457</v>
      </c>
      <c r="I3403" s="6">
        <v>395</v>
      </c>
      <c r="J3403" s="6" t="s">
        <v>23</v>
      </c>
      <c r="K3403" s="6" t="s">
        <v>24</v>
      </c>
      <c r="L3403" s="6">
        <v>92000000</v>
      </c>
      <c r="M3403" s="6">
        <v>1996</v>
      </c>
      <c r="N3403" s="6">
        <v>6.3</v>
      </c>
      <c r="O3403" s="4">
        <f ca="1">IFERROR(__xludf.DUMMYFUNCTION("IF(Cost_in_dollars!E3403=""USD"",Cost_in_dollars!B3403,Cost_in_dollars!B3403 * GOOGLEFINANCE(""CURRENCY:"" &amp; Cost_in_dollars!E3403 &amp; ""USD""))
"),92000000)</f>
        <v>92000000</v>
      </c>
      <c r="P3403" s="4">
        <f ca="1">IFERROR(__xludf.DUMMYFUNCTION("IF(Cost_in_dollars!E3403=""USD"",Cost_in_dollars!C3403,Cost_in_dollars!C3403 * GOOGLEFINANCE(""CURRENCY:"" &amp; Cost_in_dollars!E3403 &amp; ""USD""))
"),241688385)</f>
        <v>241688385</v>
      </c>
      <c r="Q3403" s="6">
        <f t="shared" ca="1" si="78"/>
        <v>149688385</v>
      </c>
      <c r="R3403" s="7" t="str">
        <f t="shared" si="79"/>
        <v>Twister</v>
      </c>
      <c r="S3403" s="43" t="str">
        <f t="shared" si="81"/>
        <v>Action</v>
      </c>
    </row>
    <row r="3404" spans="1:19" ht="15.75" customHeight="1" x14ac:dyDescent="0.25">
      <c r="A3404" s="4" t="s">
        <v>451</v>
      </c>
      <c r="B3404" s="4">
        <v>216</v>
      </c>
      <c r="C3404" s="4">
        <v>54098051</v>
      </c>
      <c r="D3404" s="4" t="s">
        <v>151</v>
      </c>
      <c r="E3404" s="4" t="s">
        <v>10458</v>
      </c>
      <c r="F3404" s="4" t="s">
        <v>10459</v>
      </c>
      <c r="G3404" s="4">
        <v>102861</v>
      </c>
      <c r="H3404" s="4" t="s">
        <v>10460</v>
      </c>
      <c r="I3404" s="4">
        <v>571</v>
      </c>
      <c r="J3404" s="4" t="s">
        <v>23</v>
      </c>
      <c r="K3404" s="4" t="s">
        <v>176</v>
      </c>
      <c r="L3404" s="4">
        <v>25000000</v>
      </c>
      <c r="M3404" s="4">
        <v>2006</v>
      </c>
      <c r="N3404" s="4">
        <v>5.8</v>
      </c>
      <c r="O3404" s="4">
        <f ca="1">IFERROR(__xludf.DUMMYFUNCTION("IF(Cost_in_dollars!E3404=""USD"",Cost_in_dollars!B3404,Cost_in_dollars!B3404 * GOOGLEFINANCE(""CURRENCY:"" &amp; Cost_in_dollars!E3404 &amp; ""USD""))
"),27118500)</f>
        <v>27118500</v>
      </c>
      <c r="P3404" s="4">
        <f ca="1">IFERROR(__xludf.DUMMYFUNCTION("IF(Cost_in_dollars!E3404=""USD"",Cost_in_dollars!C3404,Cost_in_dollars!C3404 * GOOGLEFINANCE(""CURRENCY:"" &amp; Cost_in_dollars!E3404 &amp; ""USD""))
"),58682319.84174)</f>
        <v>58682319.841739997</v>
      </c>
      <c r="Q3404" s="4">
        <f t="shared" ca="1" si="78"/>
        <v>31563819.841739997</v>
      </c>
      <c r="R3404" s="5" t="str">
        <f t="shared" si="79"/>
        <v>Final Destination 3</v>
      </c>
      <c r="S3404" s="43" t="str">
        <f t="shared" si="81"/>
        <v>Horror</v>
      </c>
    </row>
    <row r="3405" spans="1:19" ht="15.75" customHeight="1" x14ac:dyDescent="0.25">
      <c r="A3405" s="6" t="s">
        <v>10461</v>
      </c>
      <c r="B3405" s="6">
        <v>163</v>
      </c>
      <c r="C3405" s="6">
        <v>8460995</v>
      </c>
      <c r="D3405" s="6" t="s">
        <v>222</v>
      </c>
      <c r="E3405" s="6" t="s">
        <v>10462</v>
      </c>
      <c r="F3405" s="6" t="s">
        <v>10463</v>
      </c>
      <c r="G3405" s="6">
        <v>35888</v>
      </c>
      <c r="H3405" s="6" t="s">
        <v>10464</v>
      </c>
      <c r="I3405" s="6">
        <v>125</v>
      </c>
      <c r="J3405" s="6" t="s">
        <v>23</v>
      </c>
      <c r="K3405" s="6" t="s">
        <v>24</v>
      </c>
      <c r="L3405" s="6">
        <v>10000000</v>
      </c>
      <c r="M3405" s="6">
        <v>2010</v>
      </c>
      <c r="N3405" s="6">
        <v>5.5</v>
      </c>
      <c r="O3405" s="4">
        <f ca="1">IFERROR(__xludf.DUMMYFUNCTION("IF(Cost_in_dollars!E3405=""USD"",Cost_in_dollars!B3405,Cost_in_dollars!B3405 * GOOGLEFINANCE(""CURRENCY:"" &amp; Cost_in_dollars!E3405 &amp; ""USD""))
"),10000000)</f>
        <v>10000000</v>
      </c>
      <c r="P3405" s="4">
        <f ca="1">IFERROR(__xludf.DUMMYFUNCTION("IF(Cost_in_dollars!E3405=""USD"",Cost_in_dollars!C3405,Cost_in_dollars!C3405 * GOOGLEFINANCE(""CURRENCY:"" &amp; Cost_in_dollars!E3405 &amp; ""USD""))
"),8460995)</f>
        <v>8460995</v>
      </c>
      <c r="Q3405" s="6">
        <f t="shared" ca="1" si="78"/>
        <v>-1539005</v>
      </c>
      <c r="R3405" s="7" t="str">
        <f t="shared" si="79"/>
        <v>MacGruber</v>
      </c>
      <c r="S3405" s="43" t="str">
        <f t="shared" si="81"/>
        <v>Action</v>
      </c>
    </row>
    <row r="3406" spans="1:19" ht="15.75" customHeight="1" x14ac:dyDescent="0.25">
      <c r="A3406" s="4" t="s">
        <v>1126</v>
      </c>
      <c r="B3406" s="4">
        <v>159</v>
      </c>
      <c r="C3406" s="4">
        <v>172071312</v>
      </c>
      <c r="D3406" s="4" t="s">
        <v>5790</v>
      </c>
      <c r="E3406" s="4" t="s">
        <v>464</v>
      </c>
      <c r="F3406" s="4" t="s">
        <v>10465</v>
      </c>
      <c r="G3406" s="4">
        <v>208817</v>
      </c>
      <c r="H3406" s="4" t="s">
        <v>10466</v>
      </c>
      <c r="I3406" s="4">
        <v>296</v>
      </c>
      <c r="J3406" s="4" t="s">
        <v>23</v>
      </c>
      <c r="K3406" s="4" t="s">
        <v>24</v>
      </c>
      <c r="L3406" s="4">
        <v>62000000</v>
      </c>
      <c r="M3406" s="4">
        <v>1995</v>
      </c>
      <c r="N3406" s="4">
        <v>7.6</v>
      </c>
      <c r="O3406" s="4">
        <f ca="1">IFERROR(__xludf.DUMMYFUNCTION("IF(Cost_in_dollars!E3406=""USD"",Cost_in_dollars!B3406,Cost_in_dollars!B3406 * GOOGLEFINANCE(""CURRENCY:"" &amp; Cost_in_dollars!E3406 &amp; ""USD""))
"),62000000)</f>
        <v>62000000</v>
      </c>
      <c r="P3406" s="4">
        <f ca="1">IFERROR(__xludf.DUMMYFUNCTION("IF(Cost_in_dollars!E3406=""USD"",Cost_in_dollars!C3406,Cost_in_dollars!C3406 * GOOGLEFINANCE(""CURRENCY:"" &amp; Cost_in_dollars!E3406 &amp; ""USD""))
"),172071312)</f>
        <v>172071312</v>
      </c>
      <c r="Q3406" s="4">
        <f t="shared" ca="1" si="78"/>
        <v>110071312</v>
      </c>
      <c r="R3406" s="5" t="str">
        <f t="shared" si="79"/>
        <v>Apollo 13</v>
      </c>
      <c r="S3406" s="43" t="str">
        <f t="shared" si="81"/>
        <v>Adventure</v>
      </c>
    </row>
    <row r="3407" spans="1:19" ht="15.75" customHeight="1" x14ac:dyDescent="0.25">
      <c r="A3407" s="6" t="s">
        <v>4010</v>
      </c>
      <c r="B3407" s="6">
        <v>81</v>
      </c>
      <c r="C3407" s="6">
        <v>141340178</v>
      </c>
      <c r="D3407" s="6" t="s">
        <v>372</v>
      </c>
      <c r="E3407" s="6" t="s">
        <v>223</v>
      </c>
      <c r="F3407" s="6" t="s">
        <v>10467</v>
      </c>
      <c r="G3407" s="6">
        <v>181879</v>
      </c>
      <c r="H3407" s="6" t="s">
        <v>10468</v>
      </c>
      <c r="I3407" s="6">
        <v>319</v>
      </c>
      <c r="J3407" s="6" t="s">
        <v>23</v>
      </c>
      <c r="K3407" s="6" t="s">
        <v>24</v>
      </c>
      <c r="L3407" s="6">
        <v>40000000</v>
      </c>
      <c r="M3407" s="6">
        <v>1992</v>
      </c>
      <c r="N3407" s="6">
        <v>7.6</v>
      </c>
      <c r="O3407" s="4">
        <f ca="1">IFERROR(__xludf.DUMMYFUNCTION("IF(Cost_in_dollars!E3407=""USD"",Cost_in_dollars!B3407,Cost_in_dollars!B3407 * GOOGLEFINANCE(""CURRENCY:"" &amp; Cost_in_dollars!E3407 &amp; ""USD""))
"),40000000)</f>
        <v>40000000</v>
      </c>
      <c r="P3407" s="4">
        <f ca="1">IFERROR(__xludf.DUMMYFUNCTION("IF(Cost_in_dollars!E3407=""USD"",Cost_in_dollars!C3407,Cost_in_dollars!C3407 * GOOGLEFINANCE(""CURRENCY:"" &amp; Cost_in_dollars!E3407 &amp; ""USD""))
"),141340178)</f>
        <v>141340178</v>
      </c>
      <c r="Q3407" s="6">
        <f t="shared" ca="1" si="78"/>
        <v>101340178</v>
      </c>
      <c r="R3407" s="7" t="str">
        <f t="shared" si="79"/>
        <v>A Few Good Men</v>
      </c>
      <c r="S3407" s="43" t="str">
        <f t="shared" si="81"/>
        <v>Drama</v>
      </c>
    </row>
    <row r="3408" spans="1:19" ht="15.75" customHeight="1" x14ac:dyDescent="0.25">
      <c r="A3408" s="4" t="s">
        <v>10469</v>
      </c>
      <c r="B3408" s="4">
        <v>112</v>
      </c>
      <c r="C3408" s="4">
        <v>21835784</v>
      </c>
      <c r="D3408" s="4" t="s">
        <v>162</v>
      </c>
      <c r="E3408" s="4" t="s">
        <v>10470</v>
      </c>
      <c r="F3408" s="4" t="s">
        <v>10471</v>
      </c>
      <c r="G3408" s="4">
        <v>58297</v>
      </c>
      <c r="H3408" s="4" t="s">
        <v>10472</v>
      </c>
      <c r="I3408" s="4">
        <v>161</v>
      </c>
      <c r="J3408" s="4" t="s">
        <v>23</v>
      </c>
      <c r="K3408" s="4" t="s">
        <v>24</v>
      </c>
      <c r="L3408" s="4">
        <v>30000000</v>
      </c>
      <c r="M3408" s="4">
        <v>2005</v>
      </c>
      <c r="N3408" s="4">
        <v>6.6</v>
      </c>
      <c r="O3408" s="4">
        <f ca="1">IFERROR(__xludf.DUMMYFUNCTION("IF(Cost_in_dollars!E3408=""USD"",Cost_in_dollars!B3408,Cost_in_dollars!B3408 * GOOGLEFINANCE(""CURRENCY:"" &amp; Cost_in_dollars!E3408 &amp; ""USD""))
"),30000000)</f>
        <v>30000000</v>
      </c>
      <c r="P3408" s="4">
        <f ca="1">IFERROR(__xludf.DUMMYFUNCTION("IF(Cost_in_dollars!E3408=""USD"",Cost_in_dollars!C3408,Cost_in_dollars!C3408 * GOOGLEFINANCE(""CURRENCY:"" &amp; Cost_in_dollars!E3408 &amp; ""USD""))
"),21835784)</f>
        <v>21835784</v>
      </c>
      <c r="Q3408" s="4">
        <f t="shared" ca="1" si="78"/>
        <v>-8164216</v>
      </c>
      <c r="R3408" s="5" t="str">
        <f t="shared" si="79"/>
        <v>A Lot Like Love</v>
      </c>
      <c r="S3408" s="43" t="str">
        <f t="shared" si="81"/>
        <v>Comedy</v>
      </c>
    </row>
    <row r="3409" spans="1:19" ht="15.75" customHeight="1" x14ac:dyDescent="0.25">
      <c r="A3409" s="6" t="s">
        <v>248</v>
      </c>
      <c r="B3409" s="6">
        <v>73</v>
      </c>
      <c r="C3409" s="6">
        <v>16647384</v>
      </c>
      <c r="D3409" s="6" t="s">
        <v>5963</v>
      </c>
      <c r="E3409" s="6" t="s">
        <v>2675</v>
      </c>
      <c r="F3409" s="6" t="s">
        <v>10473</v>
      </c>
      <c r="G3409" s="6">
        <v>8398</v>
      </c>
      <c r="H3409" s="6" t="s">
        <v>10474</v>
      </c>
      <c r="I3409" s="6">
        <v>56</v>
      </c>
      <c r="J3409" s="6" t="s">
        <v>23</v>
      </c>
      <c r="K3409" s="6" t="s">
        <v>24</v>
      </c>
      <c r="L3409" s="6">
        <v>26000000</v>
      </c>
      <c r="M3409" s="6">
        <v>2006</v>
      </c>
      <c r="N3409" s="6">
        <v>5.0999999999999996</v>
      </c>
      <c r="O3409" s="4">
        <f ca="1">IFERROR(__xludf.DUMMYFUNCTION("IF(Cost_in_dollars!E3409=""USD"",Cost_in_dollars!B3409,Cost_in_dollars!B3409 * GOOGLEFINANCE(""CURRENCY:"" &amp; Cost_in_dollars!E3409 &amp; ""USD""))
"),26000000)</f>
        <v>26000000</v>
      </c>
      <c r="P3409" s="4">
        <f ca="1">IFERROR(__xludf.DUMMYFUNCTION("IF(Cost_in_dollars!E3409=""USD"",Cost_in_dollars!C3409,Cost_in_dollars!C3409 * GOOGLEFINANCE(""CURRENCY:"" &amp; Cost_in_dollars!E3409 &amp; ""USD""))
"),16647384)</f>
        <v>16647384</v>
      </c>
      <c r="Q3409" s="6">
        <f t="shared" ca="1" si="78"/>
        <v>-9352616</v>
      </c>
      <c r="R3409" s="7" t="str">
        <f t="shared" si="79"/>
        <v>Unaccompanied Minors</v>
      </c>
      <c r="S3409" s="43" t="str">
        <f t="shared" si="81"/>
        <v>Adventure</v>
      </c>
    </row>
    <row r="3410" spans="1:19" ht="15.75" customHeight="1" x14ac:dyDescent="0.25">
      <c r="A3410" s="4" t="s">
        <v>524</v>
      </c>
      <c r="B3410" s="4">
        <v>330</v>
      </c>
      <c r="C3410" s="4">
        <v>118311368</v>
      </c>
      <c r="D3410" s="4" t="s">
        <v>1180</v>
      </c>
      <c r="E3410" s="4" t="s">
        <v>847</v>
      </c>
      <c r="F3410" s="4" t="s">
        <v>10475</v>
      </c>
      <c r="G3410" s="4">
        <v>245621</v>
      </c>
      <c r="H3410" s="4" t="s">
        <v>10476</v>
      </c>
      <c r="I3410" s="4">
        <v>514</v>
      </c>
      <c r="J3410" s="4" t="s">
        <v>23</v>
      </c>
      <c r="K3410" s="4" t="s">
        <v>24</v>
      </c>
      <c r="L3410" s="4">
        <v>110000000</v>
      </c>
      <c r="M3410" s="4">
        <v>2010</v>
      </c>
      <c r="N3410" s="4">
        <v>6.4</v>
      </c>
      <c r="O3410" s="4">
        <f ca="1">IFERROR(__xludf.DUMMYFUNCTION("IF(Cost_in_dollars!E3410=""USD"",Cost_in_dollars!B3410,Cost_in_dollars!B3410 * GOOGLEFINANCE(""CURRENCY:"" &amp; Cost_in_dollars!E3410 &amp; ""USD""))
"),110000000)</f>
        <v>110000000</v>
      </c>
      <c r="P3410" s="4">
        <f ca="1">IFERROR(__xludf.DUMMYFUNCTION("IF(Cost_in_dollars!E3410=""USD"",Cost_in_dollars!C3410,Cost_in_dollars!C3410 * GOOGLEFINANCE(""CURRENCY:"" &amp; Cost_in_dollars!E3410 &amp; ""USD""))
"),118311368)</f>
        <v>118311368</v>
      </c>
      <c r="Q3410" s="4">
        <f t="shared" ca="1" si="78"/>
        <v>8311368</v>
      </c>
      <c r="R3410" s="5" t="str">
        <f t="shared" si="79"/>
        <v>Salt</v>
      </c>
      <c r="S3410" s="43" t="str">
        <f t="shared" si="81"/>
        <v>Action</v>
      </c>
    </row>
    <row r="3411" spans="1:19" ht="15.75" customHeight="1" x14ac:dyDescent="0.25">
      <c r="A3411" s="6" t="s">
        <v>5604</v>
      </c>
      <c r="B3411" s="6">
        <v>189</v>
      </c>
      <c r="C3411" s="6">
        <v>6565495</v>
      </c>
      <c r="D3411" s="6" t="s">
        <v>235</v>
      </c>
      <c r="E3411" s="6" t="s">
        <v>3981</v>
      </c>
      <c r="F3411" s="6" t="s">
        <v>10477</v>
      </c>
      <c r="G3411" s="6">
        <v>36455</v>
      </c>
      <c r="H3411" s="6" t="s">
        <v>10478</v>
      </c>
      <c r="I3411" s="6">
        <v>229</v>
      </c>
      <c r="J3411" s="6" t="s">
        <v>3279</v>
      </c>
      <c r="K3411" s="6" t="s">
        <v>220</v>
      </c>
      <c r="L3411" s="6">
        <v>45000000</v>
      </c>
      <c r="M3411" s="6">
        <v>2006</v>
      </c>
      <c r="N3411" s="6">
        <v>7</v>
      </c>
      <c r="O3411" s="4">
        <f ca="1">IFERROR(__xludf.DUMMYFUNCTION("IF(Cost_in_dollars!E3411=""USD"",Cost_in_dollars!B3411,Cost_in_dollars!B3411 * GOOGLEFINANCE(""CURRENCY:"" &amp; Cost_in_dollars!E3411 &amp; ""USD""))
"),6222775.49999999)</f>
        <v>6222775.4999999898</v>
      </c>
      <c r="P3411" s="4">
        <f ca="1">IFERROR(__xludf.DUMMYFUNCTION("IF(Cost_in_dollars!E3411=""USD"",Cost_in_dollars!C3411,Cost_in_dollars!C3411 * GOOGLEFINANCE(""CURRENCY:"" &amp; Cost_in_dollars!E3411 &amp; ""USD""))
"),907902.2540305)</f>
        <v>907902.25403049996</v>
      </c>
      <c r="Q3411" s="6">
        <f t="shared" ca="1" si="78"/>
        <v>-5314873.2459694901</v>
      </c>
      <c r="R3411" s="7" t="str">
        <f t="shared" si="79"/>
        <v>Curse of the Golden Flower</v>
      </c>
      <c r="S3411" s="43" t="str">
        <f t="shared" si="81"/>
        <v>Drama</v>
      </c>
    </row>
    <row r="3412" spans="1:19" ht="15.75" customHeight="1" x14ac:dyDescent="0.25">
      <c r="A3412" s="4" t="s">
        <v>308</v>
      </c>
      <c r="B3412" s="4">
        <v>208</v>
      </c>
      <c r="C3412" s="4">
        <v>227965690</v>
      </c>
      <c r="D3412" s="4" t="s">
        <v>1238</v>
      </c>
      <c r="E3412" s="4" t="s">
        <v>2866</v>
      </c>
      <c r="F3412" s="4" t="s">
        <v>10479</v>
      </c>
      <c r="G3412" s="4">
        <v>271592</v>
      </c>
      <c r="H3412" s="4" t="s">
        <v>10480</v>
      </c>
      <c r="I3412" s="4">
        <v>2335</v>
      </c>
      <c r="J3412" s="4" t="s">
        <v>23</v>
      </c>
      <c r="K3412" s="4" t="s">
        <v>24</v>
      </c>
      <c r="L3412" s="4">
        <v>72000000</v>
      </c>
      <c r="M3412" s="4">
        <v>2002</v>
      </c>
      <c r="N3412" s="4">
        <v>6.7</v>
      </c>
      <c r="O3412" s="4">
        <f ca="1">IFERROR(__xludf.DUMMYFUNCTION("IF(Cost_in_dollars!E3412=""USD"",Cost_in_dollars!B3412,Cost_in_dollars!B3412 * GOOGLEFINANCE(""CURRENCY:"" &amp; Cost_in_dollars!E3412 &amp; ""USD""))
"),72000000)</f>
        <v>72000000</v>
      </c>
      <c r="P3412" s="4">
        <f ca="1">IFERROR(__xludf.DUMMYFUNCTION("IF(Cost_in_dollars!E3412=""USD"",Cost_in_dollars!C3412,Cost_in_dollars!C3412 * GOOGLEFINANCE(""CURRENCY:"" &amp; Cost_in_dollars!E3412 &amp; ""USD""))
"),227965690)</f>
        <v>227965690</v>
      </c>
      <c r="Q3412" s="4">
        <f t="shared" ca="1" si="78"/>
        <v>155965690</v>
      </c>
      <c r="R3412" s="5" t="str">
        <f t="shared" si="79"/>
        <v>Signs</v>
      </c>
      <c r="S3412" s="43" t="str">
        <f t="shared" si="81"/>
        <v>Drama</v>
      </c>
    </row>
    <row r="3413" spans="1:19" ht="15.75" customHeight="1" x14ac:dyDescent="0.25">
      <c r="A3413" s="6" t="s">
        <v>1327</v>
      </c>
      <c r="B3413" s="6">
        <v>277</v>
      </c>
      <c r="C3413" s="6">
        <v>30859000</v>
      </c>
      <c r="D3413" s="6" t="s">
        <v>309</v>
      </c>
      <c r="E3413" s="6" t="s">
        <v>5721</v>
      </c>
      <c r="F3413" s="6" t="s">
        <v>9537</v>
      </c>
      <c r="G3413" s="6">
        <v>96411</v>
      </c>
      <c r="H3413" s="6" t="s">
        <v>9538</v>
      </c>
      <c r="I3413" s="6">
        <v>826</v>
      </c>
      <c r="J3413" s="6" t="s">
        <v>23</v>
      </c>
      <c r="K3413" s="6" t="s">
        <v>24</v>
      </c>
      <c r="L3413" s="6">
        <v>83532</v>
      </c>
      <c r="M3413" s="6">
        <v>1974</v>
      </c>
      <c r="N3413" s="6">
        <v>7.5</v>
      </c>
      <c r="O3413" s="4">
        <f ca="1">IFERROR(__xludf.DUMMYFUNCTION("IF(Cost_in_dollars!E3413=""USD"",Cost_in_dollars!B3413,Cost_in_dollars!B3413 * GOOGLEFINANCE(""CURRENCY:"" &amp; Cost_in_dollars!E3413 &amp; ""USD""))
"),83532)</f>
        <v>83532</v>
      </c>
      <c r="P3413" s="4">
        <f ca="1">IFERROR(__xludf.DUMMYFUNCTION("IF(Cost_in_dollars!E3413=""USD"",Cost_in_dollars!C3413,Cost_in_dollars!C3413 * GOOGLEFINANCE(""CURRENCY:"" &amp; Cost_in_dollars!E3413 &amp; ""USD""))
"),30859000)</f>
        <v>30859000</v>
      </c>
      <c r="Q3413" s="6">
        <f t="shared" ca="1" si="78"/>
        <v>30775468</v>
      </c>
      <c r="R3413" s="7" t="str">
        <f t="shared" si="79"/>
        <v>The Texas Chain Saw Massacre</v>
      </c>
      <c r="S3413" s="43" t="str">
        <f t="shared" si="81"/>
        <v>Horror</v>
      </c>
    </row>
    <row r="3414" spans="1:19" ht="15.75" customHeight="1" x14ac:dyDescent="0.25">
      <c r="A3414" s="4" t="s">
        <v>9632</v>
      </c>
      <c r="B3414" s="4">
        <v>124</v>
      </c>
      <c r="C3414" s="4">
        <v>49474048</v>
      </c>
      <c r="D3414" s="4" t="s">
        <v>860</v>
      </c>
      <c r="E3414" s="4" t="s">
        <v>676</v>
      </c>
      <c r="F3414" s="4" t="s">
        <v>10481</v>
      </c>
      <c r="G3414" s="4">
        <v>31191</v>
      </c>
      <c r="H3414" s="4" t="s">
        <v>10482</v>
      </c>
      <c r="I3414" s="4">
        <v>120</v>
      </c>
      <c r="J3414" s="4" t="s">
        <v>23</v>
      </c>
      <c r="K3414" s="4" t="s">
        <v>24</v>
      </c>
      <c r="L3414" s="4">
        <v>35000000</v>
      </c>
      <c r="M3414" s="4">
        <v>2009</v>
      </c>
      <c r="N3414" s="4">
        <v>5.4</v>
      </c>
      <c r="O3414" s="4">
        <f ca="1">IFERROR(__xludf.DUMMYFUNCTION("IF(Cost_in_dollars!E3414=""USD"",Cost_in_dollars!B3414,Cost_in_dollars!B3414 * GOOGLEFINANCE(""CURRENCY:"" &amp; Cost_in_dollars!E3414 &amp; ""USD""))
"),35000000)</f>
        <v>35000000</v>
      </c>
      <c r="P3414" s="4">
        <f ca="1">IFERROR(__xludf.DUMMYFUNCTION("IF(Cost_in_dollars!E3414=""USD"",Cost_in_dollars!C3414,Cost_in_dollars!C3414 * GOOGLEFINANCE(""CURRENCY:"" &amp; Cost_in_dollars!E3414 &amp; ""USD""))
"),49474048)</f>
        <v>49474048</v>
      </c>
      <c r="Q3414" s="4">
        <f t="shared" ca="1" si="78"/>
        <v>14474048</v>
      </c>
      <c r="R3414" s="5" t="str">
        <f t="shared" si="79"/>
        <v>Old Dogs</v>
      </c>
      <c r="S3414" s="43" t="str">
        <f t="shared" si="81"/>
        <v>Comedy</v>
      </c>
    </row>
    <row r="3415" spans="1:19" ht="15.75" customHeight="1" x14ac:dyDescent="0.25">
      <c r="A3415" s="6" t="s">
        <v>37</v>
      </c>
      <c r="B3415" s="6">
        <v>264</v>
      </c>
      <c r="C3415" s="6">
        <v>35707327</v>
      </c>
      <c r="D3415" s="6" t="s">
        <v>438</v>
      </c>
      <c r="E3415" s="6" t="s">
        <v>847</v>
      </c>
      <c r="F3415" s="6" t="s">
        <v>10483</v>
      </c>
      <c r="G3415" s="6">
        <v>199056</v>
      </c>
      <c r="H3415" s="6" t="s">
        <v>10484</v>
      </c>
      <c r="I3415" s="6">
        <v>387</v>
      </c>
      <c r="J3415" s="6" t="s">
        <v>23</v>
      </c>
      <c r="K3415" s="6" t="s">
        <v>24</v>
      </c>
      <c r="L3415" s="6">
        <v>55000000</v>
      </c>
      <c r="M3415" s="6">
        <v>2008</v>
      </c>
      <c r="N3415" s="6">
        <v>7.8</v>
      </c>
      <c r="O3415" s="4">
        <f ca="1">IFERROR(__xludf.DUMMYFUNCTION("IF(Cost_in_dollars!E3415=""USD"",Cost_in_dollars!B3415,Cost_in_dollars!B3415 * GOOGLEFINANCE(""CURRENCY:"" &amp; Cost_in_dollars!E3415 &amp; ""USD""))
"),55000000)</f>
        <v>55000000</v>
      </c>
      <c r="P3415" s="4">
        <f ca="1">IFERROR(__xludf.DUMMYFUNCTION("IF(Cost_in_dollars!E3415=""USD"",Cost_in_dollars!C3415,Cost_in_dollars!C3415 * GOOGLEFINANCE(""CURRENCY:"" &amp; Cost_in_dollars!E3415 &amp; ""USD""))
"),35707327)</f>
        <v>35707327</v>
      </c>
      <c r="Q3415" s="6">
        <f t="shared" ca="1" si="78"/>
        <v>-19292673</v>
      </c>
      <c r="R3415" s="7" t="str">
        <f t="shared" si="79"/>
        <v>Changeling</v>
      </c>
      <c r="S3415" s="43" t="str">
        <f t="shared" si="81"/>
        <v>Crime</v>
      </c>
    </row>
    <row r="3416" spans="1:19" ht="15.75" customHeight="1" x14ac:dyDescent="0.25">
      <c r="A3416" s="4" t="s">
        <v>52</v>
      </c>
      <c r="B3416" s="4">
        <v>173</v>
      </c>
      <c r="C3416" s="4">
        <v>2812029</v>
      </c>
      <c r="D3416" s="4" t="s">
        <v>116</v>
      </c>
      <c r="E3416" s="4" t="s">
        <v>52</v>
      </c>
      <c r="F3416" s="4" t="s">
        <v>10485</v>
      </c>
      <c r="G3416" s="4">
        <v>664719</v>
      </c>
      <c r="H3416" s="4" t="s">
        <v>10486</v>
      </c>
      <c r="I3416" s="4">
        <v>931</v>
      </c>
      <c r="J3416" s="4" t="s">
        <v>23</v>
      </c>
      <c r="K3416" s="4" t="s">
        <v>24</v>
      </c>
      <c r="L3416" s="4">
        <v>1200000</v>
      </c>
      <c r="M3416" s="4">
        <v>1992</v>
      </c>
      <c r="N3416" s="4">
        <v>8.4</v>
      </c>
      <c r="O3416" s="4">
        <f ca="1">IFERROR(__xludf.DUMMYFUNCTION("IF(Cost_in_dollars!E3416=""USD"",Cost_in_dollars!B3416,Cost_in_dollars!B3416 * GOOGLEFINANCE(""CURRENCY:"" &amp; Cost_in_dollars!E3416 &amp; ""USD""))
"),1200000)</f>
        <v>1200000</v>
      </c>
      <c r="P3416" s="4">
        <f ca="1">IFERROR(__xludf.DUMMYFUNCTION("IF(Cost_in_dollars!E3416=""USD"",Cost_in_dollars!C3416,Cost_in_dollars!C3416 * GOOGLEFINANCE(""CURRENCY:"" &amp; Cost_in_dollars!E3416 &amp; ""USD""))
"),2812029)</f>
        <v>2812029</v>
      </c>
      <c r="Q3416" s="4">
        <f t="shared" ca="1" si="78"/>
        <v>1612029</v>
      </c>
      <c r="R3416" s="5" t="str">
        <f t="shared" si="79"/>
        <v>Reservoir Dogs</v>
      </c>
      <c r="S3416" s="43" t="str">
        <f t="shared" si="81"/>
        <v>Crime</v>
      </c>
    </row>
    <row r="3417" spans="1:19" ht="15.75" customHeight="1" x14ac:dyDescent="0.25">
      <c r="A3417" s="6" t="s">
        <v>3647</v>
      </c>
      <c r="B3417" s="6">
        <v>330</v>
      </c>
      <c r="C3417" s="6">
        <v>25592632</v>
      </c>
      <c r="D3417" s="6" t="s">
        <v>151</v>
      </c>
      <c r="E3417" s="6" t="s">
        <v>6916</v>
      </c>
      <c r="F3417" s="6" t="s">
        <v>10487</v>
      </c>
      <c r="G3417" s="6">
        <v>220475</v>
      </c>
      <c r="H3417" s="6" t="s">
        <v>10488</v>
      </c>
      <c r="I3417" s="6">
        <v>1066</v>
      </c>
      <c r="J3417" s="6" t="s">
        <v>23</v>
      </c>
      <c r="K3417" s="6" t="s">
        <v>24</v>
      </c>
      <c r="L3417" s="6">
        <v>18000000</v>
      </c>
      <c r="M3417" s="6">
        <v>2007</v>
      </c>
      <c r="N3417" s="6">
        <v>7.2</v>
      </c>
      <c r="O3417" s="4">
        <f ca="1">IFERROR(__xludf.DUMMYFUNCTION("IF(Cost_in_dollars!E3417=""USD"",Cost_in_dollars!B3417,Cost_in_dollars!B3417 * GOOGLEFINANCE(""CURRENCY:"" &amp; Cost_in_dollars!E3417 &amp; ""USD""))
"),18000000)</f>
        <v>18000000</v>
      </c>
      <c r="P3417" s="4">
        <f ca="1">IFERROR(__xludf.DUMMYFUNCTION("IF(Cost_in_dollars!E3417=""USD"",Cost_in_dollars!C3417,Cost_in_dollars!C3417 * GOOGLEFINANCE(""CURRENCY:"" &amp; Cost_in_dollars!E3417 &amp; ""USD""))
"),25592632)</f>
        <v>25592632</v>
      </c>
      <c r="Q3417" s="6">
        <f t="shared" ca="1" si="78"/>
        <v>7592632</v>
      </c>
      <c r="R3417" s="7" t="str">
        <f t="shared" si="79"/>
        <v>The Mist</v>
      </c>
      <c r="S3417" s="43" t="str">
        <f t="shared" si="81"/>
        <v>Horror</v>
      </c>
    </row>
    <row r="3418" spans="1:19" ht="15.75" customHeight="1" x14ac:dyDescent="0.25">
      <c r="A3418" s="4" t="s">
        <v>2383</v>
      </c>
      <c r="B3418" s="4">
        <v>94</v>
      </c>
      <c r="C3418" s="4">
        <v>177200000</v>
      </c>
      <c r="D3418" s="4" t="s">
        <v>162</v>
      </c>
      <c r="E3418" s="4" t="s">
        <v>473</v>
      </c>
      <c r="F3418" s="4" t="s">
        <v>10489</v>
      </c>
      <c r="G3418" s="4">
        <v>77366</v>
      </c>
      <c r="H3418" s="4" t="s">
        <v>10490</v>
      </c>
      <c r="I3418" s="4">
        <v>194</v>
      </c>
      <c r="J3418" s="4" t="s">
        <v>23</v>
      </c>
      <c r="K3418" s="4" t="s">
        <v>24</v>
      </c>
      <c r="L3418" s="4">
        <v>22000000</v>
      </c>
      <c r="M3418" s="4">
        <v>1982</v>
      </c>
      <c r="N3418" s="4">
        <v>7.4</v>
      </c>
      <c r="O3418" s="4">
        <f ca="1">IFERROR(__xludf.DUMMYFUNCTION("IF(Cost_in_dollars!E3418=""USD"",Cost_in_dollars!B3418,Cost_in_dollars!B3418 * GOOGLEFINANCE(""CURRENCY:"" &amp; Cost_in_dollars!E3418 &amp; ""USD""))
"),22000000)</f>
        <v>22000000</v>
      </c>
      <c r="P3418" s="4">
        <f ca="1">IFERROR(__xludf.DUMMYFUNCTION("IF(Cost_in_dollars!E3418=""USD"",Cost_in_dollars!C3418,Cost_in_dollars!C3418 * GOOGLEFINANCE(""CURRENCY:"" &amp; Cost_in_dollars!E3418 &amp; ""USD""))
"),177200000)</f>
        <v>177200000</v>
      </c>
      <c r="Q3418" s="4">
        <f t="shared" ca="1" si="78"/>
        <v>155200000</v>
      </c>
      <c r="R3418" s="5" t="str">
        <f t="shared" si="79"/>
        <v>Tootsie</v>
      </c>
      <c r="S3418" s="43" t="str">
        <f t="shared" si="81"/>
        <v>Comedy</v>
      </c>
    </row>
    <row r="3419" spans="1:19" ht="15.75" customHeight="1" x14ac:dyDescent="0.25">
      <c r="A3419" s="6" t="s">
        <v>10491</v>
      </c>
      <c r="B3419" s="6">
        <v>57</v>
      </c>
      <c r="C3419" s="6">
        <v>1400000</v>
      </c>
      <c r="D3419" s="6" t="s">
        <v>10492</v>
      </c>
      <c r="E3419" s="6" t="s">
        <v>10493</v>
      </c>
      <c r="F3419" s="6" t="s">
        <v>10494</v>
      </c>
      <c r="G3419" s="6">
        <v>1324</v>
      </c>
      <c r="H3419" s="6" t="s">
        <v>10495</v>
      </c>
      <c r="I3419" s="6">
        <v>37</v>
      </c>
      <c r="J3419" s="6" t="s">
        <v>23</v>
      </c>
      <c r="K3419" s="6" t="s">
        <v>24</v>
      </c>
      <c r="L3419" s="6">
        <v>1100000</v>
      </c>
      <c r="M3419" s="6">
        <v>1987</v>
      </c>
      <c r="N3419" s="6">
        <v>5.9</v>
      </c>
      <c r="O3419" s="4">
        <f ca="1">IFERROR(__xludf.DUMMYFUNCTION("IF(Cost_in_dollars!E3419=""USD"",Cost_in_dollars!B3419,Cost_in_dollars!B3419 * GOOGLEFINANCE(""CURRENCY:"" &amp; Cost_in_dollars!E3419 &amp; ""USD""))
"),1100000)</f>
        <v>1100000</v>
      </c>
      <c r="P3419" s="4">
        <f ca="1">IFERROR(__xludf.DUMMYFUNCTION("IF(Cost_in_dollars!E3419=""USD"",Cost_in_dollars!C3419,Cost_in_dollars!C3419 * GOOGLEFINANCE(""CURRENCY:"" &amp; Cost_in_dollars!E3419 &amp; ""USD""))
"),1400000)</f>
        <v>1400000</v>
      </c>
      <c r="Q3419" s="6">
        <f t="shared" ca="1" si="78"/>
        <v>300000</v>
      </c>
      <c r="R3419" s="7" t="str">
        <f t="shared" si="79"/>
        <v>From a Whisper to a Scream</v>
      </c>
      <c r="S3419" s="43" t="str">
        <f t="shared" si="81"/>
        <v>Action</v>
      </c>
    </row>
    <row r="3420" spans="1:19" ht="15.75" customHeight="1" x14ac:dyDescent="0.25">
      <c r="A3420" s="4" t="s">
        <v>8160</v>
      </c>
      <c r="B3420" s="4">
        <v>95</v>
      </c>
      <c r="C3420" s="4">
        <v>14378353</v>
      </c>
      <c r="D3420" s="4" t="s">
        <v>1028</v>
      </c>
      <c r="E3420" s="4" t="s">
        <v>5845</v>
      </c>
      <c r="F3420" s="4" t="s">
        <v>10496</v>
      </c>
      <c r="G3420" s="4">
        <v>12375</v>
      </c>
      <c r="H3420" s="4" t="s">
        <v>10497</v>
      </c>
      <c r="I3420" s="4">
        <v>194</v>
      </c>
      <c r="J3420" s="4" t="s">
        <v>23</v>
      </c>
      <c r="K3420" s="4" t="s">
        <v>24</v>
      </c>
      <c r="L3420" s="4">
        <v>36000000</v>
      </c>
      <c r="M3420" s="4">
        <v>1999</v>
      </c>
      <c r="N3420" s="4">
        <v>6.8</v>
      </c>
      <c r="O3420" s="4">
        <f ca="1">IFERROR(__xludf.DUMMYFUNCTION("IF(Cost_in_dollars!E3420=""USD"",Cost_in_dollars!B3420,Cost_in_dollars!B3420 * GOOGLEFINANCE(""CURRENCY:"" &amp; Cost_in_dollars!E3420 &amp; ""USD""))
"),36000000)</f>
        <v>36000000</v>
      </c>
      <c r="P3420" s="4">
        <f ca="1">IFERROR(__xludf.DUMMYFUNCTION("IF(Cost_in_dollars!E3420=""USD"",Cost_in_dollars!C3420,Cost_in_dollars!C3420 * GOOGLEFINANCE(""CURRENCY:"" &amp; Cost_in_dollars!E3420 &amp; ""USD""))
"),14378353)</f>
        <v>14378353</v>
      </c>
      <c r="Q3420" s="4">
        <f t="shared" ca="1" si="78"/>
        <v>-21621647</v>
      </c>
      <c r="R3420" s="5" t="str">
        <f t="shared" si="79"/>
        <v>Snow Falling on Cedars</v>
      </c>
      <c r="S3420" s="43" t="str">
        <f t="shared" si="81"/>
        <v>Drama</v>
      </c>
    </row>
    <row r="3421" spans="1:19" ht="15.75" customHeight="1" x14ac:dyDescent="0.25">
      <c r="A3421" s="6" t="s">
        <v>2633</v>
      </c>
      <c r="B3421" s="6">
        <v>185</v>
      </c>
      <c r="C3421" s="6">
        <v>130727000</v>
      </c>
      <c r="D3421" s="6" t="s">
        <v>876</v>
      </c>
      <c r="E3421" s="6" t="s">
        <v>240</v>
      </c>
      <c r="F3421" s="6" t="s">
        <v>10498</v>
      </c>
      <c r="G3421" s="6">
        <v>887467</v>
      </c>
      <c r="H3421" s="6" t="s">
        <v>10499</v>
      </c>
      <c r="I3421" s="6">
        <v>916</v>
      </c>
      <c r="J3421" s="6" t="s">
        <v>23</v>
      </c>
      <c r="K3421" s="6" t="s">
        <v>24</v>
      </c>
      <c r="L3421" s="6">
        <v>19000000</v>
      </c>
      <c r="M3421" s="6">
        <v>1991</v>
      </c>
      <c r="N3421" s="6">
        <v>8.6</v>
      </c>
      <c r="O3421" s="4">
        <f ca="1">IFERROR(__xludf.DUMMYFUNCTION("IF(Cost_in_dollars!E3421=""USD"",Cost_in_dollars!B3421,Cost_in_dollars!B3421 * GOOGLEFINANCE(""CURRENCY:"" &amp; Cost_in_dollars!E3421 &amp; ""USD""))
"),19000000)</f>
        <v>19000000</v>
      </c>
      <c r="P3421" s="4">
        <f ca="1">IFERROR(__xludf.DUMMYFUNCTION("IF(Cost_in_dollars!E3421=""USD"",Cost_in_dollars!C3421,Cost_in_dollars!C3421 * GOOGLEFINANCE(""CURRENCY:"" &amp; Cost_in_dollars!E3421 &amp; ""USD""))
"),130727000)</f>
        <v>130727000</v>
      </c>
      <c r="Q3421" s="6">
        <f t="shared" ca="1" si="78"/>
        <v>111727000</v>
      </c>
      <c r="R3421" s="7" t="str">
        <f t="shared" si="79"/>
        <v>The Silence of the Lambs</v>
      </c>
      <c r="S3421" s="43" t="str">
        <f t="shared" si="81"/>
        <v>Crime</v>
      </c>
    </row>
    <row r="3422" spans="1:19" ht="15.75" customHeight="1" x14ac:dyDescent="0.25">
      <c r="A3422" s="4" t="s">
        <v>4999</v>
      </c>
      <c r="B3422" s="4">
        <v>158</v>
      </c>
      <c r="C3422" s="4">
        <v>62494975</v>
      </c>
      <c r="D3422" s="4" t="s">
        <v>155</v>
      </c>
      <c r="E3422" s="4" t="s">
        <v>10500</v>
      </c>
      <c r="F3422" s="4" t="s">
        <v>10501</v>
      </c>
      <c r="G3422" s="4">
        <v>179500</v>
      </c>
      <c r="H3422" s="4" t="s">
        <v>10502</v>
      </c>
      <c r="I3422" s="4">
        <v>378</v>
      </c>
      <c r="J3422" s="4" t="s">
        <v>23</v>
      </c>
      <c r="K3422" s="4" t="s">
        <v>24</v>
      </c>
      <c r="L3422" s="4">
        <v>85000000</v>
      </c>
      <c r="M3422" s="4">
        <v>2006</v>
      </c>
      <c r="N3422" s="4">
        <v>6</v>
      </c>
      <c r="O3422" s="4">
        <f ca="1">IFERROR(__xludf.DUMMYFUNCTION("IF(Cost_in_dollars!E3422=""USD"",Cost_in_dollars!B3422,Cost_in_dollars!B3422 * GOOGLEFINANCE(""CURRENCY:"" &amp; Cost_in_dollars!E3422 &amp; ""USD""))
"),85000000)</f>
        <v>85000000</v>
      </c>
      <c r="P3422" s="4">
        <f ca="1">IFERROR(__xludf.DUMMYFUNCTION("IF(Cost_in_dollars!E3422=""USD"",Cost_in_dollars!C3422,Cost_in_dollars!C3422 * GOOGLEFINANCE(""CURRENCY:"" &amp; Cost_in_dollars!E3422 &amp; ""USD""))
"),62494975)</f>
        <v>62494975</v>
      </c>
      <c r="Q3422" s="4">
        <f t="shared" ca="1" si="78"/>
        <v>-22505025</v>
      </c>
      <c r="R3422" s="5" t="str">
        <f t="shared" si="79"/>
        <v>The Fast and the Furious: Tokyo Drift</v>
      </c>
      <c r="S3422" s="43" t="str">
        <f t="shared" si="81"/>
        <v>Action</v>
      </c>
    </row>
    <row r="3423" spans="1:19" ht="15.75" customHeight="1" x14ac:dyDescent="0.25">
      <c r="A3423" s="6" t="s">
        <v>37</v>
      </c>
      <c r="B3423" s="6">
        <v>268</v>
      </c>
      <c r="C3423" s="6">
        <v>100422786</v>
      </c>
      <c r="D3423" s="6" t="s">
        <v>135</v>
      </c>
      <c r="E3423" s="6" t="s">
        <v>37</v>
      </c>
      <c r="F3423" s="6" t="s">
        <v>10503</v>
      </c>
      <c r="G3423" s="6">
        <v>482064</v>
      </c>
      <c r="H3423" s="6" t="s">
        <v>10504</v>
      </c>
      <c r="I3423" s="6">
        <v>1106</v>
      </c>
      <c r="J3423" s="6" t="s">
        <v>23</v>
      </c>
      <c r="K3423" s="6" t="s">
        <v>24</v>
      </c>
      <c r="L3423" s="6">
        <v>30000000</v>
      </c>
      <c r="M3423" s="6">
        <v>2004</v>
      </c>
      <c r="N3423" s="6">
        <v>8.1</v>
      </c>
      <c r="O3423" s="4">
        <f ca="1">IFERROR(__xludf.DUMMYFUNCTION("IF(Cost_in_dollars!E3423=""USD"",Cost_in_dollars!B3423,Cost_in_dollars!B3423 * GOOGLEFINANCE(""CURRENCY:"" &amp; Cost_in_dollars!E3423 &amp; ""USD""))
"),30000000)</f>
        <v>30000000</v>
      </c>
      <c r="P3423" s="4">
        <f ca="1">IFERROR(__xludf.DUMMYFUNCTION("IF(Cost_in_dollars!E3423=""USD"",Cost_in_dollars!C3423,Cost_in_dollars!C3423 * GOOGLEFINANCE(""CURRENCY:"" &amp; Cost_in_dollars!E3423 &amp; ""USD""))
"),100422786)</f>
        <v>100422786</v>
      </c>
      <c r="Q3423" s="6">
        <f t="shared" ca="1" si="78"/>
        <v>70422786</v>
      </c>
      <c r="R3423" s="7" t="str">
        <f t="shared" si="79"/>
        <v>Million Dollar Baby</v>
      </c>
      <c r="S3423" s="43" t="str">
        <f t="shared" si="81"/>
        <v>Drama</v>
      </c>
    </row>
    <row r="3424" spans="1:19" ht="15.75" customHeight="1" x14ac:dyDescent="0.25">
      <c r="A3424" s="4" t="s">
        <v>1502</v>
      </c>
      <c r="B3424" s="4">
        <v>264</v>
      </c>
      <c r="C3424" s="4">
        <v>46377022</v>
      </c>
      <c r="D3424" s="4" t="s">
        <v>457</v>
      </c>
      <c r="E3424" s="4" t="s">
        <v>1503</v>
      </c>
      <c r="F3424" s="4" t="s">
        <v>10505</v>
      </c>
      <c r="G3424" s="4">
        <v>75306</v>
      </c>
      <c r="H3424" s="4" t="s">
        <v>10506</v>
      </c>
      <c r="I3424" s="4">
        <v>266</v>
      </c>
      <c r="J3424" s="4" t="s">
        <v>23</v>
      </c>
      <c r="K3424" s="4" t="s">
        <v>133</v>
      </c>
      <c r="L3424" s="4">
        <v>10000000</v>
      </c>
      <c r="M3424" s="4">
        <v>2011</v>
      </c>
      <c r="N3424" s="4">
        <v>7.3</v>
      </c>
      <c r="O3424" s="4">
        <f ca="1">IFERROR(__xludf.DUMMYFUNCTION("IF(Cost_in_dollars!E3424=""USD"",Cost_in_dollars!B3424,Cost_in_dollars!B3424 * GOOGLEFINANCE(""CURRENCY:"" &amp; Cost_in_dollars!E3424 &amp; ""USD""))
"),12853999.9999999)</f>
        <v>12853999.999999899</v>
      </c>
      <c r="P3424" s="4">
        <f ca="1">IFERROR(__xludf.DUMMYFUNCTION("IF(Cost_in_dollars!E3424=""USD"",Cost_in_dollars!C3424,Cost_in_dollars!C3424 * GOOGLEFINANCE(""CURRENCY:"" &amp; Cost_in_dollars!E3424 &amp; ""USD""))
"),59613024.0787999)</f>
        <v>59613024.078799903</v>
      </c>
      <c r="Q3424" s="4">
        <f t="shared" ca="1" si="78"/>
        <v>46759024.078800008</v>
      </c>
      <c r="R3424" s="5" t="str">
        <f t="shared" si="79"/>
        <v>The Best Exotic Marigold Hotel</v>
      </c>
      <c r="S3424" s="43" t="str">
        <f t="shared" si="81"/>
        <v>Comedy</v>
      </c>
    </row>
    <row r="3425" spans="1:19" ht="15.75" customHeight="1" x14ac:dyDescent="0.25">
      <c r="A3425" s="6" t="s">
        <v>9632</v>
      </c>
      <c r="B3425" s="6">
        <v>96</v>
      </c>
      <c r="C3425" s="6">
        <v>21005329</v>
      </c>
      <c r="D3425" s="6" t="s">
        <v>88</v>
      </c>
      <c r="E3425" s="6" t="s">
        <v>2466</v>
      </c>
      <c r="F3425" s="6" t="s">
        <v>10507</v>
      </c>
      <c r="G3425" s="6">
        <v>89128</v>
      </c>
      <c r="H3425" s="6" t="s">
        <v>10508</v>
      </c>
      <c r="I3425" s="6">
        <v>258</v>
      </c>
      <c r="J3425" s="6" t="s">
        <v>23</v>
      </c>
      <c r="K3425" s="6" t="s">
        <v>176</v>
      </c>
      <c r="L3425" s="6">
        <v>6000000</v>
      </c>
      <c r="M3425" s="6">
        <v>2002</v>
      </c>
      <c r="N3425" s="6">
        <v>6.4</v>
      </c>
      <c r="O3425" s="4">
        <f ca="1">IFERROR(__xludf.DUMMYFUNCTION("IF(Cost_in_dollars!E3425=""USD"",Cost_in_dollars!B3425,Cost_in_dollars!B3425 * GOOGLEFINANCE(""CURRENCY:"" &amp; Cost_in_dollars!E3425 &amp; ""USD""))
"),6508440)</f>
        <v>6508440</v>
      </c>
      <c r="P3425" s="4">
        <f ca="1">IFERROR(__xludf.DUMMYFUNCTION("IF(Cost_in_dollars!E3425=""USD"",Cost_in_dollars!C3425,Cost_in_dollars!C3425 * GOOGLEFINANCE(""CURRENCY:"" &amp; Cost_in_dollars!E3425 &amp; ""USD""))
"),22785320.57946)</f>
        <v>22785320.579459999</v>
      </c>
      <c r="Q3425" s="6">
        <f t="shared" ca="1" si="78"/>
        <v>16276880.579459999</v>
      </c>
      <c r="R3425" s="7" t="str">
        <f t="shared" si="79"/>
        <v>Van Wilder: Party Liaison</v>
      </c>
      <c r="S3425" s="43" t="str">
        <f t="shared" si="81"/>
        <v>Comedy</v>
      </c>
    </row>
    <row r="3426" spans="1:19" ht="15.75" customHeight="1" x14ac:dyDescent="0.25">
      <c r="A3426" s="4" t="s">
        <v>6978</v>
      </c>
      <c r="B3426" s="4">
        <v>27</v>
      </c>
      <c r="C3426" s="4">
        <v>56007</v>
      </c>
      <c r="D3426" s="4" t="s">
        <v>3985</v>
      </c>
      <c r="E3426" s="4" t="s">
        <v>3508</v>
      </c>
      <c r="F3426" s="4" t="s">
        <v>10509</v>
      </c>
      <c r="G3426" s="4">
        <v>3754</v>
      </c>
      <c r="H3426" s="4" t="s">
        <v>10510</v>
      </c>
      <c r="I3426" s="4">
        <v>69</v>
      </c>
      <c r="J3426" s="4" t="s">
        <v>23</v>
      </c>
      <c r="K3426" s="4" t="s">
        <v>24</v>
      </c>
      <c r="L3426" s="4">
        <v>5500000</v>
      </c>
      <c r="M3426" s="4">
        <v>2001</v>
      </c>
      <c r="N3426" s="4">
        <v>4.9000000000000004</v>
      </c>
      <c r="O3426" s="4">
        <f ca="1">IFERROR(__xludf.DUMMYFUNCTION("IF(Cost_in_dollars!E3426=""USD"",Cost_in_dollars!B3426,Cost_in_dollars!B3426 * GOOGLEFINANCE(""CURRENCY:"" &amp; Cost_in_dollars!E3426 &amp; ""USD""))
"),5500000)</f>
        <v>5500000</v>
      </c>
      <c r="P3426" s="4">
        <f ca="1">IFERROR(__xludf.DUMMYFUNCTION("IF(Cost_in_dollars!E3426=""USD"",Cost_in_dollars!C3426,Cost_in_dollars!C3426 * GOOGLEFINANCE(""CURRENCY:"" &amp; Cost_in_dollars!E3426 &amp; ""USD""))
"),56007)</f>
        <v>56007</v>
      </c>
      <c r="Q3426" s="4">
        <f t="shared" ca="1" si="78"/>
        <v>-5443993</v>
      </c>
      <c r="R3426" s="5" t="str">
        <f t="shared" si="79"/>
        <v>Harvard Man</v>
      </c>
      <c r="S3426" s="43" t="str">
        <f t="shared" si="81"/>
        <v>Comedy</v>
      </c>
    </row>
    <row r="3427" spans="1:19" ht="15.75" customHeight="1" x14ac:dyDescent="0.25">
      <c r="A3427" s="6" t="s">
        <v>442</v>
      </c>
      <c r="B3427" s="6">
        <v>150</v>
      </c>
      <c r="C3427" s="6">
        <v>166225040</v>
      </c>
      <c r="D3427" s="6" t="s">
        <v>140</v>
      </c>
      <c r="E3427" s="6" t="s">
        <v>886</v>
      </c>
      <c r="F3427" s="6" t="s">
        <v>10511</v>
      </c>
      <c r="G3427" s="6">
        <v>260442</v>
      </c>
      <c r="H3427" s="6" t="s">
        <v>10512</v>
      </c>
      <c r="I3427" s="6">
        <v>507</v>
      </c>
      <c r="J3427" s="6" t="s">
        <v>23</v>
      </c>
      <c r="K3427" s="6" t="s">
        <v>24</v>
      </c>
      <c r="L3427" s="6">
        <v>55000000</v>
      </c>
      <c r="M3427" s="6">
        <v>2000</v>
      </c>
      <c r="N3427" s="6">
        <v>7</v>
      </c>
      <c r="O3427" s="4">
        <f ca="1">IFERROR(__xludf.DUMMYFUNCTION("IF(Cost_in_dollars!E3427=""USD"",Cost_in_dollars!B3427,Cost_in_dollars!B3427 * GOOGLEFINANCE(""CURRENCY:"" &amp; Cost_in_dollars!E3427 &amp; ""USD""))
"),55000000)</f>
        <v>55000000</v>
      </c>
      <c r="P3427" s="4">
        <f ca="1">IFERROR(__xludf.DUMMYFUNCTION("IF(Cost_in_dollars!E3427=""USD"",Cost_in_dollars!C3427,Cost_in_dollars!C3427 * GOOGLEFINANCE(""CURRENCY:"" &amp; Cost_in_dollars!E3427 &amp; ""USD""))
"),166225040)</f>
        <v>166225040</v>
      </c>
      <c r="Q3427" s="6">
        <f t="shared" ca="1" si="78"/>
        <v>111225040</v>
      </c>
      <c r="R3427" s="7" t="str">
        <f t="shared" si="79"/>
        <v>Meet the Parents</v>
      </c>
      <c r="S3427" s="43" t="str">
        <f t="shared" si="81"/>
        <v>Comedy</v>
      </c>
    </row>
    <row r="3428" spans="1:19" ht="15.75" customHeight="1" x14ac:dyDescent="0.25">
      <c r="A3428" s="4" t="s">
        <v>6257</v>
      </c>
      <c r="B3428" s="4">
        <v>125</v>
      </c>
      <c r="C3428" s="4">
        <v>140459099</v>
      </c>
      <c r="D3428" s="4" t="s">
        <v>10513</v>
      </c>
      <c r="E3428" s="4" t="s">
        <v>173</v>
      </c>
      <c r="F3428" s="4" t="s">
        <v>10514</v>
      </c>
      <c r="G3428" s="4">
        <v>135601</v>
      </c>
      <c r="H3428" s="4" t="s">
        <v>10515</v>
      </c>
      <c r="I3428" s="4">
        <v>493</v>
      </c>
      <c r="J3428" s="4" t="s">
        <v>23</v>
      </c>
      <c r="K3428" s="4" t="s">
        <v>24</v>
      </c>
      <c r="L3428" s="4">
        <v>75000000</v>
      </c>
      <c r="M3428" s="4">
        <v>1998</v>
      </c>
      <c r="N3428" s="4">
        <v>6.1</v>
      </c>
      <c r="O3428" s="4">
        <f ca="1">IFERROR(__xludf.DUMMYFUNCTION("IF(Cost_in_dollars!E3428=""USD"",Cost_in_dollars!B3428,Cost_in_dollars!B3428 * GOOGLEFINANCE(""CURRENCY:"" &amp; Cost_in_dollars!E3428 &amp; ""USD""))
"),75000000)</f>
        <v>75000000</v>
      </c>
      <c r="P3428" s="4">
        <f ca="1">IFERROR(__xludf.DUMMYFUNCTION("IF(Cost_in_dollars!E3428=""USD"",Cost_in_dollars!C3428,Cost_in_dollars!C3428 * GOOGLEFINANCE(""CURRENCY:"" &amp; Cost_in_dollars!E3428 &amp; ""USD""))
"),140459099)</f>
        <v>140459099</v>
      </c>
      <c r="Q3428" s="4">
        <f t="shared" ca="1" si="78"/>
        <v>65459099</v>
      </c>
      <c r="R3428" s="5" t="str">
        <f t="shared" si="79"/>
        <v>Deep Impact</v>
      </c>
      <c r="S3428" s="43" t="str">
        <f t="shared" si="81"/>
        <v>Action</v>
      </c>
    </row>
    <row r="3429" spans="1:19" ht="15.75" customHeight="1" x14ac:dyDescent="0.25">
      <c r="A3429" s="6" t="s">
        <v>150</v>
      </c>
      <c r="B3429" s="6">
        <v>34</v>
      </c>
      <c r="C3429" s="6">
        <v>19900000</v>
      </c>
      <c r="D3429" s="6" t="s">
        <v>5211</v>
      </c>
      <c r="E3429" s="6" t="s">
        <v>3174</v>
      </c>
      <c r="F3429" s="6" t="s">
        <v>10516</v>
      </c>
      <c r="G3429" s="6">
        <v>17262</v>
      </c>
      <c r="H3429" s="6" t="s">
        <v>10517</v>
      </c>
      <c r="I3429" s="6">
        <v>53</v>
      </c>
      <c r="J3429" s="6" t="s">
        <v>23</v>
      </c>
      <c r="K3429" s="6" t="s">
        <v>24</v>
      </c>
      <c r="L3429" s="6">
        <v>20000000</v>
      </c>
      <c r="M3429" s="6">
        <v>1995</v>
      </c>
      <c r="N3429" s="6">
        <v>4.5</v>
      </c>
      <c r="O3429" s="4">
        <f ca="1">IFERROR(__xludf.DUMMYFUNCTION("IF(Cost_in_dollars!E3429=""USD"",Cost_in_dollars!B3429,Cost_in_dollars!B3429 * GOOGLEFINANCE(""CURRENCY:"" &amp; Cost_in_dollars!E3429 &amp; ""USD""))
"),20000000)</f>
        <v>20000000</v>
      </c>
      <c r="P3429" s="4">
        <f ca="1">IFERROR(__xludf.DUMMYFUNCTION("IF(Cost_in_dollars!E3429=""USD"",Cost_in_dollars!C3429,Cost_in_dollars!C3429 * GOOGLEFINANCE(""CURRENCY:"" &amp; Cost_in_dollars!E3429 &amp; ""USD""))
"),19900000)</f>
        <v>19900000</v>
      </c>
      <c r="Q3429" s="6">
        <f t="shared" ca="1" si="78"/>
        <v>-100000</v>
      </c>
      <c r="R3429" s="7" t="str">
        <f t="shared" si="79"/>
        <v>Vampire in Brooklyn</v>
      </c>
      <c r="S3429" s="43" t="str">
        <f t="shared" si="81"/>
        <v>Comedy</v>
      </c>
    </row>
    <row r="3430" spans="1:19" ht="15.75" customHeight="1" x14ac:dyDescent="0.25">
      <c r="A3430" s="4" t="s">
        <v>10518</v>
      </c>
      <c r="B3430" s="4">
        <v>70</v>
      </c>
      <c r="C3430" s="4">
        <v>3500000</v>
      </c>
      <c r="D3430" s="4" t="s">
        <v>10519</v>
      </c>
      <c r="E3430" s="4" t="s">
        <v>4205</v>
      </c>
      <c r="F3430" s="4" t="s">
        <v>10520</v>
      </c>
      <c r="G3430" s="4">
        <v>10082</v>
      </c>
      <c r="H3430" s="4" t="s">
        <v>10521</v>
      </c>
      <c r="I3430" s="4">
        <v>100</v>
      </c>
      <c r="J3430" s="4" t="s">
        <v>23</v>
      </c>
      <c r="K3430" s="4" t="s">
        <v>24</v>
      </c>
      <c r="L3430" s="4">
        <v>2700000</v>
      </c>
      <c r="M3430" s="4">
        <v>1986</v>
      </c>
      <c r="N3430" s="4">
        <v>5.9</v>
      </c>
      <c r="O3430" s="4">
        <f ca="1">IFERROR(__xludf.DUMMYFUNCTION("IF(Cost_in_dollars!E3430=""USD"",Cost_in_dollars!B3430,Cost_in_dollars!B3430 * GOOGLEFINANCE(""CURRENCY:"" &amp; Cost_in_dollars!E3430 &amp; ""USD""))
"),2700000)</f>
        <v>2700000</v>
      </c>
      <c r="P3430" s="4">
        <f ca="1">IFERROR(__xludf.DUMMYFUNCTION("IF(Cost_in_dollars!E3430=""USD"",Cost_in_dollars!C3430,Cost_in_dollars!C3430 * GOOGLEFINANCE(""CURRENCY:"" &amp; Cost_in_dollars!E3430 &amp; ""USD""))
"),3500000)</f>
        <v>3500000</v>
      </c>
      <c r="Q3430" s="4">
        <f t="shared" ca="1" si="78"/>
        <v>800000</v>
      </c>
      <c r="R3430" s="5" t="str">
        <f t="shared" si="79"/>
        <v>The Wraith</v>
      </c>
      <c r="S3430" s="43" t="str">
        <f t="shared" si="81"/>
        <v>Action</v>
      </c>
    </row>
    <row r="3431" spans="1:19" ht="15.75" customHeight="1" x14ac:dyDescent="0.25">
      <c r="A3431" s="6" t="s">
        <v>1755</v>
      </c>
      <c r="B3431" s="6">
        <v>109</v>
      </c>
      <c r="C3431" s="6">
        <v>4839383</v>
      </c>
      <c r="D3431" s="6" t="s">
        <v>88</v>
      </c>
      <c r="E3431" s="6" t="s">
        <v>1755</v>
      </c>
      <c r="F3431" s="6" t="s">
        <v>10522</v>
      </c>
      <c r="G3431" s="6">
        <v>21613</v>
      </c>
      <c r="H3431" s="6" t="s">
        <v>10523</v>
      </c>
      <c r="I3431" s="6">
        <v>148</v>
      </c>
      <c r="J3431" s="6" t="s">
        <v>23</v>
      </c>
      <c r="K3431" s="6" t="s">
        <v>24</v>
      </c>
      <c r="L3431" s="6">
        <v>16000000</v>
      </c>
      <c r="M3431" s="6">
        <v>2002</v>
      </c>
      <c r="N3431" s="6">
        <v>6.6</v>
      </c>
      <c r="O3431" s="4">
        <f ca="1">IFERROR(__xludf.DUMMYFUNCTION("IF(Cost_in_dollars!E3431=""USD"",Cost_in_dollars!B3431,Cost_in_dollars!B3431 * GOOGLEFINANCE(""CURRENCY:"" &amp; Cost_in_dollars!E3431 &amp; ""USD""))
"),16000000)</f>
        <v>16000000</v>
      </c>
      <c r="P3431" s="4">
        <f ca="1">IFERROR(__xludf.DUMMYFUNCTION("IF(Cost_in_dollars!E3431=""USD"",Cost_in_dollars!C3431,Cost_in_dollars!C3431 * GOOGLEFINANCE(""CURRENCY:"" &amp; Cost_in_dollars!E3431 &amp; ""USD""))
"),4839383)</f>
        <v>4839383</v>
      </c>
      <c r="Q3431" s="6">
        <f t="shared" ca="1" si="78"/>
        <v>-11160617</v>
      </c>
      <c r="R3431" s="7" t="str">
        <f t="shared" si="79"/>
        <v>Hollywood Ending</v>
      </c>
      <c r="S3431" s="43" t="str">
        <f t="shared" si="81"/>
        <v>Comedy</v>
      </c>
    </row>
    <row r="3432" spans="1:19" ht="15.75" customHeight="1" x14ac:dyDescent="0.25">
      <c r="A3432" s="4" t="s">
        <v>7897</v>
      </c>
      <c r="B3432" s="4">
        <v>104</v>
      </c>
      <c r="C3432" s="4">
        <v>22433915</v>
      </c>
      <c r="D3432" s="4" t="s">
        <v>438</v>
      </c>
      <c r="E3432" s="4" t="s">
        <v>886</v>
      </c>
      <c r="F3432" s="4" t="s">
        <v>10524</v>
      </c>
      <c r="G3432" s="4">
        <v>21319</v>
      </c>
      <c r="H3432" s="4" t="s">
        <v>10525</v>
      </c>
      <c r="I3432" s="4">
        <v>166</v>
      </c>
      <c r="J3432" s="4" t="s">
        <v>23</v>
      </c>
      <c r="K3432" s="4" t="s">
        <v>24</v>
      </c>
      <c r="L3432" s="4">
        <v>60000000</v>
      </c>
      <c r="M3432" s="4">
        <v>2002</v>
      </c>
      <c r="N3432" s="4">
        <v>6.2</v>
      </c>
      <c r="O3432" s="4">
        <f ca="1">IFERROR(__xludf.DUMMYFUNCTION("IF(Cost_in_dollars!E3432=""USD"",Cost_in_dollars!B3432,Cost_in_dollars!B3432 * GOOGLEFINANCE(""CURRENCY:"" &amp; Cost_in_dollars!E3432 &amp; ""USD""))
"),60000000)</f>
        <v>60000000</v>
      </c>
      <c r="P3432" s="4">
        <f ca="1">IFERROR(__xludf.DUMMYFUNCTION("IF(Cost_in_dollars!E3432=""USD"",Cost_in_dollars!C3432,Cost_in_dollars!C3432 * GOOGLEFINANCE(""CURRENCY:"" &amp; Cost_in_dollars!E3432 &amp; ""USD""))
"),22433915)</f>
        <v>22433915</v>
      </c>
      <c r="Q3432" s="4">
        <f t="shared" ca="1" si="78"/>
        <v>-37566085</v>
      </c>
      <c r="R3432" s="5" t="str">
        <f t="shared" si="79"/>
        <v>City by the Sea</v>
      </c>
      <c r="S3432" s="43" t="str">
        <f t="shared" si="81"/>
        <v>Crime</v>
      </c>
    </row>
    <row r="3433" spans="1:19" ht="15.75" customHeight="1" x14ac:dyDescent="0.25">
      <c r="A3433" s="6" t="s">
        <v>871</v>
      </c>
      <c r="B3433" s="6">
        <v>155</v>
      </c>
      <c r="C3433" s="6">
        <v>112225777</v>
      </c>
      <c r="D3433" s="6" t="s">
        <v>774</v>
      </c>
      <c r="E3433" s="6" t="s">
        <v>461</v>
      </c>
      <c r="F3433" s="6" t="s">
        <v>10526</v>
      </c>
      <c r="G3433" s="6">
        <v>283967</v>
      </c>
      <c r="H3433" s="6" t="s">
        <v>10527</v>
      </c>
      <c r="I3433" s="6">
        <v>535</v>
      </c>
      <c r="J3433" s="6" t="s">
        <v>23</v>
      </c>
      <c r="K3433" s="6" t="s">
        <v>24</v>
      </c>
      <c r="L3433" s="6">
        <v>80000000</v>
      </c>
      <c r="M3433" s="6">
        <v>1997</v>
      </c>
      <c r="N3433" s="6">
        <v>7.3</v>
      </c>
      <c r="O3433" s="4">
        <f ca="1">IFERROR(__xludf.DUMMYFUNCTION("IF(Cost_in_dollars!E3433=""USD"",Cost_in_dollars!B3433,Cost_in_dollars!B3433 * GOOGLEFINANCE(""CURRENCY:"" &amp; Cost_in_dollars!E3433 &amp; ""USD""))
"),80000000)</f>
        <v>80000000</v>
      </c>
      <c r="P3433" s="4">
        <f ca="1">IFERROR(__xludf.DUMMYFUNCTION("IF(Cost_in_dollars!E3433=""USD"",Cost_in_dollars!C3433,Cost_in_dollars!C3433 * GOOGLEFINANCE(""CURRENCY:"" &amp; Cost_in_dollars!E3433 &amp; ""USD""))
"),112225777)</f>
        <v>112225777</v>
      </c>
      <c r="Q3433" s="6">
        <f t="shared" ca="1" si="78"/>
        <v>32225777</v>
      </c>
      <c r="R3433" s="7" t="str">
        <f t="shared" si="79"/>
        <v>Face/Off</v>
      </c>
      <c r="S3433" s="43" t="str">
        <f t="shared" si="81"/>
        <v>Action</v>
      </c>
    </row>
    <row r="3434" spans="1:19" ht="15.75" customHeight="1" x14ac:dyDescent="0.25">
      <c r="A3434" s="4" t="s">
        <v>3825</v>
      </c>
      <c r="B3434" s="4">
        <v>412</v>
      </c>
      <c r="C3434" s="4">
        <v>17750583</v>
      </c>
      <c r="D3434" s="4" t="s">
        <v>362</v>
      </c>
      <c r="E3434" s="4" t="s">
        <v>780</v>
      </c>
      <c r="F3434" s="4" t="s">
        <v>10528</v>
      </c>
      <c r="G3434" s="4">
        <v>93548</v>
      </c>
      <c r="H3434" s="4" t="s">
        <v>10529</v>
      </c>
      <c r="I3434" s="4">
        <v>307</v>
      </c>
      <c r="J3434" s="4" t="s">
        <v>23</v>
      </c>
      <c r="K3434" s="4" t="s">
        <v>133</v>
      </c>
      <c r="L3434" s="4">
        <v>30000000</v>
      </c>
      <c r="M3434" s="4">
        <v>2015</v>
      </c>
      <c r="N3434" s="4">
        <v>7.2</v>
      </c>
      <c r="O3434" s="4">
        <f ca="1">IFERROR(__xludf.DUMMYFUNCTION("IF(Cost_in_dollars!E3434=""USD"",Cost_in_dollars!B3434,Cost_in_dollars!B3434 * GOOGLEFINANCE(""CURRENCY:"" &amp; Cost_in_dollars!E3434 &amp; ""USD""))
"),38562000)</f>
        <v>38562000</v>
      </c>
      <c r="P3434" s="4">
        <f ca="1">IFERROR(__xludf.DUMMYFUNCTION("IF(Cost_in_dollars!E3434=""USD"",Cost_in_dollars!C3434,Cost_in_dollars!C3434 * GOOGLEFINANCE(""CURRENCY:"" &amp; Cost_in_dollars!E3434 &amp; ""USD""))
"),22816599.3881999)</f>
        <v>22816599.388199899</v>
      </c>
      <c r="Q3434" s="4">
        <f t="shared" ca="1" si="78"/>
        <v>-15745400.611800101</v>
      </c>
      <c r="R3434" s="5" t="str">
        <f t="shared" si="79"/>
        <v>Steve Jobs</v>
      </c>
      <c r="S3434" s="43" t="str">
        <f t="shared" si="81"/>
        <v>Biography</v>
      </c>
    </row>
    <row r="3435" spans="1:19" ht="15.75" customHeight="1" x14ac:dyDescent="0.25">
      <c r="A3435" s="6" t="s">
        <v>1667</v>
      </c>
      <c r="B3435" s="6">
        <v>40</v>
      </c>
      <c r="C3435" s="6">
        <v>14358033</v>
      </c>
      <c r="D3435" s="6" t="s">
        <v>10530</v>
      </c>
      <c r="E3435" s="6" t="s">
        <v>10531</v>
      </c>
      <c r="F3435" s="6" t="s">
        <v>10532</v>
      </c>
      <c r="G3435" s="6">
        <v>17365</v>
      </c>
      <c r="H3435" s="6" t="s">
        <v>10533</v>
      </c>
      <c r="I3435" s="6">
        <v>66</v>
      </c>
      <c r="J3435" s="6" t="s">
        <v>23</v>
      </c>
      <c r="K3435" s="6" t="s">
        <v>24</v>
      </c>
      <c r="L3435" s="6">
        <v>40000000</v>
      </c>
      <c r="M3435" s="6">
        <v>1992</v>
      </c>
      <c r="N3435" s="6">
        <v>5.9</v>
      </c>
      <c r="O3435" s="4">
        <f ca="1">IFERROR(__xludf.DUMMYFUNCTION("IF(Cost_in_dollars!E3435=""USD"",Cost_in_dollars!B3435,Cost_in_dollars!B3435 * GOOGLEFINANCE(""CURRENCY:"" &amp; Cost_in_dollars!E3435 &amp; ""USD""))
"),40000000)</f>
        <v>40000000</v>
      </c>
      <c r="P3435" s="4">
        <f ca="1">IFERROR(__xludf.DUMMYFUNCTION("IF(Cost_in_dollars!E3435=""USD"",Cost_in_dollars!C3435,Cost_in_dollars!C3435 * GOOGLEFINANCE(""CURRENCY:"" &amp; Cost_in_dollars!E3435 &amp; ""USD""))
"),14358033)</f>
        <v>14358033</v>
      </c>
      <c r="Q3435" s="6">
        <f t="shared" ca="1" si="78"/>
        <v>-25641967</v>
      </c>
      <c r="R3435" s="7" t="str">
        <f t="shared" si="79"/>
        <v>Memoirs of an Invisible Man</v>
      </c>
      <c r="S3435" s="43" t="str">
        <f t="shared" si="81"/>
        <v>Comedy</v>
      </c>
    </row>
    <row r="3436" spans="1:19" ht="15.75" customHeight="1" x14ac:dyDescent="0.25">
      <c r="A3436" s="4" t="s">
        <v>5093</v>
      </c>
      <c r="B3436" s="4">
        <v>25</v>
      </c>
      <c r="C3436" s="4">
        <v>141853</v>
      </c>
      <c r="D3436" s="4" t="s">
        <v>457</v>
      </c>
      <c r="E3436" s="4" t="s">
        <v>4409</v>
      </c>
      <c r="F3436" s="4" t="s">
        <v>10534</v>
      </c>
      <c r="G3436" s="4">
        <v>1427</v>
      </c>
      <c r="H3436" s="4" t="s">
        <v>10535</v>
      </c>
      <c r="I3436" s="4">
        <v>12</v>
      </c>
      <c r="J3436" s="4" t="s">
        <v>23</v>
      </c>
      <c r="K3436" s="4" t="s">
        <v>149</v>
      </c>
      <c r="L3436" s="4">
        <v>12000000</v>
      </c>
      <c r="M3436" s="4">
        <v>1997</v>
      </c>
      <c r="N3436" s="4">
        <v>6</v>
      </c>
      <c r="O3436" s="4">
        <f ca="1">IFERROR(__xludf.DUMMYFUNCTION("IF(Cost_in_dollars!E3436=""USD"",Cost_in_dollars!B3436,Cost_in_dollars!B3436 * GOOGLEFINANCE(""CURRENCY:"" &amp; Cost_in_dollars!E3436 &amp; ""USD""))
"),7846560)</f>
        <v>7846560</v>
      </c>
      <c r="P3436" s="4">
        <f ca="1">IFERROR(__xludf.DUMMYFUNCTION("IF(Cost_in_dollars!E3436=""USD"",Cost_in_dollars!C3436,Cost_in_dollars!C3436 * GOOGLEFINANCE(""CURRENCY:"" &amp; Cost_in_dollars!E3436 &amp; ""USD""))
"),92754.83964)</f>
        <v>92754.839640000006</v>
      </c>
      <c r="Q3436" s="4">
        <f t="shared" ca="1" si="78"/>
        <v>-7753805.1603600001</v>
      </c>
      <c r="R3436" s="5" t="str">
        <f t="shared" si="79"/>
        <v>Critical Care</v>
      </c>
      <c r="S3436" s="43" t="str">
        <f t="shared" si="81"/>
        <v>Comedy</v>
      </c>
    </row>
    <row r="3437" spans="1:19" ht="15.75" customHeight="1" x14ac:dyDescent="0.25">
      <c r="A3437" s="6" t="s">
        <v>7659</v>
      </c>
      <c r="B3437" s="6">
        <v>60</v>
      </c>
      <c r="C3437" s="6">
        <v>68750000</v>
      </c>
      <c r="D3437" s="6" t="s">
        <v>477</v>
      </c>
      <c r="E3437" s="6" t="s">
        <v>112</v>
      </c>
      <c r="F3437" s="6" t="s">
        <v>10536</v>
      </c>
      <c r="G3437" s="6">
        <v>40858</v>
      </c>
      <c r="H3437" s="6" t="s">
        <v>10537</v>
      </c>
      <c r="I3437" s="6">
        <v>144</v>
      </c>
      <c r="J3437" s="6" t="s">
        <v>23</v>
      </c>
      <c r="K3437" s="6" t="s">
        <v>24</v>
      </c>
      <c r="L3437" s="6">
        <v>55000000</v>
      </c>
      <c r="M3437" s="6">
        <v>1996</v>
      </c>
      <c r="N3437" s="6">
        <v>6.4</v>
      </c>
      <c r="O3437" s="4">
        <f ca="1">IFERROR(__xludf.DUMMYFUNCTION("IF(Cost_in_dollars!E3437=""USD"",Cost_in_dollars!B3437,Cost_in_dollars!B3437 * GOOGLEFINANCE(""CURRENCY:"" &amp; Cost_in_dollars!E3437 &amp; ""USD""))
"),55000000)</f>
        <v>55000000</v>
      </c>
      <c r="P3437" s="4">
        <f ca="1">IFERROR(__xludf.DUMMYFUNCTION("IF(Cost_in_dollars!E3437=""USD"",Cost_in_dollars!C3437,Cost_in_dollars!C3437 * GOOGLEFINANCE(""CURRENCY:"" &amp; Cost_in_dollars!E3437 &amp; ""USD""))
"),68750000)</f>
        <v>68750000</v>
      </c>
      <c r="Q3437" s="6">
        <f t="shared" ca="1" si="78"/>
        <v>13750000</v>
      </c>
      <c r="R3437" s="7" t="str">
        <f t="shared" si="79"/>
        <v>Executive Decision</v>
      </c>
      <c r="S3437" s="43" t="str">
        <f t="shared" si="81"/>
        <v>Action</v>
      </c>
    </row>
    <row r="3438" spans="1:19" ht="15.75" customHeight="1" x14ac:dyDescent="0.25">
      <c r="A3438" s="4" t="s">
        <v>7655</v>
      </c>
      <c r="B3438" s="4">
        <v>163</v>
      </c>
      <c r="C3438" s="4">
        <v>2445646</v>
      </c>
      <c r="D3438" s="4" t="s">
        <v>10538</v>
      </c>
      <c r="E3438" s="4" t="s">
        <v>483</v>
      </c>
      <c r="F3438" s="4" t="s">
        <v>10539</v>
      </c>
      <c r="G3438" s="4">
        <v>32382</v>
      </c>
      <c r="H3438" s="4" t="s">
        <v>10540</v>
      </c>
      <c r="I3438" s="4">
        <v>99</v>
      </c>
      <c r="J3438" s="4" t="s">
        <v>23</v>
      </c>
      <c r="K3438" s="4" t="s">
        <v>24</v>
      </c>
      <c r="L3438" s="4">
        <v>5000000</v>
      </c>
      <c r="M3438" s="4">
        <v>2014</v>
      </c>
      <c r="N3438" s="4">
        <v>7</v>
      </c>
      <c r="O3438" s="4">
        <f ca="1">IFERROR(__xludf.DUMMYFUNCTION("IF(Cost_in_dollars!E3438=""USD"",Cost_in_dollars!B3438,Cost_in_dollars!B3438 * GOOGLEFINANCE(""CURRENCY:"" &amp; Cost_in_dollars!E3438 &amp; ""USD""))
"),5000000)</f>
        <v>5000000</v>
      </c>
      <c r="P3438" s="4">
        <f ca="1">IFERROR(__xludf.DUMMYFUNCTION("IF(Cost_in_dollars!E3438=""USD"",Cost_in_dollars!C3438,Cost_in_dollars!C3438 * GOOGLEFINANCE(""CURRENCY:"" &amp; Cost_in_dollars!E3438 &amp; ""USD""))
"),2445646)</f>
        <v>2445646</v>
      </c>
      <c r="Q3438" s="4">
        <f t="shared" ca="1" si="78"/>
        <v>-2554354</v>
      </c>
      <c r="R3438" s="5" t="str">
        <f t="shared" si="79"/>
        <v>Kill the Messenger</v>
      </c>
      <c r="S3438" s="43" t="str">
        <f t="shared" si="81"/>
        <v>Biography</v>
      </c>
    </row>
    <row r="3439" spans="1:19" ht="15.75" customHeight="1" x14ac:dyDescent="0.25">
      <c r="A3439" s="6" t="s">
        <v>1763</v>
      </c>
      <c r="B3439" s="6">
        <v>20</v>
      </c>
      <c r="C3439" s="6">
        <v>10070000</v>
      </c>
      <c r="D3439" s="6" t="s">
        <v>162</v>
      </c>
      <c r="E3439" s="6" t="s">
        <v>20</v>
      </c>
      <c r="F3439" s="6" t="s">
        <v>10541</v>
      </c>
      <c r="G3439" s="6">
        <v>5668</v>
      </c>
      <c r="H3439" s="6" t="s">
        <v>10542</v>
      </c>
      <c r="I3439" s="6">
        <v>50</v>
      </c>
      <c r="J3439" s="6" t="s">
        <v>23</v>
      </c>
      <c r="K3439" s="6" t="s">
        <v>24</v>
      </c>
      <c r="L3439" s="6">
        <v>25000000</v>
      </c>
      <c r="M3439" s="6">
        <v>1996</v>
      </c>
      <c r="N3439" s="6">
        <v>6.2</v>
      </c>
      <c r="O3439" s="4">
        <f ca="1">IFERROR(__xludf.DUMMYFUNCTION("IF(Cost_in_dollars!E3439=""USD"",Cost_in_dollars!B3439,Cost_in_dollars!B3439 * GOOGLEFINANCE(""CURRENCY:"" &amp; Cost_in_dollars!E3439 &amp; ""USD""))
"),25000000)</f>
        <v>25000000</v>
      </c>
      <c r="P3439" s="4">
        <f ca="1">IFERROR(__xludf.DUMMYFUNCTION("IF(Cost_in_dollars!E3439=""USD"",Cost_in_dollars!C3439,Cost_in_dollars!C3439 * GOOGLEFINANCE(""CURRENCY:"" &amp; Cost_in_dollars!E3439 &amp; ""USD""))
"),10070000)</f>
        <v>10070000</v>
      </c>
      <c r="Q3439" s="6">
        <f t="shared" ca="1" si="78"/>
        <v>-14930000</v>
      </c>
      <c r="R3439" s="7" t="str">
        <f t="shared" si="79"/>
        <v>Mrs. Winterbourne</v>
      </c>
      <c r="S3439" s="43" t="str">
        <f t="shared" si="81"/>
        <v>Comedy</v>
      </c>
    </row>
    <row r="3440" spans="1:19" ht="15.75" customHeight="1" x14ac:dyDescent="0.25">
      <c r="A3440" s="4" t="s">
        <v>1357</v>
      </c>
      <c r="B3440" s="4">
        <v>478</v>
      </c>
      <c r="C3440" s="4">
        <v>205343774</v>
      </c>
      <c r="D3440" s="4" t="s">
        <v>639</v>
      </c>
      <c r="E3440" s="4" t="s">
        <v>1595</v>
      </c>
      <c r="F3440" s="4" t="s">
        <v>10543</v>
      </c>
      <c r="G3440" s="4">
        <v>980946</v>
      </c>
      <c r="H3440" s="4" t="s">
        <v>10544</v>
      </c>
      <c r="I3440" s="4">
        <v>2685</v>
      </c>
      <c r="J3440" s="4" t="s">
        <v>23</v>
      </c>
      <c r="K3440" s="4" t="s">
        <v>24</v>
      </c>
      <c r="L3440" s="4">
        <v>150000000</v>
      </c>
      <c r="M3440" s="4">
        <v>2005</v>
      </c>
      <c r="N3440" s="4">
        <v>8.3000000000000007</v>
      </c>
      <c r="O3440" s="4">
        <f ca="1">IFERROR(__xludf.DUMMYFUNCTION("IF(Cost_in_dollars!E3440=""USD"",Cost_in_dollars!B3440,Cost_in_dollars!B3440 * GOOGLEFINANCE(""CURRENCY:"" &amp; Cost_in_dollars!E3440 &amp; ""USD""))
"),150000000)</f>
        <v>150000000</v>
      </c>
      <c r="P3440" s="4">
        <f ca="1">IFERROR(__xludf.DUMMYFUNCTION("IF(Cost_in_dollars!E3440=""USD"",Cost_in_dollars!C3440,Cost_in_dollars!C3440 * GOOGLEFINANCE(""CURRENCY:"" &amp; Cost_in_dollars!E3440 &amp; ""USD""))
"),205343774)</f>
        <v>205343774</v>
      </c>
      <c r="Q3440" s="4">
        <f t="shared" ca="1" si="78"/>
        <v>55343774</v>
      </c>
      <c r="R3440" s="5" t="str">
        <f t="shared" si="79"/>
        <v>Batman Begins</v>
      </c>
      <c r="S3440" s="43" t="str">
        <f t="shared" si="81"/>
        <v>Action</v>
      </c>
    </row>
    <row r="3441" spans="1:19" ht="15.75" customHeight="1" x14ac:dyDescent="0.25">
      <c r="A3441" s="6" t="s">
        <v>1171</v>
      </c>
      <c r="B3441" s="6">
        <v>116</v>
      </c>
      <c r="C3441" s="6">
        <v>75367693</v>
      </c>
      <c r="D3441" s="6" t="s">
        <v>2771</v>
      </c>
      <c r="E3441" s="6" t="s">
        <v>473</v>
      </c>
      <c r="F3441" s="6" t="s">
        <v>10545</v>
      </c>
      <c r="G3441" s="6">
        <v>58961</v>
      </c>
      <c r="H3441" s="6" t="s">
        <v>10546</v>
      </c>
      <c r="I3441" s="6">
        <v>232</v>
      </c>
      <c r="J3441" s="6" t="s">
        <v>23</v>
      </c>
      <c r="K3441" s="6" t="s">
        <v>24</v>
      </c>
      <c r="L3441" s="6">
        <v>35000000</v>
      </c>
      <c r="M3441" s="6">
        <v>2004</v>
      </c>
      <c r="N3441" s="6">
        <v>5</v>
      </c>
      <c r="O3441" s="4">
        <f ca="1">IFERROR(__xludf.DUMMYFUNCTION("IF(Cost_in_dollars!E3441=""USD"",Cost_in_dollars!B3441,Cost_in_dollars!B3441 * GOOGLEFINANCE(""CURRENCY:"" &amp; Cost_in_dollars!E3441 &amp; ""USD""))
"),35000000)</f>
        <v>35000000</v>
      </c>
      <c r="P3441" s="4">
        <f ca="1">IFERROR(__xludf.DUMMYFUNCTION("IF(Cost_in_dollars!E3441=""USD"",Cost_in_dollars!C3441,Cost_in_dollars!C3441 * GOOGLEFINANCE(""CURRENCY:"" &amp; Cost_in_dollars!E3441 &amp; ""USD""))
"),75367693)</f>
        <v>75367693</v>
      </c>
      <c r="Q3441" s="6">
        <f t="shared" ca="1" si="78"/>
        <v>40367693</v>
      </c>
      <c r="R3441" s="7" t="str">
        <f t="shared" si="79"/>
        <v>Garfield</v>
      </c>
      <c r="S3441" s="43" t="str">
        <f t="shared" si="81"/>
        <v>Animation</v>
      </c>
    </row>
    <row r="3442" spans="1:19" ht="15.75" customHeight="1" x14ac:dyDescent="0.25">
      <c r="A3442" s="4" t="s">
        <v>1959</v>
      </c>
      <c r="B3442" s="4">
        <v>164</v>
      </c>
      <c r="C3442" s="4">
        <v>21133087</v>
      </c>
      <c r="D3442" s="4" t="s">
        <v>93</v>
      </c>
      <c r="E3442" s="4" t="s">
        <v>8051</v>
      </c>
      <c r="F3442" s="4" t="s">
        <v>10547</v>
      </c>
      <c r="G3442" s="4">
        <v>62468</v>
      </c>
      <c r="H3442" s="4" t="s">
        <v>10548</v>
      </c>
      <c r="I3442" s="4">
        <v>374</v>
      </c>
      <c r="J3442" s="4" t="s">
        <v>23</v>
      </c>
      <c r="K3442" s="4" t="s">
        <v>24</v>
      </c>
      <c r="L3442" s="4">
        <v>12000000</v>
      </c>
      <c r="M3442" s="4">
        <v>1999</v>
      </c>
      <c r="N3442" s="4">
        <v>7</v>
      </c>
      <c r="O3442" s="4">
        <f ca="1">IFERROR(__xludf.DUMMYFUNCTION("IF(Cost_in_dollars!E3442=""USD"",Cost_in_dollars!B3442,Cost_in_dollars!B3442 * GOOGLEFINANCE(""CURRENCY:"" &amp; Cost_in_dollars!E3442 &amp; ""USD""))
"),12000000)</f>
        <v>12000000</v>
      </c>
      <c r="P3442" s="4">
        <f ca="1">IFERROR(__xludf.DUMMYFUNCTION("IF(Cost_in_dollars!E3442=""USD"",Cost_in_dollars!C3442,Cost_in_dollars!C3442 * GOOGLEFINANCE(""CURRENCY:"" &amp; Cost_in_dollars!E3442 &amp; ""USD""))
"),21133087)</f>
        <v>21133087</v>
      </c>
      <c r="Q3442" s="4">
        <f t="shared" ca="1" si="78"/>
        <v>9133087</v>
      </c>
      <c r="R3442" s="5" t="str">
        <f t="shared" si="79"/>
        <v>Stir of Echoes</v>
      </c>
      <c r="S3442" s="43" t="str">
        <f t="shared" si="81"/>
        <v>Horror</v>
      </c>
    </row>
    <row r="3443" spans="1:19" ht="15.75" customHeight="1" x14ac:dyDescent="0.25">
      <c r="A3443" s="6" t="s">
        <v>8864</v>
      </c>
      <c r="B3443" s="6">
        <v>222</v>
      </c>
      <c r="C3443" s="6">
        <v>28563179</v>
      </c>
      <c r="D3443" s="6" t="s">
        <v>116</v>
      </c>
      <c r="E3443" s="6" t="s">
        <v>413</v>
      </c>
      <c r="F3443" s="6" t="s">
        <v>10549</v>
      </c>
      <c r="G3443" s="6">
        <v>72693</v>
      </c>
      <c r="H3443" s="6" t="s">
        <v>10550</v>
      </c>
      <c r="I3443" s="6">
        <v>199</v>
      </c>
      <c r="J3443" s="6" t="s">
        <v>23</v>
      </c>
      <c r="K3443" s="6" t="s">
        <v>24</v>
      </c>
      <c r="L3443" s="6">
        <v>21000000</v>
      </c>
      <c r="M3443" s="6">
        <v>2007</v>
      </c>
      <c r="N3443" s="6">
        <v>6.9</v>
      </c>
      <c r="O3443" s="4">
        <f ca="1">IFERROR(__xludf.DUMMYFUNCTION("IF(Cost_in_dollars!E3443=""USD"",Cost_in_dollars!B3443,Cost_in_dollars!B3443 * GOOGLEFINANCE(""CURRENCY:"" &amp; Cost_in_dollars!E3443 &amp; ""USD""))
"),21000000)</f>
        <v>21000000</v>
      </c>
      <c r="P3443" s="4">
        <f ca="1">IFERROR(__xludf.DUMMYFUNCTION("IF(Cost_in_dollars!E3443=""USD"",Cost_in_dollars!C3443,Cost_in_dollars!C3443 * GOOGLEFINANCE(""CURRENCY:"" &amp; Cost_in_dollars!E3443 &amp; ""USD""))
"),28563179)</f>
        <v>28563179</v>
      </c>
      <c r="Q3443" s="6">
        <f t="shared" ca="1" si="78"/>
        <v>7563179</v>
      </c>
      <c r="R3443" s="7" t="str">
        <f t="shared" si="79"/>
        <v>We Own the Night</v>
      </c>
      <c r="S3443" s="43" t="str">
        <f t="shared" si="81"/>
        <v>Crime</v>
      </c>
    </row>
    <row r="3444" spans="1:19" ht="15.75" customHeight="1" x14ac:dyDescent="0.25">
      <c r="A3444" s="4" t="s">
        <v>638</v>
      </c>
      <c r="B3444" s="4">
        <v>252</v>
      </c>
      <c r="C3444" s="4">
        <v>52792307</v>
      </c>
      <c r="D3444" s="4" t="s">
        <v>1259</v>
      </c>
      <c r="E3444" s="4" t="s">
        <v>10551</v>
      </c>
      <c r="F3444" s="4" t="s">
        <v>10552</v>
      </c>
      <c r="G3444" s="4">
        <v>12572</v>
      </c>
      <c r="H3444" s="4" t="s">
        <v>10553</v>
      </c>
      <c r="I3444" s="4">
        <v>106</v>
      </c>
      <c r="J3444" s="4" t="s">
        <v>23</v>
      </c>
      <c r="K3444" s="4" t="s">
        <v>133</v>
      </c>
      <c r="L3444" s="4">
        <v>140000000</v>
      </c>
      <c r="M3444" s="4">
        <v>2016</v>
      </c>
      <c r="N3444" s="4">
        <v>6.8</v>
      </c>
      <c r="O3444" s="4">
        <f ca="1">IFERROR(__xludf.DUMMYFUNCTION("IF(Cost_in_dollars!E3444=""USD"",Cost_in_dollars!B3444,Cost_in_dollars!B3444 * GOOGLEFINANCE(""CURRENCY:"" &amp; Cost_in_dollars!E3444 &amp; ""USD""))
"),179955999.999999)</f>
        <v>179955999.99999899</v>
      </c>
      <c r="P3444" s="4">
        <f ca="1">IFERROR(__xludf.DUMMYFUNCTION("IF(Cost_in_dollars!E3444=""USD"",Cost_in_dollars!C3444,Cost_in_dollars!C3444 * GOOGLEFINANCE(""CURRENCY:"" &amp; Cost_in_dollars!E3444 &amp; ""USD""))
"),67859231.4178)</f>
        <v>67859231.417799994</v>
      </c>
      <c r="Q3444" s="4">
        <f t="shared" ca="1" si="78"/>
        <v>-112096768.58219899</v>
      </c>
      <c r="R3444" s="5" t="str">
        <f t="shared" si="79"/>
        <v>The BFG</v>
      </c>
      <c r="S3444" s="43" t="str">
        <f t="shared" si="81"/>
        <v>Adventure</v>
      </c>
    </row>
    <row r="3445" spans="1:19" ht="15.75" customHeight="1" x14ac:dyDescent="0.25">
      <c r="A3445" s="6" t="s">
        <v>10554</v>
      </c>
      <c r="B3445" s="6">
        <v>597</v>
      </c>
      <c r="C3445" s="6">
        <v>56667870</v>
      </c>
      <c r="D3445" s="6" t="s">
        <v>623</v>
      </c>
      <c r="E3445" s="6" t="s">
        <v>2918</v>
      </c>
      <c r="F3445" s="6" t="s">
        <v>10555</v>
      </c>
      <c r="G3445" s="6">
        <v>439176</v>
      </c>
      <c r="H3445" s="6" t="s">
        <v>10556</v>
      </c>
      <c r="I3445" s="6">
        <v>695</v>
      </c>
      <c r="J3445" s="6" t="s">
        <v>23</v>
      </c>
      <c r="K3445" s="6" t="s">
        <v>24</v>
      </c>
      <c r="L3445" s="6">
        <v>20000000</v>
      </c>
      <c r="M3445" s="6">
        <v>2013</v>
      </c>
      <c r="N3445" s="6">
        <v>8.1</v>
      </c>
      <c r="O3445" s="4">
        <f ca="1">IFERROR(__xludf.DUMMYFUNCTION("IF(Cost_in_dollars!E3445=""USD"",Cost_in_dollars!B3445,Cost_in_dollars!B3445 * GOOGLEFINANCE(""CURRENCY:"" &amp; Cost_in_dollars!E3445 &amp; ""USD""))
"),20000000)</f>
        <v>20000000</v>
      </c>
      <c r="P3445" s="4">
        <f ca="1">IFERROR(__xludf.DUMMYFUNCTION("IF(Cost_in_dollars!E3445=""USD"",Cost_in_dollars!C3445,Cost_in_dollars!C3445 * GOOGLEFINANCE(""CURRENCY:"" &amp; Cost_in_dollars!E3445 &amp; ""USD""))
"),56667870)</f>
        <v>56667870</v>
      </c>
      <c r="Q3445" s="6">
        <f t="shared" ca="1" si="78"/>
        <v>36667870</v>
      </c>
      <c r="R3445" s="7" t="str">
        <f t="shared" si="79"/>
        <v>12 Years a Slave</v>
      </c>
      <c r="S3445" s="43" t="str">
        <f t="shared" si="81"/>
        <v>Biography</v>
      </c>
    </row>
    <row r="3446" spans="1:19" ht="15.75" customHeight="1" x14ac:dyDescent="0.25">
      <c r="A3446" s="4" t="s">
        <v>10557</v>
      </c>
      <c r="B3446" s="4">
        <v>11</v>
      </c>
      <c r="C3446" s="4">
        <v>243347</v>
      </c>
      <c r="D3446" s="4" t="s">
        <v>116</v>
      </c>
      <c r="E3446" s="4" t="s">
        <v>10558</v>
      </c>
      <c r="F3446" s="4" t="s">
        <v>10559</v>
      </c>
      <c r="G3446" s="4">
        <v>553</v>
      </c>
      <c r="H3446" s="4" t="s">
        <v>10560</v>
      </c>
      <c r="I3446" s="4">
        <v>24</v>
      </c>
      <c r="J3446" s="4" t="s">
        <v>23</v>
      </c>
      <c r="K3446" s="4" t="s">
        <v>24</v>
      </c>
      <c r="L3446" s="4">
        <v>500000</v>
      </c>
      <c r="M3446" s="4">
        <v>2002</v>
      </c>
      <c r="N3446" s="4">
        <v>5.3</v>
      </c>
      <c r="O3446" s="4">
        <f ca="1">IFERROR(__xludf.DUMMYFUNCTION("IF(Cost_in_dollars!E3446=""USD"",Cost_in_dollars!B3446,Cost_in_dollars!B3446 * GOOGLEFINANCE(""CURRENCY:"" &amp; Cost_in_dollars!E3446 &amp; ""USD""))
"),500000)</f>
        <v>500000</v>
      </c>
      <c r="P3446" s="4">
        <f ca="1">IFERROR(__xludf.DUMMYFUNCTION("IF(Cost_in_dollars!E3446=""USD"",Cost_in_dollars!C3446,Cost_in_dollars!C3446 * GOOGLEFINANCE(""CURRENCY:"" &amp; Cost_in_dollars!E3446 &amp; ""USD""))
"),243347)</f>
        <v>243347</v>
      </c>
      <c r="Q3446" s="4">
        <f t="shared" ca="1" si="78"/>
        <v>-256653</v>
      </c>
      <c r="R3446" s="5" t="str">
        <f t="shared" si="79"/>
        <v>Civil Brand</v>
      </c>
      <c r="S3446" s="43" t="str">
        <f t="shared" si="81"/>
        <v>Crime</v>
      </c>
    </row>
    <row r="3447" spans="1:19" ht="15.75" customHeight="1" x14ac:dyDescent="0.25">
      <c r="A3447" s="6" t="s">
        <v>10561</v>
      </c>
      <c r="B3447" s="6">
        <v>148</v>
      </c>
      <c r="C3447" s="6">
        <v>46813366</v>
      </c>
      <c r="D3447" s="6" t="s">
        <v>88</v>
      </c>
      <c r="E3447" s="6" t="s">
        <v>5937</v>
      </c>
      <c r="F3447" s="6" t="s">
        <v>10562</v>
      </c>
      <c r="G3447" s="6">
        <v>39440</v>
      </c>
      <c r="H3447" s="6" t="s">
        <v>10563</v>
      </c>
      <c r="I3447" s="6">
        <v>83</v>
      </c>
      <c r="J3447" s="6" t="s">
        <v>23</v>
      </c>
      <c r="K3447" s="6" t="s">
        <v>24</v>
      </c>
      <c r="L3447" s="6">
        <v>38000000</v>
      </c>
      <c r="M3447" s="6">
        <v>2016</v>
      </c>
      <c r="N3447" s="6">
        <v>6.1</v>
      </c>
      <c r="O3447" s="4">
        <f ca="1">IFERROR(__xludf.DUMMYFUNCTION("IF(Cost_in_dollars!E3447=""USD"",Cost_in_dollars!B3447,Cost_in_dollars!B3447 * GOOGLEFINANCE(""CURRENCY:"" &amp; Cost_in_dollars!E3447 &amp; ""USD""))
"),38000000)</f>
        <v>38000000</v>
      </c>
      <c r="P3447" s="4">
        <f ca="1">IFERROR(__xludf.DUMMYFUNCTION("IF(Cost_in_dollars!E3447=""USD"",Cost_in_dollars!C3447,Cost_in_dollars!C3447 * GOOGLEFINANCE(""CURRENCY:"" &amp; Cost_in_dollars!E3447 &amp; ""USD""))
"),46813366)</f>
        <v>46813366</v>
      </c>
      <c r="Q3447" s="6">
        <f t="shared" ca="1" si="78"/>
        <v>8813366</v>
      </c>
      <c r="R3447" s="7" t="str">
        <f t="shared" si="79"/>
        <v>How to Be Single</v>
      </c>
      <c r="S3447" s="43" t="str">
        <f t="shared" si="81"/>
        <v>Comedy</v>
      </c>
    </row>
    <row r="3448" spans="1:19" ht="15.75" customHeight="1" x14ac:dyDescent="0.25">
      <c r="A3448" s="4" t="s">
        <v>4176</v>
      </c>
      <c r="B3448" s="4">
        <v>188</v>
      </c>
      <c r="C3448" s="4">
        <v>24004159</v>
      </c>
      <c r="D3448" s="4" t="s">
        <v>1893</v>
      </c>
      <c r="E3448" s="4" t="s">
        <v>1860</v>
      </c>
      <c r="F3448" s="4" t="s">
        <v>9672</v>
      </c>
      <c r="G3448" s="4">
        <v>68722</v>
      </c>
      <c r="H3448" s="4" t="s">
        <v>9673</v>
      </c>
      <c r="I3448" s="4">
        <v>191</v>
      </c>
      <c r="J3448" s="4" t="s">
        <v>23</v>
      </c>
      <c r="K3448" s="4" t="s">
        <v>24</v>
      </c>
      <c r="L3448" s="4">
        <v>110000000</v>
      </c>
      <c r="M3448" s="4">
        <v>2004</v>
      </c>
      <c r="N3448" s="4">
        <v>5.8</v>
      </c>
      <c r="O3448" s="4">
        <f ca="1">IFERROR(__xludf.DUMMYFUNCTION("IF(Cost_in_dollars!E3448=""USD"",Cost_in_dollars!B3448,Cost_in_dollars!B3448 * GOOGLEFINANCE(""CURRENCY:"" &amp; Cost_in_dollars!E3448 &amp; ""USD""))
"),110000000)</f>
        <v>110000000</v>
      </c>
      <c r="P3448" s="4">
        <f ca="1">IFERROR(__xludf.DUMMYFUNCTION("IF(Cost_in_dollars!E3448=""USD"",Cost_in_dollars!C3448,Cost_in_dollars!C3448 * GOOGLEFINANCE(""CURRENCY:"" &amp; Cost_in_dollars!E3448 &amp; ""USD""))
"),24004159)</f>
        <v>24004159</v>
      </c>
      <c r="Q3448" s="4">
        <f t="shared" ca="1" si="78"/>
        <v>-85995841</v>
      </c>
      <c r="R3448" s="5" t="str">
        <f t="shared" si="79"/>
        <v>Around the World in 80 Days</v>
      </c>
      <c r="S3448" s="43" t="str">
        <f t="shared" si="81"/>
        <v>Action</v>
      </c>
    </row>
    <row r="3449" spans="1:19" ht="15.75" customHeight="1" x14ac:dyDescent="0.25">
      <c r="A3449" s="6" t="s">
        <v>9509</v>
      </c>
      <c r="B3449" s="6">
        <v>152</v>
      </c>
      <c r="C3449" s="6">
        <v>52752475</v>
      </c>
      <c r="D3449" s="6" t="s">
        <v>372</v>
      </c>
      <c r="E3449" s="6" t="s">
        <v>10564</v>
      </c>
      <c r="F3449" s="6" t="s">
        <v>10565</v>
      </c>
      <c r="G3449" s="6">
        <v>63067</v>
      </c>
      <c r="H3449" s="6" t="s">
        <v>10566</v>
      </c>
      <c r="I3449" s="6">
        <v>533</v>
      </c>
      <c r="J3449" s="6" t="s">
        <v>23</v>
      </c>
      <c r="K3449" s="6" t="s">
        <v>24</v>
      </c>
      <c r="L3449" s="6">
        <v>50000000</v>
      </c>
      <c r="M3449" s="6">
        <v>2002</v>
      </c>
      <c r="N3449" s="6">
        <v>6.7</v>
      </c>
      <c r="O3449" s="4">
        <f ca="1">IFERROR(__xludf.DUMMYFUNCTION("IF(Cost_in_dollars!E3449=""USD"",Cost_in_dollars!B3449,Cost_in_dollars!B3449 * GOOGLEFINANCE(""CURRENCY:"" &amp; Cost_in_dollars!E3449 &amp; ""USD""))
"),50000000)</f>
        <v>50000000</v>
      </c>
      <c r="P3449" s="4">
        <f ca="1">IFERROR(__xludf.DUMMYFUNCTION("IF(Cost_in_dollars!E3449=""USD"",Cost_in_dollars!C3449,Cost_in_dollars!C3449 * GOOGLEFINANCE(""CURRENCY:"" &amp; Cost_in_dollars!E3449 &amp; ""USD""))
"),52752475)</f>
        <v>52752475</v>
      </c>
      <c r="Q3449" s="6">
        <f t="shared" ca="1" si="78"/>
        <v>2752475</v>
      </c>
      <c r="R3449" s="7" t="str">
        <f t="shared" si="79"/>
        <v>Unfaithful</v>
      </c>
      <c r="S3449" s="43" t="str">
        <f t="shared" si="81"/>
        <v>Drama</v>
      </c>
    </row>
    <row r="3450" spans="1:19" ht="15.75" customHeight="1" x14ac:dyDescent="0.25">
      <c r="A3450" s="4" t="s">
        <v>773</v>
      </c>
      <c r="B3450" s="4">
        <v>492</v>
      </c>
      <c r="C3450" s="4">
        <v>58607007</v>
      </c>
      <c r="D3450" s="4" t="s">
        <v>774</v>
      </c>
      <c r="E3450" s="4" t="s">
        <v>775</v>
      </c>
      <c r="F3450" s="4" t="s">
        <v>776</v>
      </c>
      <c r="G3450" s="4">
        <v>182910</v>
      </c>
      <c r="H3450" s="4" t="s">
        <v>777</v>
      </c>
      <c r="I3450" s="4">
        <v>630</v>
      </c>
      <c r="J3450" s="4" t="s">
        <v>23</v>
      </c>
      <c r="K3450" s="4" t="s">
        <v>24</v>
      </c>
      <c r="L3450" s="4">
        <v>100000000</v>
      </c>
      <c r="M3450" s="4">
        <v>2014</v>
      </c>
      <c r="N3450" s="4">
        <v>6.2</v>
      </c>
      <c r="O3450" s="4">
        <f ca="1">IFERROR(__xludf.DUMMYFUNCTION("IF(Cost_in_dollars!E3450=""USD"",Cost_in_dollars!B3450,Cost_in_dollars!B3450 * GOOGLEFINANCE(""CURRENCY:"" &amp; Cost_in_dollars!E3450 &amp; ""USD""))
"),100000000)</f>
        <v>100000000</v>
      </c>
      <c r="P3450" s="4">
        <f ca="1">IFERROR(__xludf.DUMMYFUNCTION("IF(Cost_in_dollars!E3450=""USD"",Cost_in_dollars!C3450,Cost_in_dollars!C3450 * GOOGLEFINANCE(""CURRENCY:"" &amp; Cost_in_dollars!E3450 &amp; ""USD""))
"),58607007)</f>
        <v>58607007</v>
      </c>
      <c r="Q3450" s="4">
        <f t="shared" ca="1" si="78"/>
        <v>-41392993</v>
      </c>
      <c r="R3450" s="5" t="str">
        <f t="shared" si="79"/>
        <v>RoboCop</v>
      </c>
      <c r="S3450" s="43" t="str">
        <f t="shared" si="81"/>
        <v>Action</v>
      </c>
    </row>
    <row r="3451" spans="1:19" ht="15.75" customHeight="1" x14ac:dyDescent="0.25">
      <c r="A3451" s="6" t="s">
        <v>10567</v>
      </c>
      <c r="B3451" s="6">
        <v>83</v>
      </c>
      <c r="C3451" s="6">
        <v>30050028</v>
      </c>
      <c r="D3451" s="6" t="s">
        <v>1099</v>
      </c>
      <c r="E3451" s="6" t="s">
        <v>5340</v>
      </c>
      <c r="F3451" s="6" t="s">
        <v>10568</v>
      </c>
      <c r="G3451" s="6">
        <v>42987</v>
      </c>
      <c r="H3451" s="6" t="s">
        <v>10569</v>
      </c>
      <c r="I3451" s="6">
        <v>201</v>
      </c>
      <c r="J3451" s="6" t="s">
        <v>23</v>
      </c>
      <c r="K3451" s="6" t="s">
        <v>24</v>
      </c>
      <c r="L3451" s="6">
        <v>17000000</v>
      </c>
      <c r="M3451" s="6">
        <v>1989</v>
      </c>
      <c r="N3451" s="6">
        <v>6.5</v>
      </c>
      <c r="O3451" s="4">
        <f ca="1">IFERROR(__xludf.DUMMYFUNCTION("IF(Cost_in_dollars!E3451=""USD"",Cost_in_dollars!B3451,Cost_in_dollars!B3451 * GOOGLEFINANCE(""CURRENCY:"" &amp; Cost_in_dollars!E3451 &amp; ""USD""))
"),17000000)</f>
        <v>17000000</v>
      </c>
      <c r="P3451" s="4">
        <f ca="1">IFERROR(__xludf.DUMMYFUNCTION("IF(Cost_in_dollars!E3451=""USD"",Cost_in_dollars!C3451,Cost_in_dollars!C3451 * GOOGLEFINANCE(""CURRENCY:"" &amp; Cost_in_dollars!E3451 &amp; ""USD""))
"),30050028)</f>
        <v>30050028</v>
      </c>
      <c r="Q3451" s="6">
        <f t="shared" ca="1" si="78"/>
        <v>13050028</v>
      </c>
      <c r="R3451" s="7" t="str">
        <f t="shared" si="79"/>
        <v>Road House</v>
      </c>
      <c r="S3451" s="43" t="str">
        <f t="shared" si="81"/>
        <v>Action</v>
      </c>
    </row>
    <row r="3452" spans="1:19" ht="15.75" customHeight="1" x14ac:dyDescent="0.25">
      <c r="A3452" s="4" t="s">
        <v>643</v>
      </c>
      <c r="B3452" s="4">
        <v>315</v>
      </c>
      <c r="C3452" s="4">
        <v>56443482</v>
      </c>
      <c r="D3452" s="4" t="s">
        <v>1933</v>
      </c>
      <c r="E3452" s="4" t="s">
        <v>1507</v>
      </c>
      <c r="F3452" s="4" t="s">
        <v>10570</v>
      </c>
      <c r="G3452" s="4">
        <v>75329</v>
      </c>
      <c r="H3452" s="4" t="s">
        <v>10571</v>
      </c>
      <c r="I3452" s="4">
        <v>256</v>
      </c>
      <c r="J3452" s="4" t="s">
        <v>23</v>
      </c>
      <c r="K3452" s="4" t="s">
        <v>24</v>
      </c>
      <c r="L3452" s="4">
        <v>60000000</v>
      </c>
      <c r="M3452" s="4">
        <v>2015</v>
      </c>
      <c r="N3452" s="4">
        <v>6.6</v>
      </c>
      <c r="O3452" s="4">
        <f ca="1">IFERROR(__xludf.DUMMYFUNCTION("IF(Cost_in_dollars!E3452=""USD"",Cost_in_dollars!B3452,Cost_in_dollars!B3452 * GOOGLEFINANCE(""CURRENCY:"" &amp; Cost_in_dollars!E3452 &amp; ""USD""))
"),60000000)</f>
        <v>60000000</v>
      </c>
      <c r="P3452" s="4">
        <f ca="1">IFERROR(__xludf.DUMMYFUNCTION("IF(Cost_in_dollars!E3452=""USD"",Cost_in_dollars!C3452,Cost_in_dollars!C3452 * GOOGLEFINANCE(""CURRENCY:"" &amp; Cost_in_dollars!E3452 &amp; ""USD""))
"),56443482)</f>
        <v>56443482</v>
      </c>
      <c r="Q3452" s="4">
        <f t="shared" ca="1" si="78"/>
        <v>-3556518</v>
      </c>
      <c r="R3452" s="5" t="str">
        <f t="shared" si="79"/>
        <v>Joy</v>
      </c>
      <c r="S3452" s="43" t="str">
        <f t="shared" si="81"/>
        <v>Biography</v>
      </c>
    </row>
    <row r="3453" spans="1:19" ht="15.75" customHeight="1" x14ac:dyDescent="0.25">
      <c r="A3453" s="6" t="s">
        <v>1528</v>
      </c>
      <c r="B3453" s="6">
        <v>654</v>
      </c>
      <c r="C3453" s="6">
        <v>202351611</v>
      </c>
      <c r="D3453" s="6" t="s">
        <v>3542</v>
      </c>
      <c r="E3453" s="6" t="s">
        <v>10572</v>
      </c>
      <c r="F3453" s="6" t="s">
        <v>10573</v>
      </c>
      <c r="G3453" s="6">
        <v>465019</v>
      </c>
      <c r="H3453" s="6" t="s">
        <v>10574</v>
      </c>
      <c r="I3453" s="6">
        <v>995</v>
      </c>
      <c r="J3453" s="6" t="s">
        <v>23</v>
      </c>
      <c r="K3453" s="6" t="s">
        <v>24</v>
      </c>
      <c r="L3453" s="6">
        <v>190000000</v>
      </c>
      <c r="M3453" s="6">
        <v>2013</v>
      </c>
      <c r="N3453" s="6">
        <v>7</v>
      </c>
      <c r="O3453" s="4">
        <f ca="1">IFERROR(__xludf.DUMMYFUNCTION("IF(Cost_in_dollars!E3453=""USD"",Cost_in_dollars!B3453,Cost_in_dollars!B3453 * GOOGLEFINANCE(""CURRENCY:"" &amp; Cost_in_dollars!E3453 &amp; ""USD""))
"),190000000)</f>
        <v>190000000</v>
      </c>
      <c r="P3453" s="4">
        <f ca="1">IFERROR(__xludf.DUMMYFUNCTION("IF(Cost_in_dollars!E3453=""USD"",Cost_in_dollars!C3453,Cost_in_dollars!C3453 * GOOGLEFINANCE(""CURRENCY:"" &amp; Cost_in_dollars!E3453 &amp; ""USD""))
"),202351611)</f>
        <v>202351611</v>
      </c>
      <c r="Q3453" s="6">
        <f t="shared" ca="1" si="78"/>
        <v>12351611</v>
      </c>
      <c r="R3453" s="7" t="str">
        <f t="shared" si="79"/>
        <v>World War Z</v>
      </c>
      <c r="S3453" s="43" t="str">
        <f t="shared" si="81"/>
        <v>Action</v>
      </c>
    </row>
    <row r="3454" spans="1:19" ht="15.75" customHeight="1" x14ac:dyDescent="0.25">
      <c r="A3454" s="4" t="s">
        <v>262</v>
      </c>
      <c r="B3454" s="4">
        <v>304</v>
      </c>
      <c r="C3454" s="4">
        <v>39568996</v>
      </c>
      <c r="D3454" s="4" t="s">
        <v>151</v>
      </c>
      <c r="E3454" s="4" t="s">
        <v>10575</v>
      </c>
      <c r="F3454" s="4" t="s">
        <v>10576</v>
      </c>
      <c r="G3454" s="4">
        <v>138435</v>
      </c>
      <c r="H3454" s="4" t="s">
        <v>10577</v>
      </c>
      <c r="I3454" s="4">
        <v>527</v>
      </c>
      <c r="J3454" s="4" t="s">
        <v>23</v>
      </c>
      <c r="K3454" s="4" t="s">
        <v>24</v>
      </c>
      <c r="L3454" s="4">
        <v>32000000</v>
      </c>
      <c r="M3454" s="4">
        <v>2007</v>
      </c>
      <c r="N3454" s="4">
        <v>6.6</v>
      </c>
      <c r="O3454" s="4">
        <f ca="1">IFERROR(__xludf.DUMMYFUNCTION("IF(Cost_in_dollars!E3454=""USD"",Cost_in_dollars!B3454,Cost_in_dollars!B3454 * GOOGLEFINANCE(""CURRENCY:"" &amp; Cost_in_dollars!E3454 &amp; ""USD""))
"),32000000)</f>
        <v>32000000</v>
      </c>
      <c r="P3454" s="4">
        <f ca="1">IFERROR(__xludf.DUMMYFUNCTION("IF(Cost_in_dollars!E3454=""USD"",Cost_in_dollars!C3454,Cost_in_dollars!C3454 * GOOGLEFINANCE(""CURRENCY:"" &amp; Cost_in_dollars!E3454 &amp; ""USD""))
"),39568996)</f>
        <v>39568996</v>
      </c>
      <c r="Q3454" s="4">
        <f t="shared" ca="1" si="78"/>
        <v>7568996</v>
      </c>
      <c r="R3454" s="5" t="str">
        <f t="shared" si="79"/>
        <v>30 Days of Night</v>
      </c>
      <c r="S3454" s="43" t="str">
        <f t="shared" si="81"/>
        <v>Horror</v>
      </c>
    </row>
    <row r="3455" spans="1:19" ht="15.75" customHeight="1" x14ac:dyDescent="0.25">
      <c r="A3455" s="6" t="s">
        <v>726</v>
      </c>
      <c r="B3455" s="6">
        <v>93</v>
      </c>
      <c r="C3455" s="6">
        <v>111760631</v>
      </c>
      <c r="D3455" s="6" t="s">
        <v>3324</v>
      </c>
      <c r="E3455" s="6" t="s">
        <v>2547</v>
      </c>
      <c r="F3455" s="6" t="s">
        <v>10578</v>
      </c>
      <c r="G3455" s="6">
        <v>40227</v>
      </c>
      <c r="H3455" s="6" t="s">
        <v>10579</v>
      </c>
      <c r="I3455" s="6">
        <v>188</v>
      </c>
      <c r="J3455" s="6" t="s">
        <v>23</v>
      </c>
      <c r="K3455" s="6" t="s">
        <v>24</v>
      </c>
      <c r="L3455" s="6">
        <v>38000000</v>
      </c>
      <c r="M3455" s="6">
        <v>2003</v>
      </c>
      <c r="N3455" s="6">
        <v>4.0999999999999996</v>
      </c>
      <c r="O3455" s="4">
        <f ca="1">IFERROR(__xludf.DUMMYFUNCTION("IF(Cost_in_dollars!E3455=""USD"",Cost_in_dollars!B3455,Cost_in_dollars!B3455 * GOOGLEFINANCE(""CURRENCY:"" &amp; Cost_in_dollars!E3455 &amp; ""USD""))
"),38000000)</f>
        <v>38000000</v>
      </c>
      <c r="P3455" s="4">
        <f ca="1">IFERROR(__xludf.DUMMYFUNCTION("IF(Cost_in_dollars!E3455=""USD"",Cost_in_dollars!C3455,Cost_in_dollars!C3455 * GOOGLEFINANCE(""CURRENCY:"" &amp; Cost_in_dollars!E3455 &amp; ""USD""))
"),111760631)</f>
        <v>111760631</v>
      </c>
      <c r="Q3455" s="6">
        <f t="shared" ca="1" si="78"/>
        <v>73760631</v>
      </c>
      <c r="R3455" s="7" t="str">
        <f t="shared" si="79"/>
        <v>Spy Kids 3-D: Game Over</v>
      </c>
      <c r="S3455" s="43" t="str">
        <f t="shared" si="81"/>
        <v>Action</v>
      </c>
    </row>
    <row r="3456" spans="1:19" ht="15.75" customHeight="1" x14ac:dyDescent="0.25">
      <c r="A3456" s="4" t="s">
        <v>1819</v>
      </c>
      <c r="B3456" s="4">
        <v>115</v>
      </c>
      <c r="C3456" s="4">
        <v>4584886</v>
      </c>
      <c r="D3456" s="4" t="s">
        <v>235</v>
      </c>
      <c r="E3456" s="4" t="s">
        <v>10580</v>
      </c>
      <c r="F3456" s="4" t="s">
        <v>10581</v>
      </c>
      <c r="G3456" s="4">
        <v>19114</v>
      </c>
      <c r="H3456" s="4" t="s">
        <v>10582</v>
      </c>
      <c r="I3456" s="4">
        <v>115</v>
      </c>
      <c r="J3456" s="4" t="s">
        <v>23</v>
      </c>
      <c r="K3456" s="4" t="s">
        <v>24</v>
      </c>
      <c r="L3456" s="4">
        <v>45000000</v>
      </c>
      <c r="M3456" s="4">
        <v>2007</v>
      </c>
      <c r="N3456" s="4">
        <v>6.4</v>
      </c>
      <c r="O3456" s="4">
        <f ca="1">IFERROR(__xludf.DUMMYFUNCTION("IF(Cost_in_dollars!E3456=""USD"",Cost_in_dollars!B3456,Cost_in_dollars!B3456 * GOOGLEFINANCE(""CURRENCY:"" &amp; Cost_in_dollars!E3456 &amp; ""USD""))
"),45000000)</f>
        <v>45000000</v>
      </c>
      <c r="P3456" s="4">
        <f ca="1">IFERROR(__xludf.DUMMYFUNCTION("IF(Cost_in_dollars!E3456=""USD"",Cost_in_dollars!C3456,Cost_in_dollars!C3456 * GOOGLEFINANCE(""CURRENCY:"" &amp; Cost_in_dollars!E3456 &amp; ""USD""))
"),4584886)</f>
        <v>4584886</v>
      </c>
      <c r="Q3456" s="4">
        <f t="shared" ca="1" si="78"/>
        <v>-40415114</v>
      </c>
      <c r="R3456" s="5" t="str">
        <f t="shared" si="79"/>
        <v>Love in the Time of Cholera</v>
      </c>
      <c r="S3456" s="43" t="str">
        <f t="shared" si="81"/>
        <v>Drama</v>
      </c>
    </row>
    <row r="3457" spans="1:19" ht="15.75" customHeight="1" x14ac:dyDescent="0.25">
      <c r="A3457" s="6" t="s">
        <v>296</v>
      </c>
      <c r="B3457" s="6">
        <v>263</v>
      </c>
      <c r="C3457" s="6">
        <v>24530513</v>
      </c>
      <c r="D3457" s="6" t="s">
        <v>3460</v>
      </c>
      <c r="E3457" s="6" t="s">
        <v>296</v>
      </c>
      <c r="F3457" s="6" t="s">
        <v>10583</v>
      </c>
      <c r="G3457" s="6">
        <v>66610</v>
      </c>
      <c r="H3457" s="6" t="s">
        <v>10584</v>
      </c>
      <c r="I3457" s="6">
        <v>429</v>
      </c>
      <c r="J3457" s="6" t="s">
        <v>23</v>
      </c>
      <c r="K3457" s="6" t="s">
        <v>24</v>
      </c>
      <c r="L3457" s="6">
        <v>9000000</v>
      </c>
      <c r="M3457" s="6">
        <v>2007</v>
      </c>
      <c r="N3457" s="6">
        <v>8</v>
      </c>
      <c r="O3457" s="4">
        <f ca="1">IFERROR(__xludf.DUMMYFUNCTION("IF(Cost_in_dollars!E3457=""USD"",Cost_in_dollars!B3457,Cost_in_dollars!B3457 * GOOGLEFINANCE(""CURRENCY:"" &amp; Cost_in_dollars!E3457 &amp; ""USD""))
"),9000000)</f>
        <v>9000000</v>
      </c>
      <c r="P3457" s="4">
        <f ca="1">IFERROR(__xludf.DUMMYFUNCTION("IF(Cost_in_dollars!E3457=""USD"",Cost_in_dollars!C3457,Cost_in_dollars!C3457 * GOOGLEFINANCE(""CURRENCY:"" &amp; Cost_in_dollars!E3457 &amp; ""USD""))
"),24530513)</f>
        <v>24530513</v>
      </c>
      <c r="Q3457" s="6">
        <f t="shared" ca="1" si="78"/>
        <v>15530513</v>
      </c>
      <c r="R3457" s="7" t="str">
        <f t="shared" si="79"/>
        <v>Sicko</v>
      </c>
      <c r="S3457" s="43" t="str">
        <f t="shared" si="81"/>
        <v>Documentary</v>
      </c>
    </row>
    <row r="3458" spans="1:19" ht="15.75" customHeight="1" x14ac:dyDescent="0.25">
      <c r="A3458" s="4" t="s">
        <v>10585</v>
      </c>
      <c r="B3458" s="4">
        <v>22</v>
      </c>
      <c r="C3458" s="4">
        <v>115504</v>
      </c>
      <c r="D3458" s="4" t="s">
        <v>162</v>
      </c>
      <c r="E3458" s="4" t="s">
        <v>6907</v>
      </c>
      <c r="F3458" s="4" t="s">
        <v>10586</v>
      </c>
      <c r="G3458" s="4">
        <v>4820</v>
      </c>
      <c r="H3458" s="4" t="s">
        <v>10587</v>
      </c>
      <c r="I3458" s="4">
        <v>26</v>
      </c>
      <c r="J3458" s="4" t="s">
        <v>23</v>
      </c>
      <c r="K3458" s="4" t="s">
        <v>133</v>
      </c>
      <c r="L3458" s="4">
        <v>14000000</v>
      </c>
      <c r="M3458" s="4">
        <v>2008</v>
      </c>
      <c r="N3458" s="4">
        <v>6.2</v>
      </c>
      <c r="O3458" s="4">
        <f ca="1">IFERROR(__xludf.DUMMYFUNCTION("IF(Cost_in_dollars!E3458=""USD"",Cost_in_dollars!B3458,Cost_in_dollars!B3458 * GOOGLEFINANCE(""CURRENCY:"" &amp; Cost_in_dollars!E3458 &amp; ""USD""))
"),17995600)</f>
        <v>17995600</v>
      </c>
      <c r="P3458" s="4">
        <f ca="1">IFERROR(__xludf.DUMMYFUNCTION("IF(Cost_in_dollars!E3458=""USD"",Cost_in_dollars!C3458,Cost_in_dollars!C3458 * GOOGLEFINANCE(""CURRENCY:"" &amp; Cost_in_dollars!E3458 &amp; ""USD""))
"),148468.841599999)</f>
        <v>148468.841599999</v>
      </c>
      <c r="Q3458" s="4">
        <f t="shared" ca="1" si="78"/>
        <v>-17847131.158399999</v>
      </c>
      <c r="R3458" s="5" t="str">
        <f t="shared" si="79"/>
        <v>The Other End of the Line</v>
      </c>
      <c r="S3458" s="43" t="str">
        <f t="shared" ref="S3458:S3521" si="82">IF(ISNUMBER(FIND("|", D3458)), LEFT(D3458, FIND("|", D3458) - 1), D3458)</f>
        <v>Comedy</v>
      </c>
    </row>
    <row r="3459" spans="1:19" ht="15.75" customHeight="1" x14ac:dyDescent="0.25">
      <c r="A3459" s="6" t="s">
        <v>2102</v>
      </c>
      <c r="B3459" s="6">
        <v>161</v>
      </c>
      <c r="C3459" s="6">
        <v>93952276</v>
      </c>
      <c r="D3459" s="6" t="s">
        <v>162</v>
      </c>
      <c r="E3459" s="6" t="s">
        <v>10588</v>
      </c>
      <c r="F3459" s="6" t="s">
        <v>10589</v>
      </c>
      <c r="G3459" s="6">
        <v>132048</v>
      </c>
      <c r="H3459" s="6" t="s">
        <v>10590</v>
      </c>
      <c r="I3459" s="6">
        <v>203</v>
      </c>
      <c r="J3459" s="6" t="s">
        <v>23</v>
      </c>
      <c r="K3459" s="6" t="s">
        <v>24</v>
      </c>
      <c r="L3459" s="6">
        <v>40000000</v>
      </c>
      <c r="M3459" s="6">
        <v>2009</v>
      </c>
      <c r="N3459" s="6">
        <v>6.4</v>
      </c>
      <c r="O3459" s="4">
        <f ca="1">IFERROR(__xludf.DUMMYFUNCTION("IF(Cost_in_dollars!E3459=""USD"",Cost_in_dollars!B3459,Cost_in_dollars!B3459 * GOOGLEFINANCE(""CURRENCY:"" &amp; Cost_in_dollars!E3459 &amp; ""USD""))
"),40000000)</f>
        <v>40000000</v>
      </c>
      <c r="P3459" s="4">
        <f ca="1">IFERROR(__xludf.DUMMYFUNCTION("IF(Cost_in_dollars!E3459=""USD"",Cost_in_dollars!C3459,Cost_in_dollars!C3459 * GOOGLEFINANCE(""CURRENCY:"" &amp; Cost_in_dollars!E3459 &amp; ""USD""))
"),93952276)</f>
        <v>93952276</v>
      </c>
      <c r="Q3459" s="6">
        <f t="shared" ca="1" si="78"/>
        <v>53952276</v>
      </c>
      <c r="R3459" s="7" t="str">
        <f t="shared" si="79"/>
        <v>He's Just Not That Into You</v>
      </c>
      <c r="S3459" s="43" t="str">
        <f t="shared" si="82"/>
        <v>Comedy</v>
      </c>
    </row>
    <row r="3460" spans="1:19" ht="15.75" customHeight="1" x14ac:dyDescent="0.25">
      <c r="A3460" s="4" t="s">
        <v>7146</v>
      </c>
      <c r="B3460" s="4">
        <v>98</v>
      </c>
      <c r="C3460" s="4">
        <v>12831121</v>
      </c>
      <c r="D3460" s="4" t="s">
        <v>1028</v>
      </c>
      <c r="E3460" s="4" t="s">
        <v>10591</v>
      </c>
      <c r="F3460" s="4" t="s">
        <v>10592</v>
      </c>
      <c r="G3460" s="4">
        <v>44979</v>
      </c>
      <c r="H3460" s="4" t="s">
        <v>10593</v>
      </c>
      <c r="I3460" s="4">
        <v>298</v>
      </c>
      <c r="J3460" s="4" t="s">
        <v>23</v>
      </c>
      <c r="K3460" s="4" t="s">
        <v>24</v>
      </c>
      <c r="L3460" s="4">
        <v>30000000</v>
      </c>
      <c r="M3460" s="4">
        <v>2004</v>
      </c>
      <c r="N3460" s="4">
        <v>7</v>
      </c>
      <c r="O3460" s="4">
        <f ca="1">IFERROR(__xludf.DUMMYFUNCTION("IF(Cost_in_dollars!E3460=""USD"",Cost_in_dollars!B3460,Cost_in_dollars!B3460 * GOOGLEFINANCE(""CURRENCY:"" &amp; Cost_in_dollars!E3460 &amp; ""USD""))
"),30000000)</f>
        <v>30000000</v>
      </c>
      <c r="P3460" s="4">
        <f ca="1">IFERROR(__xludf.DUMMYFUNCTION("IF(Cost_in_dollars!E3460=""USD"",Cost_in_dollars!C3460,Cost_in_dollars!C3460 * GOOGLEFINANCE(""CURRENCY:"" &amp; Cost_in_dollars!E3460 &amp; ""USD""))
"),12831121)</f>
        <v>12831121</v>
      </c>
      <c r="Q3460" s="4">
        <f t="shared" ca="1" si="78"/>
        <v>-17168879</v>
      </c>
      <c r="R3460" s="5" t="str">
        <f t="shared" si="79"/>
        <v>Wicker Park</v>
      </c>
      <c r="S3460" s="43" t="str">
        <f t="shared" si="82"/>
        <v>Drama</v>
      </c>
    </row>
    <row r="3461" spans="1:19" ht="15.75" customHeight="1" x14ac:dyDescent="0.25">
      <c r="A3461" s="6" t="s">
        <v>993</v>
      </c>
      <c r="B3461" s="6">
        <v>153</v>
      </c>
      <c r="C3461" s="6">
        <v>32014289</v>
      </c>
      <c r="D3461" s="6" t="s">
        <v>140</v>
      </c>
      <c r="E3461" s="6" t="s">
        <v>10594</v>
      </c>
      <c r="F3461" s="6" t="s">
        <v>10595</v>
      </c>
      <c r="G3461" s="6">
        <v>50337</v>
      </c>
      <c r="H3461" s="6" t="s">
        <v>10596</v>
      </c>
      <c r="I3461" s="6">
        <v>177</v>
      </c>
      <c r="J3461" s="6" t="s">
        <v>23</v>
      </c>
      <c r="K3461" s="6" t="s">
        <v>24</v>
      </c>
      <c r="L3461" s="6">
        <v>20000000</v>
      </c>
      <c r="M3461" s="6">
        <v>2013</v>
      </c>
      <c r="N3461" s="6">
        <v>3.5</v>
      </c>
      <c r="O3461" s="4">
        <f ca="1">IFERROR(__xludf.DUMMYFUNCTION("IF(Cost_in_dollars!E3461=""USD"",Cost_in_dollars!B3461,Cost_in_dollars!B3461 * GOOGLEFINANCE(""CURRENCY:"" &amp; Cost_in_dollars!E3461 &amp; ""USD""))
"),20000000)</f>
        <v>20000000</v>
      </c>
      <c r="P3461" s="4">
        <f ca="1">IFERROR(__xludf.DUMMYFUNCTION("IF(Cost_in_dollars!E3461=""USD"",Cost_in_dollars!C3461,Cost_in_dollars!C3461 * GOOGLEFINANCE(""CURRENCY:"" &amp; Cost_in_dollars!E3461 &amp; ""USD""))
"),32014289)</f>
        <v>32014289</v>
      </c>
      <c r="Q3461" s="6">
        <f t="shared" ca="1" si="78"/>
        <v>12014289</v>
      </c>
      <c r="R3461" s="7" t="str">
        <f t="shared" si="79"/>
        <v>Scary Movie 5</v>
      </c>
      <c r="S3461" s="43" t="str">
        <f t="shared" si="82"/>
        <v>Comedy</v>
      </c>
    </row>
    <row r="3462" spans="1:19" ht="15.75" customHeight="1" x14ac:dyDescent="0.25">
      <c r="A3462" s="4" t="s">
        <v>8160</v>
      </c>
      <c r="B3462" s="4">
        <v>170</v>
      </c>
      <c r="C3462" s="4">
        <v>60443237</v>
      </c>
      <c r="D3462" s="4" t="s">
        <v>235</v>
      </c>
      <c r="E3462" s="4" t="s">
        <v>10597</v>
      </c>
      <c r="F3462" s="4" t="s">
        <v>10598</v>
      </c>
      <c r="G3462" s="4">
        <v>76882</v>
      </c>
      <c r="H3462" s="4" t="s">
        <v>10599</v>
      </c>
      <c r="I3462" s="4">
        <v>106</v>
      </c>
      <c r="J3462" s="4" t="s">
        <v>23</v>
      </c>
      <c r="K3462" s="4" t="s">
        <v>24</v>
      </c>
      <c r="L3462" s="4">
        <v>25000000</v>
      </c>
      <c r="M3462" s="4">
        <v>2012</v>
      </c>
      <c r="N3462" s="4">
        <v>6.5</v>
      </c>
      <c r="O3462" s="4">
        <f ca="1">IFERROR(__xludf.DUMMYFUNCTION("IF(Cost_in_dollars!E3462=""USD"",Cost_in_dollars!B3462,Cost_in_dollars!B3462 * GOOGLEFINANCE(""CURRENCY:"" &amp; Cost_in_dollars!E3462 &amp; ""USD""))
"),25000000)</f>
        <v>25000000</v>
      </c>
      <c r="P3462" s="4">
        <f ca="1">IFERROR(__xludf.DUMMYFUNCTION("IF(Cost_in_dollars!E3462=""USD"",Cost_in_dollars!C3462,Cost_in_dollars!C3462 * GOOGLEFINANCE(""CURRENCY:"" &amp; Cost_in_dollars!E3462 &amp; ""USD""))
"),60443237)</f>
        <v>60443237</v>
      </c>
      <c r="Q3462" s="4">
        <f t="shared" ca="1" si="78"/>
        <v>35443237</v>
      </c>
      <c r="R3462" s="5" t="str">
        <f t="shared" si="79"/>
        <v>The Lucky One</v>
      </c>
      <c r="S3462" s="43" t="str">
        <f t="shared" si="82"/>
        <v>Drama</v>
      </c>
    </row>
    <row r="3463" spans="1:19" ht="15.75" customHeight="1" x14ac:dyDescent="0.25">
      <c r="A3463" s="6" t="s">
        <v>2749</v>
      </c>
      <c r="B3463" s="6">
        <v>175</v>
      </c>
      <c r="C3463" s="6">
        <v>14879556</v>
      </c>
      <c r="D3463" s="6" t="s">
        <v>457</v>
      </c>
      <c r="E3463" s="6" t="s">
        <v>2205</v>
      </c>
      <c r="F3463" s="6" t="s">
        <v>10600</v>
      </c>
      <c r="G3463" s="6">
        <v>73640</v>
      </c>
      <c r="H3463" s="6" t="s">
        <v>10601</v>
      </c>
      <c r="I3463" s="6">
        <v>441</v>
      </c>
      <c r="J3463" s="6" t="s">
        <v>23</v>
      </c>
      <c r="K3463" s="6" t="s">
        <v>24</v>
      </c>
      <c r="L3463" s="6">
        <v>8000000</v>
      </c>
      <c r="M3463" s="6">
        <v>1999</v>
      </c>
      <c r="N3463" s="6">
        <v>7.3</v>
      </c>
      <c r="O3463" s="4">
        <f ca="1">IFERROR(__xludf.DUMMYFUNCTION("IF(Cost_in_dollars!E3463=""USD"",Cost_in_dollars!B3463,Cost_in_dollars!B3463 * GOOGLEFINANCE(""CURRENCY:"" &amp; Cost_in_dollars!E3463 &amp; ""USD""))
"),8000000)</f>
        <v>8000000</v>
      </c>
      <c r="P3463" s="4">
        <f ca="1">IFERROR(__xludf.DUMMYFUNCTION("IF(Cost_in_dollars!E3463=""USD"",Cost_in_dollars!C3463,Cost_in_dollars!C3463 * GOOGLEFINANCE(""CURRENCY:"" &amp; Cost_in_dollars!E3463 &amp; ""USD""))
"),14879556)</f>
        <v>14879556</v>
      </c>
      <c r="Q3463" s="6">
        <f t="shared" ca="1" si="78"/>
        <v>6879556</v>
      </c>
      <c r="R3463" s="7" t="str">
        <f t="shared" si="79"/>
        <v>Election</v>
      </c>
      <c r="S3463" s="43" t="str">
        <f t="shared" si="82"/>
        <v>Comedy</v>
      </c>
    </row>
    <row r="3464" spans="1:19" ht="15.75" customHeight="1" x14ac:dyDescent="0.25">
      <c r="A3464" s="4" t="s">
        <v>8864</v>
      </c>
      <c r="B3464" s="4">
        <v>230</v>
      </c>
      <c r="C3464" s="4">
        <v>1984743</v>
      </c>
      <c r="D3464" s="4" t="s">
        <v>235</v>
      </c>
      <c r="E3464" s="4" t="s">
        <v>483</v>
      </c>
      <c r="F3464" s="4" t="s">
        <v>10602</v>
      </c>
      <c r="G3464" s="4">
        <v>20616</v>
      </c>
      <c r="H3464" s="4" t="s">
        <v>10603</v>
      </c>
      <c r="I3464" s="4">
        <v>70</v>
      </c>
      <c r="J3464" s="4" t="s">
        <v>23</v>
      </c>
      <c r="K3464" s="4" t="s">
        <v>24</v>
      </c>
      <c r="L3464" s="4">
        <v>16000000</v>
      </c>
      <c r="M3464" s="4">
        <v>2013</v>
      </c>
      <c r="N3464" s="4">
        <v>6.6</v>
      </c>
      <c r="O3464" s="4">
        <f ca="1">IFERROR(__xludf.DUMMYFUNCTION("IF(Cost_in_dollars!E3464=""USD"",Cost_in_dollars!B3464,Cost_in_dollars!B3464 * GOOGLEFINANCE(""CURRENCY:"" &amp; Cost_in_dollars!E3464 &amp; ""USD""))
"),16000000)</f>
        <v>16000000</v>
      </c>
      <c r="P3464" s="4">
        <f ca="1">IFERROR(__xludf.DUMMYFUNCTION("IF(Cost_in_dollars!E3464=""USD"",Cost_in_dollars!C3464,Cost_in_dollars!C3464 * GOOGLEFINANCE(""CURRENCY:"" &amp; Cost_in_dollars!E3464 &amp; ""USD""))
"),1984743)</f>
        <v>1984743</v>
      </c>
      <c r="Q3464" s="4">
        <f t="shared" ca="1" si="78"/>
        <v>-14015257</v>
      </c>
      <c r="R3464" s="5" t="str">
        <f t="shared" si="79"/>
        <v>The Immigrant</v>
      </c>
      <c r="S3464" s="43" t="str">
        <f t="shared" si="82"/>
        <v>Drama</v>
      </c>
    </row>
    <row r="3465" spans="1:19" ht="15.75" customHeight="1" x14ac:dyDescent="0.25">
      <c r="A3465" s="6" t="s">
        <v>1094</v>
      </c>
      <c r="B3465" s="6">
        <v>67</v>
      </c>
      <c r="C3465" s="6">
        <v>81150692</v>
      </c>
      <c r="D3465" s="6" t="s">
        <v>6646</v>
      </c>
      <c r="E3465" s="6" t="s">
        <v>4086</v>
      </c>
      <c r="F3465" s="6" t="s">
        <v>10604</v>
      </c>
      <c r="G3465" s="6">
        <v>20219</v>
      </c>
      <c r="H3465" s="6" t="s">
        <v>10605</v>
      </c>
      <c r="I3465" s="6">
        <v>100</v>
      </c>
      <c r="J3465" s="6" t="s">
        <v>23</v>
      </c>
      <c r="K3465" s="6" t="s">
        <v>627</v>
      </c>
      <c r="L3465" s="6">
        <v>35000000</v>
      </c>
      <c r="M3465" s="6">
        <v>2002</v>
      </c>
      <c r="N3465" s="6">
        <v>5.0999999999999996</v>
      </c>
      <c r="O3465" s="4">
        <f ca="1">IFERROR(__xludf.DUMMYFUNCTION("IF(Cost_in_dollars!E3465=""USD"",Cost_in_dollars!B3465,Cost_in_dollars!B3465 * GOOGLEFINANCE(""CURRENCY:"" &amp; Cost_in_dollars!E3465 &amp; ""USD""))
"),25319175)</f>
        <v>25319175</v>
      </c>
      <c r="P3465" s="4">
        <f ca="1">IFERROR(__xludf.DUMMYFUNCTION("IF(Cost_in_dollars!E3465=""USD"",Cost_in_dollars!C3465,Cost_in_dollars!C3465 * GOOGLEFINANCE(""CURRENCY:"" &amp; Cost_in_dollars!E3465 &amp; ""USD""))
"),58704816.34626)</f>
        <v>58704816.346259996</v>
      </c>
      <c r="Q3465" s="6">
        <f t="shared" ca="1" si="78"/>
        <v>33385641.346259996</v>
      </c>
      <c r="R3465" s="7" t="str">
        <f t="shared" si="79"/>
        <v>Snow Dogs</v>
      </c>
      <c r="S3465" s="43" t="str">
        <f t="shared" si="82"/>
        <v>Adventure</v>
      </c>
    </row>
    <row r="3466" spans="1:19" ht="15.75" customHeight="1" x14ac:dyDescent="0.25">
      <c r="A3466" s="4" t="s">
        <v>10606</v>
      </c>
      <c r="B3466" s="4">
        <v>20</v>
      </c>
      <c r="C3466" s="4">
        <v>5561</v>
      </c>
      <c r="D3466" s="4" t="s">
        <v>88</v>
      </c>
      <c r="E3466" s="4" t="s">
        <v>10607</v>
      </c>
      <c r="F3466" s="4" t="s">
        <v>10608</v>
      </c>
      <c r="G3466" s="4">
        <v>4995</v>
      </c>
      <c r="H3466" s="4" t="s">
        <v>10609</v>
      </c>
      <c r="I3466" s="4">
        <v>34</v>
      </c>
      <c r="J3466" s="4" t="s">
        <v>23</v>
      </c>
      <c r="K3466" s="4" t="s">
        <v>24</v>
      </c>
      <c r="L3466" s="4">
        <v>10000000</v>
      </c>
      <c r="M3466" s="4">
        <v>2007</v>
      </c>
      <c r="N3466" s="4">
        <v>3.9</v>
      </c>
      <c r="O3466" s="4">
        <f ca="1">IFERROR(__xludf.DUMMYFUNCTION("IF(Cost_in_dollars!E3466=""USD"",Cost_in_dollars!B3466,Cost_in_dollars!B3466 * GOOGLEFINANCE(""CURRENCY:"" &amp; Cost_in_dollars!E3466 &amp; ""USD""))
"),10000000)</f>
        <v>10000000</v>
      </c>
      <c r="P3466" s="4">
        <f ca="1">IFERROR(__xludf.DUMMYFUNCTION("IF(Cost_in_dollars!E3466=""USD"",Cost_in_dollars!C3466,Cost_in_dollars!C3466 * GOOGLEFINANCE(""CURRENCY:"" &amp; Cost_in_dollars!E3466 &amp; ""USD""))
"),5561)</f>
        <v>5561</v>
      </c>
      <c r="Q3466" s="4">
        <f t="shared" ca="1" si="78"/>
        <v>-9994439</v>
      </c>
      <c r="R3466" s="5" t="str">
        <f t="shared" si="79"/>
        <v>Blonde Ambition</v>
      </c>
      <c r="S3466" s="43" t="str">
        <f t="shared" si="82"/>
        <v>Comedy</v>
      </c>
    </row>
    <row r="3467" spans="1:19" ht="15.75" customHeight="1" x14ac:dyDescent="0.25">
      <c r="A3467" s="6" t="s">
        <v>3854</v>
      </c>
      <c r="B3467" s="6">
        <v>238</v>
      </c>
      <c r="C3467" s="6">
        <v>80170146</v>
      </c>
      <c r="D3467" s="6" t="s">
        <v>797</v>
      </c>
      <c r="E3467" s="6" t="s">
        <v>1982</v>
      </c>
      <c r="F3467" s="6" t="s">
        <v>10610</v>
      </c>
      <c r="G3467" s="6">
        <v>243053</v>
      </c>
      <c r="H3467" s="6" t="s">
        <v>10611</v>
      </c>
      <c r="I3467" s="6">
        <v>488</v>
      </c>
      <c r="J3467" s="6" t="s">
        <v>23</v>
      </c>
      <c r="K3467" s="6" t="s">
        <v>24</v>
      </c>
      <c r="L3467" s="6">
        <v>85000000</v>
      </c>
      <c r="M3467" s="6">
        <v>2008</v>
      </c>
      <c r="N3467" s="6">
        <v>6.1</v>
      </c>
      <c r="O3467" s="4">
        <f ca="1">IFERROR(__xludf.DUMMYFUNCTION("IF(Cost_in_dollars!E3467=""USD"",Cost_in_dollars!B3467,Cost_in_dollars!B3467 * GOOGLEFINANCE(""CURRENCY:"" &amp; Cost_in_dollars!E3467 &amp; ""USD""))
"),85000000)</f>
        <v>85000000</v>
      </c>
      <c r="P3467" s="4">
        <f ca="1">IFERROR(__xludf.DUMMYFUNCTION("IF(Cost_in_dollars!E3467=""USD"",Cost_in_dollars!C3467,Cost_in_dollars!C3467 * GOOGLEFINANCE(""CURRENCY:"" &amp; Cost_in_dollars!E3467 &amp; ""USD""))
"),80170146)</f>
        <v>80170146</v>
      </c>
      <c r="Q3467" s="6">
        <f t="shared" ca="1" si="78"/>
        <v>-4829854</v>
      </c>
      <c r="R3467" s="7" t="str">
        <f t="shared" si="79"/>
        <v>Jumper</v>
      </c>
      <c r="S3467" s="43" t="str">
        <f t="shared" si="82"/>
        <v>Action</v>
      </c>
    </row>
    <row r="3468" spans="1:19" ht="15.75" customHeight="1" x14ac:dyDescent="0.25">
      <c r="A3468" s="4" t="s">
        <v>710</v>
      </c>
      <c r="B3468" s="4">
        <v>488</v>
      </c>
      <c r="C3468" s="4">
        <v>148775460</v>
      </c>
      <c r="D3468" s="4" t="s">
        <v>669</v>
      </c>
      <c r="E3468" s="4" t="s">
        <v>977</v>
      </c>
      <c r="F3468" s="4" t="s">
        <v>10612</v>
      </c>
      <c r="G3468" s="4">
        <v>243834</v>
      </c>
      <c r="H3468" s="4" t="s">
        <v>10613</v>
      </c>
      <c r="I3468" s="4">
        <v>845</v>
      </c>
      <c r="J3468" s="4" t="s">
        <v>23</v>
      </c>
      <c r="K3468" s="4" t="s">
        <v>24</v>
      </c>
      <c r="L3468" s="4">
        <v>61000000</v>
      </c>
      <c r="M3468" s="4">
        <v>2012</v>
      </c>
      <c r="N3468" s="4">
        <v>7.6</v>
      </c>
      <c r="O3468" s="4">
        <f ca="1">IFERROR(__xludf.DUMMYFUNCTION("IF(Cost_in_dollars!E3468=""USD"",Cost_in_dollars!B3468,Cost_in_dollars!B3468 * GOOGLEFINANCE(""CURRENCY:"" &amp; Cost_in_dollars!E3468 &amp; ""USD""))
"),61000000)</f>
        <v>61000000</v>
      </c>
      <c r="P3468" s="4">
        <f ca="1">IFERROR(__xludf.DUMMYFUNCTION("IF(Cost_in_dollars!E3468=""USD"",Cost_in_dollars!C3468,Cost_in_dollars!C3468 * GOOGLEFINANCE(""CURRENCY:"" &amp; Cost_in_dollars!E3468 &amp; ""USD""))
"),148775460)</f>
        <v>148775460</v>
      </c>
      <c r="Q3468" s="4">
        <f t="shared" ca="1" si="78"/>
        <v>87775460</v>
      </c>
      <c r="R3468" s="5" t="str">
        <f t="shared" si="79"/>
        <v>Les MisÃ©rables</v>
      </c>
      <c r="S3468" s="43" t="str">
        <f t="shared" si="82"/>
        <v>Drama</v>
      </c>
    </row>
    <row r="3469" spans="1:19" ht="15.75" customHeight="1" x14ac:dyDescent="0.25">
      <c r="A3469" s="6" t="s">
        <v>7048</v>
      </c>
      <c r="B3469" s="6">
        <v>79</v>
      </c>
      <c r="C3469" s="6">
        <v>131617</v>
      </c>
      <c r="D3469" s="6" t="s">
        <v>372</v>
      </c>
      <c r="E3469" s="6" t="s">
        <v>1994</v>
      </c>
      <c r="F3469" s="6" t="s">
        <v>10614</v>
      </c>
      <c r="G3469" s="6">
        <v>9971</v>
      </c>
      <c r="H3469" s="6" t="s">
        <v>10615</v>
      </c>
      <c r="I3469" s="6">
        <v>119</v>
      </c>
      <c r="J3469" s="6" t="s">
        <v>23</v>
      </c>
      <c r="K3469" s="6" t="s">
        <v>24</v>
      </c>
      <c r="L3469" s="6">
        <v>10000000</v>
      </c>
      <c r="M3469" s="6">
        <v>2005</v>
      </c>
      <c r="N3469" s="6">
        <v>6.3</v>
      </c>
      <c r="O3469" s="4">
        <f ca="1">IFERROR(__xludf.DUMMYFUNCTION("IF(Cost_in_dollars!E3469=""USD"",Cost_in_dollars!B3469,Cost_in_dollars!B3469 * GOOGLEFINANCE(""CURRENCY:"" &amp; Cost_in_dollars!E3469 &amp; ""USD""))
"),10000000)</f>
        <v>10000000</v>
      </c>
      <c r="P3469" s="4">
        <f ca="1">IFERROR(__xludf.DUMMYFUNCTION("IF(Cost_in_dollars!E3469=""USD"",Cost_in_dollars!C3469,Cost_in_dollars!C3469 * GOOGLEFINANCE(""CURRENCY:"" &amp; Cost_in_dollars!E3469 &amp; ""USD""))
"),131617)</f>
        <v>131617</v>
      </c>
      <c r="Q3469" s="6">
        <f t="shared" ca="1" si="78"/>
        <v>-9868383</v>
      </c>
      <c r="R3469" s="7" t="str">
        <f t="shared" si="79"/>
        <v>Edmond</v>
      </c>
      <c r="S3469" s="43" t="str">
        <f t="shared" si="82"/>
        <v>Drama</v>
      </c>
    </row>
    <row r="3470" spans="1:19" ht="15.75" customHeight="1" x14ac:dyDescent="0.25">
      <c r="A3470" s="4" t="s">
        <v>6631</v>
      </c>
      <c r="B3470" s="4">
        <v>478</v>
      </c>
      <c r="C3470" s="4">
        <v>46875468</v>
      </c>
      <c r="D3470" s="4" t="s">
        <v>613</v>
      </c>
      <c r="E3470" s="4" t="s">
        <v>10616</v>
      </c>
      <c r="F3470" s="4" t="s">
        <v>10617</v>
      </c>
      <c r="G3470" s="4">
        <v>196217</v>
      </c>
      <c r="H3470" s="4" t="s">
        <v>10618</v>
      </c>
      <c r="I3470" s="4">
        <v>461</v>
      </c>
      <c r="J3470" s="4" t="s">
        <v>23</v>
      </c>
      <c r="K3470" s="4" t="s">
        <v>24</v>
      </c>
      <c r="L3470" s="4">
        <v>30000000</v>
      </c>
      <c r="M3470" s="4">
        <v>2015</v>
      </c>
      <c r="N3470" s="4">
        <v>7.6</v>
      </c>
      <c r="O3470" s="4">
        <f ca="1">IFERROR(__xludf.DUMMYFUNCTION("IF(Cost_in_dollars!E3470=""USD"",Cost_in_dollars!B3470,Cost_in_dollars!B3470 * GOOGLEFINANCE(""CURRENCY:"" &amp; Cost_in_dollars!E3470 &amp; ""USD""))
"),30000000)</f>
        <v>30000000</v>
      </c>
      <c r="P3470" s="4">
        <f ca="1">IFERROR(__xludf.DUMMYFUNCTION("IF(Cost_in_dollars!E3470=""USD"",Cost_in_dollars!C3470,Cost_in_dollars!C3470 * GOOGLEFINANCE(""CURRENCY:"" &amp; Cost_in_dollars!E3470 &amp; ""USD""))
"),46875468)</f>
        <v>46875468</v>
      </c>
      <c r="Q3470" s="4">
        <f t="shared" ca="1" si="78"/>
        <v>16875468</v>
      </c>
      <c r="R3470" s="5" t="str">
        <f t="shared" si="79"/>
        <v>Sicario</v>
      </c>
      <c r="S3470" s="43" t="str">
        <f t="shared" si="82"/>
        <v>Action</v>
      </c>
    </row>
    <row r="3471" spans="1:19" ht="15.75" customHeight="1" x14ac:dyDescent="0.25">
      <c r="A3471" s="6" t="s">
        <v>10619</v>
      </c>
      <c r="B3471" s="6">
        <v>172</v>
      </c>
      <c r="C3471" s="6">
        <v>327919</v>
      </c>
      <c r="D3471" s="6" t="s">
        <v>53</v>
      </c>
      <c r="E3471" s="6" t="s">
        <v>3723</v>
      </c>
      <c r="F3471" s="6" t="s">
        <v>10620</v>
      </c>
      <c r="G3471" s="6">
        <v>99177</v>
      </c>
      <c r="H3471" s="6" t="s">
        <v>10621</v>
      </c>
      <c r="I3471" s="6">
        <v>192</v>
      </c>
      <c r="J3471" s="6" t="s">
        <v>23</v>
      </c>
      <c r="K3471" s="6" t="s">
        <v>133</v>
      </c>
      <c r="L3471" s="6">
        <v>1500000</v>
      </c>
      <c r="M3471" s="6">
        <v>2006</v>
      </c>
      <c r="N3471" s="6">
        <v>7.7</v>
      </c>
      <c r="O3471" s="4">
        <f ca="1">IFERROR(__xludf.DUMMYFUNCTION("IF(Cost_in_dollars!E3471=""USD"",Cost_in_dollars!B3471,Cost_in_dollars!B3471 * GOOGLEFINANCE(""CURRENCY:"" &amp; Cost_in_dollars!E3471 &amp; ""USD""))
"),1928099.99999999)</f>
        <v>1928099.99999999</v>
      </c>
      <c r="P3471" s="4">
        <f ca="1">IFERROR(__xludf.DUMMYFUNCTION("IF(Cost_in_dollars!E3471=""USD"",Cost_in_dollars!C3471,Cost_in_dollars!C3471 * GOOGLEFINANCE(""CURRENCY:"" &amp; Cost_in_dollars!E3471 &amp; ""USD""))
"),421507.082599999)</f>
        <v>421507.08259999898</v>
      </c>
      <c r="Q3471" s="6">
        <f t="shared" ca="1" si="78"/>
        <v>-1506592.9173999911</v>
      </c>
      <c r="R3471" s="7" t="str">
        <f t="shared" si="79"/>
        <v>This Is England</v>
      </c>
      <c r="S3471" s="43" t="str">
        <f t="shared" si="82"/>
        <v>Crime</v>
      </c>
    </row>
    <row r="3472" spans="1:19" ht="15.75" customHeight="1" x14ac:dyDescent="0.25">
      <c r="A3472" s="4" t="s">
        <v>2815</v>
      </c>
      <c r="B3472" s="4">
        <v>183</v>
      </c>
      <c r="C3472" s="4">
        <v>871577</v>
      </c>
      <c r="D3472" s="4" t="s">
        <v>2238</v>
      </c>
      <c r="E3472" s="4" t="s">
        <v>10622</v>
      </c>
      <c r="F3472" s="4" t="s">
        <v>10623</v>
      </c>
      <c r="G3472" s="4">
        <v>51353</v>
      </c>
      <c r="H3472" s="4" t="s">
        <v>10624</v>
      </c>
      <c r="I3472" s="4">
        <v>143</v>
      </c>
      <c r="J3472" s="4" t="s">
        <v>23</v>
      </c>
      <c r="K3472" s="4" t="s">
        <v>133</v>
      </c>
      <c r="L3472" s="4">
        <v>4500000</v>
      </c>
      <c r="M3472" s="4">
        <v>2007</v>
      </c>
      <c r="N3472" s="4">
        <v>7.7</v>
      </c>
      <c r="O3472" s="4">
        <f ca="1">IFERROR(__xludf.DUMMYFUNCTION("IF(Cost_in_dollars!E3472=""USD"",Cost_in_dollars!B3472,Cost_in_dollars!B3472 * GOOGLEFINANCE(""CURRENCY:"" &amp; Cost_in_dollars!E3472 &amp; ""USD""))
"),5784299.99999999)</f>
        <v>5784299.9999999898</v>
      </c>
      <c r="P3472" s="4">
        <f ca="1">IFERROR(__xludf.DUMMYFUNCTION("IF(Cost_in_dollars!E3472=""USD"",Cost_in_dollars!C3472,Cost_in_dollars!C3472 * GOOGLEFINANCE(""CURRENCY:"" &amp; Cost_in_dollars!E3472 &amp; ""USD""))
"),1120325.0758)</f>
        <v>1120325.0758</v>
      </c>
      <c r="Q3472" s="4">
        <f t="shared" ca="1" si="78"/>
        <v>-4663974.92419999</v>
      </c>
      <c r="R3472" s="5" t="str">
        <f t="shared" si="79"/>
        <v>Control</v>
      </c>
      <c r="S3472" s="43" t="str">
        <f t="shared" si="82"/>
        <v>Biography</v>
      </c>
    </row>
    <row r="3473" spans="1:19" ht="15.75" customHeight="1" x14ac:dyDescent="0.25">
      <c r="A3473" s="6" t="s">
        <v>10625</v>
      </c>
      <c r="B3473" s="6">
        <v>88</v>
      </c>
      <c r="C3473" s="6">
        <v>23000</v>
      </c>
      <c r="D3473" s="6" t="s">
        <v>8146</v>
      </c>
      <c r="E3473" s="6" t="s">
        <v>10626</v>
      </c>
      <c r="F3473" s="6" t="s">
        <v>10627</v>
      </c>
      <c r="G3473" s="6">
        <v>5931</v>
      </c>
      <c r="H3473" s="6" t="s">
        <v>10628</v>
      </c>
      <c r="I3473" s="6">
        <v>58</v>
      </c>
      <c r="J3473" s="6" t="s">
        <v>23</v>
      </c>
      <c r="K3473" s="6" t="s">
        <v>24</v>
      </c>
      <c r="L3473" s="6">
        <v>500000</v>
      </c>
      <c r="M3473" s="6">
        <v>2006</v>
      </c>
      <c r="N3473" s="6">
        <v>6.2</v>
      </c>
      <c r="O3473" s="4">
        <f ca="1">IFERROR(__xludf.DUMMYFUNCTION("IF(Cost_in_dollars!E3473=""USD"",Cost_in_dollars!B3473,Cost_in_dollars!B3473 * GOOGLEFINANCE(""CURRENCY:"" &amp; Cost_in_dollars!E3473 &amp; ""USD""))
"),500000)</f>
        <v>500000</v>
      </c>
      <c r="P3473" s="4">
        <f ca="1">IFERROR(__xludf.DUMMYFUNCTION("IF(Cost_in_dollars!E3473=""USD"",Cost_in_dollars!C3473,Cost_in_dollars!C3473 * GOOGLEFINANCE(""CURRENCY:"" &amp; Cost_in_dollars!E3473 &amp; ""USD""))
"),23000)</f>
        <v>23000</v>
      </c>
      <c r="Q3473" s="6">
        <f t="shared" ca="1" si="78"/>
        <v>-477000</v>
      </c>
      <c r="R3473" s="7" t="str">
        <f t="shared" si="79"/>
        <v>Poultrygeist: Night of the Chicken Dead</v>
      </c>
      <c r="S3473" s="43" t="str">
        <f t="shared" si="82"/>
        <v>Comedy</v>
      </c>
    </row>
    <row r="3474" spans="1:19" ht="15.75" customHeight="1" x14ac:dyDescent="0.25">
      <c r="A3474" s="4" t="s">
        <v>2826</v>
      </c>
      <c r="B3474" s="4">
        <v>192</v>
      </c>
      <c r="C3474" s="4">
        <v>54700065</v>
      </c>
      <c r="D3474" s="4" t="s">
        <v>10629</v>
      </c>
      <c r="E3474" s="4" t="s">
        <v>10630</v>
      </c>
      <c r="F3474" s="4" t="s">
        <v>10631</v>
      </c>
      <c r="G3474" s="4">
        <v>221521</v>
      </c>
      <c r="H3474" s="4" t="s">
        <v>10632</v>
      </c>
      <c r="I3474" s="4">
        <v>1049</v>
      </c>
      <c r="J3474" s="4" t="s">
        <v>23</v>
      </c>
      <c r="K3474" s="4" t="s">
        <v>24</v>
      </c>
      <c r="L3474" s="4">
        <v>105000000</v>
      </c>
      <c r="M3474" s="4">
        <v>1997</v>
      </c>
      <c r="N3474" s="4">
        <v>7.2</v>
      </c>
      <c r="O3474" s="4">
        <f ca="1">IFERROR(__xludf.DUMMYFUNCTION("IF(Cost_in_dollars!E3474=""USD"",Cost_in_dollars!B3474,Cost_in_dollars!B3474 * GOOGLEFINANCE(""CURRENCY:"" &amp; Cost_in_dollars!E3474 &amp; ""USD""))
"),105000000)</f>
        <v>105000000</v>
      </c>
      <c r="P3474" s="4">
        <f ca="1">IFERROR(__xludf.DUMMYFUNCTION("IF(Cost_in_dollars!E3474=""USD"",Cost_in_dollars!C3474,Cost_in_dollars!C3474 * GOOGLEFINANCE(""CURRENCY:"" &amp; Cost_in_dollars!E3474 &amp; ""USD""))
"),54700065)</f>
        <v>54700065</v>
      </c>
      <c r="Q3474" s="4">
        <f t="shared" ca="1" si="78"/>
        <v>-50299935</v>
      </c>
      <c r="R3474" s="5" t="str">
        <f t="shared" si="79"/>
        <v>Starship Troopers</v>
      </c>
      <c r="S3474" s="43" t="str">
        <f t="shared" si="82"/>
        <v>Action</v>
      </c>
    </row>
    <row r="3475" spans="1:19" ht="15.75" customHeight="1" x14ac:dyDescent="0.25">
      <c r="A3475" s="6" t="s">
        <v>10633</v>
      </c>
      <c r="B3475" s="6">
        <v>92</v>
      </c>
      <c r="C3475" s="6">
        <v>14294842</v>
      </c>
      <c r="D3475" s="6" t="s">
        <v>774</v>
      </c>
      <c r="E3475" s="6" t="s">
        <v>10634</v>
      </c>
      <c r="F3475" s="6" t="s">
        <v>10635</v>
      </c>
      <c r="G3475" s="6">
        <v>16761</v>
      </c>
      <c r="H3475" s="6" t="s">
        <v>10636</v>
      </c>
      <c r="I3475" s="6">
        <v>277</v>
      </c>
      <c r="J3475" s="6" t="s">
        <v>23</v>
      </c>
      <c r="K3475" s="6" t="s">
        <v>24</v>
      </c>
      <c r="L3475" s="6">
        <v>70000000</v>
      </c>
      <c r="M3475" s="6">
        <v>2002</v>
      </c>
      <c r="N3475" s="6">
        <v>3.6</v>
      </c>
      <c r="O3475" s="4">
        <f ca="1">IFERROR(__xludf.DUMMYFUNCTION("IF(Cost_in_dollars!E3475=""USD"",Cost_in_dollars!B3475,Cost_in_dollars!B3475 * GOOGLEFINANCE(""CURRENCY:"" &amp; Cost_in_dollars!E3475 &amp; ""USD""))
"),70000000)</f>
        <v>70000000</v>
      </c>
      <c r="P3475" s="4">
        <f ca="1">IFERROR(__xludf.DUMMYFUNCTION("IF(Cost_in_dollars!E3475=""USD"",Cost_in_dollars!C3475,Cost_in_dollars!C3475 * GOOGLEFINANCE(""CURRENCY:"" &amp; Cost_in_dollars!E3475 &amp; ""USD""))
"),14294842)</f>
        <v>14294842</v>
      </c>
      <c r="Q3475" s="6">
        <f t="shared" ca="1" si="78"/>
        <v>-55705158</v>
      </c>
      <c r="R3475" s="7" t="str">
        <f t="shared" si="79"/>
        <v>Ballistic: Ecks vs. Sever</v>
      </c>
      <c r="S3475" s="43" t="str">
        <f t="shared" si="82"/>
        <v>Action</v>
      </c>
    </row>
    <row r="3476" spans="1:19" ht="15.75" customHeight="1" x14ac:dyDescent="0.25">
      <c r="A3476" s="4" t="s">
        <v>10637</v>
      </c>
      <c r="B3476" s="4">
        <v>49</v>
      </c>
      <c r="C3476" s="4">
        <v>792966</v>
      </c>
      <c r="D3476" s="4" t="s">
        <v>10638</v>
      </c>
      <c r="E3476" s="4" t="s">
        <v>10639</v>
      </c>
      <c r="F3476" s="4" t="s">
        <v>10640</v>
      </c>
      <c r="G3476" s="4">
        <v>4663</v>
      </c>
      <c r="H3476" s="4" t="s">
        <v>10641</v>
      </c>
      <c r="I3476" s="4">
        <v>40</v>
      </c>
      <c r="J3476" s="4" t="s">
        <v>23</v>
      </c>
      <c r="K3476" s="4" t="s">
        <v>24</v>
      </c>
      <c r="L3476" s="4">
        <v>2300000</v>
      </c>
      <c r="M3476" s="4">
        <v>1989</v>
      </c>
      <c r="N3476" s="4">
        <v>5.0999999999999996</v>
      </c>
      <c r="O3476" s="4">
        <f ca="1">IFERROR(__xludf.DUMMYFUNCTION("IF(Cost_in_dollars!E3476=""USD"",Cost_in_dollars!B3476,Cost_in_dollars!B3476 * GOOGLEFINANCE(""CURRENCY:"" &amp; Cost_in_dollars!E3476 &amp; ""USD""))
"),2300000)</f>
        <v>2300000</v>
      </c>
      <c r="P3476" s="4">
        <f ca="1">IFERROR(__xludf.DUMMYFUNCTION("IF(Cost_in_dollars!E3476=""USD"",Cost_in_dollars!C3476,Cost_in_dollars!C3476 * GOOGLEFINANCE(""CURRENCY:"" &amp; Cost_in_dollars!E3476 &amp; ""USD""))
"),792966)</f>
        <v>792966</v>
      </c>
      <c r="Q3476" s="4">
        <f t="shared" ca="1" si="78"/>
        <v>-1507034</v>
      </c>
      <c r="R3476" s="5" t="str">
        <f t="shared" si="79"/>
        <v>The Toxic Avenger Part II</v>
      </c>
      <c r="S3476" s="43" t="str">
        <f t="shared" si="82"/>
        <v>Action</v>
      </c>
    </row>
    <row r="3477" spans="1:19" ht="15.75" customHeight="1" x14ac:dyDescent="0.25">
      <c r="A3477" s="6" t="s">
        <v>2877</v>
      </c>
      <c r="B3477" s="6">
        <v>344</v>
      </c>
      <c r="C3477" s="6">
        <v>163192114</v>
      </c>
      <c r="D3477" s="6" t="s">
        <v>281</v>
      </c>
      <c r="E3477" s="6" t="s">
        <v>608</v>
      </c>
      <c r="F3477" s="6" t="s">
        <v>2878</v>
      </c>
      <c r="G3477" s="6">
        <v>229687</v>
      </c>
      <c r="H3477" s="6" t="s">
        <v>2879</v>
      </c>
      <c r="I3477" s="6">
        <v>637</v>
      </c>
      <c r="J3477" s="6" t="s">
        <v>23</v>
      </c>
      <c r="K3477" s="6" t="s">
        <v>24</v>
      </c>
      <c r="L3477" s="6">
        <v>125000000</v>
      </c>
      <c r="M3477" s="6">
        <v>2010</v>
      </c>
      <c r="N3477" s="6">
        <v>5.8</v>
      </c>
      <c r="O3477" s="4">
        <f ca="1">IFERROR(__xludf.DUMMYFUNCTION("IF(Cost_in_dollars!E3477=""USD"",Cost_in_dollars!B3477,Cost_in_dollars!B3477 * GOOGLEFINANCE(""CURRENCY:"" &amp; Cost_in_dollars!E3477 &amp; ""USD""))
"),125000000)</f>
        <v>125000000</v>
      </c>
      <c r="P3477" s="4">
        <f ca="1">IFERROR(__xludf.DUMMYFUNCTION("IF(Cost_in_dollars!E3477=""USD"",Cost_in_dollars!C3477,Cost_in_dollars!C3477 * GOOGLEFINANCE(""CURRENCY:"" &amp; Cost_in_dollars!E3477 &amp; ""USD""))
"),163192114)</f>
        <v>163192114</v>
      </c>
      <c r="Q3477" s="6">
        <f t="shared" ca="1" si="78"/>
        <v>38192114</v>
      </c>
      <c r="R3477" s="7" t="str">
        <f t="shared" si="79"/>
        <v>Clash of the Titans</v>
      </c>
      <c r="S3477" s="43" t="str">
        <f t="shared" si="82"/>
        <v>Action</v>
      </c>
    </row>
    <row r="3478" spans="1:19" ht="15.75" customHeight="1" x14ac:dyDescent="0.25">
      <c r="A3478" s="4" t="s">
        <v>3014</v>
      </c>
      <c r="B3478" s="4">
        <v>258</v>
      </c>
      <c r="C3478" s="4">
        <v>317557891</v>
      </c>
      <c r="D3478" s="4" t="s">
        <v>1259</v>
      </c>
      <c r="E3478" s="4" t="s">
        <v>2107</v>
      </c>
      <c r="F3478" s="4" t="s">
        <v>10642</v>
      </c>
      <c r="G3478" s="4">
        <v>444683</v>
      </c>
      <c r="H3478" s="4" t="s">
        <v>10643</v>
      </c>
      <c r="I3478" s="4">
        <v>1571</v>
      </c>
      <c r="J3478" s="4" t="s">
        <v>23</v>
      </c>
      <c r="K3478" s="4" t="s">
        <v>133</v>
      </c>
      <c r="L3478" s="4">
        <v>125000000</v>
      </c>
      <c r="M3478" s="4">
        <v>2001</v>
      </c>
      <c r="N3478" s="4">
        <v>7.5</v>
      </c>
      <c r="O3478" s="4">
        <f ca="1">IFERROR(__xludf.DUMMYFUNCTION("IF(Cost_in_dollars!E3478=""USD"",Cost_in_dollars!B3478,Cost_in_dollars!B3478 * GOOGLEFINANCE(""CURRENCY:"" &amp; Cost_in_dollars!E3478 &amp; ""USD""))
"),160674999.999999)</f>
        <v>160674999.99999899</v>
      </c>
      <c r="P3478" s="4">
        <f ca="1">IFERROR(__xludf.DUMMYFUNCTION("IF(Cost_in_dollars!E3478=""USD"",Cost_in_dollars!C3478,Cost_in_dollars!C3478 * GOOGLEFINANCE(""CURRENCY:"" &amp; Cost_in_dollars!E3478 &amp; ""USD""))
"),408188913.091399)</f>
        <v>408188913.09139901</v>
      </c>
      <c r="Q3478" s="4">
        <f t="shared" ca="1" si="78"/>
        <v>247513913.09140003</v>
      </c>
      <c r="R3478" s="5" t="str">
        <f t="shared" si="79"/>
        <v>Harry Potter and the Sorcerer's Stone</v>
      </c>
      <c r="S3478" s="43" t="str">
        <f t="shared" si="82"/>
        <v>Adventure</v>
      </c>
    </row>
    <row r="3479" spans="1:19" ht="15.75" customHeight="1" x14ac:dyDescent="0.25">
      <c r="A3479" s="6" t="s">
        <v>429</v>
      </c>
      <c r="B3479" s="6">
        <v>134</v>
      </c>
      <c r="C3479" s="6">
        <v>68473360</v>
      </c>
      <c r="D3479" s="6" t="s">
        <v>928</v>
      </c>
      <c r="E3479" s="6" t="s">
        <v>10644</v>
      </c>
      <c r="F3479" s="6" t="s">
        <v>10645</v>
      </c>
      <c r="G3479" s="6">
        <v>49536</v>
      </c>
      <c r="H3479" s="6" t="s">
        <v>10646</v>
      </c>
      <c r="I3479" s="6">
        <v>379</v>
      </c>
      <c r="J3479" s="6" t="s">
        <v>23</v>
      </c>
      <c r="K3479" s="6" t="s">
        <v>24</v>
      </c>
      <c r="L3479" s="6">
        <v>75000000</v>
      </c>
      <c r="M3479" s="6">
        <v>2000</v>
      </c>
      <c r="N3479" s="6">
        <v>5.9</v>
      </c>
      <c r="O3479" s="4">
        <f ca="1">IFERROR(__xludf.DUMMYFUNCTION("IF(Cost_in_dollars!E3479=""USD"",Cost_in_dollars!B3479,Cost_in_dollars!B3479 * GOOGLEFINANCE(""CURRENCY:"" &amp; Cost_in_dollars!E3479 &amp; ""USD""))
"),75000000)</f>
        <v>75000000</v>
      </c>
      <c r="P3479" s="4">
        <f ca="1">IFERROR(__xludf.DUMMYFUNCTION("IF(Cost_in_dollars!E3479=""USD"",Cost_in_dollars!C3479,Cost_in_dollars!C3479 * GOOGLEFINANCE(""CURRENCY:"" &amp; Cost_in_dollars!E3479 &amp; ""USD""))
"),68473360)</f>
        <v>68473360</v>
      </c>
      <c r="Q3479" s="6">
        <f t="shared" ca="1" si="78"/>
        <v>-6526640</v>
      </c>
      <c r="R3479" s="7" t="str">
        <f t="shared" si="79"/>
        <v>Vertical Limit</v>
      </c>
      <c r="S3479" s="43" t="str">
        <f t="shared" si="82"/>
        <v>Action</v>
      </c>
    </row>
    <row r="3480" spans="1:19" ht="15.75" customHeight="1" x14ac:dyDescent="0.25">
      <c r="A3480" s="4" t="s">
        <v>1667</v>
      </c>
      <c r="B3480" s="4">
        <v>156</v>
      </c>
      <c r="C3480" s="4">
        <v>8434601</v>
      </c>
      <c r="D3480" s="4" t="s">
        <v>2429</v>
      </c>
      <c r="E3480" s="4" t="s">
        <v>818</v>
      </c>
      <c r="F3480" s="4" t="s">
        <v>10647</v>
      </c>
      <c r="G3480" s="4">
        <v>43006</v>
      </c>
      <c r="H3480" s="4" t="s">
        <v>10648</v>
      </c>
      <c r="I3480" s="4">
        <v>460</v>
      </c>
      <c r="J3480" s="4" t="s">
        <v>23</v>
      </c>
      <c r="K3480" s="4" t="s">
        <v>24</v>
      </c>
      <c r="L3480" s="4">
        <v>28000000</v>
      </c>
      <c r="M3480" s="4">
        <v>2001</v>
      </c>
      <c r="N3480" s="4">
        <v>4.9000000000000004</v>
      </c>
      <c r="O3480" s="4">
        <f ca="1">IFERROR(__xludf.DUMMYFUNCTION("IF(Cost_in_dollars!E3480=""USD"",Cost_in_dollars!B3480,Cost_in_dollars!B3480 * GOOGLEFINANCE(""CURRENCY:"" &amp; Cost_in_dollars!E3480 &amp; ""USD""))
"),28000000)</f>
        <v>28000000</v>
      </c>
      <c r="P3480" s="4">
        <f ca="1">IFERROR(__xludf.DUMMYFUNCTION("IF(Cost_in_dollars!E3480=""USD"",Cost_in_dollars!C3480,Cost_in_dollars!C3480 * GOOGLEFINANCE(""CURRENCY:"" &amp; Cost_in_dollars!E3480 &amp; ""USD""))
"),8434601)</f>
        <v>8434601</v>
      </c>
      <c r="Q3480" s="4">
        <f t="shared" ca="1" si="78"/>
        <v>-19565399</v>
      </c>
      <c r="R3480" s="5" t="str">
        <f t="shared" si="79"/>
        <v>Ghosts of Mars</v>
      </c>
      <c r="S3480" s="43" t="str">
        <f t="shared" si="82"/>
        <v>Action</v>
      </c>
    </row>
    <row r="3481" spans="1:19" ht="15.75" customHeight="1" x14ac:dyDescent="0.25">
      <c r="A3481" s="6" t="s">
        <v>10649</v>
      </c>
      <c r="B3481" s="6">
        <v>67</v>
      </c>
      <c r="C3481" s="6">
        <v>10076136</v>
      </c>
      <c r="D3481" s="6" t="s">
        <v>4288</v>
      </c>
      <c r="E3481" s="6" t="s">
        <v>2787</v>
      </c>
      <c r="F3481" s="6" t="s">
        <v>10650</v>
      </c>
      <c r="G3481" s="6">
        <v>11512</v>
      </c>
      <c r="H3481" s="6" t="s">
        <v>10651</v>
      </c>
      <c r="I3481" s="6">
        <v>141</v>
      </c>
      <c r="J3481" s="6" t="s">
        <v>23</v>
      </c>
      <c r="K3481" s="6" t="s">
        <v>10652</v>
      </c>
      <c r="L3481" s="6">
        <v>35000000</v>
      </c>
      <c r="M3481" s="6">
        <v>1998</v>
      </c>
      <c r="N3481" s="6">
        <v>4.8</v>
      </c>
      <c r="O3481" s="4">
        <f ca="1">IFERROR(__xludf.DUMMYFUNCTION("IF(Cost_in_dollars!E3481=""USD"",Cost_in_dollars!B3481,Cost_in_dollars!B3481 * GOOGLEFINANCE(""CURRENCY:"" &amp; Cost_in_dollars!E3481 &amp; ""USD""))
"),19445044.4999999)</f>
        <v>19445044.499999899</v>
      </c>
      <c r="P3481" s="4">
        <f ca="1">IFERROR(__xludf.DUMMYFUNCTION("IF(Cost_in_dollars!E3481=""USD"",Cost_in_dollars!C3481,Cost_in_dollars!C3481 * GOOGLEFINANCE(""CURRENCY:"" &amp; Cost_in_dollars!E3481 &amp; ""USD""))
"),5598026.08308719)</f>
        <v>5598026.0830871901</v>
      </c>
      <c r="Q3481" s="6">
        <f t="shared" ca="1" si="78"/>
        <v>-13847018.416912708</v>
      </c>
      <c r="R3481" s="7" t="str">
        <f t="shared" si="79"/>
        <v>Knock Off</v>
      </c>
      <c r="S3481" s="43" t="str">
        <f t="shared" si="82"/>
        <v>Action</v>
      </c>
    </row>
    <row r="3482" spans="1:19" ht="15.75" customHeight="1" x14ac:dyDescent="0.25">
      <c r="A3482" s="4" t="s">
        <v>69</v>
      </c>
      <c r="B3482" s="4">
        <v>121</v>
      </c>
      <c r="C3482" s="4">
        <v>21078145</v>
      </c>
      <c r="D3482" s="4" t="s">
        <v>362</v>
      </c>
      <c r="E3482" s="4" t="s">
        <v>69</v>
      </c>
      <c r="F3482" s="4" t="s">
        <v>10653</v>
      </c>
      <c r="G3482" s="4">
        <v>26493</v>
      </c>
      <c r="H3482" s="4" t="s">
        <v>10654</v>
      </c>
      <c r="I3482" s="4">
        <v>159</v>
      </c>
      <c r="J3482" s="4" t="s">
        <v>23</v>
      </c>
      <c r="K3482" s="4" t="s">
        <v>24</v>
      </c>
      <c r="L3482" s="4">
        <v>12500000</v>
      </c>
      <c r="M3482" s="4">
        <v>2002</v>
      </c>
      <c r="N3482" s="4">
        <v>7.3</v>
      </c>
      <c r="O3482" s="4">
        <f ca="1">IFERROR(__xludf.DUMMYFUNCTION("IF(Cost_in_dollars!E3482=""USD"",Cost_in_dollars!B3482,Cost_in_dollars!B3482 * GOOGLEFINANCE(""CURRENCY:"" &amp; Cost_in_dollars!E3482 &amp; ""USD""))
"),12500000)</f>
        <v>12500000</v>
      </c>
      <c r="P3482" s="4">
        <f ca="1">IFERROR(__xludf.DUMMYFUNCTION("IF(Cost_in_dollars!E3482=""USD"",Cost_in_dollars!C3482,Cost_in_dollars!C3482 * GOOGLEFINANCE(""CURRENCY:"" &amp; Cost_in_dollars!E3482 &amp; ""USD""))
"),21078145)</f>
        <v>21078145</v>
      </c>
      <c r="Q3482" s="4">
        <f t="shared" ca="1" si="78"/>
        <v>8578145</v>
      </c>
      <c r="R3482" s="5" t="str">
        <f t="shared" si="79"/>
        <v>Antwone Fisher</v>
      </c>
      <c r="S3482" s="43" t="str">
        <f t="shared" si="82"/>
        <v>Biography</v>
      </c>
    </row>
    <row r="3483" spans="1:19" ht="15.75" customHeight="1" x14ac:dyDescent="0.25">
      <c r="A3483" s="6" t="s">
        <v>5196</v>
      </c>
      <c r="B3483" s="6">
        <v>167</v>
      </c>
      <c r="C3483" s="6">
        <v>13248477</v>
      </c>
      <c r="D3483" s="6" t="s">
        <v>93</v>
      </c>
      <c r="E3483" s="6" t="s">
        <v>1916</v>
      </c>
      <c r="F3483" s="6" t="s">
        <v>10655</v>
      </c>
      <c r="G3483" s="6">
        <v>60555</v>
      </c>
      <c r="H3483" s="6" t="s">
        <v>10656</v>
      </c>
      <c r="I3483" s="6">
        <v>174</v>
      </c>
      <c r="J3483" s="6" t="s">
        <v>23</v>
      </c>
      <c r="K3483" s="6" t="s">
        <v>24</v>
      </c>
      <c r="L3483" s="6">
        <v>27000000</v>
      </c>
      <c r="M3483" s="6">
        <v>2009</v>
      </c>
      <c r="N3483" s="6">
        <v>6.2</v>
      </c>
      <c r="O3483" s="4">
        <f ca="1">IFERROR(__xludf.DUMMYFUNCTION("IF(Cost_in_dollars!E3483=""USD"",Cost_in_dollars!B3483,Cost_in_dollars!B3483 * GOOGLEFINANCE(""CURRENCY:"" &amp; Cost_in_dollars!E3483 &amp; ""USD""))
"),27000000)</f>
        <v>27000000</v>
      </c>
      <c r="P3483" s="4">
        <f ca="1">IFERROR(__xludf.DUMMYFUNCTION("IF(Cost_in_dollars!E3483=""USD"",Cost_in_dollars!C3483,Cost_in_dollars!C3483 * GOOGLEFINANCE(""CURRENCY:"" &amp; Cost_in_dollars!E3483 &amp; ""USD""))
"),13248477)</f>
        <v>13248477</v>
      </c>
      <c r="Q3483" s="6">
        <f t="shared" ca="1" si="78"/>
        <v>-13751523</v>
      </c>
      <c r="R3483" s="7" t="str">
        <f t="shared" si="79"/>
        <v>Case 39</v>
      </c>
      <c r="S3483" s="43" t="str">
        <f t="shared" si="82"/>
        <v>Horror</v>
      </c>
    </row>
    <row r="3484" spans="1:19" ht="15.75" customHeight="1" x14ac:dyDescent="0.25">
      <c r="A3484" s="4" t="s">
        <v>3053</v>
      </c>
      <c r="B3484" s="4">
        <v>82</v>
      </c>
      <c r="C3484" s="4">
        <v>25200412</v>
      </c>
      <c r="D3484" s="4" t="s">
        <v>9005</v>
      </c>
      <c r="E3484" s="4" t="s">
        <v>10657</v>
      </c>
      <c r="F3484" s="4" t="s">
        <v>10658</v>
      </c>
      <c r="G3484" s="4">
        <v>16580</v>
      </c>
      <c r="H3484" s="4" t="s">
        <v>10659</v>
      </c>
      <c r="I3484" s="4">
        <v>55</v>
      </c>
      <c r="J3484" s="4" t="s">
        <v>23</v>
      </c>
      <c r="K3484" s="4" t="s">
        <v>24</v>
      </c>
      <c r="L3484" s="4">
        <v>45000000</v>
      </c>
      <c r="M3484" s="4">
        <v>2009</v>
      </c>
      <c r="N3484" s="4">
        <v>5.4</v>
      </c>
      <c r="O3484" s="4">
        <f ca="1">IFERROR(__xludf.DUMMYFUNCTION("IF(Cost_in_dollars!E3484=""USD"",Cost_in_dollars!B3484,Cost_in_dollars!B3484 * GOOGLEFINANCE(""CURRENCY:"" &amp; Cost_in_dollars!E3484 &amp; ""USD""))
"),45000000)</f>
        <v>45000000</v>
      </c>
      <c r="P3484" s="4">
        <f ca="1">IFERROR(__xludf.DUMMYFUNCTION("IF(Cost_in_dollars!E3484=""USD"",Cost_in_dollars!C3484,Cost_in_dollars!C3484 * GOOGLEFINANCE(""CURRENCY:"" &amp; Cost_in_dollars!E3484 &amp; ""USD""))
"),25200412)</f>
        <v>25200412</v>
      </c>
      <c r="Q3484" s="4">
        <f t="shared" ca="1" si="78"/>
        <v>-19799588</v>
      </c>
      <c r="R3484" s="5" t="str">
        <f t="shared" si="79"/>
        <v>Aliens in the Attic</v>
      </c>
      <c r="S3484" s="43" t="str">
        <f t="shared" si="82"/>
        <v>Adventure</v>
      </c>
    </row>
    <row r="3485" spans="1:19" ht="15.75" customHeight="1" x14ac:dyDescent="0.25">
      <c r="A3485" s="6" t="s">
        <v>2550</v>
      </c>
      <c r="B3485" s="6">
        <v>245</v>
      </c>
      <c r="C3485" s="6">
        <v>70625986</v>
      </c>
      <c r="D3485" s="6" t="s">
        <v>88</v>
      </c>
      <c r="E3485" s="6" t="s">
        <v>1091</v>
      </c>
      <c r="F3485" s="6" t="s">
        <v>10660</v>
      </c>
      <c r="G3485" s="6">
        <v>168717</v>
      </c>
      <c r="H3485" s="6" t="s">
        <v>10661</v>
      </c>
      <c r="I3485" s="6">
        <v>178</v>
      </c>
      <c r="J3485" s="6" t="s">
        <v>23</v>
      </c>
      <c r="K3485" s="6" t="s">
        <v>24</v>
      </c>
      <c r="L3485" s="6">
        <v>25000000</v>
      </c>
      <c r="M3485" s="6">
        <v>2011</v>
      </c>
      <c r="N3485" s="6">
        <v>6.2</v>
      </c>
      <c r="O3485" s="4">
        <f ca="1">IFERROR(__xludf.DUMMYFUNCTION("IF(Cost_in_dollars!E3485=""USD"",Cost_in_dollars!B3485,Cost_in_dollars!B3485 * GOOGLEFINANCE(""CURRENCY:"" &amp; Cost_in_dollars!E3485 &amp; ""USD""))
"),25000000)</f>
        <v>25000000</v>
      </c>
      <c r="P3485" s="4">
        <f ca="1">IFERROR(__xludf.DUMMYFUNCTION("IF(Cost_in_dollars!E3485=""USD"",Cost_in_dollars!C3485,Cost_in_dollars!C3485 * GOOGLEFINANCE(""CURRENCY:"" &amp; Cost_in_dollars!E3485 &amp; ""USD""))
"),70625986)</f>
        <v>70625986</v>
      </c>
      <c r="Q3485" s="6">
        <f t="shared" ca="1" si="78"/>
        <v>45625986</v>
      </c>
      <c r="R3485" s="7" t="str">
        <f t="shared" si="79"/>
        <v>No Strings Attached</v>
      </c>
      <c r="S3485" s="43" t="str">
        <f t="shared" si="82"/>
        <v>Comedy</v>
      </c>
    </row>
    <row r="3486" spans="1:19" ht="15.75" customHeight="1" x14ac:dyDescent="0.25">
      <c r="A3486" s="4" t="s">
        <v>7984</v>
      </c>
      <c r="B3486" s="4">
        <v>136</v>
      </c>
      <c r="C3486" s="4">
        <v>75604320</v>
      </c>
      <c r="D3486" s="4" t="s">
        <v>88</v>
      </c>
      <c r="E3486" s="4" t="s">
        <v>10662</v>
      </c>
      <c r="F3486" s="4" t="s">
        <v>10663</v>
      </c>
      <c r="G3486" s="4">
        <v>68417</v>
      </c>
      <c r="H3486" s="4" t="s">
        <v>10664</v>
      </c>
      <c r="I3486" s="4">
        <v>195</v>
      </c>
      <c r="J3486" s="4" t="s">
        <v>23</v>
      </c>
      <c r="K3486" s="4" t="s">
        <v>24</v>
      </c>
      <c r="L3486" s="4">
        <v>54000000</v>
      </c>
      <c r="M3486" s="4">
        <v>2006</v>
      </c>
      <c r="N3486" s="4">
        <v>5.6</v>
      </c>
      <c r="O3486" s="4">
        <f ca="1">IFERROR(__xludf.DUMMYFUNCTION("IF(Cost_in_dollars!E3486=""USD"",Cost_in_dollars!B3486,Cost_in_dollars!B3486 * GOOGLEFINANCE(""CURRENCY:"" &amp; Cost_in_dollars!E3486 &amp; ""USD""))
"),54000000)</f>
        <v>54000000</v>
      </c>
      <c r="P3486" s="4">
        <f ca="1">IFERROR(__xludf.DUMMYFUNCTION("IF(Cost_in_dollars!E3486=""USD"",Cost_in_dollars!C3486,Cost_in_dollars!C3486 * GOOGLEFINANCE(""CURRENCY:"" &amp; Cost_in_dollars!E3486 &amp; ""USD""))
"),75604320)</f>
        <v>75604320</v>
      </c>
      <c r="Q3486" s="4">
        <f t="shared" ca="1" si="78"/>
        <v>21604320</v>
      </c>
      <c r="R3486" s="5" t="str">
        <f t="shared" si="79"/>
        <v>You, Me and Dupree</v>
      </c>
      <c r="S3486" s="43" t="str">
        <f t="shared" si="82"/>
        <v>Comedy</v>
      </c>
    </row>
    <row r="3487" spans="1:19" ht="15.75" customHeight="1" x14ac:dyDescent="0.25">
      <c r="A3487" s="6" t="s">
        <v>10665</v>
      </c>
      <c r="B3487" s="6">
        <v>77</v>
      </c>
      <c r="C3487" s="6">
        <v>10561238</v>
      </c>
      <c r="D3487" s="6" t="s">
        <v>10666</v>
      </c>
      <c r="E3487" s="6" t="s">
        <v>954</v>
      </c>
      <c r="F3487" s="6" t="s">
        <v>10667</v>
      </c>
      <c r="G3487" s="6">
        <v>27265</v>
      </c>
      <c r="H3487" s="6" t="s">
        <v>10668</v>
      </c>
      <c r="I3487" s="6">
        <v>321</v>
      </c>
      <c r="J3487" s="6" t="s">
        <v>23</v>
      </c>
      <c r="K3487" s="6" t="s">
        <v>176</v>
      </c>
      <c r="L3487" s="6">
        <v>10000000</v>
      </c>
      <c r="M3487" s="6">
        <v>1999</v>
      </c>
      <c r="N3487" s="6">
        <v>6.5</v>
      </c>
      <c r="O3487" s="4">
        <f ca="1">IFERROR(__xludf.DUMMYFUNCTION("IF(Cost_in_dollars!E3487=""USD"",Cost_in_dollars!B3487,Cost_in_dollars!B3487 * GOOGLEFINANCE(""CURRENCY:"" &amp; Cost_in_dollars!E3487 &amp; ""USD""))
"),10847400)</f>
        <v>10847400</v>
      </c>
      <c r="P3487" s="4">
        <f ca="1">IFERROR(__xludf.DUMMYFUNCTION("IF(Cost_in_dollars!E3487=""USD"",Cost_in_dollars!C3487,Cost_in_dollars!C3487 * GOOGLEFINANCE(""CURRENCY:"" &amp; Cost_in_dollars!E3487 &amp; ""USD""))
"),11456197.30812)</f>
        <v>11456197.308119999</v>
      </c>
      <c r="Q3487" s="6">
        <f t="shared" ca="1" si="78"/>
        <v>608797.30811999924</v>
      </c>
      <c r="R3487" s="7" t="str">
        <f t="shared" si="79"/>
        <v>Drop Dead Gorgeous</v>
      </c>
      <c r="S3487" s="43" t="str">
        <f t="shared" si="82"/>
        <v>Comedy</v>
      </c>
    </row>
    <row r="3488" spans="1:19" ht="15.75" customHeight="1" x14ac:dyDescent="0.25">
      <c r="A3488" s="4" t="s">
        <v>3733</v>
      </c>
      <c r="B3488" s="4">
        <v>77</v>
      </c>
      <c r="C3488" s="4">
        <v>38413606</v>
      </c>
      <c r="D3488" s="4" t="s">
        <v>793</v>
      </c>
      <c r="E3488" s="4" t="s">
        <v>886</v>
      </c>
      <c r="F3488" s="4" t="s">
        <v>10669</v>
      </c>
      <c r="G3488" s="4">
        <v>54042</v>
      </c>
      <c r="H3488" s="4" t="s">
        <v>10670</v>
      </c>
      <c r="I3488" s="4">
        <v>215</v>
      </c>
      <c r="J3488" s="4" t="s">
        <v>23</v>
      </c>
      <c r="K3488" s="4" t="s">
        <v>24</v>
      </c>
      <c r="L3488" s="4">
        <v>30000000</v>
      </c>
      <c r="M3488" s="4">
        <v>1988</v>
      </c>
      <c r="N3488" s="4">
        <v>7.6</v>
      </c>
      <c r="O3488" s="4">
        <f ca="1">IFERROR(__xludf.DUMMYFUNCTION("IF(Cost_in_dollars!E3488=""USD"",Cost_in_dollars!B3488,Cost_in_dollars!B3488 * GOOGLEFINANCE(""CURRENCY:"" &amp; Cost_in_dollars!E3488 &amp; ""USD""))
"),30000000)</f>
        <v>30000000</v>
      </c>
      <c r="P3488" s="4">
        <f ca="1">IFERROR(__xludf.DUMMYFUNCTION("IF(Cost_in_dollars!E3488=""USD"",Cost_in_dollars!C3488,Cost_in_dollars!C3488 * GOOGLEFINANCE(""CURRENCY:"" &amp; Cost_in_dollars!E3488 &amp; ""USD""))
"),38413606)</f>
        <v>38413606</v>
      </c>
      <c r="Q3488" s="4">
        <f t="shared" ca="1" si="78"/>
        <v>8413606</v>
      </c>
      <c r="R3488" s="5" t="str">
        <f t="shared" si="79"/>
        <v>Midnight Run</v>
      </c>
      <c r="S3488" s="43" t="str">
        <f t="shared" si="82"/>
        <v>Action</v>
      </c>
    </row>
    <row r="3489" spans="1:19" ht="15.75" customHeight="1" x14ac:dyDescent="0.25">
      <c r="A3489" s="6" t="s">
        <v>416</v>
      </c>
      <c r="B3489" s="6">
        <v>161</v>
      </c>
      <c r="C3489" s="6">
        <v>17986000</v>
      </c>
      <c r="D3489" s="6" t="s">
        <v>151</v>
      </c>
      <c r="E3489" s="6" t="s">
        <v>2846</v>
      </c>
      <c r="F3489" s="6" t="s">
        <v>10671</v>
      </c>
      <c r="G3489" s="6">
        <v>22773</v>
      </c>
      <c r="H3489" s="6" t="s">
        <v>10672</v>
      </c>
      <c r="I3489" s="6">
        <v>195</v>
      </c>
      <c r="J3489" s="6" t="s">
        <v>23</v>
      </c>
      <c r="K3489" s="6" t="s">
        <v>24</v>
      </c>
      <c r="L3489" s="6">
        <v>1000000</v>
      </c>
      <c r="M3489" s="6">
        <v>1981</v>
      </c>
      <c r="N3489" s="6">
        <v>6.6</v>
      </c>
      <c r="O3489" s="4">
        <f ca="1">IFERROR(__xludf.DUMMYFUNCTION("IF(Cost_in_dollars!E3489=""USD"",Cost_in_dollars!B3489,Cost_in_dollars!B3489 * GOOGLEFINANCE(""CURRENCY:"" &amp; Cost_in_dollars!E3489 &amp; ""USD""))
"),1000000)</f>
        <v>1000000</v>
      </c>
      <c r="P3489" s="4">
        <f ca="1">IFERROR(__xludf.DUMMYFUNCTION("IF(Cost_in_dollars!E3489=""USD"",Cost_in_dollars!C3489,Cost_in_dollars!C3489 * GOOGLEFINANCE(""CURRENCY:"" &amp; Cost_in_dollars!E3489 &amp; ""USD""))
"),17986000)</f>
        <v>17986000</v>
      </c>
      <c r="Q3489" s="6">
        <f t="shared" ca="1" si="78"/>
        <v>16986000</v>
      </c>
      <c r="R3489" s="7" t="str">
        <f t="shared" si="79"/>
        <v>The Howling</v>
      </c>
      <c r="S3489" s="43" t="str">
        <f t="shared" si="82"/>
        <v>Horror</v>
      </c>
    </row>
    <row r="3490" spans="1:19" ht="15.75" customHeight="1" x14ac:dyDescent="0.25">
      <c r="A3490" s="4" t="s">
        <v>2152</v>
      </c>
      <c r="B3490" s="4">
        <v>342</v>
      </c>
      <c r="C3490" s="4">
        <v>26005908</v>
      </c>
      <c r="D3490" s="4" t="s">
        <v>2049</v>
      </c>
      <c r="E3490" s="4" t="s">
        <v>10673</v>
      </c>
      <c r="F3490" s="4" t="s">
        <v>10674</v>
      </c>
      <c r="G3490" s="4">
        <v>154938</v>
      </c>
      <c r="H3490" s="4" t="s">
        <v>10675</v>
      </c>
      <c r="I3490" s="4">
        <v>1100</v>
      </c>
      <c r="J3490" s="4" t="s">
        <v>23</v>
      </c>
      <c r="K3490" s="4" t="s">
        <v>133</v>
      </c>
      <c r="L3490" s="4">
        <v>3500000</v>
      </c>
      <c r="M3490" s="4">
        <v>2005</v>
      </c>
      <c r="N3490" s="4">
        <v>7.2</v>
      </c>
      <c r="O3490" s="4">
        <f ca="1">IFERROR(__xludf.DUMMYFUNCTION("IF(Cost_in_dollars!E3490=""USD"",Cost_in_dollars!B3490,Cost_in_dollars!B3490 * GOOGLEFINANCE(""CURRENCY:"" &amp; Cost_in_dollars!E3490 &amp; ""USD""))
"),4498900)</f>
        <v>4498900</v>
      </c>
      <c r="P3490" s="4">
        <f ca="1">IFERROR(__xludf.DUMMYFUNCTION("IF(Cost_in_dollars!E3490=""USD"",Cost_in_dollars!C3490,Cost_in_dollars!C3490 * GOOGLEFINANCE(""CURRENCY:"" &amp; Cost_in_dollars!E3490 &amp; ""USD""))
"),33427994.1431999)</f>
        <v>33427994.143199898</v>
      </c>
      <c r="Q3490" s="4">
        <f t="shared" ca="1" si="78"/>
        <v>28929094.143199898</v>
      </c>
      <c r="R3490" s="5" t="str">
        <f t="shared" si="79"/>
        <v>The Descent</v>
      </c>
      <c r="S3490" s="43" t="str">
        <f t="shared" si="82"/>
        <v>Adventure</v>
      </c>
    </row>
    <row r="3491" spans="1:19" ht="15.75" customHeight="1" x14ac:dyDescent="0.25">
      <c r="A3491" s="6" t="s">
        <v>1209</v>
      </c>
      <c r="B3491" s="6">
        <v>202</v>
      </c>
      <c r="C3491" s="6">
        <v>27356090</v>
      </c>
      <c r="D3491" s="6" t="s">
        <v>281</v>
      </c>
      <c r="E3491" s="6" t="s">
        <v>920</v>
      </c>
      <c r="F3491" s="6" t="s">
        <v>10676</v>
      </c>
      <c r="G3491" s="6">
        <v>58752</v>
      </c>
      <c r="H3491" s="6" t="s">
        <v>10677</v>
      </c>
      <c r="I3491" s="6">
        <v>117</v>
      </c>
      <c r="J3491" s="6" t="s">
        <v>23</v>
      </c>
      <c r="K3491" s="6" t="s">
        <v>24</v>
      </c>
      <c r="L3491" s="6">
        <v>90000000</v>
      </c>
      <c r="M3491" s="6">
        <v>2015</v>
      </c>
      <c r="N3491" s="6">
        <v>6</v>
      </c>
      <c r="O3491" s="4">
        <f ca="1">IFERROR(__xludf.DUMMYFUNCTION("IF(Cost_in_dollars!E3491=""USD"",Cost_in_dollars!B3491,Cost_in_dollars!B3491 * GOOGLEFINANCE(""CURRENCY:"" &amp; Cost_in_dollars!E3491 &amp; ""USD""))
"),90000000)</f>
        <v>90000000</v>
      </c>
      <c r="P3491" s="4">
        <f ca="1">IFERROR(__xludf.DUMMYFUNCTION("IF(Cost_in_dollars!E3491=""USD"",Cost_in_dollars!C3491,Cost_in_dollars!C3491 * GOOGLEFINANCE(""CURRENCY:"" &amp; Cost_in_dollars!E3491 &amp; ""USD""))
"),27356090)</f>
        <v>27356090</v>
      </c>
      <c r="Q3491" s="6">
        <f t="shared" ca="1" si="78"/>
        <v>-62643910</v>
      </c>
      <c r="R3491" s="7" t="str">
        <f t="shared" si="79"/>
        <v>The Last Witch Hunter</v>
      </c>
      <c r="S3491" s="43" t="str">
        <f t="shared" si="82"/>
        <v>Action</v>
      </c>
    </row>
    <row r="3492" spans="1:19" ht="15.75" customHeight="1" x14ac:dyDescent="0.25">
      <c r="A3492" s="4" t="s">
        <v>10678</v>
      </c>
      <c r="B3492" s="4">
        <v>29</v>
      </c>
      <c r="C3492" s="4">
        <v>6982680</v>
      </c>
      <c r="D3492" s="4" t="s">
        <v>443</v>
      </c>
      <c r="E3492" s="4" t="s">
        <v>245</v>
      </c>
      <c r="F3492" s="4" t="s">
        <v>10679</v>
      </c>
      <c r="G3492" s="4">
        <v>6965</v>
      </c>
      <c r="H3492" s="4" t="s">
        <v>10680</v>
      </c>
      <c r="I3492" s="4">
        <v>69</v>
      </c>
      <c r="J3492" s="4" t="s">
        <v>23</v>
      </c>
      <c r="K3492" s="4" t="s">
        <v>24</v>
      </c>
      <c r="L3492" s="4">
        <v>10000000</v>
      </c>
      <c r="M3492" s="4">
        <v>2000</v>
      </c>
      <c r="N3492" s="4">
        <v>5.7</v>
      </c>
      <c r="O3492" s="4">
        <f ca="1">IFERROR(__xludf.DUMMYFUNCTION("IF(Cost_in_dollars!E3492=""USD"",Cost_in_dollars!B3492,Cost_in_dollars!B3492 * GOOGLEFINANCE(""CURRENCY:"" &amp; Cost_in_dollars!E3492 &amp; ""USD""))
"),10000000)</f>
        <v>10000000</v>
      </c>
      <c r="P3492" s="4">
        <f ca="1">IFERROR(__xludf.DUMMYFUNCTION("IF(Cost_in_dollars!E3492=""USD"",Cost_in_dollars!C3492,Cost_in_dollars!C3492 * GOOGLEFINANCE(""CURRENCY:"" &amp; Cost_in_dollars!E3492 &amp; ""USD""))
"),6982680)</f>
        <v>6982680</v>
      </c>
      <c r="Q3492" s="4">
        <f t="shared" ca="1" si="78"/>
        <v>-3017320</v>
      </c>
      <c r="R3492" s="5" t="str">
        <f t="shared" si="79"/>
        <v>Screwed</v>
      </c>
      <c r="S3492" s="43" t="str">
        <f t="shared" si="82"/>
        <v>Comedy</v>
      </c>
    </row>
    <row r="3493" spans="1:19" ht="15.75" customHeight="1" x14ac:dyDescent="0.25">
      <c r="A3493" s="6" t="s">
        <v>1858</v>
      </c>
      <c r="B3493" s="6">
        <v>248</v>
      </c>
      <c r="C3493" s="6">
        <v>3205244</v>
      </c>
      <c r="D3493" s="6" t="s">
        <v>457</v>
      </c>
      <c r="E3493" s="6" t="s">
        <v>1860</v>
      </c>
      <c r="F3493" s="6" t="s">
        <v>10681</v>
      </c>
      <c r="G3493" s="6">
        <v>23629</v>
      </c>
      <c r="H3493" s="6" t="s">
        <v>10682</v>
      </c>
      <c r="I3493" s="6">
        <v>141</v>
      </c>
      <c r="J3493" s="6" t="s">
        <v>23</v>
      </c>
      <c r="K3493" s="6" t="s">
        <v>133</v>
      </c>
      <c r="L3493" s="6">
        <v>10000000</v>
      </c>
      <c r="M3493" s="6">
        <v>2010</v>
      </c>
      <c r="N3493" s="6">
        <v>7.3</v>
      </c>
      <c r="O3493" s="4">
        <f ca="1">IFERROR(__xludf.DUMMYFUNCTION("IF(Cost_in_dollars!E3493=""USD"",Cost_in_dollars!B3493,Cost_in_dollars!B3493 * GOOGLEFINANCE(""CURRENCY:"" &amp; Cost_in_dollars!E3493 &amp; ""USD""))
"),12853999.9999999)</f>
        <v>12853999.999999899</v>
      </c>
      <c r="P3493" s="4">
        <f ca="1">IFERROR(__xludf.DUMMYFUNCTION("IF(Cost_in_dollars!E3493=""USD"",Cost_in_dollars!C3493,Cost_in_dollars!C3493 * GOOGLEFINANCE(""CURRENCY:"" &amp; Cost_in_dollars!E3493 &amp; ""USD""))
"),4120020.63759999)</f>
        <v>4120020.6375999898</v>
      </c>
      <c r="Q3493" s="6">
        <f t="shared" ca="1" si="78"/>
        <v>-8733979.3623999096</v>
      </c>
      <c r="R3493" s="7" t="str">
        <f t="shared" si="79"/>
        <v>Another Year</v>
      </c>
      <c r="S3493" s="43" t="str">
        <f t="shared" si="82"/>
        <v>Comedy</v>
      </c>
    </row>
    <row r="3494" spans="1:19" ht="15.75" customHeight="1" x14ac:dyDescent="0.25">
      <c r="A3494" s="4" t="s">
        <v>766</v>
      </c>
      <c r="B3494" s="4">
        <v>359</v>
      </c>
      <c r="C3494" s="4">
        <v>35266619</v>
      </c>
      <c r="D3494" s="4" t="s">
        <v>5130</v>
      </c>
      <c r="E3494" s="4" t="s">
        <v>2272</v>
      </c>
      <c r="F3494" s="4" t="s">
        <v>7597</v>
      </c>
      <c r="G3494" s="4">
        <v>108242</v>
      </c>
      <c r="H3494" s="4" t="s">
        <v>7598</v>
      </c>
      <c r="I3494" s="4">
        <v>371</v>
      </c>
      <c r="J3494" s="4" t="s">
        <v>23</v>
      </c>
      <c r="K3494" s="4" t="s">
        <v>24</v>
      </c>
      <c r="L3494" s="4">
        <v>30000000</v>
      </c>
      <c r="M3494" s="4">
        <v>2013</v>
      </c>
      <c r="N3494" s="4">
        <v>5.9</v>
      </c>
      <c r="O3494" s="4">
        <f ca="1">IFERROR(__xludf.DUMMYFUNCTION("IF(Cost_in_dollars!E3494=""USD"",Cost_in_dollars!B3494,Cost_in_dollars!B3494 * GOOGLEFINANCE(""CURRENCY:"" &amp; Cost_in_dollars!E3494 &amp; ""USD""))
"),30000000)</f>
        <v>30000000</v>
      </c>
      <c r="P3494" s="4">
        <f ca="1">IFERROR(__xludf.DUMMYFUNCTION("IF(Cost_in_dollars!E3494=""USD"",Cost_in_dollars!C3494,Cost_in_dollars!C3494 * GOOGLEFINANCE(""CURRENCY:"" &amp; Cost_in_dollars!E3494 &amp; ""USD""))
"),35266619)</f>
        <v>35266619</v>
      </c>
      <c r="Q3494" s="4">
        <f t="shared" ca="1" si="78"/>
        <v>5266619</v>
      </c>
      <c r="R3494" s="5" t="str">
        <f t="shared" si="79"/>
        <v>Carrie</v>
      </c>
      <c r="S3494" s="43" t="str">
        <f t="shared" si="82"/>
        <v>Drama</v>
      </c>
    </row>
    <row r="3495" spans="1:19" ht="15.75" customHeight="1" x14ac:dyDescent="0.25">
      <c r="A3495" s="6" t="s">
        <v>1317</v>
      </c>
      <c r="B3495" s="6">
        <v>12</v>
      </c>
      <c r="C3495" s="6">
        <v>9658370</v>
      </c>
      <c r="D3495" s="6" t="s">
        <v>88</v>
      </c>
      <c r="E3495" s="6" t="s">
        <v>7933</v>
      </c>
      <c r="F3495" s="6" t="s">
        <v>10683</v>
      </c>
      <c r="G3495" s="6">
        <v>1180</v>
      </c>
      <c r="H3495" s="6" t="s">
        <v>109</v>
      </c>
      <c r="I3495" s="6">
        <v>9</v>
      </c>
      <c r="J3495" s="6" t="s">
        <v>23</v>
      </c>
      <c r="K3495" s="6" t="s">
        <v>24</v>
      </c>
      <c r="L3495" s="6">
        <v>5000000</v>
      </c>
      <c r="M3495" s="6">
        <v>2016</v>
      </c>
      <c r="N3495" s="6">
        <v>4.5</v>
      </c>
      <c r="O3495" s="4">
        <f ca="1">IFERROR(__xludf.DUMMYFUNCTION("IF(Cost_in_dollars!E3495=""USD"",Cost_in_dollars!B3495,Cost_in_dollars!B3495 * GOOGLEFINANCE(""CURRENCY:"" &amp; Cost_in_dollars!E3495 &amp; ""USD""))
"),5000000)</f>
        <v>5000000</v>
      </c>
      <c r="P3495" s="4">
        <f ca="1">IFERROR(__xludf.DUMMYFUNCTION("IF(Cost_in_dollars!E3495=""USD"",Cost_in_dollars!C3495,Cost_in_dollars!C3495 * GOOGLEFINANCE(""CURRENCY:"" &amp; Cost_in_dollars!E3495 &amp; ""USD""))
"),9658370)</f>
        <v>9658370</v>
      </c>
      <c r="Q3495" s="6">
        <f t="shared" ca="1" si="78"/>
        <v>4658370</v>
      </c>
      <c r="R3495" s="7" t="str">
        <f t="shared" si="79"/>
        <v>The Perfect Match</v>
      </c>
      <c r="S3495" s="43" t="str">
        <f t="shared" si="82"/>
        <v>Comedy</v>
      </c>
    </row>
    <row r="3496" spans="1:19" ht="15.75" customHeight="1" x14ac:dyDescent="0.25">
      <c r="A3496" s="4" t="s">
        <v>5002</v>
      </c>
      <c r="B3496" s="4">
        <v>99</v>
      </c>
      <c r="C3496" s="4">
        <v>114968774</v>
      </c>
      <c r="D3496" s="4" t="s">
        <v>8910</v>
      </c>
      <c r="E3496" s="4" t="s">
        <v>464</v>
      </c>
      <c r="F3496" s="4" t="s">
        <v>10684</v>
      </c>
      <c r="G3496" s="4">
        <v>153468</v>
      </c>
      <c r="H3496" s="4" t="s">
        <v>10685</v>
      </c>
      <c r="I3496" s="4">
        <v>204</v>
      </c>
      <c r="J3496" s="4" t="s">
        <v>23</v>
      </c>
      <c r="K3496" s="4" t="s">
        <v>24</v>
      </c>
      <c r="L3496" s="4">
        <v>18000000</v>
      </c>
      <c r="M3496" s="4">
        <v>1988</v>
      </c>
      <c r="N3496" s="4">
        <v>7.3</v>
      </c>
      <c r="O3496" s="4">
        <f ca="1">IFERROR(__xludf.DUMMYFUNCTION("IF(Cost_in_dollars!E3496=""USD"",Cost_in_dollars!B3496,Cost_in_dollars!B3496 * GOOGLEFINANCE(""CURRENCY:"" &amp; Cost_in_dollars!E3496 &amp; ""USD""))
"),18000000)</f>
        <v>18000000</v>
      </c>
      <c r="P3496" s="4">
        <f ca="1">IFERROR(__xludf.DUMMYFUNCTION("IF(Cost_in_dollars!E3496=""USD"",Cost_in_dollars!C3496,Cost_in_dollars!C3496 * GOOGLEFINANCE(""CURRENCY:"" &amp; Cost_in_dollars!E3496 &amp; ""USD""))
"),114968774)</f>
        <v>114968774</v>
      </c>
      <c r="Q3496" s="4">
        <f t="shared" ca="1" si="78"/>
        <v>96968774</v>
      </c>
      <c r="R3496" s="5" t="str">
        <f t="shared" si="79"/>
        <v>Big</v>
      </c>
      <c r="S3496" s="43" t="str">
        <f t="shared" si="82"/>
        <v>Comedy</v>
      </c>
    </row>
    <row r="3497" spans="1:19" ht="15.75" customHeight="1" x14ac:dyDescent="0.25">
      <c r="A3497" s="6" t="s">
        <v>2200</v>
      </c>
      <c r="B3497" s="6">
        <v>172</v>
      </c>
      <c r="C3497" s="6">
        <v>142614158</v>
      </c>
      <c r="D3497" s="6" t="s">
        <v>304</v>
      </c>
      <c r="E3497" s="6" t="s">
        <v>10686</v>
      </c>
      <c r="F3497" s="6" t="s">
        <v>10687</v>
      </c>
      <c r="G3497" s="6">
        <v>66593</v>
      </c>
      <c r="H3497" s="6" t="s">
        <v>10688</v>
      </c>
      <c r="I3497" s="6">
        <v>153</v>
      </c>
      <c r="J3497" s="6" t="s">
        <v>23</v>
      </c>
      <c r="K3497" s="6" t="s">
        <v>24</v>
      </c>
      <c r="L3497" s="6">
        <v>110000000</v>
      </c>
      <c r="M3497" s="6">
        <v>2011</v>
      </c>
      <c r="N3497" s="6">
        <v>5.5</v>
      </c>
      <c r="O3497" s="4">
        <f ca="1">IFERROR(__xludf.DUMMYFUNCTION("IF(Cost_in_dollars!E3497=""USD"",Cost_in_dollars!B3497,Cost_in_dollars!B3497 * GOOGLEFINANCE(""CURRENCY:"" &amp; Cost_in_dollars!E3497 &amp; ""USD""))
"),110000000)</f>
        <v>110000000</v>
      </c>
      <c r="P3497" s="4">
        <f ca="1">IFERROR(__xludf.DUMMYFUNCTION("IF(Cost_in_dollars!E3497=""USD"",Cost_in_dollars!C3497,Cost_in_dollars!C3497 * GOOGLEFINANCE(""CURRENCY:"" &amp; Cost_in_dollars!E3497 &amp; ""USD""))
"),142614158)</f>
        <v>142614158</v>
      </c>
      <c r="Q3497" s="6">
        <f t="shared" ca="1" si="78"/>
        <v>32614158</v>
      </c>
      <c r="R3497" s="7" t="str">
        <f t="shared" si="79"/>
        <v>The Smurfs</v>
      </c>
      <c r="S3497" s="43" t="str">
        <f t="shared" si="82"/>
        <v>Adventure</v>
      </c>
    </row>
    <row r="3498" spans="1:19" ht="15.75" customHeight="1" x14ac:dyDescent="0.25">
      <c r="A3498" s="4" t="s">
        <v>1998</v>
      </c>
      <c r="B3498" s="4">
        <v>9</v>
      </c>
      <c r="C3498" s="4">
        <v>703</v>
      </c>
      <c r="D3498" s="4" t="s">
        <v>457</v>
      </c>
      <c r="E3498" s="4" t="s">
        <v>3504</v>
      </c>
      <c r="F3498" s="4" t="s">
        <v>10689</v>
      </c>
      <c r="G3498" s="4">
        <v>480</v>
      </c>
      <c r="H3498" s="4" t="s">
        <v>10690</v>
      </c>
      <c r="I3498" s="4">
        <v>21</v>
      </c>
      <c r="J3498" s="4" t="s">
        <v>23</v>
      </c>
      <c r="K3498" s="4" t="s">
        <v>24</v>
      </c>
      <c r="L3498" s="4">
        <v>1500000</v>
      </c>
      <c r="M3498" s="4">
        <v>2001</v>
      </c>
      <c r="N3498" s="4">
        <v>5.4</v>
      </c>
      <c r="O3498" s="4">
        <f ca="1">IFERROR(__xludf.DUMMYFUNCTION("IF(Cost_in_dollars!E3498=""USD"",Cost_in_dollars!B3498,Cost_in_dollars!B3498 * GOOGLEFINANCE(""CURRENCY:"" &amp; Cost_in_dollars!E3498 &amp; ""USD""))
"),1500000)</f>
        <v>1500000</v>
      </c>
      <c r="P3498" s="4">
        <f ca="1">IFERROR(__xludf.DUMMYFUNCTION("IF(Cost_in_dollars!E3498=""USD"",Cost_in_dollars!C3498,Cost_in_dollars!C3498 * GOOGLEFINANCE(""CURRENCY:"" &amp; Cost_in_dollars!E3498 &amp; ""USD""))
"),703)</f>
        <v>703</v>
      </c>
      <c r="Q3498" s="4">
        <f t="shared" ca="1" si="78"/>
        <v>-1499297</v>
      </c>
      <c r="R3498" s="5" t="str">
        <f t="shared" si="79"/>
        <v>The Jimmy Show</v>
      </c>
      <c r="S3498" s="43" t="str">
        <f t="shared" si="82"/>
        <v>Comedy</v>
      </c>
    </row>
    <row r="3499" spans="1:19" ht="15.75" customHeight="1" x14ac:dyDescent="0.25">
      <c r="A3499" s="6" t="s">
        <v>10691</v>
      </c>
      <c r="B3499" s="6">
        <v>30</v>
      </c>
      <c r="C3499" s="6">
        <v>3275585</v>
      </c>
      <c r="D3499" s="6" t="s">
        <v>504</v>
      </c>
      <c r="E3499" s="6" t="s">
        <v>775</v>
      </c>
      <c r="F3499" s="6" t="s">
        <v>10692</v>
      </c>
      <c r="G3499" s="6">
        <v>10735</v>
      </c>
      <c r="H3499" s="6" t="s">
        <v>10693</v>
      </c>
      <c r="I3499" s="6">
        <v>88</v>
      </c>
      <c r="J3499" s="6" t="s">
        <v>23</v>
      </c>
      <c r="K3499" s="6" t="s">
        <v>133</v>
      </c>
      <c r="L3499" s="6">
        <v>11500000</v>
      </c>
      <c r="M3499" s="6">
        <v>1993</v>
      </c>
      <c r="N3499" s="6">
        <v>6.6</v>
      </c>
      <c r="O3499" s="4">
        <f ca="1">IFERROR(__xludf.DUMMYFUNCTION("IF(Cost_in_dollars!E3499=""USD"",Cost_in_dollars!B3499,Cost_in_dollars!B3499 * GOOGLEFINANCE(""CURRENCY:"" &amp; Cost_in_dollars!E3499 &amp; ""USD""))
"),14782099.9999999)</f>
        <v>14782099.999999899</v>
      </c>
      <c r="P3499" s="4">
        <f ca="1">IFERROR(__xludf.DUMMYFUNCTION("IF(Cost_in_dollars!E3499=""USD"",Cost_in_dollars!C3499,Cost_in_dollars!C3499 * GOOGLEFINANCE(""CURRENCY:"" &amp; Cost_in_dollars!E3499 &amp; ""USD""))
"),4210436.959)</f>
        <v>4210436.9589999998</v>
      </c>
      <c r="Q3499" s="6">
        <f t="shared" ca="1" si="78"/>
        <v>-10571663.040999901</v>
      </c>
      <c r="R3499" s="7" t="str">
        <f t="shared" si="79"/>
        <v>Romeo Is Bleeding</v>
      </c>
      <c r="S3499" s="43" t="str">
        <f t="shared" si="82"/>
        <v>Action</v>
      </c>
    </row>
    <row r="3500" spans="1:19" ht="15.75" customHeight="1" x14ac:dyDescent="0.25">
      <c r="A3500" s="4" t="s">
        <v>4544</v>
      </c>
      <c r="B3500" s="4">
        <v>177</v>
      </c>
      <c r="C3500" s="4">
        <v>9003011</v>
      </c>
      <c r="D3500" s="4" t="s">
        <v>797</v>
      </c>
      <c r="E3500" s="4" t="s">
        <v>10694</v>
      </c>
      <c r="F3500" s="4" t="s">
        <v>10695</v>
      </c>
      <c r="G3500" s="4">
        <v>133966</v>
      </c>
      <c r="H3500" s="4" t="s">
        <v>10696</v>
      </c>
      <c r="I3500" s="4">
        <v>294</v>
      </c>
      <c r="J3500" s="4" t="s">
        <v>23</v>
      </c>
      <c r="K3500" s="4" t="s">
        <v>149</v>
      </c>
      <c r="L3500" s="4">
        <v>2000000</v>
      </c>
      <c r="M3500" s="4">
        <v>1981</v>
      </c>
      <c r="N3500" s="4">
        <v>7.6</v>
      </c>
      <c r="O3500" s="4">
        <f ca="1">IFERROR(__xludf.DUMMYFUNCTION("IF(Cost_in_dollars!E3500=""USD"",Cost_in_dollars!B3500,Cost_in_dollars!B3500 * GOOGLEFINANCE(""CURRENCY:"" &amp; Cost_in_dollars!E3500 &amp; ""USD""))
"),1307760)</f>
        <v>1307760</v>
      </c>
      <c r="P3500" s="4">
        <f ca="1">IFERROR(__xludf.DUMMYFUNCTION("IF(Cost_in_dollars!E3500=""USD"",Cost_in_dollars!C3500,Cost_in_dollars!C3500 * GOOGLEFINANCE(""CURRENCY:"" &amp; Cost_in_dollars!E3500 &amp; ""USD""))
"),5886888.83268)</f>
        <v>5886888.83268</v>
      </c>
      <c r="Q3500" s="4">
        <f t="shared" ca="1" si="78"/>
        <v>4579128.83268</v>
      </c>
      <c r="R3500" s="5" t="str">
        <f t="shared" si="79"/>
        <v>Mad Max 2: The Road Warrior</v>
      </c>
      <c r="S3500" s="43" t="str">
        <f t="shared" si="82"/>
        <v>Action</v>
      </c>
    </row>
    <row r="3501" spans="1:19" ht="15.75" customHeight="1" x14ac:dyDescent="0.25">
      <c r="A3501" s="6" t="s">
        <v>1464</v>
      </c>
      <c r="B3501" s="6">
        <v>73</v>
      </c>
      <c r="C3501" s="6">
        <v>181395380</v>
      </c>
      <c r="D3501" s="6" t="s">
        <v>1756</v>
      </c>
      <c r="E3501" s="6" t="s">
        <v>756</v>
      </c>
      <c r="F3501" s="6" t="s">
        <v>10697</v>
      </c>
      <c r="G3501" s="6">
        <v>220392</v>
      </c>
      <c r="H3501" s="6" t="s">
        <v>10698</v>
      </c>
      <c r="I3501" s="6">
        <v>243</v>
      </c>
      <c r="J3501" s="6" t="s">
        <v>23</v>
      </c>
      <c r="K3501" s="6" t="s">
        <v>24</v>
      </c>
      <c r="L3501" s="6">
        <v>45000000</v>
      </c>
      <c r="M3501" s="6">
        <v>1997</v>
      </c>
      <c r="N3501" s="6">
        <v>6.8</v>
      </c>
      <c r="O3501" s="4">
        <f ca="1">IFERROR(__xludf.DUMMYFUNCTION("IF(Cost_in_dollars!E3501=""USD"",Cost_in_dollars!B3501,Cost_in_dollars!B3501 * GOOGLEFINANCE(""CURRENCY:"" &amp; Cost_in_dollars!E3501 &amp; ""USD""))
"),45000000)</f>
        <v>45000000</v>
      </c>
      <c r="P3501" s="4">
        <f ca="1">IFERROR(__xludf.DUMMYFUNCTION("IF(Cost_in_dollars!E3501=""USD"",Cost_in_dollars!C3501,Cost_in_dollars!C3501 * GOOGLEFINANCE(""CURRENCY:"" &amp; Cost_in_dollars!E3501 &amp; ""USD""))
"),181395380)</f>
        <v>181395380</v>
      </c>
      <c r="Q3501" s="6">
        <f t="shared" ca="1" si="78"/>
        <v>136395380</v>
      </c>
      <c r="R3501" s="7" t="str">
        <f t="shared" si="79"/>
        <v>Liar Liar</v>
      </c>
      <c r="S3501" s="43" t="str">
        <f t="shared" si="82"/>
        <v>Comedy</v>
      </c>
    </row>
    <row r="3502" spans="1:19" ht="15.75" customHeight="1" x14ac:dyDescent="0.25">
      <c r="A3502" s="4" t="s">
        <v>6487</v>
      </c>
      <c r="B3502" s="4">
        <v>322</v>
      </c>
      <c r="C3502" s="4">
        <v>292298923</v>
      </c>
      <c r="D3502" s="4" t="s">
        <v>263</v>
      </c>
      <c r="E3502" s="4" t="s">
        <v>264</v>
      </c>
      <c r="F3502" s="4" t="s">
        <v>10699</v>
      </c>
      <c r="G3502" s="4">
        <v>185394</v>
      </c>
      <c r="H3502" s="4" t="s">
        <v>10700</v>
      </c>
      <c r="I3502" s="4">
        <v>329</v>
      </c>
      <c r="J3502" s="4" t="s">
        <v>23</v>
      </c>
      <c r="K3502" s="4" t="s">
        <v>24</v>
      </c>
      <c r="L3502" s="4">
        <v>120000000</v>
      </c>
      <c r="M3502" s="4">
        <v>2012</v>
      </c>
      <c r="N3502" s="4">
        <v>5.5</v>
      </c>
      <c r="O3502" s="4">
        <f ca="1">IFERROR(__xludf.DUMMYFUNCTION("IF(Cost_in_dollars!E3502=""USD"",Cost_in_dollars!B3502,Cost_in_dollars!B3502 * GOOGLEFINANCE(""CURRENCY:"" &amp; Cost_in_dollars!E3502 &amp; ""USD""))
"),120000000)</f>
        <v>120000000</v>
      </c>
      <c r="P3502" s="4">
        <f ca="1">IFERROR(__xludf.DUMMYFUNCTION("IF(Cost_in_dollars!E3502=""USD"",Cost_in_dollars!C3502,Cost_in_dollars!C3502 * GOOGLEFINANCE(""CURRENCY:"" &amp; Cost_in_dollars!E3502 &amp; ""USD""))
"),292298923)</f>
        <v>292298923</v>
      </c>
      <c r="Q3502" s="4">
        <f t="shared" ca="1" si="78"/>
        <v>172298923</v>
      </c>
      <c r="R3502" s="5" t="str">
        <f t="shared" si="79"/>
        <v>The Twilight Saga: Breaking Dawn - Part 2</v>
      </c>
      <c r="S3502" s="43" t="str">
        <f t="shared" si="82"/>
        <v>Adventure</v>
      </c>
    </row>
    <row r="3503" spans="1:19" ht="15.75" customHeight="1" x14ac:dyDescent="0.25">
      <c r="A3503" s="6" t="s">
        <v>10701</v>
      </c>
      <c r="B3503" s="6">
        <v>29</v>
      </c>
      <c r="C3503" s="6">
        <v>155984</v>
      </c>
      <c r="D3503" s="6" t="s">
        <v>254</v>
      </c>
      <c r="E3503" s="6" t="s">
        <v>10702</v>
      </c>
      <c r="F3503" s="6" t="s">
        <v>10703</v>
      </c>
      <c r="G3503" s="6">
        <v>586</v>
      </c>
      <c r="H3503" s="6" t="s">
        <v>10704</v>
      </c>
      <c r="I3503" s="6">
        <v>9</v>
      </c>
      <c r="J3503" s="6" t="s">
        <v>23</v>
      </c>
      <c r="K3503" s="6" t="s">
        <v>24</v>
      </c>
      <c r="L3503" s="6">
        <v>160000</v>
      </c>
      <c r="M3503" s="6">
        <v>2009</v>
      </c>
      <c r="N3503" s="6">
        <v>7.4</v>
      </c>
      <c r="O3503" s="4">
        <f ca="1">IFERROR(__xludf.DUMMYFUNCTION("IF(Cost_in_dollars!E3503=""USD"",Cost_in_dollars!B3503,Cost_in_dollars!B3503 * GOOGLEFINANCE(""CURRENCY:"" &amp; Cost_in_dollars!E3503 &amp; ""USD""))
"),160000)</f>
        <v>160000</v>
      </c>
      <c r="P3503" s="4">
        <f ca="1">IFERROR(__xludf.DUMMYFUNCTION("IF(Cost_in_dollars!E3503=""USD"",Cost_in_dollars!C3503,Cost_in_dollars!C3503 * GOOGLEFINANCE(""CURRENCY:"" &amp; Cost_in_dollars!E3503 &amp; ""USD""))
"),155984)</f>
        <v>155984</v>
      </c>
      <c r="Q3503" s="6">
        <f t="shared" ca="1" si="78"/>
        <v>-4016</v>
      </c>
      <c r="R3503" s="7" t="str">
        <f t="shared" si="79"/>
        <v>The Horse Boy</v>
      </c>
      <c r="S3503" s="43" t="str">
        <f t="shared" si="82"/>
        <v>Documentary</v>
      </c>
    </row>
    <row r="3504" spans="1:19" ht="15.75" customHeight="1" x14ac:dyDescent="0.25">
      <c r="A3504" s="4" t="s">
        <v>8867</v>
      </c>
      <c r="B3504" s="4">
        <v>276</v>
      </c>
      <c r="C3504" s="4">
        <v>958319</v>
      </c>
      <c r="D3504" s="4" t="s">
        <v>102</v>
      </c>
      <c r="E3504" s="4" t="s">
        <v>1507</v>
      </c>
      <c r="F3504" s="4" t="s">
        <v>10705</v>
      </c>
      <c r="G3504" s="4">
        <v>39764</v>
      </c>
      <c r="H3504" s="4" t="s">
        <v>10706</v>
      </c>
      <c r="I3504" s="4">
        <v>148</v>
      </c>
      <c r="J3504" s="4" t="s">
        <v>23</v>
      </c>
      <c r="K3504" s="4" t="s">
        <v>24</v>
      </c>
      <c r="L3504" s="4">
        <v>21000000</v>
      </c>
      <c r="M3504" s="4">
        <v>2011</v>
      </c>
      <c r="N3504" s="4">
        <v>6.7</v>
      </c>
      <c r="O3504" s="4">
        <f ca="1">IFERROR(__xludf.DUMMYFUNCTION("IF(Cost_in_dollars!E3504=""USD"",Cost_in_dollars!B3504,Cost_in_dollars!B3504 * GOOGLEFINANCE(""CURRENCY:"" &amp; Cost_in_dollars!E3504 &amp; ""USD""))
"),21000000)</f>
        <v>21000000</v>
      </c>
      <c r="P3504" s="4">
        <f ca="1">IFERROR(__xludf.DUMMYFUNCTION("IF(Cost_in_dollars!E3504=""USD"",Cost_in_dollars!C3504,Cost_in_dollars!C3504 * GOOGLEFINANCE(""CURRENCY:"" &amp; Cost_in_dollars!E3504 &amp; ""USD""))
"),958319)</f>
        <v>958319</v>
      </c>
      <c r="Q3504" s="4">
        <f t="shared" ca="1" si="78"/>
        <v>-20041681</v>
      </c>
      <c r="R3504" s="5" t="str">
        <f t="shared" si="79"/>
        <v>The Beaver</v>
      </c>
      <c r="S3504" s="43" t="str">
        <f t="shared" si="82"/>
        <v>Drama</v>
      </c>
    </row>
    <row r="3505" spans="1:19" ht="15.75" customHeight="1" x14ac:dyDescent="0.25">
      <c r="A3505" s="6" t="s">
        <v>248</v>
      </c>
      <c r="B3505" s="6">
        <v>464</v>
      </c>
      <c r="C3505" s="6">
        <v>118099659</v>
      </c>
      <c r="D3505" s="6" t="s">
        <v>249</v>
      </c>
      <c r="E3505" s="6" t="s">
        <v>250</v>
      </c>
      <c r="F3505" s="6" t="s">
        <v>251</v>
      </c>
      <c r="G3505" s="6">
        <v>69757</v>
      </c>
      <c r="H3505" s="6" t="s">
        <v>252</v>
      </c>
      <c r="I3505" s="6">
        <v>1211</v>
      </c>
      <c r="J3505" s="6" t="s">
        <v>23</v>
      </c>
      <c r="K3505" s="6" t="s">
        <v>24</v>
      </c>
      <c r="L3505" s="6">
        <v>144000000</v>
      </c>
      <c r="M3505" s="6">
        <v>2016</v>
      </c>
      <c r="N3505" s="6">
        <v>5.5</v>
      </c>
      <c r="O3505" s="4">
        <f ca="1">IFERROR(__xludf.DUMMYFUNCTION("IF(Cost_in_dollars!E3505=""USD"",Cost_in_dollars!B3505,Cost_in_dollars!B3505 * GOOGLEFINANCE(""CURRENCY:"" &amp; Cost_in_dollars!E3505 &amp; ""USD""))
"),144000000)</f>
        <v>144000000</v>
      </c>
      <c r="P3505" s="4">
        <f ca="1">IFERROR(__xludf.DUMMYFUNCTION("IF(Cost_in_dollars!E3505=""USD"",Cost_in_dollars!C3505,Cost_in_dollars!C3505 * GOOGLEFINANCE(""CURRENCY:"" &amp; Cost_in_dollars!E3505 &amp; ""USD""))
"),118099659)</f>
        <v>118099659</v>
      </c>
      <c r="Q3505" s="6">
        <f t="shared" ca="1" si="78"/>
        <v>-25900341</v>
      </c>
      <c r="R3505" s="7" t="str">
        <f t="shared" si="79"/>
        <v>Ghostbusters</v>
      </c>
      <c r="S3505" s="43" t="str">
        <f t="shared" si="82"/>
        <v>Action</v>
      </c>
    </row>
    <row r="3506" spans="1:19" ht="15.75" customHeight="1" x14ac:dyDescent="0.25">
      <c r="A3506" s="4" t="s">
        <v>1502</v>
      </c>
      <c r="B3506" s="4">
        <v>96</v>
      </c>
      <c r="C3506" s="4">
        <v>25528495</v>
      </c>
      <c r="D3506" s="4" t="s">
        <v>10707</v>
      </c>
      <c r="E3506" s="4" t="s">
        <v>1595</v>
      </c>
      <c r="F3506" s="4" t="s">
        <v>10708</v>
      </c>
      <c r="G3506" s="4">
        <v>28099</v>
      </c>
      <c r="H3506" s="4" t="s">
        <v>10709</v>
      </c>
      <c r="I3506" s="4">
        <v>220</v>
      </c>
      <c r="J3506" s="4" t="s">
        <v>23</v>
      </c>
      <c r="K3506" s="4" t="s">
        <v>133</v>
      </c>
      <c r="L3506" s="4">
        <v>57000000</v>
      </c>
      <c r="M3506" s="4">
        <v>2001</v>
      </c>
      <c r="N3506" s="4">
        <v>5.9</v>
      </c>
      <c r="O3506" s="4">
        <f ca="1">IFERROR(__xludf.DUMMYFUNCTION("IF(Cost_in_dollars!E3506=""USD"",Cost_in_dollars!B3506,Cost_in_dollars!B3506 * GOOGLEFINANCE(""CURRENCY:"" &amp; Cost_in_dollars!E3506 &amp; ""USD""))
"),73267800)</f>
        <v>73267800</v>
      </c>
      <c r="P3506" s="4">
        <f ca="1">IFERROR(__xludf.DUMMYFUNCTION("IF(Cost_in_dollars!E3506=""USD"",Cost_in_dollars!C3506,Cost_in_dollars!C3506 * GOOGLEFINANCE(""CURRENCY:"" &amp; Cost_in_dollars!E3506 &amp; ""USD""))
"),32814327.4729999)</f>
        <v>32814327.472999901</v>
      </c>
      <c r="Q3506" s="4">
        <f t="shared" ca="1" si="78"/>
        <v>-40453472.527000099</v>
      </c>
      <c r="R3506" s="5" t="str">
        <f t="shared" si="79"/>
        <v>Captain Corelli's Mandolin</v>
      </c>
      <c r="S3506" s="43" t="str">
        <f t="shared" si="82"/>
        <v>Drama</v>
      </c>
    </row>
    <row r="3507" spans="1:19" ht="15.75" customHeight="1" x14ac:dyDescent="0.25">
      <c r="A3507" s="6" t="s">
        <v>1819</v>
      </c>
      <c r="B3507" s="6">
        <v>306</v>
      </c>
      <c r="C3507" s="6">
        <v>90755643</v>
      </c>
      <c r="D3507" s="6" t="s">
        <v>3564</v>
      </c>
      <c r="E3507" s="6" t="s">
        <v>2524</v>
      </c>
      <c r="F3507" s="6" t="s">
        <v>10710</v>
      </c>
      <c r="G3507" s="6">
        <v>222403</v>
      </c>
      <c r="H3507" s="6" t="s">
        <v>10711</v>
      </c>
      <c r="I3507" s="6">
        <v>453</v>
      </c>
      <c r="J3507" s="6" t="s">
        <v>23</v>
      </c>
      <c r="K3507" s="6" t="s">
        <v>24</v>
      </c>
      <c r="L3507" s="6">
        <v>200000000</v>
      </c>
      <c r="M3507" s="6">
        <v>2010</v>
      </c>
      <c r="N3507" s="6">
        <v>6.6</v>
      </c>
      <c r="O3507" s="4">
        <f ca="1">IFERROR(__xludf.DUMMYFUNCTION("IF(Cost_in_dollars!E3507=""USD"",Cost_in_dollars!B3507,Cost_in_dollars!B3507 * GOOGLEFINANCE(""CURRENCY:"" &amp; Cost_in_dollars!E3507 &amp; ""USD""))
"),200000000)</f>
        <v>200000000</v>
      </c>
      <c r="P3507" s="4">
        <f ca="1">IFERROR(__xludf.DUMMYFUNCTION("IF(Cost_in_dollars!E3507=""USD"",Cost_in_dollars!C3507,Cost_in_dollars!C3507 * GOOGLEFINANCE(""CURRENCY:"" &amp; Cost_in_dollars!E3507 &amp; ""USD""))
"),90755643)</f>
        <v>90755643</v>
      </c>
      <c r="Q3507" s="6">
        <f t="shared" ca="1" si="78"/>
        <v>-109244357</v>
      </c>
      <c r="R3507" s="7" t="str">
        <f t="shared" si="79"/>
        <v>Prince of Persia: The Sands of Time</v>
      </c>
      <c r="S3507" s="43" t="str">
        <f t="shared" si="82"/>
        <v>Action</v>
      </c>
    </row>
    <row r="3508" spans="1:19" ht="15.75" customHeight="1" x14ac:dyDescent="0.25">
      <c r="A3508" s="4" t="s">
        <v>1357</v>
      </c>
      <c r="B3508" s="4">
        <v>712</v>
      </c>
      <c r="C3508" s="4">
        <v>187991439</v>
      </c>
      <c r="D3508" s="4" t="s">
        <v>7548</v>
      </c>
      <c r="E3508" s="4" t="s">
        <v>79</v>
      </c>
      <c r="F3508" s="4" t="s">
        <v>10712</v>
      </c>
      <c r="G3508" s="4">
        <v>928227</v>
      </c>
      <c r="H3508" s="4" t="s">
        <v>10713</v>
      </c>
      <c r="I3508" s="4">
        <v>2725</v>
      </c>
      <c r="J3508" s="4" t="s">
        <v>23</v>
      </c>
      <c r="K3508" s="4" t="s">
        <v>24</v>
      </c>
      <c r="L3508" s="4">
        <v>165000000</v>
      </c>
      <c r="M3508" s="4">
        <v>2014</v>
      </c>
      <c r="N3508" s="4">
        <v>8.6</v>
      </c>
      <c r="O3508" s="4">
        <f ca="1">IFERROR(__xludf.DUMMYFUNCTION("IF(Cost_in_dollars!E3508=""USD"",Cost_in_dollars!B3508,Cost_in_dollars!B3508 * GOOGLEFINANCE(""CURRENCY:"" &amp; Cost_in_dollars!E3508 &amp; ""USD""))
"),165000000)</f>
        <v>165000000</v>
      </c>
      <c r="P3508" s="4">
        <f ca="1">IFERROR(__xludf.DUMMYFUNCTION("IF(Cost_in_dollars!E3508=""USD"",Cost_in_dollars!C3508,Cost_in_dollars!C3508 * GOOGLEFINANCE(""CURRENCY:"" &amp; Cost_in_dollars!E3508 &amp; ""USD""))
"),187991439)</f>
        <v>187991439</v>
      </c>
      <c r="Q3508" s="4">
        <f t="shared" ca="1" si="78"/>
        <v>22991439</v>
      </c>
      <c r="R3508" s="5" t="str">
        <f t="shared" si="79"/>
        <v>Interstellar</v>
      </c>
      <c r="S3508" s="43" t="str">
        <f t="shared" si="82"/>
        <v>Adventure</v>
      </c>
    </row>
    <row r="3509" spans="1:19" ht="15.75" customHeight="1" x14ac:dyDescent="0.25">
      <c r="A3509" s="6" t="s">
        <v>1050</v>
      </c>
      <c r="B3509" s="6">
        <v>41</v>
      </c>
      <c r="C3509" s="6">
        <v>55184721</v>
      </c>
      <c r="D3509" s="6" t="s">
        <v>457</v>
      </c>
      <c r="E3509" s="6" t="s">
        <v>2120</v>
      </c>
      <c r="F3509" s="6" t="s">
        <v>10714</v>
      </c>
      <c r="G3509" s="6">
        <v>9811</v>
      </c>
      <c r="H3509" s="6" t="s">
        <v>10715</v>
      </c>
      <c r="I3509" s="6">
        <v>100</v>
      </c>
      <c r="J3509" s="6" t="s">
        <v>23</v>
      </c>
      <c r="K3509" s="6" t="s">
        <v>24</v>
      </c>
      <c r="L3509" s="6">
        <v>15000000</v>
      </c>
      <c r="M3509" s="6">
        <v>2007</v>
      </c>
      <c r="N3509" s="6">
        <v>5.6</v>
      </c>
      <c r="O3509" s="4">
        <f ca="1">IFERROR(__xludf.DUMMYFUNCTION("IF(Cost_in_dollars!E3509=""USD"",Cost_in_dollars!B3509,Cost_in_dollars!B3509 * GOOGLEFINANCE(""CURRENCY:"" &amp; Cost_in_dollars!E3509 &amp; ""USD""))
"),15000000)</f>
        <v>15000000</v>
      </c>
      <c r="P3509" s="4">
        <f ca="1">IFERROR(__xludf.DUMMYFUNCTION("IF(Cost_in_dollars!E3509=""USD"",Cost_in_dollars!C3509,Cost_in_dollars!C3509 * GOOGLEFINANCE(""CURRENCY:"" &amp; Cost_in_dollars!E3509 &amp; ""USD""))
"),55184721)</f>
        <v>55184721</v>
      </c>
      <c r="Q3509" s="6">
        <f t="shared" ca="1" si="78"/>
        <v>40184721</v>
      </c>
      <c r="R3509" s="7" t="str">
        <f t="shared" si="79"/>
        <v>Why Did I Get Married?</v>
      </c>
      <c r="S3509" s="43" t="str">
        <f t="shared" si="82"/>
        <v>Comedy</v>
      </c>
    </row>
    <row r="3510" spans="1:19" ht="15.75" customHeight="1" x14ac:dyDescent="0.25">
      <c r="A3510" s="4" t="s">
        <v>10716</v>
      </c>
      <c r="B3510" s="4">
        <v>61</v>
      </c>
      <c r="C3510" s="4">
        <v>28399192</v>
      </c>
      <c r="D3510" s="4" t="s">
        <v>10717</v>
      </c>
      <c r="E3510" s="4" t="s">
        <v>10718</v>
      </c>
      <c r="F3510" s="4" t="s">
        <v>10719</v>
      </c>
      <c r="G3510" s="4">
        <v>5663</v>
      </c>
      <c r="H3510" s="4" t="s">
        <v>10720</v>
      </c>
      <c r="I3510" s="4">
        <v>106</v>
      </c>
      <c r="J3510" s="4" t="s">
        <v>23</v>
      </c>
      <c r="K3510" s="4" t="s">
        <v>149</v>
      </c>
      <c r="L3510" s="4">
        <v>13000000</v>
      </c>
      <c r="M3510" s="4">
        <v>2002</v>
      </c>
      <c r="N3510" s="4">
        <v>5.4</v>
      </c>
      <c r="O3510" s="4">
        <f ca="1">IFERROR(__xludf.DUMMYFUNCTION("IF(Cost_in_dollars!E3510=""USD"",Cost_in_dollars!B3510,Cost_in_dollars!B3510 * GOOGLEFINANCE(""CURRENCY:"" &amp; Cost_in_dollars!E3510 &amp; ""USD""))
"),8500440)</f>
        <v>8500440</v>
      </c>
      <c r="P3510" s="4">
        <f ca="1">IFERROR(__xludf.DUMMYFUNCTION("IF(Cost_in_dollars!E3510=""USD"",Cost_in_dollars!C3510,Cost_in_dollars!C3510 * GOOGLEFINANCE(""CURRENCY:"" &amp; Cost_in_dollars!E3510 &amp; ""USD""))
"),18569663.66496)</f>
        <v>18569663.664960001</v>
      </c>
      <c r="Q3510" s="4">
        <f t="shared" ca="1" si="78"/>
        <v>10069223.664960001</v>
      </c>
      <c r="R3510" s="5" t="str">
        <f t="shared" si="79"/>
        <v>The Crocodile Hunter: Collision Course</v>
      </c>
      <c r="S3510" s="43" t="str">
        <f t="shared" si="82"/>
        <v>Action</v>
      </c>
    </row>
    <row r="3511" spans="1:19" ht="15.75" customHeight="1" x14ac:dyDescent="0.25">
      <c r="A3511" s="6" t="s">
        <v>5093</v>
      </c>
      <c r="B3511" s="6">
        <v>79</v>
      </c>
      <c r="C3511" s="6">
        <v>54000000</v>
      </c>
      <c r="D3511" s="6" t="s">
        <v>102</v>
      </c>
      <c r="E3511" s="6" t="s">
        <v>5193</v>
      </c>
      <c r="F3511" s="6" t="s">
        <v>10721</v>
      </c>
      <c r="G3511" s="6">
        <v>26310</v>
      </c>
      <c r="H3511" s="6" t="s">
        <v>10722</v>
      </c>
      <c r="I3511" s="6">
        <v>154</v>
      </c>
      <c r="J3511" s="6" t="s">
        <v>23</v>
      </c>
      <c r="K3511" s="6" t="s">
        <v>24</v>
      </c>
      <c r="L3511" s="6">
        <v>16000000</v>
      </c>
      <c r="M3511" s="6">
        <v>1982</v>
      </c>
      <c r="N3511" s="6">
        <v>7.8</v>
      </c>
      <c r="O3511" s="4">
        <f ca="1">IFERROR(__xludf.DUMMYFUNCTION("IF(Cost_in_dollars!E3511=""USD"",Cost_in_dollars!B3511,Cost_in_dollars!B3511 * GOOGLEFINANCE(""CURRENCY:"" &amp; Cost_in_dollars!E3511 &amp; ""USD""))
"),16000000)</f>
        <v>16000000</v>
      </c>
      <c r="P3511" s="4">
        <f ca="1">IFERROR(__xludf.DUMMYFUNCTION("IF(Cost_in_dollars!E3511=""USD"",Cost_in_dollars!C3511,Cost_in_dollars!C3511 * GOOGLEFINANCE(""CURRENCY:"" &amp; Cost_in_dollars!E3511 &amp; ""USD""))
"),54000000)</f>
        <v>54000000</v>
      </c>
      <c r="Q3511" s="6">
        <f t="shared" ca="1" si="78"/>
        <v>38000000</v>
      </c>
      <c r="R3511" s="7" t="str">
        <f t="shared" si="79"/>
        <v>The Verdict</v>
      </c>
      <c r="S3511" s="43" t="str">
        <f t="shared" si="82"/>
        <v>Drama</v>
      </c>
    </row>
    <row r="3512" spans="1:19" ht="15.75" customHeight="1" x14ac:dyDescent="0.25">
      <c r="A3512" s="4" t="s">
        <v>10723</v>
      </c>
      <c r="B3512" s="4">
        <v>65</v>
      </c>
      <c r="C3512" s="4">
        <v>7369373</v>
      </c>
      <c r="D3512" s="4" t="s">
        <v>93</v>
      </c>
      <c r="E3512" s="4" t="s">
        <v>10724</v>
      </c>
      <c r="F3512" s="4" t="s">
        <v>10725</v>
      </c>
      <c r="G3512" s="4">
        <v>4288</v>
      </c>
      <c r="H3512" s="4" t="s">
        <v>10726</v>
      </c>
      <c r="I3512" s="4">
        <v>74</v>
      </c>
      <c r="J3512" s="4" t="s">
        <v>23</v>
      </c>
      <c r="K3512" s="4" t="s">
        <v>133</v>
      </c>
      <c r="L3512" s="4">
        <v>2000000</v>
      </c>
      <c r="M3512" s="4">
        <v>1986</v>
      </c>
      <c r="N3512" s="4">
        <v>5.7</v>
      </c>
      <c r="O3512" s="4">
        <f ca="1">IFERROR(__xludf.DUMMYFUNCTION("IF(Cost_in_dollars!E3512=""USD"",Cost_in_dollars!B3512,Cost_in_dollars!B3512 * GOOGLEFINANCE(""CURRENCY:"" &amp; Cost_in_dollars!E3512 &amp; ""USD""))
"),2570799.99999999)</f>
        <v>2570799.9999999902</v>
      </c>
      <c r="P3512" s="4">
        <f ca="1">IFERROR(__xludf.DUMMYFUNCTION("IF(Cost_in_dollars!E3512=""USD"",Cost_in_dollars!C3512,Cost_in_dollars!C3512 * GOOGLEFINANCE(""CURRENCY:"" &amp; Cost_in_dollars!E3512 &amp; ""USD""))
"),9472592.0542)</f>
        <v>9472592.0541999992</v>
      </c>
      <c r="Q3512" s="4">
        <f t="shared" ca="1" si="78"/>
        <v>6901792.0542000085</v>
      </c>
      <c r="R3512" s="5" t="str">
        <f t="shared" si="79"/>
        <v>Witchboard</v>
      </c>
      <c r="S3512" s="43" t="str">
        <f t="shared" si="82"/>
        <v>Horror</v>
      </c>
    </row>
    <row r="3513" spans="1:19" ht="15.75" customHeight="1" x14ac:dyDescent="0.25">
      <c r="A3513" s="6" t="s">
        <v>1050</v>
      </c>
      <c r="B3513" s="6">
        <v>40</v>
      </c>
      <c r="C3513" s="6">
        <v>60072596</v>
      </c>
      <c r="D3513" s="6" t="s">
        <v>162</v>
      </c>
      <c r="E3513" s="6" t="s">
        <v>2120</v>
      </c>
      <c r="F3513" s="6" t="s">
        <v>10727</v>
      </c>
      <c r="G3513" s="6">
        <v>7664</v>
      </c>
      <c r="H3513" s="6" t="s">
        <v>10728</v>
      </c>
      <c r="I3513" s="6">
        <v>68</v>
      </c>
      <c r="J3513" s="6" t="s">
        <v>23</v>
      </c>
      <c r="K3513" s="6" t="s">
        <v>24</v>
      </c>
      <c r="L3513" s="6">
        <v>20000000</v>
      </c>
      <c r="M3513" s="6">
        <v>2010</v>
      </c>
      <c r="N3513" s="6">
        <v>4.4000000000000004</v>
      </c>
      <c r="O3513" s="4">
        <f ca="1">IFERROR(__xludf.DUMMYFUNCTION("IF(Cost_in_dollars!E3513=""USD"",Cost_in_dollars!B3513,Cost_in_dollars!B3513 * GOOGLEFINANCE(""CURRENCY:"" &amp; Cost_in_dollars!E3513 &amp; ""USD""))
"),20000000)</f>
        <v>20000000</v>
      </c>
      <c r="P3513" s="4">
        <f ca="1">IFERROR(__xludf.DUMMYFUNCTION("IF(Cost_in_dollars!E3513=""USD"",Cost_in_dollars!C3513,Cost_in_dollars!C3513 * GOOGLEFINANCE(""CURRENCY:"" &amp; Cost_in_dollars!E3513 &amp; ""USD""))
"),60072596)</f>
        <v>60072596</v>
      </c>
      <c r="Q3513" s="6">
        <f t="shared" ca="1" si="78"/>
        <v>40072596</v>
      </c>
      <c r="R3513" s="7" t="str">
        <f t="shared" si="79"/>
        <v>Why Did I Get Married Too?</v>
      </c>
      <c r="S3513" s="43" t="str">
        <f t="shared" si="82"/>
        <v>Comedy</v>
      </c>
    </row>
    <row r="3514" spans="1:19" ht="15.75" customHeight="1" x14ac:dyDescent="0.25">
      <c r="A3514" s="4" t="s">
        <v>2400</v>
      </c>
      <c r="B3514" s="4">
        <v>239</v>
      </c>
      <c r="C3514" s="4">
        <v>176049130</v>
      </c>
      <c r="D3514" s="4" t="s">
        <v>1158</v>
      </c>
      <c r="E3514" s="4" t="s">
        <v>588</v>
      </c>
      <c r="F3514" s="4" t="s">
        <v>10729</v>
      </c>
      <c r="G3514" s="4">
        <v>348232</v>
      </c>
      <c r="H3514" s="4" t="s">
        <v>10730</v>
      </c>
      <c r="I3514" s="4">
        <v>806</v>
      </c>
      <c r="J3514" s="4" t="s">
        <v>23</v>
      </c>
      <c r="K3514" s="4" t="s">
        <v>24</v>
      </c>
      <c r="L3514" s="4">
        <v>75000000</v>
      </c>
      <c r="M3514" s="4">
        <v>2004</v>
      </c>
      <c r="N3514" s="4">
        <v>7.8</v>
      </c>
      <c r="O3514" s="4">
        <f ca="1">IFERROR(__xludf.DUMMYFUNCTION("IF(Cost_in_dollars!E3514=""USD"",Cost_in_dollars!B3514,Cost_in_dollars!B3514 * GOOGLEFINANCE(""CURRENCY:"" &amp; Cost_in_dollars!E3514 &amp; ""USD""))
"),75000000)</f>
        <v>75000000</v>
      </c>
      <c r="P3514" s="4">
        <f ca="1">IFERROR(__xludf.DUMMYFUNCTION("IF(Cost_in_dollars!E3514=""USD"",Cost_in_dollars!C3514,Cost_in_dollars!C3514 * GOOGLEFINANCE(""CURRENCY:"" &amp; Cost_in_dollars!E3514 &amp; ""USD""))
"),176049130)</f>
        <v>176049130</v>
      </c>
      <c r="Q3514" s="4">
        <f t="shared" ca="1" si="78"/>
        <v>101049130</v>
      </c>
      <c r="R3514" s="5" t="str">
        <f t="shared" si="79"/>
        <v>The Bourne Supremacy</v>
      </c>
      <c r="S3514" s="43" t="str">
        <f t="shared" si="82"/>
        <v>Action</v>
      </c>
    </row>
    <row r="3515" spans="1:19" ht="15.75" customHeight="1" x14ac:dyDescent="0.25">
      <c r="A3515" s="6" t="s">
        <v>3729</v>
      </c>
      <c r="B3515" s="6">
        <v>303</v>
      </c>
      <c r="C3515" s="6">
        <v>47277326</v>
      </c>
      <c r="D3515" s="6" t="s">
        <v>151</v>
      </c>
      <c r="E3515" s="6" t="s">
        <v>3730</v>
      </c>
      <c r="F3515" s="6" t="s">
        <v>10731</v>
      </c>
      <c r="G3515" s="6">
        <v>138814</v>
      </c>
      <c r="H3515" s="6" t="s">
        <v>10732</v>
      </c>
      <c r="I3515" s="6">
        <v>1516</v>
      </c>
      <c r="J3515" s="6" t="s">
        <v>23</v>
      </c>
      <c r="K3515" s="6" t="s">
        <v>24</v>
      </c>
      <c r="L3515" s="6">
        <v>4800000</v>
      </c>
      <c r="M3515" s="6">
        <v>2005</v>
      </c>
      <c r="N3515" s="6">
        <v>5.9</v>
      </c>
      <c r="O3515" s="4">
        <f ca="1">IFERROR(__xludf.DUMMYFUNCTION("IF(Cost_in_dollars!E3515=""USD"",Cost_in_dollars!B3515,Cost_in_dollars!B3515 * GOOGLEFINANCE(""CURRENCY:"" &amp; Cost_in_dollars!E3515 &amp; ""USD""))
"),4800000)</f>
        <v>4800000</v>
      </c>
      <c r="P3515" s="4">
        <f ca="1">IFERROR(__xludf.DUMMYFUNCTION("IF(Cost_in_dollars!E3515=""USD"",Cost_in_dollars!C3515,Cost_in_dollars!C3515 * GOOGLEFINANCE(""CURRENCY:"" &amp; Cost_in_dollars!E3515 &amp; ""USD""))
"),47277326)</f>
        <v>47277326</v>
      </c>
      <c r="Q3515" s="6">
        <f t="shared" ca="1" si="78"/>
        <v>42477326</v>
      </c>
      <c r="R3515" s="7" t="str">
        <f t="shared" si="79"/>
        <v>Hostel</v>
      </c>
      <c r="S3515" s="43" t="str">
        <f t="shared" si="82"/>
        <v>Horror</v>
      </c>
    </row>
    <row r="3516" spans="1:19" ht="15.75" customHeight="1" x14ac:dyDescent="0.25">
      <c r="A3516" s="4" t="s">
        <v>4813</v>
      </c>
      <c r="B3516" s="4">
        <v>437</v>
      </c>
      <c r="C3516" s="4">
        <v>109712885</v>
      </c>
      <c r="D3516" s="4" t="s">
        <v>135</v>
      </c>
      <c r="E3516" s="4" t="s">
        <v>2547</v>
      </c>
      <c r="F3516" s="4" t="s">
        <v>10733</v>
      </c>
      <c r="G3516" s="4">
        <v>146708</v>
      </c>
      <c r="H3516" s="4" t="s">
        <v>10734</v>
      </c>
      <c r="I3516" s="4">
        <v>362</v>
      </c>
      <c r="J3516" s="4" t="s">
        <v>23</v>
      </c>
      <c r="K3516" s="4" t="s">
        <v>24</v>
      </c>
      <c r="L3516" s="4">
        <v>35000000</v>
      </c>
      <c r="M3516" s="4">
        <v>2015</v>
      </c>
      <c r="N3516" s="4">
        <v>7.7</v>
      </c>
      <c r="O3516" s="4">
        <f ca="1">IFERROR(__xludf.DUMMYFUNCTION("IF(Cost_in_dollars!E3516=""USD"",Cost_in_dollars!B3516,Cost_in_dollars!B3516 * GOOGLEFINANCE(""CURRENCY:"" &amp; Cost_in_dollars!E3516 &amp; ""USD""))
"),35000000)</f>
        <v>35000000</v>
      </c>
      <c r="P3516" s="4">
        <f ca="1">IFERROR(__xludf.DUMMYFUNCTION("IF(Cost_in_dollars!E3516=""USD"",Cost_in_dollars!C3516,Cost_in_dollars!C3516 * GOOGLEFINANCE(""CURRENCY:"" &amp; Cost_in_dollars!E3516 &amp; ""USD""))
"),109712885)</f>
        <v>109712885</v>
      </c>
      <c r="Q3516" s="4">
        <f t="shared" ca="1" si="78"/>
        <v>74712885</v>
      </c>
      <c r="R3516" s="5" t="str">
        <f t="shared" si="79"/>
        <v>Creed</v>
      </c>
      <c r="S3516" s="43" t="str">
        <f t="shared" si="82"/>
        <v>Drama</v>
      </c>
    </row>
    <row r="3517" spans="1:19" ht="15.75" customHeight="1" x14ac:dyDescent="0.25">
      <c r="A3517" s="6" t="s">
        <v>10735</v>
      </c>
      <c r="B3517" s="6">
        <v>36</v>
      </c>
      <c r="C3517" s="6">
        <v>62480</v>
      </c>
      <c r="D3517" s="6" t="s">
        <v>885</v>
      </c>
      <c r="E3517" s="6" t="s">
        <v>10736</v>
      </c>
      <c r="F3517" s="6" t="s">
        <v>10737</v>
      </c>
      <c r="G3517" s="6">
        <v>1048</v>
      </c>
      <c r="H3517" s="6" t="s">
        <v>10738</v>
      </c>
      <c r="I3517" s="6">
        <v>7</v>
      </c>
      <c r="J3517" s="6" t="s">
        <v>23</v>
      </c>
      <c r="K3517" s="6" t="s">
        <v>24</v>
      </c>
      <c r="L3517" s="6">
        <v>1000000</v>
      </c>
      <c r="M3517" s="6">
        <v>2015</v>
      </c>
      <c r="N3517" s="6">
        <v>5.5</v>
      </c>
      <c r="O3517" s="4">
        <f ca="1">IFERROR(__xludf.DUMMYFUNCTION("IF(Cost_in_dollars!E3517=""USD"",Cost_in_dollars!B3517,Cost_in_dollars!B3517 * GOOGLEFINANCE(""CURRENCY:"" &amp; Cost_in_dollars!E3517 &amp; ""USD""))
"),1000000)</f>
        <v>1000000</v>
      </c>
      <c r="P3517" s="4">
        <f ca="1">IFERROR(__xludf.DUMMYFUNCTION("IF(Cost_in_dollars!E3517=""USD"",Cost_in_dollars!C3517,Cost_in_dollars!C3517 * GOOGLEFINANCE(""CURRENCY:"" &amp; Cost_in_dollars!E3517 &amp; ""USD""))
"),62480)</f>
        <v>62480</v>
      </c>
      <c r="Q3517" s="6">
        <f t="shared" ca="1" si="78"/>
        <v>-937520</v>
      </c>
      <c r="R3517" s="7" t="str">
        <f t="shared" si="79"/>
        <v>Creative Control</v>
      </c>
      <c r="S3517" s="43" t="str">
        <f t="shared" si="82"/>
        <v>Drama</v>
      </c>
    </row>
    <row r="3518" spans="1:19" ht="15.75" customHeight="1" x14ac:dyDescent="0.25">
      <c r="A3518" s="4" t="s">
        <v>280</v>
      </c>
      <c r="B3518" s="4">
        <v>102</v>
      </c>
      <c r="C3518" s="4">
        <v>35007180</v>
      </c>
      <c r="D3518" s="4" t="s">
        <v>504</v>
      </c>
      <c r="E3518" s="4" t="s">
        <v>805</v>
      </c>
      <c r="F3518" s="4" t="s">
        <v>10739</v>
      </c>
      <c r="G3518" s="4">
        <v>26846</v>
      </c>
      <c r="H3518" s="4" t="s">
        <v>10740</v>
      </c>
      <c r="I3518" s="4">
        <v>193</v>
      </c>
      <c r="J3518" s="4" t="s">
        <v>23</v>
      </c>
      <c r="K3518" s="4" t="s">
        <v>24</v>
      </c>
      <c r="L3518" s="4">
        <v>15000000</v>
      </c>
      <c r="M3518" s="4">
        <v>2000</v>
      </c>
      <c r="N3518" s="4">
        <v>5.6</v>
      </c>
      <c r="O3518" s="4">
        <f ca="1">IFERROR(__xludf.DUMMYFUNCTION("IF(Cost_in_dollars!E3518=""USD"",Cost_in_dollars!B3518,Cost_in_dollars!B3518 * GOOGLEFINANCE(""CURRENCY:"" &amp; Cost_in_dollars!E3518 &amp; ""USD""))
"),15000000)</f>
        <v>15000000</v>
      </c>
      <c r="P3518" s="4">
        <f ca="1">IFERROR(__xludf.DUMMYFUNCTION("IF(Cost_in_dollars!E3518=""USD"",Cost_in_dollars!C3518,Cost_in_dollars!C3518 * GOOGLEFINANCE(""CURRENCY:"" &amp; Cost_in_dollars!E3518 &amp; ""USD""))
"),35007180)</f>
        <v>35007180</v>
      </c>
      <c r="Q3518" s="4">
        <f t="shared" ca="1" si="78"/>
        <v>20007180</v>
      </c>
      <c r="R3518" s="5" t="str">
        <f t="shared" si="79"/>
        <v>The Skulls</v>
      </c>
      <c r="S3518" s="43" t="str">
        <f t="shared" si="82"/>
        <v>Action</v>
      </c>
    </row>
    <row r="3519" spans="1:19" ht="15.75" customHeight="1" x14ac:dyDescent="0.25">
      <c r="A3519" s="6" t="s">
        <v>460</v>
      </c>
      <c r="B3519" s="6">
        <v>198</v>
      </c>
      <c r="C3519" s="6">
        <v>5484375</v>
      </c>
      <c r="D3519" s="6" t="s">
        <v>10741</v>
      </c>
      <c r="E3519" s="6" t="s">
        <v>1595</v>
      </c>
      <c r="F3519" s="6" t="s">
        <v>10742</v>
      </c>
      <c r="G3519" s="6">
        <v>84641</v>
      </c>
      <c r="H3519" s="6" t="s">
        <v>10743</v>
      </c>
      <c r="I3519" s="6">
        <v>205</v>
      </c>
      <c r="J3519" s="6" t="s">
        <v>23</v>
      </c>
      <c r="K3519" s="6" t="s">
        <v>24</v>
      </c>
      <c r="L3519" s="6">
        <v>10000000</v>
      </c>
      <c r="M3519" s="6">
        <v>2006</v>
      </c>
      <c r="N3519" s="6">
        <v>7.3</v>
      </c>
      <c r="O3519" s="4">
        <f ca="1">IFERROR(__xludf.DUMMYFUNCTION("IF(Cost_in_dollars!E3519=""USD"",Cost_in_dollars!B3519,Cost_in_dollars!B3519 * GOOGLEFINANCE(""CURRENCY:"" &amp; Cost_in_dollars!E3519 &amp; ""USD""))
"),10000000)</f>
        <v>10000000</v>
      </c>
      <c r="P3519" s="4">
        <f ca="1">IFERROR(__xludf.DUMMYFUNCTION("IF(Cost_in_dollars!E3519=""USD"",Cost_in_dollars!C3519,Cost_in_dollars!C3519 * GOOGLEFINANCE(""CURRENCY:"" &amp; Cost_in_dollars!E3519 &amp; ""USD""))
"),5484375)</f>
        <v>5484375</v>
      </c>
      <c r="Q3519" s="6">
        <f t="shared" ca="1" si="78"/>
        <v>-4515625</v>
      </c>
      <c r="R3519" s="7" t="str">
        <f t="shared" si="79"/>
        <v>Rescue Dawn</v>
      </c>
      <c r="S3519" s="43" t="str">
        <f t="shared" si="82"/>
        <v>Adventure</v>
      </c>
    </row>
    <row r="3520" spans="1:19" ht="15.75" customHeight="1" x14ac:dyDescent="0.25">
      <c r="A3520" s="4" t="s">
        <v>323</v>
      </c>
      <c r="B3520" s="4">
        <v>93</v>
      </c>
      <c r="C3520" s="4">
        <v>25584685</v>
      </c>
      <c r="D3520" s="4" t="s">
        <v>10744</v>
      </c>
      <c r="E3520" s="4" t="s">
        <v>10745</v>
      </c>
      <c r="F3520" s="4" t="s">
        <v>10746</v>
      </c>
      <c r="G3520" s="4">
        <v>15877</v>
      </c>
      <c r="H3520" s="4" t="s">
        <v>10747</v>
      </c>
      <c r="I3520" s="4">
        <v>102</v>
      </c>
      <c r="J3520" s="4" t="s">
        <v>23</v>
      </c>
      <c r="K3520" s="4" t="s">
        <v>24</v>
      </c>
      <c r="L3520" s="4">
        <v>20000000</v>
      </c>
      <c r="M3520" s="4">
        <v>2007</v>
      </c>
      <c r="N3520" s="4">
        <v>5.9</v>
      </c>
      <c r="O3520" s="4">
        <f ca="1">IFERROR(__xludf.DUMMYFUNCTION("IF(Cost_in_dollars!E3520=""USD"",Cost_in_dollars!B3520,Cost_in_dollars!B3520 * GOOGLEFINANCE(""CURRENCY:"" &amp; Cost_in_dollars!E3520 &amp; ""USD""))
"),20000000)</f>
        <v>20000000</v>
      </c>
      <c r="P3520" s="4">
        <f ca="1">IFERROR(__xludf.DUMMYFUNCTION("IF(Cost_in_dollars!E3520=""USD"",Cost_in_dollars!C3520,Cost_in_dollars!C3520 * GOOGLEFINANCE(""CURRENCY:"" &amp; Cost_in_dollars!E3520 &amp; ""USD""))
"),25584685)</f>
        <v>25584685</v>
      </c>
      <c r="Q3520" s="4">
        <f t="shared" ca="1" si="78"/>
        <v>5584685</v>
      </c>
      <c r="R3520" s="5" t="str">
        <f t="shared" si="79"/>
        <v>Nancy Drew</v>
      </c>
      <c r="S3520" s="43" t="str">
        <f t="shared" si="82"/>
        <v>Comedy</v>
      </c>
    </row>
    <row r="3521" spans="1:19" ht="15.75" customHeight="1" x14ac:dyDescent="0.25">
      <c r="A3521" s="6" t="s">
        <v>10748</v>
      </c>
      <c r="B3521" s="6">
        <v>160</v>
      </c>
      <c r="C3521" s="6">
        <v>9176553</v>
      </c>
      <c r="D3521" s="6" t="s">
        <v>78</v>
      </c>
      <c r="E3521" s="6" t="s">
        <v>473</v>
      </c>
      <c r="F3521" s="6" t="s">
        <v>10749</v>
      </c>
      <c r="G3521" s="6">
        <v>19147</v>
      </c>
      <c r="H3521" s="6" t="s">
        <v>10750</v>
      </c>
      <c r="I3521" s="6">
        <v>97</v>
      </c>
      <c r="J3521" s="6" t="s">
        <v>23</v>
      </c>
      <c r="K3521" s="6" t="s">
        <v>24</v>
      </c>
      <c r="L3521" s="6">
        <v>7500000</v>
      </c>
      <c r="M3521" s="6">
        <v>2009</v>
      </c>
      <c r="N3521" s="6">
        <v>7.1</v>
      </c>
      <c r="O3521" s="4">
        <f ca="1">IFERROR(__xludf.DUMMYFUNCTION("IF(Cost_in_dollars!E3521=""USD"",Cost_in_dollars!B3521,Cost_in_dollars!B3521 * GOOGLEFINANCE(""CURRENCY:"" &amp; Cost_in_dollars!E3521 &amp; ""USD""))
"),7500000)</f>
        <v>7500000</v>
      </c>
      <c r="P3521" s="4">
        <f ca="1">IFERROR(__xludf.DUMMYFUNCTION("IF(Cost_in_dollars!E3521=""USD"",Cost_in_dollars!C3521,Cost_in_dollars!C3521 * GOOGLEFINANCE(""CURRENCY:"" &amp; Cost_in_dollars!E3521 &amp; ""USD""))
"),9176553)</f>
        <v>9176553</v>
      </c>
      <c r="Q3521" s="6">
        <f t="shared" ca="1" si="78"/>
        <v>1676553</v>
      </c>
      <c r="R3521" s="7" t="str">
        <f t="shared" si="79"/>
        <v>Get Low</v>
      </c>
      <c r="S3521" s="43" t="str">
        <f t="shared" si="82"/>
        <v>Drama</v>
      </c>
    </row>
    <row r="3522" spans="1:19" ht="15.75" customHeight="1" x14ac:dyDescent="0.25">
      <c r="A3522" s="4" t="s">
        <v>10751</v>
      </c>
      <c r="B3522" s="4">
        <v>121</v>
      </c>
      <c r="C3522" s="4">
        <v>55350897</v>
      </c>
      <c r="D3522" s="4" t="s">
        <v>3272</v>
      </c>
      <c r="E3522" s="4" t="s">
        <v>676</v>
      </c>
      <c r="F3522" s="4" t="s">
        <v>10752</v>
      </c>
      <c r="G3522" s="4">
        <v>83560</v>
      </c>
      <c r="H3522" s="4" t="s">
        <v>10753</v>
      </c>
      <c r="I3522" s="4">
        <v>619</v>
      </c>
      <c r="J3522" s="4" t="s">
        <v>23</v>
      </c>
      <c r="K3522" s="4" t="s">
        <v>24</v>
      </c>
      <c r="L3522" s="4">
        <v>85000000</v>
      </c>
      <c r="M3522" s="4">
        <v>1998</v>
      </c>
      <c r="N3522" s="4">
        <v>7</v>
      </c>
      <c r="O3522" s="4">
        <f ca="1">IFERROR(__xludf.DUMMYFUNCTION("IF(Cost_in_dollars!E3522=""USD"",Cost_in_dollars!B3522,Cost_in_dollars!B3522 * GOOGLEFINANCE(""CURRENCY:"" &amp; Cost_in_dollars!E3522 &amp; ""USD""))
"),85000000)</f>
        <v>85000000</v>
      </c>
      <c r="P3522" s="4">
        <f ca="1">IFERROR(__xludf.DUMMYFUNCTION("IF(Cost_in_dollars!E3522=""USD"",Cost_in_dollars!C3522,Cost_in_dollars!C3522 * GOOGLEFINANCE(""CURRENCY:"" &amp; Cost_in_dollars!E3522 &amp; ""USD""))
"),55350897)</f>
        <v>55350897</v>
      </c>
      <c r="Q3522" s="4">
        <f t="shared" ca="1" si="78"/>
        <v>-29649103</v>
      </c>
      <c r="R3522" s="5" t="str">
        <f t="shared" si="79"/>
        <v>What Dreams May Come</v>
      </c>
      <c r="S3522" s="43" t="str">
        <f t="shared" ref="S3522:S3588" si="83">IF(ISNUMBER(FIND("|", D3522)), LEFT(D3522, FIND("|", D3522) - 1), D3522)</f>
        <v>Drama</v>
      </c>
    </row>
    <row r="3523" spans="1:19" ht="15.75" customHeight="1" x14ac:dyDescent="0.25">
      <c r="A3523" s="6" t="s">
        <v>841</v>
      </c>
      <c r="B3523" s="6">
        <v>112</v>
      </c>
      <c r="C3523" s="6">
        <v>62300000</v>
      </c>
      <c r="D3523" s="6" t="s">
        <v>477</v>
      </c>
      <c r="E3523" s="6" t="s">
        <v>10754</v>
      </c>
      <c r="F3523" s="6" t="s">
        <v>10755</v>
      </c>
      <c r="G3523" s="6">
        <v>72085</v>
      </c>
      <c r="H3523" s="6" t="s">
        <v>10756</v>
      </c>
      <c r="I3523" s="6">
        <v>263</v>
      </c>
      <c r="J3523" s="6" t="s">
        <v>23</v>
      </c>
      <c r="K3523" s="6" t="s">
        <v>133</v>
      </c>
      <c r="L3523" s="6">
        <v>28000000</v>
      </c>
      <c r="M3523" s="6">
        <v>1981</v>
      </c>
      <c r="N3523" s="6">
        <v>6.8</v>
      </c>
      <c r="O3523" s="4">
        <f ca="1">IFERROR(__xludf.DUMMYFUNCTION("IF(Cost_in_dollars!E3523=""USD"",Cost_in_dollars!B3523,Cost_in_dollars!B3523 * GOOGLEFINANCE(""CURRENCY:"" &amp; Cost_in_dollars!E3523 &amp; ""USD""))
"),35991200)</f>
        <v>35991200</v>
      </c>
      <c r="P3523" s="4">
        <f ca="1">IFERROR(__xludf.DUMMYFUNCTION("IF(Cost_in_dollars!E3523=""USD"",Cost_in_dollars!C3523,Cost_in_dollars!C3523 * GOOGLEFINANCE(""CURRENCY:"" &amp; Cost_in_dollars!E3523 &amp; ""USD""))
"),80080419.9999999)</f>
        <v>80080419.999999896</v>
      </c>
      <c r="Q3523" s="6">
        <f t="shared" ca="1" si="78"/>
        <v>44089219.999999896</v>
      </c>
      <c r="R3523" s="7" t="str">
        <f t="shared" si="79"/>
        <v>For Your Eyes Only</v>
      </c>
      <c r="S3523" s="43" t="str">
        <f t="shared" si="83"/>
        <v>Action</v>
      </c>
    </row>
    <row r="3524" spans="1:19" ht="15.75" customHeight="1" x14ac:dyDescent="0.25">
      <c r="A3524" s="4" t="s">
        <v>1514</v>
      </c>
      <c r="B3524" s="4">
        <v>142</v>
      </c>
      <c r="C3524" s="4">
        <v>83892374</v>
      </c>
      <c r="D3524" s="4" t="s">
        <v>1608</v>
      </c>
      <c r="E3524" s="4" t="s">
        <v>3648</v>
      </c>
      <c r="F3524" s="4" t="s">
        <v>10757</v>
      </c>
      <c r="G3524" s="4">
        <v>85720</v>
      </c>
      <c r="H3524" s="4" t="s">
        <v>10758</v>
      </c>
      <c r="I3524" s="4">
        <v>297</v>
      </c>
      <c r="J3524" s="4" t="s">
        <v>23</v>
      </c>
      <c r="K3524" s="4" t="s">
        <v>24</v>
      </c>
      <c r="L3524" s="4">
        <v>66000000</v>
      </c>
      <c r="M3524" s="4">
        <v>1998</v>
      </c>
      <c r="N3524" s="4">
        <v>7</v>
      </c>
      <c r="O3524" s="4">
        <f ca="1">IFERROR(__xludf.DUMMYFUNCTION("IF(Cost_in_dollars!E3524=""USD"",Cost_in_dollars!B3524,Cost_in_dollars!B3524 * GOOGLEFINANCE(""CURRENCY:"" &amp; Cost_in_dollars!E3524 &amp; ""USD""))
"),66000000)</f>
        <v>66000000</v>
      </c>
      <c r="P3524" s="4">
        <f ca="1">IFERROR(__xludf.DUMMYFUNCTION("IF(Cost_in_dollars!E3524=""USD"",Cost_in_dollars!C3524,Cost_in_dollars!C3524 * GOOGLEFINANCE(""CURRENCY:"" &amp; Cost_in_dollars!E3524 &amp; ""USD""))
"),83892374)</f>
        <v>83892374</v>
      </c>
      <c r="Q3524" s="4">
        <f t="shared" ca="1" si="78"/>
        <v>17892374</v>
      </c>
      <c r="R3524" s="5" t="str">
        <f t="shared" si="79"/>
        <v>The X Files</v>
      </c>
      <c r="S3524" s="43" t="str">
        <f t="shared" si="83"/>
        <v>Drama</v>
      </c>
    </row>
    <row r="3525" spans="1:19" ht="15.75" customHeight="1" x14ac:dyDescent="0.25">
      <c r="A3525" s="6" t="s">
        <v>5280</v>
      </c>
      <c r="B3525" s="6">
        <v>472</v>
      </c>
      <c r="C3525" s="6">
        <v>115646235</v>
      </c>
      <c r="D3525" s="6" t="s">
        <v>1749</v>
      </c>
      <c r="E3525" s="6" t="s">
        <v>10759</v>
      </c>
      <c r="F3525" s="6" t="s">
        <v>10760</v>
      </c>
      <c r="G3525" s="6">
        <v>531737</v>
      </c>
      <c r="H3525" s="6" t="s">
        <v>10761</v>
      </c>
      <c r="I3525" s="6">
        <v>1262</v>
      </c>
      <c r="J3525" s="6" t="s">
        <v>23</v>
      </c>
      <c r="K3525" s="6" t="s">
        <v>4347</v>
      </c>
      <c r="L3525" s="6">
        <v>30000000</v>
      </c>
      <c r="M3525" s="6">
        <v>2009</v>
      </c>
      <c r="N3525" s="6">
        <v>8</v>
      </c>
      <c r="O3525" s="4">
        <f ca="1">IFERROR(__xludf.DUMMYFUNCTION("IF(Cost_in_dollars!E3525=""USD"",Cost_in_dollars!B3525,Cost_in_dollars!B3525 * GOOGLEFINANCE(""CURRENCY:"" &amp; Cost_in_dollars!E3525 &amp; ""USD""))
"),1633035)</f>
        <v>1633035</v>
      </c>
      <c r="P3525" s="4">
        <f ca="1">IFERROR(__xludf.DUMMYFUNCTION("IF(Cost_in_dollars!E3525=""USD"",Cost_in_dollars!C3525,Cost_in_dollars!C3525 * GOOGLEFINANCE(""CURRENCY:"" &amp; Cost_in_dollars!E3525 &amp; ""USD""))
"),6295144.9791075)</f>
        <v>6295144.9791075001</v>
      </c>
      <c r="Q3525" s="6">
        <f t="shared" ca="1" si="78"/>
        <v>4662109.9791075001</v>
      </c>
      <c r="R3525" s="7" t="str">
        <f t="shared" si="79"/>
        <v>District 9</v>
      </c>
      <c r="S3525" s="43" t="str">
        <f t="shared" si="83"/>
        <v>Action</v>
      </c>
    </row>
    <row r="3526" spans="1:19" ht="15.75" customHeight="1" x14ac:dyDescent="0.25">
      <c r="A3526" s="4" t="s">
        <v>67</v>
      </c>
      <c r="B3526" s="4">
        <v>57</v>
      </c>
      <c r="C3526" s="4">
        <v>2185266</v>
      </c>
      <c r="D3526" s="4" t="s">
        <v>465</v>
      </c>
      <c r="E3526" s="4" t="s">
        <v>10762</v>
      </c>
      <c r="F3526" s="4" t="s">
        <v>10763</v>
      </c>
      <c r="G3526" s="4">
        <v>8720</v>
      </c>
      <c r="H3526" s="4" t="s">
        <v>10764</v>
      </c>
      <c r="I3526" s="4">
        <v>186</v>
      </c>
      <c r="J3526" s="4" t="s">
        <v>23</v>
      </c>
      <c r="K3526" s="4" t="s">
        <v>24</v>
      </c>
      <c r="L3526" s="4">
        <v>10000000</v>
      </c>
      <c r="M3526" s="4">
        <v>2000</v>
      </c>
      <c r="N3526" s="4">
        <v>6.5</v>
      </c>
      <c r="O3526" s="4">
        <f ca="1">IFERROR(__xludf.DUMMYFUNCTION("IF(Cost_in_dollars!E3526=""USD"",Cost_in_dollars!B3526,Cost_in_dollars!B3526 * GOOGLEFINANCE(""CURRENCY:"" &amp; Cost_in_dollars!E3526 &amp; ""USD""))
"),10000000)</f>
        <v>10000000</v>
      </c>
      <c r="P3526" s="4">
        <f ca="1">IFERROR(__xludf.DUMMYFUNCTION("IF(Cost_in_dollars!E3526=""USD"",Cost_in_dollars!C3526,Cost_in_dollars!C3526 * GOOGLEFINANCE(""CURRENCY:"" &amp; Cost_in_dollars!E3526 &amp; ""USD""))
"),2185266)</f>
        <v>2185266</v>
      </c>
      <c r="Q3526" s="4">
        <f t="shared" ca="1" si="78"/>
        <v>-7814734</v>
      </c>
      <c r="R3526" s="5" t="str">
        <f t="shared" si="79"/>
        <v>Bamboozled</v>
      </c>
      <c r="S3526" s="43" t="str">
        <f t="shared" si="83"/>
        <v>Comedy</v>
      </c>
    </row>
    <row r="3527" spans="1:19" ht="15.75" customHeight="1" x14ac:dyDescent="0.25">
      <c r="A3527" s="6" t="s">
        <v>1731</v>
      </c>
      <c r="B3527" s="6">
        <v>150</v>
      </c>
      <c r="C3527" s="6">
        <v>116006080</v>
      </c>
      <c r="D3527" s="6" t="s">
        <v>162</v>
      </c>
      <c r="E3527" s="6" t="s">
        <v>536</v>
      </c>
      <c r="F3527" s="6" t="s">
        <v>10765</v>
      </c>
      <c r="G3527" s="6">
        <v>203269</v>
      </c>
      <c r="H3527" s="6" t="s">
        <v>10766</v>
      </c>
      <c r="I3527" s="6">
        <v>602</v>
      </c>
      <c r="J3527" s="6" t="s">
        <v>23</v>
      </c>
      <c r="K3527" s="6" t="s">
        <v>133</v>
      </c>
      <c r="L3527" s="6">
        <v>42000000</v>
      </c>
      <c r="M3527" s="6">
        <v>1999</v>
      </c>
      <c r="N3527" s="6">
        <v>7</v>
      </c>
      <c r="O3527" s="4">
        <f ca="1">IFERROR(__xludf.DUMMYFUNCTION("IF(Cost_in_dollars!E3527=""USD"",Cost_in_dollars!B3527,Cost_in_dollars!B3527 * GOOGLEFINANCE(""CURRENCY:"" &amp; Cost_in_dollars!E3527 &amp; ""USD""))
"),53986799.9999999)</f>
        <v>53986799.999999903</v>
      </c>
      <c r="P3527" s="4">
        <f ca="1">IFERROR(__xludf.DUMMYFUNCTION("IF(Cost_in_dollars!E3527=""USD"",Cost_in_dollars!C3527,Cost_in_dollars!C3527 * GOOGLEFINANCE(""CURRENCY:"" &amp; Cost_in_dollars!E3527 &amp; ""USD""))
"),149114215.232)</f>
        <v>149114215.23199999</v>
      </c>
      <c r="Q3527" s="6">
        <f t="shared" ca="1" si="78"/>
        <v>95127415.232000083</v>
      </c>
      <c r="R3527" s="7" t="str">
        <f t="shared" si="79"/>
        <v>Notting Hill</v>
      </c>
      <c r="S3527" s="43" t="str">
        <f t="shared" si="83"/>
        <v>Comedy</v>
      </c>
    </row>
    <row r="3528" spans="1:19" ht="15.75" customHeight="1" x14ac:dyDescent="0.25">
      <c r="A3528" s="4" t="s">
        <v>5373</v>
      </c>
      <c r="B3528" s="4">
        <v>239</v>
      </c>
      <c r="C3528" s="4">
        <v>96471845</v>
      </c>
      <c r="D3528" s="4" t="s">
        <v>958</v>
      </c>
      <c r="E3528" s="4" t="s">
        <v>10767</v>
      </c>
      <c r="F3528" s="4" t="s">
        <v>10768</v>
      </c>
      <c r="G3528" s="4">
        <v>268581</v>
      </c>
      <c r="H3528" s="4" t="s">
        <v>10769</v>
      </c>
      <c r="I3528" s="4">
        <v>1109</v>
      </c>
      <c r="J3528" s="4" t="s">
        <v>23</v>
      </c>
      <c r="K3528" s="4" t="s">
        <v>24</v>
      </c>
      <c r="L3528" s="4">
        <v>17000000</v>
      </c>
      <c r="M3528" s="4">
        <v>2001</v>
      </c>
      <c r="N3528" s="4">
        <v>7.6</v>
      </c>
      <c r="O3528" s="4">
        <f ca="1">IFERROR(__xludf.DUMMYFUNCTION("IF(Cost_in_dollars!E3528=""USD"",Cost_in_dollars!B3528,Cost_in_dollars!B3528 * GOOGLEFINANCE(""CURRENCY:"" &amp; Cost_in_dollars!E3528 &amp; ""USD""))
"),17000000)</f>
        <v>17000000</v>
      </c>
      <c r="P3528" s="4">
        <f ca="1">IFERROR(__xludf.DUMMYFUNCTION("IF(Cost_in_dollars!E3528=""USD"",Cost_in_dollars!C3528,Cost_in_dollars!C3528 * GOOGLEFINANCE(""CURRENCY:"" &amp; Cost_in_dollars!E3528 &amp; ""USD""))
"),96471845)</f>
        <v>96471845</v>
      </c>
      <c r="Q3528" s="4">
        <f t="shared" ca="1" si="78"/>
        <v>79471845</v>
      </c>
      <c r="R3528" s="5" t="str">
        <f t="shared" si="79"/>
        <v>The Others</v>
      </c>
      <c r="S3528" s="43" t="str">
        <f t="shared" si="83"/>
        <v>Fantasy</v>
      </c>
    </row>
    <row r="3529" spans="1:19" ht="15.75" customHeight="1" x14ac:dyDescent="0.25">
      <c r="A3529" s="6" t="s">
        <v>10770</v>
      </c>
      <c r="B3529" s="6">
        <v>168</v>
      </c>
      <c r="C3529" s="6">
        <v>19377727</v>
      </c>
      <c r="D3529" s="6" t="s">
        <v>2483</v>
      </c>
      <c r="E3529" s="6" t="s">
        <v>1764</v>
      </c>
      <c r="F3529" s="6" t="s">
        <v>10771</v>
      </c>
      <c r="G3529" s="6">
        <v>35140</v>
      </c>
      <c r="H3529" s="6" t="s">
        <v>10772</v>
      </c>
      <c r="I3529" s="6">
        <v>409</v>
      </c>
      <c r="J3529" s="6" t="s">
        <v>23</v>
      </c>
      <c r="K3529" s="6" t="s">
        <v>24</v>
      </c>
      <c r="L3529" s="6">
        <v>45000000</v>
      </c>
      <c r="M3529" s="6">
        <v>2005</v>
      </c>
      <c r="N3529" s="6">
        <v>6.4</v>
      </c>
      <c r="O3529" s="4">
        <f ca="1">IFERROR(__xludf.DUMMYFUNCTION("IF(Cost_in_dollars!E3529=""USD"",Cost_in_dollars!B3529,Cost_in_dollars!B3529 * GOOGLEFINANCE(""CURRENCY:"" &amp; Cost_in_dollars!E3529 &amp; ""USD""))
"),45000000)</f>
        <v>45000000</v>
      </c>
      <c r="P3529" s="4">
        <f ca="1">IFERROR(__xludf.DUMMYFUNCTION("IF(Cost_in_dollars!E3529=""USD"",Cost_in_dollars!C3529,Cost_in_dollars!C3529 * GOOGLEFINANCE(""CURRENCY:"" &amp; Cost_in_dollars!E3529 &amp; ""USD""))
"),19377727)</f>
        <v>19377727</v>
      </c>
      <c r="Q3529" s="6">
        <f t="shared" ca="1" si="78"/>
        <v>-25622273</v>
      </c>
      <c r="R3529" s="7" t="str">
        <f t="shared" si="79"/>
        <v>The Producers</v>
      </c>
      <c r="S3529" s="43" t="str">
        <f t="shared" si="83"/>
        <v>Comedy</v>
      </c>
    </row>
    <row r="3530" spans="1:19" ht="15.75" customHeight="1" x14ac:dyDescent="0.25">
      <c r="A3530" s="4" t="s">
        <v>2638</v>
      </c>
      <c r="B3530" s="4">
        <v>222</v>
      </c>
      <c r="C3530" s="4">
        <v>14337579</v>
      </c>
      <c r="D3530" s="4" t="s">
        <v>10773</v>
      </c>
      <c r="E3530" s="4" t="s">
        <v>7739</v>
      </c>
      <c r="F3530" s="4" t="s">
        <v>10774</v>
      </c>
      <c r="G3530" s="4">
        <v>156929</v>
      </c>
      <c r="H3530" s="4" t="s">
        <v>10775</v>
      </c>
      <c r="I3530" s="4">
        <v>624</v>
      </c>
      <c r="J3530" s="4" t="s">
        <v>23</v>
      </c>
      <c r="K3530" s="4" t="s">
        <v>149</v>
      </c>
      <c r="L3530" s="4">
        <v>27000000</v>
      </c>
      <c r="M3530" s="4">
        <v>1998</v>
      </c>
      <c r="N3530" s="4">
        <v>7.7</v>
      </c>
      <c r="O3530" s="4">
        <f ca="1">IFERROR(__xludf.DUMMYFUNCTION("IF(Cost_in_dollars!E3530=""USD"",Cost_in_dollars!B3530,Cost_in_dollars!B3530 * GOOGLEFINANCE(""CURRENCY:"" &amp; Cost_in_dollars!E3530 &amp; ""USD""))
"),17654760)</f>
        <v>17654760</v>
      </c>
      <c r="P3530" s="4">
        <f ca="1">IFERROR(__xludf.DUMMYFUNCTION("IF(Cost_in_dollars!E3530=""USD"",Cost_in_dollars!C3530,Cost_in_dollars!C3530 * GOOGLEFINANCE(""CURRENCY:"" &amp; Cost_in_dollars!E3530 &amp; ""USD""))
"),9375056.15652)</f>
        <v>9375056.1565199997</v>
      </c>
      <c r="Q3530" s="4">
        <f t="shared" ca="1" si="78"/>
        <v>-8279703.8434800003</v>
      </c>
      <c r="R3530" s="5" t="str">
        <f t="shared" si="79"/>
        <v>Dark City</v>
      </c>
      <c r="S3530" s="43" t="str">
        <f t="shared" si="83"/>
        <v>Action</v>
      </c>
    </row>
    <row r="3531" spans="1:19" ht="15.75" customHeight="1" x14ac:dyDescent="0.25">
      <c r="A3531" s="6" t="s">
        <v>695</v>
      </c>
      <c r="B3531" s="6">
        <v>211</v>
      </c>
      <c r="C3531" s="6">
        <v>29802761</v>
      </c>
      <c r="D3531" s="6" t="s">
        <v>3417</v>
      </c>
      <c r="E3531" s="6" t="s">
        <v>886</v>
      </c>
      <c r="F3531" s="6" t="s">
        <v>10776</v>
      </c>
      <c r="G3531" s="6">
        <v>46480</v>
      </c>
      <c r="H3531" s="6" t="s">
        <v>10777</v>
      </c>
      <c r="I3531" s="6">
        <v>115</v>
      </c>
      <c r="J3531" s="6" t="s">
        <v>23</v>
      </c>
      <c r="K3531" s="6" t="s">
        <v>24</v>
      </c>
      <c r="L3531" s="6">
        <v>40000000</v>
      </c>
      <c r="M3531" s="6">
        <v>2013</v>
      </c>
      <c r="N3531" s="6">
        <v>6.4</v>
      </c>
      <c r="O3531" s="4">
        <f ca="1">IFERROR(__xludf.DUMMYFUNCTION("IF(Cost_in_dollars!E3531=""USD"",Cost_in_dollars!B3531,Cost_in_dollars!B3531 * GOOGLEFINANCE(""CURRENCY:"" &amp; Cost_in_dollars!E3531 &amp; ""USD""))
"),40000000)</f>
        <v>40000000</v>
      </c>
      <c r="P3531" s="4">
        <f ca="1">IFERROR(__xludf.DUMMYFUNCTION("IF(Cost_in_dollars!E3531=""USD"",Cost_in_dollars!C3531,Cost_in_dollars!C3531 * GOOGLEFINANCE(""CURRENCY:"" &amp; Cost_in_dollars!E3531 &amp; ""USD""))
"),29802761)</f>
        <v>29802761</v>
      </c>
      <c r="Q3531" s="6">
        <f t="shared" ca="1" si="78"/>
        <v>-10197239</v>
      </c>
      <c r="R3531" s="7" t="str">
        <f t="shared" si="79"/>
        <v>Grudge Match</v>
      </c>
      <c r="S3531" s="43" t="str">
        <f t="shared" si="83"/>
        <v>Comedy</v>
      </c>
    </row>
    <row r="3532" spans="1:19" ht="15.75" customHeight="1" x14ac:dyDescent="0.25">
      <c r="A3532" s="4" t="s">
        <v>1810</v>
      </c>
      <c r="B3532" s="4">
        <v>105</v>
      </c>
      <c r="C3532" s="4">
        <v>32122249</v>
      </c>
      <c r="D3532" s="4" t="s">
        <v>443</v>
      </c>
      <c r="E3532" s="4" t="s">
        <v>886</v>
      </c>
      <c r="F3532" s="4" t="s">
        <v>10778</v>
      </c>
      <c r="G3532" s="4">
        <v>69319</v>
      </c>
      <c r="H3532" s="4" t="s">
        <v>10779</v>
      </c>
      <c r="I3532" s="4">
        <v>138</v>
      </c>
      <c r="J3532" s="4" t="s">
        <v>23</v>
      </c>
      <c r="K3532" s="4" t="s">
        <v>24</v>
      </c>
      <c r="L3532" s="4">
        <v>60000000</v>
      </c>
      <c r="M3532" s="4">
        <v>2002</v>
      </c>
      <c r="N3532" s="4">
        <v>5.9</v>
      </c>
      <c r="O3532" s="4">
        <f ca="1">IFERROR(__xludf.DUMMYFUNCTION("IF(Cost_in_dollars!E3532=""USD"",Cost_in_dollars!B3532,Cost_in_dollars!B3532 * GOOGLEFINANCE(""CURRENCY:"" &amp; Cost_in_dollars!E3532 &amp; ""USD""))
"),60000000)</f>
        <v>60000000</v>
      </c>
      <c r="P3532" s="4">
        <f ca="1">IFERROR(__xludf.DUMMYFUNCTION("IF(Cost_in_dollars!E3532=""USD"",Cost_in_dollars!C3532,Cost_in_dollars!C3532 * GOOGLEFINANCE(""CURRENCY:"" &amp; Cost_in_dollars!E3532 &amp; ""USD""))
"),32122249)</f>
        <v>32122249</v>
      </c>
      <c r="Q3532" s="4">
        <f t="shared" ca="1" si="78"/>
        <v>-27877751</v>
      </c>
      <c r="R3532" s="5" t="str">
        <f t="shared" si="79"/>
        <v>Analyze That</v>
      </c>
      <c r="S3532" s="43" t="str">
        <f t="shared" si="83"/>
        <v>Comedy</v>
      </c>
    </row>
    <row r="3533" spans="1:19" ht="15.75" customHeight="1" x14ac:dyDescent="0.25">
      <c r="A3533" s="6" t="s">
        <v>700</v>
      </c>
      <c r="B3533" s="6">
        <v>304</v>
      </c>
      <c r="C3533" s="6">
        <v>204565000</v>
      </c>
      <c r="D3533" s="6" t="s">
        <v>151</v>
      </c>
      <c r="E3533" s="6" t="s">
        <v>136</v>
      </c>
      <c r="F3533" s="6" t="s">
        <v>10780</v>
      </c>
      <c r="G3533" s="6">
        <v>284252</v>
      </c>
      <c r="H3533" s="6" t="s">
        <v>10781</v>
      </c>
      <c r="I3533" s="6">
        <v>1058</v>
      </c>
      <c r="J3533" s="6" t="s">
        <v>23</v>
      </c>
      <c r="K3533" s="6" t="s">
        <v>24</v>
      </c>
      <c r="L3533" s="6">
        <v>8000000</v>
      </c>
      <c r="M3533" s="6">
        <v>1973</v>
      </c>
      <c r="N3533" s="6">
        <v>8</v>
      </c>
      <c r="O3533" s="4">
        <f ca="1">IFERROR(__xludf.DUMMYFUNCTION("IF(Cost_in_dollars!E3533=""USD"",Cost_in_dollars!B3533,Cost_in_dollars!B3533 * GOOGLEFINANCE(""CURRENCY:"" &amp; Cost_in_dollars!E3533 &amp; ""USD""))
"),8000000)</f>
        <v>8000000</v>
      </c>
      <c r="P3533" s="4">
        <f ca="1">IFERROR(__xludf.DUMMYFUNCTION("IF(Cost_in_dollars!E3533=""USD"",Cost_in_dollars!C3533,Cost_in_dollars!C3533 * GOOGLEFINANCE(""CURRENCY:"" &amp; Cost_in_dollars!E3533 &amp; ""USD""))
"),204565000)</f>
        <v>204565000</v>
      </c>
      <c r="Q3533" s="6">
        <f t="shared" ca="1" si="78"/>
        <v>196565000</v>
      </c>
      <c r="R3533" s="7" t="str">
        <f t="shared" si="79"/>
        <v>The Exorcist</v>
      </c>
      <c r="S3533" s="43" t="str">
        <f t="shared" si="83"/>
        <v>Horror</v>
      </c>
    </row>
    <row r="3534" spans="1:19" ht="15.75" customHeight="1" x14ac:dyDescent="0.25">
      <c r="A3534" s="4" t="s">
        <v>2730</v>
      </c>
      <c r="B3534" s="4">
        <v>85</v>
      </c>
      <c r="C3534" s="4">
        <v>113745408</v>
      </c>
      <c r="D3534" s="4" t="s">
        <v>10782</v>
      </c>
      <c r="E3534" s="4" t="s">
        <v>2732</v>
      </c>
      <c r="F3534" s="4" t="s">
        <v>10783</v>
      </c>
      <c r="G3534" s="4">
        <v>129601</v>
      </c>
      <c r="H3534" s="4" t="s">
        <v>10784</v>
      </c>
      <c r="I3534" s="4">
        <v>648</v>
      </c>
      <c r="J3534" s="4" t="s">
        <v>23</v>
      </c>
      <c r="K3534" s="4" t="s">
        <v>24</v>
      </c>
      <c r="L3534" s="4">
        <v>170000000</v>
      </c>
      <c r="M3534" s="4">
        <v>1999</v>
      </c>
      <c r="N3534" s="4">
        <v>4.8</v>
      </c>
      <c r="O3534" s="4">
        <f ca="1">IFERROR(__xludf.DUMMYFUNCTION("IF(Cost_in_dollars!E3534=""USD"",Cost_in_dollars!B3534,Cost_in_dollars!B3534 * GOOGLEFINANCE(""CURRENCY:"" &amp; Cost_in_dollars!E3534 &amp; ""USD""))
"),170000000)</f>
        <v>170000000</v>
      </c>
      <c r="P3534" s="4">
        <f ca="1">IFERROR(__xludf.DUMMYFUNCTION("IF(Cost_in_dollars!E3534=""USD"",Cost_in_dollars!C3534,Cost_in_dollars!C3534 * GOOGLEFINANCE(""CURRENCY:"" &amp; Cost_in_dollars!E3534 &amp; ""USD""))
"),113745408)</f>
        <v>113745408</v>
      </c>
      <c r="Q3534" s="4">
        <f t="shared" ca="1" si="78"/>
        <v>-56254592</v>
      </c>
      <c r="R3534" s="5" t="str">
        <f t="shared" si="79"/>
        <v>Wild Wild West</v>
      </c>
      <c r="S3534" s="43" t="str">
        <f t="shared" si="83"/>
        <v>Action</v>
      </c>
    </row>
    <row r="3535" spans="1:19" ht="15.75" customHeight="1" x14ac:dyDescent="0.25">
      <c r="A3535" s="6" t="s">
        <v>5608</v>
      </c>
      <c r="B3535" s="6">
        <v>137</v>
      </c>
      <c r="C3535" s="6">
        <v>10042266</v>
      </c>
      <c r="D3535" s="6" t="s">
        <v>2396</v>
      </c>
      <c r="E3535" s="6" t="s">
        <v>3500</v>
      </c>
      <c r="F3535" s="6" t="s">
        <v>10785</v>
      </c>
      <c r="G3535" s="6">
        <v>23021</v>
      </c>
      <c r="H3535" s="6" t="s">
        <v>10786</v>
      </c>
      <c r="I3535" s="6">
        <v>220</v>
      </c>
      <c r="J3535" s="6" t="s">
        <v>23</v>
      </c>
      <c r="K3535" s="6" t="s">
        <v>24</v>
      </c>
      <c r="L3535" s="6">
        <v>1000000</v>
      </c>
      <c r="M3535" s="6">
        <v>2005</v>
      </c>
      <c r="N3535" s="6">
        <v>5.9</v>
      </c>
      <c r="O3535" s="4">
        <f ca="1">IFERROR(__xludf.DUMMYFUNCTION("IF(Cost_in_dollars!E3535=""USD"",Cost_in_dollars!B3535,Cost_in_dollars!B3535 * GOOGLEFINANCE(""CURRENCY:"" &amp; Cost_in_dollars!E3535 &amp; ""USD""))
"),1000000)</f>
        <v>1000000</v>
      </c>
      <c r="P3535" s="4">
        <f ca="1">IFERROR(__xludf.DUMMYFUNCTION("IF(Cost_in_dollars!E3535=""USD"",Cost_in_dollars!C3535,Cost_in_dollars!C3535 * GOOGLEFINANCE(""CURRENCY:"" &amp; Cost_in_dollars!E3535 &amp; ""USD""))
"),10042266)</f>
        <v>10042266</v>
      </c>
      <c r="Q3535" s="6">
        <f t="shared" ca="1" si="78"/>
        <v>9042266</v>
      </c>
      <c r="R3535" s="7" t="str">
        <f t="shared" si="79"/>
        <v>Cry_Wolf</v>
      </c>
      <c r="S3535" s="43" t="str">
        <f t="shared" si="83"/>
        <v>Drama</v>
      </c>
    </row>
    <row r="3536" spans="1:19" ht="15.75" customHeight="1" x14ac:dyDescent="0.25">
      <c r="A3536" s="4" t="s">
        <v>962</v>
      </c>
      <c r="B3536" s="4">
        <v>242</v>
      </c>
      <c r="C3536" s="4">
        <v>25517500</v>
      </c>
      <c r="D3536" s="4" t="s">
        <v>623</v>
      </c>
      <c r="E3536" s="4" t="s">
        <v>6916</v>
      </c>
      <c r="F3536" s="4" t="s">
        <v>10787</v>
      </c>
      <c r="G3536" s="4">
        <v>40941</v>
      </c>
      <c r="H3536" s="4" t="s">
        <v>10788</v>
      </c>
      <c r="I3536" s="4">
        <v>320</v>
      </c>
      <c r="J3536" s="4" t="s">
        <v>23</v>
      </c>
      <c r="K3536" s="4" t="s">
        <v>24</v>
      </c>
      <c r="L3536" s="4">
        <v>25100000</v>
      </c>
      <c r="M3536" s="4">
        <v>2008</v>
      </c>
      <c r="N3536" s="4">
        <v>6.4</v>
      </c>
      <c r="O3536" s="4">
        <f ca="1">IFERROR(__xludf.DUMMYFUNCTION("IF(Cost_in_dollars!E3536=""USD"",Cost_in_dollars!B3536,Cost_in_dollars!B3536 * GOOGLEFINANCE(""CURRENCY:"" &amp; Cost_in_dollars!E3536 &amp; ""USD""))
"),25100000)</f>
        <v>25100000</v>
      </c>
      <c r="P3536" s="4">
        <f ca="1">IFERROR(__xludf.DUMMYFUNCTION("IF(Cost_in_dollars!E3536=""USD"",Cost_in_dollars!C3536,Cost_in_dollars!C3536 * GOOGLEFINANCE(""CURRENCY:"" &amp; Cost_in_dollars!E3536 &amp; ""USD""))
"),25517500)</f>
        <v>25517500</v>
      </c>
      <c r="Q3536" s="4">
        <f t="shared" ca="1" si="78"/>
        <v>417500</v>
      </c>
      <c r="R3536" s="5" t="str">
        <f t="shared" si="79"/>
        <v>W.</v>
      </c>
      <c r="S3536" s="43" t="str">
        <f t="shared" si="83"/>
        <v>Biography</v>
      </c>
    </row>
    <row r="3537" spans="1:19" ht="15.75" customHeight="1" x14ac:dyDescent="0.25">
      <c r="A3537" s="6" t="s">
        <v>1819</v>
      </c>
      <c r="B3537" s="6">
        <v>295</v>
      </c>
      <c r="C3537" s="6">
        <v>289994397</v>
      </c>
      <c r="D3537" s="6" t="s">
        <v>1025</v>
      </c>
      <c r="E3537" s="6" t="s">
        <v>264</v>
      </c>
      <c r="F3537" s="6" t="s">
        <v>10789</v>
      </c>
      <c r="G3537" s="6">
        <v>385670</v>
      </c>
      <c r="H3537" s="6" t="s">
        <v>10790</v>
      </c>
      <c r="I3537" s="6">
        <v>1896</v>
      </c>
      <c r="J3537" s="6" t="s">
        <v>23</v>
      </c>
      <c r="K3537" s="6" t="s">
        <v>133</v>
      </c>
      <c r="L3537" s="6">
        <v>150000000</v>
      </c>
      <c r="M3537" s="6">
        <v>2005</v>
      </c>
      <c r="N3537" s="6">
        <v>7.6</v>
      </c>
      <c r="O3537" s="4">
        <f ca="1">IFERROR(__xludf.DUMMYFUNCTION("IF(Cost_in_dollars!E3537=""USD"",Cost_in_dollars!B3537,Cost_in_dollars!B3537 * GOOGLEFINANCE(""CURRENCY:"" &amp; Cost_in_dollars!E3537 &amp; ""USD""))
"),192809999.999999)</f>
        <v>192809999.99999899</v>
      </c>
      <c r="P3537" s="4">
        <f ca="1">IFERROR(__xludf.DUMMYFUNCTION("IF(Cost_in_dollars!E3537=""USD"",Cost_in_dollars!C3537,Cost_in_dollars!C3537 * GOOGLEFINANCE(""CURRENCY:"" &amp; Cost_in_dollars!E3537 &amp; ""USD""))
"),372758797.903799)</f>
        <v>372758797.903799</v>
      </c>
      <c r="Q3537" s="6">
        <f t="shared" ca="1" si="78"/>
        <v>179948797.90380001</v>
      </c>
      <c r="R3537" s="7" t="str">
        <f t="shared" si="79"/>
        <v>Harry Potter and the Goblet of Fire</v>
      </c>
      <c r="S3537" s="43" t="str">
        <f t="shared" si="83"/>
        <v>Adventure</v>
      </c>
    </row>
    <row r="3538" spans="1:19" ht="15.75" customHeight="1" x14ac:dyDescent="0.25">
      <c r="A3538" s="4" t="s">
        <v>10791</v>
      </c>
      <c r="B3538" s="4">
        <v>19</v>
      </c>
      <c r="C3538" s="4">
        <v>15091542</v>
      </c>
      <c r="D3538" s="4" t="s">
        <v>2913</v>
      </c>
      <c r="E3538" s="4" t="s">
        <v>3648</v>
      </c>
      <c r="F3538" s="4" t="s">
        <v>10792</v>
      </c>
      <c r="G3538" s="4">
        <v>4086</v>
      </c>
      <c r="H3538" s="4" t="s">
        <v>10793</v>
      </c>
      <c r="I3538" s="4">
        <v>22</v>
      </c>
      <c r="J3538" s="4" t="s">
        <v>40</v>
      </c>
      <c r="K3538" s="4" t="s">
        <v>133</v>
      </c>
      <c r="L3538" s="4">
        <v>25000000</v>
      </c>
      <c r="M3538" s="4">
        <v>1996</v>
      </c>
      <c r="N3538" s="4">
        <v>5.3</v>
      </c>
      <c r="O3538" s="4">
        <f ca="1">IFERROR(__xludf.DUMMYFUNCTION("IF(Cost_in_dollars!E3538=""USD"",Cost_in_dollars!B3538,Cost_in_dollars!B3538 * GOOGLEFINANCE(""CURRENCY:"" &amp; Cost_in_dollars!E3538 &amp; ""USD""))
"),32134999.9999999)</f>
        <v>32134999.999999899</v>
      </c>
      <c r="P3538" s="4">
        <f ca="1">IFERROR(__xludf.DUMMYFUNCTION("IF(Cost_in_dollars!E3538=""USD"",Cost_in_dollars!C3538,Cost_in_dollars!C3538 * GOOGLEFINANCE(""CURRENCY:"" &amp; Cost_in_dollars!E3538 &amp; ""USD""))
"),19398668.0867999)</f>
        <v>19398668.086799901</v>
      </c>
      <c r="Q3538" s="4">
        <f t="shared" ca="1" si="78"/>
        <v>-12736331.913199998</v>
      </c>
      <c r="R3538" s="5" t="str">
        <f t="shared" si="79"/>
        <v>The Adventures of Pinocchio</v>
      </c>
      <c r="S3538" s="43" t="str">
        <f t="shared" si="83"/>
        <v>Adventure</v>
      </c>
    </row>
    <row r="3539" spans="1:19" ht="15.75" customHeight="1" x14ac:dyDescent="0.25">
      <c r="A3539" s="6" t="s">
        <v>258</v>
      </c>
      <c r="B3539" s="6">
        <v>181</v>
      </c>
      <c r="C3539" s="6">
        <v>193136719</v>
      </c>
      <c r="D3539" s="6" t="s">
        <v>1827</v>
      </c>
      <c r="E3539" s="6" t="s">
        <v>269</v>
      </c>
      <c r="F3539" s="6" t="s">
        <v>10794</v>
      </c>
      <c r="G3539" s="6">
        <v>266636</v>
      </c>
      <c r="H3539" s="6" t="s">
        <v>10795</v>
      </c>
      <c r="I3539" s="6">
        <v>385</v>
      </c>
      <c r="J3539" s="6" t="s">
        <v>23</v>
      </c>
      <c r="K3539" s="6" t="s">
        <v>24</v>
      </c>
      <c r="L3539" s="6">
        <v>75000000</v>
      </c>
      <c r="M3539" s="6">
        <v>2005</v>
      </c>
      <c r="N3539" s="6">
        <v>6.9</v>
      </c>
      <c r="O3539" s="4">
        <f ca="1">IFERROR(__xludf.DUMMYFUNCTION("IF(Cost_in_dollars!E3539=""USD"",Cost_in_dollars!B3539,Cost_in_dollars!B3539 * GOOGLEFINANCE(""CURRENCY:"" &amp; Cost_in_dollars!E3539 &amp; ""USD""))
"),75000000)</f>
        <v>75000000</v>
      </c>
      <c r="P3539" s="4">
        <f ca="1">IFERROR(__xludf.DUMMYFUNCTION("IF(Cost_in_dollars!E3539=""USD"",Cost_in_dollars!C3539,Cost_in_dollars!C3539 * GOOGLEFINANCE(""CURRENCY:"" &amp; Cost_in_dollars!E3539 &amp; ""USD""))
"),193136719)</f>
        <v>193136719</v>
      </c>
      <c r="Q3539" s="6">
        <f t="shared" ca="1" si="78"/>
        <v>118136719</v>
      </c>
      <c r="R3539" s="7" t="str">
        <f t="shared" si="79"/>
        <v>Madagascar</v>
      </c>
      <c r="S3539" s="43" t="str">
        <f t="shared" si="83"/>
        <v>Adventure</v>
      </c>
    </row>
    <row r="3540" spans="1:19" ht="15.75" customHeight="1" x14ac:dyDescent="0.25">
      <c r="A3540" s="4" t="s">
        <v>1201</v>
      </c>
      <c r="B3540" s="4">
        <v>165</v>
      </c>
      <c r="C3540" s="4">
        <v>177343675</v>
      </c>
      <c r="D3540" s="4" t="s">
        <v>417</v>
      </c>
      <c r="E3540" s="4" t="s">
        <v>1202</v>
      </c>
      <c r="F3540" s="4" t="s">
        <v>1203</v>
      </c>
      <c r="G3540" s="4">
        <v>70121</v>
      </c>
      <c r="H3540" s="4" t="s">
        <v>1204</v>
      </c>
      <c r="I3540" s="4">
        <v>214</v>
      </c>
      <c r="J3540" s="4" t="s">
        <v>23</v>
      </c>
      <c r="K3540" s="4" t="s">
        <v>24</v>
      </c>
      <c r="L3540" s="4">
        <v>135000000</v>
      </c>
      <c r="M3540" s="4">
        <v>2015</v>
      </c>
      <c r="N3540" s="4">
        <v>6.7</v>
      </c>
      <c r="O3540" s="4">
        <f ca="1">IFERROR(__xludf.DUMMYFUNCTION("IF(Cost_in_dollars!E3540=""USD"",Cost_in_dollars!B3540,Cost_in_dollars!B3540 * GOOGLEFINANCE(""CURRENCY:"" &amp; Cost_in_dollars!E3540 &amp; ""USD""))
"),135000000)</f>
        <v>135000000</v>
      </c>
      <c r="P3540" s="4">
        <f ca="1">IFERROR(__xludf.DUMMYFUNCTION("IF(Cost_in_dollars!E3540=""USD"",Cost_in_dollars!C3540,Cost_in_dollars!C3540 * GOOGLEFINANCE(""CURRENCY:"" &amp; Cost_in_dollars!E3540 &amp; ""USD""))
"),177343675)</f>
        <v>177343675</v>
      </c>
      <c r="Q3540" s="4">
        <f t="shared" ca="1" si="78"/>
        <v>42343675</v>
      </c>
      <c r="R3540" s="5" t="str">
        <f t="shared" si="79"/>
        <v>Home</v>
      </c>
      <c r="S3540" s="43" t="str">
        <f t="shared" si="83"/>
        <v>Adventure</v>
      </c>
    </row>
    <row r="3541" spans="1:19" ht="15.75" customHeight="1" x14ac:dyDescent="0.25">
      <c r="A3541" s="6" t="s">
        <v>10796</v>
      </c>
      <c r="B3541" s="6">
        <v>248</v>
      </c>
      <c r="C3541" s="6">
        <v>484221</v>
      </c>
      <c r="D3541" s="6" t="s">
        <v>10797</v>
      </c>
      <c r="E3541" s="6" t="s">
        <v>10798</v>
      </c>
      <c r="F3541" s="6" t="s">
        <v>10799</v>
      </c>
      <c r="G3541" s="6">
        <v>23836</v>
      </c>
      <c r="H3541" s="6" t="s">
        <v>10800</v>
      </c>
      <c r="I3541" s="6">
        <v>107</v>
      </c>
      <c r="J3541" s="6" t="s">
        <v>6389</v>
      </c>
      <c r="K3541" s="6" t="s">
        <v>133</v>
      </c>
      <c r="L3541" s="6">
        <v>1000000</v>
      </c>
      <c r="M3541" s="6">
        <v>2012</v>
      </c>
      <c r="N3541" s="6">
        <v>8.1999999999999993</v>
      </c>
      <c r="O3541" s="4">
        <f ca="1">IFERROR(__xludf.DUMMYFUNCTION("IF(Cost_in_dollars!E3541=""USD"",Cost_in_dollars!B3541,Cost_in_dollars!B3541 * GOOGLEFINANCE(""CURRENCY:"" &amp; Cost_in_dollars!E3541 &amp; ""USD""))
"),1285399.99999999)</f>
        <v>1285399.99999999</v>
      </c>
      <c r="P3541" s="4">
        <f ca="1">IFERROR(__xludf.DUMMYFUNCTION("IF(Cost_in_dollars!E3541=""USD"",Cost_in_dollars!C3541,Cost_in_dollars!C3541 * GOOGLEFINANCE(""CURRENCY:"" &amp; Cost_in_dollars!E3541 &amp; ""USD""))
"),622417.6734)</f>
        <v>622417.67339999997</v>
      </c>
      <c r="Q3541" s="6">
        <f t="shared" ca="1" si="78"/>
        <v>-662982.32659999002</v>
      </c>
      <c r="R3541" s="7" t="str">
        <f t="shared" si="79"/>
        <v>The Act of Killing</v>
      </c>
      <c r="S3541" s="43" t="str">
        <f t="shared" si="83"/>
        <v>Biography</v>
      </c>
    </row>
    <row r="3542" spans="1:19" ht="15.75" customHeight="1" x14ac:dyDescent="0.25">
      <c r="A3542" s="4" t="s">
        <v>10801</v>
      </c>
      <c r="B3542" s="4">
        <v>194</v>
      </c>
      <c r="C3542" s="4">
        <v>13823741</v>
      </c>
      <c r="D3542" s="4" t="s">
        <v>68</v>
      </c>
      <c r="E3542" s="4" t="s">
        <v>2493</v>
      </c>
      <c r="F3542" s="4" t="s">
        <v>10802</v>
      </c>
      <c r="G3542" s="4">
        <v>61777</v>
      </c>
      <c r="H3542" s="4" t="s">
        <v>10803</v>
      </c>
      <c r="I3542" s="4">
        <v>140</v>
      </c>
      <c r="J3542" s="4" t="s">
        <v>23</v>
      </c>
      <c r="K3542" s="4" t="s">
        <v>133</v>
      </c>
      <c r="L3542" s="4">
        <v>13500000</v>
      </c>
      <c r="M3542" s="4">
        <v>2008</v>
      </c>
      <c r="N3542" s="4">
        <v>6.9</v>
      </c>
      <c r="O3542" s="4">
        <f ca="1">IFERROR(__xludf.DUMMYFUNCTION("IF(Cost_in_dollars!E3542=""USD"",Cost_in_dollars!B3542,Cost_in_dollars!B3542 * GOOGLEFINANCE(""CURRENCY:"" &amp; Cost_in_dollars!E3542 &amp; ""USD""))
"),17352900)</f>
        <v>17352900</v>
      </c>
      <c r="P3542" s="4">
        <f ca="1">IFERROR(__xludf.DUMMYFUNCTION("IF(Cost_in_dollars!E3542=""USD"",Cost_in_dollars!C3542,Cost_in_dollars!C3542 * GOOGLEFINANCE(""CURRENCY:"" &amp; Cost_in_dollars!E3542 &amp; ""USD""))
"),17769036.6813999)</f>
        <v>17769036.6813999</v>
      </c>
      <c r="Q3542" s="4">
        <f t="shared" ca="1" si="78"/>
        <v>416136.68139990047</v>
      </c>
      <c r="R3542" s="5" t="str">
        <f t="shared" si="79"/>
        <v>The Duchess</v>
      </c>
      <c r="S3542" s="43" t="str">
        <f t="shared" si="83"/>
        <v>Biography</v>
      </c>
    </row>
    <row r="3543" spans="1:19" ht="15.75" customHeight="1" x14ac:dyDescent="0.25">
      <c r="A3543" s="6" t="s">
        <v>10804</v>
      </c>
      <c r="B3543" s="6">
        <v>44</v>
      </c>
      <c r="C3543" s="6">
        <v>11634458</v>
      </c>
      <c r="D3543" s="6" t="s">
        <v>10805</v>
      </c>
      <c r="E3543" s="6" t="s">
        <v>1184</v>
      </c>
      <c r="F3543" s="6" t="s">
        <v>10806</v>
      </c>
      <c r="G3543" s="6">
        <v>2045</v>
      </c>
      <c r="H3543" s="6" t="s">
        <v>10807</v>
      </c>
      <c r="I3543" s="6">
        <v>37</v>
      </c>
      <c r="J3543" s="6" t="s">
        <v>23</v>
      </c>
      <c r="K3543" s="6" t="s">
        <v>24</v>
      </c>
      <c r="L3543" s="6">
        <v>17000000</v>
      </c>
      <c r="M3543" s="6">
        <v>1999</v>
      </c>
      <c r="N3543" s="6">
        <v>5.8</v>
      </c>
      <c r="O3543" s="4">
        <f ca="1">IFERROR(__xludf.DUMMYFUNCTION("IF(Cost_in_dollars!E3543=""USD"",Cost_in_dollars!B3543,Cost_in_dollars!B3543 * GOOGLEFINANCE(""CURRENCY:"" &amp; Cost_in_dollars!E3543 &amp; ""USD""))
"),17000000)</f>
        <v>17000000</v>
      </c>
      <c r="P3543" s="4">
        <f ca="1">IFERROR(__xludf.DUMMYFUNCTION("IF(Cost_in_dollars!E3543=""USD"",Cost_in_dollars!C3543,Cost_in_dollars!C3543 * GOOGLEFINANCE(""CURRENCY:"" &amp; Cost_in_dollars!E3543 &amp; ""USD""))
"),11634458)</f>
        <v>11634458</v>
      </c>
      <c r="Q3543" s="6">
        <f t="shared" ca="1" si="78"/>
        <v>-5365542</v>
      </c>
      <c r="R3543" s="7" t="str">
        <f t="shared" si="79"/>
        <v>The Adventures of Elmo in Grouchland</v>
      </c>
      <c r="S3543" s="43" t="str">
        <f t="shared" si="83"/>
        <v>Adventure</v>
      </c>
    </row>
    <row r="3544" spans="1:19" ht="15.75" customHeight="1" x14ac:dyDescent="0.25">
      <c r="A3544" s="4" t="s">
        <v>539</v>
      </c>
      <c r="B3544" s="4">
        <v>159</v>
      </c>
      <c r="C3544" s="4">
        <v>100853835</v>
      </c>
      <c r="D3544" s="4" t="s">
        <v>1608</v>
      </c>
      <c r="E3544" s="4" t="s">
        <v>79</v>
      </c>
      <c r="F3544" s="4" t="s">
        <v>10808</v>
      </c>
      <c r="G3544" s="4">
        <v>200556</v>
      </c>
      <c r="H3544" s="4" t="s">
        <v>10809</v>
      </c>
      <c r="I3544" s="4">
        <v>611</v>
      </c>
      <c r="J3544" s="4" t="s">
        <v>23</v>
      </c>
      <c r="K3544" s="4" t="s">
        <v>24</v>
      </c>
      <c r="L3544" s="4">
        <v>90000000</v>
      </c>
      <c r="M3544" s="4">
        <v>1997</v>
      </c>
      <c r="N3544" s="4">
        <v>7.4</v>
      </c>
      <c r="O3544" s="4">
        <f ca="1">IFERROR(__xludf.DUMMYFUNCTION("IF(Cost_in_dollars!E3544=""USD"",Cost_in_dollars!B3544,Cost_in_dollars!B3544 * GOOGLEFINANCE(""CURRENCY:"" &amp; Cost_in_dollars!E3544 &amp; ""USD""))
"),90000000)</f>
        <v>90000000</v>
      </c>
      <c r="P3544" s="4">
        <f ca="1">IFERROR(__xludf.DUMMYFUNCTION("IF(Cost_in_dollars!E3544=""USD"",Cost_in_dollars!C3544,Cost_in_dollars!C3544 * GOOGLEFINANCE(""CURRENCY:"" &amp; Cost_in_dollars!E3544 &amp; ""USD""))
"),100853835)</f>
        <v>100853835</v>
      </c>
      <c r="Q3544" s="4">
        <f t="shared" ca="1" si="78"/>
        <v>10853835</v>
      </c>
      <c r="R3544" s="5" t="str">
        <f t="shared" si="79"/>
        <v>Contact</v>
      </c>
      <c r="S3544" s="43" t="str">
        <f t="shared" si="83"/>
        <v>Drama</v>
      </c>
    </row>
    <row r="3545" spans="1:19" ht="15.75" customHeight="1" x14ac:dyDescent="0.25">
      <c r="A3545" s="6" t="s">
        <v>10810</v>
      </c>
      <c r="B3545" s="6">
        <v>26</v>
      </c>
      <c r="C3545" s="6">
        <v>32983713</v>
      </c>
      <c r="D3545" s="6" t="s">
        <v>457</v>
      </c>
      <c r="E3545" s="6" t="s">
        <v>3174</v>
      </c>
      <c r="F3545" s="6" t="s">
        <v>10811</v>
      </c>
      <c r="G3545" s="6">
        <v>19284</v>
      </c>
      <c r="H3545" s="6" t="s">
        <v>10812</v>
      </c>
      <c r="I3545" s="6">
        <v>66</v>
      </c>
      <c r="J3545" s="6" t="s">
        <v>23</v>
      </c>
      <c r="K3545" s="6" t="s">
        <v>24</v>
      </c>
      <c r="L3545" s="6">
        <v>20000000</v>
      </c>
      <c r="M3545" s="6">
        <v>2002</v>
      </c>
      <c r="N3545" s="6">
        <v>5.8</v>
      </c>
      <c r="O3545" s="4">
        <f ca="1">IFERROR(__xludf.DUMMYFUNCTION("IF(Cost_in_dollars!E3545=""USD"",Cost_in_dollars!B3545,Cost_in_dollars!B3545 * GOOGLEFINANCE(""CURRENCY:"" &amp; Cost_in_dollars!E3545 &amp; ""USD""))
"),20000000)</f>
        <v>20000000</v>
      </c>
      <c r="P3545" s="4">
        <f ca="1">IFERROR(__xludf.DUMMYFUNCTION("IF(Cost_in_dollars!E3545=""USD"",Cost_in_dollars!C3545,Cost_in_dollars!C3545 * GOOGLEFINANCE(""CURRENCY:"" &amp; Cost_in_dollars!E3545 &amp; ""USD""))
"),32983713)</f>
        <v>32983713</v>
      </c>
      <c r="Q3545" s="6">
        <f t="shared" ca="1" si="78"/>
        <v>12983713</v>
      </c>
      <c r="R3545" s="7" t="str">
        <f t="shared" si="79"/>
        <v>Friday After Next</v>
      </c>
      <c r="S3545" s="43" t="str">
        <f t="shared" si="83"/>
        <v>Comedy</v>
      </c>
    </row>
    <row r="3546" spans="1:19" ht="15.75" customHeight="1" x14ac:dyDescent="0.25">
      <c r="A3546" s="4" t="s">
        <v>10813</v>
      </c>
      <c r="B3546" s="4">
        <v>222</v>
      </c>
      <c r="C3546" s="4">
        <v>3014541</v>
      </c>
      <c r="D3546" s="4" t="s">
        <v>102</v>
      </c>
      <c r="E3546" s="4" t="s">
        <v>7950</v>
      </c>
      <c r="F3546" s="4" t="s">
        <v>10814</v>
      </c>
      <c r="G3546" s="4">
        <v>19616</v>
      </c>
      <c r="H3546" s="4" t="s">
        <v>10815</v>
      </c>
      <c r="I3546" s="4">
        <v>98</v>
      </c>
      <c r="J3546" s="4" t="s">
        <v>23</v>
      </c>
      <c r="K3546" s="4" t="s">
        <v>133</v>
      </c>
      <c r="L3546" s="4">
        <v>8000000</v>
      </c>
      <c r="M3546" s="4">
        <v>2011</v>
      </c>
      <c r="N3546" s="4">
        <v>6.7</v>
      </c>
      <c r="O3546" s="4">
        <f ca="1">IFERROR(__xludf.DUMMYFUNCTION("IF(Cost_in_dollars!E3546=""USD"",Cost_in_dollars!B3546,Cost_in_dollars!B3546 * GOOGLEFINANCE(""CURRENCY:"" &amp; Cost_in_dollars!E3546 &amp; ""USD""))
"),10283199.9999999)</f>
        <v>10283199.999999899</v>
      </c>
      <c r="P3546" s="4">
        <f ca="1">IFERROR(__xludf.DUMMYFUNCTION("IF(Cost_in_dollars!E3546=""USD"",Cost_in_dollars!C3546,Cost_in_dollars!C3546 * GOOGLEFINANCE(""CURRENCY:"" &amp; Cost_in_dollars!E3546 &amp; ""USD""))
"),3874891.00139999)</f>
        <v>3874891.0013999902</v>
      </c>
      <c r="Q3546" s="4">
        <f t="shared" ca="1" si="78"/>
        <v>-6408308.9985999092</v>
      </c>
      <c r="R3546" s="5" t="str">
        <f t="shared" si="79"/>
        <v>Albert Nobbs</v>
      </c>
      <c r="S3546" s="43" t="str">
        <f t="shared" si="83"/>
        <v>Drama</v>
      </c>
    </row>
    <row r="3547" spans="1:19" ht="15.75" customHeight="1" x14ac:dyDescent="0.25">
      <c r="A3547" s="6" t="s">
        <v>524</v>
      </c>
      <c r="B3547" s="6">
        <v>47</v>
      </c>
      <c r="C3547" s="6">
        <v>83287363</v>
      </c>
      <c r="D3547" s="6" t="s">
        <v>1099</v>
      </c>
      <c r="E3547" s="6" t="s">
        <v>640</v>
      </c>
      <c r="F3547" s="6" t="s">
        <v>10816</v>
      </c>
      <c r="G3547" s="6">
        <v>81442</v>
      </c>
      <c r="H3547" s="6" t="s">
        <v>10817</v>
      </c>
      <c r="I3547" s="6">
        <v>137</v>
      </c>
      <c r="J3547" s="6" t="s">
        <v>23</v>
      </c>
      <c r="K3547" s="6" t="s">
        <v>24</v>
      </c>
      <c r="L3547" s="6">
        <v>45000000</v>
      </c>
      <c r="M3547" s="6">
        <v>1992</v>
      </c>
      <c r="N3547" s="6">
        <v>6.9</v>
      </c>
      <c r="O3547" s="4">
        <f ca="1">IFERROR(__xludf.DUMMYFUNCTION("IF(Cost_in_dollars!E3547=""USD"",Cost_in_dollars!B3547,Cost_in_dollars!B3547 * GOOGLEFINANCE(""CURRENCY:"" &amp; Cost_in_dollars!E3547 &amp; ""USD""))
"),45000000)</f>
        <v>45000000</v>
      </c>
      <c r="P3547" s="4">
        <f ca="1">IFERROR(__xludf.DUMMYFUNCTION("IF(Cost_in_dollars!E3547=""USD"",Cost_in_dollars!C3547,Cost_in_dollars!C3547 * GOOGLEFINANCE(""CURRENCY:"" &amp; Cost_in_dollars!E3547 &amp; ""USD""))
"),83287363)</f>
        <v>83287363</v>
      </c>
      <c r="Q3547" s="6">
        <f t="shared" ca="1" si="78"/>
        <v>38287363</v>
      </c>
      <c r="R3547" s="7" t="str">
        <f t="shared" si="79"/>
        <v>Patriot Games</v>
      </c>
      <c r="S3547" s="43" t="str">
        <f t="shared" si="83"/>
        <v>Action</v>
      </c>
    </row>
    <row r="3548" spans="1:19" ht="15.75" customHeight="1" x14ac:dyDescent="0.25">
      <c r="A3548" s="4" t="s">
        <v>10818</v>
      </c>
      <c r="B3548" s="4">
        <v>176</v>
      </c>
      <c r="C3548" s="4">
        <v>118471320</v>
      </c>
      <c r="D3548" s="4" t="s">
        <v>178</v>
      </c>
      <c r="E3548" s="4" t="s">
        <v>173</v>
      </c>
      <c r="F3548" s="4" t="s">
        <v>10819</v>
      </c>
      <c r="G3548" s="4">
        <v>86504</v>
      </c>
      <c r="H3548" s="4" t="s">
        <v>10820</v>
      </c>
      <c r="I3548" s="4">
        <v>568</v>
      </c>
      <c r="J3548" s="4" t="s">
        <v>23</v>
      </c>
      <c r="K3548" s="4" t="s">
        <v>24</v>
      </c>
      <c r="L3548" s="4">
        <v>68000000</v>
      </c>
      <c r="M3548" s="4">
        <v>2002</v>
      </c>
      <c r="N3548" s="4">
        <v>6.4</v>
      </c>
      <c r="O3548" s="4">
        <f ca="1">IFERROR(__xludf.DUMMYFUNCTION("IF(Cost_in_dollars!E3548=""USD"",Cost_in_dollars!B3548,Cost_in_dollars!B3548 * GOOGLEFINANCE(""CURRENCY:"" &amp; Cost_in_dollars!E3548 &amp; ""USD""))
"),68000000)</f>
        <v>68000000</v>
      </c>
      <c r="P3548" s="4">
        <f ca="1">IFERROR(__xludf.DUMMYFUNCTION("IF(Cost_in_dollars!E3548=""USD"",Cost_in_dollars!C3548,Cost_in_dollars!C3548 * GOOGLEFINANCE(""CURRENCY:"" &amp; Cost_in_dollars!E3548 &amp; ""USD""))
"),118471320)</f>
        <v>118471320</v>
      </c>
      <c r="Q3548" s="4">
        <f t="shared" ca="1" si="78"/>
        <v>50471320</v>
      </c>
      <c r="R3548" s="5" t="str">
        <f t="shared" si="79"/>
        <v>The Sum of All Fears</v>
      </c>
      <c r="S3548" s="43" t="str">
        <f t="shared" si="83"/>
        <v>Action</v>
      </c>
    </row>
    <row r="3549" spans="1:19" ht="15.75" customHeight="1" x14ac:dyDescent="0.25">
      <c r="A3549" s="6" t="s">
        <v>5565</v>
      </c>
      <c r="B3549" s="6">
        <v>50</v>
      </c>
      <c r="C3549" s="6">
        <v>30127963</v>
      </c>
      <c r="D3549" s="6" t="s">
        <v>276</v>
      </c>
      <c r="E3549" s="6" t="s">
        <v>10821</v>
      </c>
      <c r="F3549" s="6" t="s">
        <v>10822</v>
      </c>
      <c r="G3549" s="6">
        <v>12596</v>
      </c>
      <c r="H3549" s="6" t="s">
        <v>10823</v>
      </c>
      <c r="I3549" s="6">
        <v>64</v>
      </c>
      <c r="J3549" s="6" t="s">
        <v>23</v>
      </c>
      <c r="K3549" s="6" t="s">
        <v>24</v>
      </c>
      <c r="L3549" s="6">
        <v>15000000</v>
      </c>
      <c r="M3549" s="6">
        <v>2014</v>
      </c>
      <c r="N3549" s="6">
        <v>6.7</v>
      </c>
      <c r="O3549" s="4">
        <f ca="1">IFERROR(__xludf.DUMMYFUNCTION("IF(Cost_in_dollars!E3549=""USD"",Cost_in_dollars!B3549,Cost_in_dollars!B3549 * GOOGLEFINANCE(""CURRENCY:"" &amp; Cost_in_dollars!E3549 &amp; ""USD""))
"),15000000)</f>
        <v>15000000</v>
      </c>
      <c r="P3549" s="4">
        <f ca="1">IFERROR(__xludf.DUMMYFUNCTION("IF(Cost_in_dollars!E3549=""USD"",Cost_in_dollars!C3549,Cost_in_dollars!C3549 * GOOGLEFINANCE(""CURRENCY:"" &amp; Cost_in_dollars!E3549 &amp; ""USD""))
"),30127963)</f>
        <v>30127963</v>
      </c>
      <c r="Q3549" s="6">
        <f t="shared" ca="1" si="78"/>
        <v>15127963</v>
      </c>
      <c r="R3549" s="7" t="str">
        <f t="shared" si="79"/>
        <v>When the Game Stands Tall</v>
      </c>
      <c r="S3549" s="43" t="str">
        <f t="shared" si="83"/>
        <v>Drama</v>
      </c>
    </row>
    <row r="3550" spans="1:19" ht="15.75" customHeight="1" x14ac:dyDescent="0.25">
      <c r="A3550" s="4" t="s">
        <v>2664</v>
      </c>
      <c r="B3550" s="4">
        <v>53</v>
      </c>
      <c r="C3550" s="4">
        <v>8104069</v>
      </c>
      <c r="D3550" s="4" t="s">
        <v>268</v>
      </c>
      <c r="E3550" s="4" t="s">
        <v>6374</v>
      </c>
      <c r="F3550" s="4" t="s">
        <v>10824</v>
      </c>
      <c r="G3550" s="4">
        <v>9785</v>
      </c>
      <c r="H3550" s="4" t="s">
        <v>10825</v>
      </c>
      <c r="I3550" s="4">
        <v>26</v>
      </c>
      <c r="J3550" s="4" t="s">
        <v>23</v>
      </c>
      <c r="K3550" s="4" t="s">
        <v>24</v>
      </c>
      <c r="L3550" s="4">
        <v>20000000</v>
      </c>
      <c r="M3550" s="4">
        <v>2007</v>
      </c>
      <c r="N3550" s="4">
        <v>4.5</v>
      </c>
      <c r="O3550" s="4">
        <f ca="1">IFERROR(__xludf.DUMMYFUNCTION("IF(Cost_in_dollars!E3550=""USD"",Cost_in_dollars!B3550,Cost_in_dollars!B3550 * GOOGLEFINANCE(""CURRENCY:"" &amp; Cost_in_dollars!E3550 &amp; ""USD""))
"),20000000)</f>
        <v>20000000</v>
      </c>
      <c r="P3550" s="4">
        <f ca="1">IFERROR(__xludf.DUMMYFUNCTION("IF(Cost_in_dollars!E3550=""USD"",Cost_in_dollars!C3550,Cost_in_dollars!C3550 * GOOGLEFINANCE(""CURRENCY:"" &amp; Cost_in_dollars!E3550 &amp; ""USD""))
"),8104069)</f>
        <v>8104069</v>
      </c>
      <c r="Q3550" s="4">
        <f t="shared" ca="1" si="78"/>
        <v>-11895931</v>
      </c>
      <c r="R3550" s="5" t="str">
        <f t="shared" si="79"/>
        <v>Code Name: The Cleaner</v>
      </c>
      <c r="S3550" s="43" t="str">
        <f t="shared" si="83"/>
        <v>Action</v>
      </c>
    </row>
    <row r="3551" spans="1:19" ht="15.75" customHeight="1" x14ac:dyDescent="0.25">
      <c r="A3551" s="6" t="s">
        <v>6689</v>
      </c>
      <c r="B3551" s="6">
        <v>43</v>
      </c>
      <c r="C3551" s="6">
        <v>1066555</v>
      </c>
      <c r="D3551" s="6" t="s">
        <v>10826</v>
      </c>
      <c r="E3551" s="6" t="s">
        <v>10827</v>
      </c>
      <c r="F3551" s="6" t="s">
        <v>10828</v>
      </c>
      <c r="G3551" s="6">
        <v>2618</v>
      </c>
      <c r="H3551" s="6" t="s">
        <v>10829</v>
      </c>
      <c r="I3551" s="6">
        <v>111</v>
      </c>
      <c r="J3551" s="6" t="s">
        <v>23</v>
      </c>
      <c r="K3551" s="6" t="s">
        <v>24</v>
      </c>
      <c r="L3551" s="6">
        <v>11000000</v>
      </c>
      <c r="M3551" s="6">
        <v>2007</v>
      </c>
      <c r="N3551" s="6">
        <v>5.8</v>
      </c>
      <c r="O3551" s="4">
        <f ca="1">IFERROR(__xludf.DUMMYFUNCTION("IF(Cost_in_dollars!E3551=""USD"",Cost_in_dollars!B3551,Cost_in_dollars!B3551 * GOOGLEFINANCE(""CURRENCY:"" &amp; Cost_in_dollars!E3551 &amp; ""USD""))
"),11000000)</f>
        <v>11000000</v>
      </c>
      <c r="P3551" s="4">
        <f ca="1">IFERROR(__xludf.DUMMYFUNCTION("IF(Cost_in_dollars!E3551=""USD"",Cost_in_dollars!C3551,Cost_in_dollars!C3551 * GOOGLEFINANCE(""CURRENCY:"" &amp; Cost_in_dollars!E3551 &amp; ""USD""))
"),1066555)</f>
        <v>1066555</v>
      </c>
      <c r="Q3551" s="6">
        <f t="shared" ca="1" si="78"/>
        <v>-9933445</v>
      </c>
      <c r="R3551" s="7" t="str">
        <f t="shared" si="79"/>
        <v>September Dawn</v>
      </c>
      <c r="S3551" s="43" t="str">
        <f t="shared" si="83"/>
        <v>Drama</v>
      </c>
    </row>
    <row r="3552" spans="1:19" ht="15.75" customHeight="1" x14ac:dyDescent="0.25">
      <c r="A3552" s="4" t="s">
        <v>7087</v>
      </c>
      <c r="B3552" s="4">
        <v>127</v>
      </c>
      <c r="C3552" s="4">
        <v>7221458</v>
      </c>
      <c r="D3552" s="4" t="s">
        <v>372</v>
      </c>
      <c r="E3552" s="4" t="s">
        <v>780</v>
      </c>
      <c r="F3552" s="4" t="s">
        <v>10830</v>
      </c>
      <c r="G3552" s="4">
        <v>20740</v>
      </c>
      <c r="H3552" s="4" t="s">
        <v>10831</v>
      </c>
      <c r="I3552" s="4">
        <v>178</v>
      </c>
      <c r="J3552" s="4" t="s">
        <v>23</v>
      </c>
      <c r="K3552" s="4" t="s">
        <v>176</v>
      </c>
      <c r="L3552" s="4">
        <v>55000000</v>
      </c>
      <c r="M3552" s="4">
        <v>2006</v>
      </c>
      <c r="N3552" s="4">
        <v>6.2</v>
      </c>
      <c r="O3552" s="4">
        <f ca="1">IFERROR(__xludf.DUMMYFUNCTION("IF(Cost_in_dollars!E3552=""USD"",Cost_in_dollars!B3552,Cost_in_dollars!B3552 * GOOGLEFINANCE(""CURRENCY:"" &amp; Cost_in_dollars!E3552 &amp; ""USD""))
"),59660700)</f>
        <v>59660700</v>
      </c>
      <c r="P3552" s="4">
        <f ca="1">IFERROR(__xludf.DUMMYFUNCTION("IF(Cost_in_dollars!E3552=""USD"",Cost_in_dollars!C3552,Cost_in_dollars!C3552 * GOOGLEFINANCE(""CURRENCY:"" &amp; Cost_in_dollars!E3552 &amp; ""USD""))
"),7833404.35092)</f>
        <v>7833404.3509200001</v>
      </c>
      <c r="Q3552" s="4">
        <f t="shared" ca="1" si="78"/>
        <v>-51827295.649080001</v>
      </c>
      <c r="R3552" s="5" t="str">
        <f t="shared" si="79"/>
        <v>All the King's Men</v>
      </c>
      <c r="S3552" s="43" t="str">
        <f t="shared" si="83"/>
        <v>Drama</v>
      </c>
    </row>
    <row r="3553" spans="1:19" ht="15.75" customHeight="1" x14ac:dyDescent="0.25">
      <c r="A3553" s="6" t="s">
        <v>2148</v>
      </c>
      <c r="B3553" s="6">
        <v>252</v>
      </c>
      <c r="C3553" s="6">
        <v>94125426</v>
      </c>
      <c r="D3553" s="6" t="s">
        <v>890</v>
      </c>
      <c r="E3553" s="6" t="s">
        <v>1954</v>
      </c>
      <c r="F3553" s="6" t="s">
        <v>10832</v>
      </c>
      <c r="G3553" s="6">
        <v>79264</v>
      </c>
      <c r="H3553" s="6" t="s">
        <v>10833</v>
      </c>
      <c r="I3553" s="6">
        <v>277</v>
      </c>
      <c r="J3553" s="6" t="s">
        <v>23</v>
      </c>
      <c r="K3553" s="6" t="s">
        <v>24</v>
      </c>
      <c r="L3553" s="6">
        <v>40000000</v>
      </c>
      <c r="M3553" s="6">
        <v>2009</v>
      </c>
      <c r="N3553" s="6">
        <v>7</v>
      </c>
      <c r="O3553" s="4">
        <f ca="1">IFERROR(__xludf.DUMMYFUNCTION("IF(Cost_in_dollars!E3553=""USD"",Cost_in_dollars!B3553,Cost_in_dollars!B3553 * GOOGLEFINANCE(""CURRENCY:"" &amp; Cost_in_dollars!E3553 &amp; ""USD""))
"),40000000)</f>
        <v>40000000</v>
      </c>
      <c r="P3553" s="4">
        <f ca="1">IFERROR(__xludf.DUMMYFUNCTION("IF(Cost_in_dollars!E3553=""USD"",Cost_in_dollars!C3553,Cost_in_dollars!C3553 * GOOGLEFINANCE(""CURRENCY:"" &amp; Cost_in_dollars!E3553 &amp; ""USD""))
"),94125426)</f>
        <v>94125426</v>
      </c>
      <c r="Q3553" s="6">
        <f t="shared" ca="1" si="78"/>
        <v>54125426</v>
      </c>
      <c r="R3553" s="7" t="str">
        <f t="shared" si="79"/>
        <v>Julie &amp; Julia</v>
      </c>
      <c r="S3553" s="43" t="str">
        <f t="shared" si="83"/>
        <v>Biography</v>
      </c>
    </row>
    <row r="3554" spans="1:19" ht="15.75" customHeight="1" x14ac:dyDescent="0.25">
      <c r="A3554" s="4" t="s">
        <v>4862</v>
      </c>
      <c r="B3554" s="4">
        <v>31</v>
      </c>
      <c r="C3554" s="4">
        <v>14821531</v>
      </c>
      <c r="D3554" s="4" t="s">
        <v>102</v>
      </c>
      <c r="E3554" s="4" t="s">
        <v>10834</v>
      </c>
      <c r="F3554" s="4" t="s">
        <v>10835</v>
      </c>
      <c r="G3554" s="4">
        <v>6915</v>
      </c>
      <c r="H3554" s="4" t="s">
        <v>10836</v>
      </c>
      <c r="I3554" s="4">
        <v>209</v>
      </c>
      <c r="J3554" s="4" t="s">
        <v>23</v>
      </c>
      <c r="K3554" s="4" t="s">
        <v>24</v>
      </c>
      <c r="L3554" s="4">
        <v>6000000</v>
      </c>
      <c r="M3554" s="4">
        <v>1997</v>
      </c>
      <c r="N3554" s="4">
        <v>7.3</v>
      </c>
      <c r="O3554" s="4">
        <f ca="1">IFERROR(__xludf.DUMMYFUNCTION("IF(Cost_in_dollars!E3554=""USD"",Cost_in_dollars!B3554,Cost_in_dollars!B3554 * GOOGLEFINANCE(""CURRENCY:"" &amp; Cost_in_dollars!E3554 &amp; ""USD""))
"),6000000)</f>
        <v>6000000</v>
      </c>
      <c r="P3554" s="4">
        <f ca="1">IFERROR(__xludf.DUMMYFUNCTION("IF(Cost_in_dollars!E3554=""USD"",Cost_in_dollars!C3554,Cost_in_dollars!C3554 * GOOGLEFINANCE(""CURRENCY:"" &amp; Cost_in_dollars!E3554 &amp; ""USD""))
"),14821531)</f>
        <v>14821531</v>
      </c>
      <c r="Q3554" s="4">
        <f t="shared" ca="1" si="78"/>
        <v>8821531</v>
      </c>
      <c r="R3554" s="5" t="str">
        <f t="shared" si="79"/>
        <v>Eve's Bayou</v>
      </c>
      <c r="S3554" s="43" t="str">
        <f t="shared" si="83"/>
        <v>Drama</v>
      </c>
    </row>
    <row r="3555" spans="1:19" ht="15.75" customHeight="1" x14ac:dyDescent="0.25">
      <c r="A3555" s="6" t="s">
        <v>10837</v>
      </c>
      <c r="B3555" s="6">
        <v>231</v>
      </c>
      <c r="C3555" s="6">
        <v>2283276</v>
      </c>
      <c r="D3555" s="6" t="s">
        <v>10838</v>
      </c>
      <c r="E3555" s="6" t="s">
        <v>10837</v>
      </c>
      <c r="F3555" s="6" t="s">
        <v>10839</v>
      </c>
      <c r="G3555" s="6">
        <v>46107</v>
      </c>
      <c r="H3555" s="6" t="s">
        <v>10840</v>
      </c>
      <c r="I3555" s="6">
        <v>156</v>
      </c>
      <c r="J3555" s="6" t="s">
        <v>10841</v>
      </c>
      <c r="K3555" s="6" t="s">
        <v>10842</v>
      </c>
      <c r="L3555" s="6">
        <v>1500000</v>
      </c>
      <c r="M3555" s="6">
        <v>2008</v>
      </c>
      <c r="N3555" s="6">
        <v>8</v>
      </c>
      <c r="O3555" s="4">
        <f ca="1">IFERROR(__xludf.DUMMYFUNCTION("IF(Cost_in_dollars!E3555=""USD"",Cost_in_dollars!B3555,Cost_in_dollars!B3555 * GOOGLEFINANCE(""CURRENCY:"" &amp; Cost_in_dollars!E3555 &amp; ""USD""))
"),408957.81)</f>
        <v>408957.81</v>
      </c>
      <c r="P3555" s="4">
        <f ca="1">IFERROR(__xludf.DUMMYFUNCTION("IF(Cost_in_dollars!E3555=""USD"",Cost_in_dollars!C3555,Cost_in_dollars!C3555 * GOOGLEFINANCE(""CURRENCY:"" &amp; Cost_in_dollars!E3555 &amp; ""USD""))
"),622509.035057039)</f>
        <v>622509.035057039</v>
      </c>
      <c r="Q3555" s="6">
        <f t="shared" ca="1" si="78"/>
        <v>213551.225057039</v>
      </c>
      <c r="R3555" s="7" t="str">
        <f t="shared" si="79"/>
        <v>Waltz with Bashir</v>
      </c>
      <c r="S3555" s="43" t="str">
        <f t="shared" si="83"/>
        <v>Animation</v>
      </c>
    </row>
    <row r="3556" spans="1:19" ht="15.75" customHeight="1" x14ac:dyDescent="0.25">
      <c r="A3556" s="4" t="s">
        <v>72</v>
      </c>
      <c r="B3556" s="4">
        <v>238</v>
      </c>
      <c r="C3556" s="4">
        <v>39380442</v>
      </c>
      <c r="D3556" s="4" t="s">
        <v>178</v>
      </c>
      <c r="E3556" s="4" t="s">
        <v>1358</v>
      </c>
      <c r="F3556" s="4" t="s">
        <v>10843</v>
      </c>
      <c r="G3556" s="4">
        <v>174248</v>
      </c>
      <c r="H3556" s="4" t="s">
        <v>10844</v>
      </c>
      <c r="I3556" s="4">
        <v>263</v>
      </c>
      <c r="J3556" s="4" t="s">
        <v>23</v>
      </c>
      <c r="K3556" s="4" t="s">
        <v>24</v>
      </c>
      <c r="L3556" s="4">
        <v>70000000</v>
      </c>
      <c r="M3556" s="4">
        <v>2008</v>
      </c>
      <c r="N3556" s="4">
        <v>7.1</v>
      </c>
      <c r="O3556" s="4">
        <f ca="1">IFERROR(__xludf.DUMMYFUNCTION("IF(Cost_in_dollars!E3556=""USD"",Cost_in_dollars!B3556,Cost_in_dollars!B3556 * GOOGLEFINANCE(""CURRENCY:"" &amp; Cost_in_dollars!E3556 &amp; ""USD""))
"),70000000)</f>
        <v>70000000</v>
      </c>
      <c r="P3556" s="4">
        <f ca="1">IFERROR(__xludf.DUMMYFUNCTION("IF(Cost_in_dollars!E3556=""USD"",Cost_in_dollars!C3556,Cost_in_dollars!C3556 * GOOGLEFINANCE(""CURRENCY:"" &amp; Cost_in_dollars!E3556 &amp; ""USD""))
"),39380442)</f>
        <v>39380442</v>
      </c>
      <c r="Q3556" s="4">
        <f t="shared" ca="1" si="78"/>
        <v>-30619558</v>
      </c>
      <c r="R3556" s="5" t="str">
        <f t="shared" si="79"/>
        <v>Body of Lies</v>
      </c>
      <c r="S3556" s="43" t="str">
        <f t="shared" si="83"/>
        <v>Action</v>
      </c>
    </row>
    <row r="3557" spans="1:19" ht="15.75" customHeight="1" x14ac:dyDescent="0.25">
      <c r="A3557" s="6" t="s">
        <v>8385</v>
      </c>
      <c r="B3557" s="6">
        <v>94</v>
      </c>
      <c r="C3557" s="6">
        <v>876671</v>
      </c>
      <c r="D3557" s="6" t="s">
        <v>10845</v>
      </c>
      <c r="E3557" s="6" t="s">
        <v>10846</v>
      </c>
      <c r="F3557" s="6" t="s">
        <v>10847</v>
      </c>
      <c r="G3557" s="6">
        <v>22010</v>
      </c>
      <c r="H3557" s="6" t="s">
        <v>10848</v>
      </c>
      <c r="I3557" s="6">
        <v>90</v>
      </c>
      <c r="J3557" s="6" t="s">
        <v>23</v>
      </c>
      <c r="K3557" s="6" t="s">
        <v>24</v>
      </c>
      <c r="L3557" s="6">
        <v>25000000</v>
      </c>
      <c r="M3557" s="6">
        <v>2007</v>
      </c>
      <c r="N3557" s="6">
        <v>6.9</v>
      </c>
      <c r="O3557" s="4">
        <f ca="1">IFERROR(__xludf.DUMMYFUNCTION("IF(Cost_in_dollars!E3557=""USD"",Cost_in_dollars!B3557,Cost_in_dollars!B3557 * GOOGLEFINANCE(""CURRENCY:"" &amp; Cost_in_dollars!E3557 &amp; ""USD""))
"),25000000)</f>
        <v>25000000</v>
      </c>
      <c r="P3557" s="4">
        <f ca="1">IFERROR(__xludf.DUMMYFUNCTION("IF(Cost_in_dollars!E3557=""USD"",Cost_in_dollars!C3557,Cost_in_dollars!C3557 * GOOGLEFINANCE(""CURRENCY:"" &amp; Cost_in_dollars!E3557 &amp; ""USD""))
"),876671)</f>
        <v>876671</v>
      </c>
      <c r="Q3557" s="6">
        <f t="shared" ca="1" si="78"/>
        <v>-24123329</v>
      </c>
      <c r="R3557" s="7" t="str">
        <f t="shared" si="79"/>
        <v>The Hunting Party</v>
      </c>
      <c r="S3557" s="43" t="str">
        <f t="shared" si="83"/>
        <v>Adventure</v>
      </c>
    </row>
    <row r="3558" spans="1:19" ht="15.75" customHeight="1" x14ac:dyDescent="0.25">
      <c r="A3558" s="4" t="s">
        <v>9160</v>
      </c>
      <c r="B3558" s="4">
        <v>196</v>
      </c>
      <c r="C3558" s="4">
        <v>25472967</v>
      </c>
      <c r="D3558" s="4" t="s">
        <v>1854</v>
      </c>
      <c r="E3558" s="4" t="s">
        <v>10849</v>
      </c>
      <c r="F3558" s="4" t="s">
        <v>10850</v>
      </c>
      <c r="G3558" s="4">
        <v>44966</v>
      </c>
      <c r="H3558" s="4" t="s">
        <v>10851</v>
      </c>
      <c r="I3558" s="4">
        <v>411</v>
      </c>
      <c r="J3558" s="4" t="s">
        <v>23</v>
      </c>
      <c r="K3558" s="4" t="s">
        <v>24</v>
      </c>
      <c r="L3558" s="4">
        <v>30000000</v>
      </c>
      <c r="M3558" s="4">
        <v>2005</v>
      </c>
      <c r="N3558" s="4">
        <v>5.6</v>
      </c>
      <c r="O3558" s="4">
        <f ca="1">IFERROR(__xludf.DUMMYFUNCTION("IF(Cost_in_dollars!E3558=""USD"",Cost_in_dollars!B3558,Cost_in_dollars!B3558 * GOOGLEFINANCE(""CURRENCY:"" &amp; Cost_in_dollars!E3558 &amp; ""USD""))
"),30000000)</f>
        <v>30000000</v>
      </c>
      <c r="P3558" s="4">
        <f ca="1">IFERROR(__xludf.DUMMYFUNCTION("IF(Cost_in_dollars!E3558=""USD"",Cost_in_dollars!C3558,Cost_in_dollars!C3558 * GOOGLEFINANCE(""CURRENCY:"" &amp; Cost_in_dollars!E3558 &amp; ""USD""))
"),25472967)</f>
        <v>25472967</v>
      </c>
      <c r="Q3558" s="4">
        <f t="shared" ca="1" si="78"/>
        <v>-4527033</v>
      </c>
      <c r="R3558" s="5" t="str">
        <f t="shared" si="79"/>
        <v>Dark Water</v>
      </c>
      <c r="S3558" s="43" t="str">
        <f t="shared" si="83"/>
        <v>Drama</v>
      </c>
    </row>
    <row r="3559" spans="1:19" ht="15.75" customHeight="1" x14ac:dyDescent="0.25">
      <c r="A3559" s="6" t="s">
        <v>2455</v>
      </c>
      <c r="B3559" s="6">
        <v>364</v>
      </c>
      <c r="C3559" s="6">
        <v>52066000</v>
      </c>
      <c r="D3559" s="6" t="s">
        <v>623</v>
      </c>
      <c r="E3559" s="6" t="s">
        <v>3269</v>
      </c>
      <c r="F3559" s="6" t="s">
        <v>10852</v>
      </c>
      <c r="G3559" s="6">
        <v>61114</v>
      </c>
      <c r="H3559" s="6" t="s">
        <v>10853</v>
      </c>
      <c r="I3559" s="6">
        <v>212</v>
      </c>
      <c r="J3559" s="6" t="s">
        <v>23</v>
      </c>
      <c r="K3559" s="6" t="s">
        <v>133</v>
      </c>
      <c r="L3559" s="6">
        <v>20000000</v>
      </c>
      <c r="M3559" s="6">
        <v>2014</v>
      </c>
      <c r="N3559" s="6">
        <v>7.5</v>
      </c>
      <c r="O3559" s="4">
        <f ca="1">IFERROR(__xludf.DUMMYFUNCTION("IF(Cost_in_dollars!E3559=""USD"",Cost_in_dollars!B3559,Cost_in_dollars!B3559 * GOOGLEFINANCE(""CURRENCY:"" &amp; Cost_in_dollars!E3559 &amp; ""USD""))
"),25707999.9999999)</f>
        <v>25707999.999999899</v>
      </c>
      <c r="P3559" s="4">
        <f ca="1">IFERROR(__xludf.DUMMYFUNCTION("IF(Cost_in_dollars!E3559=""USD"",Cost_in_dollars!C3559,Cost_in_dollars!C3559 * GOOGLEFINANCE(""CURRENCY:"" &amp; Cost_in_dollars!E3559 &amp; ""USD""))
"),66925636.3999999)</f>
        <v>66925636.399999902</v>
      </c>
      <c r="Q3559" s="6">
        <f t="shared" ca="1" si="78"/>
        <v>41217636.400000006</v>
      </c>
      <c r="R3559" s="7" t="str">
        <f t="shared" si="79"/>
        <v>Selma</v>
      </c>
      <c r="S3559" s="43" t="str">
        <f t="shared" si="83"/>
        <v>Biography</v>
      </c>
    </row>
    <row r="3560" spans="1:19" ht="15.75" customHeight="1" x14ac:dyDescent="0.25">
      <c r="A3560" s="4" t="s">
        <v>10854</v>
      </c>
      <c r="B3560" s="4">
        <v>101</v>
      </c>
      <c r="C3560" s="4">
        <v>34703228</v>
      </c>
      <c r="D3560" s="4" t="s">
        <v>421</v>
      </c>
      <c r="E3560" s="4" t="s">
        <v>3382</v>
      </c>
      <c r="F3560" s="4" t="s">
        <v>10855</v>
      </c>
      <c r="G3560" s="4">
        <v>21767</v>
      </c>
      <c r="H3560" s="4" t="s">
        <v>10856</v>
      </c>
      <c r="I3560" s="4">
        <v>127</v>
      </c>
      <c r="J3560" s="4" t="s">
        <v>23</v>
      </c>
      <c r="K3560" s="4" t="s">
        <v>24</v>
      </c>
      <c r="L3560" s="4">
        <v>30000000</v>
      </c>
      <c r="M3560" s="4">
        <v>2006</v>
      </c>
      <c r="N3560" s="4">
        <v>6.7</v>
      </c>
      <c r="O3560" s="4">
        <f ca="1">IFERROR(__xludf.DUMMYFUNCTION("IF(Cost_in_dollars!E3560=""USD"",Cost_in_dollars!B3560,Cost_in_dollars!B3560 * GOOGLEFINANCE(""CURRENCY:"" &amp; Cost_in_dollars!E3560 &amp; ""USD""))
"),30000000)</f>
        <v>30000000</v>
      </c>
      <c r="P3560" s="4">
        <f ca="1">IFERROR(__xludf.DUMMYFUNCTION("IF(Cost_in_dollars!E3560=""USD"",Cost_in_dollars!C3560,Cost_in_dollars!C3560 * GOOGLEFINANCE(""CURRENCY:"" &amp; Cost_in_dollars!E3560 &amp; ""USD""))
"),34703228)</f>
        <v>34703228</v>
      </c>
      <c r="Q3560" s="4">
        <f t="shared" ca="1" si="78"/>
        <v>4703228</v>
      </c>
      <c r="R3560" s="5" t="str">
        <f t="shared" si="79"/>
        <v>Take the Lead</v>
      </c>
      <c r="S3560" s="43" t="str">
        <f t="shared" si="83"/>
        <v>Drama</v>
      </c>
    </row>
    <row r="3561" spans="1:19" ht="15.75" customHeight="1" x14ac:dyDescent="0.25">
      <c r="A3561" s="6" t="s">
        <v>10857</v>
      </c>
      <c r="B3561" s="6">
        <v>68</v>
      </c>
      <c r="C3561" s="6">
        <v>78656813</v>
      </c>
      <c r="D3561" s="6" t="s">
        <v>3324</v>
      </c>
      <c r="E3561" s="6" t="s">
        <v>10858</v>
      </c>
      <c r="F3561" s="6" t="s">
        <v>10859</v>
      </c>
      <c r="G3561" s="6">
        <v>42765</v>
      </c>
      <c r="H3561" s="6" t="s">
        <v>10860</v>
      </c>
      <c r="I3561" s="6">
        <v>93</v>
      </c>
      <c r="J3561" s="6" t="s">
        <v>23</v>
      </c>
      <c r="K3561" s="6" t="s">
        <v>24</v>
      </c>
      <c r="L3561" s="6">
        <v>25000000</v>
      </c>
      <c r="M3561" s="6">
        <v>1991</v>
      </c>
      <c r="N3561" s="6">
        <v>6</v>
      </c>
      <c r="O3561" s="4">
        <f ca="1">IFERROR(__xludf.DUMMYFUNCTION("IF(Cost_in_dollars!E3561=""USD"",Cost_in_dollars!B3561,Cost_in_dollars!B3561 * GOOGLEFINANCE(""CURRENCY:"" &amp; Cost_in_dollars!E3561 &amp; ""USD""))
"),25000000)</f>
        <v>25000000</v>
      </c>
      <c r="P3561" s="4">
        <f ca="1">IFERROR(__xludf.DUMMYFUNCTION("IF(Cost_in_dollars!E3561=""USD"",Cost_in_dollars!C3561,Cost_in_dollars!C3561 * GOOGLEFINANCE(""CURRENCY:"" &amp; Cost_in_dollars!E3561 &amp; ""USD""))
"),78656813)</f>
        <v>78656813</v>
      </c>
      <c r="Q3561" s="6">
        <f t="shared" ca="1" si="78"/>
        <v>53656813</v>
      </c>
      <c r="R3561" s="7" t="str">
        <f t="shared" si="79"/>
        <v>Teenage Mutant Ninja Turtles II: The Secret of the Ooze</v>
      </c>
      <c r="S3561" s="43" t="str">
        <f t="shared" si="83"/>
        <v>Action</v>
      </c>
    </row>
    <row r="3562" spans="1:19" ht="15.75" customHeight="1" x14ac:dyDescent="0.25">
      <c r="A3562" s="4" t="s">
        <v>7831</v>
      </c>
      <c r="B3562" s="4">
        <v>191</v>
      </c>
      <c r="C3562" s="4">
        <v>114324072</v>
      </c>
      <c r="D3562" s="4" t="s">
        <v>3417</v>
      </c>
      <c r="E3562" s="4" t="s">
        <v>3710</v>
      </c>
      <c r="F3562" s="4" t="s">
        <v>7832</v>
      </c>
      <c r="G3562" s="4">
        <v>185338</v>
      </c>
      <c r="H3562" s="4" t="s">
        <v>7833</v>
      </c>
      <c r="I3562" s="4">
        <v>392</v>
      </c>
      <c r="J3562" s="4" t="s">
        <v>23</v>
      </c>
      <c r="K3562" s="4" t="s">
        <v>24</v>
      </c>
      <c r="L3562" s="4">
        <v>20000000</v>
      </c>
      <c r="M3562" s="4">
        <v>2004</v>
      </c>
      <c r="N3562" s="4">
        <v>6.7</v>
      </c>
      <c r="O3562" s="4">
        <f ca="1">IFERROR(__xludf.DUMMYFUNCTION("IF(Cost_in_dollars!E3562=""USD"",Cost_in_dollars!B3562,Cost_in_dollars!B3562 * GOOGLEFINANCE(""CURRENCY:"" &amp; Cost_in_dollars!E3562 &amp; ""USD""))
"),20000000)</f>
        <v>20000000</v>
      </c>
      <c r="P3562" s="4">
        <f ca="1">IFERROR(__xludf.DUMMYFUNCTION("IF(Cost_in_dollars!E3562=""USD"",Cost_in_dollars!C3562,Cost_in_dollars!C3562 * GOOGLEFINANCE(""CURRENCY:"" &amp; Cost_in_dollars!E3562 &amp; ""USD""))
"),114324072)</f>
        <v>114324072</v>
      </c>
      <c r="Q3562" s="4">
        <f t="shared" ca="1" si="78"/>
        <v>94324072</v>
      </c>
      <c r="R3562" s="5" t="str">
        <f t="shared" si="79"/>
        <v>Dodgeball: A True Underdog Story</v>
      </c>
      <c r="S3562" s="43" t="str">
        <f t="shared" si="83"/>
        <v>Comedy</v>
      </c>
    </row>
    <row r="3563" spans="1:19" ht="15.75" customHeight="1" x14ac:dyDescent="0.25">
      <c r="A3563" s="6" t="s">
        <v>2753</v>
      </c>
      <c r="B3563" s="6">
        <v>44</v>
      </c>
      <c r="C3563" s="6">
        <v>24048000</v>
      </c>
      <c r="D3563" s="6" t="s">
        <v>774</v>
      </c>
      <c r="E3563" s="6" t="s">
        <v>69</v>
      </c>
      <c r="F3563" s="6" t="s">
        <v>10861</v>
      </c>
      <c r="G3563" s="6">
        <v>23579</v>
      </c>
      <c r="H3563" s="6" t="s">
        <v>10862</v>
      </c>
      <c r="I3563" s="6">
        <v>88</v>
      </c>
      <c r="J3563" s="6" t="s">
        <v>23</v>
      </c>
      <c r="K3563" s="6" t="s">
        <v>24</v>
      </c>
      <c r="L3563" s="6">
        <v>30000000</v>
      </c>
      <c r="M3563" s="6">
        <v>1995</v>
      </c>
      <c r="N3563" s="6">
        <v>5.5</v>
      </c>
      <c r="O3563" s="4">
        <f ca="1">IFERROR(__xludf.DUMMYFUNCTION("IF(Cost_in_dollars!E3563=""USD"",Cost_in_dollars!B3563,Cost_in_dollars!B3563 * GOOGLEFINANCE(""CURRENCY:"" &amp; Cost_in_dollars!E3563 &amp; ""USD""))
"),30000000)</f>
        <v>30000000</v>
      </c>
      <c r="P3563" s="4">
        <f ca="1">IFERROR(__xludf.DUMMYFUNCTION("IF(Cost_in_dollars!E3563=""USD"",Cost_in_dollars!C3563,Cost_in_dollars!C3563 * GOOGLEFINANCE(""CURRENCY:"" &amp; Cost_in_dollars!E3563 &amp; ""USD""))
"),24048000)</f>
        <v>24048000</v>
      </c>
      <c r="Q3563" s="6">
        <f t="shared" ca="1" si="78"/>
        <v>-5952000</v>
      </c>
      <c r="R3563" s="7" t="str">
        <f t="shared" si="79"/>
        <v>Virtuosity</v>
      </c>
      <c r="S3563" s="43" t="str">
        <f t="shared" si="83"/>
        <v>Action</v>
      </c>
    </row>
    <row r="3564" spans="1:19" ht="15.75" customHeight="1" x14ac:dyDescent="0.25">
      <c r="A3564" s="4" t="s">
        <v>10863</v>
      </c>
      <c r="B3564" s="4">
        <v>27</v>
      </c>
      <c r="C3564" s="4">
        <v>8000000</v>
      </c>
      <c r="D3564" s="4" t="s">
        <v>623</v>
      </c>
      <c r="E3564" s="4" t="s">
        <v>3648</v>
      </c>
      <c r="F3564" s="4" t="s">
        <v>10864</v>
      </c>
      <c r="G3564" s="4">
        <v>6484</v>
      </c>
      <c r="H3564" s="4" t="s">
        <v>10865</v>
      </c>
      <c r="I3564" s="4">
        <v>100</v>
      </c>
      <c r="J3564" s="4" t="s">
        <v>23</v>
      </c>
      <c r="K3564" s="4" t="s">
        <v>24</v>
      </c>
      <c r="L3564" s="4">
        <v>20000000</v>
      </c>
      <c r="M3564" s="4">
        <v>1965</v>
      </c>
      <c r="N3564" s="4">
        <v>6.6</v>
      </c>
      <c r="O3564" s="4">
        <f ca="1">IFERROR(__xludf.DUMMYFUNCTION("IF(Cost_in_dollars!E3564=""USD"",Cost_in_dollars!B3564,Cost_in_dollars!B3564 * GOOGLEFINANCE(""CURRENCY:"" &amp; Cost_in_dollars!E3564 &amp; ""USD""))
"),20000000)</f>
        <v>20000000</v>
      </c>
      <c r="P3564" s="4">
        <f ca="1">IFERROR(__xludf.DUMMYFUNCTION("IF(Cost_in_dollars!E3564=""USD"",Cost_in_dollars!C3564,Cost_in_dollars!C3564 * GOOGLEFINANCE(""CURRENCY:"" &amp; Cost_in_dollars!E3564 &amp; ""USD""))
"),8000000)</f>
        <v>8000000</v>
      </c>
      <c r="Q3564" s="4">
        <f t="shared" ca="1" si="78"/>
        <v>-12000000</v>
      </c>
      <c r="R3564" s="5" t="str">
        <f t="shared" si="79"/>
        <v>The Greatest Story Ever Told</v>
      </c>
      <c r="S3564" s="43" t="str">
        <f t="shared" si="83"/>
        <v>Biography</v>
      </c>
    </row>
    <row r="3565" spans="1:19" ht="15.75" customHeight="1" x14ac:dyDescent="0.25">
      <c r="A3565" s="6" t="s">
        <v>144</v>
      </c>
      <c r="B3565" s="6">
        <v>20</v>
      </c>
      <c r="C3565" s="6">
        <v>21413105</v>
      </c>
      <c r="D3565" s="6" t="s">
        <v>10866</v>
      </c>
      <c r="E3565" s="6" t="s">
        <v>650</v>
      </c>
      <c r="F3565" s="6" t="s">
        <v>10867</v>
      </c>
      <c r="G3565" s="6">
        <v>15230</v>
      </c>
      <c r="H3565" s="6" t="s">
        <v>10868</v>
      </c>
      <c r="I3565" s="6">
        <v>97</v>
      </c>
      <c r="J3565" s="6" t="s">
        <v>23</v>
      </c>
      <c r="K3565" s="6" t="s">
        <v>149</v>
      </c>
      <c r="L3565" s="6">
        <v>20000000</v>
      </c>
      <c r="M3565" s="6">
        <v>1990</v>
      </c>
      <c r="N3565" s="6">
        <v>6.8</v>
      </c>
      <c r="O3565" s="4">
        <f ca="1">IFERROR(__xludf.DUMMYFUNCTION("IF(Cost_in_dollars!E3565=""USD"",Cost_in_dollars!B3565,Cost_in_dollars!B3565 * GOOGLEFINANCE(""CURRENCY:"" &amp; Cost_in_dollars!E3565 &amp; ""USD""))
"),13077600)</f>
        <v>13077600</v>
      </c>
      <c r="P3565" s="4">
        <f ca="1">IFERROR(__xludf.DUMMYFUNCTION("IF(Cost_in_dollars!E3565=""USD"",Cost_in_dollars!C3565,Cost_in_dollars!C3565 * GOOGLEFINANCE(""CURRENCY:"" &amp; Cost_in_dollars!E3565 &amp; ""USD""))
"),14001601.0974)</f>
        <v>14001601.0974</v>
      </c>
      <c r="Q3565" s="6">
        <f t="shared" ca="1" si="78"/>
        <v>924001.09740000032</v>
      </c>
      <c r="R3565" s="7" t="str">
        <f t="shared" si="79"/>
        <v>Quigley Down Under</v>
      </c>
      <c r="S3565" s="43" t="str">
        <f t="shared" si="83"/>
        <v>Action</v>
      </c>
    </row>
    <row r="3566" spans="1:19" ht="15.75" customHeight="1" x14ac:dyDescent="0.25">
      <c r="A3566" s="4" t="s">
        <v>10869</v>
      </c>
      <c r="B3566" s="4">
        <v>149</v>
      </c>
      <c r="C3566" s="4">
        <v>119922</v>
      </c>
      <c r="D3566" s="4" t="s">
        <v>73</v>
      </c>
      <c r="E3566" s="4" t="s">
        <v>10870</v>
      </c>
      <c r="F3566" s="4" t="s">
        <v>10871</v>
      </c>
      <c r="G3566" s="4">
        <v>8429</v>
      </c>
      <c r="H3566" s="4" t="s">
        <v>10872</v>
      </c>
      <c r="I3566" s="4">
        <v>62</v>
      </c>
      <c r="J3566" s="4" t="s">
        <v>3279</v>
      </c>
      <c r="K3566" s="4" t="s">
        <v>220</v>
      </c>
      <c r="L3566" s="4">
        <v>12000000</v>
      </c>
      <c r="M3566" s="4">
        <v>2009</v>
      </c>
      <c r="N3566" s="4">
        <v>7.7</v>
      </c>
      <c r="O3566" s="4">
        <f ca="1">IFERROR(__xludf.DUMMYFUNCTION("IF(Cost_in_dollars!E3566=""USD"",Cost_in_dollars!B3566,Cost_in_dollars!B3566 * GOOGLEFINANCE(""CURRENCY:"" &amp; Cost_in_dollars!E3566 &amp; ""USD""))
"),1659406.79999999)</f>
        <v>1659406.79999999</v>
      </c>
      <c r="P3566" s="4">
        <f ca="1">IFERROR(__xludf.DUMMYFUNCTION("IF(Cost_in_dollars!E3566=""USD"",Cost_in_dollars!C3566,Cost_in_dollars!C3566 * GOOGLEFINANCE(""CURRENCY:"" &amp; Cost_in_dollars!E3566 &amp; ""USD""))
"),16583.2818558)</f>
        <v>16583.2818558</v>
      </c>
      <c r="Q3566" s="4">
        <f t="shared" ca="1" si="78"/>
        <v>-1642823.5181441901</v>
      </c>
      <c r="R3566" s="5" t="str">
        <f t="shared" si="79"/>
        <v>City of Life and Death</v>
      </c>
      <c r="S3566" s="43" t="str">
        <f t="shared" si="83"/>
        <v>Drama</v>
      </c>
    </row>
    <row r="3567" spans="1:19" ht="15.75" customHeight="1" x14ac:dyDescent="0.25">
      <c r="A3567" s="6" t="s">
        <v>10873</v>
      </c>
      <c r="B3567" s="6">
        <v>126</v>
      </c>
      <c r="C3567" s="6">
        <v>603943</v>
      </c>
      <c r="D3567" s="6" t="s">
        <v>53</v>
      </c>
      <c r="E3567" s="6" t="s">
        <v>2866</v>
      </c>
      <c r="F3567" s="6" t="s">
        <v>10874</v>
      </c>
      <c r="G3567" s="6">
        <v>26407</v>
      </c>
      <c r="H3567" s="6" t="s">
        <v>10875</v>
      </c>
      <c r="I3567" s="6">
        <v>154</v>
      </c>
      <c r="J3567" s="6" t="s">
        <v>23</v>
      </c>
      <c r="K3567" s="6" t="s">
        <v>24</v>
      </c>
      <c r="L3567" s="6">
        <v>500000</v>
      </c>
      <c r="M3567" s="6">
        <v>2004</v>
      </c>
      <c r="N3567" s="6">
        <v>7.3</v>
      </c>
      <c r="O3567" s="4">
        <f ca="1">IFERROR(__xludf.DUMMYFUNCTION("IF(Cost_in_dollars!E3567=""USD"",Cost_in_dollars!B3567,Cost_in_dollars!B3567 * GOOGLEFINANCE(""CURRENCY:"" &amp; Cost_in_dollars!E3567 &amp; ""USD""))
"),500000)</f>
        <v>500000</v>
      </c>
      <c r="P3567" s="4">
        <f ca="1">IFERROR(__xludf.DUMMYFUNCTION("IF(Cost_in_dollars!E3567=""USD"",Cost_in_dollars!C3567,Cost_in_dollars!C3567 * GOOGLEFINANCE(""CURRENCY:"" &amp; Cost_in_dollars!E3567 &amp; ""USD""))
"),603943)</f>
        <v>603943</v>
      </c>
      <c r="Q3567" s="6">
        <f t="shared" ca="1" si="78"/>
        <v>103943</v>
      </c>
      <c r="R3567" s="7" t="str">
        <f t="shared" si="79"/>
        <v>Mean Creek</v>
      </c>
      <c r="S3567" s="43" t="str">
        <f t="shared" si="83"/>
        <v>Crime</v>
      </c>
    </row>
    <row r="3568" spans="1:19" ht="15.75" customHeight="1" x14ac:dyDescent="0.25">
      <c r="A3568" s="4" t="s">
        <v>2110</v>
      </c>
      <c r="B3568" s="4">
        <v>90</v>
      </c>
      <c r="C3568" s="4">
        <v>57651794</v>
      </c>
      <c r="D3568" s="4" t="s">
        <v>832</v>
      </c>
      <c r="E3568" s="4" t="s">
        <v>1764</v>
      </c>
      <c r="F3568" s="4" t="s">
        <v>10876</v>
      </c>
      <c r="G3568" s="4">
        <v>40651</v>
      </c>
      <c r="H3568" s="4" t="s">
        <v>10877</v>
      </c>
      <c r="I3568" s="4">
        <v>209</v>
      </c>
      <c r="J3568" s="4" t="s">
        <v>23</v>
      </c>
      <c r="K3568" s="4" t="s">
        <v>24</v>
      </c>
      <c r="L3568" s="4">
        <v>33000000</v>
      </c>
      <c r="M3568" s="4">
        <v>2006</v>
      </c>
      <c r="N3568" s="4">
        <v>5.6</v>
      </c>
      <c r="O3568" s="4">
        <f ca="1">IFERROR(__xludf.DUMMYFUNCTION("IF(Cost_in_dollars!E3568=""USD"",Cost_in_dollars!B3568,Cost_in_dollars!B3568 * GOOGLEFINANCE(""CURRENCY:"" &amp; Cost_in_dollars!E3568 &amp; ""USD""))
"),33000000)</f>
        <v>33000000</v>
      </c>
      <c r="P3568" s="4">
        <f ca="1">IFERROR(__xludf.DUMMYFUNCTION("IF(Cost_in_dollars!E3568=""USD"",Cost_in_dollars!C3568,Cost_in_dollars!C3568 * GOOGLEFINANCE(""CURRENCY:"" &amp; Cost_in_dollars!E3568 &amp; ""USD""))
"),57651794)</f>
        <v>57651794</v>
      </c>
      <c r="Q3568" s="4">
        <f t="shared" ca="1" si="78"/>
        <v>24651794</v>
      </c>
      <c r="R3568" s="5" t="str">
        <f t="shared" si="79"/>
        <v>The Benchwarmers</v>
      </c>
      <c r="S3568" s="43" t="str">
        <f t="shared" si="83"/>
        <v>Comedy</v>
      </c>
    </row>
    <row r="3569" spans="1:19" ht="15.75" customHeight="1" x14ac:dyDescent="0.25">
      <c r="A3569" s="6" t="s">
        <v>150</v>
      </c>
      <c r="B3569" s="6">
        <v>160</v>
      </c>
      <c r="C3569" s="6">
        <v>14637490</v>
      </c>
      <c r="D3569" s="6" t="s">
        <v>93</v>
      </c>
      <c r="E3569" s="6" t="s">
        <v>4771</v>
      </c>
      <c r="F3569" s="6" t="s">
        <v>10878</v>
      </c>
      <c r="G3569" s="6">
        <v>16411</v>
      </c>
      <c r="H3569" s="6" t="s">
        <v>10879</v>
      </c>
      <c r="I3569" s="6">
        <v>136</v>
      </c>
      <c r="J3569" s="6" t="s">
        <v>23</v>
      </c>
      <c r="K3569" s="6" t="s">
        <v>24</v>
      </c>
      <c r="L3569" s="6">
        <v>25000000</v>
      </c>
      <c r="M3569" s="6">
        <v>2010</v>
      </c>
      <c r="N3569" s="6">
        <v>4.8</v>
      </c>
      <c r="O3569" s="4">
        <f ca="1">IFERROR(__xludf.DUMMYFUNCTION("IF(Cost_in_dollars!E3569=""USD"",Cost_in_dollars!B3569,Cost_in_dollars!B3569 * GOOGLEFINANCE(""CURRENCY:"" &amp; Cost_in_dollars!E3569 &amp; ""USD""))
"),25000000)</f>
        <v>25000000</v>
      </c>
      <c r="P3569" s="4">
        <f ca="1">IFERROR(__xludf.DUMMYFUNCTION("IF(Cost_in_dollars!E3569=""USD"",Cost_in_dollars!C3569,Cost_in_dollars!C3569 * GOOGLEFINANCE(""CURRENCY:"" &amp; Cost_in_dollars!E3569 &amp; ""USD""))
"),14637490)</f>
        <v>14637490</v>
      </c>
      <c r="Q3569" s="6">
        <f t="shared" ca="1" si="78"/>
        <v>-10362510</v>
      </c>
      <c r="R3569" s="7" t="str">
        <f t="shared" si="79"/>
        <v>My Soul to Take</v>
      </c>
      <c r="S3569" s="43" t="str">
        <f t="shared" si="83"/>
        <v>Horror</v>
      </c>
    </row>
    <row r="3570" spans="1:19" ht="15.75" customHeight="1" x14ac:dyDescent="0.25">
      <c r="A3570" s="4" t="s">
        <v>10880</v>
      </c>
      <c r="B3570" s="4">
        <v>425</v>
      </c>
      <c r="C3570" s="4">
        <v>25138292</v>
      </c>
      <c r="D3570" s="4" t="s">
        <v>568</v>
      </c>
      <c r="E3570" s="4" t="s">
        <v>1684</v>
      </c>
      <c r="F3570" s="4" t="s">
        <v>10881</v>
      </c>
      <c r="G3570" s="4">
        <v>66483</v>
      </c>
      <c r="H3570" s="4" t="s">
        <v>10882</v>
      </c>
      <c r="I3570" s="4">
        <v>452</v>
      </c>
      <c r="J3570" s="4" t="s">
        <v>23</v>
      </c>
      <c r="K3570" s="4" t="s">
        <v>24</v>
      </c>
      <c r="L3570" s="4">
        <v>3500000</v>
      </c>
      <c r="M3570" s="4">
        <v>2015</v>
      </c>
      <c r="N3570" s="4">
        <v>6.8</v>
      </c>
      <c r="O3570" s="4">
        <f ca="1">IFERROR(__xludf.DUMMYFUNCTION("IF(Cost_in_dollars!E3570=""USD"",Cost_in_dollars!B3570,Cost_in_dollars!B3570 * GOOGLEFINANCE(""CURRENCY:"" &amp; Cost_in_dollars!E3570 &amp; ""USD""))
"),3500000)</f>
        <v>3500000</v>
      </c>
      <c r="P3570" s="4">
        <f ca="1">IFERROR(__xludf.DUMMYFUNCTION("IF(Cost_in_dollars!E3570=""USD"",Cost_in_dollars!C3570,Cost_in_dollars!C3570 * GOOGLEFINANCE(""CURRENCY:"" &amp; Cost_in_dollars!E3570 &amp; ""USD""))
"),25138292)</f>
        <v>25138292</v>
      </c>
      <c r="Q3570" s="4">
        <f t="shared" ca="1" si="78"/>
        <v>21638292</v>
      </c>
      <c r="R3570" s="5" t="str">
        <f t="shared" si="79"/>
        <v>The Witch</v>
      </c>
      <c r="S3570" s="43" t="str">
        <f t="shared" si="83"/>
        <v>Horror</v>
      </c>
    </row>
    <row r="3571" spans="1:19" ht="15.75" customHeight="1" x14ac:dyDescent="0.25">
      <c r="A3571" s="6" t="s">
        <v>9913</v>
      </c>
      <c r="B3571" s="6">
        <v>377</v>
      </c>
      <c r="C3571" s="6">
        <v>17104669</v>
      </c>
      <c r="D3571" s="6" t="s">
        <v>495</v>
      </c>
      <c r="E3571" s="6" t="s">
        <v>10883</v>
      </c>
      <c r="F3571" s="6" t="s">
        <v>10884</v>
      </c>
      <c r="G3571" s="6">
        <v>99353</v>
      </c>
      <c r="H3571" s="6" t="s">
        <v>10885</v>
      </c>
      <c r="I3571" s="6">
        <v>354</v>
      </c>
      <c r="J3571" s="6" t="s">
        <v>159</v>
      </c>
      <c r="K3571" s="6" t="s">
        <v>160</v>
      </c>
      <c r="L3571" s="6">
        <v>20000000</v>
      </c>
      <c r="M3571" s="6">
        <v>2004</v>
      </c>
      <c r="N3571" s="6">
        <v>7.8</v>
      </c>
      <c r="O3571" s="4">
        <f ca="1">IFERROR(__xludf.DUMMYFUNCTION("IF(Cost_in_dollars!E3571=""USD"",Cost_in_dollars!B3571,Cost_in_dollars!B3571 * GOOGLEFINANCE(""CURRENCY:"" &amp; Cost_in_dollars!E3571 &amp; ""USD""))
"),2561886)</f>
        <v>2561886</v>
      </c>
      <c r="P3571" s="4">
        <f ca="1">IFERROR(__xludf.DUMMYFUNCTION("IF(Cost_in_dollars!E3571=""USD"",Cost_in_dollars!C3571,Cost_in_dollars!C3571 * GOOGLEFINANCE(""CURRENCY:"" &amp; Cost_in_dollars!E3571 &amp; ""USD""))
"),2191010.60228669)</f>
        <v>2191010.6022866899</v>
      </c>
      <c r="Q3571" s="6">
        <f t="shared" ca="1" si="78"/>
        <v>-370875.39771331009</v>
      </c>
      <c r="R3571" s="7" t="str">
        <f t="shared" si="79"/>
        <v>Kung Fu Hustle</v>
      </c>
      <c r="S3571" s="43" t="str">
        <f t="shared" si="83"/>
        <v>Action</v>
      </c>
    </row>
    <row r="3572" spans="1:19" ht="15.75" customHeight="1" x14ac:dyDescent="0.25">
      <c r="A3572" s="4" t="s">
        <v>10886</v>
      </c>
      <c r="B3572" s="4">
        <v>164</v>
      </c>
      <c r="C3572" s="4">
        <v>33472850</v>
      </c>
      <c r="D3572" s="4" t="s">
        <v>3417</v>
      </c>
      <c r="E3572" s="4" t="s">
        <v>444</v>
      </c>
      <c r="F3572" s="4" t="s">
        <v>10887</v>
      </c>
      <c r="G3572" s="4">
        <v>67005</v>
      </c>
      <c r="H3572" s="4" t="s">
        <v>10888</v>
      </c>
      <c r="I3572" s="4">
        <v>119</v>
      </c>
      <c r="J3572" s="4" t="s">
        <v>23</v>
      </c>
      <c r="K3572" s="4" t="s">
        <v>24</v>
      </c>
      <c r="L3572" s="4">
        <v>55000000</v>
      </c>
      <c r="M3572" s="4">
        <v>2008</v>
      </c>
      <c r="N3572" s="4">
        <v>5.8</v>
      </c>
      <c r="O3572" s="4">
        <f ca="1">IFERROR(__xludf.DUMMYFUNCTION("IF(Cost_in_dollars!E3572=""USD"",Cost_in_dollars!B3572,Cost_in_dollars!B3572 * GOOGLEFINANCE(""CURRENCY:"" &amp; Cost_in_dollars!E3572 &amp; ""USD""))
"),55000000)</f>
        <v>55000000</v>
      </c>
      <c r="P3572" s="4">
        <f ca="1">IFERROR(__xludf.DUMMYFUNCTION("IF(Cost_in_dollars!E3572=""USD"",Cost_in_dollars!C3572,Cost_in_dollars!C3572 * GOOGLEFINANCE(""CURRENCY:"" &amp; Cost_in_dollars!E3572 &amp; ""USD""))
"),33472850)</f>
        <v>33472850</v>
      </c>
      <c r="Q3572" s="4">
        <f t="shared" ref="Q3572:Q3588" ca="1" si="84">P3572-O3572</f>
        <v>-21527150</v>
      </c>
      <c r="R3572" s="5" t="str">
        <f t="shared" ref="R3572:R3588" si="85">LEFT(F3572,LEN(F3572)-2)</f>
        <v>Semi-Pro</v>
      </c>
      <c r="S3572" s="43" t="str">
        <f t="shared" si="83"/>
        <v>Comedy</v>
      </c>
    </row>
    <row r="3573" spans="1:19" ht="15.75" customHeight="1" x14ac:dyDescent="0.25">
      <c r="A3573" s="6" t="s">
        <v>2400</v>
      </c>
      <c r="B3573" s="6">
        <v>266</v>
      </c>
      <c r="C3573" s="6">
        <v>35024475</v>
      </c>
      <c r="D3573" s="6" t="s">
        <v>691</v>
      </c>
      <c r="E3573" s="6" t="s">
        <v>588</v>
      </c>
      <c r="F3573" s="6" t="s">
        <v>10889</v>
      </c>
      <c r="G3573" s="6">
        <v>110364</v>
      </c>
      <c r="H3573" s="6" t="s">
        <v>10890</v>
      </c>
      <c r="I3573" s="6">
        <v>261</v>
      </c>
      <c r="J3573" s="6" t="s">
        <v>23</v>
      </c>
      <c r="K3573" s="6" t="s">
        <v>611</v>
      </c>
      <c r="L3573" s="6">
        <v>100000000</v>
      </c>
      <c r="M3573" s="6">
        <v>2010</v>
      </c>
      <c r="N3573" s="6">
        <v>6.9</v>
      </c>
      <c r="O3573" s="4">
        <f ca="1">IFERROR(__xludf.DUMMYFUNCTION("IF(Cost_in_dollars!E3573=""USD"",Cost_in_dollars!B3573,Cost_in_dollars!B3573 * GOOGLEFINANCE(""CURRENCY:"" &amp; Cost_in_dollars!E3573 &amp; ""USD""))
"),108474000)</f>
        <v>108474000</v>
      </c>
      <c r="P3573" s="4">
        <f ca="1">IFERROR(__xludf.DUMMYFUNCTION("IF(Cost_in_dollars!E3573=""USD"",Cost_in_dollars!C3573,Cost_in_dollars!C3573 * GOOGLEFINANCE(""CURRENCY:"" &amp; Cost_in_dollars!E3573 &amp; ""USD""))
"),37992449.0115)</f>
        <v>37992449.011500001</v>
      </c>
      <c r="Q3573" s="6">
        <f t="shared" ca="1" si="84"/>
        <v>-70481550.988499999</v>
      </c>
      <c r="R3573" s="7" t="str">
        <f t="shared" si="85"/>
        <v>Green Zone</v>
      </c>
      <c r="S3573" s="43" t="str">
        <f t="shared" si="83"/>
        <v>Action</v>
      </c>
    </row>
    <row r="3574" spans="1:19" ht="15.75" customHeight="1" x14ac:dyDescent="0.25">
      <c r="A3574" s="4" t="s">
        <v>10891</v>
      </c>
      <c r="B3574" s="4">
        <v>24</v>
      </c>
      <c r="C3574" s="4">
        <v>12438</v>
      </c>
      <c r="D3574" s="4" t="s">
        <v>235</v>
      </c>
      <c r="E3574" s="4" t="s">
        <v>9805</v>
      </c>
      <c r="F3574" s="4" t="s">
        <v>10892</v>
      </c>
      <c r="G3574" s="4">
        <v>891</v>
      </c>
      <c r="H3574" s="4" t="s">
        <v>10893</v>
      </c>
      <c r="I3574" s="4">
        <v>26</v>
      </c>
      <c r="J3574" s="4" t="s">
        <v>23</v>
      </c>
      <c r="K3574" s="4" t="s">
        <v>24</v>
      </c>
      <c r="L3574" s="4">
        <v>160000</v>
      </c>
      <c r="M3574" s="4">
        <v>1964</v>
      </c>
      <c r="N3574" s="4">
        <v>8.1</v>
      </c>
      <c r="O3574" s="4">
        <f ca="1">IFERROR(__xludf.DUMMYFUNCTION("IF(Cost_in_dollars!E3574=""USD"",Cost_in_dollars!B3574,Cost_in_dollars!B3574 * GOOGLEFINANCE(""CURRENCY:"" &amp; Cost_in_dollars!E3574 &amp; ""USD""))
"),160000)</f>
        <v>160000</v>
      </c>
      <c r="P3574" s="4">
        <f ca="1">IFERROR(__xludf.DUMMYFUNCTION("IF(Cost_in_dollars!E3574=""USD"",Cost_in_dollars!C3574,Cost_in_dollars!C3574 * GOOGLEFINANCE(""CURRENCY:"" &amp; Cost_in_dollars!E3574 &amp; ""USD""))
"),12438)</f>
        <v>12438</v>
      </c>
      <c r="Q3574" s="4">
        <f t="shared" ca="1" si="84"/>
        <v>-147562</v>
      </c>
      <c r="R3574" s="5" t="str">
        <f t="shared" si="85"/>
        <v>Nothing But a Man</v>
      </c>
      <c r="S3574" s="43" t="str">
        <f t="shared" si="83"/>
        <v>Drama</v>
      </c>
    </row>
    <row r="3575" spans="1:19" ht="15.75" customHeight="1" x14ac:dyDescent="0.25">
      <c r="A3575" s="6" t="s">
        <v>10894</v>
      </c>
      <c r="B3575" s="6">
        <v>23</v>
      </c>
      <c r="C3575" s="6">
        <v>34151</v>
      </c>
      <c r="D3575" s="6" t="s">
        <v>4521</v>
      </c>
      <c r="E3575" s="6" t="s">
        <v>10895</v>
      </c>
      <c r="F3575" s="6" t="s">
        <v>10896</v>
      </c>
      <c r="G3575" s="6">
        <v>186</v>
      </c>
      <c r="H3575" s="6" t="s">
        <v>109</v>
      </c>
      <c r="I3575" s="6">
        <v>3</v>
      </c>
      <c r="J3575" s="6" t="s">
        <v>10841</v>
      </c>
      <c r="K3575" s="6" t="s">
        <v>10842</v>
      </c>
      <c r="L3575" s="6">
        <v>450000</v>
      </c>
      <c r="M3575" s="6">
        <v>2015</v>
      </c>
      <c r="N3575" s="6">
        <v>7.2</v>
      </c>
      <c r="O3575" s="4">
        <f ca="1">IFERROR(__xludf.DUMMYFUNCTION("IF(Cost_in_dollars!E3575=""USD"",Cost_in_dollars!B3575,Cost_in_dollars!B3575 * GOOGLEFINANCE(""CURRENCY:"" &amp; Cost_in_dollars!E3575 &amp; ""USD""))
"),122687.343)</f>
        <v>122687.34299999999</v>
      </c>
      <c r="P3575" s="4">
        <f ca="1">IFERROR(__xludf.DUMMYFUNCTION("IF(Cost_in_dollars!E3575=""USD"",Cost_in_dollars!C3575,Cost_in_dollars!C3575 * GOOGLEFINANCE(""CURRENCY:"" &amp; Cost_in_dollars!E3575 &amp; ""USD""))
"),9310.87877954)</f>
        <v>9310.8787795400003</v>
      </c>
      <c r="Q3575" s="6">
        <f t="shared" ca="1" si="84"/>
        <v>-113376.46422045999</v>
      </c>
      <c r="R3575" s="7" t="str">
        <f t="shared" si="85"/>
        <v>Censored Voices</v>
      </c>
      <c r="S3575" s="43" t="str">
        <f t="shared" si="83"/>
        <v>Documentary</v>
      </c>
    </row>
    <row r="3576" spans="1:19" ht="15.75" customHeight="1" x14ac:dyDescent="0.25">
      <c r="A3576" s="4" t="s">
        <v>494</v>
      </c>
      <c r="B3576" s="4">
        <v>100</v>
      </c>
      <c r="C3576" s="4">
        <v>29374178</v>
      </c>
      <c r="D3576" s="4" t="s">
        <v>876</v>
      </c>
      <c r="E3576" s="4" t="s">
        <v>7739</v>
      </c>
      <c r="F3576" s="4" t="s">
        <v>10897</v>
      </c>
      <c r="G3576" s="4">
        <v>12093</v>
      </c>
      <c r="H3576" s="4" t="s">
        <v>10898</v>
      </c>
      <c r="I3576" s="4">
        <v>188</v>
      </c>
      <c r="J3576" s="4" t="s">
        <v>23</v>
      </c>
      <c r="K3576" s="4" t="s">
        <v>24</v>
      </c>
      <c r="L3576" s="4">
        <v>40000000</v>
      </c>
      <c r="M3576" s="4">
        <v>2000</v>
      </c>
      <c r="N3576" s="4">
        <v>5.0999999999999996</v>
      </c>
      <c r="O3576" s="4">
        <f ca="1">IFERROR(__xludf.DUMMYFUNCTION("IF(Cost_in_dollars!E3576=""USD"",Cost_in_dollars!B3576,Cost_in_dollars!B3576 * GOOGLEFINANCE(""CURRENCY:"" &amp; Cost_in_dollars!E3576 &amp; ""USD""))
"),40000000)</f>
        <v>40000000</v>
      </c>
      <c r="P3576" s="4">
        <f ca="1">IFERROR(__xludf.DUMMYFUNCTION("IF(Cost_in_dollars!E3576=""USD"",Cost_in_dollars!C3576,Cost_in_dollars!C3576 * GOOGLEFINANCE(""CURRENCY:"" &amp; Cost_in_dollars!E3576 &amp; ""USD""))
"),29374178)</f>
        <v>29374178</v>
      </c>
      <c r="Q3576" s="4">
        <f t="shared" ca="1" si="84"/>
        <v>-10625822</v>
      </c>
      <c r="R3576" s="5" t="str">
        <f t="shared" si="85"/>
        <v>Bless the Child</v>
      </c>
      <c r="S3576" s="43" t="str">
        <f t="shared" si="83"/>
        <v>Crime</v>
      </c>
    </row>
    <row r="3577" spans="1:19" ht="15.75" customHeight="1" x14ac:dyDescent="0.25">
      <c r="A3577" s="6" t="s">
        <v>7831</v>
      </c>
      <c r="B3577" s="6">
        <v>177</v>
      </c>
      <c r="C3577" s="6">
        <v>126088877</v>
      </c>
      <c r="D3577" s="6" t="s">
        <v>268</v>
      </c>
      <c r="E3577" s="6" t="s">
        <v>49</v>
      </c>
      <c r="F3577" s="6" t="s">
        <v>10899</v>
      </c>
      <c r="G3577" s="6">
        <v>33354</v>
      </c>
      <c r="H3577" s="6" t="s">
        <v>10900</v>
      </c>
      <c r="I3577" s="6">
        <v>110</v>
      </c>
      <c r="J3577" s="6" t="s">
        <v>23</v>
      </c>
      <c r="K3577" s="6" t="s">
        <v>24</v>
      </c>
      <c r="L3577" s="6">
        <v>50000000</v>
      </c>
      <c r="M3577" s="6">
        <v>2016</v>
      </c>
      <c r="N3577" s="6">
        <v>6.6</v>
      </c>
      <c r="O3577" s="4">
        <f ca="1">IFERROR(__xludf.DUMMYFUNCTION("IF(Cost_in_dollars!E3577=""USD"",Cost_in_dollars!B3577,Cost_in_dollars!B3577 * GOOGLEFINANCE(""CURRENCY:"" &amp; Cost_in_dollars!E3577 &amp; ""USD""))
"),50000000)</f>
        <v>50000000</v>
      </c>
      <c r="P3577" s="4">
        <f ca="1">IFERROR(__xludf.DUMMYFUNCTION("IF(Cost_in_dollars!E3577=""USD"",Cost_in_dollars!C3577,Cost_in_dollars!C3577 * GOOGLEFINANCE(""CURRENCY:"" &amp; Cost_in_dollars!E3577 &amp; ""USD""))
"),126088877)</f>
        <v>126088877</v>
      </c>
      <c r="Q3577" s="6">
        <f t="shared" ca="1" si="84"/>
        <v>76088877</v>
      </c>
      <c r="R3577" s="7" t="str">
        <f t="shared" si="85"/>
        <v>Central Intelligence</v>
      </c>
      <c r="S3577" s="43" t="str">
        <f t="shared" si="83"/>
        <v>Action</v>
      </c>
    </row>
    <row r="3578" spans="1:19" ht="15.75" customHeight="1" x14ac:dyDescent="0.25">
      <c r="A3578" s="4" t="s">
        <v>6184</v>
      </c>
      <c r="B3578" s="4">
        <v>168</v>
      </c>
      <c r="C3578" s="4">
        <v>25675765</v>
      </c>
      <c r="D3578" s="4" t="s">
        <v>140</v>
      </c>
      <c r="E3578" s="4" t="s">
        <v>368</v>
      </c>
      <c r="F3578" s="4" t="s">
        <v>10901</v>
      </c>
      <c r="G3578" s="4">
        <v>60407</v>
      </c>
      <c r="H3578" s="4" t="s">
        <v>10902</v>
      </c>
      <c r="I3578" s="4">
        <v>84</v>
      </c>
      <c r="J3578" s="4" t="s">
        <v>23</v>
      </c>
      <c r="K3578" s="4" t="s">
        <v>24</v>
      </c>
      <c r="L3578" s="4">
        <v>13000000</v>
      </c>
      <c r="M3578" s="4">
        <v>2013</v>
      </c>
      <c r="N3578" s="4">
        <v>5.9</v>
      </c>
      <c r="O3578" s="4">
        <f ca="1">IFERROR(__xludf.DUMMYFUNCTION("IF(Cost_in_dollars!E3578=""USD"",Cost_in_dollars!B3578,Cost_in_dollars!B3578 * GOOGLEFINANCE(""CURRENCY:"" &amp; Cost_in_dollars!E3578 &amp; ""USD""))
"),13000000)</f>
        <v>13000000</v>
      </c>
      <c r="P3578" s="4">
        <f ca="1">IFERROR(__xludf.DUMMYFUNCTION("IF(Cost_in_dollars!E3578=""USD"",Cost_in_dollars!C3578,Cost_in_dollars!C3578 * GOOGLEFINANCE(""CURRENCY:"" &amp; Cost_in_dollars!E3578 &amp; ""USD""))
"),25675765)</f>
        <v>25675765</v>
      </c>
      <c r="Q3578" s="4">
        <f t="shared" ca="1" si="84"/>
        <v>12675765</v>
      </c>
      <c r="R3578" s="5" t="str">
        <f t="shared" si="85"/>
        <v>21 &amp; Over</v>
      </c>
      <c r="S3578" s="43" t="str">
        <f t="shared" si="83"/>
        <v>Comedy</v>
      </c>
    </row>
    <row r="3579" spans="1:19" ht="15.75" customHeight="1" x14ac:dyDescent="0.25">
      <c r="A3579" s="6" t="s">
        <v>2774</v>
      </c>
      <c r="B3579" s="6">
        <v>37</v>
      </c>
      <c r="C3579" s="6">
        <v>27362712</v>
      </c>
      <c r="D3579" s="6" t="s">
        <v>1012</v>
      </c>
      <c r="E3579" s="6" t="s">
        <v>3442</v>
      </c>
      <c r="F3579" s="6" t="s">
        <v>10903</v>
      </c>
      <c r="G3579" s="6">
        <v>5971</v>
      </c>
      <c r="H3579" s="6" t="s">
        <v>10904</v>
      </c>
      <c r="I3579" s="6">
        <v>60</v>
      </c>
      <c r="J3579" s="6" t="s">
        <v>23</v>
      </c>
      <c r="K3579" s="6" t="s">
        <v>24</v>
      </c>
      <c r="L3579" s="6">
        <v>8000000</v>
      </c>
      <c r="M3579" s="6">
        <v>2002</v>
      </c>
      <c r="N3579" s="6">
        <v>6.5</v>
      </c>
      <c r="O3579" s="4">
        <f ca="1">IFERROR(__xludf.DUMMYFUNCTION("IF(Cost_in_dollars!E3579=""USD"",Cost_in_dollars!B3579,Cost_in_dollars!B3579 * GOOGLEFINANCE(""CURRENCY:"" &amp; Cost_in_dollars!E3579 &amp; ""USD""))
"),8000000)</f>
        <v>8000000</v>
      </c>
      <c r="P3579" s="4">
        <f ca="1">IFERROR(__xludf.DUMMYFUNCTION("IF(Cost_in_dollars!E3579=""USD"",Cost_in_dollars!C3579,Cost_in_dollars!C3579 * GOOGLEFINANCE(""CURRENCY:"" &amp; Cost_in_dollars!E3579 &amp; ""USD""))
"),27362712)</f>
        <v>27362712</v>
      </c>
      <c r="Q3579" s="6">
        <f t="shared" ca="1" si="84"/>
        <v>19362712</v>
      </c>
      <c r="R3579" s="7" t="str">
        <f t="shared" si="85"/>
        <v>Brown Sugar</v>
      </c>
      <c r="S3579" s="43" t="str">
        <f t="shared" si="83"/>
        <v>Comedy</v>
      </c>
    </row>
    <row r="3580" spans="1:19" ht="15.75" customHeight="1" x14ac:dyDescent="0.25">
      <c r="A3580" s="4" t="s">
        <v>10905</v>
      </c>
      <c r="B3580" s="4">
        <v>489</v>
      </c>
      <c r="C3580" s="4">
        <v>25440971</v>
      </c>
      <c r="D3580" s="4" t="s">
        <v>1608</v>
      </c>
      <c r="E3580" s="4" t="s">
        <v>10906</v>
      </c>
      <c r="F3580" s="4" t="s">
        <v>10907</v>
      </c>
      <c r="G3580" s="4">
        <v>289508</v>
      </c>
      <c r="H3580" s="4" t="s">
        <v>10908</v>
      </c>
      <c r="I3580" s="4">
        <v>611</v>
      </c>
      <c r="J3580" s="4" t="s">
        <v>23</v>
      </c>
      <c r="K3580" s="4" t="s">
        <v>133</v>
      </c>
      <c r="L3580" s="4">
        <v>15000000</v>
      </c>
      <c r="M3580" s="4">
        <v>2015</v>
      </c>
      <c r="N3580" s="4">
        <v>7.7</v>
      </c>
      <c r="O3580" s="4">
        <f ca="1">IFERROR(__xludf.DUMMYFUNCTION("IF(Cost_in_dollars!E3580=""USD"",Cost_in_dollars!B3580,Cost_in_dollars!B3580 * GOOGLEFINANCE(""CURRENCY:"" &amp; Cost_in_dollars!E3580 &amp; ""USD""))
"),19281000)</f>
        <v>19281000</v>
      </c>
      <c r="P3580" s="4">
        <f ca="1">IFERROR(__xludf.DUMMYFUNCTION("IF(Cost_in_dollars!E3580=""USD"",Cost_in_dollars!C3580,Cost_in_dollars!C3580 * GOOGLEFINANCE(""CURRENCY:"" &amp; Cost_in_dollars!E3580 &amp; ""USD""))
"),32701824.1233999)</f>
        <v>32701824.123399898</v>
      </c>
      <c r="Q3580" s="4">
        <f t="shared" ca="1" si="84"/>
        <v>13420824.123399898</v>
      </c>
      <c r="R3580" s="5" t="str">
        <f t="shared" si="85"/>
        <v>Ex Machina</v>
      </c>
      <c r="S3580" s="43" t="str">
        <f t="shared" si="83"/>
        <v>Drama</v>
      </c>
    </row>
    <row r="3581" spans="1:19" ht="15.75" customHeight="1" x14ac:dyDescent="0.25">
      <c r="A3581" s="6" t="s">
        <v>2745</v>
      </c>
      <c r="B3581" s="6">
        <v>228</v>
      </c>
      <c r="C3581" s="6">
        <v>38345403</v>
      </c>
      <c r="D3581" s="6" t="s">
        <v>4011</v>
      </c>
      <c r="E3581" s="6" t="s">
        <v>1314</v>
      </c>
      <c r="F3581" s="6" t="s">
        <v>10909</v>
      </c>
      <c r="G3581" s="6">
        <v>212085</v>
      </c>
      <c r="H3581" s="6" t="s">
        <v>10910</v>
      </c>
      <c r="I3581" s="6">
        <v>492</v>
      </c>
      <c r="J3581" s="6" t="s">
        <v>23</v>
      </c>
      <c r="K3581" s="6" t="s">
        <v>133</v>
      </c>
      <c r="L3581" s="6">
        <v>70000000</v>
      </c>
      <c r="M3581" s="6">
        <v>2007</v>
      </c>
      <c r="N3581" s="6">
        <v>7.7</v>
      </c>
      <c r="O3581" s="4">
        <f ca="1">IFERROR(__xludf.DUMMYFUNCTION("IF(Cost_in_dollars!E3581=""USD"",Cost_in_dollars!B3581,Cost_in_dollars!B3581 * GOOGLEFINANCE(""CURRENCY:"" &amp; Cost_in_dollars!E3581 &amp; ""USD""))
"),89977999.9999999)</f>
        <v>89977999.999999896</v>
      </c>
      <c r="P3581" s="4">
        <f ca="1">IFERROR(__xludf.DUMMYFUNCTION("IF(Cost_in_dollars!E3581=""USD"",Cost_in_dollars!C3581,Cost_in_dollars!C3581 * GOOGLEFINANCE(""CURRENCY:"" &amp; Cost_in_dollars!E3581 &amp; ""USD""))
"),49289181.0162)</f>
        <v>49289181.016199999</v>
      </c>
      <c r="Q3581" s="6">
        <f t="shared" ca="1" si="84"/>
        <v>-40688818.983799897</v>
      </c>
      <c r="R3581" s="7" t="str">
        <f t="shared" si="85"/>
        <v>Stardust</v>
      </c>
      <c r="S3581" s="43" t="str">
        <f t="shared" si="83"/>
        <v>Adventure</v>
      </c>
    </row>
    <row r="3582" spans="1:19" ht="15.75" customHeight="1" x14ac:dyDescent="0.25">
      <c r="A3582" s="4" t="s">
        <v>9903</v>
      </c>
      <c r="B3582" s="4">
        <v>371</v>
      </c>
      <c r="C3582" s="4">
        <v>18996755</v>
      </c>
      <c r="D3582" s="4" t="s">
        <v>372</v>
      </c>
      <c r="E3582" s="4" t="s">
        <v>877</v>
      </c>
      <c r="F3582" s="4" t="s">
        <v>10911</v>
      </c>
      <c r="G3582" s="4">
        <v>145270</v>
      </c>
      <c r="H3582" s="4" t="s">
        <v>10912</v>
      </c>
      <c r="I3582" s="4">
        <v>322</v>
      </c>
      <c r="J3582" s="4" t="s">
        <v>23</v>
      </c>
      <c r="K3582" s="4" t="s">
        <v>1111</v>
      </c>
      <c r="L3582" s="4">
        <v>45000000</v>
      </c>
      <c r="M3582" s="4">
        <v>2012</v>
      </c>
      <c r="N3582" s="4">
        <v>7.6</v>
      </c>
      <c r="O3582" s="4">
        <f ca="1">IFERROR(__xludf.DUMMYFUNCTION("IF(Cost_in_dollars!E3582=""USD"",Cost_in_dollars!B3582,Cost_in_dollars!B3582 * GOOGLEFINANCE(""CURRENCY:"" &amp; Cost_in_dollars!E3582 &amp; ""USD""))
"),48813300)</f>
        <v>48813300</v>
      </c>
      <c r="P3582" s="4">
        <f ca="1">IFERROR(__xludf.DUMMYFUNCTION("IF(Cost_in_dollars!E3582=""USD"",Cost_in_dollars!C3582,Cost_in_dollars!C3582 * GOOGLEFINANCE(""CURRENCY:"" &amp; Cost_in_dollars!E3582 &amp; ""USD""))
"),20606540.0187)</f>
        <v>20606540.0187</v>
      </c>
      <c r="Q3582" s="4">
        <f t="shared" ca="1" si="84"/>
        <v>-28206759.9813</v>
      </c>
      <c r="R3582" s="5" t="str">
        <f t="shared" si="85"/>
        <v>The Impossible</v>
      </c>
      <c r="S3582" s="43" t="str">
        <f t="shared" si="83"/>
        <v>Drama</v>
      </c>
    </row>
    <row r="3583" spans="1:19" ht="15.75" customHeight="1" x14ac:dyDescent="0.25">
      <c r="A3583" s="6" t="s">
        <v>5972</v>
      </c>
      <c r="B3583" s="6">
        <v>469</v>
      </c>
      <c r="C3583" s="6">
        <v>172051787</v>
      </c>
      <c r="D3583" s="6" t="s">
        <v>188</v>
      </c>
      <c r="E3583" s="6" t="s">
        <v>1410</v>
      </c>
      <c r="F3583" s="6" t="s">
        <v>5973</v>
      </c>
      <c r="G3583" s="6">
        <v>264183</v>
      </c>
      <c r="H3583" s="6" t="s">
        <v>5974</v>
      </c>
      <c r="I3583" s="6">
        <v>665</v>
      </c>
      <c r="J3583" s="6" t="s">
        <v>23</v>
      </c>
      <c r="K3583" s="6" t="s">
        <v>24</v>
      </c>
      <c r="L3583" s="6">
        <v>170000000</v>
      </c>
      <c r="M3583" s="6">
        <v>2010</v>
      </c>
      <c r="N3583" s="6">
        <v>6.8</v>
      </c>
      <c r="O3583" s="4">
        <f ca="1">IFERROR(__xludf.DUMMYFUNCTION("IF(Cost_in_dollars!E3583=""USD"",Cost_in_dollars!B3583,Cost_in_dollars!B3583 * GOOGLEFINANCE(""CURRENCY:"" &amp; Cost_in_dollars!E3583 &amp; ""USD""))
"),170000000)</f>
        <v>170000000</v>
      </c>
      <c r="P3583" s="4">
        <f ca="1">IFERROR(__xludf.DUMMYFUNCTION("IF(Cost_in_dollars!E3583=""USD"",Cost_in_dollars!C3583,Cost_in_dollars!C3583 * GOOGLEFINANCE(""CURRENCY:"" &amp; Cost_in_dollars!E3583 &amp; ""USD""))
"),172051787)</f>
        <v>172051787</v>
      </c>
      <c r="Q3583" s="6">
        <f t="shared" ca="1" si="84"/>
        <v>2051787</v>
      </c>
      <c r="R3583" s="7" t="str">
        <f t="shared" si="85"/>
        <v>TRON: Legacy</v>
      </c>
      <c r="S3583" s="43" t="str">
        <f t="shared" si="83"/>
        <v>Action</v>
      </c>
    </row>
    <row r="3584" spans="1:19" ht="15.75" customHeight="1" x14ac:dyDescent="0.25">
      <c r="A3584" s="4" t="s">
        <v>2077</v>
      </c>
      <c r="B3584" s="4">
        <v>495</v>
      </c>
      <c r="C3584" s="4">
        <v>202853933</v>
      </c>
      <c r="D3584" s="4" t="s">
        <v>1290</v>
      </c>
      <c r="E3584" s="4" t="s">
        <v>500</v>
      </c>
      <c r="F3584" s="4" t="s">
        <v>10913</v>
      </c>
      <c r="G3584" s="4">
        <v>321227</v>
      </c>
      <c r="H3584" s="4" t="s">
        <v>10914</v>
      </c>
      <c r="I3584" s="4">
        <v>1067</v>
      </c>
      <c r="J3584" s="4" t="s">
        <v>23</v>
      </c>
      <c r="K3584" s="4" t="s">
        <v>24</v>
      </c>
      <c r="L3584" s="4">
        <v>200000000</v>
      </c>
      <c r="M3584" s="4">
        <v>2014</v>
      </c>
      <c r="N3584" s="4">
        <v>6.7</v>
      </c>
      <c r="O3584" s="4">
        <f ca="1">IFERROR(__xludf.DUMMYFUNCTION("IF(Cost_in_dollars!E3584=""USD"",Cost_in_dollars!B3584,Cost_in_dollars!B3584 * GOOGLEFINANCE(""CURRENCY:"" &amp; Cost_in_dollars!E3584 &amp; ""USD""))
"),200000000)</f>
        <v>200000000</v>
      </c>
      <c r="P3584" s="4">
        <f ca="1">IFERROR(__xludf.DUMMYFUNCTION("IF(Cost_in_dollars!E3584=""USD"",Cost_in_dollars!C3584,Cost_in_dollars!C3584 * GOOGLEFINANCE(""CURRENCY:"" &amp; Cost_in_dollars!E3584 &amp; ""USD""))
"),202853933)</f>
        <v>202853933</v>
      </c>
      <c r="Q3584" s="4">
        <f t="shared" ca="1" si="84"/>
        <v>2853933</v>
      </c>
      <c r="R3584" s="5" t="str">
        <f t="shared" si="85"/>
        <v>The Amazing Spider-Man 2</v>
      </c>
      <c r="S3584" s="43" t="str">
        <f t="shared" si="83"/>
        <v>Action</v>
      </c>
    </row>
    <row r="3585" spans="1:19" ht="15.75" customHeight="1" x14ac:dyDescent="0.25">
      <c r="A3585" s="6" t="s">
        <v>10915</v>
      </c>
      <c r="B3585" s="6">
        <v>44</v>
      </c>
      <c r="C3585" s="6">
        <v>464126</v>
      </c>
      <c r="D3585" s="6" t="s">
        <v>102</v>
      </c>
      <c r="E3585" s="6" t="s">
        <v>8006</v>
      </c>
      <c r="F3585" s="6" t="s">
        <v>10916</v>
      </c>
      <c r="G3585" s="6">
        <v>3142</v>
      </c>
      <c r="H3585" s="6" t="s">
        <v>10917</v>
      </c>
      <c r="I3585" s="6">
        <v>68</v>
      </c>
      <c r="J3585" s="6" t="s">
        <v>23</v>
      </c>
      <c r="K3585" s="6" t="s">
        <v>24</v>
      </c>
      <c r="L3585" s="6">
        <v>1000000</v>
      </c>
      <c r="M3585" s="6">
        <v>2002</v>
      </c>
      <c r="N3585" s="6">
        <v>6.7</v>
      </c>
      <c r="O3585" s="4">
        <f ca="1">IFERROR(__xludf.DUMMYFUNCTION("IF(Cost_in_dollars!E3585=""USD"",Cost_in_dollars!B3585,Cost_in_dollars!B3585 * GOOGLEFINANCE(""CURRENCY:"" &amp; Cost_in_dollars!E3585 &amp; ""USD""))
"),1000000)</f>
        <v>1000000</v>
      </c>
      <c r="P3585" s="4">
        <f ca="1">IFERROR(__xludf.DUMMYFUNCTION("IF(Cost_in_dollars!E3585=""USD"",Cost_in_dollars!C3585,Cost_in_dollars!C3585 * GOOGLEFINANCE(""CURRENCY:"" &amp; Cost_in_dollars!E3585 &amp; ""USD""))
"),464126)</f>
        <v>464126</v>
      </c>
      <c r="Q3585" s="6">
        <f t="shared" ca="1" si="84"/>
        <v>-535874</v>
      </c>
      <c r="R3585" s="7" t="str">
        <f t="shared" si="85"/>
        <v>Blue Car</v>
      </c>
      <c r="S3585" s="43" t="str">
        <f t="shared" si="83"/>
        <v>Drama</v>
      </c>
    </row>
    <row r="3586" spans="1:19" ht="15.75" customHeight="1" x14ac:dyDescent="0.25">
      <c r="A3586" s="4" t="s">
        <v>2383</v>
      </c>
      <c r="B3586" s="4">
        <v>56</v>
      </c>
      <c r="C3586" s="4">
        <v>158348400</v>
      </c>
      <c r="D3586" s="4" t="s">
        <v>314</v>
      </c>
      <c r="E3586" s="4" t="s">
        <v>223</v>
      </c>
      <c r="F3586" s="4" t="s">
        <v>10918</v>
      </c>
      <c r="G3586" s="4">
        <v>88844</v>
      </c>
      <c r="H3586" s="4" t="s">
        <v>10919</v>
      </c>
      <c r="I3586" s="4">
        <v>142</v>
      </c>
      <c r="J3586" s="4" t="s">
        <v>23</v>
      </c>
      <c r="K3586" s="4" t="s">
        <v>24</v>
      </c>
      <c r="L3586" s="4">
        <v>42000000</v>
      </c>
      <c r="M3586" s="4">
        <v>1993</v>
      </c>
      <c r="N3586" s="4">
        <v>6.8</v>
      </c>
      <c r="O3586" s="4">
        <f ca="1">IFERROR(__xludf.DUMMYFUNCTION("IF(Cost_in_dollars!E3586=""USD"",Cost_in_dollars!B3586,Cost_in_dollars!B3586 * GOOGLEFINANCE(""CURRENCY:"" &amp; Cost_in_dollars!E3586 &amp; ""USD""))
"),42000000)</f>
        <v>42000000</v>
      </c>
      <c r="P3586" s="4">
        <f ca="1">IFERROR(__xludf.DUMMYFUNCTION("IF(Cost_in_dollars!E3586=""USD"",Cost_in_dollars!C3586,Cost_in_dollars!C3586 * GOOGLEFINANCE(""CURRENCY:"" &amp; Cost_in_dollars!E3586 &amp; ""USD""))
"),158348400)</f>
        <v>158348400</v>
      </c>
      <c r="Q3586" s="4">
        <f t="shared" ca="1" si="84"/>
        <v>116348400</v>
      </c>
      <c r="R3586" s="5" t="str">
        <f t="shared" si="85"/>
        <v>The Firm</v>
      </c>
      <c r="S3586" s="43" t="str">
        <f t="shared" si="83"/>
        <v>Drama</v>
      </c>
    </row>
    <row r="3587" spans="1:19" ht="15.75" customHeight="1" x14ac:dyDescent="0.25">
      <c r="A3587" s="6" t="s">
        <v>3173</v>
      </c>
      <c r="B3587" s="6">
        <v>167</v>
      </c>
      <c r="C3587" s="6">
        <v>20819129</v>
      </c>
      <c r="D3587" s="6" t="s">
        <v>268</v>
      </c>
      <c r="E3587" s="6" t="s">
        <v>10920</v>
      </c>
      <c r="F3587" s="6" t="s">
        <v>10921</v>
      </c>
      <c r="G3587" s="6">
        <v>84209</v>
      </c>
      <c r="H3587" s="6" t="s">
        <v>10922</v>
      </c>
      <c r="I3587" s="6">
        <v>201</v>
      </c>
      <c r="J3587" s="6" t="s">
        <v>23</v>
      </c>
      <c r="K3587" s="6" t="s">
        <v>24</v>
      </c>
      <c r="L3587" s="6">
        <v>26000000</v>
      </c>
      <c r="M3587" s="6">
        <v>2009</v>
      </c>
      <c r="N3587" s="6">
        <v>5.2</v>
      </c>
      <c r="O3587" s="4">
        <f ca="1">IFERROR(__xludf.DUMMYFUNCTION("IF(Cost_in_dollars!E3587=""USD"",Cost_in_dollars!B3587,Cost_in_dollars!B3587 * GOOGLEFINANCE(""CURRENCY:"" &amp; Cost_in_dollars!E3587 &amp; ""USD""))
"),26000000)</f>
        <v>26000000</v>
      </c>
      <c r="P3587" s="4">
        <f ca="1">IFERROR(__xludf.DUMMYFUNCTION("IF(Cost_in_dollars!E3587=""USD"",Cost_in_dollars!C3587,Cost_in_dollars!C3587 * GOOGLEFINANCE(""CURRENCY:"" &amp; Cost_in_dollars!E3587 &amp; ""USD""))
"),20819129)</f>
        <v>20819129</v>
      </c>
      <c r="Q3587" s="6">
        <f t="shared" ca="1" si="84"/>
        <v>-5180871</v>
      </c>
      <c r="R3587" s="7" t="str">
        <f t="shared" si="85"/>
        <v>Paul Blart: Mall Cop</v>
      </c>
      <c r="S3587" s="43" t="str">
        <f t="shared" si="83"/>
        <v>Action</v>
      </c>
    </row>
    <row r="3588" spans="1:19" ht="15.75" customHeight="1" x14ac:dyDescent="0.25">
      <c r="A3588" s="4" t="s">
        <v>10923</v>
      </c>
      <c r="B3588" s="4">
        <v>81</v>
      </c>
      <c r="C3588" s="4">
        <v>16295774</v>
      </c>
      <c r="D3588" s="4" t="s">
        <v>4476</v>
      </c>
      <c r="E3588" s="4" t="s">
        <v>3594</v>
      </c>
      <c r="F3588" s="4" t="s">
        <v>10924</v>
      </c>
      <c r="G3588" s="4">
        <v>33669</v>
      </c>
      <c r="H3588" s="4" t="s">
        <v>10925</v>
      </c>
      <c r="I3588" s="4">
        <v>269</v>
      </c>
      <c r="J3588" s="4" t="s">
        <v>23</v>
      </c>
      <c r="K3588" s="4" t="s">
        <v>24</v>
      </c>
      <c r="L3588" s="4">
        <v>35000000</v>
      </c>
      <c r="M3588" s="4">
        <v>1986</v>
      </c>
      <c r="N3588" s="4">
        <v>4.5999999999999996</v>
      </c>
      <c r="O3588" s="4">
        <f ca="1">IFERROR(__xludf.DUMMYFUNCTION("IF(Cost_in_dollars!E3588=""USD"",Cost_in_dollars!B3588,Cost_in_dollars!B3588 * GOOGLEFINANCE(""CURRENCY:"" &amp; Cost_in_dollars!E3588 &amp; ""USD""))
"),35000000)</f>
        <v>35000000</v>
      </c>
      <c r="P3588" s="4">
        <f ca="1">IFERROR(__xludf.DUMMYFUNCTION("IF(Cost_in_dollars!E3588=""USD"",Cost_in_dollars!C3588,Cost_in_dollars!C3588 * GOOGLEFINANCE(""CURRENCY:"" &amp; Cost_in_dollars!E3588 &amp; ""USD""))
"),16295774)</f>
        <v>16295774</v>
      </c>
      <c r="Q3588" s="4">
        <f t="shared" ca="1" si="84"/>
        <v>-18704226</v>
      </c>
      <c r="R3588" s="5" t="str">
        <f t="shared" si="85"/>
        <v>Howard the Duck</v>
      </c>
      <c r="S3588" s="43" t="str">
        <f t="shared" si="83"/>
        <v>Action</v>
      </c>
    </row>
  </sheetData>
  <pageMargins left="0.7" right="0.7" top="0.75" bottom="0.75" header="0" footer="0"/>
  <pageSetup paperSize="9"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B7370-B0D7-4483-8FE3-5EE0CA92D7FF}">
  <dimension ref="A1:BC38"/>
  <sheetViews>
    <sheetView topLeftCell="AA1" zoomScale="70" zoomScaleNormal="70" workbookViewId="0">
      <selection activeCell="BS1" sqref="BS1"/>
    </sheetView>
  </sheetViews>
  <sheetFormatPr defaultRowHeight="15" x14ac:dyDescent="0.25"/>
  <cols>
    <col min="1" max="1" width="45" bestFit="1" customWidth="1"/>
    <col min="2" max="2" width="25.28515625" bestFit="1" customWidth="1"/>
    <col min="3" max="4" width="23.5703125" bestFit="1" customWidth="1"/>
    <col min="5" max="5" width="16.7109375" bestFit="1" customWidth="1"/>
    <col min="18" max="18" width="32" bestFit="1" customWidth="1"/>
    <col min="19" max="20" width="18.85546875" bestFit="1" customWidth="1"/>
    <col min="34" max="34" width="18.42578125" bestFit="1" customWidth="1"/>
    <col min="35" max="35" width="18.85546875" bestFit="1" customWidth="1"/>
    <col min="36" max="36" width="23.7109375" bestFit="1" customWidth="1"/>
    <col min="37" max="37" width="16.7109375" bestFit="1" customWidth="1"/>
    <col min="54" max="54" width="14.28515625" bestFit="1" customWidth="1"/>
    <col min="55" max="55" width="14.42578125" bestFit="1" customWidth="1"/>
    <col min="71" max="71" width="43.5703125" bestFit="1" customWidth="1"/>
    <col min="72" max="72" width="23.5703125" bestFit="1" customWidth="1"/>
    <col min="73" max="73" width="30.140625" bestFit="1" customWidth="1"/>
  </cols>
  <sheetData>
    <row r="1" spans="1:55" x14ac:dyDescent="0.25">
      <c r="A1" s="29" t="s">
        <v>10990</v>
      </c>
      <c r="B1" s="30" t="s">
        <v>10965</v>
      </c>
      <c r="C1" s="31" t="s">
        <v>10967</v>
      </c>
      <c r="D1" s="32" t="s">
        <v>10966</v>
      </c>
      <c r="R1" s="29" t="s">
        <v>10990</v>
      </c>
      <c r="S1" s="33" t="s">
        <v>10991</v>
      </c>
      <c r="AH1" s="29" t="s">
        <v>10990</v>
      </c>
      <c r="AI1" s="33" t="s">
        <v>10991</v>
      </c>
      <c r="BB1" s="29" t="s">
        <v>10990</v>
      </c>
      <c r="BC1" s="33" t="s">
        <v>10995</v>
      </c>
    </row>
    <row r="2" spans="1:55" x14ac:dyDescent="0.25">
      <c r="A2" s="34" t="s">
        <v>10969</v>
      </c>
      <c r="B2" s="48">
        <v>237000000</v>
      </c>
      <c r="C2" s="49">
        <v>523505847</v>
      </c>
      <c r="D2" s="50">
        <v>760505847</v>
      </c>
      <c r="R2" s="34" t="s">
        <v>10968</v>
      </c>
      <c r="S2" s="33">
        <v>15</v>
      </c>
      <c r="AH2" s="34" t="s">
        <v>37</v>
      </c>
      <c r="AI2" s="33">
        <v>128.9</v>
      </c>
      <c r="BB2" s="34" t="s">
        <v>149</v>
      </c>
      <c r="BC2" s="39">
        <v>8.8681441180427107E-3</v>
      </c>
    </row>
    <row r="3" spans="1:55" x14ac:dyDescent="0.25">
      <c r="A3" s="37">
        <v>2009</v>
      </c>
      <c r="B3" s="51">
        <v>237000000</v>
      </c>
      <c r="C3" s="52">
        <v>523505847</v>
      </c>
      <c r="D3" s="53">
        <v>760505847</v>
      </c>
      <c r="R3" s="37" t="s">
        <v>23</v>
      </c>
      <c r="S3" s="46">
        <v>15</v>
      </c>
      <c r="AH3" s="35" t="s">
        <v>763</v>
      </c>
      <c r="AI3" s="46">
        <v>114.60000000000001</v>
      </c>
      <c r="BB3" s="35" t="s">
        <v>627</v>
      </c>
      <c r="BC3" s="40">
        <v>7.999835330565858E-3</v>
      </c>
    </row>
    <row r="4" spans="1:55" x14ac:dyDescent="0.25">
      <c r="A4" s="38" t="s">
        <v>183</v>
      </c>
      <c r="B4" s="51">
        <v>237000000</v>
      </c>
      <c r="C4" s="52">
        <v>523505847</v>
      </c>
      <c r="D4" s="53">
        <v>760505847</v>
      </c>
      <c r="R4" s="38" t="s">
        <v>151</v>
      </c>
      <c r="S4" s="46">
        <v>15</v>
      </c>
      <c r="AH4" s="35" t="s">
        <v>863</v>
      </c>
      <c r="AI4" s="46">
        <v>86.3</v>
      </c>
      <c r="BB4" s="35" t="s">
        <v>611</v>
      </c>
      <c r="BC4" s="40">
        <v>2.1123278340282808E-2</v>
      </c>
    </row>
    <row r="5" spans="1:55" x14ac:dyDescent="0.25">
      <c r="A5" s="35" t="s">
        <v>10971</v>
      </c>
      <c r="B5" s="51">
        <v>10500000</v>
      </c>
      <c r="C5" s="52">
        <v>424449459</v>
      </c>
      <c r="D5" s="53">
        <v>434949459</v>
      </c>
      <c r="R5" s="35" t="s">
        <v>10970</v>
      </c>
      <c r="S5" s="46">
        <v>16</v>
      </c>
      <c r="AH5" s="35" t="s">
        <v>1001</v>
      </c>
      <c r="AI5" s="46">
        <v>92.100000000000009</v>
      </c>
      <c r="BB5" s="35" t="s">
        <v>176</v>
      </c>
      <c r="BC5" s="40">
        <v>1.8274673288812243E-2</v>
      </c>
    </row>
    <row r="6" spans="1:55" x14ac:dyDescent="0.25">
      <c r="A6" s="37">
        <v>1982</v>
      </c>
      <c r="B6" s="51">
        <v>10500000</v>
      </c>
      <c r="C6" s="52">
        <v>424449459</v>
      </c>
      <c r="D6" s="53">
        <v>434949459</v>
      </c>
      <c r="R6" s="37" t="s">
        <v>23</v>
      </c>
      <c r="S6" s="46">
        <v>16</v>
      </c>
      <c r="AH6" s="35" t="s">
        <v>72</v>
      </c>
      <c r="AI6" s="46">
        <v>120.19999999999997</v>
      </c>
      <c r="BB6" s="35" t="s">
        <v>3634</v>
      </c>
      <c r="BC6" s="40">
        <v>1.588882717630653E-2</v>
      </c>
    </row>
    <row r="7" spans="1:55" x14ac:dyDescent="0.25">
      <c r="A7" s="38" t="s">
        <v>10996</v>
      </c>
      <c r="B7" s="51">
        <v>10500000</v>
      </c>
      <c r="C7" s="52">
        <v>424449459</v>
      </c>
      <c r="D7" s="53">
        <v>434949459</v>
      </c>
      <c r="R7" s="38" t="s">
        <v>183</v>
      </c>
      <c r="S7" s="46">
        <v>16</v>
      </c>
      <c r="AH7" s="35" t="s">
        <v>539</v>
      </c>
      <c r="AI7" s="46">
        <v>94.999999999999986</v>
      </c>
      <c r="BB7" s="35" t="s">
        <v>674</v>
      </c>
      <c r="BC7" s="40">
        <v>9.9289012932306363E-3</v>
      </c>
    </row>
    <row r="8" spans="1:55" x14ac:dyDescent="0.25">
      <c r="A8" s="35" t="s">
        <v>10977</v>
      </c>
      <c r="B8" s="51">
        <v>150000000</v>
      </c>
      <c r="C8" s="52">
        <v>502177271</v>
      </c>
      <c r="D8" s="53">
        <v>652177271</v>
      </c>
      <c r="R8" s="35" t="s">
        <v>10972</v>
      </c>
      <c r="S8" s="46">
        <v>15</v>
      </c>
      <c r="AH8" s="35" t="s">
        <v>318</v>
      </c>
      <c r="AI8" s="46">
        <v>89.299999999999983</v>
      </c>
      <c r="BB8" s="35" t="s">
        <v>1551</v>
      </c>
      <c r="BC8" s="40">
        <v>4.3624413692869214E-2</v>
      </c>
    </row>
    <row r="9" spans="1:55" x14ac:dyDescent="0.25">
      <c r="A9" s="37">
        <v>2015</v>
      </c>
      <c r="B9" s="51">
        <v>150000000</v>
      </c>
      <c r="C9" s="52">
        <v>502177271</v>
      </c>
      <c r="D9" s="53">
        <v>652177271</v>
      </c>
      <c r="R9" s="37" t="s">
        <v>23</v>
      </c>
      <c r="S9" s="46">
        <v>15</v>
      </c>
      <c r="AH9" s="35" t="s">
        <v>638</v>
      </c>
      <c r="AI9" s="46">
        <v>188.60000000000002</v>
      </c>
      <c r="BB9" s="35" t="s">
        <v>1491</v>
      </c>
      <c r="BC9" s="40">
        <v>7.781439617973436E-2</v>
      </c>
    </row>
    <row r="10" spans="1:55" x14ac:dyDescent="0.25">
      <c r="A10" s="38" t="s">
        <v>183</v>
      </c>
      <c r="B10" s="51">
        <v>150000000</v>
      </c>
      <c r="C10" s="52">
        <v>502177271</v>
      </c>
      <c r="D10" s="53">
        <v>652177271</v>
      </c>
      <c r="R10" s="38" t="s">
        <v>10994</v>
      </c>
      <c r="S10" s="46">
        <v>15</v>
      </c>
      <c r="AH10" s="35" t="s">
        <v>182</v>
      </c>
      <c r="AI10" s="46">
        <v>110.9</v>
      </c>
      <c r="BB10" s="35" t="s">
        <v>133</v>
      </c>
      <c r="BC10" s="40">
        <v>6.0526524567949311E-2</v>
      </c>
    </row>
    <row r="11" spans="1:55" x14ac:dyDescent="0.25">
      <c r="A11" s="35" t="s">
        <v>10981</v>
      </c>
      <c r="B11" s="51">
        <v>115000000</v>
      </c>
      <c r="C11" s="52">
        <v>359544677</v>
      </c>
      <c r="D11" s="53">
        <v>474544677</v>
      </c>
      <c r="R11" s="35" t="s">
        <v>10973</v>
      </c>
      <c r="S11" s="46">
        <v>15.8</v>
      </c>
      <c r="AH11" s="35" t="s">
        <v>1755</v>
      </c>
      <c r="AI11" s="46">
        <v>119.39999999999999</v>
      </c>
      <c r="BB11" s="35" t="s">
        <v>24</v>
      </c>
      <c r="BC11" s="40">
        <v>0.73595100601220631</v>
      </c>
    </row>
    <row r="12" spans="1:55" x14ac:dyDescent="0.25">
      <c r="A12" s="37">
        <v>1999</v>
      </c>
      <c r="B12" s="51">
        <v>115000000</v>
      </c>
      <c r="C12" s="52">
        <v>359544677</v>
      </c>
      <c r="D12" s="53">
        <v>474544677</v>
      </c>
      <c r="R12" s="37" t="s">
        <v>23</v>
      </c>
      <c r="S12" s="46">
        <v>15.8</v>
      </c>
      <c r="AH12" s="36" t="s">
        <v>10989</v>
      </c>
      <c r="AI12" s="47">
        <v>1145.3000000000002</v>
      </c>
      <c r="BB12" s="36" t="s">
        <v>10989</v>
      </c>
      <c r="BC12" s="41">
        <v>1</v>
      </c>
    </row>
    <row r="13" spans="1:55" x14ac:dyDescent="0.25">
      <c r="A13" s="38" t="s">
        <v>183</v>
      </c>
      <c r="B13" s="51">
        <v>115000000</v>
      </c>
      <c r="C13" s="52">
        <v>359544677</v>
      </c>
      <c r="D13" s="53">
        <v>474544677</v>
      </c>
      <c r="R13" s="38" t="s">
        <v>102</v>
      </c>
      <c r="S13" s="46">
        <v>15.8</v>
      </c>
    </row>
    <row r="14" spans="1:55" x14ac:dyDescent="0.25">
      <c r="A14" s="35" t="s">
        <v>10982</v>
      </c>
      <c r="B14" s="51">
        <v>11000000</v>
      </c>
      <c r="C14" s="52">
        <v>449935665</v>
      </c>
      <c r="D14" s="53">
        <v>460935665</v>
      </c>
      <c r="R14" s="35" t="s">
        <v>10974</v>
      </c>
      <c r="S14" s="46">
        <v>15.8</v>
      </c>
    </row>
    <row r="15" spans="1:55" x14ac:dyDescent="0.25">
      <c r="A15" s="37">
        <v>1977</v>
      </c>
      <c r="B15" s="51">
        <v>11000000</v>
      </c>
      <c r="C15" s="52">
        <v>449935665</v>
      </c>
      <c r="D15" s="53">
        <v>460935665</v>
      </c>
      <c r="R15" s="37" t="s">
        <v>23</v>
      </c>
      <c r="S15" s="46">
        <v>15.8</v>
      </c>
    </row>
    <row r="16" spans="1:55" x14ac:dyDescent="0.25">
      <c r="A16" s="38" t="s">
        <v>183</v>
      </c>
      <c r="B16" s="51">
        <v>11000000</v>
      </c>
      <c r="C16" s="52">
        <v>449935665</v>
      </c>
      <c r="D16" s="53">
        <v>460935665</v>
      </c>
      <c r="R16" s="38" t="s">
        <v>151</v>
      </c>
      <c r="S16" s="46">
        <v>15.8</v>
      </c>
    </row>
    <row r="17" spans="1:19" x14ac:dyDescent="0.25">
      <c r="A17" s="35" t="s">
        <v>10983</v>
      </c>
      <c r="B17" s="51">
        <v>220000000</v>
      </c>
      <c r="C17" s="52">
        <v>403279547</v>
      </c>
      <c r="D17" s="53">
        <v>623279547</v>
      </c>
      <c r="R17" s="35" t="s">
        <v>10975</v>
      </c>
      <c r="S17" s="46">
        <v>20.100000000000001</v>
      </c>
    </row>
    <row r="18" spans="1:19" x14ac:dyDescent="0.25">
      <c r="A18" s="37">
        <v>2012</v>
      </c>
      <c r="B18" s="51">
        <v>220000000</v>
      </c>
      <c r="C18" s="52">
        <v>403279547</v>
      </c>
      <c r="D18" s="53">
        <v>623279547</v>
      </c>
      <c r="R18" s="37" t="s">
        <v>23</v>
      </c>
      <c r="S18" s="46">
        <v>20.100000000000001</v>
      </c>
    </row>
    <row r="19" spans="1:19" x14ac:dyDescent="0.25">
      <c r="A19" s="38" t="s">
        <v>183</v>
      </c>
      <c r="B19" s="51">
        <v>220000000</v>
      </c>
      <c r="C19" s="52">
        <v>403279547</v>
      </c>
      <c r="D19" s="53">
        <v>623279547</v>
      </c>
      <c r="R19" s="38" t="s">
        <v>5648</v>
      </c>
      <c r="S19" s="46">
        <v>20.100000000000001</v>
      </c>
    </row>
    <row r="20" spans="1:19" x14ac:dyDescent="0.25">
      <c r="A20" s="35" t="s">
        <v>10984</v>
      </c>
      <c r="B20" s="51">
        <v>185000000</v>
      </c>
      <c r="C20" s="52">
        <v>348316061</v>
      </c>
      <c r="D20" s="53">
        <v>533316061</v>
      </c>
      <c r="R20" s="35" t="s">
        <v>10976</v>
      </c>
      <c r="S20" s="46">
        <v>15</v>
      </c>
    </row>
    <row r="21" spans="1:19" x14ac:dyDescent="0.25">
      <c r="A21" s="37">
        <v>2008</v>
      </c>
      <c r="B21" s="51">
        <v>185000000</v>
      </c>
      <c r="C21" s="52">
        <v>348316061</v>
      </c>
      <c r="D21" s="53">
        <v>533316061</v>
      </c>
      <c r="R21" s="37" t="s">
        <v>23</v>
      </c>
      <c r="S21" s="46">
        <v>15</v>
      </c>
    </row>
    <row r="22" spans="1:19" x14ac:dyDescent="0.25">
      <c r="A22" s="38" t="s">
        <v>183</v>
      </c>
      <c r="B22" s="51">
        <v>185000000</v>
      </c>
      <c r="C22" s="52">
        <v>348316061</v>
      </c>
      <c r="D22" s="53">
        <v>533316061</v>
      </c>
      <c r="R22" s="38" t="s">
        <v>140</v>
      </c>
      <c r="S22" s="46">
        <v>15</v>
      </c>
    </row>
    <row r="23" spans="1:19" x14ac:dyDescent="0.25">
      <c r="A23" s="35" t="s">
        <v>10985</v>
      </c>
      <c r="B23" s="51">
        <v>449889999.99999797</v>
      </c>
      <c r="C23" s="52">
        <v>482398128.48280001</v>
      </c>
      <c r="D23" s="53">
        <v>932288128.48279798</v>
      </c>
      <c r="R23" s="35" t="s">
        <v>10978</v>
      </c>
      <c r="S23" s="46">
        <v>21.6</v>
      </c>
    </row>
    <row r="24" spans="1:19" x14ac:dyDescent="0.25">
      <c r="A24" s="37">
        <v>2016</v>
      </c>
      <c r="B24" s="51">
        <v>449889999.99999797</v>
      </c>
      <c r="C24" s="52">
        <v>482398128.48280001</v>
      </c>
      <c r="D24" s="53">
        <v>932288128.48279798</v>
      </c>
      <c r="R24" s="37" t="s">
        <v>23</v>
      </c>
      <c r="S24" s="46">
        <v>21.6</v>
      </c>
    </row>
    <row r="25" spans="1:19" x14ac:dyDescent="0.25">
      <c r="A25" s="38" t="s">
        <v>5648</v>
      </c>
      <c r="B25" s="51">
        <v>449889999.99999797</v>
      </c>
      <c r="C25" s="52">
        <v>482398128.48280001</v>
      </c>
      <c r="D25" s="53">
        <v>932288128.48279798</v>
      </c>
      <c r="R25" s="38" t="s">
        <v>183</v>
      </c>
      <c r="S25" s="46">
        <v>21.6</v>
      </c>
    </row>
    <row r="26" spans="1:19" x14ac:dyDescent="0.25">
      <c r="A26" s="35" t="s">
        <v>10986</v>
      </c>
      <c r="B26" s="51">
        <v>45000000</v>
      </c>
      <c r="C26" s="52">
        <v>377783777</v>
      </c>
      <c r="D26" s="53">
        <v>422783777</v>
      </c>
      <c r="R26" s="35" t="s">
        <v>10979</v>
      </c>
      <c r="S26" s="46">
        <v>15.6</v>
      </c>
    </row>
    <row r="27" spans="1:19" x14ac:dyDescent="0.25">
      <c r="A27" s="37">
        <v>1994</v>
      </c>
      <c r="B27" s="51">
        <v>45000000</v>
      </c>
      <c r="C27" s="52">
        <v>377783777</v>
      </c>
      <c r="D27" s="53">
        <v>422783777</v>
      </c>
      <c r="R27" s="37" t="s">
        <v>23</v>
      </c>
      <c r="S27" s="46">
        <v>15.6</v>
      </c>
    </row>
    <row r="28" spans="1:19" x14ac:dyDescent="0.25">
      <c r="A28" s="38" t="s">
        <v>5648</v>
      </c>
      <c r="B28" s="51">
        <v>45000000</v>
      </c>
      <c r="C28" s="52">
        <v>377783777</v>
      </c>
      <c r="D28" s="53">
        <v>422783777</v>
      </c>
      <c r="R28" s="38" t="s">
        <v>10993</v>
      </c>
      <c r="S28" s="46">
        <v>15.6</v>
      </c>
    </row>
    <row r="29" spans="1:19" x14ac:dyDescent="0.25">
      <c r="A29" s="35" t="s">
        <v>10988</v>
      </c>
      <c r="B29" s="51">
        <v>200000000</v>
      </c>
      <c r="C29" s="52">
        <v>458672302</v>
      </c>
      <c r="D29" s="53">
        <v>658672302</v>
      </c>
      <c r="R29" s="35" t="s">
        <v>10980</v>
      </c>
      <c r="S29" s="46">
        <v>15.6</v>
      </c>
    </row>
    <row r="30" spans="1:19" x14ac:dyDescent="0.25">
      <c r="A30" s="37">
        <v>1997</v>
      </c>
      <c r="B30" s="51">
        <v>200000000</v>
      </c>
      <c r="C30" s="52">
        <v>458672302</v>
      </c>
      <c r="D30" s="53">
        <v>658672302</v>
      </c>
      <c r="R30" s="37" t="s">
        <v>23</v>
      </c>
      <c r="S30" s="46">
        <v>15.6</v>
      </c>
    </row>
    <row r="31" spans="1:19" x14ac:dyDescent="0.25">
      <c r="A31" s="38" t="s">
        <v>102</v>
      </c>
      <c r="B31" s="51">
        <v>200000000</v>
      </c>
      <c r="C31" s="52">
        <v>458672302</v>
      </c>
      <c r="D31" s="53">
        <v>658672302</v>
      </c>
      <c r="R31" s="38" t="s">
        <v>183</v>
      </c>
      <c r="S31" s="46">
        <v>15.6</v>
      </c>
    </row>
    <row r="32" spans="1:19" x14ac:dyDescent="0.25">
      <c r="A32" s="36" t="s">
        <v>10989</v>
      </c>
      <c r="B32" s="54">
        <v>1623389999.9999981</v>
      </c>
      <c r="C32" s="55">
        <v>4330062734.4827995</v>
      </c>
      <c r="D32" s="56">
        <v>5953452734.4827976</v>
      </c>
      <c r="R32" s="35" t="s">
        <v>10985</v>
      </c>
      <c r="S32" s="46">
        <v>15.6</v>
      </c>
    </row>
    <row r="33" spans="18:19" x14ac:dyDescent="0.25">
      <c r="R33" s="37" t="s">
        <v>23</v>
      </c>
      <c r="S33" s="46">
        <v>15.6</v>
      </c>
    </row>
    <row r="34" spans="18:19" x14ac:dyDescent="0.25">
      <c r="R34" s="38" t="s">
        <v>5648</v>
      </c>
      <c r="S34" s="46">
        <v>15.6</v>
      </c>
    </row>
    <row r="35" spans="18:19" x14ac:dyDescent="0.25">
      <c r="R35" s="35" t="s">
        <v>10987</v>
      </c>
      <c r="S35" s="46">
        <v>15</v>
      </c>
    </row>
    <row r="36" spans="18:19" x14ac:dyDescent="0.25">
      <c r="R36" s="37" t="s">
        <v>23</v>
      </c>
      <c r="S36" s="46">
        <v>15</v>
      </c>
    </row>
    <row r="37" spans="18:19" x14ac:dyDescent="0.25">
      <c r="R37" s="38" t="s">
        <v>151</v>
      </c>
      <c r="S37" s="46">
        <v>15</v>
      </c>
    </row>
    <row r="38" spans="18:19" x14ac:dyDescent="0.25">
      <c r="R38" s="36" t="s">
        <v>10989</v>
      </c>
      <c r="S38" s="47">
        <v>196.09999999999997</v>
      </c>
    </row>
  </sheetData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426E7-BF60-42DB-BFA2-59E3F165CC5F}">
  <dimension ref="A1"/>
  <sheetViews>
    <sheetView showGridLines="0" tabSelected="1" topLeftCell="A6" zoomScale="40" zoomScaleNormal="40" workbookViewId="0">
      <selection activeCell="AG3" sqref="AG3"/>
    </sheetView>
  </sheetViews>
  <sheetFormatPr defaultRowHeight="15" x14ac:dyDescent="0.25"/>
  <cols>
    <col min="1" max="16384" width="9.140625" style="45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Cost_in_dollars</vt:lpstr>
      <vt:lpstr>Currency</vt:lpstr>
      <vt:lpstr>IMDB_Movies</vt:lpstr>
      <vt:lpstr>Charts</vt:lpstr>
      <vt:lpstr>Dashboard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Mohamed Hany</cp:lastModifiedBy>
  <dcterms:modified xsi:type="dcterms:W3CDTF">2024-07-28T19:59:48Z</dcterms:modified>
</cp:coreProperties>
</file>